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4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5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6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drawings/drawing7.xml" ContentType="application/vnd.openxmlformats-officedocument.drawing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workbookPassword="9438" lockStructure="1"/>
  <bookViews>
    <workbookView xWindow="14265" yWindow="-15" windowWidth="14310" windowHeight="11085"/>
  </bookViews>
  <sheets>
    <sheet name="Start" sheetId="13" r:id="rId1"/>
    <sheet name="Standard" sheetId="1" r:id="rId2"/>
    <sheet name="Winkel" sheetId="16" r:id="rId3"/>
    <sheet name="AG" sheetId="17" r:id="rId4"/>
    <sheet name="S" sheetId="18" r:id="rId5"/>
    <sheet name="Konfig" sheetId="15" r:id="rId6"/>
    <sheet name="Türgewicht" sheetId="11" r:id="rId7"/>
    <sheet name="select" sheetId="2" state="veryHidden" r:id="rId8"/>
    <sheet name="rand" sheetId="20" state="veryHidden" r:id="rId9"/>
    <sheet name="suf" sheetId="19" state="veryHidden" r:id="rId10"/>
    <sheet name="Scharniere" sheetId="9" state="veryHidden" r:id="rId11"/>
    <sheet name="Montageplatten" sheetId="10" state="veryHidden" r:id="rId12"/>
    <sheet name="Sprache" sheetId="4" state="veryHidden" r:id="rId13"/>
  </sheets>
  <definedNames>
    <definedName name="_xlnm._FilterDatabase" localSheetId="11" hidden="1">Montageplatten!$AP$1:$BI$112</definedName>
    <definedName name="_xlnm.Print_Area" localSheetId="5">Konfig!$A$3:$AM$75</definedName>
    <definedName name="_xlnm.Print_Area" localSheetId="4">S!$A$1:$AH$53</definedName>
    <definedName name="_xlnm.Print_Area" localSheetId="7">select!$G$5:$L$33</definedName>
    <definedName name="_xlnm.Print_Area" localSheetId="1">Standard!$C$1:$AH$53</definedName>
    <definedName name="_xlnm.Print_Area" localSheetId="2">Winkel!$B$2:$AV$52</definedName>
    <definedName name="fehler">select!$I$1479</definedName>
    <definedName name="ja">select!$B$6</definedName>
    <definedName name="nein">select!$B$5</definedName>
  </definedNames>
  <calcPr calcId="145621"/>
</workbook>
</file>

<file path=xl/calcChain.xml><?xml version="1.0" encoding="utf-8"?>
<calcChain xmlns="http://schemas.openxmlformats.org/spreadsheetml/2006/main">
  <c r="F1332" i="2" l="1"/>
  <c r="A213" i="4"/>
  <c r="C282" i="2" s="1"/>
  <c r="K296" i="2" l="1"/>
  <c r="K295" i="2" s="1"/>
  <c r="A5" i="4" l="1"/>
  <c r="A9" i="4"/>
  <c r="A10" i="4"/>
  <c r="A12" i="4"/>
  <c r="A6" i="4"/>
  <c r="A7" i="4"/>
  <c r="A14" i="4"/>
  <c r="A11" i="4"/>
  <c r="A13" i="4"/>
  <c r="A8" i="4"/>
  <c r="A15" i="4"/>
  <c r="A16" i="4"/>
  <c r="AM1454" i="2" l="1"/>
  <c r="AU1454" i="2" s="1"/>
  <c r="BC1454" i="2" s="1"/>
  <c r="BK1454" i="2" s="1"/>
  <c r="BI1485" i="2"/>
  <c r="BA1485" i="2"/>
  <c r="AS1485" i="2"/>
  <c r="AK1485" i="2"/>
  <c r="AV1484" i="2"/>
  <c r="BD1484" i="2" s="1"/>
  <c r="BL1484" i="2" s="1"/>
  <c r="AO1484" i="2"/>
  <c r="AW1484" i="2" s="1"/>
  <c r="BE1484" i="2" s="1"/>
  <c r="BM1484" i="2" s="1"/>
  <c r="AN1484" i="2"/>
  <c r="AM1484" i="2"/>
  <c r="AU1484" i="2" s="1"/>
  <c r="BC1484" i="2" s="1"/>
  <c r="BK1484" i="2" s="1"/>
  <c r="AL1484" i="2"/>
  <c r="AT1484" i="2" s="1"/>
  <c r="BB1484" i="2" s="1"/>
  <c r="BJ1484" i="2" s="1"/>
  <c r="BI1480" i="2"/>
  <c r="BA1480" i="2"/>
  <c r="AS1480" i="2"/>
  <c r="AK1480" i="2"/>
  <c r="AO1479" i="2"/>
  <c r="AW1479" i="2" s="1"/>
  <c r="BE1479" i="2" s="1"/>
  <c r="BM1479" i="2" s="1"/>
  <c r="AN1479" i="2"/>
  <c r="AV1479" i="2" s="1"/>
  <c r="BD1479" i="2" s="1"/>
  <c r="BL1479" i="2" s="1"/>
  <c r="AM1479" i="2"/>
  <c r="AU1479" i="2" s="1"/>
  <c r="BC1479" i="2" s="1"/>
  <c r="BK1479" i="2" s="1"/>
  <c r="AL1479" i="2"/>
  <c r="AT1479" i="2" s="1"/>
  <c r="BB1479" i="2" s="1"/>
  <c r="BJ1479" i="2" s="1"/>
  <c r="BI1475" i="2"/>
  <c r="BA1475" i="2"/>
  <c r="AS1475" i="2"/>
  <c r="AK1475" i="2"/>
  <c r="AO1474" i="2"/>
  <c r="AW1474" i="2" s="1"/>
  <c r="BE1474" i="2" s="1"/>
  <c r="BM1474" i="2" s="1"/>
  <c r="AN1474" i="2"/>
  <c r="AV1474" i="2" s="1"/>
  <c r="BD1474" i="2" s="1"/>
  <c r="BL1474" i="2" s="1"/>
  <c r="AM1474" i="2"/>
  <c r="AU1474" i="2" s="1"/>
  <c r="BC1474" i="2" s="1"/>
  <c r="BK1474" i="2" s="1"/>
  <c r="AL1474" i="2"/>
  <c r="AT1474" i="2" s="1"/>
  <c r="BB1474" i="2" s="1"/>
  <c r="BJ1474" i="2" s="1"/>
  <c r="BI1470" i="2"/>
  <c r="BA1470" i="2"/>
  <c r="AS1470" i="2"/>
  <c r="AK1470" i="2"/>
  <c r="AO1469" i="2"/>
  <c r="AW1469" i="2" s="1"/>
  <c r="BE1469" i="2" s="1"/>
  <c r="BM1469" i="2" s="1"/>
  <c r="AN1469" i="2"/>
  <c r="AV1469" i="2" s="1"/>
  <c r="BD1469" i="2" s="1"/>
  <c r="BL1469" i="2" s="1"/>
  <c r="AM1469" i="2"/>
  <c r="AU1469" i="2" s="1"/>
  <c r="BC1469" i="2" s="1"/>
  <c r="BK1469" i="2" s="1"/>
  <c r="AL1469" i="2"/>
  <c r="AT1469" i="2" s="1"/>
  <c r="BB1469" i="2" s="1"/>
  <c r="BJ1469" i="2" s="1"/>
  <c r="BI1465" i="2"/>
  <c r="BA1465" i="2"/>
  <c r="AS1465" i="2"/>
  <c r="AK1465" i="2"/>
  <c r="AO1464" i="2"/>
  <c r="AW1464" i="2" s="1"/>
  <c r="BE1464" i="2" s="1"/>
  <c r="BM1464" i="2" s="1"/>
  <c r="AN1464" i="2"/>
  <c r="AV1464" i="2" s="1"/>
  <c r="BD1464" i="2" s="1"/>
  <c r="BL1464" i="2" s="1"/>
  <c r="AM1464" i="2"/>
  <c r="AL1464" i="2"/>
  <c r="AT1464" i="2" s="1"/>
  <c r="BB1464" i="2" s="1"/>
  <c r="BJ1464" i="2" s="1"/>
  <c r="BI1460" i="2"/>
  <c r="BA1460" i="2"/>
  <c r="AS1460" i="2"/>
  <c r="AK1460" i="2"/>
  <c r="AO1459" i="2"/>
  <c r="AW1459" i="2" s="1"/>
  <c r="BE1459" i="2" s="1"/>
  <c r="BM1459" i="2" s="1"/>
  <c r="AN1459" i="2"/>
  <c r="AV1459" i="2" s="1"/>
  <c r="BD1459" i="2" s="1"/>
  <c r="BL1459" i="2" s="1"/>
  <c r="AM1459" i="2"/>
  <c r="AU1459" i="2" s="1"/>
  <c r="BC1459" i="2" s="1"/>
  <c r="BK1459" i="2" s="1"/>
  <c r="AL1459" i="2"/>
  <c r="AT1459" i="2" s="1"/>
  <c r="BB1459" i="2" s="1"/>
  <c r="BJ1459" i="2" s="1"/>
  <c r="BI1455" i="2"/>
  <c r="BA1455" i="2"/>
  <c r="AS1455" i="2"/>
  <c r="AK1455" i="2"/>
  <c r="AO1454" i="2"/>
  <c r="AW1454" i="2" s="1"/>
  <c r="BE1454" i="2" s="1"/>
  <c r="BM1454" i="2" s="1"/>
  <c r="AN1454" i="2"/>
  <c r="AV1454" i="2" s="1"/>
  <c r="BD1454" i="2" s="1"/>
  <c r="BL1454" i="2" s="1"/>
  <c r="AL1454" i="2"/>
  <c r="AT1454" i="2" s="1"/>
  <c r="BB1454" i="2" s="1"/>
  <c r="BJ1454" i="2" s="1"/>
  <c r="V1467" i="2"/>
  <c r="X1469" i="2" s="1"/>
  <c r="AN1480" i="2" s="1"/>
  <c r="AV1480" i="2" s="1"/>
  <c r="BD1480" i="2" s="1"/>
  <c r="BL1480" i="2" s="1"/>
  <c r="BI1430" i="2"/>
  <c r="BA1430" i="2"/>
  <c r="AS1430" i="2"/>
  <c r="AK1430" i="2"/>
  <c r="AO1429" i="2"/>
  <c r="AW1429" i="2" s="1"/>
  <c r="BE1429" i="2" s="1"/>
  <c r="BM1429" i="2" s="1"/>
  <c r="AN1429" i="2"/>
  <c r="AV1429" i="2" s="1"/>
  <c r="BD1429" i="2" s="1"/>
  <c r="BL1429" i="2" s="1"/>
  <c r="AM1429" i="2"/>
  <c r="AU1429" i="2" s="1"/>
  <c r="BC1429" i="2" s="1"/>
  <c r="BK1429" i="2" s="1"/>
  <c r="AL1429" i="2"/>
  <c r="AT1429" i="2" s="1"/>
  <c r="BB1429" i="2" s="1"/>
  <c r="BJ1429" i="2" s="1"/>
  <c r="BI1425" i="2"/>
  <c r="BA1425" i="2"/>
  <c r="AS1425" i="2"/>
  <c r="AK1425" i="2"/>
  <c r="AO1424" i="2"/>
  <c r="AW1424" i="2" s="1"/>
  <c r="BE1424" i="2" s="1"/>
  <c r="BM1424" i="2" s="1"/>
  <c r="AN1424" i="2"/>
  <c r="AV1424" i="2" s="1"/>
  <c r="AM1424" i="2"/>
  <c r="AU1424" i="2" s="1"/>
  <c r="BC1424" i="2" s="1"/>
  <c r="BK1424" i="2" s="1"/>
  <c r="AL1424" i="2"/>
  <c r="AT1424" i="2" s="1"/>
  <c r="BB1424" i="2" s="1"/>
  <c r="BJ1424" i="2" s="1"/>
  <c r="BI1420" i="2"/>
  <c r="BA1420" i="2"/>
  <c r="AS1420" i="2"/>
  <c r="AK1420" i="2"/>
  <c r="AO1419" i="2"/>
  <c r="AW1419" i="2" s="1"/>
  <c r="BE1419" i="2" s="1"/>
  <c r="BM1419" i="2" s="1"/>
  <c r="AN1419" i="2"/>
  <c r="AV1419" i="2" s="1"/>
  <c r="BD1419" i="2" s="1"/>
  <c r="BL1419" i="2" s="1"/>
  <c r="AM1419" i="2"/>
  <c r="AU1419" i="2" s="1"/>
  <c r="BC1419" i="2" s="1"/>
  <c r="BK1419" i="2" s="1"/>
  <c r="AL1419" i="2"/>
  <c r="AT1419" i="2" s="1"/>
  <c r="BB1419" i="2" s="1"/>
  <c r="BJ1419" i="2" s="1"/>
  <c r="V1469" i="2" l="1"/>
  <c r="AL1485" i="2" s="1"/>
  <c r="AT1485" i="2" s="1"/>
  <c r="BB1485" i="2" s="1"/>
  <c r="BJ1485" i="2" s="1"/>
  <c r="W1469" i="2"/>
  <c r="AM1485" i="2" s="1"/>
  <c r="AU1485" i="2" s="1"/>
  <c r="BC1485" i="2" s="1"/>
  <c r="BK1485" i="2" s="1"/>
  <c r="AL1460" i="2"/>
  <c r="AT1460" i="2" s="1"/>
  <c r="BB1460" i="2" s="1"/>
  <c r="BJ1460" i="2" s="1"/>
  <c r="AN1475" i="2"/>
  <c r="AV1475" i="2" s="1"/>
  <c r="BD1475" i="2" s="1"/>
  <c r="BL1475" i="2" s="1"/>
  <c r="AN1485" i="2"/>
  <c r="AV1485" i="2" s="1"/>
  <c r="BD1485" i="2" s="1"/>
  <c r="BL1485" i="2" s="1"/>
  <c r="AN1455" i="2"/>
  <c r="AV1455" i="2" s="1"/>
  <c r="BD1455" i="2" s="1"/>
  <c r="BL1455" i="2" s="1"/>
  <c r="AN1460" i="2"/>
  <c r="AV1460" i="2" s="1"/>
  <c r="BD1460" i="2" s="1"/>
  <c r="BL1460" i="2" s="1"/>
  <c r="AL1470" i="2"/>
  <c r="AT1470" i="2" s="1"/>
  <c r="BB1470" i="2" s="1"/>
  <c r="BJ1470" i="2" s="1"/>
  <c r="AN1465" i="2"/>
  <c r="AV1465" i="2" s="1"/>
  <c r="BD1465" i="2" s="1"/>
  <c r="BL1465" i="2" s="1"/>
  <c r="AN1470" i="2"/>
  <c r="AV1470" i="2" s="1"/>
  <c r="BD1470" i="2" s="1"/>
  <c r="BL1470" i="2" s="1"/>
  <c r="AU1464" i="2"/>
  <c r="BC1464" i="2" s="1"/>
  <c r="BK1464" i="2" s="1"/>
  <c r="AN1425" i="2"/>
  <c r="AV1425" i="2" s="1"/>
  <c r="BD1425" i="2" s="1"/>
  <c r="BL1425" i="2" s="1"/>
  <c r="AN1430" i="2"/>
  <c r="AV1430" i="2" s="1"/>
  <c r="BD1430" i="2" s="1"/>
  <c r="BL1430" i="2" s="1"/>
  <c r="AN1420" i="2"/>
  <c r="AV1420" i="2" s="1"/>
  <c r="BD1420" i="2" s="1"/>
  <c r="BL1420" i="2" s="1"/>
  <c r="Y1469" i="2"/>
  <c r="BD1424" i="2"/>
  <c r="BL1424" i="2" s="1"/>
  <c r="AL1480" i="2" l="1"/>
  <c r="AT1480" i="2" s="1"/>
  <c r="BB1480" i="2" s="1"/>
  <c r="BJ1480" i="2" s="1"/>
  <c r="AL1475" i="2"/>
  <c r="AT1475" i="2" s="1"/>
  <c r="BB1475" i="2" s="1"/>
  <c r="BJ1475" i="2" s="1"/>
  <c r="AL1465" i="2"/>
  <c r="AT1465" i="2" s="1"/>
  <c r="BB1465" i="2" s="1"/>
  <c r="BJ1465" i="2" s="1"/>
  <c r="AM1470" i="2"/>
  <c r="AU1470" i="2" s="1"/>
  <c r="BC1470" i="2" s="1"/>
  <c r="BK1470" i="2" s="1"/>
  <c r="AM1475" i="2"/>
  <c r="AU1475" i="2" s="1"/>
  <c r="BC1475" i="2" s="1"/>
  <c r="BK1475" i="2" s="1"/>
  <c r="AM1480" i="2"/>
  <c r="AU1480" i="2" s="1"/>
  <c r="BC1480" i="2" s="1"/>
  <c r="BK1480" i="2" s="1"/>
  <c r="AM1465" i="2"/>
  <c r="AU1465" i="2" s="1"/>
  <c r="BC1465" i="2" s="1"/>
  <c r="BK1465" i="2" s="1"/>
  <c r="AM1460" i="2"/>
  <c r="AU1460" i="2" s="1"/>
  <c r="BC1460" i="2" s="1"/>
  <c r="BK1460" i="2" s="1"/>
  <c r="AM1455" i="2"/>
  <c r="AU1455" i="2" s="1"/>
  <c r="BC1455" i="2" s="1"/>
  <c r="BK1455" i="2" s="1"/>
  <c r="AL1455" i="2"/>
  <c r="AT1455" i="2" s="1"/>
  <c r="BB1455" i="2" s="1"/>
  <c r="BJ1455" i="2" s="1"/>
  <c r="AO1460" i="2"/>
  <c r="AW1460" i="2" s="1"/>
  <c r="BE1460" i="2" s="1"/>
  <c r="BM1460" i="2" s="1"/>
  <c r="AO1455" i="2"/>
  <c r="AW1455" i="2" s="1"/>
  <c r="BE1455" i="2" s="1"/>
  <c r="BM1455" i="2" s="1"/>
  <c r="AO1485" i="2"/>
  <c r="AW1485" i="2" s="1"/>
  <c r="BE1485" i="2" s="1"/>
  <c r="BM1485" i="2" s="1"/>
  <c r="AO1480" i="2"/>
  <c r="AW1480" i="2" s="1"/>
  <c r="BE1480" i="2" s="1"/>
  <c r="BM1480" i="2" s="1"/>
  <c r="AO1475" i="2"/>
  <c r="AW1475" i="2" s="1"/>
  <c r="BE1475" i="2" s="1"/>
  <c r="BM1475" i="2" s="1"/>
  <c r="AO1470" i="2"/>
  <c r="AW1470" i="2" s="1"/>
  <c r="BE1470" i="2" s="1"/>
  <c r="BM1470" i="2" s="1"/>
  <c r="AO1465" i="2"/>
  <c r="AW1465" i="2" s="1"/>
  <c r="BE1465" i="2" s="1"/>
  <c r="BM1465" i="2" s="1"/>
  <c r="AM1430" i="2"/>
  <c r="AU1430" i="2" s="1"/>
  <c r="BC1430" i="2" s="1"/>
  <c r="BK1430" i="2" s="1"/>
  <c r="AM1420" i="2"/>
  <c r="AU1420" i="2" s="1"/>
  <c r="BC1420" i="2" s="1"/>
  <c r="BK1420" i="2" s="1"/>
  <c r="AM1425" i="2"/>
  <c r="AU1425" i="2" s="1"/>
  <c r="BC1425" i="2" s="1"/>
  <c r="BK1425" i="2" s="1"/>
  <c r="AL1430" i="2"/>
  <c r="AT1430" i="2" s="1"/>
  <c r="BB1430" i="2" s="1"/>
  <c r="BJ1430" i="2" s="1"/>
  <c r="AL1425" i="2"/>
  <c r="AT1425" i="2" s="1"/>
  <c r="BB1425" i="2" s="1"/>
  <c r="BJ1425" i="2" s="1"/>
  <c r="AL1420" i="2"/>
  <c r="AT1420" i="2" s="1"/>
  <c r="BB1420" i="2" s="1"/>
  <c r="BJ1420" i="2" s="1"/>
  <c r="AO1430" i="2"/>
  <c r="AW1430" i="2" s="1"/>
  <c r="BE1430" i="2" s="1"/>
  <c r="BM1430" i="2" s="1"/>
  <c r="AO1425" i="2"/>
  <c r="AW1425" i="2" s="1"/>
  <c r="BE1425" i="2" s="1"/>
  <c r="BM1425" i="2" s="1"/>
  <c r="AO1420" i="2"/>
  <c r="AW1420" i="2" s="1"/>
  <c r="BE1420" i="2" s="1"/>
  <c r="BM1420" i="2" s="1"/>
  <c r="A135" i="4" l="1"/>
  <c r="C1428" i="2" s="1"/>
  <c r="C1426" i="2" s="1"/>
  <c r="V41" i="15" s="1"/>
  <c r="A148" i="4"/>
  <c r="K1339" i="2" s="1"/>
  <c r="L1342" i="2"/>
  <c r="M1342" i="2" s="1"/>
  <c r="J1350" i="2"/>
  <c r="R1352" i="2" s="1"/>
  <c r="A54" i="4"/>
  <c r="A110" i="4"/>
  <c r="AQ123" i="9" s="1"/>
  <c r="A181" i="4"/>
  <c r="AR664" i="9" s="1"/>
  <c r="A103" i="4"/>
  <c r="AS605" i="9" s="1"/>
  <c r="A112" i="4"/>
  <c r="A114" i="4"/>
  <c r="A111" i="4"/>
  <c r="AQ596" i="9" s="1"/>
  <c r="A116" i="4"/>
  <c r="AS830" i="9" s="1"/>
  <c r="A113" i="4"/>
  <c r="AQ964" i="9" s="1"/>
  <c r="A115" i="4"/>
  <c r="AQ19" i="9" s="1"/>
  <c r="A126" i="4"/>
  <c r="A102" i="4"/>
  <c r="A123" i="4"/>
  <c r="A191" i="4"/>
  <c r="AR135" i="9" s="1"/>
  <c r="A104" i="4"/>
  <c r="AQ151" i="9" s="1"/>
  <c r="A183" i="4"/>
  <c r="AR151" i="9" s="1"/>
  <c r="A58" i="4"/>
  <c r="AR1004" i="9" s="1"/>
  <c r="A118" i="4"/>
  <c r="AQ825" i="9" s="1"/>
  <c r="A119" i="4"/>
  <c r="AQ748" i="9" s="1"/>
  <c r="A62" i="4"/>
  <c r="AR766" i="9" s="1"/>
  <c r="A171" i="4"/>
  <c r="A174" i="4"/>
  <c r="A125" i="4"/>
  <c r="AQ1051" i="9" s="1"/>
  <c r="A121" i="4"/>
  <c r="AQ1052" i="9" s="1"/>
  <c r="A128" i="4"/>
  <c r="AQ1053" i="9" s="1"/>
  <c r="A124" i="4"/>
  <c r="A120" i="4"/>
  <c r="AQ1058" i="9" s="1"/>
  <c r="A127" i="4"/>
  <c r="A130" i="4"/>
  <c r="AQ1061" i="9" s="1"/>
  <c r="A122" i="4"/>
  <c r="AQ1062" i="9" s="1"/>
  <c r="A129" i="4"/>
  <c r="AQ1063" i="9" s="1"/>
  <c r="A75" i="4"/>
  <c r="A179" i="4"/>
  <c r="J365" i="2" s="1"/>
  <c r="A73" i="4"/>
  <c r="B779" i="2" s="1"/>
  <c r="A74" i="4"/>
  <c r="B364" i="2" s="1"/>
  <c r="A184" i="4"/>
  <c r="A197" i="4"/>
  <c r="C264" i="2" s="1"/>
  <c r="G264" i="2" s="1"/>
  <c r="B1336" i="2" s="1"/>
  <c r="A194" i="4"/>
  <c r="B1340" i="2" s="1"/>
  <c r="C268" i="2" s="1"/>
  <c r="G268" i="2" s="1"/>
  <c r="D268" i="2"/>
  <c r="H268" i="2" s="1"/>
  <c r="A84" i="4"/>
  <c r="E35" i="11" s="1"/>
  <c r="A83" i="4"/>
  <c r="A67" i="15" s="1"/>
  <c r="A23" i="4"/>
  <c r="C40" i="13" s="1"/>
  <c r="J1353" i="2"/>
  <c r="N1426" i="2"/>
  <c r="N1431" i="2" s="1"/>
  <c r="V1461" i="2"/>
  <c r="V1460" i="2"/>
  <c r="V1459" i="2"/>
  <c r="V1458" i="2"/>
  <c r="V1457" i="2"/>
  <c r="V1456" i="2"/>
  <c r="V1455" i="2"/>
  <c r="A47" i="4"/>
  <c r="D1333" i="2"/>
  <c r="C6" i="15" s="1"/>
  <c r="A46" i="4"/>
  <c r="A48" i="4"/>
  <c r="A49" i="4"/>
  <c r="A145" i="4"/>
  <c r="A53" i="4"/>
  <c r="AC2" i="1" s="1"/>
  <c r="A51" i="4"/>
  <c r="F1457" i="2"/>
  <c r="D1460" i="2" s="1"/>
  <c r="A70" i="4"/>
  <c r="AG808" i="2" s="1"/>
  <c r="A69" i="4"/>
  <c r="AG1043" i="2" s="1"/>
  <c r="A157" i="4"/>
  <c r="D3" i="11" s="1"/>
  <c r="A150" i="4"/>
  <c r="AD47" i="1" s="1"/>
  <c r="AD32" i="1" s="1"/>
  <c r="A163" i="4"/>
  <c r="AA48" i="17" s="1"/>
  <c r="R49" i="2"/>
  <c r="AD77" i="2" s="1"/>
  <c r="AD79" i="2" s="1"/>
  <c r="AD81" i="2" s="1"/>
  <c r="AD83" i="2" s="1"/>
  <c r="AD85" i="2" s="1"/>
  <c r="J43" i="2"/>
  <c r="G44" i="2"/>
  <c r="H81" i="2" s="1"/>
  <c r="D2" i="10"/>
  <c r="P56" i="2"/>
  <c r="AM353" i="2"/>
  <c r="K338" i="2" s="1"/>
  <c r="AO320" i="2" s="1"/>
  <c r="AP320" i="2" s="1"/>
  <c r="M319" i="2" s="1"/>
  <c r="M317" i="2" s="1"/>
  <c r="P329" i="2"/>
  <c r="P317" i="2"/>
  <c r="K341" i="2" s="1"/>
  <c r="X454" i="2"/>
  <c r="F328" i="2"/>
  <c r="F329" i="2"/>
  <c r="F317" i="2"/>
  <c r="E328" i="2"/>
  <c r="E329" i="2" s="1"/>
  <c r="E317" i="2"/>
  <c r="W454" i="2"/>
  <c r="A346" i="2"/>
  <c r="AE454" i="2" s="1"/>
  <c r="AF562" i="2" s="1"/>
  <c r="Y565" i="2"/>
  <c r="X565" i="2"/>
  <c r="P2" i="10"/>
  <c r="N363" i="2"/>
  <c r="L761" i="2"/>
  <c r="K821" i="2" s="1"/>
  <c r="F746" i="2"/>
  <c r="E746" i="2"/>
  <c r="K746" i="2"/>
  <c r="B794" i="2" s="1"/>
  <c r="U2" i="10"/>
  <c r="N792" i="2"/>
  <c r="N1030" i="2"/>
  <c r="F980" i="2"/>
  <c r="E980" i="2"/>
  <c r="AD2" i="10"/>
  <c r="N1013" i="2"/>
  <c r="AE57" i="10" s="1"/>
  <c r="L990" i="2"/>
  <c r="N980" i="2"/>
  <c r="K980" i="2"/>
  <c r="B1034" i="2" s="1"/>
  <c r="N1421" i="2"/>
  <c r="O1421" i="2"/>
  <c r="P1471" i="2"/>
  <c r="P1421" i="2"/>
  <c r="P1436" i="2"/>
  <c r="AL1434" i="2" s="1"/>
  <c r="AP1434" i="2" s="1"/>
  <c r="AT1434" i="2" s="1"/>
  <c r="J10" i="2"/>
  <c r="Q2" i="20" s="1"/>
  <c r="AL1435" i="2"/>
  <c r="AP1435" i="2"/>
  <c r="AT1435" i="2"/>
  <c r="AK2" i="10"/>
  <c r="A1448" i="2"/>
  <c r="AL93" i="10" s="1"/>
  <c r="A137" i="4"/>
  <c r="AP3" i="10" s="1"/>
  <c r="A134" i="4"/>
  <c r="AR25" i="10" s="1"/>
  <c r="D3" i="10"/>
  <c r="P3" i="10"/>
  <c r="U3" i="10"/>
  <c r="AD3" i="10"/>
  <c r="AK3" i="10"/>
  <c r="D4" i="10"/>
  <c r="P4" i="10"/>
  <c r="U4" i="10"/>
  <c r="AD4" i="10"/>
  <c r="AK4" i="10"/>
  <c r="D5" i="10"/>
  <c r="P5" i="10"/>
  <c r="U5" i="10"/>
  <c r="AD5" i="10"/>
  <c r="AK5" i="10"/>
  <c r="D6" i="10"/>
  <c r="P6" i="10"/>
  <c r="U6" i="10"/>
  <c r="AD6" i="10"/>
  <c r="AK6" i="10"/>
  <c r="D7" i="10"/>
  <c r="P7" i="10"/>
  <c r="U7" i="10"/>
  <c r="AD7" i="10"/>
  <c r="AK7" i="10"/>
  <c r="D8" i="10"/>
  <c r="P8" i="10"/>
  <c r="U8" i="10"/>
  <c r="AD8" i="10"/>
  <c r="AK8" i="10"/>
  <c r="D9" i="10"/>
  <c r="P9" i="10"/>
  <c r="U9" i="10"/>
  <c r="AD9" i="10"/>
  <c r="AK9" i="10"/>
  <c r="D10" i="10"/>
  <c r="P10" i="10"/>
  <c r="U10" i="10"/>
  <c r="AD10" i="10"/>
  <c r="AK10" i="10"/>
  <c r="D11" i="10"/>
  <c r="P11" i="10"/>
  <c r="U11" i="10"/>
  <c r="AD11" i="10"/>
  <c r="AK11" i="10"/>
  <c r="D12" i="10"/>
  <c r="P12" i="10"/>
  <c r="U12" i="10"/>
  <c r="AD12" i="10"/>
  <c r="AK12" i="10"/>
  <c r="D13" i="10"/>
  <c r="P13" i="10"/>
  <c r="U13" i="10"/>
  <c r="AD13" i="10"/>
  <c r="AK13" i="10"/>
  <c r="D14" i="10"/>
  <c r="P14" i="10"/>
  <c r="U14" i="10"/>
  <c r="AD14" i="10"/>
  <c r="AK14" i="10"/>
  <c r="D15" i="10"/>
  <c r="P15" i="10"/>
  <c r="U15" i="10"/>
  <c r="AD15" i="10"/>
  <c r="AK15" i="10"/>
  <c r="A136" i="4"/>
  <c r="AP112" i="10" s="1"/>
  <c r="D16" i="10"/>
  <c r="P16" i="10"/>
  <c r="U16" i="10"/>
  <c r="AD16" i="10"/>
  <c r="AK16" i="10"/>
  <c r="D17" i="10"/>
  <c r="P17" i="10"/>
  <c r="U17" i="10"/>
  <c r="AD17" i="10"/>
  <c r="AK17" i="10"/>
  <c r="D18" i="10"/>
  <c r="P18" i="10"/>
  <c r="U18" i="10"/>
  <c r="AD18" i="10"/>
  <c r="AK18" i="10"/>
  <c r="A71" i="4"/>
  <c r="AQ98" i="10" s="1"/>
  <c r="D19" i="10"/>
  <c r="P19" i="10"/>
  <c r="U19" i="10"/>
  <c r="AD19" i="10"/>
  <c r="AK19" i="10"/>
  <c r="D20" i="10"/>
  <c r="P20" i="10"/>
  <c r="U20" i="10"/>
  <c r="AD20" i="10"/>
  <c r="AK20" i="10"/>
  <c r="D21" i="10"/>
  <c r="P21" i="10"/>
  <c r="U21" i="10"/>
  <c r="AD21" i="10"/>
  <c r="AK21" i="10"/>
  <c r="D22" i="10"/>
  <c r="P22" i="10"/>
  <c r="U22" i="10"/>
  <c r="AD22" i="10"/>
  <c r="AK22" i="10"/>
  <c r="D23" i="10"/>
  <c r="P23" i="10"/>
  <c r="U23" i="10"/>
  <c r="AD23" i="10"/>
  <c r="AK23" i="10"/>
  <c r="D24" i="10"/>
  <c r="P24" i="10"/>
  <c r="U24" i="10"/>
  <c r="AD24" i="10"/>
  <c r="AK24" i="10"/>
  <c r="A72" i="4"/>
  <c r="AQ24" i="10" s="1"/>
  <c r="D25" i="10"/>
  <c r="P25" i="10"/>
  <c r="U25" i="10"/>
  <c r="AD25" i="10"/>
  <c r="AK25" i="10"/>
  <c r="A139" i="4"/>
  <c r="AP66" i="10" s="1"/>
  <c r="D26" i="10"/>
  <c r="P26" i="10"/>
  <c r="U26" i="10"/>
  <c r="AD26" i="10"/>
  <c r="AK26" i="10"/>
  <c r="D27" i="10"/>
  <c r="P27" i="10"/>
  <c r="U27" i="10"/>
  <c r="AD27" i="10"/>
  <c r="AK27" i="10"/>
  <c r="D28" i="10"/>
  <c r="P28" i="10"/>
  <c r="U28" i="10"/>
  <c r="AD28" i="10"/>
  <c r="AK28" i="10"/>
  <c r="A142" i="4"/>
  <c r="AP91" i="10" s="1"/>
  <c r="D29" i="10"/>
  <c r="P29" i="10"/>
  <c r="U29" i="10"/>
  <c r="V29" i="10"/>
  <c r="W29" i="10" s="1"/>
  <c r="AD29" i="10"/>
  <c r="AK29" i="10"/>
  <c r="D30" i="10"/>
  <c r="P30" i="10"/>
  <c r="U30" i="10"/>
  <c r="AD30" i="10"/>
  <c r="AK30" i="10"/>
  <c r="D31" i="10"/>
  <c r="P31" i="10"/>
  <c r="U31" i="10"/>
  <c r="AD31" i="10"/>
  <c r="AK31" i="10"/>
  <c r="D32" i="10"/>
  <c r="P32" i="10"/>
  <c r="U32" i="10"/>
  <c r="AD32" i="10"/>
  <c r="AK32" i="10"/>
  <c r="D33" i="10"/>
  <c r="P33" i="10"/>
  <c r="U33" i="10"/>
  <c r="AD33" i="10"/>
  <c r="AK33" i="10"/>
  <c r="D34" i="10"/>
  <c r="P34" i="10"/>
  <c r="U34" i="10"/>
  <c r="AD34" i="10"/>
  <c r="AK34" i="10"/>
  <c r="D35" i="10"/>
  <c r="P35" i="10"/>
  <c r="U35" i="10"/>
  <c r="AD35" i="10"/>
  <c r="AK35" i="10"/>
  <c r="D36" i="10"/>
  <c r="P36" i="10"/>
  <c r="U36" i="10"/>
  <c r="AD36" i="10"/>
  <c r="AK36" i="10"/>
  <c r="D37" i="10"/>
  <c r="P37" i="10"/>
  <c r="U37" i="10"/>
  <c r="AD37" i="10"/>
  <c r="AK37" i="10"/>
  <c r="D38" i="10"/>
  <c r="P38" i="10"/>
  <c r="U38" i="10"/>
  <c r="AD38" i="10"/>
  <c r="AK38" i="10"/>
  <c r="D39" i="10"/>
  <c r="P39" i="10"/>
  <c r="U39" i="10"/>
  <c r="AD39" i="10"/>
  <c r="AK39" i="10"/>
  <c r="D40" i="10"/>
  <c r="P40" i="10"/>
  <c r="U40" i="10"/>
  <c r="AD40" i="10"/>
  <c r="AK40" i="10"/>
  <c r="D41" i="10"/>
  <c r="P41" i="10"/>
  <c r="U41" i="10"/>
  <c r="AD41" i="10"/>
  <c r="AK41" i="10"/>
  <c r="D42" i="10"/>
  <c r="P42" i="10"/>
  <c r="U42" i="10"/>
  <c r="AD42" i="10"/>
  <c r="AK42" i="10"/>
  <c r="D43" i="10"/>
  <c r="P43" i="10"/>
  <c r="U43" i="10"/>
  <c r="AD43" i="10"/>
  <c r="AK43" i="10"/>
  <c r="D44" i="10"/>
  <c r="P44" i="10"/>
  <c r="U44" i="10"/>
  <c r="AD44" i="10"/>
  <c r="AK44" i="10"/>
  <c r="D45" i="10"/>
  <c r="P45" i="10"/>
  <c r="U45" i="10"/>
  <c r="AD45" i="10"/>
  <c r="AK45" i="10"/>
  <c r="D46" i="10"/>
  <c r="P46" i="10"/>
  <c r="U46" i="10"/>
  <c r="AD46" i="10"/>
  <c r="AK46" i="10"/>
  <c r="D47" i="10"/>
  <c r="P47" i="10"/>
  <c r="U47" i="10"/>
  <c r="AD47" i="10"/>
  <c r="AK47" i="10"/>
  <c r="D48" i="10"/>
  <c r="P48" i="10"/>
  <c r="U48" i="10"/>
  <c r="AD48" i="10"/>
  <c r="AK48" i="10"/>
  <c r="D49" i="10"/>
  <c r="P49" i="10"/>
  <c r="U49" i="10"/>
  <c r="AD49" i="10"/>
  <c r="AK49" i="10"/>
  <c r="D50" i="10"/>
  <c r="P50" i="10"/>
  <c r="U50" i="10"/>
  <c r="AD50" i="10"/>
  <c r="AK50" i="10"/>
  <c r="D51" i="10"/>
  <c r="P51" i="10"/>
  <c r="U51" i="10"/>
  <c r="AD51" i="10"/>
  <c r="AK51" i="10"/>
  <c r="D52" i="10"/>
  <c r="P52" i="10"/>
  <c r="U52" i="10"/>
  <c r="AD52" i="10"/>
  <c r="AK52" i="10"/>
  <c r="D53" i="10"/>
  <c r="P53" i="10"/>
  <c r="U53" i="10"/>
  <c r="AD53" i="10"/>
  <c r="AK53" i="10"/>
  <c r="D54" i="10"/>
  <c r="P54" i="10"/>
  <c r="U54" i="10"/>
  <c r="AD54" i="10"/>
  <c r="AK54" i="10"/>
  <c r="D55" i="10"/>
  <c r="P55" i="10"/>
  <c r="U55" i="10"/>
  <c r="AD55" i="10"/>
  <c r="AK55" i="10"/>
  <c r="D56" i="10"/>
  <c r="P56" i="10"/>
  <c r="U56" i="10"/>
  <c r="AD56" i="10"/>
  <c r="AK56" i="10"/>
  <c r="D57" i="10"/>
  <c r="P57" i="10"/>
  <c r="U57" i="10"/>
  <c r="AD57" i="10"/>
  <c r="AK57" i="10"/>
  <c r="D58" i="10"/>
  <c r="P58" i="10"/>
  <c r="U58" i="10"/>
  <c r="AD58" i="10"/>
  <c r="AK58" i="10"/>
  <c r="D59" i="10"/>
  <c r="P59" i="10"/>
  <c r="U59" i="10"/>
  <c r="AD59" i="10"/>
  <c r="AK59" i="10"/>
  <c r="D60" i="10"/>
  <c r="P60" i="10"/>
  <c r="U60" i="10"/>
  <c r="AD60" i="10"/>
  <c r="AK60" i="10"/>
  <c r="D61" i="10"/>
  <c r="P61" i="10"/>
  <c r="U61" i="10"/>
  <c r="AD61" i="10"/>
  <c r="AK61" i="10"/>
  <c r="D62" i="10"/>
  <c r="P62" i="10"/>
  <c r="U62" i="10"/>
  <c r="AD62" i="10"/>
  <c r="AK62" i="10"/>
  <c r="D63" i="10"/>
  <c r="P63" i="10"/>
  <c r="U63" i="10"/>
  <c r="AD63" i="10"/>
  <c r="AK63" i="10"/>
  <c r="D64" i="10"/>
  <c r="P64" i="10"/>
  <c r="U64" i="10"/>
  <c r="AD64" i="10"/>
  <c r="AK64" i="10"/>
  <c r="D65" i="10"/>
  <c r="P65" i="10"/>
  <c r="U65" i="10"/>
  <c r="AD65" i="10"/>
  <c r="AK65" i="10"/>
  <c r="D66" i="10"/>
  <c r="P66" i="10"/>
  <c r="U66" i="10"/>
  <c r="AD66" i="10"/>
  <c r="AK66" i="10"/>
  <c r="D67" i="10"/>
  <c r="P67" i="10"/>
  <c r="U67" i="10"/>
  <c r="AD67" i="10"/>
  <c r="AK67" i="10"/>
  <c r="D68" i="10"/>
  <c r="P68" i="10"/>
  <c r="U68" i="10"/>
  <c r="AD68" i="10"/>
  <c r="AK68" i="10"/>
  <c r="D69" i="10"/>
  <c r="P69" i="10"/>
  <c r="U69" i="10"/>
  <c r="AD69" i="10"/>
  <c r="AK69" i="10"/>
  <c r="D70" i="10"/>
  <c r="P70" i="10"/>
  <c r="U70" i="10"/>
  <c r="AD70" i="10"/>
  <c r="AK70" i="10"/>
  <c r="D71" i="10"/>
  <c r="P71" i="10"/>
  <c r="U71" i="10"/>
  <c r="AD71" i="10"/>
  <c r="AK71" i="10"/>
  <c r="D72" i="10"/>
  <c r="P72" i="10"/>
  <c r="U72" i="10"/>
  <c r="AD72" i="10"/>
  <c r="AK72" i="10"/>
  <c r="D73" i="10"/>
  <c r="P73" i="10"/>
  <c r="U73" i="10"/>
  <c r="AD73" i="10"/>
  <c r="AK73" i="10"/>
  <c r="D74" i="10"/>
  <c r="P74" i="10"/>
  <c r="U74" i="10"/>
  <c r="AD74" i="10"/>
  <c r="AK74" i="10"/>
  <c r="D75" i="10"/>
  <c r="P75" i="10"/>
  <c r="U75" i="10"/>
  <c r="AD75" i="10"/>
  <c r="AK75" i="10"/>
  <c r="D76" i="10"/>
  <c r="P76" i="10"/>
  <c r="U76" i="10"/>
  <c r="AD76" i="10"/>
  <c r="AK76" i="10"/>
  <c r="D77" i="10"/>
  <c r="P77" i="10"/>
  <c r="U77" i="10"/>
  <c r="AD77" i="10"/>
  <c r="AK77" i="10"/>
  <c r="D78" i="10"/>
  <c r="P78" i="10"/>
  <c r="U78" i="10"/>
  <c r="AD78" i="10"/>
  <c r="AK78" i="10"/>
  <c r="D79" i="10"/>
  <c r="P79" i="10"/>
  <c r="U79" i="10"/>
  <c r="AD79" i="10"/>
  <c r="AK79" i="10"/>
  <c r="D80" i="10"/>
  <c r="P80" i="10"/>
  <c r="U80" i="10"/>
  <c r="AD80" i="10"/>
  <c r="AK80" i="10"/>
  <c r="D81" i="10"/>
  <c r="P81" i="10"/>
  <c r="U81" i="10"/>
  <c r="AD81" i="10"/>
  <c r="AK81" i="10"/>
  <c r="D82" i="10"/>
  <c r="P82" i="10"/>
  <c r="U82" i="10"/>
  <c r="AD82" i="10"/>
  <c r="AK82" i="10"/>
  <c r="D83" i="10"/>
  <c r="P83" i="10"/>
  <c r="U83" i="10"/>
  <c r="AD83" i="10"/>
  <c r="AK83" i="10"/>
  <c r="D84" i="10"/>
  <c r="P84" i="10"/>
  <c r="U84" i="10"/>
  <c r="AD84" i="10"/>
  <c r="AK84" i="10"/>
  <c r="D85" i="10"/>
  <c r="P85" i="10"/>
  <c r="U85" i="10"/>
  <c r="AD85" i="10"/>
  <c r="AK85" i="10"/>
  <c r="D86" i="10"/>
  <c r="P86" i="10"/>
  <c r="U86" i="10"/>
  <c r="AD86" i="10"/>
  <c r="AK86" i="10"/>
  <c r="D87" i="10"/>
  <c r="P87" i="10"/>
  <c r="U87" i="10"/>
  <c r="AD87" i="10"/>
  <c r="AK87" i="10"/>
  <c r="D88" i="10"/>
  <c r="P88" i="10"/>
  <c r="U88" i="10"/>
  <c r="AD88" i="10"/>
  <c r="AK88" i="10"/>
  <c r="D89" i="10"/>
  <c r="P89" i="10"/>
  <c r="U89" i="10"/>
  <c r="AD89" i="10"/>
  <c r="AK89" i="10"/>
  <c r="D90" i="10"/>
  <c r="P90" i="10"/>
  <c r="U90" i="10"/>
  <c r="AD90" i="10"/>
  <c r="AK90" i="10"/>
  <c r="D91" i="10"/>
  <c r="P91" i="10"/>
  <c r="U91" i="10"/>
  <c r="AD91" i="10"/>
  <c r="AK91" i="10"/>
  <c r="AL91" i="10"/>
  <c r="D92" i="10"/>
  <c r="P92" i="10"/>
  <c r="U92" i="10"/>
  <c r="AD92" i="10"/>
  <c r="AK92" i="10"/>
  <c r="D93" i="10"/>
  <c r="P93" i="10"/>
  <c r="U93" i="10"/>
  <c r="AD93" i="10"/>
  <c r="AK93" i="10"/>
  <c r="D94" i="10"/>
  <c r="P94" i="10"/>
  <c r="U94" i="10"/>
  <c r="AD94" i="10"/>
  <c r="AK94" i="10"/>
  <c r="D95" i="10"/>
  <c r="P95" i="10"/>
  <c r="U95" i="10"/>
  <c r="AD95" i="10"/>
  <c r="AK95" i="10"/>
  <c r="D96" i="10"/>
  <c r="P96" i="10"/>
  <c r="U96" i="10"/>
  <c r="AD96" i="10"/>
  <c r="AK96" i="10"/>
  <c r="D97" i="10"/>
  <c r="P97" i="10"/>
  <c r="U97" i="10"/>
  <c r="AD97" i="10"/>
  <c r="AK97" i="10"/>
  <c r="D98" i="10"/>
  <c r="P98" i="10"/>
  <c r="U98" i="10"/>
  <c r="AD98" i="10"/>
  <c r="AK98" i="10"/>
  <c r="D99" i="10"/>
  <c r="P99" i="10"/>
  <c r="U99" i="10"/>
  <c r="AD99" i="10"/>
  <c r="AK99" i="10"/>
  <c r="D100" i="10"/>
  <c r="P100" i="10"/>
  <c r="U100" i="10"/>
  <c r="AD100" i="10"/>
  <c r="AK100" i="10"/>
  <c r="D101" i="10"/>
  <c r="P101" i="10"/>
  <c r="U101" i="10"/>
  <c r="AD101" i="10"/>
  <c r="AK101" i="10"/>
  <c r="D102" i="10"/>
  <c r="P102" i="10"/>
  <c r="U102" i="10"/>
  <c r="AD102" i="10"/>
  <c r="AK102" i="10"/>
  <c r="D103" i="10"/>
  <c r="P103" i="10"/>
  <c r="U103" i="10"/>
  <c r="AD103" i="10"/>
  <c r="AK103" i="10"/>
  <c r="D104" i="10"/>
  <c r="P104" i="10"/>
  <c r="U104" i="10"/>
  <c r="AD104" i="10"/>
  <c r="AK104" i="10"/>
  <c r="D105" i="10"/>
  <c r="P105" i="10"/>
  <c r="U105" i="10"/>
  <c r="AD105" i="10"/>
  <c r="AK105" i="10"/>
  <c r="D106" i="10"/>
  <c r="P106" i="10"/>
  <c r="U106" i="10"/>
  <c r="AD106" i="10"/>
  <c r="AK106" i="10"/>
  <c r="D107" i="10"/>
  <c r="P107" i="10"/>
  <c r="U107" i="10"/>
  <c r="AD107" i="10"/>
  <c r="AK107" i="10"/>
  <c r="D108" i="10"/>
  <c r="P108" i="10"/>
  <c r="U108" i="10"/>
  <c r="AD108" i="10"/>
  <c r="AK108" i="10"/>
  <c r="D109" i="10"/>
  <c r="P109" i="10"/>
  <c r="U109" i="10"/>
  <c r="AD109" i="10"/>
  <c r="AK109" i="10"/>
  <c r="D110" i="10"/>
  <c r="P110" i="10"/>
  <c r="U110" i="10"/>
  <c r="AD110" i="10"/>
  <c r="AK110" i="10"/>
  <c r="D111" i="10"/>
  <c r="P111" i="10"/>
  <c r="U111" i="10"/>
  <c r="AD111" i="10"/>
  <c r="AK111" i="10"/>
  <c r="D112" i="10"/>
  <c r="P112" i="10"/>
  <c r="U112" i="10"/>
  <c r="AD112" i="10"/>
  <c r="AK112" i="10"/>
  <c r="AE79" i="2"/>
  <c r="AE81" i="2" s="1"/>
  <c r="AE83" i="2" s="1"/>
  <c r="AE85" i="2" s="1"/>
  <c r="A56" i="4"/>
  <c r="D324" i="2" s="1"/>
  <c r="A147" i="4"/>
  <c r="AA19" i="1" s="1"/>
  <c r="A255" i="2"/>
  <c r="C47" i="1" s="1"/>
  <c r="O221" i="2"/>
  <c r="AG77" i="2" s="1"/>
  <c r="A50" i="4"/>
  <c r="A151" i="4"/>
  <c r="A133" i="4"/>
  <c r="C42" i="17" s="1"/>
  <c r="A131" i="4"/>
  <c r="Q37" i="16" s="1"/>
  <c r="A93" i="4"/>
  <c r="V9" i="13" s="1"/>
  <c r="D43" i="2"/>
  <c r="D2" i="9"/>
  <c r="AH46" i="2"/>
  <c r="AH48" i="2" s="1"/>
  <c r="AH50" i="2" s="1"/>
  <c r="AH52" i="2" s="1"/>
  <c r="AD58" i="2" s="1"/>
  <c r="D3" i="9"/>
  <c r="D4" i="9"/>
  <c r="D5" i="9"/>
  <c r="F2" i="9"/>
  <c r="V43" i="2"/>
  <c r="G269" i="9" s="1"/>
  <c r="H2" i="9"/>
  <c r="J2" i="9"/>
  <c r="AI320" i="2"/>
  <c r="AI321" i="2"/>
  <c r="AI322" i="2"/>
  <c r="AI323" i="2"/>
  <c r="AI324" i="2"/>
  <c r="M401" i="2"/>
  <c r="A146" i="4"/>
  <c r="L2" i="9"/>
  <c r="O334" i="2"/>
  <c r="N2" i="9"/>
  <c r="P2" i="9"/>
  <c r="J746" i="2"/>
  <c r="P931" i="2"/>
  <c r="R2" i="9"/>
  <c r="A755" i="2"/>
  <c r="T2" i="9"/>
  <c r="V2" i="9"/>
  <c r="X2" i="9"/>
  <c r="A989" i="2"/>
  <c r="Y763" i="9" s="1"/>
  <c r="Z2" i="9"/>
  <c r="F3" i="9"/>
  <c r="H3" i="9"/>
  <c r="J3" i="9"/>
  <c r="L3" i="9"/>
  <c r="M3" i="9"/>
  <c r="N3" i="9"/>
  <c r="P3" i="9"/>
  <c r="R3" i="9"/>
  <c r="T3" i="9"/>
  <c r="V3" i="9"/>
  <c r="X3" i="9"/>
  <c r="Z3" i="9"/>
  <c r="F4" i="9"/>
  <c r="H4" i="9"/>
  <c r="J4" i="9"/>
  <c r="L4" i="9"/>
  <c r="N4" i="9"/>
  <c r="P4" i="9"/>
  <c r="R4" i="9"/>
  <c r="T4" i="9"/>
  <c r="V4" i="9"/>
  <c r="X4" i="9"/>
  <c r="Z4" i="9"/>
  <c r="F5" i="9"/>
  <c r="H5" i="9"/>
  <c r="J5" i="9"/>
  <c r="L5" i="9"/>
  <c r="N5" i="9"/>
  <c r="P5" i="9"/>
  <c r="R5" i="9"/>
  <c r="T5" i="9"/>
  <c r="V5" i="9"/>
  <c r="X5" i="9"/>
  <c r="Z5" i="9"/>
  <c r="D6" i="9"/>
  <c r="F6" i="9"/>
  <c r="H6" i="9"/>
  <c r="J6" i="9"/>
  <c r="L6" i="9"/>
  <c r="N6" i="9"/>
  <c r="P6" i="9"/>
  <c r="R6" i="9"/>
  <c r="T6" i="9"/>
  <c r="V6" i="9"/>
  <c r="X6" i="9"/>
  <c r="Z6" i="9"/>
  <c r="D7" i="9"/>
  <c r="F7" i="9"/>
  <c r="H7" i="9"/>
  <c r="J7" i="9"/>
  <c r="L7" i="9"/>
  <c r="N7" i="9"/>
  <c r="P7" i="9"/>
  <c r="R7" i="9"/>
  <c r="T7" i="9"/>
  <c r="V7" i="9"/>
  <c r="X7" i="9"/>
  <c r="Z7" i="9"/>
  <c r="D8" i="9"/>
  <c r="F8" i="9"/>
  <c r="H8" i="9"/>
  <c r="J8" i="9"/>
  <c r="L8" i="9"/>
  <c r="N8" i="9"/>
  <c r="P8" i="9"/>
  <c r="R8" i="9"/>
  <c r="T8" i="9"/>
  <c r="V8" i="9"/>
  <c r="X8" i="9"/>
  <c r="Z8" i="9"/>
  <c r="D9" i="9"/>
  <c r="F9" i="9"/>
  <c r="H9" i="9"/>
  <c r="J9" i="9"/>
  <c r="L9" i="9"/>
  <c r="N9" i="9"/>
  <c r="P9" i="9"/>
  <c r="R9" i="9"/>
  <c r="T9" i="9"/>
  <c r="V9" i="9"/>
  <c r="X9" i="9"/>
  <c r="Z9" i="9"/>
  <c r="D10" i="9"/>
  <c r="F10" i="9"/>
  <c r="H10" i="9"/>
  <c r="J10" i="9"/>
  <c r="L10" i="9"/>
  <c r="N10" i="9"/>
  <c r="P10" i="9"/>
  <c r="R10" i="9"/>
  <c r="T10" i="9"/>
  <c r="V10" i="9"/>
  <c r="X10" i="9"/>
  <c r="Z10" i="9"/>
  <c r="D11" i="9"/>
  <c r="F11" i="9"/>
  <c r="H11" i="9"/>
  <c r="J11" i="9"/>
  <c r="L11" i="9"/>
  <c r="N11" i="9"/>
  <c r="P11" i="9"/>
  <c r="R11" i="9"/>
  <c r="T11" i="9"/>
  <c r="V11" i="9"/>
  <c r="X11" i="9"/>
  <c r="Z11" i="9"/>
  <c r="D12" i="9"/>
  <c r="F12" i="9"/>
  <c r="H12" i="9"/>
  <c r="J12" i="9"/>
  <c r="L12" i="9"/>
  <c r="N12" i="9"/>
  <c r="P12" i="9"/>
  <c r="R12" i="9"/>
  <c r="T12" i="9"/>
  <c r="V12" i="9"/>
  <c r="X12" i="9"/>
  <c r="Z12" i="9"/>
  <c r="D13" i="9"/>
  <c r="F13" i="9"/>
  <c r="H13" i="9"/>
  <c r="J13" i="9"/>
  <c r="L13" i="9"/>
  <c r="N13" i="9"/>
  <c r="P13" i="9"/>
  <c r="R13" i="9"/>
  <c r="T13" i="9"/>
  <c r="V13" i="9"/>
  <c r="X13" i="9"/>
  <c r="Z13" i="9"/>
  <c r="D14" i="9"/>
  <c r="F14" i="9"/>
  <c r="H14" i="9"/>
  <c r="J14" i="9"/>
  <c r="L14" i="9"/>
  <c r="N14" i="9"/>
  <c r="P14" i="9"/>
  <c r="R14" i="9"/>
  <c r="T14" i="9"/>
  <c r="V14" i="9"/>
  <c r="X14" i="9"/>
  <c r="Z14" i="9"/>
  <c r="D15" i="9"/>
  <c r="F15" i="9"/>
  <c r="H15" i="9"/>
  <c r="J15" i="9"/>
  <c r="L15" i="9"/>
  <c r="N15" i="9"/>
  <c r="P15" i="9"/>
  <c r="R15" i="9"/>
  <c r="T15" i="9"/>
  <c r="V15" i="9"/>
  <c r="X15" i="9"/>
  <c r="Z15" i="9"/>
  <c r="D16" i="9"/>
  <c r="F16" i="9"/>
  <c r="H16" i="9"/>
  <c r="J16" i="9"/>
  <c r="L16" i="9"/>
  <c r="N16" i="9"/>
  <c r="P16" i="9"/>
  <c r="R16" i="9"/>
  <c r="T16" i="9"/>
  <c r="V16" i="9"/>
  <c r="X16" i="9"/>
  <c r="Z16" i="9"/>
  <c r="D17" i="9"/>
  <c r="F17" i="9"/>
  <c r="H17" i="9"/>
  <c r="J17" i="9"/>
  <c r="L17" i="9"/>
  <c r="N17" i="9"/>
  <c r="P17" i="9"/>
  <c r="R17" i="9"/>
  <c r="T17" i="9"/>
  <c r="V17" i="9"/>
  <c r="X17" i="9"/>
  <c r="Z17" i="9"/>
  <c r="D18" i="9"/>
  <c r="F18" i="9"/>
  <c r="H18" i="9"/>
  <c r="J18" i="9"/>
  <c r="L18" i="9"/>
  <c r="N18" i="9"/>
  <c r="P18" i="9"/>
  <c r="R18" i="9"/>
  <c r="T18" i="9"/>
  <c r="V18" i="9"/>
  <c r="X18" i="9"/>
  <c r="Z18" i="9"/>
  <c r="D19" i="9"/>
  <c r="F19" i="9"/>
  <c r="H19" i="9"/>
  <c r="J19" i="9"/>
  <c r="L19" i="9"/>
  <c r="N19" i="9"/>
  <c r="P19" i="9"/>
  <c r="R19" i="9"/>
  <c r="T19" i="9"/>
  <c r="V19" i="9"/>
  <c r="X19" i="9"/>
  <c r="Z19" i="9"/>
  <c r="D20" i="9"/>
  <c r="F20" i="9"/>
  <c r="H20" i="9"/>
  <c r="J20" i="9"/>
  <c r="L20" i="9"/>
  <c r="N20" i="9"/>
  <c r="P20" i="9"/>
  <c r="R20" i="9"/>
  <c r="T20" i="9"/>
  <c r="V20" i="9"/>
  <c r="X20" i="9"/>
  <c r="Z20" i="9"/>
  <c r="D21" i="9"/>
  <c r="F21" i="9"/>
  <c r="H21" i="9"/>
  <c r="J21" i="9"/>
  <c r="L21" i="9"/>
  <c r="N21" i="9"/>
  <c r="P21" i="9"/>
  <c r="R21" i="9"/>
  <c r="T21" i="9"/>
  <c r="V21" i="9"/>
  <c r="X21" i="9"/>
  <c r="Z21" i="9"/>
  <c r="D22" i="9"/>
  <c r="F22" i="9"/>
  <c r="H22" i="9"/>
  <c r="J22" i="9"/>
  <c r="L22" i="9"/>
  <c r="N22" i="9"/>
  <c r="P22" i="9"/>
  <c r="R22" i="9"/>
  <c r="T22" i="9"/>
  <c r="V22" i="9"/>
  <c r="X22" i="9"/>
  <c r="Z22" i="9"/>
  <c r="D23" i="9"/>
  <c r="F23" i="9"/>
  <c r="H23" i="9"/>
  <c r="J23" i="9"/>
  <c r="L23" i="9"/>
  <c r="N23" i="9"/>
  <c r="P23" i="9"/>
  <c r="R23" i="9"/>
  <c r="T23" i="9"/>
  <c r="V23" i="9"/>
  <c r="X23" i="9"/>
  <c r="Z23" i="9"/>
  <c r="D24" i="9"/>
  <c r="F24" i="9"/>
  <c r="H24" i="9"/>
  <c r="J24" i="9"/>
  <c r="L24" i="9"/>
  <c r="N24" i="9"/>
  <c r="P24" i="9"/>
  <c r="R24" i="9"/>
  <c r="T24" i="9"/>
  <c r="V24" i="9"/>
  <c r="X24" i="9"/>
  <c r="Z24" i="9"/>
  <c r="D25" i="9"/>
  <c r="F25" i="9"/>
  <c r="H25" i="9"/>
  <c r="J25" i="9"/>
  <c r="L25" i="9"/>
  <c r="N25" i="9"/>
  <c r="P25" i="9"/>
  <c r="R25" i="9"/>
  <c r="T25" i="9"/>
  <c r="V25" i="9"/>
  <c r="X25" i="9"/>
  <c r="Z25" i="9"/>
  <c r="D26" i="9"/>
  <c r="F26" i="9"/>
  <c r="H26" i="9"/>
  <c r="J26" i="9"/>
  <c r="L26" i="9"/>
  <c r="N26" i="9"/>
  <c r="P26" i="9"/>
  <c r="R26" i="9"/>
  <c r="T26" i="9"/>
  <c r="V26" i="9"/>
  <c r="X26" i="9"/>
  <c r="Z26" i="9"/>
  <c r="D27" i="9"/>
  <c r="F27" i="9"/>
  <c r="H27" i="9"/>
  <c r="J27" i="9"/>
  <c r="L27" i="9"/>
  <c r="N27" i="9"/>
  <c r="P27" i="9"/>
  <c r="R27" i="9"/>
  <c r="T27" i="9"/>
  <c r="V27" i="9"/>
  <c r="X27" i="9"/>
  <c r="Z27" i="9"/>
  <c r="D28" i="9"/>
  <c r="F28" i="9"/>
  <c r="H28" i="9"/>
  <c r="J28" i="9"/>
  <c r="L28" i="9"/>
  <c r="N28" i="9"/>
  <c r="P28" i="9"/>
  <c r="R28" i="9"/>
  <c r="T28" i="9"/>
  <c r="V28" i="9"/>
  <c r="X28" i="9"/>
  <c r="Z28" i="9"/>
  <c r="D29" i="9"/>
  <c r="F29" i="9"/>
  <c r="H29" i="9"/>
  <c r="J29" i="9"/>
  <c r="L29" i="9"/>
  <c r="N29" i="9"/>
  <c r="P29" i="9"/>
  <c r="R29" i="9"/>
  <c r="T29" i="9"/>
  <c r="V29" i="9"/>
  <c r="X29" i="9"/>
  <c r="Z29" i="9"/>
  <c r="D30" i="9"/>
  <c r="F30" i="9"/>
  <c r="H30" i="9"/>
  <c r="J30" i="9"/>
  <c r="L30" i="9"/>
  <c r="N30" i="9"/>
  <c r="P30" i="9"/>
  <c r="R30" i="9"/>
  <c r="T30" i="9"/>
  <c r="V30" i="9"/>
  <c r="X30" i="9"/>
  <c r="Z30" i="9"/>
  <c r="D31" i="9"/>
  <c r="F31" i="9"/>
  <c r="H31" i="9"/>
  <c r="J31" i="9"/>
  <c r="L31" i="9"/>
  <c r="N31" i="9"/>
  <c r="P31" i="9"/>
  <c r="R31" i="9"/>
  <c r="T31" i="9"/>
  <c r="V31" i="9"/>
  <c r="X31" i="9"/>
  <c r="Z31" i="9"/>
  <c r="D32" i="9"/>
  <c r="F32" i="9"/>
  <c r="H32" i="9"/>
  <c r="J32" i="9"/>
  <c r="L32" i="9"/>
  <c r="N32" i="9"/>
  <c r="P32" i="9"/>
  <c r="R32" i="9"/>
  <c r="T32" i="9"/>
  <c r="V32" i="9"/>
  <c r="X32" i="9"/>
  <c r="Z32" i="9"/>
  <c r="D33" i="9"/>
  <c r="F33" i="9"/>
  <c r="H33" i="9"/>
  <c r="J33" i="9"/>
  <c r="L33" i="9"/>
  <c r="N33" i="9"/>
  <c r="P33" i="9"/>
  <c r="R33" i="9"/>
  <c r="T33" i="9"/>
  <c r="V33" i="9"/>
  <c r="X33" i="9"/>
  <c r="Z33" i="9"/>
  <c r="D34" i="9"/>
  <c r="F34" i="9"/>
  <c r="H34" i="9"/>
  <c r="J34" i="9"/>
  <c r="L34" i="9"/>
  <c r="N34" i="9"/>
  <c r="P34" i="9"/>
  <c r="R34" i="9"/>
  <c r="T34" i="9"/>
  <c r="V34" i="9"/>
  <c r="X34" i="9"/>
  <c r="Z34" i="9"/>
  <c r="D35" i="9"/>
  <c r="F35" i="9"/>
  <c r="H35" i="9"/>
  <c r="J35" i="9"/>
  <c r="L35" i="9"/>
  <c r="N35" i="9"/>
  <c r="P35" i="9"/>
  <c r="R35" i="9"/>
  <c r="T35" i="9"/>
  <c r="V35" i="9"/>
  <c r="X35" i="9"/>
  <c r="Z35" i="9"/>
  <c r="D36" i="9"/>
  <c r="F36" i="9"/>
  <c r="H36" i="9"/>
  <c r="J36" i="9"/>
  <c r="L36" i="9"/>
  <c r="N36" i="9"/>
  <c r="P36" i="9"/>
  <c r="R36" i="9"/>
  <c r="T36" i="9"/>
  <c r="V36" i="9"/>
  <c r="X36" i="9"/>
  <c r="Z36" i="9"/>
  <c r="D37" i="9"/>
  <c r="F37" i="9"/>
  <c r="H37" i="9"/>
  <c r="J37" i="9"/>
  <c r="L37" i="9"/>
  <c r="N37" i="9"/>
  <c r="P37" i="9"/>
  <c r="R37" i="9"/>
  <c r="T37" i="9"/>
  <c r="V37" i="9"/>
  <c r="X37" i="9"/>
  <c r="Z37" i="9"/>
  <c r="D38" i="9"/>
  <c r="F38" i="9"/>
  <c r="H38" i="9"/>
  <c r="J38" i="9"/>
  <c r="L38" i="9"/>
  <c r="N38" i="9"/>
  <c r="P38" i="9"/>
  <c r="R38" i="9"/>
  <c r="T38" i="9"/>
  <c r="V38" i="9"/>
  <c r="X38" i="9"/>
  <c r="Z38" i="9"/>
  <c r="D39" i="9"/>
  <c r="F39" i="9"/>
  <c r="H39" i="9"/>
  <c r="J39" i="9"/>
  <c r="L39" i="9"/>
  <c r="N39" i="9"/>
  <c r="P39" i="9"/>
  <c r="R39" i="9"/>
  <c r="T39" i="9"/>
  <c r="V39" i="9"/>
  <c r="X39" i="9"/>
  <c r="Z39" i="9"/>
  <c r="D40" i="9"/>
  <c r="F40" i="9"/>
  <c r="H40" i="9"/>
  <c r="J40" i="9"/>
  <c r="L40" i="9"/>
  <c r="N40" i="9"/>
  <c r="P40" i="9"/>
  <c r="R40" i="9"/>
  <c r="T40" i="9"/>
  <c r="V40" i="9"/>
  <c r="X40" i="9"/>
  <c r="Z40" i="9"/>
  <c r="D41" i="9"/>
  <c r="F41" i="9"/>
  <c r="H41" i="9"/>
  <c r="J41" i="9"/>
  <c r="L41" i="9"/>
  <c r="N41" i="9"/>
  <c r="P41" i="9"/>
  <c r="R41" i="9"/>
  <c r="T41" i="9"/>
  <c r="V41" i="9"/>
  <c r="X41" i="9"/>
  <c r="Z41" i="9"/>
  <c r="D42" i="9"/>
  <c r="F42" i="9"/>
  <c r="H42" i="9"/>
  <c r="J42" i="9"/>
  <c r="L42" i="9"/>
  <c r="N42" i="9"/>
  <c r="P42" i="9"/>
  <c r="R42" i="9"/>
  <c r="T42" i="9"/>
  <c r="V42" i="9"/>
  <c r="X42" i="9"/>
  <c r="Z42" i="9"/>
  <c r="D43" i="9"/>
  <c r="F43" i="9"/>
  <c r="H43" i="9"/>
  <c r="J43" i="9"/>
  <c r="L43" i="9"/>
  <c r="N43" i="9"/>
  <c r="P43" i="9"/>
  <c r="R43" i="9"/>
  <c r="T43" i="9"/>
  <c r="V43" i="9"/>
  <c r="X43" i="9"/>
  <c r="Z43" i="9"/>
  <c r="D44" i="9"/>
  <c r="F44" i="9"/>
  <c r="H44" i="9"/>
  <c r="J44" i="9"/>
  <c r="L44" i="9"/>
  <c r="N44" i="9"/>
  <c r="P44" i="9"/>
  <c r="R44" i="9"/>
  <c r="T44" i="9"/>
  <c r="V44" i="9"/>
  <c r="X44" i="9"/>
  <c r="Z44" i="9"/>
  <c r="D45" i="9"/>
  <c r="F45" i="9"/>
  <c r="H45" i="9"/>
  <c r="J45" i="9"/>
  <c r="L45" i="9"/>
  <c r="N45" i="9"/>
  <c r="P45" i="9"/>
  <c r="R45" i="9"/>
  <c r="T45" i="9"/>
  <c r="V45" i="9"/>
  <c r="X45" i="9"/>
  <c r="Z45" i="9"/>
  <c r="D46" i="9"/>
  <c r="F46" i="9"/>
  <c r="H46" i="9"/>
  <c r="J46" i="9"/>
  <c r="L46" i="9"/>
  <c r="N46" i="9"/>
  <c r="P46" i="9"/>
  <c r="R46" i="9"/>
  <c r="T46" i="9"/>
  <c r="V46" i="9"/>
  <c r="X46" i="9"/>
  <c r="Z46" i="9"/>
  <c r="D47" i="9"/>
  <c r="F47" i="9"/>
  <c r="H47" i="9"/>
  <c r="J47" i="9"/>
  <c r="L47" i="9"/>
  <c r="N47" i="9"/>
  <c r="P47" i="9"/>
  <c r="R47" i="9"/>
  <c r="T47" i="9"/>
  <c r="V47" i="9"/>
  <c r="X47" i="9"/>
  <c r="Z47" i="9"/>
  <c r="D48" i="9"/>
  <c r="F48" i="9"/>
  <c r="H48" i="9"/>
  <c r="J48" i="9"/>
  <c r="L48" i="9"/>
  <c r="N48" i="9"/>
  <c r="P48" i="9"/>
  <c r="R48" i="9"/>
  <c r="T48" i="9"/>
  <c r="V48" i="9"/>
  <c r="X48" i="9"/>
  <c r="Z48" i="9"/>
  <c r="D49" i="9"/>
  <c r="F49" i="9"/>
  <c r="H49" i="9"/>
  <c r="J49" i="9"/>
  <c r="L49" i="9"/>
  <c r="N49" i="9"/>
  <c r="P49" i="9"/>
  <c r="R49" i="9"/>
  <c r="T49" i="9"/>
  <c r="V49" i="9"/>
  <c r="X49" i="9"/>
  <c r="Z49" i="9"/>
  <c r="D50" i="9"/>
  <c r="F50" i="9"/>
  <c r="H50" i="9"/>
  <c r="J50" i="9"/>
  <c r="L50" i="9"/>
  <c r="N50" i="9"/>
  <c r="P50" i="9"/>
  <c r="R50" i="9"/>
  <c r="T50" i="9"/>
  <c r="V50" i="9"/>
  <c r="X50" i="9"/>
  <c r="Z50" i="9"/>
  <c r="D51" i="9"/>
  <c r="F51" i="9"/>
  <c r="H51" i="9"/>
  <c r="J51" i="9"/>
  <c r="L51" i="9"/>
  <c r="N51" i="9"/>
  <c r="P51" i="9"/>
  <c r="R51" i="9"/>
  <c r="T51" i="9"/>
  <c r="V51" i="9"/>
  <c r="X51" i="9"/>
  <c r="Z51" i="9"/>
  <c r="D52" i="9"/>
  <c r="F52" i="9"/>
  <c r="H52" i="9"/>
  <c r="J52" i="9"/>
  <c r="L52" i="9"/>
  <c r="N52" i="9"/>
  <c r="P52" i="9"/>
  <c r="R52" i="9"/>
  <c r="T52" i="9"/>
  <c r="V52" i="9"/>
  <c r="X52" i="9"/>
  <c r="Z52" i="9"/>
  <c r="D53" i="9"/>
  <c r="F53" i="9"/>
  <c r="H53" i="9"/>
  <c r="J53" i="9"/>
  <c r="L53" i="9"/>
  <c r="N53" i="9"/>
  <c r="P53" i="9"/>
  <c r="R53" i="9"/>
  <c r="T53" i="9"/>
  <c r="V53" i="9"/>
  <c r="X53" i="9"/>
  <c r="Z53" i="9"/>
  <c r="D54" i="9"/>
  <c r="F54" i="9"/>
  <c r="H54" i="9"/>
  <c r="J54" i="9"/>
  <c r="L54" i="9"/>
  <c r="N54" i="9"/>
  <c r="P54" i="9"/>
  <c r="R54" i="9"/>
  <c r="T54" i="9"/>
  <c r="V54" i="9"/>
  <c r="X54" i="9"/>
  <c r="Z54" i="9"/>
  <c r="D55" i="9"/>
  <c r="F55" i="9"/>
  <c r="H55" i="9"/>
  <c r="J55" i="9"/>
  <c r="L55" i="9"/>
  <c r="N55" i="9"/>
  <c r="P55" i="9"/>
  <c r="R55" i="9"/>
  <c r="T55" i="9"/>
  <c r="V55" i="9"/>
  <c r="X55" i="9"/>
  <c r="Z55" i="9"/>
  <c r="D56" i="9"/>
  <c r="F56" i="9"/>
  <c r="H56" i="9"/>
  <c r="J56" i="9"/>
  <c r="L56" i="9"/>
  <c r="N56" i="9"/>
  <c r="P56" i="9"/>
  <c r="R56" i="9"/>
  <c r="T56" i="9"/>
  <c r="V56" i="9"/>
  <c r="X56" i="9"/>
  <c r="Z56" i="9"/>
  <c r="D57" i="9"/>
  <c r="F57" i="9"/>
  <c r="H57" i="9"/>
  <c r="J57" i="9"/>
  <c r="L57" i="9"/>
  <c r="N57" i="9"/>
  <c r="P57" i="9"/>
  <c r="R57" i="9"/>
  <c r="T57" i="9"/>
  <c r="V57" i="9"/>
  <c r="X57" i="9"/>
  <c r="Z57" i="9"/>
  <c r="D58" i="9"/>
  <c r="F58" i="9"/>
  <c r="H58" i="9"/>
  <c r="J58" i="9"/>
  <c r="L58" i="9"/>
  <c r="N58" i="9"/>
  <c r="P58" i="9"/>
  <c r="R58" i="9"/>
  <c r="T58" i="9"/>
  <c r="V58" i="9"/>
  <c r="X58" i="9"/>
  <c r="Z58" i="9"/>
  <c r="D59" i="9"/>
  <c r="F59" i="9"/>
  <c r="H59" i="9"/>
  <c r="J59" i="9"/>
  <c r="L59" i="9"/>
  <c r="N59" i="9"/>
  <c r="P59" i="9"/>
  <c r="R59" i="9"/>
  <c r="T59" i="9"/>
  <c r="V59" i="9"/>
  <c r="X59" i="9"/>
  <c r="Z59" i="9"/>
  <c r="D60" i="9"/>
  <c r="F60" i="9"/>
  <c r="H60" i="9"/>
  <c r="J60" i="9"/>
  <c r="L60" i="9"/>
  <c r="N60" i="9"/>
  <c r="P60" i="9"/>
  <c r="R60" i="9"/>
  <c r="T60" i="9"/>
  <c r="V60" i="9"/>
  <c r="X60" i="9"/>
  <c r="Z60" i="9"/>
  <c r="D61" i="9"/>
  <c r="F61" i="9"/>
  <c r="H61" i="9"/>
  <c r="J61" i="9"/>
  <c r="L61" i="9"/>
  <c r="M61" i="9"/>
  <c r="N61" i="9"/>
  <c r="P61" i="9"/>
  <c r="R61" i="9"/>
  <c r="T61" i="9"/>
  <c r="V61" i="9"/>
  <c r="X61" i="9"/>
  <c r="Z61" i="9"/>
  <c r="D62" i="9"/>
  <c r="F62" i="9"/>
  <c r="H62" i="9"/>
  <c r="J62" i="9"/>
  <c r="L62" i="9"/>
  <c r="N62" i="9"/>
  <c r="P62" i="9"/>
  <c r="R62" i="9"/>
  <c r="T62" i="9"/>
  <c r="V62" i="9"/>
  <c r="X62" i="9"/>
  <c r="Z62" i="9"/>
  <c r="D63" i="9"/>
  <c r="F63" i="9"/>
  <c r="H63" i="9"/>
  <c r="J63" i="9"/>
  <c r="L63" i="9"/>
  <c r="N63" i="9"/>
  <c r="P63" i="9"/>
  <c r="R63" i="9"/>
  <c r="T63" i="9"/>
  <c r="V63" i="9"/>
  <c r="X63" i="9"/>
  <c r="Z63" i="9"/>
  <c r="D64" i="9"/>
  <c r="F64" i="9"/>
  <c r="H64" i="9"/>
  <c r="J64" i="9"/>
  <c r="L64" i="9"/>
  <c r="N64" i="9"/>
  <c r="P64" i="9"/>
  <c r="R64" i="9"/>
  <c r="T64" i="9"/>
  <c r="V64" i="9"/>
  <c r="X64" i="9"/>
  <c r="Z64" i="9"/>
  <c r="D65" i="9"/>
  <c r="F65" i="9"/>
  <c r="H65" i="9"/>
  <c r="J65" i="9"/>
  <c r="L65" i="9"/>
  <c r="N65" i="9"/>
  <c r="P65" i="9"/>
  <c r="R65" i="9"/>
  <c r="T65" i="9"/>
  <c r="V65" i="9"/>
  <c r="X65" i="9"/>
  <c r="Z65" i="9"/>
  <c r="D66" i="9"/>
  <c r="F66" i="9"/>
  <c r="H66" i="9"/>
  <c r="J66" i="9"/>
  <c r="L66" i="9"/>
  <c r="N66" i="9"/>
  <c r="P66" i="9"/>
  <c r="R66" i="9"/>
  <c r="T66" i="9"/>
  <c r="V66" i="9"/>
  <c r="X66" i="9"/>
  <c r="Z66" i="9"/>
  <c r="D67" i="9"/>
  <c r="F67" i="9"/>
  <c r="H67" i="9"/>
  <c r="J67" i="9"/>
  <c r="L67" i="9"/>
  <c r="N67" i="9"/>
  <c r="P67" i="9"/>
  <c r="R67" i="9"/>
  <c r="T67" i="9"/>
  <c r="V67" i="9"/>
  <c r="X67" i="9"/>
  <c r="Z67" i="9"/>
  <c r="D68" i="9"/>
  <c r="F68" i="9"/>
  <c r="H68" i="9"/>
  <c r="J68" i="9"/>
  <c r="L68" i="9"/>
  <c r="N68" i="9"/>
  <c r="P68" i="9"/>
  <c r="R68" i="9"/>
  <c r="T68" i="9"/>
  <c r="V68" i="9"/>
  <c r="X68" i="9"/>
  <c r="Z68" i="9"/>
  <c r="D69" i="9"/>
  <c r="F69" i="9"/>
  <c r="H69" i="9"/>
  <c r="J69" i="9"/>
  <c r="L69" i="9"/>
  <c r="N69" i="9"/>
  <c r="P69" i="9"/>
  <c r="R69" i="9"/>
  <c r="T69" i="9"/>
  <c r="V69" i="9"/>
  <c r="X69" i="9"/>
  <c r="Z69" i="9"/>
  <c r="D70" i="9"/>
  <c r="F70" i="9"/>
  <c r="H70" i="9"/>
  <c r="J70" i="9"/>
  <c r="L70" i="9"/>
  <c r="N70" i="9"/>
  <c r="P70" i="9"/>
  <c r="R70" i="9"/>
  <c r="T70" i="9"/>
  <c r="V70" i="9"/>
  <c r="X70" i="9"/>
  <c r="Z70" i="9"/>
  <c r="D71" i="9"/>
  <c r="F71" i="9"/>
  <c r="H71" i="9"/>
  <c r="J71" i="9"/>
  <c r="L71" i="9"/>
  <c r="N71" i="9"/>
  <c r="P71" i="9"/>
  <c r="R71" i="9"/>
  <c r="T71" i="9"/>
  <c r="V71" i="9"/>
  <c r="X71" i="9"/>
  <c r="Z71" i="9"/>
  <c r="D72" i="9"/>
  <c r="F72" i="9"/>
  <c r="H72" i="9"/>
  <c r="J72" i="9"/>
  <c r="L72" i="9"/>
  <c r="N72" i="9"/>
  <c r="P72" i="9"/>
  <c r="R72" i="9"/>
  <c r="T72" i="9"/>
  <c r="V72" i="9"/>
  <c r="X72" i="9"/>
  <c r="Z72" i="9"/>
  <c r="D73" i="9"/>
  <c r="F73" i="9"/>
  <c r="H73" i="9"/>
  <c r="J73" i="9"/>
  <c r="L73" i="9"/>
  <c r="N73" i="9"/>
  <c r="P73" i="9"/>
  <c r="R73" i="9"/>
  <c r="T73" i="9"/>
  <c r="V73" i="9"/>
  <c r="X73" i="9"/>
  <c r="Z73" i="9"/>
  <c r="D74" i="9"/>
  <c r="F74" i="9"/>
  <c r="H74" i="9"/>
  <c r="J74" i="9"/>
  <c r="L74" i="9"/>
  <c r="N74" i="9"/>
  <c r="P74" i="9"/>
  <c r="R74" i="9"/>
  <c r="T74" i="9"/>
  <c r="V74" i="9"/>
  <c r="X74" i="9"/>
  <c r="Z74" i="9"/>
  <c r="D75" i="9"/>
  <c r="F75" i="9"/>
  <c r="H75" i="9"/>
  <c r="J75" i="9"/>
  <c r="L75" i="9"/>
  <c r="N75" i="9"/>
  <c r="P75" i="9"/>
  <c r="R75" i="9"/>
  <c r="T75" i="9"/>
  <c r="V75" i="9"/>
  <c r="X75" i="9"/>
  <c r="Z75" i="9"/>
  <c r="D76" i="9"/>
  <c r="F76" i="9"/>
  <c r="H76" i="9"/>
  <c r="J76" i="9"/>
  <c r="L76" i="9"/>
  <c r="N76" i="9"/>
  <c r="P76" i="9"/>
  <c r="R76" i="9"/>
  <c r="T76" i="9"/>
  <c r="V76" i="9"/>
  <c r="X76" i="9"/>
  <c r="Z76" i="9"/>
  <c r="D77" i="9"/>
  <c r="F77" i="9"/>
  <c r="H77" i="9"/>
  <c r="J77" i="9"/>
  <c r="L77" i="9"/>
  <c r="N77" i="9"/>
  <c r="P77" i="9"/>
  <c r="R77" i="9"/>
  <c r="T77" i="9"/>
  <c r="V77" i="9"/>
  <c r="X77" i="9"/>
  <c r="Z77" i="9"/>
  <c r="D78" i="9"/>
  <c r="F78" i="9"/>
  <c r="H78" i="9"/>
  <c r="J78" i="9"/>
  <c r="L78" i="9"/>
  <c r="M78" i="9"/>
  <c r="N78" i="9"/>
  <c r="P78" i="9"/>
  <c r="R78" i="9"/>
  <c r="T78" i="9"/>
  <c r="V78" i="9"/>
  <c r="X78" i="9"/>
  <c r="Z78" i="9"/>
  <c r="D79" i="9"/>
  <c r="F79" i="9"/>
  <c r="H79" i="9"/>
  <c r="J79" i="9"/>
  <c r="L79" i="9"/>
  <c r="N79" i="9"/>
  <c r="P79" i="9"/>
  <c r="R79" i="9"/>
  <c r="T79" i="9"/>
  <c r="V79" i="9"/>
  <c r="X79" i="9"/>
  <c r="Z79" i="9"/>
  <c r="D80" i="9"/>
  <c r="F80" i="9"/>
  <c r="H80" i="9"/>
  <c r="J80" i="9"/>
  <c r="L80" i="9"/>
  <c r="N80" i="9"/>
  <c r="P80" i="9"/>
  <c r="R80" i="9"/>
  <c r="T80" i="9"/>
  <c r="V80" i="9"/>
  <c r="X80" i="9"/>
  <c r="Z80" i="9"/>
  <c r="D81" i="9"/>
  <c r="F81" i="9"/>
  <c r="H81" i="9"/>
  <c r="J81" i="9"/>
  <c r="L81" i="9"/>
  <c r="N81" i="9"/>
  <c r="P81" i="9"/>
  <c r="R81" i="9"/>
  <c r="T81" i="9"/>
  <c r="V81" i="9"/>
  <c r="X81" i="9"/>
  <c r="Z81" i="9"/>
  <c r="D82" i="9"/>
  <c r="F82" i="9"/>
  <c r="H82" i="9"/>
  <c r="J82" i="9"/>
  <c r="L82" i="9"/>
  <c r="N82" i="9"/>
  <c r="P82" i="9"/>
  <c r="R82" i="9"/>
  <c r="T82" i="9"/>
  <c r="V82" i="9"/>
  <c r="X82" i="9"/>
  <c r="Z82" i="9"/>
  <c r="D83" i="9"/>
  <c r="F83" i="9"/>
  <c r="H83" i="9"/>
  <c r="J83" i="9"/>
  <c r="L83" i="9"/>
  <c r="N83" i="9"/>
  <c r="P83" i="9"/>
  <c r="R83" i="9"/>
  <c r="T83" i="9"/>
  <c r="V83" i="9"/>
  <c r="X83" i="9"/>
  <c r="Z83" i="9"/>
  <c r="D84" i="9"/>
  <c r="F84" i="9"/>
  <c r="H84" i="9"/>
  <c r="J84" i="9"/>
  <c r="L84" i="9"/>
  <c r="N84" i="9"/>
  <c r="P84" i="9"/>
  <c r="R84" i="9"/>
  <c r="T84" i="9"/>
  <c r="V84" i="9"/>
  <c r="X84" i="9"/>
  <c r="Z84" i="9"/>
  <c r="D85" i="9"/>
  <c r="F85" i="9"/>
  <c r="H85" i="9"/>
  <c r="J85" i="9"/>
  <c r="L85" i="9"/>
  <c r="N85" i="9"/>
  <c r="P85" i="9"/>
  <c r="R85" i="9"/>
  <c r="T85" i="9"/>
  <c r="V85" i="9"/>
  <c r="X85" i="9"/>
  <c r="Z85" i="9"/>
  <c r="D86" i="9"/>
  <c r="F86" i="9"/>
  <c r="H86" i="9"/>
  <c r="J86" i="9"/>
  <c r="L86" i="9"/>
  <c r="N86" i="9"/>
  <c r="P86" i="9"/>
  <c r="R86" i="9"/>
  <c r="T86" i="9"/>
  <c r="V86" i="9"/>
  <c r="X86" i="9"/>
  <c r="Z86" i="9"/>
  <c r="D87" i="9"/>
  <c r="F87" i="9"/>
  <c r="H87" i="9"/>
  <c r="J87" i="9"/>
  <c r="L87" i="9"/>
  <c r="N87" i="9"/>
  <c r="P87" i="9"/>
  <c r="R87" i="9"/>
  <c r="T87" i="9"/>
  <c r="V87" i="9"/>
  <c r="X87" i="9"/>
  <c r="Z87" i="9"/>
  <c r="D88" i="9"/>
  <c r="F88" i="9"/>
  <c r="H88" i="9"/>
  <c r="J88" i="9"/>
  <c r="L88" i="9"/>
  <c r="N88" i="9"/>
  <c r="P88" i="9"/>
  <c r="R88" i="9"/>
  <c r="T88" i="9"/>
  <c r="V88" i="9"/>
  <c r="X88" i="9"/>
  <c r="Z88" i="9"/>
  <c r="D89" i="9"/>
  <c r="F89" i="9"/>
  <c r="H89" i="9"/>
  <c r="J89" i="9"/>
  <c r="L89" i="9"/>
  <c r="N89" i="9"/>
  <c r="P89" i="9"/>
  <c r="R89" i="9"/>
  <c r="T89" i="9"/>
  <c r="V89" i="9"/>
  <c r="X89" i="9"/>
  <c r="Z89" i="9"/>
  <c r="D90" i="9"/>
  <c r="F90" i="9"/>
  <c r="H90" i="9"/>
  <c r="J90" i="9"/>
  <c r="L90" i="9"/>
  <c r="N90" i="9"/>
  <c r="P90" i="9"/>
  <c r="R90" i="9"/>
  <c r="T90" i="9"/>
  <c r="V90" i="9"/>
  <c r="X90" i="9"/>
  <c r="Z90" i="9"/>
  <c r="D91" i="9"/>
  <c r="F91" i="9"/>
  <c r="H91" i="9"/>
  <c r="J91" i="9"/>
  <c r="L91" i="9"/>
  <c r="N91" i="9"/>
  <c r="P91" i="9"/>
  <c r="R91" i="9"/>
  <c r="T91" i="9"/>
  <c r="V91" i="9"/>
  <c r="X91" i="9"/>
  <c r="Z91" i="9"/>
  <c r="D92" i="9"/>
  <c r="F92" i="9"/>
  <c r="H92" i="9"/>
  <c r="J92" i="9"/>
  <c r="L92" i="9"/>
  <c r="N92" i="9"/>
  <c r="P92" i="9"/>
  <c r="R92" i="9"/>
  <c r="T92" i="9"/>
  <c r="V92" i="9"/>
  <c r="X92" i="9"/>
  <c r="Z92" i="9"/>
  <c r="D93" i="9"/>
  <c r="F93" i="9"/>
  <c r="H93" i="9"/>
  <c r="J93" i="9"/>
  <c r="L93" i="9"/>
  <c r="N93" i="9"/>
  <c r="P93" i="9"/>
  <c r="R93" i="9"/>
  <c r="T93" i="9"/>
  <c r="V93" i="9"/>
  <c r="X93" i="9"/>
  <c r="Z93" i="9"/>
  <c r="D94" i="9"/>
  <c r="F94" i="9"/>
  <c r="H94" i="9"/>
  <c r="J94" i="9"/>
  <c r="L94" i="9"/>
  <c r="M94" i="9"/>
  <c r="N94" i="9"/>
  <c r="P94" i="9"/>
  <c r="R94" i="9"/>
  <c r="T94" i="9"/>
  <c r="V94" i="9"/>
  <c r="X94" i="9"/>
  <c r="Z94" i="9"/>
  <c r="D95" i="9"/>
  <c r="F95" i="9"/>
  <c r="H95" i="9"/>
  <c r="J95" i="9"/>
  <c r="L95" i="9"/>
  <c r="N95" i="9"/>
  <c r="P95" i="9"/>
  <c r="R95" i="9"/>
  <c r="T95" i="9"/>
  <c r="V95" i="9"/>
  <c r="X95" i="9"/>
  <c r="Z95" i="9"/>
  <c r="D96" i="9"/>
  <c r="F96" i="9"/>
  <c r="H96" i="9"/>
  <c r="J96" i="9"/>
  <c r="L96" i="9"/>
  <c r="N96" i="9"/>
  <c r="P96" i="9"/>
  <c r="R96" i="9"/>
  <c r="T96" i="9"/>
  <c r="V96" i="9"/>
  <c r="X96" i="9"/>
  <c r="Z96" i="9"/>
  <c r="D97" i="9"/>
  <c r="F97" i="9"/>
  <c r="H97" i="9"/>
  <c r="J97" i="9"/>
  <c r="L97" i="9"/>
  <c r="M97" i="9"/>
  <c r="N97" i="9"/>
  <c r="P97" i="9"/>
  <c r="R97" i="9"/>
  <c r="T97" i="9"/>
  <c r="V97" i="9"/>
  <c r="X97" i="9"/>
  <c r="Z97" i="9"/>
  <c r="D98" i="9"/>
  <c r="F98" i="9"/>
  <c r="H98" i="9"/>
  <c r="J98" i="9"/>
  <c r="L98" i="9"/>
  <c r="N98" i="9"/>
  <c r="P98" i="9"/>
  <c r="R98" i="9"/>
  <c r="T98" i="9"/>
  <c r="V98" i="9"/>
  <c r="X98" i="9"/>
  <c r="Z98" i="9"/>
  <c r="D99" i="9"/>
  <c r="F99" i="9"/>
  <c r="H99" i="9"/>
  <c r="J99" i="9"/>
  <c r="L99" i="9"/>
  <c r="N99" i="9"/>
  <c r="P99" i="9"/>
  <c r="R99" i="9"/>
  <c r="T99" i="9"/>
  <c r="V99" i="9"/>
  <c r="X99" i="9"/>
  <c r="Z99" i="9"/>
  <c r="D100" i="9"/>
  <c r="F100" i="9"/>
  <c r="H100" i="9"/>
  <c r="J100" i="9"/>
  <c r="L100" i="9"/>
  <c r="N100" i="9"/>
  <c r="P100" i="9"/>
  <c r="R100" i="9"/>
  <c r="T100" i="9"/>
  <c r="V100" i="9"/>
  <c r="X100" i="9"/>
  <c r="Z100" i="9"/>
  <c r="D101" i="9"/>
  <c r="F101" i="9"/>
  <c r="H101" i="9"/>
  <c r="J101" i="9"/>
  <c r="L101" i="9"/>
  <c r="N101" i="9"/>
  <c r="P101" i="9"/>
  <c r="R101" i="9"/>
  <c r="T101" i="9"/>
  <c r="V101" i="9"/>
  <c r="X101" i="9"/>
  <c r="Z101" i="9"/>
  <c r="D102" i="9"/>
  <c r="F102" i="9"/>
  <c r="H102" i="9"/>
  <c r="J102" i="9"/>
  <c r="L102" i="9"/>
  <c r="N102" i="9"/>
  <c r="P102" i="9"/>
  <c r="R102" i="9"/>
  <c r="T102" i="9"/>
  <c r="V102" i="9"/>
  <c r="X102" i="9"/>
  <c r="Z102" i="9"/>
  <c r="D103" i="9"/>
  <c r="F103" i="9"/>
  <c r="H103" i="9"/>
  <c r="J103" i="9"/>
  <c r="L103" i="9"/>
  <c r="N103" i="9"/>
  <c r="P103" i="9"/>
  <c r="R103" i="9"/>
  <c r="T103" i="9"/>
  <c r="V103" i="9"/>
  <c r="X103" i="9"/>
  <c r="Z103" i="9"/>
  <c r="D104" i="9"/>
  <c r="F104" i="9"/>
  <c r="H104" i="9"/>
  <c r="J104" i="9"/>
  <c r="L104" i="9"/>
  <c r="N104" i="9"/>
  <c r="P104" i="9"/>
  <c r="R104" i="9"/>
  <c r="T104" i="9"/>
  <c r="V104" i="9"/>
  <c r="X104" i="9"/>
  <c r="Z104" i="9"/>
  <c r="D105" i="9"/>
  <c r="F105" i="9"/>
  <c r="H105" i="9"/>
  <c r="J105" i="9"/>
  <c r="L105" i="9"/>
  <c r="N105" i="9"/>
  <c r="P105" i="9"/>
  <c r="R105" i="9"/>
  <c r="T105" i="9"/>
  <c r="V105" i="9"/>
  <c r="X105" i="9"/>
  <c r="Z105" i="9"/>
  <c r="D106" i="9"/>
  <c r="F106" i="9"/>
  <c r="H106" i="9"/>
  <c r="J106" i="9"/>
  <c r="L106" i="9"/>
  <c r="N106" i="9"/>
  <c r="P106" i="9"/>
  <c r="R106" i="9"/>
  <c r="T106" i="9"/>
  <c r="V106" i="9"/>
  <c r="X106" i="9"/>
  <c r="Z106" i="9"/>
  <c r="D107" i="9"/>
  <c r="F107" i="9"/>
  <c r="H107" i="9"/>
  <c r="J107" i="9"/>
  <c r="L107" i="9"/>
  <c r="N107" i="9"/>
  <c r="P107" i="9"/>
  <c r="R107" i="9"/>
  <c r="T107" i="9"/>
  <c r="V107" i="9"/>
  <c r="X107" i="9"/>
  <c r="Z107" i="9"/>
  <c r="D108" i="9"/>
  <c r="F108" i="9"/>
  <c r="H108" i="9"/>
  <c r="J108" i="9"/>
  <c r="L108" i="9"/>
  <c r="N108" i="9"/>
  <c r="P108" i="9"/>
  <c r="R108" i="9"/>
  <c r="T108" i="9"/>
  <c r="V108" i="9"/>
  <c r="X108" i="9"/>
  <c r="Z108" i="9"/>
  <c r="D109" i="9"/>
  <c r="F109" i="9"/>
  <c r="H109" i="9"/>
  <c r="J109" i="9"/>
  <c r="L109" i="9"/>
  <c r="N109" i="9"/>
  <c r="P109" i="9"/>
  <c r="R109" i="9"/>
  <c r="T109" i="9"/>
  <c r="V109" i="9"/>
  <c r="X109" i="9"/>
  <c r="Z109" i="9"/>
  <c r="D110" i="9"/>
  <c r="F110" i="9"/>
  <c r="H110" i="9"/>
  <c r="J110" i="9"/>
  <c r="L110" i="9"/>
  <c r="N110" i="9"/>
  <c r="P110" i="9"/>
  <c r="R110" i="9"/>
  <c r="T110" i="9"/>
  <c r="V110" i="9"/>
  <c r="X110" i="9"/>
  <c r="Z110" i="9"/>
  <c r="D111" i="9"/>
  <c r="F111" i="9"/>
  <c r="H111" i="9"/>
  <c r="J111" i="9"/>
  <c r="L111" i="9"/>
  <c r="N111" i="9"/>
  <c r="P111" i="9"/>
  <c r="R111" i="9"/>
  <c r="T111" i="9"/>
  <c r="V111" i="9"/>
  <c r="X111" i="9"/>
  <c r="Z111" i="9"/>
  <c r="D112" i="9"/>
  <c r="F112" i="9"/>
  <c r="H112" i="9"/>
  <c r="J112" i="9"/>
  <c r="L112" i="9"/>
  <c r="M112" i="9"/>
  <c r="N112" i="9"/>
  <c r="P112" i="9"/>
  <c r="R112" i="9"/>
  <c r="T112" i="9"/>
  <c r="V112" i="9"/>
  <c r="X112" i="9"/>
  <c r="Z112" i="9"/>
  <c r="D113" i="9"/>
  <c r="F113" i="9"/>
  <c r="H113" i="9"/>
  <c r="J113" i="9"/>
  <c r="L113" i="9"/>
  <c r="N113" i="9"/>
  <c r="P113" i="9"/>
  <c r="R113" i="9"/>
  <c r="T113" i="9"/>
  <c r="V113" i="9"/>
  <c r="X113" i="9"/>
  <c r="Z113" i="9"/>
  <c r="D114" i="9"/>
  <c r="F114" i="9"/>
  <c r="H114" i="9"/>
  <c r="J114" i="9"/>
  <c r="L114" i="9"/>
  <c r="N114" i="9"/>
  <c r="P114" i="9"/>
  <c r="R114" i="9"/>
  <c r="T114" i="9"/>
  <c r="V114" i="9"/>
  <c r="X114" i="9"/>
  <c r="Z114" i="9"/>
  <c r="D115" i="9"/>
  <c r="F115" i="9"/>
  <c r="H115" i="9"/>
  <c r="J115" i="9"/>
  <c r="L115" i="9"/>
  <c r="N115" i="9"/>
  <c r="P115" i="9"/>
  <c r="R115" i="9"/>
  <c r="T115" i="9"/>
  <c r="V115" i="9"/>
  <c r="X115" i="9"/>
  <c r="Z115" i="9"/>
  <c r="D116" i="9"/>
  <c r="F116" i="9"/>
  <c r="H116" i="9"/>
  <c r="J116" i="9"/>
  <c r="L116" i="9"/>
  <c r="M116" i="9"/>
  <c r="N116" i="9"/>
  <c r="P116" i="9"/>
  <c r="R116" i="9"/>
  <c r="T116" i="9"/>
  <c r="V116" i="9"/>
  <c r="X116" i="9"/>
  <c r="Z116" i="9"/>
  <c r="D117" i="9"/>
  <c r="F117" i="9"/>
  <c r="H117" i="9"/>
  <c r="J117" i="9"/>
  <c r="L117" i="9"/>
  <c r="N117" i="9"/>
  <c r="P117" i="9"/>
  <c r="R117" i="9"/>
  <c r="T117" i="9"/>
  <c r="V117" i="9"/>
  <c r="X117" i="9"/>
  <c r="Z117" i="9"/>
  <c r="D118" i="9"/>
  <c r="F118" i="9"/>
  <c r="H118" i="9"/>
  <c r="J118" i="9"/>
  <c r="L118" i="9"/>
  <c r="N118" i="9"/>
  <c r="P118" i="9"/>
  <c r="R118" i="9"/>
  <c r="T118" i="9"/>
  <c r="V118" i="9"/>
  <c r="X118" i="9"/>
  <c r="Z118" i="9"/>
  <c r="D119" i="9"/>
  <c r="F119" i="9"/>
  <c r="H119" i="9"/>
  <c r="J119" i="9"/>
  <c r="L119" i="9"/>
  <c r="N119" i="9"/>
  <c r="P119" i="9"/>
  <c r="R119" i="9"/>
  <c r="T119" i="9"/>
  <c r="V119" i="9"/>
  <c r="X119" i="9"/>
  <c r="Z119" i="9"/>
  <c r="D120" i="9"/>
  <c r="F120" i="9"/>
  <c r="H120" i="9"/>
  <c r="J120" i="9"/>
  <c r="L120" i="9"/>
  <c r="N120" i="9"/>
  <c r="P120" i="9"/>
  <c r="R120" i="9"/>
  <c r="T120" i="9"/>
  <c r="V120" i="9"/>
  <c r="X120" i="9"/>
  <c r="Z120" i="9"/>
  <c r="D121" i="9"/>
  <c r="F121" i="9"/>
  <c r="H121" i="9"/>
  <c r="J121" i="9"/>
  <c r="L121" i="9"/>
  <c r="N121" i="9"/>
  <c r="P121" i="9"/>
  <c r="R121" i="9"/>
  <c r="T121" i="9"/>
  <c r="V121" i="9"/>
  <c r="X121" i="9"/>
  <c r="Z121" i="9"/>
  <c r="D122" i="9"/>
  <c r="F122" i="9"/>
  <c r="H122" i="9"/>
  <c r="J122" i="9"/>
  <c r="L122" i="9"/>
  <c r="N122" i="9"/>
  <c r="P122" i="9"/>
  <c r="R122" i="9"/>
  <c r="T122" i="9"/>
  <c r="V122" i="9"/>
  <c r="X122" i="9"/>
  <c r="Z122" i="9"/>
  <c r="D123" i="9"/>
  <c r="F123" i="9"/>
  <c r="H123" i="9"/>
  <c r="J123" i="9"/>
  <c r="L123" i="9"/>
  <c r="N123" i="9"/>
  <c r="P123" i="9"/>
  <c r="R123" i="9"/>
  <c r="T123" i="9"/>
  <c r="V123" i="9"/>
  <c r="X123" i="9"/>
  <c r="Z123" i="9"/>
  <c r="D124" i="9"/>
  <c r="F124" i="9"/>
  <c r="H124" i="9"/>
  <c r="J124" i="9"/>
  <c r="L124" i="9"/>
  <c r="N124" i="9"/>
  <c r="P124" i="9"/>
  <c r="R124" i="9"/>
  <c r="T124" i="9"/>
  <c r="V124" i="9"/>
  <c r="X124" i="9"/>
  <c r="Z124" i="9"/>
  <c r="D125" i="9"/>
  <c r="F125" i="9"/>
  <c r="H125" i="9"/>
  <c r="J125" i="9"/>
  <c r="L125" i="9"/>
  <c r="N125" i="9"/>
  <c r="P125" i="9"/>
  <c r="R125" i="9"/>
  <c r="T125" i="9"/>
  <c r="V125" i="9"/>
  <c r="X125" i="9"/>
  <c r="Z125" i="9"/>
  <c r="D126" i="9"/>
  <c r="F126" i="9"/>
  <c r="H126" i="9"/>
  <c r="J126" i="9"/>
  <c r="L126" i="9"/>
  <c r="N126" i="9"/>
  <c r="P126" i="9"/>
  <c r="R126" i="9"/>
  <c r="T126" i="9"/>
  <c r="V126" i="9"/>
  <c r="X126" i="9"/>
  <c r="Z126" i="9"/>
  <c r="D127" i="9"/>
  <c r="F127" i="9"/>
  <c r="H127" i="9"/>
  <c r="J127" i="9"/>
  <c r="L127" i="9"/>
  <c r="N127" i="9"/>
  <c r="P127" i="9"/>
  <c r="R127" i="9"/>
  <c r="T127" i="9"/>
  <c r="V127" i="9"/>
  <c r="X127" i="9"/>
  <c r="Z127" i="9"/>
  <c r="D128" i="9"/>
  <c r="F128" i="9"/>
  <c r="H128" i="9"/>
  <c r="J128" i="9"/>
  <c r="L128" i="9"/>
  <c r="N128" i="9"/>
  <c r="P128" i="9"/>
  <c r="R128" i="9"/>
  <c r="T128" i="9"/>
  <c r="V128" i="9"/>
  <c r="X128" i="9"/>
  <c r="Z128" i="9"/>
  <c r="D129" i="9"/>
  <c r="F129" i="9"/>
  <c r="H129" i="9"/>
  <c r="J129" i="9"/>
  <c r="L129" i="9"/>
  <c r="N129" i="9"/>
  <c r="P129" i="9"/>
  <c r="R129" i="9"/>
  <c r="T129" i="9"/>
  <c r="V129" i="9"/>
  <c r="X129" i="9"/>
  <c r="Z129" i="9"/>
  <c r="D130" i="9"/>
  <c r="F130" i="9"/>
  <c r="H130" i="9"/>
  <c r="J130" i="9"/>
  <c r="L130" i="9"/>
  <c r="N130" i="9"/>
  <c r="P130" i="9"/>
  <c r="R130" i="9"/>
  <c r="T130" i="9"/>
  <c r="V130" i="9"/>
  <c r="X130" i="9"/>
  <c r="Z130" i="9"/>
  <c r="D131" i="9"/>
  <c r="F131" i="9"/>
  <c r="H131" i="9"/>
  <c r="J131" i="9"/>
  <c r="L131" i="9"/>
  <c r="N131" i="9"/>
  <c r="P131" i="9"/>
  <c r="R131" i="9"/>
  <c r="T131" i="9"/>
  <c r="V131" i="9"/>
  <c r="X131" i="9"/>
  <c r="Z131" i="9"/>
  <c r="D132" i="9"/>
  <c r="F132" i="9"/>
  <c r="H132" i="9"/>
  <c r="J132" i="9"/>
  <c r="L132" i="9"/>
  <c r="N132" i="9"/>
  <c r="P132" i="9"/>
  <c r="R132" i="9"/>
  <c r="T132" i="9"/>
  <c r="V132" i="9"/>
  <c r="X132" i="9"/>
  <c r="Z132" i="9"/>
  <c r="D133" i="9"/>
  <c r="F133" i="9"/>
  <c r="H133" i="9"/>
  <c r="J133" i="9"/>
  <c r="L133" i="9"/>
  <c r="N133" i="9"/>
  <c r="P133" i="9"/>
  <c r="R133" i="9"/>
  <c r="T133" i="9"/>
  <c r="V133" i="9"/>
  <c r="X133" i="9"/>
  <c r="Z133" i="9"/>
  <c r="D134" i="9"/>
  <c r="F134" i="9"/>
  <c r="H134" i="9"/>
  <c r="J134" i="9"/>
  <c r="L134" i="9"/>
  <c r="M134" i="9"/>
  <c r="N134" i="9"/>
  <c r="P134" i="9"/>
  <c r="R134" i="9"/>
  <c r="T134" i="9"/>
  <c r="V134" i="9"/>
  <c r="X134" i="9"/>
  <c r="Z134" i="9"/>
  <c r="D135" i="9"/>
  <c r="F135" i="9"/>
  <c r="H135" i="9"/>
  <c r="J135" i="9"/>
  <c r="L135" i="9"/>
  <c r="N135" i="9"/>
  <c r="P135" i="9"/>
  <c r="R135" i="9"/>
  <c r="T135" i="9"/>
  <c r="V135" i="9"/>
  <c r="X135" i="9"/>
  <c r="Z135" i="9"/>
  <c r="D136" i="9"/>
  <c r="F136" i="9"/>
  <c r="H136" i="9"/>
  <c r="J136" i="9"/>
  <c r="L136" i="9"/>
  <c r="N136" i="9"/>
  <c r="P136" i="9"/>
  <c r="R136" i="9"/>
  <c r="T136" i="9"/>
  <c r="V136" i="9"/>
  <c r="X136" i="9"/>
  <c r="Z136" i="9"/>
  <c r="D137" i="9"/>
  <c r="F137" i="9"/>
  <c r="H137" i="9"/>
  <c r="J137" i="9"/>
  <c r="L137" i="9"/>
  <c r="M137" i="9"/>
  <c r="N137" i="9"/>
  <c r="P137" i="9"/>
  <c r="R137" i="9"/>
  <c r="T137" i="9"/>
  <c r="V137" i="9"/>
  <c r="X137" i="9"/>
  <c r="Z137" i="9"/>
  <c r="D138" i="9"/>
  <c r="F138" i="9"/>
  <c r="H138" i="9"/>
  <c r="J138" i="9"/>
  <c r="L138" i="9"/>
  <c r="N138" i="9"/>
  <c r="P138" i="9"/>
  <c r="R138" i="9"/>
  <c r="T138" i="9"/>
  <c r="V138" i="9"/>
  <c r="X138" i="9"/>
  <c r="Z138" i="9"/>
  <c r="D139" i="9"/>
  <c r="F139" i="9"/>
  <c r="H139" i="9"/>
  <c r="J139" i="9"/>
  <c r="L139" i="9"/>
  <c r="N139" i="9"/>
  <c r="P139" i="9"/>
  <c r="R139" i="9"/>
  <c r="T139" i="9"/>
  <c r="V139" i="9"/>
  <c r="X139" i="9"/>
  <c r="Z139" i="9"/>
  <c r="D140" i="9"/>
  <c r="F140" i="9"/>
  <c r="H140" i="9"/>
  <c r="J140" i="9"/>
  <c r="L140" i="9"/>
  <c r="N140" i="9"/>
  <c r="P140" i="9"/>
  <c r="R140" i="9"/>
  <c r="T140" i="9"/>
  <c r="V140" i="9"/>
  <c r="X140" i="9"/>
  <c r="Z140" i="9"/>
  <c r="D141" i="9"/>
  <c r="F141" i="9"/>
  <c r="H141" i="9"/>
  <c r="J141" i="9"/>
  <c r="L141" i="9"/>
  <c r="N141" i="9"/>
  <c r="P141" i="9"/>
  <c r="R141" i="9"/>
  <c r="T141" i="9"/>
  <c r="V141" i="9"/>
  <c r="X141" i="9"/>
  <c r="Z141" i="9"/>
  <c r="D142" i="9"/>
  <c r="F142" i="9"/>
  <c r="H142" i="9"/>
  <c r="J142" i="9"/>
  <c r="L142" i="9"/>
  <c r="N142" i="9"/>
  <c r="P142" i="9"/>
  <c r="R142" i="9"/>
  <c r="T142" i="9"/>
  <c r="V142" i="9"/>
  <c r="X142" i="9"/>
  <c r="Z142" i="9"/>
  <c r="D143" i="9"/>
  <c r="F143" i="9"/>
  <c r="H143" i="9"/>
  <c r="J143" i="9"/>
  <c r="L143" i="9"/>
  <c r="N143" i="9"/>
  <c r="P143" i="9"/>
  <c r="R143" i="9"/>
  <c r="T143" i="9"/>
  <c r="V143" i="9"/>
  <c r="X143" i="9"/>
  <c r="Z143" i="9"/>
  <c r="D144" i="9"/>
  <c r="F144" i="9"/>
  <c r="H144" i="9"/>
  <c r="J144" i="9"/>
  <c r="L144" i="9"/>
  <c r="N144" i="9"/>
  <c r="P144" i="9"/>
  <c r="R144" i="9"/>
  <c r="T144" i="9"/>
  <c r="V144" i="9"/>
  <c r="X144" i="9"/>
  <c r="Z144" i="9"/>
  <c r="D145" i="9"/>
  <c r="F145" i="9"/>
  <c r="H145" i="9"/>
  <c r="J145" i="9"/>
  <c r="L145" i="9"/>
  <c r="N145" i="9"/>
  <c r="P145" i="9"/>
  <c r="R145" i="9"/>
  <c r="T145" i="9"/>
  <c r="V145" i="9"/>
  <c r="X145" i="9"/>
  <c r="Z145" i="9"/>
  <c r="D146" i="9"/>
  <c r="F146" i="9"/>
  <c r="H146" i="9"/>
  <c r="J146" i="9"/>
  <c r="L146" i="9"/>
  <c r="M146" i="9"/>
  <c r="N146" i="9"/>
  <c r="P146" i="9"/>
  <c r="R146" i="9"/>
  <c r="T146" i="9"/>
  <c r="V146" i="9"/>
  <c r="X146" i="9"/>
  <c r="Z146" i="9"/>
  <c r="D147" i="9"/>
  <c r="F147" i="9"/>
  <c r="H147" i="9"/>
  <c r="J147" i="9"/>
  <c r="L147" i="9"/>
  <c r="N147" i="9"/>
  <c r="P147" i="9"/>
  <c r="R147" i="9"/>
  <c r="T147" i="9"/>
  <c r="V147" i="9"/>
  <c r="X147" i="9"/>
  <c r="Z147" i="9"/>
  <c r="D148" i="9"/>
  <c r="F148" i="9"/>
  <c r="H148" i="9"/>
  <c r="J148" i="9"/>
  <c r="L148" i="9"/>
  <c r="M148" i="9"/>
  <c r="N148" i="9"/>
  <c r="P148" i="9"/>
  <c r="R148" i="9"/>
  <c r="T148" i="9"/>
  <c r="V148" i="9"/>
  <c r="X148" i="9"/>
  <c r="Z148" i="9"/>
  <c r="D149" i="9"/>
  <c r="F149" i="9"/>
  <c r="H149" i="9"/>
  <c r="J149" i="9"/>
  <c r="L149" i="9"/>
  <c r="N149" i="9"/>
  <c r="P149" i="9"/>
  <c r="R149" i="9"/>
  <c r="T149" i="9"/>
  <c r="V149" i="9"/>
  <c r="X149" i="9"/>
  <c r="Z149" i="9"/>
  <c r="D150" i="9"/>
  <c r="F150" i="9"/>
  <c r="H150" i="9"/>
  <c r="J150" i="9"/>
  <c r="L150" i="9"/>
  <c r="N150" i="9"/>
  <c r="P150" i="9"/>
  <c r="R150" i="9"/>
  <c r="T150" i="9"/>
  <c r="V150" i="9"/>
  <c r="X150" i="9"/>
  <c r="Z150" i="9"/>
  <c r="D151" i="9"/>
  <c r="F151" i="9"/>
  <c r="H151" i="9"/>
  <c r="J151" i="9"/>
  <c r="L151" i="9"/>
  <c r="N151" i="9"/>
  <c r="P151" i="9"/>
  <c r="R151" i="9"/>
  <c r="T151" i="9"/>
  <c r="V151" i="9"/>
  <c r="X151" i="9"/>
  <c r="Z151" i="9"/>
  <c r="D152" i="9"/>
  <c r="F152" i="9"/>
  <c r="H152" i="9"/>
  <c r="J152" i="9"/>
  <c r="L152" i="9"/>
  <c r="N152" i="9"/>
  <c r="P152" i="9"/>
  <c r="R152" i="9"/>
  <c r="T152" i="9"/>
  <c r="V152" i="9"/>
  <c r="X152" i="9"/>
  <c r="Z152" i="9"/>
  <c r="D153" i="9"/>
  <c r="F153" i="9"/>
  <c r="H153" i="9"/>
  <c r="J153" i="9"/>
  <c r="L153" i="9"/>
  <c r="N153" i="9"/>
  <c r="P153" i="9"/>
  <c r="R153" i="9"/>
  <c r="T153" i="9"/>
  <c r="V153" i="9"/>
  <c r="X153" i="9"/>
  <c r="Z153" i="9"/>
  <c r="D154" i="9"/>
  <c r="F154" i="9"/>
  <c r="H154" i="9"/>
  <c r="J154" i="9"/>
  <c r="L154" i="9"/>
  <c r="N154" i="9"/>
  <c r="P154" i="9"/>
  <c r="R154" i="9"/>
  <c r="T154" i="9"/>
  <c r="V154" i="9"/>
  <c r="X154" i="9"/>
  <c r="Z154" i="9"/>
  <c r="D155" i="9"/>
  <c r="F155" i="9"/>
  <c r="H155" i="9"/>
  <c r="J155" i="9"/>
  <c r="L155" i="9"/>
  <c r="N155" i="9"/>
  <c r="P155" i="9"/>
  <c r="R155" i="9"/>
  <c r="T155" i="9"/>
  <c r="V155" i="9"/>
  <c r="X155" i="9"/>
  <c r="Z155" i="9"/>
  <c r="D156" i="9"/>
  <c r="F156" i="9"/>
  <c r="H156" i="9"/>
  <c r="J156" i="9"/>
  <c r="L156" i="9"/>
  <c r="N156" i="9"/>
  <c r="P156" i="9"/>
  <c r="R156" i="9"/>
  <c r="T156" i="9"/>
  <c r="V156" i="9"/>
  <c r="X156" i="9"/>
  <c r="Z156" i="9"/>
  <c r="D157" i="9"/>
  <c r="F157" i="9"/>
  <c r="H157" i="9"/>
  <c r="J157" i="9"/>
  <c r="L157" i="9"/>
  <c r="N157" i="9"/>
  <c r="P157" i="9"/>
  <c r="R157" i="9"/>
  <c r="T157" i="9"/>
  <c r="V157" i="9"/>
  <c r="X157" i="9"/>
  <c r="Z157" i="9"/>
  <c r="D158" i="9"/>
  <c r="F158" i="9"/>
  <c r="H158" i="9"/>
  <c r="J158" i="9"/>
  <c r="L158" i="9"/>
  <c r="M158" i="9"/>
  <c r="N158" i="9"/>
  <c r="P158" i="9"/>
  <c r="R158" i="9"/>
  <c r="T158" i="9"/>
  <c r="V158" i="9"/>
  <c r="X158" i="9"/>
  <c r="Z158" i="9"/>
  <c r="D159" i="9"/>
  <c r="F159" i="9"/>
  <c r="H159" i="9"/>
  <c r="J159" i="9"/>
  <c r="L159" i="9"/>
  <c r="N159" i="9"/>
  <c r="P159" i="9"/>
  <c r="R159" i="9"/>
  <c r="T159" i="9"/>
  <c r="V159" i="9"/>
  <c r="X159" i="9"/>
  <c r="Z159" i="9"/>
  <c r="D160" i="9"/>
  <c r="F160" i="9"/>
  <c r="H160" i="9"/>
  <c r="J160" i="9"/>
  <c r="L160" i="9"/>
  <c r="N160" i="9"/>
  <c r="P160" i="9"/>
  <c r="R160" i="9"/>
  <c r="T160" i="9"/>
  <c r="V160" i="9"/>
  <c r="X160" i="9"/>
  <c r="Z160" i="9"/>
  <c r="D161" i="9"/>
  <c r="F161" i="9"/>
  <c r="H161" i="9"/>
  <c r="J161" i="9"/>
  <c r="L161" i="9"/>
  <c r="M161" i="9"/>
  <c r="N161" i="9"/>
  <c r="P161" i="9"/>
  <c r="R161" i="9"/>
  <c r="T161" i="9"/>
  <c r="V161" i="9"/>
  <c r="X161" i="9"/>
  <c r="Z161" i="9"/>
  <c r="D162" i="9"/>
  <c r="F162" i="9"/>
  <c r="H162" i="9"/>
  <c r="J162" i="9"/>
  <c r="L162" i="9"/>
  <c r="N162" i="9"/>
  <c r="P162" i="9"/>
  <c r="R162" i="9"/>
  <c r="T162" i="9"/>
  <c r="V162" i="9"/>
  <c r="X162" i="9"/>
  <c r="Z162" i="9"/>
  <c r="D163" i="9"/>
  <c r="F163" i="9"/>
  <c r="H163" i="9"/>
  <c r="J163" i="9"/>
  <c r="L163" i="9"/>
  <c r="M163" i="9"/>
  <c r="N163" i="9"/>
  <c r="P163" i="9"/>
  <c r="R163" i="9"/>
  <c r="T163" i="9"/>
  <c r="V163" i="9"/>
  <c r="X163" i="9"/>
  <c r="Z163" i="9"/>
  <c r="D164" i="9"/>
  <c r="F164" i="9"/>
  <c r="H164" i="9"/>
  <c r="J164" i="9"/>
  <c r="L164" i="9"/>
  <c r="N164" i="9"/>
  <c r="P164" i="9"/>
  <c r="R164" i="9"/>
  <c r="T164" i="9"/>
  <c r="V164" i="9"/>
  <c r="X164" i="9"/>
  <c r="Z164" i="9"/>
  <c r="D165" i="9"/>
  <c r="F165" i="9"/>
  <c r="H165" i="9"/>
  <c r="J165" i="9"/>
  <c r="L165" i="9"/>
  <c r="N165" i="9"/>
  <c r="P165" i="9"/>
  <c r="R165" i="9"/>
  <c r="T165" i="9"/>
  <c r="V165" i="9"/>
  <c r="X165" i="9"/>
  <c r="Z165" i="9"/>
  <c r="D166" i="9"/>
  <c r="F166" i="9"/>
  <c r="H166" i="9"/>
  <c r="J166" i="9"/>
  <c r="L166" i="9"/>
  <c r="N166" i="9"/>
  <c r="P166" i="9"/>
  <c r="R166" i="9"/>
  <c r="T166" i="9"/>
  <c r="V166" i="9"/>
  <c r="X166" i="9"/>
  <c r="Z166" i="9"/>
  <c r="D167" i="9"/>
  <c r="F167" i="9"/>
  <c r="H167" i="9"/>
  <c r="J167" i="9"/>
  <c r="L167" i="9"/>
  <c r="N167" i="9"/>
  <c r="P167" i="9"/>
  <c r="R167" i="9"/>
  <c r="T167" i="9"/>
  <c r="V167" i="9"/>
  <c r="X167" i="9"/>
  <c r="Z167" i="9"/>
  <c r="D168" i="9"/>
  <c r="F168" i="9"/>
  <c r="H168" i="9"/>
  <c r="J168" i="9"/>
  <c r="L168" i="9"/>
  <c r="N168" i="9"/>
  <c r="P168" i="9"/>
  <c r="R168" i="9"/>
  <c r="T168" i="9"/>
  <c r="V168" i="9"/>
  <c r="X168" i="9"/>
  <c r="Z168" i="9"/>
  <c r="D169" i="9"/>
  <c r="F169" i="9"/>
  <c r="H169" i="9"/>
  <c r="J169" i="9"/>
  <c r="L169" i="9"/>
  <c r="N169" i="9"/>
  <c r="P169" i="9"/>
  <c r="R169" i="9"/>
  <c r="T169" i="9"/>
  <c r="V169" i="9"/>
  <c r="X169" i="9"/>
  <c r="Z169" i="9"/>
  <c r="D170" i="9"/>
  <c r="F170" i="9"/>
  <c r="H170" i="9"/>
  <c r="J170" i="9"/>
  <c r="L170" i="9"/>
  <c r="M170" i="9"/>
  <c r="N170" i="9"/>
  <c r="P170" i="9"/>
  <c r="R170" i="9"/>
  <c r="T170" i="9"/>
  <c r="V170" i="9"/>
  <c r="X170" i="9"/>
  <c r="Z170" i="9"/>
  <c r="D171" i="9"/>
  <c r="F171" i="9"/>
  <c r="H171" i="9"/>
  <c r="J171" i="9"/>
  <c r="L171" i="9"/>
  <c r="N171" i="9"/>
  <c r="P171" i="9"/>
  <c r="R171" i="9"/>
  <c r="T171" i="9"/>
  <c r="V171" i="9"/>
  <c r="X171" i="9"/>
  <c r="Z171" i="9"/>
  <c r="D172" i="9"/>
  <c r="F172" i="9"/>
  <c r="H172" i="9"/>
  <c r="J172" i="9"/>
  <c r="L172" i="9"/>
  <c r="M172" i="9"/>
  <c r="N172" i="9"/>
  <c r="P172" i="9"/>
  <c r="R172" i="9"/>
  <c r="T172" i="9"/>
  <c r="V172" i="9"/>
  <c r="X172" i="9"/>
  <c r="Z172" i="9"/>
  <c r="D173" i="9"/>
  <c r="F173" i="9"/>
  <c r="H173" i="9"/>
  <c r="J173" i="9"/>
  <c r="L173" i="9"/>
  <c r="N173" i="9"/>
  <c r="P173" i="9"/>
  <c r="R173" i="9"/>
  <c r="T173" i="9"/>
  <c r="V173" i="9"/>
  <c r="X173" i="9"/>
  <c r="Z173" i="9"/>
  <c r="D174" i="9"/>
  <c r="F174" i="9"/>
  <c r="H174" i="9"/>
  <c r="J174" i="9"/>
  <c r="L174" i="9"/>
  <c r="M174" i="9"/>
  <c r="N174" i="9"/>
  <c r="P174" i="9"/>
  <c r="R174" i="9"/>
  <c r="T174" i="9"/>
  <c r="V174" i="9"/>
  <c r="X174" i="9"/>
  <c r="Z174" i="9"/>
  <c r="D175" i="9"/>
  <c r="F175" i="9"/>
  <c r="H175" i="9"/>
  <c r="J175" i="9"/>
  <c r="L175" i="9"/>
  <c r="N175" i="9"/>
  <c r="P175" i="9"/>
  <c r="R175" i="9"/>
  <c r="T175" i="9"/>
  <c r="V175" i="9"/>
  <c r="X175" i="9"/>
  <c r="Z175" i="9"/>
  <c r="D176" i="9"/>
  <c r="F176" i="9"/>
  <c r="H176" i="9"/>
  <c r="J176" i="9"/>
  <c r="L176" i="9"/>
  <c r="M176" i="9"/>
  <c r="N176" i="9"/>
  <c r="P176" i="9"/>
  <c r="R176" i="9"/>
  <c r="T176" i="9"/>
  <c r="V176" i="9"/>
  <c r="X176" i="9"/>
  <c r="Z176" i="9"/>
  <c r="D177" i="9"/>
  <c r="F177" i="9"/>
  <c r="H177" i="9"/>
  <c r="J177" i="9"/>
  <c r="L177" i="9"/>
  <c r="N177" i="9"/>
  <c r="P177" i="9"/>
  <c r="R177" i="9"/>
  <c r="T177" i="9"/>
  <c r="V177" i="9"/>
  <c r="X177" i="9"/>
  <c r="Z177" i="9"/>
  <c r="D178" i="9"/>
  <c r="F178" i="9"/>
  <c r="H178" i="9"/>
  <c r="J178" i="9"/>
  <c r="L178" i="9"/>
  <c r="N178" i="9"/>
  <c r="P178" i="9"/>
  <c r="R178" i="9"/>
  <c r="T178" i="9"/>
  <c r="V178" i="9"/>
  <c r="X178" i="9"/>
  <c r="Z178" i="9"/>
  <c r="D179" i="9"/>
  <c r="F179" i="9"/>
  <c r="H179" i="9"/>
  <c r="J179" i="9"/>
  <c r="L179" i="9"/>
  <c r="N179" i="9"/>
  <c r="P179" i="9"/>
  <c r="R179" i="9"/>
  <c r="T179" i="9"/>
  <c r="V179" i="9"/>
  <c r="X179" i="9"/>
  <c r="Z179" i="9"/>
  <c r="D180" i="9"/>
  <c r="F180" i="9"/>
  <c r="H180" i="9"/>
  <c r="J180" i="9"/>
  <c r="L180" i="9"/>
  <c r="N180" i="9"/>
  <c r="P180" i="9"/>
  <c r="R180" i="9"/>
  <c r="T180" i="9"/>
  <c r="V180" i="9"/>
  <c r="X180" i="9"/>
  <c r="Z180" i="9"/>
  <c r="D181" i="9"/>
  <c r="F181" i="9"/>
  <c r="H181" i="9"/>
  <c r="J181" i="9"/>
  <c r="L181" i="9"/>
  <c r="M181" i="9"/>
  <c r="N181" i="9"/>
  <c r="P181" i="9"/>
  <c r="R181" i="9"/>
  <c r="T181" i="9"/>
  <c r="V181" i="9"/>
  <c r="X181" i="9"/>
  <c r="Z181" i="9"/>
  <c r="D182" i="9"/>
  <c r="F182" i="9"/>
  <c r="H182" i="9"/>
  <c r="J182" i="9"/>
  <c r="L182" i="9"/>
  <c r="N182" i="9"/>
  <c r="P182" i="9"/>
  <c r="R182" i="9"/>
  <c r="T182" i="9"/>
  <c r="V182" i="9"/>
  <c r="X182" i="9"/>
  <c r="Z182" i="9"/>
  <c r="D183" i="9"/>
  <c r="F183" i="9"/>
  <c r="H183" i="9"/>
  <c r="J183" i="9"/>
  <c r="L183" i="9"/>
  <c r="N183" i="9"/>
  <c r="P183" i="9"/>
  <c r="R183" i="9"/>
  <c r="T183" i="9"/>
  <c r="V183" i="9"/>
  <c r="X183" i="9"/>
  <c r="Z183" i="9"/>
  <c r="D184" i="9"/>
  <c r="F184" i="9"/>
  <c r="H184" i="9"/>
  <c r="J184" i="9"/>
  <c r="L184" i="9"/>
  <c r="N184" i="9"/>
  <c r="P184" i="9"/>
  <c r="R184" i="9"/>
  <c r="T184" i="9"/>
  <c r="V184" i="9"/>
  <c r="X184" i="9"/>
  <c r="Z184" i="9"/>
  <c r="D185" i="9"/>
  <c r="F185" i="9"/>
  <c r="H185" i="9"/>
  <c r="J185" i="9"/>
  <c r="L185" i="9"/>
  <c r="N185" i="9"/>
  <c r="P185" i="9"/>
  <c r="R185" i="9"/>
  <c r="T185" i="9"/>
  <c r="V185" i="9"/>
  <c r="X185" i="9"/>
  <c r="Z185" i="9"/>
  <c r="D186" i="9"/>
  <c r="F186" i="9"/>
  <c r="H186" i="9"/>
  <c r="J186" i="9"/>
  <c r="L186" i="9"/>
  <c r="N186" i="9"/>
  <c r="P186" i="9"/>
  <c r="R186" i="9"/>
  <c r="T186" i="9"/>
  <c r="V186" i="9"/>
  <c r="X186" i="9"/>
  <c r="Z186" i="9"/>
  <c r="D187" i="9"/>
  <c r="F187" i="9"/>
  <c r="H187" i="9"/>
  <c r="J187" i="9"/>
  <c r="L187" i="9"/>
  <c r="N187" i="9"/>
  <c r="P187" i="9"/>
  <c r="R187" i="9"/>
  <c r="T187" i="9"/>
  <c r="V187" i="9"/>
  <c r="X187" i="9"/>
  <c r="Z187" i="9"/>
  <c r="D188" i="9"/>
  <c r="F188" i="9"/>
  <c r="H188" i="9"/>
  <c r="J188" i="9"/>
  <c r="L188" i="9"/>
  <c r="N188" i="9"/>
  <c r="P188" i="9"/>
  <c r="R188" i="9"/>
  <c r="T188" i="9"/>
  <c r="V188" i="9"/>
  <c r="X188" i="9"/>
  <c r="Z188" i="9"/>
  <c r="D189" i="9"/>
  <c r="F189" i="9"/>
  <c r="H189" i="9"/>
  <c r="J189" i="9"/>
  <c r="L189" i="9"/>
  <c r="N189" i="9"/>
  <c r="P189" i="9"/>
  <c r="R189" i="9"/>
  <c r="T189" i="9"/>
  <c r="V189" i="9"/>
  <c r="X189" i="9"/>
  <c r="Z189" i="9"/>
  <c r="D190" i="9"/>
  <c r="F190" i="9"/>
  <c r="H190" i="9"/>
  <c r="J190" i="9"/>
  <c r="L190" i="9"/>
  <c r="M190" i="9"/>
  <c r="N190" i="9"/>
  <c r="P190" i="9"/>
  <c r="R190" i="9"/>
  <c r="T190" i="9"/>
  <c r="V190" i="9"/>
  <c r="X190" i="9"/>
  <c r="Z190" i="9"/>
  <c r="D191" i="9"/>
  <c r="F191" i="9"/>
  <c r="H191" i="9"/>
  <c r="J191" i="9"/>
  <c r="L191" i="9"/>
  <c r="N191" i="9"/>
  <c r="P191" i="9"/>
  <c r="R191" i="9"/>
  <c r="T191" i="9"/>
  <c r="V191" i="9"/>
  <c r="X191" i="9"/>
  <c r="Z191" i="9"/>
  <c r="D192" i="9"/>
  <c r="F192" i="9"/>
  <c r="H192" i="9"/>
  <c r="J192" i="9"/>
  <c r="L192" i="9"/>
  <c r="N192" i="9"/>
  <c r="P192" i="9"/>
  <c r="R192" i="9"/>
  <c r="T192" i="9"/>
  <c r="V192" i="9"/>
  <c r="X192" i="9"/>
  <c r="Z192" i="9"/>
  <c r="D193" i="9"/>
  <c r="F193" i="9"/>
  <c r="H193" i="9"/>
  <c r="J193" i="9"/>
  <c r="L193" i="9"/>
  <c r="N193" i="9"/>
  <c r="P193" i="9"/>
  <c r="R193" i="9"/>
  <c r="T193" i="9"/>
  <c r="V193" i="9"/>
  <c r="X193" i="9"/>
  <c r="Z193" i="9"/>
  <c r="D194" i="9"/>
  <c r="F194" i="9"/>
  <c r="H194" i="9"/>
  <c r="J194" i="9"/>
  <c r="L194" i="9"/>
  <c r="M194" i="9"/>
  <c r="N194" i="9"/>
  <c r="P194" i="9"/>
  <c r="R194" i="9"/>
  <c r="T194" i="9"/>
  <c r="V194" i="9"/>
  <c r="X194" i="9"/>
  <c r="Z194" i="9"/>
  <c r="D195" i="9"/>
  <c r="F195" i="9"/>
  <c r="H195" i="9"/>
  <c r="J195" i="9"/>
  <c r="L195" i="9"/>
  <c r="N195" i="9"/>
  <c r="P195" i="9"/>
  <c r="R195" i="9"/>
  <c r="T195" i="9"/>
  <c r="V195" i="9"/>
  <c r="X195" i="9"/>
  <c r="Z195" i="9"/>
  <c r="D196" i="9"/>
  <c r="F196" i="9"/>
  <c r="H196" i="9"/>
  <c r="J196" i="9"/>
  <c r="L196" i="9"/>
  <c r="N196" i="9"/>
  <c r="P196" i="9"/>
  <c r="R196" i="9"/>
  <c r="T196" i="9"/>
  <c r="V196" i="9"/>
  <c r="X196" i="9"/>
  <c r="Z196" i="9"/>
  <c r="D197" i="9"/>
  <c r="F197" i="9"/>
  <c r="H197" i="9"/>
  <c r="J197" i="9"/>
  <c r="L197" i="9"/>
  <c r="N197" i="9"/>
  <c r="P197" i="9"/>
  <c r="R197" i="9"/>
  <c r="T197" i="9"/>
  <c r="V197" i="9"/>
  <c r="X197" i="9"/>
  <c r="Z197" i="9"/>
  <c r="D198" i="9"/>
  <c r="F198" i="9"/>
  <c r="H198" i="9"/>
  <c r="J198" i="9"/>
  <c r="L198" i="9"/>
  <c r="N198" i="9"/>
  <c r="P198" i="9"/>
  <c r="R198" i="9"/>
  <c r="T198" i="9"/>
  <c r="V198" i="9"/>
  <c r="X198" i="9"/>
  <c r="Z198" i="9"/>
  <c r="D199" i="9"/>
  <c r="F199" i="9"/>
  <c r="H199" i="9"/>
  <c r="J199" i="9"/>
  <c r="L199" i="9"/>
  <c r="N199" i="9"/>
  <c r="P199" i="9"/>
  <c r="R199" i="9"/>
  <c r="T199" i="9"/>
  <c r="V199" i="9"/>
  <c r="X199" i="9"/>
  <c r="Z199" i="9"/>
  <c r="D200" i="9"/>
  <c r="F200" i="9"/>
  <c r="H200" i="9"/>
  <c r="J200" i="9"/>
  <c r="L200" i="9"/>
  <c r="N200" i="9"/>
  <c r="P200" i="9"/>
  <c r="R200" i="9"/>
  <c r="T200" i="9"/>
  <c r="V200" i="9"/>
  <c r="X200" i="9"/>
  <c r="Z200" i="9"/>
  <c r="D201" i="9"/>
  <c r="F201" i="9"/>
  <c r="H201" i="9"/>
  <c r="J201" i="9"/>
  <c r="L201" i="9"/>
  <c r="N201" i="9"/>
  <c r="P201" i="9"/>
  <c r="R201" i="9"/>
  <c r="T201" i="9"/>
  <c r="V201" i="9"/>
  <c r="X201" i="9"/>
  <c r="Z201" i="9"/>
  <c r="D202" i="9"/>
  <c r="F202" i="9"/>
  <c r="H202" i="9"/>
  <c r="J202" i="9"/>
  <c r="L202" i="9"/>
  <c r="N202" i="9"/>
  <c r="P202" i="9"/>
  <c r="R202" i="9"/>
  <c r="T202" i="9"/>
  <c r="V202" i="9"/>
  <c r="X202" i="9"/>
  <c r="Z202" i="9"/>
  <c r="D203" i="9"/>
  <c r="F203" i="9"/>
  <c r="H203" i="9"/>
  <c r="J203" i="9"/>
  <c r="L203" i="9"/>
  <c r="N203" i="9"/>
  <c r="P203" i="9"/>
  <c r="R203" i="9"/>
  <c r="T203" i="9"/>
  <c r="V203" i="9"/>
  <c r="X203" i="9"/>
  <c r="Z203" i="9"/>
  <c r="D204" i="9"/>
  <c r="F204" i="9"/>
  <c r="H204" i="9"/>
  <c r="J204" i="9"/>
  <c r="L204" i="9"/>
  <c r="N204" i="9"/>
  <c r="P204" i="9"/>
  <c r="R204" i="9"/>
  <c r="T204" i="9"/>
  <c r="V204" i="9"/>
  <c r="X204" i="9"/>
  <c r="Z204" i="9"/>
  <c r="D205" i="9"/>
  <c r="F205" i="9"/>
  <c r="H205" i="9"/>
  <c r="J205" i="9"/>
  <c r="L205" i="9"/>
  <c r="N205" i="9"/>
  <c r="P205" i="9"/>
  <c r="R205" i="9"/>
  <c r="T205" i="9"/>
  <c r="V205" i="9"/>
  <c r="X205" i="9"/>
  <c r="Z205" i="9"/>
  <c r="D206" i="9"/>
  <c r="F206" i="9"/>
  <c r="H206" i="9"/>
  <c r="J206" i="9"/>
  <c r="L206" i="9"/>
  <c r="N206" i="9"/>
  <c r="P206" i="9"/>
  <c r="R206" i="9"/>
  <c r="T206" i="9"/>
  <c r="V206" i="9"/>
  <c r="X206" i="9"/>
  <c r="Z206" i="9"/>
  <c r="D207" i="9"/>
  <c r="F207" i="9"/>
  <c r="H207" i="9"/>
  <c r="J207" i="9"/>
  <c r="L207" i="9"/>
  <c r="N207" i="9"/>
  <c r="P207" i="9"/>
  <c r="R207" i="9"/>
  <c r="T207" i="9"/>
  <c r="V207" i="9"/>
  <c r="X207" i="9"/>
  <c r="Z207" i="9"/>
  <c r="D208" i="9"/>
  <c r="F208" i="9"/>
  <c r="H208" i="9"/>
  <c r="J208" i="9"/>
  <c r="L208" i="9"/>
  <c r="N208" i="9"/>
  <c r="P208" i="9"/>
  <c r="R208" i="9"/>
  <c r="T208" i="9"/>
  <c r="V208" i="9"/>
  <c r="X208" i="9"/>
  <c r="Z208" i="9"/>
  <c r="D209" i="9"/>
  <c r="F209" i="9"/>
  <c r="H209" i="9"/>
  <c r="J209" i="9"/>
  <c r="L209" i="9"/>
  <c r="N209" i="9"/>
  <c r="P209" i="9"/>
  <c r="R209" i="9"/>
  <c r="T209" i="9"/>
  <c r="V209" i="9"/>
  <c r="X209" i="9"/>
  <c r="Z209" i="9"/>
  <c r="D210" i="9"/>
  <c r="F210" i="9"/>
  <c r="H210" i="9"/>
  <c r="J210" i="9"/>
  <c r="L210" i="9"/>
  <c r="M210" i="9"/>
  <c r="N210" i="9"/>
  <c r="P210" i="9"/>
  <c r="R210" i="9"/>
  <c r="T210" i="9"/>
  <c r="V210" i="9"/>
  <c r="X210" i="9"/>
  <c r="Z210" i="9"/>
  <c r="D211" i="9"/>
  <c r="F211" i="9"/>
  <c r="H211" i="9"/>
  <c r="J211" i="9"/>
  <c r="L211" i="9"/>
  <c r="N211" i="9"/>
  <c r="P211" i="9"/>
  <c r="R211" i="9"/>
  <c r="T211" i="9"/>
  <c r="V211" i="9"/>
  <c r="X211" i="9"/>
  <c r="Z211" i="9"/>
  <c r="D212" i="9"/>
  <c r="F212" i="9"/>
  <c r="H212" i="9"/>
  <c r="J212" i="9"/>
  <c r="L212" i="9"/>
  <c r="N212" i="9"/>
  <c r="P212" i="9"/>
  <c r="R212" i="9"/>
  <c r="T212" i="9"/>
  <c r="V212" i="9"/>
  <c r="X212" i="9"/>
  <c r="Z212" i="9"/>
  <c r="D213" i="9"/>
  <c r="F213" i="9"/>
  <c r="H213" i="9"/>
  <c r="J213" i="9"/>
  <c r="L213" i="9"/>
  <c r="N213" i="9"/>
  <c r="P213" i="9"/>
  <c r="R213" i="9"/>
  <c r="T213" i="9"/>
  <c r="V213" i="9"/>
  <c r="X213" i="9"/>
  <c r="Z213" i="9"/>
  <c r="D214" i="9"/>
  <c r="F214" i="9"/>
  <c r="H214" i="9"/>
  <c r="J214" i="9"/>
  <c r="L214" i="9"/>
  <c r="N214" i="9"/>
  <c r="P214" i="9"/>
  <c r="R214" i="9"/>
  <c r="T214" i="9"/>
  <c r="V214" i="9"/>
  <c r="X214" i="9"/>
  <c r="Z214" i="9"/>
  <c r="D215" i="9"/>
  <c r="F215" i="9"/>
  <c r="H215" i="9"/>
  <c r="J215" i="9"/>
  <c r="L215" i="9"/>
  <c r="N215" i="9"/>
  <c r="P215" i="9"/>
  <c r="R215" i="9"/>
  <c r="T215" i="9"/>
  <c r="V215" i="9"/>
  <c r="X215" i="9"/>
  <c r="Z215" i="9"/>
  <c r="D216" i="9"/>
  <c r="F216" i="9"/>
  <c r="H216" i="9"/>
  <c r="J216" i="9"/>
  <c r="L216" i="9"/>
  <c r="N216" i="9"/>
  <c r="P216" i="9"/>
  <c r="R216" i="9"/>
  <c r="T216" i="9"/>
  <c r="V216" i="9"/>
  <c r="X216" i="9"/>
  <c r="Z216" i="9"/>
  <c r="D217" i="9"/>
  <c r="F217" i="9"/>
  <c r="H217" i="9"/>
  <c r="J217" i="9"/>
  <c r="L217" i="9"/>
  <c r="N217" i="9"/>
  <c r="P217" i="9"/>
  <c r="R217" i="9"/>
  <c r="T217" i="9"/>
  <c r="V217" i="9"/>
  <c r="X217" i="9"/>
  <c r="Z217" i="9"/>
  <c r="D218" i="9"/>
  <c r="F218" i="9"/>
  <c r="H218" i="9"/>
  <c r="J218" i="9"/>
  <c r="L218" i="9"/>
  <c r="N218" i="9"/>
  <c r="P218" i="9"/>
  <c r="R218" i="9"/>
  <c r="T218" i="9"/>
  <c r="V218" i="9"/>
  <c r="X218" i="9"/>
  <c r="Z218" i="9"/>
  <c r="D219" i="9"/>
  <c r="F219" i="9"/>
  <c r="H219" i="9"/>
  <c r="J219" i="9"/>
  <c r="L219" i="9"/>
  <c r="N219" i="9"/>
  <c r="P219" i="9"/>
  <c r="R219" i="9"/>
  <c r="T219" i="9"/>
  <c r="V219" i="9"/>
  <c r="X219" i="9"/>
  <c r="Z219" i="9"/>
  <c r="D220" i="9"/>
  <c r="F220" i="9"/>
  <c r="H220" i="9"/>
  <c r="J220" i="9"/>
  <c r="L220" i="9"/>
  <c r="N220" i="9"/>
  <c r="P220" i="9"/>
  <c r="R220" i="9"/>
  <c r="T220" i="9"/>
  <c r="V220" i="9"/>
  <c r="X220" i="9"/>
  <c r="Z220" i="9"/>
  <c r="D221" i="9"/>
  <c r="F221" i="9"/>
  <c r="H221" i="9"/>
  <c r="J221" i="9"/>
  <c r="L221" i="9"/>
  <c r="N221" i="9"/>
  <c r="P221" i="9"/>
  <c r="R221" i="9"/>
  <c r="T221" i="9"/>
  <c r="V221" i="9"/>
  <c r="X221" i="9"/>
  <c r="Z221" i="9"/>
  <c r="D222" i="9"/>
  <c r="F222" i="9"/>
  <c r="H222" i="9"/>
  <c r="J222" i="9"/>
  <c r="L222" i="9"/>
  <c r="N222" i="9"/>
  <c r="P222" i="9"/>
  <c r="R222" i="9"/>
  <c r="T222" i="9"/>
  <c r="V222" i="9"/>
  <c r="X222" i="9"/>
  <c r="Z222" i="9"/>
  <c r="D223" i="9"/>
  <c r="F223" i="9"/>
  <c r="H223" i="9"/>
  <c r="J223" i="9"/>
  <c r="L223" i="9"/>
  <c r="N223" i="9"/>
  <c r="P223" i="9"/>
  <c r="R223" i="9"/>
  <c r="T223" i="9"/>
  <c r="V223" i="9"/>
  <c r="X223" i="9"/>
  <c r="Z223" i="9"/>
  <c r="D224" i="9"/>
  <c r="F224" i="9"/>
  <c r="H224" i="9"/>
  <c r="J224" i="9"/>
  <c r="L224" i="9"/>
  <c r="N224" i="9"/>
  <c r="P224" i="9"/>
  <c r="R224" i="9"/>
  <c r="T224" i="9"/>
  <c r="V224" i="9"/>
  <c r="X224" i="9"/>
  <c r="Z224" i="9"/>
  <c r="D225" i="9"/>
  <c r="F225" i="9"/>
  <c r="H225" i="9"/>
  <c r="J225" i="9"/>
  <c r="L225" i="9"/>
  <c r="N225" i="9"/>
  <c r="P225" i="9"/>
  <c r="R225" i="9"/>
  <c r="T225" i="9"/>
  <c r="V225" i="9"/>
  <c r="X225" i="9"/>
  <c r="Z225" i="9"/>
  <c r="D226" i="9"/>
  <c r="F226" i="9"/>
  <c r="H226" i="9"/>
  <c r="J226" i="9"/>
  <c r="L226" i="9"/>
  <c r="M226" i="9"/>
  <c r="N226" i="9"/>
  <c r="P226" i="9"/>
  <c r="R226" i="9"/>
  <c r="T226" i="9"/>
  <c r="V226" i="9"/>
  <c r="X226" i="9"/>
  <c r="Z226" i="9"/>
  <c r="D227" i="9"/>
  <c r="F227" i="9"/>
  <c r="H227" i="9"/>
  <c r="J227" i="9"/>
  <c r="L227" i="9"/>
  <c r="N227" i="9"/>
  <c r="P227" i="9"/>
  <c r="R227" i="9"/>
  <c r="T227" i="9"/>
  <c r="V227" i="9"/>
  <c r="X227" i="9"/>
  <c r="Z227" i="9"/>
  <c r="D228" i="9"/>
  <c r="F228" i="9"/>
  <c r="H228" i="9"/>
  <c r="J228" i="9"/>
  <c r="L228" i="9"/>
  <c r="N228" i="9"/>
  <c r="P228" i="9"/>
  <c r="R228" i="9"/>
  <c r="T228" i="9"/>
  <c r="V228" i="9"/>
  <c r="X228" i="9"/>
  <c r="Z228" i="9"/>
  <c r="D229" i="9"/>
  <c r="F229" i="9"/>
  <c r="H229" i="9"/>
  <c r="J229" i="9"/>
  <c r="L229" i="9"/>
  <c r="N229" i="9"/>
  <c r="P229" i="9"/>
  <c r="R229" i="9"/>
  <c r="T229" i="9"/>
  <c r="V229" i="9"/>
  <c r="X229" i="9"/>
  <c r="Z229" i="9"/>
  <c r="D230" i="9"/>
  <c r="F230" i="9"/>
  <c r="H230" i="9"/>
  <c r="J230" i="9"/>
  <c r="L230" i="9"/>
  <c r="N230" i="9"/>
  <c r="P230" i="9"/>
  <c r="R230" i="9"/>
  <c r="T230" i="9"/>
  <c r="V230" i="9"/>
  <c r="X230" i="9"/>
  <c r="Z230" i="9"/>
  <c r="D231" i="9"/>
  <c r="F231" i="9"/>
  <c r="H231" i="9"/>
  <c r="J231" i="9"/>
  <c r="L231" i="9"/>
  <c r="N231" i="9"/>
  <c r="P231" i="9"/>
  <c r="R231" i="9"/>
  <c r="T231" i="9"/>
  <c r="V231" i="9"/>
  <c r="X231" i="9"/>
  <c r="Z231" i="9"/>
  <c r="D232" i="9"/>
  <c r="F232" i="9"/>
  <c r="H232" i="9"/>
  <c r="J232" i="9"/>
  <c r="L232" i="9"/>
  <c r="N232" i="9"/>
  <c r="P232" i="9"/>
  <c r="R232" i="9"/>
  <c r="T232" i="9"/>
  <c r="V232" i="9"/>
  <c r="X232" i="9"/>
  <c r="Z232" i="9"/>
  <c r="D233" i="9"/>
  <c r="F233" i="9"/>
  <c r="H233" i="9"/>
  <c r="J233" i="9"/>
  <c r="L233" i="9"/>
  <c r="N233" i="9"/>
  <c r="P233" i="9"/>
  <c r="R233" i="9"/>
  <c r="T233" i="9"/>
  <c r="V233" i="9"/>
  <c r="X233" i="9"/>
  <c r="Z233" i="9"/>
  <c r="D234" i="9"/>
  <c r="F234" i="9"/>
  <c r="H234" i="9"/>
  <c r="J234" i="9"/>
  <c r="L234" i="9"/>
  <c r="N234" i="9"/>
  <c r="P234" i="9"/>
  <c r="R234" i="9"/>
  <c r="T234" i="9"/>
  <c r="V234" i="9"/>
  <c r="X234" i="9"/>
  <c r="Z234" i="9"/>
  <c r="D235" i="9"/>
  <c r="F235" i="9"/>
  <c r="H235" i="9"/>
  <c r="J235" i="9"/>
  <c r="L235" i="9"/>
  <c r="N235" i="9"/>
  <c r="P235" i="9"/>
  <c r="R235" i="9"/>
  <c r="T235" i="9"/>
  <c r="V235" i="9"/>
  <c r="X235" i="9"/>
  <c r="Z235" i="9"/>
  <c r="D236" i="9"/>
  <c r="F236" i="9"/>
  <c r="H236" i="9"/>
  <c r="J236" i="9"/>
  <c r="L236" i="9"/>
  <c r="M236" i="9"/>
  <c r="N236" i="9"/>
  <c r="P236" i="9"/>
  <c r="R236" i="9"/>
  <c r="T236" i="9"/>
  <c r="V236" i="9"/>
  <c r="X236" i="9"/>
  <c r="Z236" i="9"/>
  <c r="D237" i="9"/>
  <c r="F237" i="9"/>
  <c r="H237" i="9"/>
  <c r="J237" i="9"/>
  <c r="L237" i="9"/>
  <c r="N237" i="9"/>
  <c r="P237" i="9"/>
  <c r="R237" i="9"/>
  <c r="T237" i="9"/>
  <c r="V237" i="9"/>
  <c r="X237" i="9"/>
  <c r="Z237" i="9"/>
  <c r="D238" i="9"/>
  <c r="F238" i="9"/>
  <c r="H238" i="9"/>
  <c r="J238" i="9"/>
  <c r="L238" i="9"/>
  <c r="N238" i="9"/>
  <c r="P238" i="9"/>
  <c r="R238" i="9"/>
  <c r="T238" i="9"/>
  <c r="V238" i="9"/>
  <c r="X238" i="9"/>
  <c r="Z238" i="9"/>
  <c r="D239" i="9"/>
  <c r="F239" i="9"/>
  <c r="H239" i="9"/>
  <c r="J239" i="9"/>
  <c r="L239" i="9"/>
  <c r="N239" i="9"/>
  <c r="P239" i="9"/>
  <c r="R239" i="9"/>
  <c r="T239" i="9"/>
  <c r="V239" i="9"/>
  <c r="X239" i="9"/>
  <c r="Z239" i="9"/>
  <c r="D240" i="9"/>
  <c r="F240" i="9"/>
  <c r="H240" i="9"/>
  <c r="J240" i="9"/>
  <c r="L240" i="9"/>
  <c r="N240" i="9"/>
  <c r="P240" i="9"/>
  <c r="R240" i="9"/>
  <c r="T240" i="9"/>
  <c r="V240" i="9"/>
  <c r="X240" i="9"/>
  <c r="Z240" i="9"/>
  <c r="D241" i="9"/>
  <c r="F241" i="9"/>
  <c r="H241" i="9"/>
  <c r="J241" i="9"/>
  <c r="L241" i="9"/>
  <c r="N241" i="9"/>
  <c r="P241" i="9"/>
  <c r="R241" i="9"/>
  <c r="T241" i="9"/>
  <c r="V241" i="9"/>
  <c r="X241" i="9"/>
  <c r="Z241" i="9"/>
  <c r="D242" i="9"/>
  <c r="F242" i="9"/>
  <c r="H242" i="9"/>
  <c r="J242" i="9"/>
  <c r="L242" i="9"/>
  <c r="N242" i="9"/>
  <c r="P242" i="9"/>
  <c r="R242" i="9"/>
  <c r="T242" i="9"/>
  <c r="V242" i="9"/>
  <c r="X242" i="9"/>
  <c r="Z242" i="9"/>
  <c r="D243" i="9"/>
  <c r="F243" i="9"/>
  <c r="H243" i="9"/>
  <c r="J243" i="9"/>
  <c r="L243" i="9"/>
  <c r="N243" i="9"/>
  <c r="P243" i="9"/>
  <c r="R243" i="9"/>
  <c r="T243" i="9"/>
  <c r="V243" i="9"/>
  <c r="X243" i="9"/>
  <c r="Z243" i="9"/>
  <c r="D244" i="9"/>
  <c r="F244" i="9"/>
  <c r="H244" i="9"/>
  <c r="J244" i="9"/>
  <c r="L244" i="9"/>
  <c r="N244" i="9"/>
  <c r="P244" i="9"/>
  <c r="R244" i="9"/>
  <c r="T244" i="9"/>
  <c r="V244" i="9"/>
  <c r="X244" i="9"/>
  <c r="Z244" i="9"/>
  <c r="D245" i="9"/>
  <c r="F245" i="9"/>
  <c r="H245" i="9"/>
  <c r="J245" i="9"/>
  <c r="L245" i="9"/>
  <c r="N245" i="9"/>
  <c r="P245" i="9"/>
  <c r="R245" i="9"/>
  <c r="T245" i="9"/>
  <c r="V245" i="9"/>
  <c r="X245" i="9"/>
  <c r="Z245" i="9"/>
  <c r="D246" i="9"/>
  <c r="F246" i="9"/>
  <c r="H246" i="9"/>
  <c r="J246" i="9"/>
  <c r="L246" i="9"/>
  <c r="N246" i="9"/>
  <c r="P246" i="9"/>
  <c r="R246" i="9"/>
  <c r="T246" i="9"/>
  <c r="V246" i="9"/>
  <c r="X246" i="9"/>
  <c r="Z246" i="9"/>
  <c r="D247" i="9"/>
  <c r="F247" i="9"/>
  <c r="H247" i="9"/>
  <c r="J247" i="9"/>
  <c r="L247" i="9"/>
  <c r="N247" i="9"/>
  <c r="P247" i="9"/>
  <c r="R247" i="9"/>
  <c r="T247" i="9"/>
  <c r="V247" i="9"/>
  <c r="X247" i="9"/>
  <c r="Z247" i="9"/>
  <c r="D248" i="9"/>
  <c r="F248" i="9"/>
  <c r="H248" i="9"/>
  <c r="J248" i="9"/>
  <c r="L248" i="9"/>
  <c r="M248" i="9"/>
  <c r="N248" i="9"/>
  <c r="P248" i="9"/>
  <c r="R248" i="9"/>
  <c r="T248" i="9"/>
  <c r="V248" i="9"/>
  <c r="X248" i="9"/>
  <c r="Z248" i="9"/>
  <c r="D249" i="9"/>
  <c r="F249" i="9"/>
  <c r="H249" i="9"/>
  <c r="J249" i="9"/>
  <c r="L249" i="9"/>
  <c r="N249" i="9"/>
  <c r="P249" i="9"/>
  <c r="R249" i="9"/>
  <c r="T249" i="9"/>
  <c r="V249" i="9"/>
  <c r="X249" i="9"/>
  <c r="Z249" i="9"/>
  <c r="D250" i="9"/>
  <c r="F250" i="9"/>
  <c r="H250" i="9"/>
  <c r="J250" i="9"/>
  <c r="L250" i="9"/>
  <c r="N250" i="9"/>
  <c r="P250" i="9"/>
  <c r="R250" i="9"/>
  <c r="T250" i="9"/>
  <c r="V250" i="9"/>
  <c r="X250" i="9"/>
  <c r="Z250" i="9"/>
  <c r="D251" i="9"/>
  <c r="F251" i="9"/>
  <c r="H251" i="9"/>
  <c r="J251" i="9"/>
  <c r="L251" i="9"/>
  <c r="N251" i="9"/>
  <c r="P251" i="9"/>
  <c r="R251" i="9"/>
  <c r="T251" i="9"/>
  <c r="V251" i="9"/>
  <c r="X251" i="9"/>
  <c r="Z251" i="9"/>
  <c r="D252" i="9"/>
  <c r="F252" i="9"/>
  <c r="H252" i="9"/>
  <c r="J252" i="9"/>
  <c r="L252" i="9"/>
  <c r="N252" i="9"/>
  <c r="P252" i="9"/>
  <c r="R252" i="9"/>
  <c r="T252" i="9"/>
  <c r="V252" i="9"/>
  <c r="X252" i="9"/>
  <c r="Z252" i="9"/>
  <c r="D253" i="9"/>
  <c r="F253" i="9"/>
  <c r="H253" i="9"/>
  <c r="J253" i="9"/>
  <c r="L253" i="9"/>
  <c r="N253" i="9"/>
  <c r="P253" i="9"/>
  <c r="R253" i="9"/>
  <c r="T253" i="9"/>
  <c r="V253" i="9"/>
  <c r="X253" i="9"/>
  <c r="Z253" i="9"/>
  <c r="D254" i="9"/>
  <c r="F254" i="9"/>
  <c r="H254" i="9"/>
  <c r="J254" i="9"/>
  <c r="L254" i="9"/>
  <c r="N254" i="9"/>
  <c r="P254" i="9"/>
  <c r="R254" i="9"/>
  <c r="T254" i="9"/>
  <c r="V254" i="9"/>
  <c r="X254" i="9"/>
  <c r="Z254" i="9"/>
  <c r="D255" i="9"/>
  <c r="F255" i="9"/>
  <c r="H255" i="9"/>
  <c r="J255" i="9"/>
  <c r="L255" i="9"/>
  <c r="N255" i="9"/>
  <c r="P255" i="9"/>
  <c r="R255" i="9"/>
  <c r="T255" i="9"/>
  <c r="V255" i="9"/>
  <c r="X255" i="9"/>
  <c r="Z255" i="9"/>
  <c r="D256" i="9"/>
  <c r="F256" i="9"/>
  <c r="H256" i="9"/>
  <c r="J256" i="9"/>
  <c r="L256" i="9"/>
  <c r="N256" i="9"/>
  <c r="P256" i="9"/>
  <c r="R256" i="9"/>
  <c r="T256" i="9"/>
  <c r="V256" i="9"/>
  <c r="X256" i="9"/>
  <c r="Z256" i="9"/>
  <c r="D257" i="9"/>
  <c r="F257" i="9"/>
  <c r="H257" i="9"/>
  <c r="J257" i="9"/>
  <c r="L257" i="9"/>
  <c r="N257" i="9"/>
  <c r="P257" i="9"/>
  <c r="R257" i="9"/>
  <c r="T257" i="9"/>
  <c r="V257" i="9"/>
  <c r="X257" i="9"/>
  <c r="Z257" i="9"/>
  <c r="D258" i="9"/>
  <c r="F258" i="9"/>
  <c r="H258" i="9"/>
  <c r="J258" i="9"/>
  <c r="L258" i="9"/>
  <c r="N258" i="9"/>
  <c r="P258" i="9"/>
  <c r="R258" i="9"/>
  <c r="T258" i="9"/>
  <c r="V258" i="9"/>
  <c r="X258" i="9"/>
  <c r="Z258" i="9"/>
  <c r="D259" i="9"/>
  <c r="F259" i="9"/>
  <c r="H259" i="9"/>
  <c r="J259" i="9"/>
  <c r="L259" i="9"/>
  <c r="N259" i="9"/>
  <c r="P259" i="9"/>
  <c r="R259" i="9"/>
  <c r="T259" i="9"/>
  <c r="V259" i="9"/>
  <c r="X259" i="9"/>
  <c r="Z259" i="9"/>
  <c r="D260" i="9"/>
  <c r="F260" i="9"/>
  <c r="H260" i="9"/>
  <c r="J260" i="9"/>
  <c r="L260" i="9"/>
  <c r="N260" i="9"/>
  <c r="P260" i="9"/>
  <c r="R260" i="9"/>
  <c r="T260" i="9"/>
  <c r="V260" i="9"/>
  <c r="X260" i="9"/>
  <c r="Z260" i="9"/>
  <c r="D261" i="9"/>
  <c r="F261" i="9"/>
  <c r="H261" i="9"/>
  <c r="J261" i="9"/>
  <c r="L261" i="9"/>
  <c r="N261" i="9"/>
  <c r="P261" i="9"/>
  <c r="R261" i="9"/>
  <c r="T261" i="9"/>
  <c r="V261" i="9"/>
  <c r="X261" i="9"/>
  <c r="Z261" i="9"/>
  <c r="D262" i="9"/>
  <c r="F262" i="9"/>
  <c r="H262" i="9"/>
  <c r="J262" i="9"/>
  <c r="L262" i="9"/>
  <c r="N262" i="9"/>
  <c r="P262" i="9"/>
  <c r="R262" i="9"/>
  <c r="T262" i="9"/>
  <c r="V262" i="9"/>
  <c r="X262" i="9"/>
  <c r="Z262" i="9"/>
  <c r="D263" i="9"/>
  <c r="F263" i="9"/>
  <c r="H263" i="9"/>
  <c r="J263" i="9"/>
  <c r="L263" i="9"/>
  <c r="N263" i="9"/>
  <c r="P263" i="9"/>
  <c r="R263" i="9"/>
  <c r="T263" i="9"/>
  <c r="V263" i="9"/>
  <c r="X263" i="9"/>
  <c r="Z263" i="9"/>
  <c r="D264" i="9"/>
  <c r="F264" i="9"/>
  <c r="H264" i="9"/>
  <c r="J264" i="9"/>
  <c r="L264" i="9"/>
  <c r="N264" i="9"/>
  <c r="P264" i="9"/>
  <c r="R264" i="9"/>
  <c r="T264" i="9"/>
  <c r="V264" i="9"/>
  <c r="X264" i="9"/>
  <c r="Z264" i="9"/>
  <c r="D265" i="9"/>
  <c r="F265" i="9"/>
  <c r="H265" i="9"/>
  <c r="J265" i="9"/>
  <c r="L265" i="9"/>
  <c r="N265" i="9"/>
  <c r="P265" i="9"/>
  <c r="R265" i="9"/>
  <c r="T265" i="9"/>
  <c r="V265" i="9"/>
  <c r="X265" i="9"/>
  <c r="Z265" i="9"/>
  <c r="D266" i="9"/>
  <c r="F266" i="9"/>
  <c r="H266" i="9"/>
  <c r="J266" i="9"/>
  <c r="L266" i="9"/>
  <c r="N266" i="9"/>
  <c r="P266" i="9"/>
  <c r="R266" i="9"/>
  <c r="T266" i="9"/>
  <c r="V266" i="9"/>
  <c r="X266" i="9"/>
  <c r="Z266" i="9"/>
  <c r="D267" i="9"/>
  <c r="F267" i="9"/>
  <c r="H267" i="9"/>
  <c r="J267" i="9"/>
  <c r="L267" i="9"/>
  <c r="N267" i="9"/>
  <c r="P267" i="9"/>
  <c r="R267" i="9"/>
  <c r="T267" i="9"/>
  <c r="V267" i="9"/>
  <c r="X267" i="9"/>
  <c r="Z267" i="9"/>
  <c r="D268" i="9"/>
  <c r="F268" i="9"/>
  <c r="H268" i="9"/>
  <c r="J268" i="9"/>
  <c r="L268" i="9"/>
  <c r="N268" i="9"/>
  <c r="P268" i="9"/>
  <c r="R268" i="9"/>
  <c r="T268" i="9"/>
  <c r="V268" i="9"/>
  <c r="X268" i="9"/>
  <c r="Z268" i="9"/>
  <c r="D269" i="9"/>
  <c r="F269" i="9"/>
  <c r="H269" i="9"/>
  <c r="J269" i="9"/>
  <c r="L269" i="9"/>
  <c r="M269" i="9"/>
  <c r="N269" i="9"/>
  <c r="P269" i="9"/>
  <c r="R269" i="9"/>
  <c r="T269" i="9"/>
  <c r="V269" i="9"/>
  <c r="X269" i="9"/>
  <c r="Z269" i="9"/>
  <c r="D270" i="9"/>
  <c r="F270" i="9"/>
  <c r="H270" i="9"/>
  <c r="J270" i="9"/>
  <c r="L270" i="9"/>
  <c r="N270" i="9"/>
  <c r="P270" i="9"/>
  <c r="R270" i="9"/>
  <c r="T270" i="9"/>
  <c r="V270" i="9"/>
  <c r="X270" i="9"/>
  <c r="Z270" i="9"/>
  <c r="D271" i="9"/>
  <c r="F271" i="9"/>
  <c r="H271" i="9"/>
  <c r="J271" i="9"/>
  <c r="L271" i="9"/>
  <c r="N271" i="9"/>
  <c r="P271" i="9"/>
  <c r="R271" i="9"/>
  <c r="T271" i="9"/>
  <c r="V271" i="9"/>
  <c r="X271" i="9"/>
  <c r="Z271" i="9"/>
  <c r="D272" i="9"/>
  <c r="F272" i="9"/>
  <c r="H272" i="9"/>
  <c r="J272" i="9"/>
  <c r="L272" i="9"/>
  <c r="N272" i="9"/>
  <c r="P272" i="9"/>
  <c r="R272" i="9"/>
  <c r="T272" i="9"/>
  <c r="V272" i="9"/>
  <c r="X272" i="9"/>
  <c r="Z272" i="9"/>
  <c r="D273" i="9"/>
  <c r="F273" i="9"/>
  <c r="H273" i="9"/>
  <c r="J273" i="9"/>
  <c r="L273" i="9"/>
  <c r="M273" i="9"/>
  <c r="N273" i="9"/>
  <c r="P273" i="9"/>
  <c r="R273" i="9"/>
  <c r="T273" i="9"/>
  <c r="V273" i="9"/>
  <c r="X273" i="9"/>
  <c r="Z273" i="9"/>
  <c r="D274" i="9"/>
  <c r="F274" i="9"/>
  <c r="H274" i="9"/>
  <c r="J274" i="9"/>
  <c r="L274" i="9"/>
  <c r="M274" i="9"/>
  <c r="N274" i="9"/>
  <c r="P274" i="9"/>
  <c r="R274" i="9"/>
  <c r="T274" i="9"/>
  <c r="V274" i="9"/>
  <c r="X274" i="9"/>
  <c r="Z274" i="9"/>
  <c r="D275" i="9"/>
  <c r="F275" i="9"/>
  <c r="H275" i="9"/>
  <c r="J275" i="9"/>
  <c r="L275" i="9"/>
  <c r="N275" i="9"/>
  <c r="P275" i="9"/>
  <c r="R275" i="9"/>
  <c r="T275" i="9"/>
  <c r="V275" i="9"/>
  <c r="X275" i="9"/>
  <c r="Z275" i="9"/>
  <c r="D276" i="9"/>
  <c r="F276" i="9"/>
  <c r="H276" i="9"/>
  <c r="J276" i="9"/>
  <c r="L276" i="9"/>
  <c r="N276" i="9"/>
  <c r="P276" i="9"/>
  <c r="R276" i="9"/>
  <c r="T276" i="9"/>
  <c r="V276" i="9"/>
  <c r="X276" i="9"/>
  <c r="Z276" i="9"/>
  <c r="D277" i="9"/>
  <c r="F277" i="9"/>
  <c r="H277" i="9"/>
  <c r="J277" i="9"/>
  <c r="L277" i="9"/>
  <c r="N277" i="9"/>
  <c r="P277" i="9"/>
  <c r="R277" i="9"/>
  <c r="T277" i="9"/>
  <c r="V277" i="9"/>
  <c r="X277" i="9"/>
  <c r="Z277" i="9"/>
  <c r="D278" i="9"/>
  <c r="F278" i="9"/>
  <c r="H278" i="9"/>
  <c r="J278" i="9"/>
  <c r="L278" i="9"/>
  <c r="N278" i="9"/>
  <c r="P278" i="9"/>
  <c r="R278" i="9"/>
  <c r="T278" i="9"/>
  <c r="V278" i="9"/>
  <c r="X278" i="9"/>
  <c r="Z278" i="9"/>
  <c r="D279" i="9"/>
  <c r="F279" i="9"/>
  <c r="H279" i="9"/>
  <c r="J279" i="9"/>
  <c r="L279" i="9"/>
  <c r="N279" i="9"/>
  <c r="P279" i="9"/>
  <c r="R279" i="9"/>
  <c r="T279" i="9"/>
  <c r="V279" i="9"/>
  <c r="X279" i="9"/>
  <c r="Z279" i="9"/>
  <c r="D280" i="9"/>
  <c r="F280" i="9"/>
  <c r="H280" i="9"/>
  <c r="J280" i="9"/>
  <c r="L280" i="9"/>
  <c r="N280" i="9"/>
  <c r="P280" i="9"/>
  <c r="R280" i="9"/>
  <c r="T280" i="9"/>
  <c r="V280" i="9"/>
  <c r="X280" i="9"/>
  <c r="Z280" i="9"/>
  <c r="D281" i="9"/>
  <c r="F281" i="9"/>
  <c r="H281" i="9"/>
  <c r="J281" i="9"/>
  <c r="L281" i="9"/>
  <c r="M281" i="9"/>
  <c r="N281" i="9"/>
  <c r="P281" i="9"/>
  <c r="R281" i="9"/>
  <c r="T281" i="9"/>
  <c r="V281" i="9"/>
  <c r="X281" i="9"/>
  <c r="Z281" i="9"/>
  <c r="D282" i="9"/>
  <c r="F282" i="9"/>
  <c r="H282" i="9"/>
  <c r="J282" i="9"/>
  <c r="L282" i="9"/>
  <c r="N282" i="9"/>
  <c r="P282" i="9"/>
  <c r="R282" i="9"/>
  <c r="T282" i="9"/>
  <c r="V282" i="9"/>
  <c r="X282" i="9"/>
  <c r="Z282" i="9"/>
  <c r="D283" i="9"/>
  <c r="F283" i="9"/>
  <c r="H283" i="9"/>
  <c r="J283" i="9"/>
  <c r="L283" i="9"/>
  <c r="N283" i="9"/>
  <c r="P283" i="9"/>
  <c r="R283" i="9"/>
  <c r="T283" i="9"/>
  <c r="V283" i="9"/>
  <c r="X283" i="9"/>
  <c r="Z283" i="9"/>
  <c r="D284" i="9"/>
  <c r="F284" i="9"/>
  <c r="H284" i="9"/>
  <c r="J284" i="9"/>
  <c r="L284" i="9"/>
  <c r="N284" i="9"/>
  <c r="P284" i="9"/>
  <c r="R284" i="9"/>
  <c r="T284" i="9"/>
  <c r="V284" i="9"/>
  <c r="X284" i="9"/>
  <c r="Z284" i="9"/>
  <c r="D285" i="9"/>
  <c r="F285" i="9"/>
  <c r="H285" i="9"/>
  <c r="J285" i="9"/>
  <c r="L285" i="9"/>
  <c r="M285" i="9"/>
  <c r="N285" i="9"/>
  <c r="P285" i="9"/>
  <c r="R285" i="9"/>
  <c r="T285" i="9"/>
  <c r="V285" i="9"/>
  <c r="X285" i="9"/>
  <c r="Z285" i="9"/>
  <c r="D286" i="9"/>
  <c r="F286" i="9"/>
  <c r="H286" i="9"/>
  <c r="J286" i="9"/>
  <c r="L286" i="9"/>
  <c r="N286" i="9"/>
  <c r="P286" i="9"/>
  <c r="R286" i="9"/>
  <c r="T286" i="9"/>
  <c r="V286" i="9"/>
  <c r="X286" i="9"/>
  <c r="Z286" i="9"/>
  <c r="D287" i="9"/>
  <c r="F287" i="9"/>
  <c r="H287" i="9"/>
  <c r="J287" i="9"/>
  <c r="L287" i="9"/>
  <c r="N287" i="9"/>
  <c r="P287" i="9"/>
  <c r="R287" i="9"/>
  <c r="T287" i="9"/>
  <c r="V287" i="9"/>
  <c r="X287" i="9"/>
  <c r="Z287" i="9"/>
  <c r="D288" i="9"/>
  <c r="F288" i="9"/>
  <c r="H288" i="9"/>
  <c r="J288" i="9"/>
  <c r="L288" i="9"/>
  <c r="N288" i="9"/>
  <c r="P288" i="9"/>
  <c r="R288" i="9"/>
  <c r="T288" i="9"/>
  <c r="V288" i="9"/>
  <c r="X288" i="9"/>
  <c r="Z288" i="9"/>
  <c r="D289" i="9"/>
  <c r="F289" i="9"/>
  <c r="H289" i="9"/>
  <c r="J289" i="9"/>
  <c r="L289" i="9"/>
  <c r="M289" i="9"/>
  <c r="N289" i="9"/>
  <c r="P289" i="9"/>
  <c r="R289" i="9"/>
  <c r="T289" i="9"/>
  <c r="V289" i="9"/>
  <c r="X289" i="9"/>
  <c r="Z289" i="9"/>
  <c r="D290" i="9"/>
  <c r="F290" i="9"/>
  <c r="H290" i="9"/>
  <c r="J290" i="9"/>
  <c r="L290" i="9"/>
  <c r="M290" i="9"/>
  <c r="N290" i="9"/>
  <c r="P290" i="9"/>
  <c r="R290" i="9"/>
  <c r="T290" i="9"/>
  <c r="V290" i="9"/>
  <c r="X290" i="9"/>
  <c r="Z290" i="9"/>
  <c r="D291" i="9"/>
  <c r="F291" i="9"/>
  <c r="H291" i="9"/>
  <c r="J291" i="9"/>
  <c r="L291" i="9"/>
  <c r="N291" i="9"/>
  <c r="P291" i="9"/>
  <c r="R291" i="9"/>
  <c r="T291" i="9"/>
  <c r="V291" i="9"/>
  <c r="X291" i="9"/>
  <c r="Z291" i="9"/>
  <c r="D292" i="9"/>
  <c r="F292" i="9"/>
  <c r="H292" i="9"/>
  <c r="J292" i="9"/>
  <c r="L292" i="9"/>
  <c r="N292" i="9"/>
  <c r="P292" i="9"/>
  <c r="R292" i="9"/>
  <c r="T292" i="9"/>
  <c r="V292" i="9"/>
  <c r="X292" i="9"/>
  <c r="Z292" i="9"/>
  <c r="D293" i="9"/>
  <c r="F293" i="9"/>
  <c r="H293" i="9"/>
  <c r="J293" i="9"/>
  <c r="L293" i="9"/>
  <c r="N293" i="9"/>
  <c r="P293" i="9"/>
  <c r="R293" i="9"/>
  <c r="T293" i="9"/>
  <c r="V293" i="9"/>
  <c r="X293" i="9"/>
  <c r="Z293" i="9"/>
  <c r="D294" i="9"/>
  <c r="F294" i="9"/>
  <c r="H294" i="9"/>
  <c r="J294" i="9"/>
  <c r="L294" i="9"/>
  <c r="N294" i="9"/>
  <c r="P294" i="9"/>
  <c r="R294" i="9"/>
  <c r="T294" i="9"/>
  <c r="V294" i="9"/>
  <c r="X294" i="9"/>
  <c r="Z294" i="9"/>
  <c r="D295" i="9"/>
  <c r="F295" i="9"/>
  <c r="H295" i="9"/>
  <c r="J295" i="9"/>
  <c r="L295" i="9"/>
  <c r="N295" i="9"/>
  <c r="P295" i="9"/>
  <c r="R295" i="9"/>
  <c r="T295" i="9"/>
  <c r="V295" i="9"/>
  <c r="X295" i="9"/>
  <c r="Z295" i="9"/>
  <c r="D296" i="9"/>
  <c r="F296" i="9"/>
  <c r="H296" i="9"/>
  <c r="J296" i="9"/>
  <c r="L296" i="9"/>
  <c r="N296" i="9"/>
  <c r="P296" i="9"/>
  <c r="R296" i="9"/>
  <c r="T296" i="9"/>
  <c r="V296" i="9"/>
  <c r="X296" i="9"/>
  <c r="Z296" i="9"/>
  <c r="D297" i="9"/>
  <c r="F297" i="9"/>
  <c r="H297" i="9"/>
  <c r="J297" i="9"/>
  <c r="L297" i="9"/>
  <c r="M297" i="9"/>
  <c r="N297" i="9"/>
  <c r="P297" i="9"/>
  <c r="R297" i="9"/>
  <c r="T297" i="9"/>
  <c r="V297" i="9"/>
  <c r="X297" i="9"/>
  <c r="Z297" i="9"/>
  <c r="D298" i="9"/>
  <c r="F298" i="9"/>
  <c r="H298" i="9"/>
  <c r="J298" i="9"/>
  <c r="L298" i="9"/>
  <c r="N298" i="9"/>
  <c r="P298" i="9"/>
  <c r="R298" i="9"/>
  <c r="T298" i="9"/>
  <c r="V298" i="9"/>
  <c r="X298" i="9"/>
  <c r="Z298" i="9"/>
  <c r="D299" i="9"/>
  <c r="F299" i="9"/>
  <c r="H299" i="9"/>
  <c r="J299" i="9"/>
  <c r="L299" i="9"/>
  <c r="N299" i="9"/>
  <c r="P299" i="9"/>
  <c r="R299" i="9"/>
  <c r="T299" i="9"/>
  <c r="V299" i="9"/>
  <c r="X299" i="9"/>
  <c r="Z299" i="9"/>
  <c r="D300" i="9"/>
  <c r="F300" i="9"/>
  <c r="H300" i="9"/>
  <c r="J300" i="9"/>
  <c r="L300" i="9"/>
  <c r="N300" i="9"/>
  <c r="P300" i="9"/>
  <c r="R300" i="9"/>
  <c r="T300" i="9"/>
  <c r="V300" i="9"/>
  <c r="X300" i="9"/>
  <c r="Z300" i="9"/>
  <c r="D301" i="9"/>
  <c r="F301" i="9"/>
  <c r="H301" i="9"/>
  <c r="J301" i="9"/>
  <c r="L301" i="9"/>
  <c r="M301" i="9"/>
  <c r="N301" i="9"/>
  <c r="P301" i="9"/>
  <c r="R301" i="9"/>
  <c r="T301" i="9"/>
  <c r="V301" i="9"/>
  <c r="X301" i="9"/>
  <c r="Z301" i="9"/>
  <c r="D302" i="9"/>
  <c r="F302" i="9"/>
  <c r="H302" i="9"/>
  <c r="J302" i="9"/>
  <c r="L302" i="9"/>
  <c r="N302" i="9"/>
  <c r="P302" i="9"/>
  <c r="R302" i="9"/>
  <c r="T302" i="9"/>
  <c r="V302" i="9"/>
  <c r="X302" i="9"/>
  <c r="Z302" i="9"/>
  <c r="D303" i="9"/>
  <c r="F303" i="9"/>
  <c r="H303" i="9"/>
  <c r="J303" i="9"/>
  <c r="L303" i="9"/>
  <c r="N303" i="9"/>
  <c r="P303" i="9"/>
  <c r="R303" i="9"/>
  <c r="T303" i="9"/>
  <c r="V303" i="9"/>
  <c r="X303" i="9"/>
  <c r="Z303" i="9"/>
  <c r="D304" i="9"/>
  <c r="F304" i="9"/>
  <c r="H304" i="9"/>
  <c r="J304" i="9"/>
  <c r="L304" i="9"/>
  <c r="N304" i="9"/>
  <c r="P304" i="9"/>
  <c r="R304" i="9"/>
  <c r="T304" i="9"/>
  <c r="V304" i="9"/>
  <c r="X304" i="9"/>
  <c r="Z304" i="9"/>
  <c r="D305" i="9"/>
  <c r="F305" i="9"/>
  <c r="H305" i="9"/>
  <c r="J305" i="9"/>
  <c r="L305" i="9"/>
  <c r="M305" i="9"/>
  <c r="N305" i="9"/>
  <c r="P305" i="9"/>
  <c r="R305" i="9"/>
  <c r="T305" i="9"/>
  <c r="V305" i="9"/>
  <c r="X305" i="9"/>
  <c r="Z305" i="9"/>
  <c r="D306" i="9"/>
  <c r="F306" i="9"/>
  <c r="H306" i="9"/>
  <c r="J306" i="9"/>
  <c r="L306" i="9"/>
  <c r="N306" i="9"/>
  <c r="P306" i="9"/>
  <c r="R306" i="9"/>
  <c r="T306" i="9"/>
  <c r="V306" i="9"/>
  <c r="X306" i="9"/>
  <c r="Z306" i="9"/>
  <c r="D307" i="9"/>
  <c r="F307" i="9"/>
  <c r="H307" i="9"/>
  <c r="J307" i="9"/>
  <c r="L307" i="9"/>
  <c r="N307" i="9"/>
  <c r="P307" i="9"/>
  <c r="R307" i="9"/>
  <c r="T307" i="9"/>
  <c r="V307" i="9"/>
  <c r="X307" i="9"/>
  <c r="Z307" i="9"/>
  <c r="D308" i="9"/>
  <c r="F308" i="9"/>
  <c r="H308" i="9"/>
  <c r="J308" i="9"/>
  <c r="L308" i="9"/>
  <c r="N308" i="9"/>
  <c r="P308" i="9"/>
  <c r="R308" i="9"/>
  <c r="T308" i="9"/>
  <c r="V308" i="9"/>
  <c r="X308" i="9"/>
  <c r="Z308" i="9"/>
  <c r="D309" i="9"/>
  <c r="F309" i="9"/>
  <c r="H309" i="9"/>
  <c r="J309" i="9"/>
  <c r="L309" i="9"/>
  <c r="N309" i="9"/>
  <c r="P309" i="9"/>
  <c r="R309" i="9"/>
  <c r="T309" i="9"/>
  <c r="V309" i="9"/>
  <c r="X309" i="9"/>
  <c r="Z309" i="9"/>
  <c r="D310" i="9"/>
  <c r="F310" i="9"/>
  <c r="H310" i="9"/>
  <c r="J310" i="9"/>
  <c r="L310" i="9"/>
  <c r="N310" i="9"/>
  <c r="P310" i="9"/>
  <c r="R310" i="9"/>
  <c r="T310" i="9"/>
  <c r="V310" i="9"/>
  <c r="X310" i="9"/>
  <c r="Z310" i="9"/>
  <c r="D311" i="9"/>
  <c r="F311" i="9"/>
  <c r="H311" i="9"/>
  <c r="J311" i="9"/>
  <c r="L311" i="9"/>
  <c r="N311" i="9"/>
  <c r="P311" i="9"/>
  <c r="R311" i="9"/>
  <c r="T311" i="9"/>
  <c r="V311" i="9"/>
  <c r="X311" i="9"/>
  <c r="Z311" i="9"/>
  <c r="D312" i="9"/>
  <c r="F312" i="9"/>
  <c r="H312" i="9"/>
  <c r="J312" i="9"/>
  <c r="L312" i="9"/>
  <c r="N312" i="9"/>
  <c r="P312" i="9"/>
  <c r="R312" i="9"/>
  <c r="T312" i="9"/>
  <c r="V312" i="9"/>
  <c r="X312" i="9"/>
  <c r="Z312" i="9"/>
  <c r="D313" i="9"/>
  <c r="F313" i="9"/>
  <c r="H313" i="9"/>
  <c r="J313" i="9"/>
  <c r="L313" i="9"/>
  <c r="M313" i="9"/>
  <c r="N313" i="9"/>
  <c r="P313" i="9"/>
  <c r="R313" i="9"/>
  <c r="T313" i="9"/>
  <c r="V313" i="9"/>
  <c r="X313" i="9"/>
  <c r="Z313" i="9"/>
  <c r="D314" i="9"/>
  <c r="F314" i="9"/>
  <c r="H314" i="9"/>
  <c r="J314" i="9"/>
  <c r="L314" i="9"/>
  <c r="N314" i="9"/>
  <c r="P314" i="9"/>
  <c r="R314" i="9"/>
  <c r="T314" i="9"/>
  <c r="V314" i="9"/>
  <c r="X314" i="9"/>
  <c r="Z314" i="9"/>
  <c r="D315" i="9"/>
  <c r="F315" i="9"/>
  <c r="H315" i="9"/>
  <c r="J315" i="9"/>
  <c r="L315" i="9"/>
  <c r="M315" i="9"/>
  <c r="N315" i="9"/>
  <c r="P315" i="9"/>
  <c r="R315" i="9"/>
  <c r="T315" i="9"/>
  <c r="V315" i="9"/>
  <c r="X315" i="9"/>
  <c r="Z315" i="9"/>
  <c r="D316" i="9"/>
  <c r="F316" i="9"/>
  <c r="H316" i="9"/>
  <c r="J316" i="9"/>
  <c r="L316" i="9"/>
  <c r="N316" i="9"/>
  <c r="P316" i="9"/>
  <c r="R316" i="9"/>
  <c r="T316" i="9"/>
  <c r="V316" i="9"/>
  <c r="X316" i="9"/>
  <c r="Z316" i="9"/>
  <c r="D317" i="9"/>
  <c r="F317" i="9"/>
  <c r="H317" i="9"/>
  <c r="J317" i="9"/>
  <c r="L317" i="9"/>
  <c r="M317" i="9"/>
  <c r="N317" i="9"/>
  <c r="P317" i="9"/>
  <c r="R317" i="9"/>
  <c r="T317" i="9"/>
  <c r="V317" i="9"/>
  <c r="X317" i="9"/>
  <c r="Z317" i="9"/>
  <c r="D318" i="9"/>
  <c r="F318" i="9"/>
  <c r="H318" i="9"/>
  <c r="J318" i="9"/>
  <c r="L318" i="9"/>
  <c r="N318" i="9"/>
  <c r="P318" i="9"/>
  <c r="R318" i="9"/>
  <c r="T318" i="9"/>
  <c r="V318" i="9"/>
  <c r="X318" i="9"/>
  <c r="Z318" i="9"/>
  <c r="D319" i="9"/>
  <c r="F319" i="9"/>
  <c r="H319" i="9"/>
  <c r="J319" i="9"/>
  <c r="L319" i="9"/>
  <c r="N319" i="9"/>
  <c r="P319" i="9"/>
  <c r="R319" i="9"/>
  <c r="T319" i="9"/>
  <c r="V319" i="9"/>
  <c r="X319" i="9"/>
  <c r="Z319" i="9"/>
  <c r="D320" i="9"/>
  <c r="F320" i="9"/>
  <c r="H320" i="9"/>
  <c r="J320" i="9"/>
  <c r="L320" i="9"/>
  <c r="N320" i="9"/>
  <c r="P320" i="9"/>
  <c r="R320" i="9"/>
  <c r="T320" i="9"/>
  <c r="V320" i="9"/>
  <c r="X320" i="9"/>
  <c r="Z320" i="9"/>
  <c r="D321" i="9"/>
  <c r="F321" i="9"/>
  <c r="H321" i="9"/>
  <c r="J321" i="9"/>
  <c r="L321" i="9"/>
  <c r="N321" i="9"/>
  <c r="P321" i="9"/>
  <c r="R321" i="9"/>
  <c r="T321" i="9"/>
  <c r="V321" i="9"/>
  <c r="X321" i="9"/>
  <c r="Z321" i="9"/>
  <c r="D322" i="9"/>
  <c r="F322" i="9"/>
  <c r="H322" i="9"/>
  <c r="J322" i="9"/>
  <c r="L322" i="9"/>
  <c r="M322" i="9"/>
  <c r="N322" i="9"/>
  <c r="P322" i="9"/>
  <c r="R322" i="9"/>
  <c r="S322" i="9"/>
  <c r="T322" i="9"/>
  <c r="V322" i="9"/>
  <c r="X322" i="9"/>
  <c r="Z322" i="9"/>
  <c r="D323" i="9"/>
  <c r="F323" i="9"/>
  <c r="H323" i="9"/>
  <c r="J323" i="9"/>
  <c r="L323" i="9"/>
  <c r="N323" i="9"/>
  <c r="P323" i="9"/>
  <c r="R323" i="9"/>
  <c r="S323" i="9"/>
  <c r="T323" i="9"/>
  <c r="V323" i="9"/>
  <c r="X323" i="9"/>
  <c r="Z323" i="9"/>
  <c r="D324" i="9"/>
  <c r="F324" i="9"/>
  <c r="H324" i="9"/>
  <c r="J324" i="9"/>
  <c r="L324" i="9"/>
  <c r="M324" i="9"/>
  <c r="N324" i="9"/>
  <c r="P324" i="9"/>
  <c r="R324" i="9"/>
  <c r="S324" i="9"/>
  <c r="T324" i="9"/>
  <c r="V324" i="9"/>
  <c r="X324" i="9"/>
  <c r="Z324" i="9"/>
  <c r="D325" i="9"/>
  <c r="F325" i="9"/>
  <c r="H325" i="9"/>
  <c r="J325" i="9"/>
  <c r="L325" i="9"/>
  <c r="M325" i="9"/>
  <c r="N325" i="9"/>
  <c r="P325" i="9"/>
  <c r="R325" i="9"/>
  <c r="S325" i="9"/>
  <c r="T325" i="9"/>
  <c r="V325" i="9"/>
  <c r="X325" i="9"/>
  <c r="Z325" i="9"/>
  <c r="D326" i="9"/>
  <c r="F326" i="9"/>
  <c r="H326" i="9"/>
  <c r="J326" i="9"/>
  <c r="L326" i="9"/>
  <c r="M326" i="9"/>
  <c r="N326" i="9"/>
  <c r="P326" i="9"/>
  <c r="R326" i="9"/>
  <c r="S326" i="9"/>
  <c r="T326" i="9"/>
  <c r="V326" i="9"/>
  <c r="X326" i="9"/>
  <c r="Z326" i="9"/>
  <c r="D327" i="9"/>
  <c r="F327" i="9"/>
  <c r="H327" i="9"/>
  <c r="J327" i="9"/>
  <c r="L327" i="9"/>
  <c r="N327" i="9"/>
  <c r="P327" i="9"/>
  <c r="R327" i="9"/>
  <c r="S327" i="9"/>
  <c r="T327" i="9"/>
  <c r="V327" i="9"/>
  <c r="X327" i="9"/>
  <c r="Z327" i="9"/>
  <c r="D328" i="9"/>
  <c r="F328" i="9"/>
  <c r="H328" i="9"/>
  <c r="J328" i="9"/>
  <c r="L328" i="9"/>
  <c r="M328" i="9"/>
  <c r="N328" i="9"/>
  <c r="P328" i="9"/>
  <c r="R328" i="9"/>
  <c r="S328" i="9"/>
  <c r="T328" i="9"/>
  <c r="V328" i="9"/>
  <c r="X328" i="9"/>
  <c r="Z328" i="9"/>
  <c r="D329" i="9"/>
  <c r="F329" i="9"/>
  <c r="H329" i="9"/>
  <c r="J329" i="9"/>
  <c r="L329" i="9"/>
  <c r="M329" i="9"/>
  <c r="N329" i="9"/>
  <c r="P329" i="9"/>
  <c r="R329" i="9"/>
  <c r="S329" i="9"/>
  <c r="T329" i="9"/>
  <c r="V329" i="9"/>
  <c r="X329" i="9"/>
  <c r="Z329" i="9"/>
  <c r="D330" i="9"/>
  <c r="F330" i="9"/>
  <c r="H330" i="9"/>
  <c r="J330" i="9"/>
  <c r="L330" i="9"/>
  <c r="M330" i="9"/>
  <c r="N330" i="9"/>
  <c r="P330" i="9"/>
  <c r="R330" i="9"/>
  <c r="S330" i="9"/>
  <c r="T330" i="9"/>
  <c r="V330" i="9"/>
  <c r="X330" i="9"/>
  <c r="Z330" i="9"/>
  <c r="D331" i="9"/>
  <c r="F331" i="9"/>
  <c r="H331" i="9"/>
  <c r="J331" i="9"/>
  <c r="L331" i="9"/>
  <c r="N331" i="9"/>
  <c r="P331" i="9"/>
  <c r="R331" i="9"/>
  <c r="S331" i="9"/>
  <c r="T331" i="9"/>
  <c r="V331" i="9"/>
  <c r="X331" i="9"/>
  <c r="Z331" i="9"/>
  <c r="D332" i="9"/>
  <c r="F332" i="9"/>
  <c r="H332" i="9"/>
  <c r="J332" i="9"/>
  <c r="L332" i="9"/>
  <c r="M332" i="9"/>
  <c r="N332" i="9"/>
  <c r="P332" i="9"/>
  <c r="R332" i="9"/>
  <c r="S332" i="9"/>
  <c r="T332" i="9"/>
  <c r="V332" i="9"/>
  <c r="X332" i="9"/>
  <c r="Z332" i="9"/>
  <c r="D333" i="9"/>
  <c r="F333" i="9"/>
  <c r="H333" i="9"/>
  <c r="J333" i="9"/>
  <c r="L333" i="9"/>
  <c r="M333" i="9"/>
  <c r="N333" i="9"/>
  <c r="P333" i="9"/>
  <c r="R333" i="9"/>
  <c r="S333" i="9"/>
  <c r="T333" i="9"/>
  <c r="V333" i="9"/>
  <c r="X333" i="9"/>
  <c r="Z333" i="9"/>
  <c r="D334" i="9"/>
  <c r="F334" i="9"/>
  <c r="H334" i="9"/>
  <c r="J334" i="9"/>
  <c r="L334" i="9"/>
  <c r="M334" i="9"/>
  <c r="N334" i="9"/>
  <c r="P334" i="9"/>
  <c r="R334" i="9"/>
  <c r="S334" i="9"/>
  <c r="T334" i="9"/>
  <c r="V334" i="9"/>
  <c r="X334" i="9"/>
  <c r="Z334" i="9"/>
  <c r="D335" i="9"/>
  <c r="F335" i="9"/>
  <c r="H335" i="9"/>
  <c r="J335" i="9"/>
  <c r="L335" i="9"/>
  <c r="N335" i="9"/>
  <c r="P335" i="9"/>
  <c r="R335" i="9"/>
  <c r="S335" i="9"/>
  <c r="T335" i="9"/>
  <c r="V335" i="9"/>
  <c r="X335" i="9"/>
  <c r="Z335" i="9"/>
  <c r="D336" i="9"/>
  <c r="F336" i="9"/>
  <c r="H336" i="9"/>
  <c r="J336" i="9"/>
  <c r="L336" i="9"/>
  <c r="M336" i="9"/>
  <c r="N336" i="9"/>
  <c r="P336" i="9"/>
  <c r="R336" i="9"/>
  <c r="S336" i="9"/>
  <c r="T336" i="9"/>
  <c r="V336" i="9"/>
  <c r="X336" i="9"/>
  <c r="Z336" i="9"/>
  <c r="D337" i="9"/>
  <c r="F337" i="9"/>
  <c r="H337" i="9"/>
  <c r="J337" i="9"/>
  <c r="L337" i="9"/>
  <c r="M337" i="9"/>
  <c r="N337" i="9"/>
  <c r="P337" i="9"/>
  <c r="R337" i="9"/>
  <c r="S337" i="9"/>
  <c r="T337" i="9"/>
  <c r="V337" i="9"/>
  <c r="X337" i="9"/>
  <c r="Z337" i="9"/>
  <c r="D338" i="9"/>
  <c r="F338" i="9"/>
  <c r="H338" i="9"/>
  <c r="J338" i="9"/>
  <c r="L338" i="9"/>
  <c r="M338" i="9"/>
  <c r="N338" i="9"/>
  <c r="P338" i="9"/>
  <c r="R338" i="9"/>
  <c r="S338" i="9"/>
  <c r="T338" i="9"/>
  <c r="V338" i="9"/>
  <c r="X338" i="9"/>
  <c r="Z338" i="9"/>
  <c r="D339" i="9"/>
  <c r="F339" i="9"/>
  <c r="H339" i="9"/>
  <c r="J339" i="9"/>
  <c r="L339" i="9"/>
  <c r="N339" i="9"/>
  <c r="P339" i="9"/>
  <c r="R339" i="9"/>
  <c r="S339" i="9"/>
  <c r="T339" i="9"/>
  <c r="V339" i="9"/>
  <c r="X339" i="9"/>
  <c r="Z339" i="9"/>
  <c r="D340" i="9"/>
  <c r="F340" i="9"/>
  <c r="H340" i="9"/>
  <c r="J340" i="9"/>
  <c r="L340" i="9"/>
  <c r="M340" i="9"/>
  <c r="N340" i="9"/>
  <c r="P340" i="9"/>
  <c r="R340" i="9"/>
  <c r="S340" i="9"/>
  <c r="T340" i="9"/>
  <c r="V340" i="9"/>
  <c r="X340" i="9"/>
  <c r="Z340" i="9"/>
  <c r="D341" i="9"/>
  <c r="F341" i="9"/>
  <c r="H341" i="9"/>
  <c r="J341" i="9"/>
  <c r="L341" i="9"/>
  <c r="M341" i="9"/>
  <c r="N341" i="9"/>
  <c r="P341" i="9"/>
  <c r="R341" i="9"/>
  <c r="S341" i="9"/>
  <c r="T341" i="9"/>
  <c r="V341" i="9"/>
  <c r="X341" i="9"/>
  <c r="Z341" i="9"/>
  <c r="D342" i="9"/>
  <c r="F342" i="9"/>
  <c r="H342" i="9"/>
  <c r="J342" i="9"/>
  <c r="L342" i="9"/>
  <c r="M342" i="9"/>
  <c r="N342" i="9"/>
  <c r="P342" i="9"/>
  <c r="R342" i="9"/>
  <c r="S342" i="9"/>
  <c r="T342" i="9"/>
  <c r="V342" i="9"/>
  <c r="X342" i="9"/>
  <c r="Z342" i="9"/>
  <c r="D343" i="9"/>
  <c r="F343" i="9"/>
  <c r="H343" i="9"/>
  <c r="J343" i="9"/>
  <c r="L343" i="9"/>
  <c r="N343" i="9"/>
  <c r="P343" i="9"/>
  <c r="R343" i="9"/>
  <c r="S343" i="9"/>
  <c r="T343" i="9"/>
  <c r="V343" i="9"/>
  <c r="X343" i="9"/>
  <c r="Z343" i="9"/>
  <c r="D344" i="9"/>
  <c r="F344" i="9"/>
  <c r="H344" i="9"/>
  <c r="J344" i="9"/>
  <c r="L344" i="9"/>
  <c r="M344" i="9"/>
  <c r="N344" i="9"/>
  <c r="P344" i="9"/>
  <c r="R344" i="9"/>
  <c r="S344" i="9"/>
  <c r="T344" i="9"/>
  <c r="V344" i="9"/>
  <c r="X344" i="9"/>
  <c r="Z344" i="9"/>
  <c r="D345" i="9"/>
  <c r="F345" i="9"/>
  <c r="H345" i="9"/>
  <c r="J345" i="9"/>
  <c r="L345" i="9"/>
  <c r="M345" i="9"/>
  <c r="N345" i="9"/>
  <c r="P345" i="9"/>
  <c r="R345" i="9"/>
  <c r="S345" i="9"/>
  <c r="T345" i="9"/>
  <c r="V345" i="9"/>
  <c r="X345" i="9"/>
  <c r="Z345" i="9"/>
  <c r="D346" i="9"/>
  <c r="F346" i="9"/>
  <c r="H346" i="9"/>
  <c r="J346" i="9"/>
  <c r="L346" i="9"/>
  <c r="M346" i="9"/>
  <c r="N346" i="9"/>
  <c r="P346" i="9"/>
  <c r="R346" i="9"/>
  <c r="S346" i="9"/>
  <c r="T346" i="9"/>
  <c r="V346" i="9"/>
  <c r="X346" i="9"/>
  <c r="Z346" i="9"/>
  <c r="D347" i="9"/>
  <c r="F347" i="9"/>
  <c r="H347" i="9"/>
  <c r="J347" i="9"/>
  <c r="L347" i="9"/>
  <c r="N347" i="9"/>
  <c r="P347" i="9"/>
  <c r="R347" i="9"/>
  <c r="S347" i="9"/>
  <c r="T347" i="9"/>
  <c r="V347" i="9"/>
  <c r="X347" i="9"/>
  <c r="Z347" i="9"/>
  <c r="D348" i="9"/>
  <c r="F348" i="9"/>
  <c r="H348" i="9"/>
  <c r="J348" i="9"/>
  <c r="L348" i="9"/>
  <c r="M348" i="9"/>
  <c r="N348" i="9"/>
  <c r="P348" i="9"/>
  <c r="R348" i="9"/>
  <c r="S348" i="9"/>
  <c r="T348" i="9"/>
  <c r="V348" i="9"/>
  <c r="X348" i="9"/>
  <c r="Z348" i="9"/>
  <c r="D349" i="9"/>
  <c r="F349" i="9"/>
  <c r="H349" i="9"/>
  <c r="J349" i="9"/>
  <c r="L349" i="9"/>
  <c r="M349" i="9"/>
  <c r="N349" i="9"/>
  <c r="P349" i="9"/>
  <c r="R349" i="9"/>
  <c r="S349" i="9"/>
  <c r="T349" i="9"/>
  <c r="V349" i="9"/>
  <c r="X349" i="9"/>
  <c r="Z349" i="9"/>
  <c r="D350" i="9"/>
  <c r="F350" i="9"/>
  <c r="H350" i="9"/>
  <c r="J350" i="9"/>
  <c r="L350" i="9"/>
  <c r="M350" i="9"/>
  <c r="N350" i="9"/>
  <c r="P350" i="9"/>
  <c r="R350" i="9"/>
  <c r="S350" i="9"/>
  <c r="T350" i="9"/>
  <c r="V350" i="9"/>
  <c r="X350" i="9"/>
  <c r="Z350" i="9"/>
  <c r="D351" i="9"/>
  <c r="F351" i="9"/>
  <c r="H351" i="9"/>
  <c r="J351" i="9"/>
  <c r="L351" i="9"/>
  <c r="N351" i="9"/>
  <c r="P351" i="9"/>
  <c r="R351" i="9"/>
  <c r="S351" i="9"/>
  <c r="T351" i="9"/>
  <c r="V351" i="9"/>
  <c r="X351" i="9"/>
  <c r="Z351" i="9"/>
  <c r="D352" i="9"/>
  <c r="F352" i="9"/>
  <c r="H352" i="9"/>
  <c r="J352" i="9"/>
  <c r="L352" i="9"/>
  <c r="M352" i="9"/>
  <c r="N352" i="9"/>
  <c r="P352" i="9"/>
  <c r="R352" i="9"/>
  <c r="S352" i="9"/>
  <c r="T352" i="9"/>
  <c r="V352" i="9"/>
  <c r="X352" i="9"/>
  <c r="Z352" i="9"/>
  <c r="D353" i="9"/>
  <c r="F353" i="9"/>
  <c r="H353" i="9"/>
  <c r="J353" i="9"/>
  <c r="L353" i="9"/>
  <c r="M353" i="9"/>
  <c r="N353" i="9"/>
  <c r="P353" i="9"/>
  <c r="R353" i="9"/>
  <c r="S353" i="9"/>
  <c r="T353" i="9"/>
  <c r="V353" i="9"/>
  <c r="X353" i="9"/>
  <c r="Z353" i="9"/>
  <c r="D354" i="9"/>
  <c r="F354" i="9"/>
  <c r="H354" i="9"/>
  <c r="J354" i="9"/>
  <c r="L354" i="9"/>
  <c r="M354" i="9"/>
  <c r="N354" i="9"/>
  <c r="P354" i="9"/>
  <c r="R354" i="9"/>
  <c r="S354" i="9"/>
  <c r="T354" i="9"/>
  <c r="V354" i="9"/>
  <c r="X354" i="9"/>
  <c r="Z354" i="9"/>
  <c r="D355" i="9"/>
  <c r="F355" i="9"/>
  <c r="H355" i="9"/>
  <c r="J355" i="9"/>
  <c r="L355" i="9"/>
  <c r="N355" i="9"/>
  <c r="P355" i="9"/>
  <c r="R355" i="9"/>
  <c r="S355" i="9"/>
  <c r="T355" i="9"/>
  <c r="V355" i="9"/>
  <c r="X355" i="9"/>
  <c r="Z355" i="9"/>
  <c r="D356" i="9"/>
  <c r="F356" i="9"/>
  <c r="H356" i="9"/>
  <c r="J356" i="9"/>
  <c r="L356" i="9"/>
  <c r="M356" i="9"/>
  <c r="N356" i="9"/>
  <c r="P356" i="9"/>
  <c r="R356" i="9"/>
  <c r="S356" i="9"/>
  <c r="T356" i="9"/>
  <c r="V356" i="9"/>
  <c r="X356" i="9"/>
  <c r="Z356" i="9"/>
  <c r="D357" i="9"/>
  <c r="F357" i="9"/>
  <c r="H357" i="9"/>
  <c r="J357" i="9"/>
  <c r="L357" i="9"/>
  <c r="M357" i="9"/>
  <c r="N357" i="9"/>
  <c r="P357" i="9"/>
  <c r="R357" i="9"/>
  <c r="S357" i="9"/>
  <c r="T357" i="9"/>
  <c r="V357" i="9"/>
  <c r="X357" i="9"/>
  <c r="Z357" i="9"/>
  <c r="D358" i="9"/>
  <c r="F358" i="9"/>
  <c r="H358" i="9"/>
  <c r="J358" i="9"/>
  <c r="L358" i="9"/>
  <c r="M358" i="9"/>
  <c r="N358" i="9"/>
  <c r="P358" i="9"/>
  <c r="R358" i="9"/>
  <c r="S358" i="9"/>
  <c r="T358" i="9"/>
  <c r="V358" i="9"/>
  <c r="X358" i="9"/>
  <c r="Z358" i="9"/>
  <c r="D359" i="9"/>
  <c r="F359" i="9"/>
  <c r="H359" i="9"/>
  <c r="J359" i="9"/>
  <c r="L359" i="9"/>
  <c r="N359" i="9"/>
  <c r="P359" i="9"/>
  <c r="R359" i="9"/>
  <c r="S359" i="9"/>
  <c r="T359" i="9"/>
  <c r="V359" i="9"/>
  <c r="X359" i="9"/>
  <c r="Z359" i="9"/>
  <c r="D360" i="9"/>
  <c r="F360" i="9"/>
  <c r="H360" i="9"/>
  <c r="J360" i="9"/>
  <c r="L360" i="9"/>
  <c r="M360" i="9"/>
  <c r="N360" i="9"/>
  <c r="P360" i="9"/>
  <c r="R360" i="9"/>
  <c r="S360" i="9"/>
  <c r="T360" i="9"/>
  <c r="V360" i="9"/>
  <c r="X360" i="9"/>
  <c r="Z360" i="9"/>
  <c r="D361" i="9"/>
  <c r="F361" i="9"/>
  <c r="H361" i="9"/>
  <c r="J361" i="9"/>
  <c r="L361" i="9"/>
  <c r="M361" i="9"/>
  <c r="N361" i="9"/>
  <c r="P361" i="9"/>
  <c r="R361" i="9"/>
  <c r="S361" i="9"/>
  <c r="T361" i="9"/>
  <c r="V361" i="9"/>
  <c r="X361" i="9"/>
  <c r="Z361" i="9"/>
  <c r="D362" i="9"/>
  <c r="F362" i="9"/>
  <c r="H362" i="9"/>
  <c r="J362" i="9"/>
  <c r="L362" i="9"/>
  <c r="M362" i="9"/>
  <c r="N362" i="9"/>
  <c r="P362" i="9"/>
  <c r="R362" i="9"/>
  <c r="S362" i="9"/>
  <c r="T362" i="9"/>
  <c r="V362" i="9"/>
  <c r="X362" i="9"/>
  <c r="Z362" i="9"/>
  <c r="D363" i="9"/>
  <c r="F363" i="9"/>
  <c r="H363" i="9"/>
  <c r="J363" i="9"/>
  <c r="L363" i="9"/>
  <c r="N363" i="9"/>
  <c r="P363" i="9"/>
  <c r="R363" i="9"/>
  <c r="S363" i="9"/>
  <c r="T363" i="9"/>
  <c r="V363" i="9"/>
  <c r="X363" i="9"/>
  <c r="Z363" i="9"/>
  <c r="D364" i="9"/>
  <c r="F364" i="9"/>
  <c r="H364" i="9"/>
  <c r="J364" i="9"/>
  <c r="L364" i="9"/>
  <c r="M364" i="9"/>
  <c r="N364" i="9"/>
  <c r="P364" i="9"/>
  <c r="R364" i="9"/>
  <c r="S364" i="9"/>
  <c r="T364" i="9"/>
  <c r="V364" i="9"/>
  <c r="X364" i="9"/>
  <c r="Z364" i="9"/>
  <c r="D365" i="9"/>
  <c r="F365" i="9"/>
  <c r="H365" i="9"/>
  <c r="J365" i="9"/>
  <c r="L365" i="9"/>
  <c r="M365" i="9"/>
  <c r="N365" i="9"/>
  <c r="P365" i="9"/>
  <c r="R365" i="9"/>
  <c r="S365" i="9"/>
  <c r="T365" i="9"/>
  <c r="V365" i="9"/>
  <c r="X365" i="9"/>
  <c r="Z365" i="9"/>
  <c r="D366" i="9"/>
  <c r="F366" i="9"/>
  <c r="H366" i="9"/>
  <c r="J366" i="9"/>
  <c r="L366" i="9"/>
  <c r="M366" i="9"/>
  <c r="N366" i="9"/>
  <c r="P366" i="9"/>
  <c r="R366" i="9"/>
  <c r="S366" i="9"/>
  <c r="T366" i="9"/>
  <c r="V366" i="9"/>
  <c r="X366" i="9"/>
  <c r="Z366" i="9"/>
  <c r="D367" i="9"/>
  <c r="F367" i="9"/>
  <c r="H367" i="9"/>
  <c r="J367" i="9"/>
  <c r="L367" i="9"/>
  <c r="N367" i="9"/>
  <c r="P367" i="9"/>
  <c r="R367" i="9"/>
  <c r="S367" i="9"/>
  <c r="T367" i="9"/>
  <c r="V367" i="9"/>
  <c r="X367" i="9"/>
  <c r="Z367" i="9"/>
  <c r="D368" i="9"/>
  <c r="F368" i="9"/>
  <c r="H368" i="9"/>
  <c r="J368" i="9"/>
  <c r="L368" i="9"/>
  <c r="M368" i="9"/>
  <c r="N368" i="9"/>
  <c r="P368" i="9"/>
  <c r="R368" i="9"/>
  <c r="S368" i="9"/>
  <c r="T368" i="9"/>
  <c r="V368" i="9"/>
  <c r="X368" i="9"/>
  <c r="Z368" i="9"/>
  <c r="D369" i="9"/>
  <c r="F369" i="9"/>
  <c r="H369" i="9"/>
  <c r="J369" i="9"/>
  <c r="L369" i="9"/>
  <c r="M369" i="9"/>
  <c r="N369" i="9"/>
  <c r="P369" i="9"/>
  <c r="R369" i="9"/>
  <c r="S369" i="9"/>
  <c r="T369" i="9"/>
  <c r="V369" i="9"/>
  <c r="X369" i="9"/>
  <c r="Z369" i="9"/>
  <c r="D370" i="9"/>
  <c r="F370" i="9"/>
  <c r="H370" i="9"/>
  <c r="J370" i="9"/>
  <c r="L370" i="9"/>
  <c r="M370" i="9"/>
  <c r="N370" i="9"/>
  <c r="P370" i="9"/>
  <c r="R370" i="9"/>
  <c r="S370" i="9"/>
  <c r="T370" i="9"/>
  <c r="V370" i="9"/>
  <c r="X370" i="9"/>
  <c r="Z370" i="9"/>
  <c r="D371" i="9"/>
  <c r="F371" i="9"/>
  <c r="H371" i="9"/>
  <c r="J371" i="9"/>
  <c r="L371" i="9"/>
  <c r="N371" i="9"/>
  <c r="P371" i="9"/>
  <c r="R371" i="9"/>
  <c r="S371" i="9"/>
  <c r="T371" i="9"/>
  <c r="V371" i="9"/>
  <c r="X371" i="9"/>
  <c r="Z371" i="9"/>
  <c r="D372" i="9"/>
  <c r="F372" i="9"/>
  <c r="H372" i="9"/>
  <c r="J372" i="9"/>
  <c r="L372" i="9"/>
  <c r="M372" i="9"/>
  <c r="N372" i="9"/>
  <c r="P372" i="9"/>
  <c r="R372" i="9"/>
  <c r="S372" i="9"/>
  <c r="T372" i="9"/>
  <c r="V372" i="9"/>
  <c r="X372" i="9"/>
  <c r="Z372" i="9"/>
  <c r="D373" i="9"/>
  <c r="F373" i="9"/>
  <c r="H373" i="9"/>
  <c r="J373" i="9"/>
  <c r="L373" i="9"/>
  <c r="M373" i="9"/>
  <c r="N373" i="9"/>
  <c r="P373" i="9"/>
  <c r="R373" i="9"/>
  <c r="S373" i="9"/>
  <c r="T373" i="9"/>
  <c r="V373" i="9"/>
  <c r="X373" i="9"/>
  <c r="Z373" i="9"/>
  <c r="D374" i="9"/>
  <c r="F374" i="9"/>
  <c r="H374" i="9"/>
  <c r="J374" i="9"/>
  <c r="L374" i="9"/>
  <c r="M374" i="9"/>
  <c r="N374" i="9"/>
  <c r="P374" i="9"/>
  <c r="R374" i="9"/>
  <c r="S374" i="9"/>
  <c r="T374" i="9"/>
  <c r="V374" i="9"/>
  <c r="X374" i="9"/>
  <c r="Z374" i="9"/>
  <c r="D375" i="9"/>
  <c r="F375" i="9"/>
  <c r="H375" i="9"/>
  <c r="J375" i="9"/>
  <c r="L375" i="9"/>
  <c r="N375" i="9"/>
  <c r="P375" i="9"/>
  <c r="R375" i="9"/>
  <c r="S375" i="9"/>
  <c r="T375" i="9"/>
  <c r="V375" i="9"/>
  <c r="X375" i="9"/>
  <c r="Z375" i="9"/>
  <c r="D376" i="9"/>
  <c r="F376" i="9"/>
  <c r="H376" i="9"/>
  <c r="J376" i="9"/>
  <c r="L376" i="9"/>
  <c r="M376" i="9"/>
  <c r="N376" i="9"/>
  <c r="P376" i="9"/>
  <c r="R376" i="9"/>
  <c r="S376" i="9"/>
  <c r="T376" i="9"/>
  <c r="V376" i="9"/>
  <c r="X376" i="9"/>
  <c r="Z376" i="9"/>
  <c r="D377" i="9"/>
  <c r="F377" i="9"/>
  <c r="H377" i="9"/>
  <c r="J377" i="9"/>
  <c r="L377" i="9"/>
  <c r="M377" i="9"/>
  <c r="N377" i="9"/>
  <c r="P377" i="9"/>
  <c r="R377" i="9"/>
  <c r="S377" i="9"/>
  <c r="T377" i="9"/>
  <c r="V377" i="9"/>
  <c r="X377" i="9"/>
  <c r="Z377" i="9"/>
  <c r="D378" i="9"/>
  <c r="F378" i="9"/>
  <c r="H378" i="9"/>
  <c r="J378" i="9"/>
  <c r="L378" i="9"/>
  <c r="M378" i="9"/>
  <c r="N378" i="9"/>
  <c r="P378" i="9"/>
  <c r="R378" i="9"/>
  <c r="S378" i="9"/>
  <c r="T378" i="9"/>
  <c r="V378" i="9"/>
  <c r="X378" i="9"/>
  <c r="Z378" i="9"/>
  <c r="D379" i="9"/>
  <c r="F379" i="9"/>
  <c r="H379" i="9"/>
  <c r="J379" i="9"/>
  <c r="L379" i="9"/>
  <c r="N379" i="9"/>
  <c r="P379" i="9"/>
  <c r="R379" i="9"/>
  <c r="S379" i="9"/>
  <c r="T379" i="9"/>
  <c r="V379" i="9"/>
  <c r="X379" i="9"/>
  <c r="Z379" i="9"/>
  <c r="D380" i="9"/>
  <c r="F380" i="9"/>
  <c r="H380" i="9"/>
  <c r="J380" i="9"/>
  <c r="L380" i="9"/>
  <c r="M380" i="9"/>
  <c r="N380" i="9"/>
  <c r="P380" i="9"/>
  <c r="R380" i="9"/>
  <c r="S380" i="9"/>
  <c r="T380" i="9"/>
  <c r="V380" i="9"/>
  <c r="X380" i="9"/>
  <c r="Z380" i="9"/>
  <c r="D381" i="9"/>
  <c r="F381" i="9"/>
  <c r="H381" i="9"/>
  <c r="J381" i="9"/>
  <c r="L381" i="9"/>
  <c r="M381" i="9"/>
  <c r="N381" i="9"/>
  <c r="P381" i="9"/>
  <c r="R381" i="9"/>
  <c r="S381" i="9"/>
  <c r="T381" i="9"/>
  <c r="V381" i="9"/>
  <c r="X381" i="9"/>
  <c r="Z381" i="9"/>
  <c r="D382" i="9"/>
  <c r="F382" i="9"/>
  <c r="H382" i="9"/>
  <c r="J382" i="9"/>
  <c r="L382" i="9"/>
  <c r="M382" i="9"/>
  <c r="N382" i="9"/>
  <c r="P382" i="9"/>
  <c r="R382" i="9"/>
  <c r="S382" i="9"/>
  <c r="T382" i="9"/>
  <c r="V382" i="9"/>
  <c r="X382" i="9"/>
  <c r="Z382" i="9"/>
  <c r="D383" i="9"/>
  <c r="F383" i="9"/>
  <c r="H383" i="9"/>
  <c r="J383" i="9"/>
  <c r="L383" i="9"/>
  <c r="N383" i="9"/>
  <c r="P383" i="9"/>
  <c r="R383" i="9"/>
  <c r="S383" i="9"/>
  <c r="T383" i="9"/>
  <c r="V383" i="9"/>
  <c r="X383" i="9"/>
  <c r="Z383" i="9"/>
  <c r="D384" i="9"/>
  <c r="F384" i="9"/>
  <c r="H384" i="9"/>
  <c r="J384" i="9"/>
  <c r="L384" i="9"/>
  <c r="M384" i="9"/>
  <c r="N384" i="9"/>
  <c r="P384" i="9"/>
  <c r="R384" i="9"/>
  <c r="S384" i="9"/>
  <c r="T384" i="9"/>
  <c r="V384" i="9"/>
  <c r="X384" i="9"/>
  <c r="Z384" i="9"/>
  <c r="D385" i="9"/>
  <c r="F385" i="9"/>
  <c r="H385" i="9"/>
  <c r="J385" i="9"/>
  <c r="L385" i="9"/>
  <c r="M385" i="9"/>
  <c r="N385" i="9"/>
  <c r="P385" i="9"/>
  <c r="R385" i="9"/>
  <c r="S385" i="9"/>
  <c r="T385" i="9"/>
  <c r="V385" i="9"/>
  <c r="X385" i="9"/>
  <c r="Z385" i="9"/>
  <c r="D386" i="9"/>
  <c r="F386" i="9"/>
  <c r="H386" i="9"/>
  <c r="J386" i="9"/>
  <c r="L386" i="9"/>
  <c r="M386" i="9"/>
  <c r="N386" i="9"/>
  <c r="P386" i="9"/>
  <c r="R386" i="9"/>
  <c r="S386" i="9"/>
  <c r="T386" i="9"/>
  <c r="V386" i="9"/>
  <c r="X386" i="9"/>
  <c r="Z386" i="9"/>
  <c r="D387" i="9"/>
  <c r="F387" i="9"/>
  <c r="H387" i="9"/>
  <c r="J387" i="9"/>
  <c r="L387" i="9"/>
  <c r="N387" i="9"/>
  <c r="P387" i="9"/>
  <c r="R387" i="9"/>
  <c r="S387" i="9"/>
  <c r="T387" i="9"/>
  <c r="V387" i="9"/>
  <c r="X387" i="9"/>
  <c r="Z387" i="9"/>
  <c r="D388" i="9"/>
  <c r="F388" i="9"/>
  <c r="H388" i="9"/>
  <c r="J388" i="9"/>
  <c r="L388" i="9"/>
  <c r="M388" i="9"/>
  <c r="N388" i="9"/>
  <c r="P388" i="9"/>
  <c r="R388" i="9"/>
  <c r="S388" i="9"/>
  <c r="T388" i="9"/>
  <c r="V388" i="9"/>
  <c r="X388" i="9"/>
  <c r="Z388" i="9"/>
  <c r="D389" i="9"/>
  <c r="F389" i="9"/>
  <c r="H389" i="9"/>
  <c r="J389" i="9"/>
  <c r="L389" i="9"/>
  <c r="M389" i="9"/>
  <c r="N389" i="9"/>
  <c r="P389" i="9"/>
  <c r="R389" i="9"/>
  <c r="S389" i="9"/>
  <c r="T389" i="9"/>
  <c r="V389" i="9"/>
  <c r="X389" i="9"/>
  <c r="Z389" i="9"/>
  <c r="D390" i="9"/>
  <c r="F390" i="9"/>
  <c r="H390" i="9"/>
  <c r="J390" i="9"/>
  <c r="L390" i="9"/>
  <c r="M390" i="9"/>
  <c r="N390" i="9"/>
  <c r="P390" i="9"/>
  <c r="R390" i="9"/>
  <c r="S390" i="9"/>
  <c r="T390" i="9"/>
  <c r="V390" i="9"/>
  <c r="X390" i="9"/>
  <c r="Z390" i="9"/>
  <c r="D391" i="9"/>
  <c r="F391" i="9"/>
  <c r="H391" i="9"/>
  <c r="J391" i="9"/>
  <c r="L391" i="9"/>
  <c r="N391" i="9"/>
  <c r="P391" i="9"/>
  <c r="R391" i="9"/>
  <c r="S391" i="9"/>
  <c r="T391" i="9"/>
  <c r="V391" i="9"/>
  <c r="X391" i="9"/>
  <c r="Z391" i="9"/>
  <c r="D392" i="9"/>
  <c r="F392" i="9"/>
  <c r="H392" i="9"/>
  <c r="J392" i="9"/>
  <c r="L392" i="9"/>
  <c r="M392" i="9"/>
  <c r="N392" i="9"/>
  <c r="P392" i="9"/>
  <c r="R392" i="9"/>
  <c r="S392" i="9"/>
  <c r="T392" i="9"/>
  <c r="V392" i="9"/>
  <c r="X392" i="9"/>
  <c r="Z392" i="9"/>
  <c r="D393" i="9"/>
  <c r="F393" i="9"/>
  <c r="H393" i="9"/>
  <c r="J393" i="9"/>
  <c r="L393" i="9"/>
  <c r="M393" i="9"/>
  <c r="N393" i="9"/>
  <c r="P393" i="9"/>
  <c r="R393" i="9"/>
  <c r="S393" i="9"/>
  <c r="T393" i="9"/>
  <c r="V393" i="9"/>
  <c r="X393" i="9"/>
  <c r="Z393" i="9"/>
  <c r="D394" i="9"/>
  <c r="F394" i="9"/>
  <c r="H394" i="9"/>
  <c r="J394" i="9"/>
  <c r="L394" i="9"/>
  <c r="M394" i="9"/>
  <c r="N394" i="9"/>
  <c r="P394" i="9"/>
  <c r="R394" i="9"/>
  <c r="S394" i="9"/>
  <c r="T394" i="9"/>
  <c r="V394" i="9"/>
  <c r="X394" i="9"/>
  <c r="Z394" i="9"/>
  <c r="D395" i="9"/>
  <c r="F395" i="9"/>
  <c r="H395" i="9"/>
  <c r="J395" i="9"/>
  <c r="L395" i="9"/>
  <c r="N395" i="9"/>
  <c r="P395" i="9"/>
  <c r="R395" i="9"/>
  <c r="S395" i="9"/>
  <c r="T395" i="9"/>
  <c r="V395" i="9"/>
  <c r="X395" i="9"/>
  <c r="Z395" i="9"/>
  <c r="D396" i="9"/>
  <c r="F396" i="9"/>
  <c r="H396" i="9"/>
  <c r="J396" i="9"/>
  <c r="L396" i="9"/>
  <c r="M396" i="9"/>
  <c r="N396" i="9"/>
  <c r="P396" i="9"/>
  <c r="R396" i="9"/>
  <c r="S396" i="9"/>
  <c r="T396" i="9"/>
  <c r="V396" i="9"/>
  <c r="X396" i="9"/>
  <c r="Z396" i="9"/>
  <c r="D397" i="9"/>
  <c r="F397" i="9"/>
  <c r="H397" i="9"/>
  <c r="J397" i="9"/>
  <c r="L397" i="9"/>
  <c r="M397" i="9"/>
  <c r="N397" i="9"/>
  <c r="P397" i="9"/>
  <c r="R397" i="9"/>
  <c r="S397" i="9"/>
  <c r="T397" i="9"/>
  <c r="V397" i="9"/>
  <c r="X397" i="9"/>
  <c r="Z397" i="9"/>
  <c r="D398" i="9"/>
  <c r="F398" i="9"/>
  <c r="H398" i="9"/>
  <c r="J398" i="9"/>
  <c r="L398" i="9"/>
  <c r="M398" i="9"/>
  <c r="N398" i="9"/>
  <c r="P398" i="9"/>
  <c r="R398" i="9"/>
  <c r="S398" i="9"/>
  <c r="T398" i="9"/>
  <c r="V398" i="9"/>
  <c r="X398" i="9"/>
  <c r="Z398" i="9"/>
  <c r="D399" i="9"/>
  <c r="F399" i="9"/>
  <c r="H399" i="9"/>
  <c r="J399" i="9"/>
  <c r="L399" i="9"/>
  <c r="N399" i="9"/>
  <c r="P399" i="9"/>
  <c r="R399" i="9"/>
  <c r="S399" i="9"/>
  <c r="T399" i="9"/>
  <c r="V399" i="9"/>
  <c r="X399" i="9"/>
  <c r="Z399" i="9"/>
  <c r="D400" i="9"/>
  <c r="F400" i="9"/>
  <c r="H400" i="9"/>
  <c r="J400" i="9"/>
  <c r="L400" i="9"/>
  <c r="M400" i="9"/>
  <c r="N400" i="9"/>
  <c r="P400" i="9"/>
  <c r="R400" i="9"/>
  <c r="S400" i="9"/>
  <c r="T400" i="9"/>
  <c r="V400" i="9"/>
  <c r="X400" i="9"/>
  <c r="Z400" i="9"/>
  <c r="D401" i="9"/>
  <c r="F401" i="9"/>
  <c r="H401" i="9"/>
  <c r="J401" i="9"/>
  <c r="L401" i="9"/>
  <c r="M401" i="9"/>
  <c r="N401" i="9"/>
  <c r="P401" i="9"/>
  <c r="R401" i="9"/>
  <c r="S401" i="9"/>
  <c r="T401" i="9"/>
  <c r="V401" i="9"/>
  <c r="X401" i="9"/>
  <c r="Z401" i="9"/>
  <c r="D402" i="9"/>
  <c r="F402" i="9"/>
  <c r="H402" i="9"/>
  <c r="J402" i="9"/>
  <c r="L402" i="9"/>
  <c r="M402" i="9"/>
  <c r="N402" i="9"/>
  <c r="P402" i="9"/>
  <c r="R402" i="9"/>
  <c r="S402" i="9"/>
  <c r="T402" i="9"/>
  <c r="V402" i="9"/>
  <c r="X402" i="9"/>
  <c r="Z402" i="9"/>
  <c r="D403" i="9"/>
  <c r="F403" i="9"/>
  <c r="H403" i="9"/>
  <c r="J403" i="9"/>
  <c r="L403" i="9"/>
  <c r="N403" i="9"/>
  <c r="P403" i="9"/>
  <c r="R403" i="9"/>
  <c r="S403" i="9"/>
  <c r="T403" i="9"/>
  <c r="V403" i="9"/>
  <c r="X403" i="9"/>
  <c r="Z403" i="9"/>
  <c r="D404" i="9"/>
  <c r="F404" i="9"/>
  <c r="H404" i="9"/>
  <c r="J404" i="9"/>
  <c r="L404" i="9"/>
  <c r="M404" i="9"/>
  <c r="N404" i="9"/>
  <c r="P404" i="9"/>
  <c r="R404" i="9"/>
  <c r="S404" i="9"/>
  <c r="T404" i="9"/>
  <c r="V404" i="9"/>
  <c r="X404" i="9"/>
  <c r="Z404" i="9"/>
  <c r="D405" i="9"/>
  <c r="F405" i="9"/>
  <c r="H405" i="9"/>
  <c r="J405" i="9"/>
  <c r="L405" i="9"/>
  <c r="M405" i="9"/>
  <c r="N405" i="9"/>
  <c r="P405" i="9"/>
  <c r="R405" i="9"/>
  <c r="S405" i="9"/>
  <c r="T405" i="9"/>
  <c r="V405" i="9"/>
  <c r="X405" i="9"/>
  <c r="Z405" i="9"/>
  <c r="D406" i="9"/>
  <c r="F406" i="9"/>
  <c r="H406" i="9"/>
  <c r="J406" i="9"/>
  <c r="L406" i="9"/>
  <c r="M406" i="9"/>
  <c r="N406" i="9"/>
  <c r="P406" i="9"/>
  <c r="R406" i="9"/>
  <c r="S406" i="9"/>
  <c r="T406" i="9"/>
  <c r="V406" i="9"/>
  <c r="X406" i="9"/>
  <c r="Z406" i="9"/>
  <c r="D407" i="9"/>
  <c r="F407" i="9"/>
  <c r="H407" i="9"/>
  <c r="J407" i="9"/>
  <c r="L407" i="9"/>
  <c r="N407" i="9"/>
  <c r="P407" i="9"/>
  <c r="R407" i="9"/>
  <c r="S407" i="9"/>
  <c r="T407" i="9"/>
  <c r="V407" i="9"/>
  <c r="X407" i="9"/>
  <c r="Z407" i="9"/>
  <c r="D408" i="9"/>
  <c r="F408" i="9"/>
  <c r="H408" i="9"/>
  <c r="J408" i="9"/>
  <c r="L408" i="9"/>
  <c r="M408" i="9"/>
  <c r="N408" i="9"/>
  <c r="P408" i="9"/>
  <c r="R408" i="9"/>
  <c r="S408" i="9"/>
  <c r="T408" i="9"/>
  <c r="V408" i="9"/>
  <c r="X408" i="9"/>
  <c r="Z408" i="9"/>
  <c r="D409" i="9"/>
  <c r="F409" i="9"/>
  <c r="H409" i="9"/>
  <c r="J409" i="9"/>
  <c r="L409" i="9"/>
  <c r="M409" i="9"/>
  <c r="N409" i="9"/>
  <c r="P409" i="9"/>
  <c r="R409" i="9"/>
  <c r="S409" i="9"/>
  <c r="T409" i="9"/>
  <c r="V409" i="9"/>
  <c r="X409" i="9"/>
  <c r="Z409" i="9"/>
  <c r="D410" i="9"/>
  <c r="F410" i="9"/>
  <c r="H410" i="9"/>
  <c r="J410" i="9"/>
  <c r="L410" i="9"/>
  <c r="M410" i="9"/>
  <c r="N410" i="9"/>
  <c r="P410" i="9"/>
  <c r="R410" i="9"/>
  <c r="S410" i="9"/>
  <c r="T410" i="9"/>
  <c r="V410" i="9"/>
  <c r="X410" i="9"/>
  <c r="Z410" i="9"/>
  <c r="D411" i="9"/>
  <c r="F411" i="9"/>
  <c r="H411" i="9"/>
  <c r="J411" i="9"/>
  <c r="L411" i="9"/>
  <c r="N411" i="9"/>
  <c r="P411" i="9"/>
  <c r="R411" i="9"/>
  <c r="S411" i="9"/>
  <c r="T411" i="9"/>
  <c r="V411" i="9"/>
  <c r="X411" i="9"/>
  <c r="Z411" i="9"/>
  <c r="D412" i="9"/>
  <c r="F412" i="9"/>
  <c r="H412" i="9"/>
  <c r="J412" i="9"/>
  <c r="L412" i="9"/>
  <c r="M412" i="9"/>
  <c r="N412" i="9"/>
  <c r="P412" i="9"/>
  <c r="R412" i="9"/>
  <c r="S412" i="9"/>
  <c r="T412" i="9"/>
  <c r="V412" i="9"/>
  <c r="X412" i="9"/>
  <c r="Z412" i="9"/>
  <c r="D413" i="9"/>
  <c r="F413" i="9"/>
  <c r="H413" i="9"/>
  <c r="J413" i="9"/>
  <c r="L413" i="9"/>
  <c r="M413" i="9"/>
  <c r="N413" i="9"/>
  <c r="P413" i="9"/>
  <c r="R413" i="9"/>
  <c r="S413" i="9"/>
  <c r="T413" i="9"/>
  <c r="V413" i="9"/>
  <c r="X413" i="9"/>
  <c r="Z413" i="9"/>
  <c r="D414" i="9"/>
  <c r="F414" i="9"/>
  <c r="H414" i="9"/>
  <c r="J414" i="9"/>
  <c r="L414" i="9"/>
  <c r="M414" i="9"/>
  <c r="N414" i="9"/>
  <c r="P414" i="9"/>
  <c r="R414" i="9"/>
  <c r="S414" i="9"/>
  <c r="T414" i="9"/>
  <c r="V414" i="9"/>
  <c r="X414" i="9"/>
  <c r="Z414" i="9"/>
  <c r="D415" i="9"/>
  <c r="F415" i="9"/>
  <c r="H415" i="9"/>
  <c r="J415" i="9"/>
  <c r="L415" i="9"/>
  <c r="N415" i="9"/>
  <c r="P415" i="9"/>
  <c r="R415" i="9"/>
  <c r="S415" i="9"/>
  <c r="T415" i="9"/>
  <c r="V415" i="9"/>
  <c r="X415" i="9"/>
  <c r="Z415" i="9"/>
  <c r="D416" i="9"/>
  <c r="F416" i="9"/>
  <c r="H416" i="9"/>
  <c r="J416" i="9"/>
  <c r="L416" i="9"/>
  <c r="M416" i="9"/>
  <c r="N416" i="9"/>
  <c r="P416" i="9"/>
  <c r="R416" i="9"/>
  <c r="S416" i="9"/>
  <c r="T416" i="9"/>
  <c r="V416" i="9"/>
  <c r="X416" i="9"/>
  <c r="Z416" i="9"/>
  <c r="D417" i="9"/>
  <c r="F417" i="9"/>
  <c r="H417" i="9"/>
  <c r="J417" i="9"/>
  <c r="L417" i="9"/>
  <c r="M417" i="9"/>
  <c r="N417" i="9"/>
  <c r="P417" i="9"/>
  <c r="R417" i="9"/>
  <c r="S417" i="9"/>
  <c r="T417" i="9"/>
  <c r="V417" i="9"/>
  <c r="X417" i="9"/>
  <c r="Z417" i="9"/>
  <c r="D418" i="9"/>
  <c r="F418" i="9"/>
  <c r="H418" i="9"/>
  <c r="J418" i="9"/>
  <c r="L418" i="9"/>
  <c r="M418" i="9"/>
  <c r="N418" i="9"/>
  <c r="P418" i="9"/>
  <c r="R418" i="9"/>
  <c r="S418" i="9"/>
  <c r="T418" i="9"/>
  <c r="V418" i="9"/>
  <c r="X418" i="9"/>
  <c r="Z418" i="9"/>
  <c r="D419" i="9"/>
  <c r="F419" i="9"/>
  <c r="H419" i="9"/>
  <c r="J419" i="9"/>
  <c r="L419" i="9"/>
  <c r="N419" i="9"/>
  <c r="P419" i="9"/>
  <c r="R419" i="9"/>
  <c r="S419" i="9"/>
  <c r="T419" i="9"/>
  <c r="V419" i="9"/>
  <c r="X419" i="9"/>
  <c r="Z419" i="9"/>
  <c r="D420" i="9"/>
  <c r="F420" i="9"/>
  <c r="H420" i="9"/>
  <c r="J420" i="9"/>
  <c r="L420" i="9"/>
  <c r="M420" i="9"/>
  <c r="N420" i="9"/>
  <c r="P420" i="9"/>
  <c r="R420" i="9"/>
  <c r="S420" i="9"/>
  <c r="T420" i="9"/>
  <c r="V420" i="9"/>
  <c r="X420" i="9"/>
  <c r="Z420" i="9"/>
  <c r="D421" i="9"/>
  <c r="F421" i="9"/>
  <c r="H421" i="9"/>
  <c r="J421" i="9"/>
  <c r="L421" i="9"/>
  <c r="M421" i="9"/>
  <c r="N421" i="9"/>
  <c r="P421" i="9"/>
  <c r="R421" i="9"/>
  <c r="S421" i="9"/>
  <c r="T421" i="9"/>
  <c r="V421" i="9"/>
  <c r="X421" i="9"/>
  <c r="Z421" i="9"/>
  <c r="D422" i="9"/>
  <c r="F422" i="9"/>
  <c r="H422" i="9"/>
  <c r="J422" i="9"/>
  <c r="L422" i="9"/>
  <c r="M422" i="9"/>
  <c r="N422" i="9"/>
  <c r="P422" i="9"/>
  <c r="R422" i="9"/>
  <c r="S422" i="9"/>
  <c r="T422" i="9"/>
  <c r="V422" i="9"/>
  <c r="X422" i="9"/>
  <c r="Z422" i="9"/>
  <c r="D423" i="9"/>
  <c r="F423" i="9"/>
  <c r="H423" i="9"/>
  <c r="J423" i="9"/>
  <c r="L423" i="9"/>
  <c r="N423" i="9"/>
  <c r="P423" i="9"/>
  <c r="R423" i="9"/>
  <c r="S423" i="9"/>
  <c r="T423" i="9"/>
  <c r="V423" i="9"/>
  <c r="X423" i="9"/>
  <c r="Z423" i="9"/>
  <c r="D424" i="9"/>
  <c r="F424" i="9"/>
  <c r="H424" i="9"/>
  <c r="J424" i="9"/>
  <c r="L424" i="9"/>
  <c r="M424" i="9"/>
  <c r="N424" i="9"/>
  <c r="P424" i="9"/>
  <c r="R424" i="9"/>
  <c r="S424" i="9"/>
  <c r="T424" i="9"/>
  <c r="V424" i="9"/>
  <c r="X424" i="9"/>
  <c r="Z424" i="9"/>
  <c r="D425" i="9"/>
  <c r="F425" i="9"/>
  <c r="H425" i="9"/>
  <c r="J425" i="9"/>
  <c r="L425" i="9"/>
  <c r="M425" i="9"/>
  <c r="N425" i="9"/>
  <c r="P425" i="9"/>
  <c r="R425" i="9"/>
  <c r="S425" i="9"/>
  <c r="T425" i="9"/>
  <c r="V425" i="9"/>
  <c r="X425" i="9"/>
  <c r="Z425" i="9"/>
  <c r="D426" i="9"/>
  <c r="F426" i="9"/>
  <c r="H426" i="9"/>
  <c r="J426" i="9"/>
  <c r="L426" i="9"/>
  <c r="M426" i="9"/>
  <c r="N426" i="9"/>
  <c r="P426" i="9"/>
  <c r="R426" i="9"/>
  <c r="S426" i="9"/>
  <c r="T426" i="9"/>
  <c r="V426" i="9"/>
  <c r="X426" i="9"/>
  <c r="Z426" i="9"/>
  <c r="D427" i="9"/>
  <c r="F427" i="9"/>
  <c r="H427" i="9"/>
  <c r="J427" i="9"/>
  <c r="L427" i="9"/>
  <c r="N427" i="9"/>
  <c r="P427" i="9"/>
  <c r="R427" i="9"/>
  <c r="S427" i="9"/>
  <c r="T427" i="9"/>
  <c r="V427" i="9"/>
  <c r="X427" i="9"/>
  <c r="Z427" i="9"/>
  <c r="D428" i="9"/>
  <c r="F428" i="9"/>
  <c r="H428" i="9"/>
  <c r="J428" i="9"/>
  <c r="L428" i="9"/>
  <c r="M428" i="9"/>
  <c r="N428" i="9"/>
  <c r="P428" i="9"/>
  <c r="R428" i="9"/>
  <c r="S428" i="9"/>
  <c r="T428" i="9"/>
  <c r="V428" i="9"/>
  <c r="X428" i="9"/>
  <c r="Z428" i="9"/>
  <c r="D429" i="9"/>
  <c r="F429" i="9"/>
  <c r="H429" i="9"/>
  <c r="J429" i="9"/>
  <c r="L429" i="9"/>
  <c r="M429" i="9"/>
  <c r="N429" i="9"/>
  <c r="P429" i="9"/>
  <c r="R429" i="9"/>
  <c r="S429" i="9"/>
  <c r="T429" i="9"/>
  <c r="V429" i="9"/>
  <c r="X429" i="9"/>
  <c r="Z429" i="9"/>
  <c r="D430" i="9"/>
  <c r="F430" i="9"/>
  <c r="H430" i="9"/>
  <c r="J430" i="9"/>
  <c r="L430" i="9"/>
  <c r="M430" i="9"/>
  <c r="N430" i="9"/>
  <c r="P430" i="9"/>
  <c r="R430" i="9"/>
  <c r="S430" i="9"/>
  <c r="T430" i="9"/>
  <c r="V430" i="9"/>
  <c r="X430" i="9"/>
  <c r="Z430" i="9"/>
  <c r="D431" i="9"/>
  <c r="F431" i="9"/>
  <c r="H431" i="9"/>
  <c r="J431" i="9"/>
  <c r="L431" i="9"/>
  <c r="N431" i="9"/>
  <c r="P431" i="9"/>
  <c r="R431" i="9"/>
  <c r="S431" i="9"/>
  <c r="T431" i="9"/>
  <c r="V431" i="9"/>
  <c r="X431" i="9"/>
  <c r="Z431" i="9"/>
  <c r="D432" i="9"/>
  <c r="F432" i="9"/>
  <c r="G432" i="9"/>
  <c r="H432" i="9"/>
  <c r="J432" i="9"/>
  <c r="L432" i="9"/>
  <c r="N432" i="9"/>
  <c r="P432" i="9"/>
  <c r="R432" i="9"/>
  <c r="S432" i="9"/>
  <c r="T432" i="9"/>
  <c r="V432" i="9"/>
  <c r="X432" i="9"/>
  <c r="Z432" i="9"/>
  <c r="D433" i="9"/>
  <c r="F433" i="9"/>
  <c r="G433" i="9"/>
  <c r="H433" i="9"/>
  <c r="J433" i="9"/>
  <c r="L433" i="9"/>
  <c r="M433" i="9"/>
  <c r="N433" i="9"/>
  <c r="P433" i="9"/>
  <c r="R433" i="9"/>
  <c r="S433" i="9"/>
  <c r="T433" i="9"/>
  <c r="V433" i="9"/>
  <c r="X433" i="9"/>
  <c r="Z433" i="9"/>
  <c r="D434" i="9"/>
  <c r="F434" i="9"/>
  <c r="H434" i="9"/>
  <c r="J434" i="9"/>
  <c r="L434" i="9"/>
  <c r="M434" i="9"/>
  <c r="N434" i="9"/>
  <c r="P434" i="9"/>
  <c r="R434" i="9"/>
  <c r="S434" i="9"/>
  <c r="T434" i="9"/>
  <c r="V434" i="9"/>
  <c r="X434" i="9"/>
  <c r="Z434" i="9"/>
  <c r="D435" i="9"/>
  <c r="F435" i="9"/>
  <c r="H435" i="9"/>
  <c r="J435" i="9"/>
  <c r="L435" i="9"/>
  <c r="M435" i="9"/>
  <c r="N435" i="9"/>
  <c r="P435" i="9"/>
  <c r="R435" i="9"/>
  <c r="S435" i="9"/>
  <c r="T435" i="9"/>
  <c r="V435" i="9"/>
  <c r="X435" i="9"/>
  <c r="Z435" i="9"/>
  <c r="D436" i="9"/>
  <c r="F436" i="9"/>
  <c r="H436" i="9"/>
  <c r="J436" i="9"/>
  <c r="L436" i="9"/>
  <c r="N436" i="9"/>
  <c r="P436" i="9"/>
  <c r="R436" i="9"/>
  <c r="S436" i="9"/>
  <c r="T436" i="9"/>
  <c r="V436" i="9"/>
  <c r="X436" i="9"/>
  <c r="Z436" i="9"/>
  <c r="D437" i="9"/>
  <c r="F437" i="9"/>
  <c r="H437" i="9"/>
  <c r="J437" i="9"/>
  <c r="L437" i="9"/>
  <c r="M437" i="9"/>
  <c r="N437" i="9"/>
  <c r="P437" i="9"/>
  <c r="R437" i="9"/>
  <c r="S437" i="9"/>
  <c r="T437" i="9"/>
  <c r="V437" i="9"/>
  <c r="X437" i="9"/>
  <c r="Z437" i="9"/>
  <c r="D438" i="9"/>
  <c r="F438" i="9"/>
  <c r="H438" i="9"/>
  <c r="J438" i="9"/>
  <c r="L438" i="9"/>
  <c r="M438" i="9"/>
  <c r="N438" i="9"/>
  <c r="P438" i="9"/>
  <c r="R438" i="9"/>
  <c r="S438" i="9"/>
  <c r="T438" i="9"/>
  <c r="V438" i="9"/>
  <c r="X438" i="9"/>
  <c r="Z438" i="9"/>
  <c r="D439" i="9"/>
  <c r="F439" i="9"/>
  <c r="H439" i="9"/>
  <c r="J439" i="9"/>
  <c r="L439" i="9"/>
  <c r="M439" i="9"/>
  <c r="N439" i="9"/>
  <c r="P439" i="9"/>
  <c r="R439" i="9"/>
  <c r="S439" i="9"/>
  <c r="T439" i="9"/>
  <c r="V439" i="9"/>
  <c r="X439" i="9"/>
  <c r="Z439" i="9"/>
  <c r="D440" i="9"/>
  <c r="F440" i="9"/>
  <c r="H440" i="9"/>
  <c r="J440" i="9"/>
  <c r="L440" i="9"/>
  <c r="N440" i="9"/>
  <c r="P440" i="9"/>
  <c r="R440" i="9"/>
  <c r="S440" i="9"/>
  <c r="T440" i="9"/>
  <c r="V440" i="9"/>
  <c r="X440" i="9"/>
  <c r="Z440" i="9"/>
  <c r="D441" i="9"/>
  <c r="F441" i="9"/>
  <c r="H441" i="9"/>
  <c r="J441" i="9"/>
  <c r="L441" i="9"/>
  <c r="M441" i="9"/>
  <c r="N441" i="9"/>
  <c r="P441" i="9"/>
  <c r="R441" i="9"/>
  <c r="S441" i="9"/>
  <c r="T441" i="9"/>
  <c r="V441" i="9"/>
  <c r="X441" i="9"/>
  <c r="Z441" i="9"/>
  <c r="D442" i="9"/>
  <c r="F442" i="9"/>
  <c r="H442" i="9"/>
  <c r="J442" i="9"/>
  <c r="L442" i="9"/>
  <c r="M442" i="9"/>
  <c r="N442" i="9"/>
  <c r="P442" i="9"/>
  <c r="R442" i="9"/>
  <c r="S442" i="9"/>
  <c r="T442" i="9"/>
  <c r="V442" i="9"/>
  <c r="X442" i="9"/>
  <c r="Z442" i="9"/>
  <c r="D443" i="9"/>
  <c r="F443" i="9"/>
  <c r="H443" i="9"/>
  <c r="J443" i="9"/>
  <c r="L443" i="9"/>
  <c r="M443" i="9"/>
  <c r="N443" i="9"/>
  <c r="P443" i="9"/>
  <c r="R443" i="9"/>
  <c r="S443" i="9"/>
  <c r="T443" i="9"/>
  <c r="V443" i="9"/>
  <c r="X443" i="9"/>
  <c r="Z443" i="9"/>
  <c r="D444" i="9"/>
  <c r="F444" i="9"/>
  <c r="H444" i="9"/>
  <c r="J444" i="9"/>
  <c r="L444" i="9"/>
  <c r="N444" i="9"/>
  <c r="P444" i="9"/>
  <c r="R444" i="9"/>
  <c r="S444" i="9"/>
  <c r="T444" i="9"/>
  <c r="V444" i="9"/>
  <c r="X444" i="9"/>
  <c r="Z444" i="9"/>
  <c r="D445" i="9"/>
  <c r="F445" i="9"/>
  <c r="H445" i="9"/>
  <c r="J445" i="9"/>
  <c r="L445" i="9"/>
  <c r="M445" i="9"/>
  <c r="N445" i="9"/>
  <c r="P445" i="9"/>
  <c r="R445" i="9"/>
  <c r="S445" i="9"/>
  <c r="T445" i="9"/>
  <c r="V445" i="9"/>
  <c r="X445" i="9"/>
  <c r="Z445" i="9"/>
  <c r="D446" i="9"/>
  <c r="F446" i="9"/>
  <c r="H446" i="9"/>
  <c r="J446" i="9"/>
  <c r="L446" i="9"/>
  <c r="M446" i="9"/>
  <c r="N446" i="9"/>
  <c r="P446" i="9"/>
  <c r="R446" i="9"/>
  <c r="S446" i="9"/>
  <c r="T446" i="9"/>
  <c r="V446" i="9"/>
  <c r="X446" i="9"/>
  <c r="Z446" i="9"/>
  <c r="D447" i="9"/>
  <c r="F447" i="9"/>
  <c r="H447" i="9"/>
  <c r="J447" i="9"/>
  <c r="L447" i="9"/>
  <c r="M447" i="9"/>
  <c r="N447" i="9"/>
  <c r="P447" i="9"/>
  <c r="R447" i="9"/>
  <c r="S447" i="9"/>
  <c r="T447" i="9"/>
  <c r="V447" i="9"/>
  <c r="X447" i="9"/>
  <c r="Z447" i="9"/>
  <c r="D448" i="9"/>
  <c r="F448" i="9"/>
  <c r="H448" i="9"/>
  <c r="J448" i="9"/>
  <c r="L448" i="9"/>
  <c r="N448" i="9"/>
  <c r="P448" i="9"/>
  <c r="R448" i="9"/>
  <c r="S448" i="9"/>
  <c r="T448" i="9"/>
  <c r="V448" i="9"/>
  <c r="X448" i="9"/>
  <c r="Z448" i="9"/>
  <c r="D449" i="9"/>
  <c r="F449" i="9"/>
  <c r="H449" i="9"/>
  <c r="J449" i="9"/>
  <c r="L449" i="9"/>
  <c r="M449" i="9"/>
  <c r="N449" i="9"/>
  <c r="P449" i="9"/>
  <c r="R449" i="9"/>
  <c r="S449" i="9"/>
  <c r="T449" i="9"/>
  <c r="V449" i="9"/>
  <c r="X449" i="9"/>
  <c r="Z449" i="9"/>
  <c r="D450" i="9"/>
  <c r="F450" i="9"/>
  <c r="H450" i="9"/>
  <c r="J450" i="9"/>
  <c r="L450" i="9"/>
  <c r="M450" i="9"/>
  <c r="N450" i="9"/>
  <c r="P450" i="9"/>
  <c r="R450" i="9"/>
  <c r="S450" i="9"/>
  <c r="T450" i="9"/>
  <c r="V450" i="9"/>
  <c r="X450" i="9"/>
  <c r="Z450" i="9"/>
  <c r="D451" i="9"/>
  <c r="F451" i="9"/>
  <c r="H451" i="9"/>
  <c r="J451" i="9"/>
  <c r="L451" i="9"/>
  <c r="M451" i="9"/>
  <c r="N451" i="9"/>
  <c r="P451" i="9"/>
  <c r="R451" i="9"/>
  <c r="S451" i="9"/>
  <c r="T451" i="9"/>
  <c r="V451" i="9"/>
  <c r="X451" i="9"/>
  <c r="Z451" i="9"/>
  <c r="D452" i="9"/>
  <c r="F452" i="9"/>
  <c r="H452" i="9"/>
  <c r="J452" i="9"/>
  <c r="L452" i="9"/>
  <c r="N452" i="9"/>
  <c r="P452" i="9"/>
  <c r="R452" i="9"/>
  <c r="S452" i="9"/>
  <c r="T452" i="9"/>
  <c r="V452" i="9"/>
  <c r="X452" i="9"/>
  <c r="Z452" i="9"/>
  <c r="D453" i="9"/>
  <c r="F453" i="9"/>
  <c r="H453" i="9"/>
  <c r="J453" i="9"/>
  <c r="L453" i="9"/>
  <c r="M453" i="9"/>
  <c r="N453" i="9"/>
  <c r="P453" i="9"/>
  <c r="R453" i="9"/>
  <c r="S453" i="9"/>
  <c r="T453" i="9"/>
  <c r="V453" i="9"/>
  <c r="X453" i="9"/>
  <c r="Z453" i="9"/>
  <c r="D454" i="9"/>
  <c r="F454" i="9"/>
  <c r="H454" i="9"/>
  <c r="J454" i="9"/>
  <c r="L454" i="9"/>
  <c r="M454" i="9"/>
  <c r="N454" i="9"/>
  <c r="P454" i="9"/>
  <c r="R454" i="9"/>
  <c r="S454" i="9"/>
  <c r="T454" i="9"/>
  <c r="V454" i="9"/>
  <c r="X454" i="9"/>
  <c r="Z454" i="9"/>
  <c r="D455" i="9"/>
  <c r="F455" i="9"/>
  <c r="H455" i="9"/>
  <c r="J455" i="9"/>
  <c r="L455" i="9"/>
  <c r="M455" i="9"/>
  <c r="N455" i="9"/>
  <c r="P455" i="9"/>
  <c r="R455" i="9"/>
  <c r="S455" i="9"/>
  <c r="T455" i="9"/>
  <c r="V455" i="9"/>
  <c r="X455" i="9"/>
  <c r="Z455" i="9"/>
  <c r="D456" i="9"/>
  <c r="F456" i="9"/>
  <c r="H456" i="9"/>
  <c r="J456" i="9"/>
  <c r="L456" i="9"/>
  <c r="N456" i="9"/>
  <c r="P456" i="9"/>
  <c r="R456" i="9"/>
  <c r="S456" i="9"/>
  <c r="T456" i="9"/>
  <c r="V456" i="9"/>
  <c r="X456" i="9"/>
  <c r="Z456" i="9"/>
  <c r="D457" i="9"/>
  <c r="F457" i="9"/>
  <c r="H457" i="9"/>
  <c r="J457" i="9"/>
  <c r="L457" i="9"/>
  <c r="M457" i="9"/>
  <c r="N457" i="9"/>
  <c r="P457" i="9"/>
  <c r="R457" i="9"/>
  <c r="S457" i="9"/>
  <c r="T457" i="9"/>
  <c r="V457" i="9"/>
  <c r="X457" i="9"/>
  <c r="Z457" i="9"/>
  <c r="D458" i="9"/>
  <c r="F458" i="9"/>
  <c r="H458" i="9"/>
  <c r="J458" i="9"/>
  <c r="L458" i="9"/>
  <c r="M458" i="9"/>
  <c r="N458" i="9"/>
  <c r="P458" i="9"/>
  <c r="R458" i="9"/>
  <c r="S458" i="9"/>
  <c r="T458" i="9"/>
  <c r="V458" i="9"/>
  <c r="X458" i="9"/>
  <c r="Z458" i="9"/>
  <c r="D459" i="9"/>
  <c r="F459" i="9"/>
  <c r="H459" i="9"/>
  <c r="J459" i="9"/>
  <c r="L459" i="9"/>
  <c r="M459" i="9"/>
  <c r="N459" i="9"/>
  <c r="P459" i="9"/>
  <c r="R459" i="9"/>
  <c r="S459" i="9"/>
  <c r="T459" i="9"/>
  <c r="V459" i="9"/>
  <c r="X459" i="9"/>
  <c r="Z459" i="9"/>
  <c r="D460" i="9"/>
  <c r="F460" i="9"/>
  <c r="H460" i="9"/>
  <c r="J460" i="9"/>
  <c r="L460" i="9"/>
  <c r="N460" i="9"/>
  <c r="P460" i="9"/>
  <c r="R460" i="9"/>
  <c r="S460" i="9"/>
  <c r="T460" i="9"/>
  <c r="V460" i="9"/>
  <c r="X460" i="9"/>
  <c r="Z460" i="9"/>
  <c r="D461" i="9"/>
  <c r="F461" i="9"/>
  <c r="H461" i="9"/>
  <c r="J461" i="9"/>
  <c r="L461" i="9"/>
  <c r="M461" i="9"/>
  <c r="N461" i="9"/>
  <c r="P461" i="9"/>
  <c r="R461" i="9"/>
  <c r="S461" i="9"/>
  <c r="T461" i="9"/>
  <c r="V461" i="9"/>
  <c r="X461" i="9"/>
  <c r="Z461" i="9"/>
  <c r="D462" i="9"/>
  <c r="F462" i="9"/>
  <c r="H462" i="9"/>
  <c r="J462" i="9"/>
  <c r="L462" i="9"/>
  <c r="M462" i="9"/>
  <c r="N462" i="9"/>
  <c r="P462" i="9"/>
  <c r="R462" i="9"/>
  <c r="S462" i="9"/>
  <c r="T462" i="9"/>
  <c r="V462" i="9"/>
  <c r="X462" i="9"/>
  <c r="Z462" i="9"/>
  <c r="D463" i="9"/>
  <c r="F463" i="9"/>
  <c r="H463" i="9"/>
  <c r="J463" i="9"/>
  <c r="L463" i="9"/>
  <c r="M463" i="9"/>
  <c r="N463" i="9"/>
  <c r="P463" i="9"/>
  <c r="R463" i="9"/>
  <c r="S463" i="9"/>
  <c r="T463" i="9"/>
  <c r="V463" i="9"/>
  <c r="X463" i="9"/>
  <c r="Z463" i="9"/>
  <c r="D464" i="9"/>
  <c r="F464" i="9"/>
  <c r="H464" i="9"/>
  <c r="J464" i="9"/>
  <c r="L464" i="9"/>
  <c r="N464" i="9"/>
  <c r="P464" i="9"/>
  <c r="R464" i="9"/>
  <c r="S464" i="9"/>
  <c r="T464" i="9"/>
  <c r="V464" i="9"/>
  <c r="X464" i="9"/>
  <c r="Z464" i="9"/>
  <c r="D465" i="9"/>
  <c r="F465" i="9"/>
  <c r="H465" i="9"/>
  <c r="J465" i="9"/>
  <c r="L465" i="9"/>
  <c r="M465" i="9"/>
  <c r="N465" i="9"/>
  <c r="P465" i="9"/>
  <c r="R465" i="9"/>
  <c r="S465" i="9"/>
  <c r="T465" i="9"/>
  <c r="V465" i="9"/>
  <c r="X465" i="9"/>
  <c r="Z465" i="9"/>
  <c r="D466" i="9"/>
  <c r="F466" i="9"/>
  <c r="H466" i="9"/>
  <c r="J466" i="9"/>
  <c r="L466" i="9"/>
  <c r="M466" i="9"/>
  <c r="N466" i="9"/>
  <c r="P466" i="9"/>
  <c r="R466" i="9"/>
  <c r="S466" i="9"/>
  <c r="T466" i="9"/>
  <c r="V466" i="9"/>
  <c r="X466" i="9"/>
  <c r="Z466" i="9"/>
  <c r="D467" i="9"/>
  <c r="F467" i="9"/>
  <c r="H467" i="9"/>
  <c r="J467" i="9"/>
  <c r="L467" i="9"/>
  <c r="M467" i="9"/>
  <c r="N467" i="9"/>
  <c r="P467" i="9"/>
  <c r="R467" i="9"/>
  <c r="S467" i="9"/>
  <c r="T467" i="9"/>
  <c r="V467" i="9"/>
  <c r="X467" i="9"/>
  <c r="Z467" i="9"/>
  <c r="D468" i="9"/>
  <c r="F468" i="9"/>
  <c r="H468" i="9"/>
  <c r="J468" i="9"/>
  <c r="L468" i="9"/>
  <c r="N468" i="9"/>
  <c r="P468" i="9"/>
  <c r="R468" i="9"/>
  <c r="S468" i="9"/>
  <c r="T468" i="9"/>
  <c r="V468" i="9"/>
  <c r="X468" i="9"/>
  <c r="Z468" i="9"/>
  <c r="D469" i="9"/>
  <c r="F469" i="9"/>
  <c r="H469" i="9"/>
  <c r="J469" i="9"/>
  <c r="L469" i="9"/>
  <c r="M469" i="9"/>
  <c r="N469" i="9"/>
  <c r="P469" i="9"/>
  <c r="R469" i="9"/>
  <c r="S469" i="9"/>
  <c r="T469" i="9"/>
  <c r="V469" i="9"/>
  <c r="X469" i="9"/>
  <c r="Z469" i="9"/>
  <c r="D470" i="9"/>
  <c r="F470" i="9"/>
  <c r="H470" i="9"/>
  <c r="J470" i="9"/>
  <c r="L470" i="9"/>
  <c r="M470" i="9"/>
  <c r="N470" i="9"/>
  <c r="P470" i="9"/>
  <c r="R470" i="9"/>
  <c r="S470" i="9"/>
  <c r="T470" i="9"/>
  <c r="V470" i="9"/>
  <c r="X470" i="9"/>
  <c r="Z470" i="9"/>
  <c r="D471" i="9"/>
  <c r="F471" i="9"/>
  <c r="H471" i="9"/>
  <c r="J471" i="9"/>
  <c r="L471" i="9"/>
  <c r="M471" i="9"/>
  <c r="N471" i="9"/>
  <c r="P471" i="9"/>
  <c r="R471" i="9"/>
  <c r="S471" i="9"/>
  <c r="T471" i="9"/>
  <c r="V471" i="9"/>
  <c r="X471" i="9"/>
  <c r="Z471" i="9"/>
  <c r="D472" i="9"/>
  <c r="F472" i="9"/>
  <c r="H472" i="9"/>
  <c r="J472" i="9"/>
  <c r="L472" i="9"/>
  <c r="N472" i="9"/>
  <c r="P472" i="9"/>
  <c r="R472" i="9"/>
  <c r="S472" i="9"/>
  <c r="T472" i="9"/>
  <c r="V472" i="9"/>
  <c r="X472" i="9"/>
  <c r="Z472" i="9"/>
  <c r="D473" i="9"/>
  <c r="F473" i="9"/>
  <c r="H473" i="9"/>
  <c r="J473" i="9"/>
  <c r="L473" i="9"/>
  <c r="M473" i="9"/>
  <c r="N473" i="9"/>
  <c r="P473" i="9"/>
  <c r="R473" i="9"/>
  <c r="S473" i="9"/>
  <c r="T473" i="9"/>
  <c r="V473" i="9"/>
  <c r="X473" i="9"/>
  <c r="Z473" i="9"/>
  <c r="D474" i="9"/>
  <c r="F474" i="9"/>
  <c r="H474" i="9"/>
  <c r="J474" i="9"/>
  <c r="L474" i="9"/>
  <c r="M474" i="9"/>
  <c r="N474" i="9"/>
  <c r="P474" i="9"/>
  <c r="R474" i="9"/>
  <c r="S474" i="9"/>
  <c r="T474" i="9"/>
  <c r="V474" i="9"/>
  <c r="X474" i="9"/>
  <c r="Z474" i="9"/>
  <c r="D475" i="9"/>
  <c r="F475" i="9"/>
  <c r="H475" i="9"/>
  <c r="J475" i="9"/>
  <c r="L475" i="9"/>
  <c r="M475" i="9"/>
  <c r="N475" i="9"/>
  <c r="P475" i="9"/>
  <c r="R475" i="9"/>
  <c r="S475" i="9"/>
  <c r="T475" i="9"/>
  <c r="V475" i="9"/>
  <c r="X475" i="9"/>
  <c r="Z475" i="9"/>
  <c r="D476" i="9"/>
  <c r="F476" i="9"/>
  <c r="H476" i="9"/>
  <c r="J476" i="9"/>
  <c r="L476" i="9"/>
  <c r="N476" i="9"/>
  <c r="P476" i="9"/>
  <c r="R476" i="9"/>
  <c r="S476" i="9"/>
  <c r="T476" i="9"/>
  <c r="V476" i="9"/>
  <c r="X476" i="9"/>
  <c r="Z476" i="9"/>
  <c r="D477" i="9"/>
  <c r="F477" i="9"/>
  <c r="H477" i="9"/>
  <c r="J477" i="9"/>
  <c r="L477" i="9"/>
  <c r="M477" i="9"/>
  <c r="N477" i="9"/>
  <c r="P477" i="9"/>
  <c r="R477" i="9"/>
  <c r="S477" i="9"/>
  <c r="T477" i="9"/>
  <c r="V477" i="9"/>
  <c r="X477" i="9"/>
  <c r="Z477" i="9"/>
  <c r="D478" i="9"/>
  <c r="F478" i="9"/>
  <c r="H478" i="9"/>
  <c r="J478" i="9"/>
  <c r="L478" i="9"/>
  <c r="M478" i="9"/>
  <c r="N478" i="9"/>
  <c r="P478" i="9"/>
  <c r="R478" i="9"/>
  <c r="S478" i="9"/>
  <c r="T478" i="9"/>
  <c r="V478" i="9"/>
  <c r="X478" i="9"/>
  <c r="Z478" i="9"/>
  <c r="D479" i="9"/>
  <c r="F479" i="9"/>
  <c r="H479" i="9"/>
  <c r="J479" i="9"/>
  <c r="L479" i="9"/>
  <c r="M479" i="9"/>
  <c r="N479" i="9"/>
  <c r="P479" i="9"/>
  <c r="R479" i="9"/>
  <c r="S479" i="9"/>
  <c r="T479" i="9"/>
  <c r="V479" i="9"/>
  <c r="X479" i="9"/>
  <c r="Z479" i="9"/>
  <c r="D480" i="9"/>
  <c r="F480" i="9"/>
  <c r="H480" i="9"/>
  <c r="J480" i="9"/>
  <c r="L480" i="9"/>
  <c r="N480" i="9"/>
  <c r="P480" i="9"/>
  <c r="R480" i="9"/>
  <c r="S480" i="9"/>
  <c r="T480" i="9"/>
  <c r="V480" i="9"/>
  <c r="X480" i="9"/>
  <c r="Z480" i="9"/>
  <c r="D481" i="9"/>
  <c r="F481" i="9"/>
  <c r="H481" i="9"/>
  <c r="J481" i="9"/>
  <c r="L481" i="9"/>
  <c r="M481" i="9"/>
  <c r="N481" i="9"/>
  <c r="P481" i="9"/>
  <c r="R481" i="9"/>
  <c r="S481" i="9"/>
  <c r="T481" i="9"/>
  <c r="V481" i="9"/>
  <c r="X481" i="9"/>
  <c r="Z481" i="9"/>
  <c r="D482" i="9"/>
  <c r="F482" i="9"/>
  <c r="H482" i="9"/>
  <c r="J482" i="9"/>
  <c r="L482" i="9"/>
  <c r="M482" i="9"/>
  <c r="N482" i="9"/>
  <c r="P482" i="9"/>
  <c r="R482" i="9"/>
  <c r="S482" i="9"/>
  <c r="T482" i="9"/>
  <c r="V482" i="9"/>
  <c r="X482" i="9"/>
  <c r="Z482" i="9"/>
  <c r="D483" i="9"/>
  <c r="F483" i="9"/>
  <c r="H483" i="9"/>
  <c r="J483" i="9"/>
  <c r="L483" i="9"/>
  <c r="M483" i="9"/>
  <c r="N483" i="9"/>
  <c r="P483" i="9"/>
  <c r="R483" i="9"/>
  <c r="S483" i="9"/>
  <c r="T483" i="9"/>
  <c r="V483" i="9"/>
  <c r="X483" i="9"/>
  <c r="Z483" i="9"/>
  <c r="D484" i="9"/>
  <c r="F484" i="9"/>
  <c r="H484" i="9"/>
  <c r="J484" i="9"/>
  <c r="L484" i="9"/>
  <c r="N484" i="9"/>
  <c r="P484" i="9"/>
  <c r="R484" i="9"/>
  <c r="S484" i="9"/>
  <c r="T484" i="9"/>
  <c r="V484" i="9"/>
  <c r="X484" i="9"/>
  <c r="Z484" i="9"/>
  <c r="D485" i="9"/>
  <c r="F485" i="9"/>
  <c r="H485" i="9"/>
  <c r="J485" i="9"/>
  <c r="L485" i="9"/>
  <c r="M485" i="9"/>
  <c r="N485" i="9"/>
  <c r="P485" i="9"/>
  <c r="R485" i="9"/>
  <c r="S485" i="9"/>
  <c r="T485" i="9"/>
  <c r="V485" i="9"/>
  <c r="X485" i="9"/>
  <c r="Z485" i="9"/>
  <c r="D486" i="9"/>
  <c r="F486" i="9"/>
  <c r="H486" i="9"/>
  <c r="J486" i="9"/>
  <c r="L486" i="9"/>
  <c r="M486" i="9"/>
  <c r="N486" i="9"/>
  <c r="P486" i="9"/>
  <c r="R486" i="9"/>
  <c r="S486" i="9"/>
  <c r="T486" i="9"/>
  <c r="V486" i="9"/>
  <c r="X486" i="9"/>
  <c r="Z486" i="9"/>
  <c r="D487" i="9"/>
  <c r="F487" i="9"/>
  <c r="H487" i="9"/>
  <c r="J487" i="9"/>
  <c r="L487" i="9"/>
  <c r="M487" i="9"/>
  <c r="N487" i="9"/>
  <c r="P487" i="9"/>
  <c r="R487" i="9"/>
  <c r="S487" i="9"/>
  <c r="T487" i="9"/>
  <c r="V487" i="9"/>
  <c r="X487" i="9"/>
  <c r="Z487" i="9"/>
  <c r="D488" i="9"/>
  <c r="F488" i="9"/>
  <c r="H488" i="9"/>
  <c r="J488" i="9"/>
  <c r="L488" i="9"/>
  <c r="N488" i="9"/>
  <c r="P488" i="9"/>
  <c r="R488" i="9"/>
  <c r="S488" i="9"/>
  <c r="T488" i="9"/>
  <c r="V488" i="9"/>
  <c r="X488" i="9"/>
  <c r="Z488" i="9"/>
  <c r="D489" i="9"/>
  <c r="F489" i="9"/>
  <c r="H489" i="9"/>
  <c r="J489" i="9"/>
  <c r="L489" i="9"/>
  <c r="M489" i="9"/>
  <c r="N489" i="9"/>
  <c r="P489" i="9"/>
  <c r="R489" i="9"/>
  <c r="S489" i="9"/>
  <c r="T489" i="9"/>
  <c r="V489" i="9"/>
  <c r="X489" i="9"/>
  <c r="Z489" i="9"/>
  <c r="D490" i="9"/>
  <c r="F490" i="9"/>
  <c r="H490" i="9"/>
  <c r="J490" i="9"/>
  <c r="L490" i="9"/>
  <c r="M490" i="9"/>
  <c r="N490" i="9"/>
  <c r="P490" i="9"/>
  <c r="R490" i="9"/>
  <c r="S490" i="9"/>
  <c r="T490" i="9"/>
  <c r="V490" i="9"/>
  <c r="X490" i="9"/>
  <c r="Z490" i="9"/>
  <c r="D491" i="9"/>
  <c r="F491" i="9"/>
  <c r="H491" i="9"/>
  <c r="J491" i="9"/>
  <c r="L491" i="9"/>
  <c r="M491" i="9"/>
  <c r="N491" i="9"/>
  <c r="P491" i="9"/>
  <c r="R491" i="9"/>
  <c r="S491" i="9"/>
  <c r="T491" i="9"/>
  <c r="V491" i="9"/>
  <c r="X491" i="9"/>
  <c r="Z491" i="9"/>
  <c r="D492" i="9"/>
  <c r="F492" i="9"/>
  <c r="H492" i="9"/>
  <c r="J492" i="9"/>
  <c r="L492" i="9"/>
  <c r="N492" i="9"/>
  <c r="P492" i="9"/>
  <c r="R492" i="9"/>
  <c r="S492" i="9"/>
  <c r="T492" i="9"/>
  <c r="V492" i="9"/>
  <c r="X492" i="9"/>
  <c r="Z492" i="9"/>
  <c r="D493" i="9"/>
  <c r="F493" i="9"/>
  <c r="H493" i="9"/>
  <c r="J493" i="9"/>
  <c r="L493" i="9"/>
  <c r="M493" i="9"/>
  <c r="N493" i="9"/>
  <c r="P493" i="9"/>
  <c r="R493" i="9"/>
  <c r="S493" i="9"/>
  <c r="T493" i="9"/>
  <c r="V493" i="9"/>
  <c r="X493" i="9"/>
  <c r="Z493" i="9"/>
  <c r="D494" i="9"/>
  <c r="F494" i="9"/>
  <c r="H494" i="9"/>
  <c r="J494" i="9"/>
  <c r="L494" i="9"/>
  <c r="M494" i="9"/>
  <c r="N494" i="9"/>
  <c r="P494" i="9"/>
  <c r="R494" i="9"/>
  <c r="S494" i="9"/>
  <c r="T494" i="9"/>
  <c r="V494" i="9"/>
  <c r="X494" i="9"/>
  <c r="Z494" i="9"/>
  <c r="D495" i="9"/>
  <c r="F495" i="9"/>
  <c r="H495" i="9"/>
  <c r="J495" i="9"/>
  <c r="L495" i="9"/>
  <c r="M495" i="9"/>
  <c r="N495" i="9"/>
  <c r="P495" i="9"/>
  <c r="R495" i="9"/>
  <c r="S495" i="9"/>
  <c r="T495" i="9"/>
  <c r="V495" i="9"/>
  <c r="X495" i="9"/>
  <c r="Z495" i="9"/>
  <c r="D496" i="9"/>
  <c r="F496" i="9"/>
  <c r="H496" i="9"/>
  <c r="J496" i="9"/>
  <c r="L496" i="9"/>
  <c r="N496" i="9"/>
  <c r="P496" i="9"/>
  <c r="R496" i="9"/>
  <c r="S496" i="9"/>
  <c r="T496" i="9"/>
  <c r="V496" i="9"/>
  <c r="X496" i="9"/>
  <c r="Z496" i="9"/>
  <c r="D497" i="9"/>
  <c r="F497" i="9"/>
  <c r="H497" i="9"/>
  <c r="J497" i="9"/>
  <c r="L497" i="9"/>
  <c r="M497" i="9"/>
  <c r="N497" i="9"/>
  <c r="P497" i="9"/>
  <c r="R497" i="9"/>
  <c r="S497" i="9"/>
  <c r="T497" i="9"/>
  <c r="V497" i="9"/>
  <c r="X497" i="9"/>
  <c r="Z497" i="9"/>
  <c r="D498" i="9"/>
  <c r="F498" i="9"/>
  <c r="H498" i="9"/>
  <c r="J498" i="9"/>
  <c r="L498" i="9"/>
  <c r="M498" i="9"/>
  <c r="N498" i="9"/>
  <c r="P498" i="9"/>
  <c r="R498" i="9"/>
  <c r="S498" i="9"/>
  <c r="T498" i="9"/>
  <c r="V498" i="9"/>
  <c r="X498" i="9"/>
  <c r="Z498" i="9"/>
  <c r="D499" i="9"/>
  <c r="F499" i="9"/>
  <c r="H499" i="9"/>
  <c r="J499" i="9"/>
  <c r="L499" i="9"/>
  <c r="M499" i="9"/>
  <c r="N499" i="9"/>
  <c r="P499" i="9"/>
  <c r="R499" i="9"/>
  <c r="S499" i="9"/>
  <c r="T499" i="9"/>
  <c r="V499" i="9"/>
  <c r="X499" i="9"/>
  <c r="Z499" i="9"/>
  <c r="D500" i="9"/>
  <c r="F500" i="9"/>
  <c r="H500" i="9"/>
  <c r="J500" i="9"/>
  <c r="L500" i="9"/>
  <c r="N500" i="9"/>
  <c r="P500" i="9"/>
  <c r="R500" i="9"/>
  <c r="S500" i="9"/>
  <c r="T500" i="9"/>
  <c r="V500" i="9"/>
  <c r="X500" i="9"/>
  <c r="Z500" i="9"/>
  <c r="D501" i="9"/>
  <c r="F501" i="9"/>
  <c r="H501" i="9"/>
  <c r="J501" i="9"/>
  <c r="L501" i="9"/>
  <c r="M501" i="9"/>
  <c r="N501" i="9"/>
  <c r="P501" i="9"/>
  <c r="R501" i="9"/>
  <c r="S501" i="9"/>
  <c r="T501" i="9"/>
  <c r="V501" i="9"/>
  <c r="X501" i="9"/>
  <c r="Z501" i="9"/>
  <c r="D502" i="9"/>
  <c r="F502" i="9"/>
  <c r="H502" i="9"/>
  <c r="J502" i="9"/>
  <c r="L502" i="9"/>
  <c r="M502" i="9"/>
  <c r="N502" i="9"/>
  <c r="P502" i="9"/>
  <c r="R502" i="9"/>
  <c r="S502" i="9"/>
  <c r="T502" i="9"/>
  <c r="V502" i="9"/>
  <c r="X502" i="9"/>
  <c r="Z502" i="9"/>
  <c r="D503" i="9"/>
  <c r="F503" i="9"/>
  <c r="H503" i="9"/>
  <c r="J503" i="9"/>
  <c r="L503" i="9"/>
  <c r="M503" i="9"/>
  <c r="N503" i="9"/>
  <c r="P503" i="9"/>
  <c r="R503" i="9"/>
  <c r="S503" i="9"/>
  <c r="T503" i="9"/>
  <c r="V503" i="9"/>
  <c r="X503" i="9"/>
  <c r="Z503" i="9"/>
  <c r="D504" i="9"/>
  <c r="F504" i="9"/>
  <c r="H504" i="9"/>
  <c r="J504" i="9"/>
  <c r="L504" i="9"/>
  <c r="N504" i="9"/>
  <c r="P504" i="9"/>
  <c r="R504" i="9"/>
  <c r="S504" i="9"/>
  <c r="T504" i="9"/>
  <c r="V504" i="9"/>
  <c r="X504" i="9"/>
  <c r="Z504" i="9"/>
  <c r="D505" i="9"/>
  <c r="F505" i="9"/>
  <c r="H505" i="9"/>
  <c r="J505" i="9"/>
  <c r="L505" i="9"/>
  <c r="M505" i="9"/>
  <c r="N505" i="9"/>
  <c r="P505" i="9"/>
  <c r="R505" i="9"/>
  <c r="S505" i="9"/>
  <c r="T505" i="9"/>
  <c r="V505" i="9"/>
  <c r="X505" i="9"/>
  <c r="Z505" i="9"/>
  <c r="D506" i="9"/>
  <c r="F506" i="9"/>
  <c r="H506" i="9"/>
  <c r="J506" i="9"/>
  <c r="L506" i="9"/>
  <c r="M506" i="9"/>
  <c r="N506" i="9"/>
  <c r="P506" i="9"/>
  <c r="R506" i="9"/>
  <c r="S506" i="9"/>
  <c r="T506" i="9"/>
  <c r="V506" i="9"/>
  <c r="X506" i="9"/>
  <c r="Z506" i="9"/>
  <c r="D507" i="9"/>
  <c r="F507" i="9"/>
  <c r="H507" i="9"/>
  <c r="J507" i="9"/>
  <c r="L507" i="9"/>
  <c r="M507" i="9"/>
  <c r="N507" i="9"/>
  <c r="P507" i="9"/>
  <c r="R507" i="9"/>
  <c r="S507" i="9"/>
  <c r="T507" i="9"/>
  <c r="V507" i="9"/>
  <c r="X507" i="9"/>
  <c r="Z507" i="9"/>
  <c r="D508" i="9"/>
  <c r="F508" i="9"/>
  <c r="H508" i="9"/>
  <c r="J508" i="9"/>
  <c r="L508" i="9"/>
  <c r="N508" i="9"/>
  <c r="P508" i="9"/>
  <c r="R508" i="9"/>
  <c r="S508" i="9"/>
  <c r="T508" i="9"/>
  <c r="V508" i="9"/>
  <c r="X508" i="9"/>
  <c r="Z508" i="9"/>
  <c r="D509" i="9"/>
  <c r="F509" i="9"/>
  <c r="H509" i="9"/>
  <c r="J509" i="9"/>
  <c r="L509" i="9"/>
  <c r="M509" i="9"/>
  <c r="N509" i="9"/>
  <c r="P509" i="9"/>
  <c r="R509" i="9"/>
  <c r="S509" i="9"/>
  <c r="T509" i="9"/>
  <c r="V509" i="9"/>
  <c r="X509" i="9"/>
  <c r="Z509" i="9"/>
  <c r="D510" i="9"/>
  <c r="F510" i="9"/>
  <c r="H510" i="9"/>
  <c r="J510" i="9"/>
  <c r="L510" i="9"/>
  <c r="M510" i="9"/>
  <c r="N510" i="9"/>
  <c r="P510" i="9"/>
  <c r="R510" i="9"/>
  <c r="S510" i="9"/>
  <c r="T510" i="9"/>
  <c r="V510" i="9"/>
  <c r="X510" i="9"/>
  <c r="Z510" i="9"/>
  <c r="D511" i="9"/>
  <c r="F511" i="9"/>
  <c r="H511" i="9"/>
  <c r="J511" i="9"/>
  <c r="L511" i="9"/>
  <c r="M511" i="9"/>
  <c r="N511" i="9"/>
  <c r="P511" i="9"/>
  <c r="R511" i="9"/>
  <c r="S511" i="9"/>
  <c r="T511" i="9"/>
  <c r="V511" i="9"/>
  <c r="X511" i="9"/>
  <c r="Z511" i="9"/>
  <c r="D512" i="9"/>
  <c r="F512" i="9"/>
  <c r="G512" i="9"/>
  <c r="H512" i="9"/>
  <c r="J512" i="9"/>
  <c r="L512" i="9"/>
  <c r="N512" i="9"/>
  <c r="P512" i="9"/>
  <c r="R512" i="9"/>
  <c r="S512" i="9"/>
  <c r="T512" i="9"/>
  <c r="V512" i="9"/>
  <c r="X512" i="9"/>
  <c r="Z512" i="9"/>
  <c r="D513" i="9"/>
  <c r="F513" i="9"/>
  <c r="G513" i="9"/>
  <c r="H513" i="9"/>
  <c r="J513" i="9"/>
  <c r="L513" i="9"/>
  <c r="N513" i="9"/>
  <c r="P513" i="9"/>
  <c r="R513" i="9"/>
  <c r="S513" i="9"/>
  <c r="T513" i="9"/>
  <c r="V513" i="9"/>
  <c r="X513" i="9"/>
  <c r="Z513" i="9"/>
  <c r="D514" i="9"/>
  <c r="F514" i="9"/>
  <c r="H514" i="9"/>
  <c r="J514" i="9"/>
  <c r="L514" i="9"/>
  <c r="M514" i="9"/>
  <c r="N514" i="9"/>
  <c r="P514" i="9"/>
  <c r="R514" i="9"/>
  <c r="S514" i="9"/>
  <c r="T514" i="9"/>
  <c r="V514" i="9"/>
  <c r="X514" i="9"/>
  <c r="Z514" i="9"/>
  <c r="D515" i="9"/>
  <c r="F515" i="9"/>
  <c r="H515" i="9"/>
  <c r="J515" i="9"/>
  <c r="L515" i="9"/>
  <c r="M515" i="9"/>
  <c r="N515" i="9"/>
  <c r="P515" i="9"/>
  <c r="R515" i="9"/>
  <c r="S515" i="9"/>
  <c r="T515" i="9"/>
  <c r="V515" i="9"/>
  <c r="X515" i="9"/>
  <c r="Z515" i="9"/>
  <c r="D516" i="9"/>
  <c r="F516" i="9"/>
  <c r="H516" i="9"/>
  <c r="J516" i="9"/>
  <c r="L516" i="9"/>
  <c r="M516" i="9"/>
  <c r="N516" i="9"/>
  <c r="P516" i="9"/>
  <c r="R516" i="9"/>
  <c r="S516" i="9"/>
  <c r="T516" i="9"/>
  <c r="V516" i="9"/>
  <c r="X516" i="9"/>
  <c r="Z516" i="9"/>
  <c r="D517" i="9"/>
  <c r="F517" i="9"/>
  <c r="H517" i="9"/>
  <c r="J517" i="9"/>
  <c r="L517" i="9"/>
  <c r="N517" i="9"/>
  <c r="P517" i="9"/>
  <c r="R517" i="9"/>
  <c r="S517" i="9"/>
  <c r="T517" i="9"/>
  <c r="V517" i="9"/>
  <c r="X517" i="9"/>
  <c r="Z517" i="9"/>
  <c r="D518" i="9"/>
  <c r="F518" i="9"/>
  <c r="H518" i="9"/>
  <c r="J518" i="9"/>
  <c r="L518" i="9"/>
  <c r="M518" i="9"/>
  <c r="N518" i="9"/>
  <c r="P518" i="9"/>
  <c r="R518" i="9"/>
  <c r="S518" i="9"/>
  <c r="T518" i="9"/>
  <c r="V518" i="9"/>
  <c r="X518" i="9"/>
  <c r="Z518" i="9"/>
  <c r="D519" i="9"/>
  <c r="F519" i="9"/>
  <c r="H519" i="9"/>
  <c r="J519" i="9"/>
  <c r="L519" i="9"/>
  <c r="M519" i="9"/>
  <c r="N519" i="9"/>
  <c r="P519" i="9"/>
  <c r="R519" i="9"/>
  <c r="S519" i="9"/>
  <c r="T519" i="9"/>
  <c r="V519" i="9"/>
  <c r="X519" i="9"/>
  <c r="Z519" i="9"/>
  <c r="D520" i="9"/>
  <c r="F520" i="9"/>
  <c r="H520" i="9"/>
  <c r="J520" i="9"/>
  <c r="L520" i="9"/>
  <c r="M520" i="9"/>
  <c r="N520" i="9"/>
  <c r="P520" i="9"/>
  <c r="R520" i="9"/>
  <c r="S520" i="9"/>
  <c r="T520" i="9"/>
  <c r="V520" i="9"/>
  <c r="X520" i="9"/>
  <c r="Z520" i="9"/>
  <c r="D521" i="9"/>
  <c r="F521" i="9"/>
  <c r="H521" i="9"/>
  <c r="J521" i="9"/>
  <c r="L521" i="9"/>
  <c r="N521" i="9"/>
  <c r="P521" i="9"/>
  <c r="R521" i="9"/>
  <c r="S521" i="9"/>
  <c r="T521" i="9"/>
  <c r="V521" i="9"/>
  <c r="X521" i="9"/>
  <c r="Z521" i="9"/>
  <c r="D522" i="9"/>
  <c r="F522" i="9"/>
  <c r="H522" i="9"/>
  <c r="J522" i="9"/>
  <c r="L522" i="9"/>
  <c r="M522" i="9"/>
  <c r="N522" i="9"/>
  <c r="P522" i="9"/>
  <c r="R522" i="9"/>
  <c r="S522" i="9"/>
  <c r="T522" i="9"/>
  <c r="V522" i="9"/>
  <c r="X522" i="9"/>
  <c r="Z522" i="9"/>
  <c r="D523" i="9"/>
  <c r="F523" i="9"/>
  <c r="H523" i="9"/>
  <c r="J523" i="9"/>
  <c r="L523" i="9"/>
  <c r="M523" i="9"/>
  <c r="N523" i="9"/>
  <c r="P523" i="9"/>
  <c r="R523" i="9"/>
  <c r="S523" i="9"/>
  <c r="T523" i="9"/>
  <c r="V523" i="9"/>
  <c r="X523" i="9"/>
  <c r="Z523" i="9"/>
  <c r="D524" i="9"/>
  <c r="F524" i="9"/>
  <c r="H524" i="9"/>
  <c r="J524" i="9"/>
  <c r="L524" i="9"/>
  <c r="M524" i="9"/>
  <c r="N524" i="9"/>
  <c r="P524" i="9"/>
  <c r="R524" i="9"/>
  <c r="S524" i="9"/>
  <c r="T524" i="9"/>
  <c r="V524" i="9"/>
  <c r="X524" i="9"/>
  <c r="Z524" i="9"/>
  <c r="D525" i="9"/>
  <c r="F525" i="9"/>
  <c r="H525" i="9"/>
  <c r="J525" i="9"/>
  <c r="L525" i="9"/>
  <c r="N525" i="9"/>
  <c r="P525" i="9"/>
  <c r="R525" i="9"/>
  <c r="S525" i="9"/>
  <c r="T525" i="9"/>
  <c r="V525" i="9"/>
  <c r="X525" i="9"/>
  <c r="Z525" i="9"/>
  <c r="D526" i="9"/>
  <c r="F526" i="9"/>
  <c r="H526" i="9"/>
  <c r="J526" i="9"/>
  <c r="L526" i="9"/>
  <c r="M526" i="9"/>
  <c r="N526" i="9"/>
  <c r="P526" i="9"/>
  <c r="R526" i="9"/>
  <c r="S526" i="9"/>
  <c r="T526" i="9"/>
  <c r="V526" i="9"/>
  <c r="X526" i="9"/>
  <c r="Z526" i="9"/>
  <c r="D527" i="9"/>
  <c r="F527" i="9"/>
  <c r="H527" i="9"/>
  <c r="J527" i="9"/>
  <c r="L527" i="9"/>
  <c r="M527" i="9"/>
  <c r="N527" i="9"/>
  <c r="P527" i="9"/>
  <c r="R527" i="9"/>
  <c r="S527" i="9"/>
  <c r="T527" i="9"/>
  <c r="V527" i="9"/>
  <c r="X527" i="9"/>
  <c r="Z527" i="9"/>
  <c r="D528" i="9"/>
  <c r="F528" i="9"/>
  <c r="H528" i="9"/>
  <c r="J528" i="9"/>
  <c r="L528" i="9"/>
  <c r="M528" i="9"/>
  <c r="N528" i="9"/>
  <c r="P528" i="9"/>
  <c r="R528" i="9"/>
  <c r="S528" i="9"/>
  <c r="T528" i="9"/>
  <c r="V528" i="9"/>
  <c r="X528" i="9"/>
  <c r="Z528" i="9"/>
  <c r="D529" i="9"/>
  <c r="F529" i="9"/>
  <c r="H529" i="9"/>
  <c r="J529" i="9"/>
  <c r="L529" i="9"/>
  <c r="N529" i="9"/>
  <c r="P529" i="9"/>
  <c r="R529" i="9"/>
  <c r="S529" i="9"/>
  <c r="T529" i="9"/>
  <c r="V529" i="9"/>
  <c r="X529" i="9"/>
  <c r="Z529" i="9"/>
  <c r="D530" i="9"/>
  <c r="F530" i="9"/>
  <c r="H530" i="9"/>
  <c r="J530" i="9"/>
  <c r="L530" i="9"/>
  <c r="M530" i="9"/>
  <c r="N530" i="9"/>
  <c r="P530" i="9"/>
  <c r="R530" i="9"/>
  <c r="S530" i="9"/>
  <c r="T530" i="9"/>
  <c r="V530" i="9"/>
  <c r="X530" i="9"/>
  <c r="Z530" i="9"/>
  <c r="D531" i="9"/>
  <c r="F531" i="9"/>
  <c r="H531" i="9"/>
  <c r="J531" i="9"/>
  <c r="L531" i="9"/>
  <c r="M531" i="9"/>
  <c r="N531" i="9"/>
  <c r="P531" i="9"/>
  <c r="R531" i="9"/>
  <c r="S531" i="9"/>
  <c r="T531" i="9"/>
  <c r="V531" i="9"/>
  <c r="X531" i="9"/>
  <c r="Z531" i="9"/>
  <c r="D532" i="9"/>
  <c r="F532" i="9"/>
  <c r="H532" i="9"/>
  <c r="J532" i="9"/>
  <c r="L532" i="9"/>
  <c r="M532" i="9"/>
  <c r="N532" i="9"/>
  <c r="P532" i="9"/>
  <c r="R532" i="9"/>
  <c r="S532" i="9"/>
  <c r="T532" i="9"/>
  <c r="V532" i="9"/>
  <c r="X532" i="9"/>
  <c r="Z532" i="9"/>
  <c r="D533" i="9"/>
  <c r="F533" i="9"/>
  <c r="H533" i="9"/>
  <c r="J533" i="9"/>
  <c r="L533" i="9"/>
  <c r="N533" i="9"/>
  <c r="P533" i="9"/>
  <c r="R533" i="9"/>
  <c r="S533" i="9"/>
  <c r="T533" i="9"/>
  <c r="V533" i="9"/>
  <c r="X533" i="9"/>
  <c r="Z533" i="9"/>
  <c r="D534" i="9"/>
  <c r="F534" i="9"/>
  <c r="H534" i="9"/>
  <c r="J534" i="9"/>
  <c r="L534" i="9"/>
  <c r="M534" i="9"/>
  <c r="N534" i="9"/>
  <c r="P534" i="9"/>
  <c r="R534" i="9"/>
  <c r="S534" i="9"/>
  <c r="T534" i="9"/>
  <c r="V534" i="9"/>
  <c r="X534" i="9"/>
  <c r="Z534" i="9"/>
  <c r="D535" i="9"/>
  <c r="F535" i="9"/>
  <c r="H535" i="9"/>
  <c r="J535" i="9"/>
  <c r="L535" i="9"/>
  <c r="M535" i="9"/>
  <c r="N535" i="9"/>
  <c r="P535" i="9"/>
  <c r="R535" i="9"/>
  <c r="S535" i="9"/>
  <c r="T535" i="9"/>
  <c r="V535" i="9"/>
  <c r="X535" i="9"/>
  <c r="Z535" i="9"/>
  <c r="D536" i="9"/>
  <c r="F536" i="9"/>
  <c r="H536" i="9"/>
  <c r="J536" i="9"/>
  <c r="L536" i="9"/>
  <c r="M536" i="9"/>
  <c r="N536" i="9"/>
  <c r="P536" i="9"/>
  <c r="R536" i="9"/>
  <c r="S536" i="9"/>
  <c r="T536" i="9"/>
  <c r="V536" i="9"/>
  <c r="X536" i="9"/>
  <c r="Z536" i="9"/>
  <c r="D537" i="9"/>
  <c r="F537" i="9"/>
  <c r="H537" i="9"/>
  <c r="J537" i="9"/>
  <c r="L537" i="9"/>
  <c r="N537" i="9"/>
  <c r="P537" i="9"/>
  <c r="R537" i="9"/>
  <c r="S537" i="9"/>
  <c r="T537" i="9"/>
  <c r="V537" i="9"/>
  <c r="X537" i="9"/>
  <c r="Z537" i="9"/>
  <c r="D538" i="9"/>
  <c r="F538" i="9"/>
  <c r="H538" i="9"/>
  <c r="J538" i="9"/>
  <c r="L538" i="9"/>
  <c r="M538" i="9"/>
  <c r="N538" i="9"/>
  <c r="P538" i="9"/>
  <c r="R538" i="9"/>
  <c r="S538" i="9"/>
  <c r="T538" i="9"/>
  <c r="V538" i="9"/>
  <c r="X538" i="9"/>
  <c r="Z538" i="9"/>
  <c r="D539" i="9"/>
  <c r="F539" i="9"/>
  <c r="H539" i="9"/>
  <c r="J539" i="9"/>
  <c r="L539" i="9"/>
  <c r="M539" i="9"/>
  <c r="N539" i="9"/>
  <c r="P539" i="9"/>
  <c r="R539" i="9"/>
  <c r="S539" i="9"/>
  <c r="T539" i="9"/>
  <c r="V539" i="9"/>
  <c r="X539" i="9"/>
  <c r="Z539" i="9"/>
  <c r="D540" i="9"/>
  <c r="F540" i="9"/>
  <c r="H540" i="9"/>
  <c r="J540" i="9"/>
  <c r="L540" i="9"/>
  <c r="M540" i="9"/>
  <c r="N540" i="9"/>
  <c r="P540" i="9"/>
  <c r="R540" i="9"/>
  <c r="S540" i="9"/>
  <c r="T540" i="9"/>
  <c r="V540" i="9"/>
  <c r="X540" i="9"/>
  <c r="Z540" i="9"/>
  <c r="D541" i="9"/>
  <c r="F541" i="9"/>
  <c r="H541" i="9"/>
  <c r="J541" i="9"/>
  <c r="L541" i="9"/>
  <c r="N541" i="9"/>
  <c r="P541" i="9"/>
  <c r="R541" i="9"/>
  <c r="S541" i="9"/>
  <c r="T541" i="9"/>
  <c r="V541" i="9"/>
  <c r="X541" i="9"/>
  <c r="Z541" i="9"/>
  <c r="D542" i="9"/>
  <c r="F542" i="9"/>
  <c r="H542" i="9"/>
  <c r="J542" i="9"/>
  <c r="L542" i="9"/>
  <c r="M542" i="9"/>
  <c r="N542" i="9"/>
  <c r="P542" i="9"/>
  <c r="R542" i="9"/>
  <c r="S542" i="9"/>
  <c r="T542" i="9"/>
  <c r="V542" i="9"/>
  <c r="X542" i="9"/>
  <c r="Z542" i="9"/>
  <c r="D543" i="9"/>
  <c r="F543" i="9"/>
  <c r="H543" i="9"/>
  <c r="J543" i="9"/>
  <c r="L543" i="9"/>
  <c r="M543" i="9"/>
  <c r="N543" i="9"/>
  <c r="P543" i="9"/>
  <c r="R543" i="9"/>
  <c r="S543" i="9"/>
  <c r="T543" i="9"/>
  <c r="V543" i="9"/>
  <c r="X543" i="9"/>
  <c r="Z543" i="9"/>
  <c r="D544" i="9"/>
  <c r="F544" i="9"/>
  <c r="H544" i="9"/>
  <c r="J544" i="9"/>
  <c r="L544" i="9"/>
  <c r="M544" i="9"/>
  <c r="N544" i="9"/>
  <c r="P544" i="9"/>
  <c r="R544" i="9"/>
  <c r="S544" i="9"/>
  <c r="T544" i="9"/>
  <c r="V544" i="9"/>
  <c r="X544" i="9"/>
  <c r="Z544" i="9"/>
  <c r="D545" i="9"/>
  <c r="F545" i="9"/>
  <c r="H545" i="9"/>
  <c r="J545" i="9"/>
  <c r="L545" i="9"/>
  <c r="N545" i="9"/>
  <c r="P545" i="9"/>
  <c r="R545" i="9"/>
  <c r="S545" i="9"/>
  <c r="T545" i="9"/>
  <c r="V545" i="9"/>
  <c r="X545" i="9"/>
  <c r="Z545" i="9"/>
  <c r="D546" i="9"/>
  <c r="F546" i="9"/>
  <c r="H546" i="9"/>
  <c r="J546" i="9"/>
  <c r="L546" i="9"/>
  <c r="M546" i="9"/>
  <c r="N546" i="9"/>
  <c r="P546" i="9"/>
  <c r="R546" i="9"/>
  <c r="S546" i="9"/>
  <c r="T546" i="9"/>
  <c r="V546" i="9"/>
  <c r="X546" i="9"/>
  <c r="Z546" i="9"/>
  <c r="D547" i="9"/>
  <c r="F547" i="9"/>
  <c r="H547" i="9"/>
  <c r="J547" i="9"/>
  <c r="L547" i="9"/>
  <c r="M547" i="9"/>
  <c r="N547" i="9"/>
  <c r="P547" i="9"/>
  <c r="R547" i="9"/>
  <c r="S547" i="9"/>
  <c r="T547" i="9"/>
  <c r="V547" i="9"/>
  <c r="X547" i="9"/>
  <c r="Z547" i="9"/>
  <c r="D548" i="9"/>
  <c r="F548" i="9"/>
  <c r="H548" i="9"/>
  <c r="J548" i="9"/>
  <c r="L548" i="9"/>
  <c r="M548" i="9"/>
  <c r="N548" i="9"/>
  <c r="P548" i="9"/>
  <c r="R548" i="9"/>
  <c r="S548" i="9"/>
  <c r="T548" i="9"/>
  <c r="V548" i="9"/>
  <c r="X548" i="9"/>
  <c r="Z548" i="9"/>
  <c r="D549" i="9"/>
  <c r="F549" i="9"/>
  <c r="H549" i="9"/>
  <c r="J549" i="9"/>
  <c r="L549" i="9"/>
  <c r="N549" i="9"/>
  <c r="P549" i="9"/>
  <c r="R549" i="9"/>
  <c r="S549" i="9"/>
  <c r="T549" i="9"/>
  <c r="V549" i="9"/>
  <c r="X549" i="9"/>
  <c r="Z549" i="9"/>
  <c r="D550" i="9"/>
  <c r="F550" i="9"/>
  <c r="G550" i="9"/>
  <c r="H550" i="9"/>
  <c r="J550" i="9"/>
  <c r="L550" i="9"/>
  <c r="N550" i="9"/>
  <c r="P550" i="9"/>
  <c r="R550" i="9"/>
  <c r="S550" i="9"/>
  <c r="T550" i="9"/>
  <c r="V550" i="9"/>
  <c r="X550" i="9"/>
  <c r="Z550" i="9"/>
  <c r="D551" i="9"/>
  <c r="F551" i="9"/>
  <c r="H551" i="9"/>
  <c r="J551" i="9"/>
  <c r="L551" i="9"/>
  <c r="N551" i="9"/>
  <c r="P551" i="9"/>
  <c r="R551" i="9"/>
  <c r="S551" i="9"/>
  <c r="T551" i="9"/>
  <c r="V551" i="9"/>
  <c r="X551" i="9"/>
  <c r="Z551" i="9"/>
  <c r="D552" i="9"/>
  <c r="F552" i="9"/>
  <c r="H552" i="9"/>
  <c r="J552" i="9"/>
  <c r="L552" i="9"/>
  <c r="M552" i="9"/>
  <c r="N552" i="9"/>
  <c r="P552" i="9"/>
  <c r="R552" i="9"/>
  <c r="S552" i="9"/>
  <c r="T552" i="9"/>
  <c r="V552" i="9"/>
  <c r="X552" i="9"/>
  <c r="Z552" i="9"/>
  <c r="D553" i="9"/>
  <c r="F553" i="9"/>
  <c r="H553" i="9"/>
  <c r="J553" i="9"/>
  <c r="L553" i="9"/>
  <c r="N553" i="9"/>
  <c r="P553" i="9"/>
  <c r="R553" i="9"/>
  <c r="S553" i="9"/>
  <c r="T553" i="9"/>
  <c r="V553" i="9"/>
  <c r="X553" i="9"/>
  <c r="Z553" i="9"/>
  <c r="D554" i="9"/>
  <c r="F554" i="9"/>
  <c r="H554" i="9"/>
  <c r="J554" i="9"/>
  <c r="L554" i="9"/>
  <c r="N554" i="9"/>
  <c r="P554" i="9"/>
  <c r="R554" i="9"/>
  <c r="S554" i="9"/>
  <c r="T554" i="9"/>
  <c r="V554" i="9"/>
  <c r="X554" i="9"/>
  <c r="Z554" i="9"/>
  <c r="D555" i="9"/>
  <c r="F555" i="9"/>
  <c r="H555" i="9"/>
  <c r="J555" i="9"/>
  <c r="L555" i="9"/>
  <c r="N555" i="9"/>
  <c r="P555" i="9"/>
  <c r="R555" i="9"/>
  <c r="S555" i="9"/>
  <c r="T555" i="9"/>
  <c r="V555" i="9"/>
  <c r="X555" i="9"/>
  <c r="Z555" i="9"/>
  <c r="D556" i="9"/>
  <c r="F556" i="9"/>
  <c r="H556" i="9"/>
  <c r="J556" i="9"/>
  <c r="L556" i="9"/>
  <c r="M556" i="9"/>
  <c r="N556" i="9"/>
  <c r="P556" i="9"/>
  <c r="R556" i="9"/>
  <c r="S556" i="9"/>
  <c r="T556" i="9"/>
  <c r="V556" i="9"/>
  <c r="X556" i="9"/>
  <c r="Z556" i="9"/>
  <c r="D557" i="9"/>
  <c r="F557" i="9"/>
  <c r="H557" i="9"/>
  <c r="J557" i="9"/>
  <c r="L557" i="9"/>
  <c r="N557" i="9"/>
  <c r="P557" i="9"/>
  <c r="R557" i="9"/>
  <c r="S557" i="9"/>
  <c r="T557" i="9"/>
  <c r="V557" i="9"/>
  <c r="X557" i="9"/>
  <c r="Z557" i="9"/>
  <c r="D558" i="9"/>
  <c r="F558" i="9"/>
  <c r="H558" i="9"/>
  <c r="J558" i="9"/>
  <c r="L558" i="9"/>
  <c r="N558" i="9"/>
  <c r="P558" i="9"/>
  <c r="R558" i="9"/>
  <c r="S558" i="9"/>
  <c r="T558" i="9"/>
  <c r="V558" i="9"/>
  <c r="X558" i="9"/>
  <c r="Z558" i="9"/>
  <c r="D559" i="9"/>
  <c r="F559" i="9"/>
  <c r="H559" i="9"/>
  <c r="J559" i="9"/>
  <c r="L559" i="9"/>
  <c r="N559" i="9"/>
  <c r="P559" i="9"/>
  <c r="R559" i="9"/>
  <c r="S559" i="9"/>
  <c r="T559" i="9"/>
  <c r="V559" i="9"/>
  <c r="X559" i="9"/>
  <c r="Z559" i="9"/>
  <c r="D560" i="9"/>
  <c r="F560" i="9"/>
  <c r="H560" i="9"/>
  <c r="J560" i="9"/>
  <c r="L560" i="9"/>
  <c r="M560" i="9"/>
  <c r="N560" i="9"/>
  <c r="P560" i="9"/>
  <c r="R560" i="9"/>
  <c r="S560" i="9"/>
  <c r="T560" i="9"/>
  <c r="V560" i="9"/>
  <c r="X560" i="9"/>
  <c r="Z560" i="9"/>
  <c r="D561" i="9"/>
  <c r="F561" i="9"/>
  <c r="H561" i="9"/>
  <c r="J561" i="9"/>
  <c r="L561" i="9"/>
  <c r="N561" i="9"/>
  <c r="P561" i="9"/>
  <c r="R561" i="9"/>
  <c r="S561" i="9"/>
  <c r="T561" i="9"/>
  <c r="V561" i="9"/>
  <c r="X561" i="9"/>
  <c r="Z561" i="9"/>
  <c r="D562" i="9"/>
  <c r="F562" i="9"/>
  <c r="H562" i="9"/>
  <c r="J562" i="9"/>
  <c r="L562" i="9"/>
  <c r="N562" i="9"/>
  <c r="P562" i="9"/>
  <c r="R562" i="9"/>
  <c r="S562" i="9"/>
  <c r="T562" i="9"/>
  <c r="V562" i="9"/>
  <c r="X562" i="9"/>
  <c r="Z562" i="9"/>
  <c r="D563" i="9"/>
  <c r="F563" i="9"/>
  <c r="H563" i="9"/>
  <c r="J563" i="9"/>
  <c r="L563" i="9"/>
  <c r="N563" i="9"/>
  <c r="P563" i="9"/>
  <c r="R563" i="9"/>
  <c r="S563" i="9"/>
  <c r="T563" i="9"/>
  <c r="V563" i="9"/>
  <c r="X563" i="9"/>
  <c r="Z563" i="9"/>
  <c r="D564" i="9"/>
  <c r="F564" i="9"/>
  <c r="H564" i="9"/>
  <c r="J564" i="9"/>
  <c r="L564" i="9"/>
  <c r="M564" i="9"/>
  <c r="N564" i="9"/>
  <c r="P564" i="9"/>
  <c r="R564" i="9"/>
  <c r="S564" i="9"/>
  <c r="T564" i="9"/>
  <c r="V564" i="9"/>
  <c r="X564" i="9"/>
  <c r="Z564" i="9"/>
  <c r="D565" i="9"/>
  <c r="F565" i="9"/>
  <c r="H565" i="9"/>
  <c r="J565" i="9"/>
  <c r="L565" i="9"/>
  <c r="N565" i="9"/>
  <c r="P565" i="9"/>
  <c r="R565" i="9"/>
  <c r="S565" i="9"/>
  <c r="T565" i="9"/>
  <c r="V565" i="9"/>
  <c r="X565" i="9"/>
  <c r="Z565" i="9"/>
  <c r="D566" i="9"/>
  <c r="F566" i="9"/>
  <c r="H566" i="9"/>
  <c r="J566" i="9"/>
  <c r="L566" i="9"/>
  <c r="N566" i="9"/>
  <c r="P566" i="9"/>
  <c r="R566" i="9"/>
  <c r="S566" i="9"/>
  <c r="T566" i="9"/>
  <c r="V566" i="9"/>
  <c r="X566" i="9"/>
  <c r="Z566" i="9"/>
  <c r="D567" i="9"/>
  <c r="F567" i="9"/>
  <c r="H567" i="9"/>
  <c r="J567" i="9"/>
  <c r="L567" i="9"/>
  <c r="N567" i="9"/>
  <c r="P567" i="9"/>
  <c r="R567" i="9"/>
  <c r="S567" i="9"/>
  <c r="T567" i="9"/>
  <c r="V567" i="9"/>
  <c r="X567" i="9"/>
  <c r="Z567" i="9"/>
  <c r="D568" i="9"/>
  <c r="F568" i="9"/>
  <c r="H568" i="9"/>
  <c r="J568" i="9"/>
  <c r="L568" i="9"/>
  <c r="M568" i="9"/>
  <c r="N568" i="9"/>
  <c r="P568" i="9"/>
  <c r="R568" i="9"/>
  <c r="S568" i="9"/>
  <c r="T568" i="9"/>
  <c r="V568" i="9"/>
  <c r="X568" i="9"/>
  <c r="Z568" i="9"/>
  <c r="D569" i="9"/>
  <c r="F569" i="9"/>
  <c r="H569" i="9"/>
  <c r="J569" i="9"/>
  <c r="L569" i="9"/>
  <c r="N569" i="9"/>
  <c r="P569" i="9"/>
  <c r="R569" i="9"/>
  <c r="S569" i="9"/>
  <c r="T569" i="9"/>
  <c r="V569" i="9"/>
  <c r="X569" i="9"/>
  <c r="Z569" i="9"/>
  <c r="D570" i="9"/>
  <c r="F570" i="9"/>
  <c r="H570" i="9"/>
  <c r="J570" i="9"/>
  <c r="L570" i="9"/>
  <c r="N570" i="9"/>
  <c r="P570" i="9"/>
  <c r="R570" i="9"/>
  <c r="S570" i="9"/>
  <c r="T570" i="9"/>
  <c r="V570" i="9"/>
  <c r="X570" i="9"/>
  <c r="Z570" i="9"/>
  <c r="D571" i="9"/>
  <c r="F571" i="9"/>
  <c r="H571" i="9"/>
  <c r="J571" i="9"/>
  <c r="L571" i="9"/>
  <c r="N571" i="9"/>
  <c r="P571" i="9"/>
  <c r="R571" i="9"/>
  <c r="S571" i="9"/>
  <c r="T571" i="9"/>
  <c r="V571" i="9"/>
  <c r="X571" i="9"/>
  <c r="Z571" i="9"/>
  <c r="D572" i="9"/>
  <c r="F572" i="9"/>
  <c r="H572" i="9"/>
  <c r="J572" i="9"/>
  <c r="L572" i="9"/>
  <c r="M572" i="9"/>
  <c r="N572" i="9"/>
  <c r="P572" i="9"/>
  <c r="R572" i="9"/>
  <c r="S572" i="9"/>
  <c r="T572" i="9"/>
  <c r="V572" i="9"/>
  <c r="X572" i="9"/>
  <c r="Z572" i="9"/>
  <c r="D573" i="9"/>
  <c r="F573" i="9"/>
  <c r="H573" i="9"/>
  <c r="J573" i="9"/>
  <c r="L573" i="9"/>
  <c r="N573" i="9"/>
  <c r="P573" i="9"/>
  <c r="R573" i="9"/>
  <c r="S573" i="9"/>
  <c r="T573" i="9"/>
  <c r="V573" i="9"/>
  <c r="X573" i="9"/>
  <c r="Z573" i="9"/>
  <c r="D574" i="9"/>
  <c r="F574" i="9"/>
  <c r="H574" i="9"/>
  <c r="J574" i="9"/>
  <c r="L574" i="9"/>
  <c r="N574" i="9"/>
  <c r="P574" i="9"/>
  <c r="R574" i="9"/>
  <c r="S574" i="9"/>
  <c r="T574" i="9"/>
  <c r="V574" i="9"/>
  <c r="X574" i="9"/>
  <c r="Z574" i="9"/>
  <c r="D575" i="9"/>
  <c r="F575" i="9"/>
  <c r="H575" i="9"/>
  <c r="J575" i="9"/>
  <c r="L575" i="9"/>
  <c r="N575" i="9"/>
  <c r="P575" i="9"/>
  <c r="R575" i="9"/>
  <c r="S575" i="9"/>
  <c r="T575" i="9"/>
  <c r="V575" i="9"/>
  <c r="X575" i="9"/>
  <c r="Z575" i="9"/>
  <c r="D576" i="9"/>
  <c r="F576" i="9"/>
  <c r="G576" i="9"/>
  <c r="H576" i="9"/>
  <c r="J576" i="9"/>
  <c r="L576" i="9"/>
  <c r="M576" i="9"/>
  <c r="N576" i="9"/>
  <c r="P576" i="9"/>
  <c r="R576" i="9"/>
  <c r="S576" i="9"/>
  <c r="T576" i="9"/>
  <c r="V576" i="9"/>
  <c r="X576" i="9"/>
  <c r="Z576" i="9"/>
  <c r="D577" i="9"/>
  <c r="F577" i="9"/>
  <c r="H577" i="9"/>
  <c r="J577" i="9"/>
  <c r="L577" i="9"/>
  <c r="M577" i="9"/>
  <c r="N577" i="9"/>
  <c r="P577" i="9"/>
  <c r="R577" i="9"/>
  <c r="S577" i="9"/>
  <c r="T577" i="9"/>
  <c r="V577" i="9"/>
  <c r="X577" i="9"/>
  <c r="Z577" i="9"/>
  <c r="D578" i="9"/>
  <c r="F578" i="9"/>
  <c r="H578" i="9"/>
  <c r="J578" i="9"/>
  <c r="L578" i="9"/>
  <c r="N578" i="9"/>
  <c r="P578" i="9"/>
  <c r="R578" i="9"/>
  <c r="S578" i="9"/>
  <c r="T578" i="9"/>
  <c r="V578" i="9"/>
  <c r="X578" i="9"/>
  <c r="Z578" i="9"/>
  <c r="D579" i="9"/>
  <c r="F579" i="9"/>
  <c r="H579" i="9"/>
  <c r="J579" i="9"/>
  <c r="L579" i="9"/>
  <c r="M579" i="9"/>
  <c r="N579" i="9"/>
  <c r="P579" i="9"/>
  <c r="R579" i="9"/>
  <c r="S579" i="9"/>
  <c r="T579" i="9"/>
  <c r="V579" i="9"/>
  <c r="X579" i="9"/>
  <c r="Z579" i="9"/>
  <c r="D580" i="9"/>
  <c r="F580" i="9"/>
  <c r="H580" i="9"/>
  <c r="J580" i="9"/>
  <c r="L580" i="9"/>
  <c r="M580" i="9"/>
  <c r="N580" i="9"/>
  <c r="P580" i="9"/>
  <c r="R580" i="9"/>
  <c r="S580" i="9"/>
  <c r="T580" i="9"/>
  <c r="V580" i="9"/>
  <c r="X580" i="9"/>
  <c r="Z580" i="9"/>
  <c r="D581" i="9"/>
  <c r="F581" i="9"/>
  <c r="H581" i="9"/>
  <c r="J581" i="9"/>
  <c r="L581" i="9"/>
  <c r="M581" i="9"/>
  <c r="N581" i="9"/>
  <c r="P581" i="9"/>
  <c r="R581" i="9"/>
  <c r="S581" i="9"/>
  <c r="T581" i="9"/>
  <c r="V581" i="9"/>
  <c r="X581" i="9"/>
  <c r="Z581" i="9"/>
  <c r="D582" i="9"/>
  <c r="F582" i="9"/>
  <c r="H582" i="9"/>
  <c r="J582" i="9"/>
  <c r="L582" i="9"/>
  <c r="N582" i="9"/>
  <c r="P582" i="9"/>
  <c r="R582" i="9"/>
  <c r="S582" i="9"/>
  <c r="T582" i="9"/>
  <c r="V582" i="9"/>
  <c r="X582" i="9"/>
  <c r="Z582" i="9"/>
  <c r="D583" i="9"/>
  <c r="F583" i="9"/>
  <c r="H583" i="9"/>
  <c r="J583" i="9"/>
  <c r="L583" i="9"/>
  <c r="M583" i="9"/>
  <c r="N583" i="9"/>
  <c r="P583" i="9"/>
  <c r="R583" i="9"/>
  <c r="S583" i="9"/>
  <c r="T583" i="9"/>
  <c r="V583" i="9"/>
  <c r="X583" i="9"/>
  <c r="Z583" i="9"/>
  <c r="D584" i="9"/>
  <c r="F584" i="9"/>
  <c r="H584" i="9"/>
  <c r="J584" i="9"/>
  <c r="L584" i="9"/>
  <c r="M584" i="9"/>
  <c r="N584" i="9"/>
  <c r="P584" i="9"/>
  <c r="R584" i="9"/>
  <c r="S584" i="9"/>
  <c r="T584" i="9"/>
  <c r="V584" i="9"/>
  <c r="X584" i="9"/>
  <c r="Z584" i="9"/>
  <c r="D585" i="9"/>
  <c r="F585" i="9"/>
  <c r="H585" i="9"/>
  <c r="J585" i="9"/>
  <c r="L585" i="9"/>
  <c r="M585" i="9"/>
  <c r="N585" i="9"/>
  <c r="P585" i="9"/>
  <c r="R585" i="9"/>
  <c r="S585" i="9"/>
  <c r="T585" i="9"/>
  <c r="V585" i="9"/>
  <c r="X585" i="9"/>
  <c r="Z585" i="9"/>
  <c r="D586" i="9"/>
  <c r="F586" i="9"/>
  <c r="H586" i="9"/>
  <c r="J586" i="9"/>
  <c r="L586" i="9"/>
  <c r="N586" i="9"/>
  <c r="P586" i="9"/>
  <c r="R586" i="9"/>
  <c r="S586" i="9"/>
  <c r="T586" i="9"/>
  <c r="V586" i="9"/>
  <c r="X586" i="9"/>
  <c r="Z586" i="9"/>
  <c r="D587" i="9"/>
  <c r="F587" i="9"/>
  <c r="H587" i="9"/>
  <c r="J587" i="9"/>
  <c r="L587" i="9"/>
  <c r="M587" i="9"/>
  <c r="N587" i="9"/>
  <c r="P587" i="9"/>
  <c r="R587" i="9"/>
  <c r="S587" i="9"/>
  <c r="T587" i="9"/>
  <c r="V587" i="9"/>
  <c r="X587" i="9"/>
  <c r="Z587" i="9"/>
  <c r="D588" i="9"/>
  <c r="F588" i="9"/>
  <c r="H588" i="9"/>
  <c r="J588" i="9"/>
  <c r="L588" i="9"/>
  <c r="M588" i="9"/>
  <c r="N588" i="9"/>
  <c r="P588" i="9"/>
  <c r="R588" i="9"/>
  <c r="S588" i="9"/>
  <c r="T588" i="9"/>
  <c r="V588" i="9"/>
  <c r="X588" i="9"/>
  <c r="Z588" i="9"/>
  <c r="D589" i="9"/>
  <c r="F589" i="9"/>
  <c r="H589" i="9"/>
  <c r="J589" i="9"/>
  <c r="L589" i="9"/>
  <c r="M589" i="9"/>
  <c r="N589" i="9"/>
  <c r="P589" i="9"/>
  <c r="R589" i="9"/>
  <c r="S589" i="9"/>
  <c r="T589" i="9"/>
  <c r="V589" i="9"/>
  <c r="X589" i="9"/>
  <c r="Z589" i="9"/>
  <c r="D590" i="9"/>
  <c r="F590" i="9"/>
  <c r="H590" i="9"/>
  <c r="J590" i="9"/>
  <c r="L590" i="9"/>
  <c r="N590" i="9"/>
  <c r="P590" i="9"/>
  <c r="R590" i="9"/>
  <c r="S590" i="9"/>
  <c r="T590" i="9"/>
  <c r="V590" i="9"/>
  <c r="X590" i="9"/>
  <c r="Z590" i="9"/>
  <c r="D591" i="9"/>
  <c r="F591" i="9"/>
  <c r="H591" i="9"/>
  <c r="J591" i="9"/>
  <c r="L591" i="9"/>
  <c r="M591" i="9"/>
  <c r="N591" i="9"/>
  <c r="P591" i="9"/>
  <c r="R591" i="9"/>
  <c r="S591" i="9"/>
  <c r="T591" i="9"/>
  <c r="V591" i="9"/>
  <c r="X591" i="9"/>
  <c r="Z591" i="9"/>
  <c r="D592" i="9"/>
  <c r="F592" i="9"/>
  <c r="G592" i="9"/>
  <c r="H592" i="9"/>
  <c r="J592" i="9"/>
  <c r="L592" i="9"/>
  <c r="N592" i="9"/>
  <c r="P592" i="9"/>
  <c r="R592" i="9"/>
  <c r="S592" i="9"/>
  <c r="T592" i="9"/>
  <c r="V592" i="9"/>
  <c r="X592" i="9"/>
  <c r="Z592" i="9"/>
  <c r="D593" i="9"/>
  <c r="F593" i="9"/>
  <c r="H593" i="9"/>
  <c r="J593" i="9"/>
  <c r="L593" i="9"/>
  <c r="M593" i="9"/>
  <c r="N593" i="9"/>
  <c r="P593" i="9"/>
  <c r="R593" i="9"/>
  <c r="S593" i="9"/>
  <c r="T593" i="9"/>
  <c r="V593" i="9"/>
  <c r="X593" i="9"/>
  <c r="Z593" i="9"/>
  <c r="D594" i="9"/>
  <c r="F594" i="9"/>
  <c r="H594" i="9"/>
  <c r="J594" i="9"/>
  <c r="L594" i="9"/>
  <c r="N594" i="9"/>
  <c r="P594" i="9"/>
  <c r="R594" i="9"/>
  <c r="S594" i="9"/>
  <c r="T594" i="9"/>
  <c r="V594" i="9"/>
  <c r="X594" i="9"/>
  <c r="Z594" i="9"/>
  <c r="D595" i="9"/>
  <c r="F595" i="9"/>
  <c r="H595" i="9"/>
  <c r="J595" i="9"/>
  <c r="L595" i="9"/>
  <c r="N595" i="9"/>
  <c r="P595" i="9"/>
  <c r="R595" i="9"/>
  <c r="S595" i="9"/>
  <c r="T595" i="9"/>
  <c r="V595" i="9"/>
  <c r="X595" i="9"/>
  <c r="Z595" i="9"/>
  <c r="D596" i="9"/>
  <c r="F596" i="9"/>
  <c r="H596" i="9"/>
  <c r="J596" i="9"/>
  <c r="L596" i="9"/>
  <c r="N596" i="9"/>
  <c r="P596" i="9"/>
  <c r="R596" i="9"/>
  <c r="S596" i="9"/>
  <c r="T596" i="9"/>
  <c r="V596" i="9"/>
  <c r="X596" i="9"/>
  <c r="Z596" i="9"/>
  <c r="D597" i="9"/>
  <c r="F597" i="9"/>
  <c r="H597" i="9"/>
  <c r="J597" i="9"/>
  <c r="L597" i="9"/>
  <c r="M597" i="9"/>
  <c r="N597" i="9"/>
  <c r="P597" i="9"/>
  <c r="R597" i="9"/>
  <c r="S597" i="9"/>
  <c r="T597" i="9"/>
  <c r="V597" i="9"/>
  <c r="X597" i="9"/>
  <c r="Z597" i="9"/>
  <c r="D598" i="9"/>
  <c r="F598" i="9"/>
  <c r="H598" i="9"/>
  <c r="J598" i="9"/>
  <c r="L598" i="9"/>
  <c r="N598" i="9"/>
  <c r="P598" i="9"/>
  <c r="R598" i="9"/>
  <c r="S598" i="9"/>
  <c r="T598" i="9"/>
  <c r="V598" i="9"/>
  <c r="X598" i="9"/>
  <c r="Z598" i="9"/>
  <c r="D599" i="9"/>
  <c r="F599" i="9"/>
  <c r="H599" i="9"/>
  <c r="J599" i="9"/>
  <c r="L599" i="9"/>
  <c r="N599" i="9"/>
  <c r="P599" i="9"/>
  <c r="R599" i="9"/>
  <c r="S599" i="9"/>
  <c r="T599" i="9"/>
  <c r="V599" i="9"/>
  <c r="X599" i="9"/>
  <c r="Z599" i="9"/>
  <c r="D600" i="9"/>
  <c r="F600" i="9"/>
  <c r="H600" i="9"/>
  <c r="J600" i="9"/>
  <c r="L600" i="9"/>
  <c r="N600" i="9"/>
  <c r="P600" i="9"/>
  <c r="R600" i="9"/>
  <c r="S600" i="9"/>
  <c r="T600" i="9"/>
  <c r="V600" i="9"/>
  <c r="X600" i="9"/>
  <c r="Z600" i="9"/>
  <c r="D601" i="9"/>
  <c r="F601" i="9"/>
  <c r="H601" i="9"/>
  <c r="J601" i="9"/>
  <c r="L601" i="9"/>
  <c r="M601" i="9"/>
  <c r="N601" i="9"/>
  <c r="P601" i="9"/>
  <c r="R601" i="9"/>
  <c r="S601" i="9"/>
  <c r="T601" i="9"/>
  <c r="V601" i="9"/>
  <c r="X601" i="9"/>
  <c r="Z601" i="9"/>
  <c r="D602" i="9"/>
  <c r="F602" i="9"/>
  <c r="H602" i="9"/>
  <c r="J602" i="9"/>
  <c r="L602" i="9"/>
  <c r="N602" i="9"/>
  <c r="P602" i="9"/>
  <c r="R602" i="9"/>
  <c r="S602" i="9"/>
  <c r="T602" i="9"/>
  <c r="V602" i="9"/>
  <c r="X602" i="9"/>
  <c r="Z602" i="9"/>
  <c r="D603" i="9"/>
  <c r="F603" i="9"/>
  <c r="H603" i="9"/>
  <c r="J603" i="9"/>
  <c r="L603" i="9"/>
  <c r="N603" i="9"/>
  <c r="P603" i="9"/>
  <c r="R603" i="9"/>
  <c r="S603" i="9"/>
  <c r="T603" i="9"/>
  <c r="V603" i="9"/>
  <c r="X603" i="9"/>
  <c r="Z603" i="9"/>
  <c r="D604" i="9"/>
  <c r="F604" i="9"/>
  <c r="H604" i="9"/>
  <c r="J604" i="9"/>
  <c r="L604" i="9"/>
  <c r="N604" i="9"/>
  <c r="P604" i="9"/>
  <c r="R604" i="9"/>
  <c r="S604" i="9"/>
  <c r="T604" i="9"/>
  <c r="V604" i="9"/>
  <c r="X604" i="9"/>
  <c r="Z604" i="9"/>
  <c r="D605" i="9"/>
  <c r="F605" i="9"/>
  <c r="H605" i="9"/>
  <c r="J605" i="9"/>
  <c r="L605" i="9"/>
  <c r="M605" i="9"/>
  <c r="N605" i="9"/>
  <c r="P605" i="9"/>
  <c r="R605" i="9"/>
  <c r="S605" i="9"/>
  <c r="T605" i="9"/>
  <c r="V605" i="9"/>
  <c r="X605" i="9"/>
  <c r="Z605" i="9"/>
  <c r="D606" i="9"/>
  <c r="F606" i="9"/>
  <c r="H606" i="9"/>
  <c r="J606" i="9"/>
  <c r="L606" i="9"/>
  <c r="N606" i="9"/>
  <c r="P606" i="9"/>
  <c r="R606" i="9"/>
  <c r="S606" i="9"/>
  <c r="T606" i="9"/>
  <c r="V606" i="9"/>
  <c r="X606" i="9"/>
  <c r="Z606" i="9"/>
  <c r="D607" i="9"/>
  <c r="F607" i="9"/>
  <c r="H607" i="9"/>
  <c r="J607" i="9"/>
  <c r="L607" i="9"/>
  <c r="N607" i="9"/>
  <c r="P607" i="9"/>
  <c r="R607" i="9"/>
  <c r="S607" i="9"/>
  <c r="T607" i="9"/>
  <c r="V607" i="9"/>
  <c r="X607" i="9"/>
  <c r="Z607" i="9"/>
  <c r="D608" i="9"/>
  <c r="F608" i="9"/>
  <c r="H608" i="9"/>
  <c r="J608" i="9"/>
  <c r="L608" i="9"/>
  <c r="N608" i="9"/>
  <c r="P608" i="9"/>
  <c r="R608" i="9"/>
  <c r="S608" i="9"/>
  <c r="T608" i="9"/>
  <c r="V608" i="9"/>
  <c r="X608" i="9"/>
  <c r="Z608" i="9"/>
  <c r="D609" i="9"/>
  <c r="F609" i="9"/>
  <c r="G609" i="9"/>
  <c r="H609" i="9"/>
  <c r="J609" i="9"/>
  <c r="L609" i="9"/>
  <c r="M609" i="9"/>
  <c r="N609" i="9"/>
  <c r="P609" i="9"/>
  <c r="R609" i="9"/>
  <c r="S609" i="9"/>
  <c r="T609" i="9"/>
  <c r="V609" i="9"/>
  <c r="X609" i="9"/>
  <c r="Z609" i="9"/>
  <c r="D610" i="9"/>
  <c r="F610" i="9"/>
  <c r="H610" i="9"/>
  <c r="J610" i="9"/>
  <c r="L610" i="9"/>
  <c r="M610" i="9"/>
  <c r="N610" i="9"/>
  <c r="P610" i="9"/>
  <c r="R610" i="9"/>
  <c r="S610" i="9"/>
  <c r="T610" i="9"/>
  <c r="V610" i="9"/>
  <c r="X610" i="9"/>
  <c r="Z610" i="9"/>
  <c r="D611" i="9"/>
  <c r="F611" i="9"/>
  <c r="H611" i="9"/>
  <c r="J611" i="9"/>
  <c r="L611" i="9"/>
  <c r="N611" i="9"/>
  <c r="P611" i="9"/>
  <c r="R611" i="9"/>
  <c r="S611" i="9"/>
  <c r="T611" i="9"/>
  <c r="V611" i="9"/>
  <c r="X611" i="9"/>
  <c r="Z611" i="9"/>
  <c r="D612" i="9"/>
  <c r="F612" i="9"/>
  <c r="H612" i="9"/>
  <c r="J612" i="9"/>
  <c r="L612" i="9"/>
  <c r="M612" i="9"/>
  <c r="N612" i="9"/>
  <c r="P612" i="9"/>
  <c r="R612" i="9"/>
  <c r="S612" i="9"/>
  <c r="T612" i="9"/>
  <c r="V612" i="9"/>
  <c r="X612" i="9"/>
  <c r="Z612" i="9"/>
  <c r="D613" i="9"/>
  <c r="F613" i="9"/>
  <c r="H613" i="9"/>
  <c r="J613" i="9"/>
  <c r="L613" i="9"/>
  <c r="M613" i="9"/>
  <c r="N613" i="9"/>
  <c r="P613" i="9"/>
  <c r="R613" i="9"/>
  <c r="S613" i="9"/>
  <c r="T613" i="9"/>
  <c r="V613" i="9"/>
  <c r="X613" i="9"/>
  <c r="Z613" i="9"/>
  <c r="D614" i="9"/>
  <c r="F614" i="9"/>
  <c r="H614" i="9"/>
  <c r="J614" i="9"/>
  <c r="L614" i="9"/>
  <c r="M614" i="9"/>
  <c r="N614" i="9"/>
  <c r="P614" i="9"/>
  <c r="R614" i="9"/>
  <c r="S614" i="9"/>
  <c r="T614" i="9"/>
  <c r="V614" i="9"/>
  <c r="X614" i="9"/>
  <c r="Z614" i="9"/>
  <c r="D615" i="9"/>
  <c r="F615" i="9"/>
  <c r="H615" i="9"/>
  <c r="J615" i="9"/>
  <c r="L615" i="9"/>
  <c r="N615" i="9"/>
  <c r="P615" i="9"/>
  <c r="R615" i="9"/>
  <c r="S615" i="9"/>
  <c r="T615" i="9"/>
  <c r="V615" i="9"/>
  <c r="X615" i="9"/>
  <c r="Z615" i="9"/>
  <c r="D616" i="9"/>
  <c r="F616" i="9"/>
  <c r="H616" i="9"/>
  <c r="J616" i="9"/>
  <c r="L616" i="9"/>
  <c r="M616" i="9"/>
  <c r="N616" i="9"/>
  <c r="P616" i="9"/>
  <c r="R616" i="9"/>
  <c r="S616" i="9"/>
  <c r="T616" i="9"/>
  <c r="V616" i="9"/>
  <c r="X616" i="9"/>
  <c r="Z616" i="9"/>
  <c r="D617" i="9"/>
  <c r="F617" i="9"/>
  <c r="H617" i="9"/>
  <c r="J617" i="9"/>
  <c r="L617" i="9"/>
  <c r="M617" i="9"/>
  <c r="N617" i="9"/>
  <c r="P617" i="9"/>
  <c r="R617" i="9"/>
  <c r="S617" i="9"/>
  <c r="T617" i="9"/>
  <c r="V617" i="9"/>
  <c r="X617" i="9"/>
  <c r="Z617" i="9"/>
  <c r="D618" i="9"/>
  <c r="F618" i="9"/>
  <c r="H618" i="9"/>
  <c r="J618" i="9"/>
  <c r="L618" i="9"/>
  <c r="M618" i="9"/>
  <c r="N618" i="9"/>
  <c r="P618" i="9"/>
  <c r="R618" i="9"/>
  <c r="S618" i="9"/>
  <c r="T618" i="9"/>
  <c r="V618" i="9"/>
  <c r="X618" i="9"/>
  <c r="Z618" i="9"/>
  <c r="D619" i="9"/>
  <c r="F619" i="9"/>
  <c r="H619" i="9"/>
  <c r="J619" i="9"/>
  <c r="L619" i="9"/>
  <c r="N619" i="9"/>
  <c r="P619" i="9"/>
  <c r="R619" i="9"/>
  <c r="S619" i="9"/>
  <c r="T619" i="9"/>
  <c r="V619" i="9"/>
  <c r="X619" i="9"/>
  <c r="Z619" i="9"/>
  <c r="D620" i="9"/>
  <c r="F620" i="9"/>
  <c r="H620" i="9"/>
  <c r="J620" i="9"/>
  <c r="L620" i="9"/>
  <c r="M620" i="9"/>
  <c r="N620" i="9"/>
  <c r="P620" i="9"/>
  <c r="R620" i="9"/>
  <c r="S620" i="9"/>
  <c r="T620" i="9"/>
  <c r="V620" i="9"/>
  <c r="X620" i="9"/>
  <c r="Z620" i="9"/>
  <c r="D621" i="9"/>
  <c r="F621" i="9"/>
  <c r="H621" i="9"/>
  <c r="J621" i="9"/>
  <c r="L621" i="9"/>
  <c r="M621" i="9"/>
  <c r="N621" i="9"/>
  <c r="P621" i="9"/>
  <c r="R621" i="9"/>
  <c r="S621" i="9"/>
  <c r="T621" i="9"/>
  <c r="V621" i="9"/>
  <c r="X621" i="9"/>
  <c r="Z621" i="9"/>
  <c r="D622" i="9"/>
  <c r="F622" i="9"/>
  <c r="H622" i="9"/>
  <c r="J622" i="9"/>
  <c r="L622" i="9"/>
  <c r="M622" i="9"/>
  <c r="N622" i="9"/>
  <c r="P622" i="9"/>
  <c r="R622" i="9"/>
  <c r="S622" i="9"/>
  <c r="T622" i="9"/>
  <c r="V622" i="9"/>
  <c r="X622" i="9"/>
  <c r="Z622" i="9"/>
  <c r="D623" i="9"/>
  <c r="F623" i="9"/>
  <c r="H623" i="9"/>
  <c r="J623" i="9"/>
  <c r="L623" i="9"/>
  <c r="N623" i="9"/>
  <c r="P623" i="9"/>
  <c r="R623" i="9"/>
  <c r="S623" i="9"/>
  <c r="T623" i="9"/>
  <c r="V623" i="9"/>
  <c r="X623" i="9"/>
  <c r="Z623" i="9"/>
  <c r="D624" i="9"/>
  <c r="F624" i="9"/>
  <c r="H624" i="9"/>
  <c r="J624" i="9"/>
  <c r="L624" i="9"/>
  <c r="M624" i="9"/>
  <c r="N624" i="9"/>
  <c r="P624" i="9"/>
  <c r="R624" i="9"/>
  <c r="S624" i="9"/>
  <c r="T624" i="9"/>
  <c r="V624" i="9"/>
  <c r="X624" i="9"/>
  <c r="Z624" i="9"/>
  <c r="D625" i="9"/>
  <c r="F625" i="9"/>
  <c r="H625" i="9"/>
  <c r="J625" i="9"/>
  <c r="L625" i="9"/>
  <c r="M625" i="9"/>
  <c r="N625" i="9"/>
  <c r="P625" i="9"/>
  <c r="R625" i="9"/>
  <c r="S625" i="9"/>
  <c r="T625" i="9"/>
  <c r="V625" i="9"/>
  <c r="X625" i="9"/>
  <c r="Z625" i="9"/>
  <c r="D626" i="9"/>
  <c r="F626" i="9"/>
  <c r="H626" i="9"/>
  <c r="J626" i="9"/>
  <c r="L626" i="9"/>
  <c r="M626" i="9"/>
  <c r="N626" i="9"/>
  <c r="P626" i="9"/>
  <c r="R626" i="9"/>
  <c r="S626" i="9"/>
  <c r="T626" i="9"/>
  <c r="V626" i="9"/>
  <c r="X626" i="9"/>
  <c r="Z626" i="9"/>
  <c r="D627" i="9"/>
  <c r="F627" i="9"/>
  <c r="H627" i="9"/>
  <c r="J627" i="9"/>
  <c r="L627" i="9"/>
  <c r="N627" i="9"/>
  <c r="P627" i="9"/>
  <c r="R627" i="9"/>
  <c r="S627" i="9"/>
  <c r="T627" i="9"/>
  <c r="V627" i="9"/>
  <c r="X627" i="9"/>
  <c r="Z627" i="9"/>
  <c r="D628" i="9"/>
  <c r="F628" i="9"/>
  <c r="H628" i="9"/>
  <c r="J628" i="9"/>
  <c r="L628" i="9"/>
  <c r="M628" i="9"/>
  <c r="N628" i="9"/>
  <c r="P628" i="9"/>
  <c r="R628" i="9"/>
  <c r="S628" i="9"/>
  <c r="T628" i="9"/>
  <c r="V628" i="9"/>
  <c r="X628" i="9"/>
  <c r="Z628" i="9"/>
  <c r="D629" i="9"/>
  <c r="F629" i="9"/>
  <c r="H629" i="9"/>
  <c r="J629" i="9"/>
  <c r="L629" i="9"/>
  <c r="M629" i="9"/>
  <c r="N629" i="9"/>
  <c r="P629" i="9"/>
  <c r="R629" i="9"/>
  <c r="S629" i="9"/>
  <c r="T629" i="9"/>
  <c r="V629" i="9"/>
  <c r="X629" i="9"/>
  <c r="Z629" i="9"/>
  <c r="D630" i="9"/>
  <c r="F630" i="9"/>
  <c r="H630" i="9"/>
  <c r="J630" i="9"/>
  <c r="L630" i="9"/>
  <c r="M630" i="9"/>
  <c r="N630" i="9"/>
  <c r="P630" i="9"/>
  <c r="R630" i="9"/>
  <c r="S630" i="9"/>
  <c r="T630" i="9"/>
  <c r="V630" i="9"/>
  <c r="X630" i="9"/>
  <c r="Z630" i="9"/>
  <c r="D631" i="9"/>
  <c r="F631" i="9"/>
  <c r="H631" i="9"/>
  <c r="J631" i="9"/>
  <c r="L631" i="9"/>
  <c r="N631" i="9"/>
  <c r="P631" i="9"/>
  <c r="R631" i="9"/>
  <c r="S631" i="9"/>
  <c r="T631" i="9"/>
  <c r="V631" i="9"/>
  <c r="X631" i="9"/>
  <c r="Z631" i="9"/>
  <c r="D632" i="9"/>
  <c r="F632" i="9"/>
  <c r="H632" i="9"/>
  <c r="J632" i="9"/>
  <c r="L632" i="9"/>
  <c r="M632" i="9"/>
  <c r="N632" i="9"/>
  <c r="P632" i="9"/>
  <c r="R632" i="9"/>
  <c r="S632" i="9"/>
  <c r="T632" i="9"/>
  <c r="V632" i="9"/>
  <c r="X632" i="9"/>
  <c r="Z632" i="9"/>
  <c r="D633" i="9"/>
  <c r="F633" i="9"/>
  <c r="H633" i="9"/>
  <c r="J633" i="9"/>
  <c r="L633" i="9"/>
  <c r="M633" i="9"/>
  <c r="N633" i="9"/>
  <c r="P633" i="9"/>
  <c r="R633" i="9"/>
  <c r="S633" i="9"/>
  <c r="T633" i="9"/>
  <c r="V633" i="9"/>
  <c r="X633" i="9"/>
  <c r="Z633" i="9"/>
  <c r="D634" i="9"/>
  <c r="F634" i="9"/>
  <c r="H634" i="9"/>
  <c r="J634" i="9"/>
  <c r="L634" i="9"/>
  <c r="M634" i="9"/>
  <c r="N634" i="9"/>
  <c r="P634" i="9"/>
  <c r="R634" i="9"/>
  <c r="S634" i="9"/>
  <c r="T634" i="9"/>
  <c r="V634" i="9"/>
  <c r="X634" i="9"/>
  <c r="Z634" i="9"/>
  <c r="D635" i="9"/>
  <c r="F635" i="9"/>
  <c r="H635" i="9"/>
  <c r="J635" i="9"/>
  <c r="L635" i="9"/>
  <c r="N635" i="9"/>
  <c r="P635" i="9"/>
  <c r="R635" i="9"/>
  <c r="S635" i="9"/>
  <c r="T635" i="9"/>
  <c r="V635" i="9"/>
  <c r="X635" i="9"/>
  <c r="Z635" i="9"/>
  <c r="D636" i="9"/>
  <c r="F636" i="9"/>
  <c r="H636" i="9"/>
  <c r="J636" i="9"/>
  <c r="L636" i="9"/>
  <c r="M636" i="9"/>
  <c r="N636" i="9"/>
  <c r="P636" i="9"/>
  <c r="R636" i="9"/>
  <c r="S636" i="9"/>
  <c r="T636" i="9"/>
  <c r="V636" i="9"/>
  <c r="X636" i="9"/>
  <c r="Z636" i="9"/>
  <c r="D637" i="9"/>
  <c r="F637" i="9"/>
  <c r="H637" i="9"/>
  <c r="J637" i="9"/>
  <c r="L637" i="9"/>
  <c r="M637" i="9"/>
  <c r="N637" i="9"/>
  <c r="P637" i="9"/>
  <c r="R637" i="9"/>
  <c r="S637" i="9"/>
  <c r="T637" i="9"/>
  <c r="V637" i="9"/>
  <c r="X637" i="9"/>
  <c r="Z637" i="9"/>
  <c r="D638" i="9"/>
  <c r="F638" i="9"/>
  <c r="H638" i="9"/>
  <c r="J638" i="9"/>
  <c r="L638" i="9"/>
  <c r="M638" i="9"/>
  <c r="N638" i="9"/>
  <c r="P638" i="9"/>
  <c r="R638" i="9"/>
  <c r="S638" i="9"/>
  <c r="T638" i="9"/>
  <c r="V638" i="9"/>
  <c r="X638" i="9"/>
  <c r="Z638" i="9"/>
  <c r="D639" i="9"/>
  <c r="F639" i="9"/>
  <c r="H639" i="9"/>
  <c r="J639" i="9"/>
  <c r="L639" i="9"/>
  <c r="N639" i="9"/>
  <c r="P639" i="9"/>
  <c r="R639" i="9"/>
  <c r="S639" i="9"/>
  <c r="T639" i="9"/>
  <c r="V639" i="9"/>
  <c r="X639" i="9"/>
  <c r="Z639" i="9"/>
  <c r="D640" i="9"/>
  <c r="F640" i="9"/>
  <c r="H640" i="9"/>
  <c r="J640" i="9"/>
  <c r="L640" i="9"/>
  <c r="M640" i="9"/>
  <c r="N640" i="9"/>
  <c r="P640" i="9"/>
  <c r="R640" i="9"/>
  <c r="S640" i="9"/>
  <c r="T640" i="9"/>
  <c r="V640" i="9"/>
  <c r="X640" i="9"/>
  <c r="Z640" i="9"/>
  <c r="D641" i="9"/>
  <c r="F641" i="9"/>
  <c r="H641" i="9"/>
  <c r="J641" i="9"/>
  <c r="L641" i="9"/>
  <c r="M641" i="9"/>
  <c r="N641" i="9"/>
  <c r="P641" i="9"/>
  <c r="R641" i="9"/>
  <c r="S641" i="9"/>
  <c r="T641" i="9"/>
  <c r="V641" i="9"/>
  <c r="X641" i="9"/>
  <c r="Z641" i="9"/>
  <c r="D642" i="9"/>
  <c r="F642" i="9"/>
  <c r="H642" i="9"/>
  <c r="J642" i="9"/>
  <c r="L642" i="9"/>
  <c r="M642" i="9"/>
  <c r="N642" i="9"/>
  <c r="P642" i="9"/>
  <c r="R642" i="9"/>
  <c r="S642" i="9"/>
  <c r="T642" i="9"/>
  <c r="V642" i="9"/>
  <c r="X642" i="9"/>
  <c r="Z642" i="9"/>
  <c r="D643" i="9"/>
  <c r="F643" i="9"/>
  <c r="H643" i="9"/>
  <c r="J643" i="9"/>
  <c r="L643" i="9"/>
  <c r="N643" i="9"/>
  <c r="P643" i="9"/>
  <c r="R643" i="9"/>
  <c r="S643" i="9"/>
  <c r="T643" i="9"/>
  <c r="V643" i="9"/>
  <c r="X643" i="9"/>
  <c r="Z643" i="9"/>
  <c r="D644" i="9"/>
  <c r="F644" i="9"/>
  <c r="H644" i="9"/>
  <c r="J644" i="9"/>
  <c r="L644" i="9"/>
  <c r="M644" i="9"/>
  <c r="N644" i="9"/>
  <c r="P644" i="9"/>
  <c r="R644" i="9"/>
  <c r="S644" i="9"/>
  <c r="T644" i="9"/>
  <c r="V644" i="9"/>
  <c r="X644" i="9"/>
  <c r="Z644" i="9"/>
  <c r="D645" i="9"/>
  <c r="F645" i="9"/>
  <c r="H645" i="9"/>
  <c r="J645" i="9"/>
  <c r="L645" i="9"/>
  <c r="M645" i="9"/>
  <c r="N645" i="9"/>
  <c r="P645" i="9"/>
  <c r="R645" i="9"/>
  <c r="S645" i="9"/>
  <c r="T645" i="9"/>
  <c r="V645" i="9"/>
  <c r="X645" i="9"/>
  <c r="Z645" i="9"/>
  <c r="D646" i="9"/>
  <c r="F646" i="9"/>
  <c r="H646" i="9"/>
  <c r="J646" i="9"/>
  <c r="L646" i="9"/>
  <c r="M646" i="9"/>
  <c r="N646" i="9"/>
  <c r="P646" i="9"/>
  <c r="R646" i="9"/>
  <c r="S646" i="9"/>
  <c r="T646" i="9"/>
  <c r="V646" i="9"/>
  <c r="X646" i="9"/>
  <c r="Z646" i="9"/>
  <c r="D647" i="9"/>
  <c r="F647" i="9"/>
  <c r="H647" i="9"/>
  <c r="J647" i="9"/>
  <c r="L647" i="9"/>
  <c r="N647" i="9"/>
  <c r="P647" i="9"/>
  <c r="R647" i="9"/>
  <c r="S647" i="9"/>
  <c r="T647" i="9"/>
  <c r="V647" i="9"/>
  <c r="X647" i="9"/>
  <c r="Z647" i="9"/>
  <c r="D648" i="9"/>
  <c r="F648" i="9"/>
  <c r="H648" i="9"/>
  <c r="J648" i="9"/>
  <c r="L648" i="9"/>
  <c r="M648" i="9"/>
  <c r="N648" i="9"/>
  <c r="P648" i="9"/>
  <c r="R648" i="9"/>
  <c r="S648" i="9"/>
  <c r="T648" i="9"/>
  <c r="V648" i="9"/>
  <c r="X648" i="9"/>
  <c r="Z648" i="9"/>
  <c r="D649" i="9"/>
  <c r="F649" i="9"/>
  <c r="H649" i="9"/>
  <c r="J649" i="9"/>
  <c r="L649" i="9"/>
  <c r="M649" i="9"/>
  <c r="N649" i="9"/>
  <c r="P649" i="9"/>
  <c r="R649" i="9"/>
  <c r="S649" i="9"/>
  <c r="T649" i="9"/>
  <c r="V649" i="9"/>
  <c r="X649" i="9"/>
  <c r="Z649" i="9"/>
  <c r="D650" i="9"/>
  <c r="F650" i="9"/>
  <c r="H650" i="9"/>
  <c r="J650" i="9"/>
  <c r="L650" i="9"/>
  <c r="M650" i="9"/>
  <c r="N650" i="9"/>
  <c r="P650" i="9"/>
  <c r="R650" i="9"/>
  <c r="S650" i="9"/>
  <c r="T650" i="9"/>
  <c r="V650" i="9"/>
  <c r="X650" i="9"/>
  <c r="Z650" i="9"/>
  <c r="D651" i="9"/>
  <c r="F651" i="9"/>
  <c r="H651" i="9"/>
  <c r="J651" i="9"/>
  <c r="L651" i="9"/>
  <c r="N651" i="9"/>
  <c r="P651" i="9"/>
  <c r="R651" i="9"/>
  <c r="S651" i="9"/>
  <c r="T651" i="9"/>
  <c r="V651" i="9"/>
  <c r="X651" i="9"/>
  <c r="Z651" i="9"/>
  <c r="D652" i="9"/>
  <c r="F652" i="9"/>
  <c r="H652" i="9"/>
  <c r="J652" i="9"/>
  <c r="L652" i="9"/>
  <c r="M652" i="9"/>
  <c r="N652" i="9"/>
  <c r="P652" i="9"/>
  <c r="R652" i="9"/>
  <c r="S652" i="9"/>
  <c r="T652" i="9"/>
  <c r="V652" i="9"/>
  <c r="X652" i="9"/>
  <c r="Z652" i="9"/>
  <c r="D653" i="9"/>
  <c r="F653" i="9"/>
  <c r="H653" i="9"/>
  <c r="J653" i="9"/>
  <c r="L653" i="9"/>
  <c r="M653" i="9"/>
  <c r="N653" i="9"/>
  <c r="P653" i="9"/>
  <c r="R653" i="9"/>
  <c r="S653" i="9"/>
  <c r="T653" i="9"/>
  <c r="V653" i="9"/>
  <c r="X653" i="9"/>
  <c r="Z653" i="9"/>
  <c r="D654" i="9"/>
  <c r="F654" i="9"/>
  <c r="H654" i="9"/>
  <c r="J654" i="9"/>
  <c r="L654" i="9"/>
  <c r="M654" i="9"/>
  <c r="N654" i="9"/>
  <c r="P654" i="9"/>
  <c r="R654" i="9"/>
  <c r="S654" i="9"/>
  <c r="T654" i="9"/>
  <c r="V654" i="9"/>
  <c r="X654" i="9"/>
  <c r="Z654" i="9"/>
  <c r="D655" i="9"/>
  <c r="F655" i="9"/>
  <c r="H655" i="9"/>
  <c r="J655" i="9"/>
  <c r="L655" i="9"/>
  <c r="N655" i="9"/>
  <c r="P655" i="9"/>
  <c r="R655" i="9"/>
  <c r="S655" i="9"/>
  <c r="T655" i="9"/>
  <c r="V655" i="9"/>
  <c r="X655" i="9"/>
  <c r="Z655" i="9"/>
  <c r="D656" i="9"/>
  <c r="F656" i="9"/>
  <c r="H656" i="9"/>
  <c r="J656" i="9"/>
  <c r="L656" i="9"/>
  <c r="M656" i="9"/>
  <c r="N656" i="9"/>
  <c r="P656" i="9"/>
  <c r="R656" i="9"/>
  <c r="S656" i="9"/>
  <c r="T656" i="9"/>
  <c r="V656" i="9"/>
  <c r="X656" i="9"/>
  <c r="Z656" i="9"/>
  <c r="D657" i="9"/>
  <c r="F657" i="9"/>
  <c r="H657" i="9"/>
  <c r="J657" i="9"/>
  <c r="L657" i="9"/>
  <c r="M657" i="9"/>
  <c r="N657" i="9"/>
  <c r="P657" i="9"/>
  <c r="R657" i="9"/>
  <c r="S657" i="9"/>
  <c r="T657" i="9"/>
  <c r="V657" i="9"/>
  <c r="X657" i="9"/>
  <c r="Z657" i="9"/>
  <c r="D658" i="9"/>
  <c r="F658" i="9"/>
  <c r="H658" i="9"/>
  <c r="J658" i="9"/>
  <c r="L658" i="9"/>
  <c r="M658" i="9"/>
  <c r="N658" i="9"/>
  <c r="P658" i="9"/>
  <c r="R658" i="9"/>
  <c r="S658" i="9"/>
  <c r="T658" i="9"/>
  <c r="V658" i="9"/>
  <c r="X658" i="9"/>
  <c r="Z658" i="9"/>
  <c r="D659" i="9"/>
  <c r="F659" i="9"/>
  <c r="H659" i="9"/>
  <c r="J659" i="9"/>
  <c r="L659" i="9"/>
  <c r="M659" i="9"/>
  <c r="N659" i="9"/>
  <c r="P659" i="9"/>
  <c r="R659" i="9"/>
  <c r="S659" i="9"/>
  <c r="T659" i="9"/>
  <c r="V659" i="9"/>
  <c r="X659" i="9"/>
  <c r="Z659" i="9"/>
  <c r="D660" i="9"/>
  <c r="F660" i="9"/>
  <c r="H660" i="9"/>
  <c r="J660" i="9"/>
  <c r="L660" i="9"/>
  <c r="M660" i="9"/>
  <c r="N660" i="9"/>
  <c r="P660" i="9"/>
  <c r="R660" i="9"/>
  <c r="S660" i="9"/>
  <c r="T660" i="9"/>
  <c r="V660" i="9"/>
  <c r="X660" i="9"/>
  <c r="Z660" i="9"/>
  <c r="D661" i="9"/>
  <c r="F661" i="9"/>
  <c r="H661" i="9"/>
  <c r="J661" i="9"/>
  <c r="L661" i="9"/>
  <c r="M661" i="9"/>
  <c r="N661" i="9"/>
  <c r="P661" i="9"/>
  <c r="R661" i="9"/>
  <c r="S661" i="9"/>
  <c r="T661" i="9"/>
  <c r="V661" i="9"/>
  <c r="X661" i="9"/>
  <c r="Z661" i="9"/>
  <c r="D662" i="9"/>
  <c r="F662" i="9"/>
  <c r="H662" i="9"/>
  <c r="J662" i="9"/>
  <c r="L662" i="9"/>
  <c r="M662" i="9"/>
  <c r="N662" i="9"/>
  <c r="P662" i="9"/>
  <c r="R662" i="9"/>
  <c r="S662" i="9"/>
  <c r="T662" i="9"/>
  <c r="V662" i="9"/>
  <c r="X662" i="9"/>
  <c r="Z662" i="9"/>
  <c r="D663" i="9"/>
  <c r="F663" i="9"/>
  <c r="H663" i="9"/>
  <c r="J663" i="9"/>
  <c r="L663" i="9"/>
  <c r="M663" i="9"/>
  <c r="N663" i="9"/>
  <c r="P663" i="9"/>
  <c r="R663" i="9"/>
  <c r="S663" i="9"/>
  <c r="T663" i="9"/>
  <c r="V663" i="9"/>
  <c r="X663" i="9"/>
  <c r="Z663" i="9"/>
  <c r="D664" i="9"/>
  <c r="F664" i="9"/>
  <c r="H664" i="9"/>
  <c r="J664" i="9"/>
  <c r="L664" i="9"/>
  <c r="M664" i="9"/>
  <c r="N664" i="9"/>
  <c r="P664" i="9"/>
  <c r="R664" i="9"/>
  <c r="S664" i="9"/>
  <c r="T664" i="9"/>
  <c r="V664" i="9"/>
  <c r="X664" i="9"/>
  <c r="Z664" i="9"/>
  <c r="D665" i="9"/>
  <c r="F665" i="9"/>
  <c r="H665" i="9"/>
  <c r="J665" i="9"/>
  <c r="L665" i="9"/>
  <c r="M665" i="9"/>
  <c r="N665" i="9"/>
  <c r="P665" i="9"/>
  <c r="R665" i="9"/>
  <c r="S665" i="9"/>
  <c r="T665" i="9"/>
  <c r="V665" i="9"/>
  <c r="X665" i="9"/>
  <c r="Z665" i="9"/>
  <c r="D666" i="9"/>
  <c r="F666" i="9"/>
  <c r="H666" i="9"/>
  <c r="J666" i="9"/>
  <c r="L666" i="9"/>
  <c r="M666" i="9"/>
  <c r="N666" i="9"/>
  <c r="P666" i="9"/>
  <c r="R666" i="9"/>
  <c r="S666" i="9"/>
  <c r="T666" i="9"/>
  <c r="V666" i="9"/>
  <c r="X666" i="9"/>
  <c r="Z666" i="9"/>
  <c r="D667" i="9"/>
  <c r="F667" i="9"/>
  <c r="H667" i="9"/>
  <c r="J667" i="9"/>
  <c r="L667" i="9"/>
  <c r="M667" i="9"/>
  <c r="N667" i="9"/>
  <c r="P667" i="9"/>
  <c r="R667" i="9"/>
  <c r="S667" i="9"/>
  <c r="T667" i="9"/>
  <c r="V667" i="9"/>
  <c r="X667" i="9"/>
  <c r="Z667" i="9"/>
  <c r="D668" i="9"/>
  <c r="F668" i="9"/>
  <c r="H668" i="9"/>
  <c r="J668" i="9"/>
  <c r="L668" i="9"/>
  <c r="M668" i="9"/>
  <c r="N668" i="9"/>
  <c r="P668" i="9"/>
  <c r="R668" i="9"/>
  <c r="S668" i="9"/>
  <c r="T668" i="9"/>
  <c r="V668" i="9"/>
  <c r="X668" i="9"/>
  <c r="Z668" i="9"/>
  <c r="D669" i="9"/>
  <c r="F669" i="9"/>
  <c r="H669" i="9"/>
  <c r="J669" i="9"/>
  <c r="L669" i="9"/>
  <c r="M669" i="9"/>
  <c r="N669" i="9"/>
  <c r="P669" i="9"/>
  <c r="R669" i="9"/>
  <c r="S669" i="9"/>
  <c r="T669" i="9"/>
  <c r="V669" i="9"/>
  <c r="X669" i="9"/>
  <c r="Z669" i="9"/>
  <c r="D670" i="9"/>
  <c r="F670" i="9"/>
  <c r="H670" i="9"/>
  <c r="J670" i="9"/>
  <c r="L670" i="9"/>
  <c r="M670" i="9"/>
  <c r="N670" i="9"/>
  <c r="P670" i="9"/>
  <c r="R670" i="9"/>
  <c r="S670" i="9"/>
  <c r="T670" i="9"/>
  <c r="V670" i="9"/>
  <c r="X670" i="9"/>
  <c r="Z670" i="9"/>
  <c r="D671" i="9"/>
  <c r="F671" i="9"/>
  <c r="H671" i="9"/>
  <c r="J671" i="9"/>
  <c r="L671" i="9"/>
  <c r="M671" i="9"/>
  <c r="N671" i="9"/>
  <c r="P671" i="9"/>
  <c r="R671" i="9"/>
  <c r="S671" i="9"/>
  <c r="T671" i="9"/>
  <c r="V671" i="9"/>
  <c r="X671" i="9"/>
  <c r="Z671" i="9"/>
  <c r="D672" i="9"/>
  <c r="F672" i="9"/>
  <c r="H672" i="9"/>
  <c r="J672" i="9"/>
  <c r="L672" i="9"/>
  <c r="M672" i="9"/>
  <c r="N672" i="9"/>
  <c r="P672" i="9"/>
  <c r="R672" i="9"/>
  <c r="S672" i="9"/>
  <c r="T672" i="9"/>
  <c r="V672" i="9"/>
  <c r="X672" i="9"/>
  <c r="Z672" i="9"/>
  <c r="D673" i="9"/>
  <c r="F673" i="9"/>
  <c r="G673" i="9"/>
  <c r="H673" i="9"/>
  <c r="J673" i="9"/>
  <c r="L673" i="9"/>
  <c r="M673" i="9"/>
  <c r="N673" i="9"/>
  <c r="P673" i="9"/>
  <c r="R673" i="9"/>
  <c r="S673" i="9"/>
  <c r="T673" i="9"/>
  <c r="V673" i="9"/>
  <c r="X673" i="9"/>
  <c r="Z673" i="9"/>
  <c r="D674" i="9"/>
  <c r="F674" i="9"/>
  <c r="H674" i="9"/>
  <c r="J674" i="9"/>
  <c r="L674" i="9"/>
  <c r="M674" i="9"/>
  <c r="N674" i="9"/>
  <c r="P674" i="9"/>
  <c r="R674" i="9"/>
  <c r="S674" i="9"/>
  <c r="T674" i="9"/>
  <c r="V674" i="9"/>
  <c r="X674" i="9"/>
  <c r="Z674" i="9"/>
  <c r="D675" i="9"/>
  <c r="F675" i="9"/>
  <c r="H675" i="9"/>
  <c r="J675" i="9"/>
  <c r="L675" i="9"/>
  <c r="M675" i="9"/>
  <c r="N675" i="9"/>
  <c r="P675" i="9"/>
  <c r="R675" i="9"/>
  <c r="S675" i="9"/>
  <c r="T675" i="9"/>
  <c r="V675" i="9"/>
  <c r="X675" i="9"/>
  <c r="Z675" i="9"/>
  <c r="D676" i="9"/>
  <c r="F676" i="9"/>
  <c r="H676" i="9"/>
  <c r="J676" i="9"/>
  <c r="L676" i="9"/>
  <c r="M676" i="9"/>
  <c r="N676" i="9"/>
  <c r="P676" i="9"/>
  <c r="R676" i="9"/>
  <c r="S676" i="9"/>
  <c r="T676" i="9"/>
  <c r="V676" i="9"/>
  <c r="X676" i="9"/>
  <c r="Z676" i="9"/>
  <c r="D677" i="9"/>
  <c r="F677" i="9"/>
  <c r="H677" i="9"/>
  <c r="J677" i="9"/>
  <c r="L677" i="9"/>
  <c r="M677" i="9"/>
  <c r="N677" i="9"/>
  <c r="P677" i="9"/>
  <c r="R677" i="9"/>
  <c r="S677" i="9"/>
  <c r="T677" i="9"/>
  <c r="V677" i="9"/>
  <c r="X677" i="9"/>
  <c r="Z677" i="9"/>
  <c r="D678" i="9"/>
  <c r="F678" i="9"/>
  <c r="G678" i="9"/>
  <c r="H678" i="9"/>
  <c r="J678" i="9"/>
  <c r="L678" i="9"/>
  <c r="M678" i="9"/>
  <c r="N678" i="9"/>
  <c r="P678" i="9"/>
  <c r="R678" i="9"/>
  <c r="S678" i="9"/>
  <c r="T678" i="9"/>
  <c r="V678" i="9"/>
  <c r="X678" i="9"/>
  <c r="Z678" i="9"/>
  <c r="D679" i="9"/>
  <c r="F679" i="9"/>
  <c r="H679" i="9"/>
  <c r="J679" i="9"/>
  <c r="L679" i="9"/>
  <c r="M679" i="9"/>
  <c r="N679" i="9"/>
  <c r="P679" i="9"/>
  <c r="R679" i="9"/>
  <c r="S679" i="9"/>
  <c r="T679" i="9"/>
  <c r="V679" i="9"/>
  <c r="X679" i="9"/>
  <c r="Z679" i="9"/>
  <c r="D680" i="9"/>
  <c r="F680" i="9"/>
  <c r="H680" i="9"/>
  <c r="J680" i="9"/>
  <c r="L680" i="9"/>
  <c r="M680" i="9"/>
  <c r="N680" i="9"/>
  <c r="P680" i="9"/>
  <c r="R680" i="9"/>
  <c r="S680" i="9"/>
  <c r="T680" i="9"/>
  <c r="V680" i="9"/>
  <c r="X680" i="9"/>
  <c r="Z680" i="9"/>
  <c r="D681" i="9"/>
  <c r="F681" i="9"/>
  <c r="H681" i="9"/>
  <c r="J681" i="9"/>
  <c r="L681" i="9"/>
  <c r="M681" i="9"/>
  <c r="N681" i="9"/>
  <c r="P681" i="9"/>
  <c r="R681" i="9"/>
  <c r="S681" i="9"/>
  <c r="T681" i="9"/>
  <c r="V681" i="9"/>
  <c r="X681" i="9"/>
  <c r="Z681" i="9"/>
  <c r="D682" i="9"/>
  <c r="F682" i="9"/>
  <c r="H682" i="9"/>
  <c r="J682" i="9"/>
  <c r="L682" i="9"/>
  <c r="M682" i="9"/>
  <c r="N682" i="9"/>
  <c r="P682" i="9"/>
  <c r="R682" i="9"/>
  <c r="S682" i="9"/>
  <c r="T682" i="9"/>
  <c r="V682" i="9"/>
  <c r="X682" i="9"/>
  <c r="Z682" i="9"/>
  <c r="D683" i="9"/>
  <c r="F683" i="9"/>
  <c r="H683" i="9"/>
  <c r="J683" i="9"/>
  <c r="L683" i="9"/>
  <c r="M683" i="9"/>
  <c r="N683" i="9"/>
  <c r="P683" i="9"/>
  <c r="R683" i="9"/>
  <c r="S683" i="9"/>
  <c r="T683" i="9"/>
  <c r="V683" i="9"/>
  <c r="X683" i="9"/>
  <c r="Z683" i="9"/>
  <c r="D684" i="9"/>
  <c r="F684" i="9"/>
  <c r="H684" i="9"/>
  <c r="J684" i="9"/>
  <c r="L684" i="9"/>
  <c r="M684" i="9"/>
  <c r="N684" i="9"/>
  <c r="P684" i="9"/>
  <c r="R684" i="9"/>
  <c r="S684" i="9"/>
  <c r="T684" i="9"/>
  <c r="V684" i="9"/>
  <c r="X684" i="9"/>
  <c r="Z684" i="9"/>
  <c r="D685" i="9"/>
  <c r="F685" i="9"/>
  <c r="H685" i="9"/>
  <c r="J685" i="9"/>
  <c r="L685" i="9"/>
  <c r="M685" i="9"/>
  <c r="N685" i="9"/>
  <c r="P685" i="9"/>
  <c r="R685" i="9"/>
  <c r="S685" i="9"/>
  <c r="T685" i="9"/>
  <c r="V685" i="9"/>
  <c r="X685" i="9"/>
  <c r="Z685" i="9"/>
  <c r="D686" i="9"/>
  <c r="F686" i="9"/>
  <c r="H686" i="9"/>
  <c r="J686" i="9"/>
  <c r="L686" i="9"/>
  <c r="M686" i="9"/>
  <c r="N686" i="9"/>
  <c r="P686" i="9"/>
  <c r="R686" i="9"/>
  <c r="S686" i="9"/>
  <c r="T686" i="9"/>
  <c r="V686" i="9"/>
  <c r="X686" i="9"/>
  <c r="Z686" i="9"/>
  <c r="D687" i="9"/>
  <c r="F687" i="9"/>
  <c r="H687" i="9"/>
  <c r="J687" i="9"/>
  <c r="L687" i="9"/>
  <c r="M687" i="9"/>
  <c r="N687" i="9"/>
  <c r="P687" i="9"/>
  <c r="R687" i="9"/>
  <c r="S687" i="9"/>
  <c r="T687" i="9"/>
  <c r="V687" i="9"/>
  <c r="X687" i="9"/>
  <c r="Z687" i="9"/>
  <c r="D688" i="9"/>
  <c r="F688" i="9"/>
  <c r="H688" i="9"/>
  <c r="J688" i="9"/>
  <c r="L688" i="9"/>
  <c r="M688" i="9"/>
  <c r="N688" i="9"/>
  <c r="P688" i="9"/>
  <c r="R688" i="9"/>
  <c r="S688" i="9"/>
  <c r="T688" i="9"/>
  <c r="V688" i="9"/>
  <c r="X688" i="9"/>
  <c r="Z688" i="9"/>
  <c r="D689" i="9"/>
  <c r="F689" i="9"/>
  <c r="H689" i="9"/>
  <c r="J689" i="9"/>
  <c r="L689" i="9"/>
  <c r="M689" i="9"/>
  <c r="N689" i="9"/>
  <c r="P689" i="9"/>
  <c r="R689" i="9"/>
  <c r="S689" i="9"/>
  <c r="T689" i="9"/>
  <c r="V689" i="9"/>
  <c r="X689" i="9"/>
  <c r="Z689" i="9"/>
  <c r="D690" i="9"/>
  <c r="F690" i="9"/>
  <c r="H690" i="9"/>
  <c r="J690" i="9"/>
  <c r="L690" i="9"/>
  <c r="M690" i="9"/>
  <c r="N690" i="9"/>
  <c r="P690" i="9"/>
  <c r="R690" i="9"/>
  <c r="S690" i="9"/>
  <c r="T690" i="9"/>
  <c r="V690" i="9"/>
  <c r="X690" i="9"/>
  <c r="Z690" i="9"/>
  <c r="D691" i="9"/>
  <c r="F691" i="9"/>
  <c r="H691" i="9"/>
  <c r="J691" i="9"/>
  <c r="L691" i="9"/>
  <c r="M691" i="9"/>
  <c r="N691" i="9"/>
  <c r="P691" i="9"/>
  <c r="R691" i="9"/>
  <c r="S691" i="9"/>
  <c r="T691" i="9"/>
  <c r="V691" i="9"/>
  <c r="X691" i="9"/>
  <c r="Z691" i="9"/>
  <c r="D692" i="9"/>
  <c r="F692" i="9"/>
  <c r="H692" i="9"/>
  <c r="J692" i="9"/>
  <c r="L692" i="9"/>
  <c r="M692" i="9"/>
  <c r="N692" i="9"/>
  <c r="P692" i="9"/>
  <c r="R692" i="9"/>
  <c r="S692" i="9"/>
  <c r="T692" i="9"/>
  <c r="V692" i="9"/>
  <c r="X692" i="9"/>
  <c r="Z692" i="9"/>
  <c r="D693" i="9"/>
  <c r="F693" i="9"/>
  <c r="H693" i="9"/>
  <c r="J693" i="9"/>
  <c r="L693" i="9"/>
  <c r="M693" i="9"/>
  <c r="N693" i="9"/>
  <c r="P693" i="9"/>
  <c r="R693" i="9"/>
  <c r="S693" i="9"/>
  <c r="T693" i="9"/>
  <c r="V693" i="9"/>
  <c r="X693" i="9"/>
  <c r="Z693" i="9"/>
  <c r="D694" i="9"/>
  <c r="F694" i="9"/>
  <c r="H694" i="9"/>
  <c r="J694" i="9"/>
  <c r="L694" i="9"/>
  <c r="M694" i="9"/>
  <c r="N694" i="9"/>
  <c r="P694" i="9"/>
  <c r="R694" i="9"/>
  <c r="S694" i="9"/>
  <c r="T694" i="9"/>
  <c r="V694" i="9"/>
  <c r="X694" i="9"/>
  <c r="Z694" i="9"/>
  <c r="D695" i="9"/>
  <c r="F695" i="9"/>
  <c r="H695" i="9"/>
  <c r="J695" i="9"/>
  <c r="L695" i="9"/>
  <c r="M695" i="9"/>
  <c r="N695" i="9"/>
  <c r="P695" i="9"/>
  <c r="R695" i="9"/>
  <c r="S695" i="9"/>
  <c r="T695" i="9"/>
  <c r="V695" i="9"/>
  <c r="X695" i="9"/>
  <c r="Z695" i="9"/>
  <c r="D696" i="9"/>
  <c r="F696" i="9"/>
  <c r="H696" i="9"/>
  <c r="J696" i="9"/>
  <c r="L696" i="9"/>
  <c r="M696" i="9"/>
  <c r="N696" i="9"/>
  <c r="P696" i="9"/>
  <c r="R696" i="9"/>
  <c r="S696" i="9"/>
  <c r="T696" i="9"/>
  <c r="V696" i="9"/>
  <c r="X696" i="9"/>
  <c r="Z696" i="9"/>
  <c r="D697" i="9"/>
  <c r="F697" i="9"/>
  <c r="H697" i="9"/>
  <c r="J697" i="9"/>
  <c r="L697" i="9"/>
  <c r="M697" i="9"/>
  <c r="N697" i="9"/>
  <c r="P697" i="9"/>
  <c r="R697" i="9"/>
  <c r="S697" i="9"/>
  <c r="T697" i="9"/>
  <c r="V697" i="9"/>
  <c r="X697" i="9"/>
  <c r="Z697" i="9"/>
  <c r="D698" i="9"/>
  <c r="F698" i="9"/>
  <c r="H698" i="9"/>
  <c r="J698" i="9"/>
  <c r="L698" i="9"/>
  <c r="M698" i="9"/>
  <c r="N698" i="9"/>
  <c r="P698" i="9"/>
  <c r="R698" i="9"/>
  <c r="S698" i="9"/>
  <c r="T698" i="9"/>
  <c r="V698" i="9"/>
  <c r="X698" i="9"/>
  <c r="Z698" i="9"/>
  <c r="D699" i="9"/>
  <c r="F699" i="9"/>
  <c r="H699" i="9"/>
  <c r="J699" i="9"/>
  <c r="L699" i="9"/>
  <c r="M699" i="9"/>
  <c r="N699" i="9"/>
  <c r="P699" i="9"/>
  <c r="R699" i="9"/>
  <c r="S699" i="9"/>
  <c r="T699" i="9"/>
  <c r="V699" i="9"/>
  <c r="X699" i="9"/>
  <c r="Z699" i="9"/>
  <c r="D700" i="9"/>
  <c r="F700" i="9"/>
  <c r="H700" i="9"/>
  <c r="J700" i="9"/>
  <c r="L700" i="9"/>
  <c r="M700" i="9"/>
  <c r="N700" i="9"/>
  <c r="P700" i="9"/>
  <c r="R700" i="9"/>
  <c r="S700" i="9"/>
  <c r="T700" i="9"/>
  <c r="V700" i="9"/>
  <c r="X700" i="9"/>
  <c r="Z700" i="9"/>
  <c r="D701" i="9"/>
  <c r="F701" i="9"/>
  <c r="H701" i="9"/>
  <c r="J701" i="9"/>
  <c r="L701" i="9"/>
  <c r="M701" i="9"/>
  <c r="N701" i="9"/>
  <c r="P701" i="9"/>
  <c r="R701" i="9"/>
  <c r="S701" i="9"/>
  <c r="T701" i="9"/>
  <c r="V701" i="9"/>
  <c r="X701" i="9"/>
  <c r="Z701" i="9"/>
  <c r="D702" i="9"/>
  <c r="F702" i="9"/>
  <c r="H702" i="9"/>
  <c r="J702" i="9"/>
  <c r="L702" i="9"/>
  <c r="M702" i="9"/>
  <c r="N702" i="9"/>
  <c r="P702" i="9"/>
  <c r="R702" i="9"/>
  <c r="S702" i="9"/>
  <c r="T702" i="9"/>
  <c r="V702" i="9"/>
  <c r="X702" i="9"/>
  <c r="Z702" i="9"/>
  <c r="D703" i="9"/>
  <c r="F703" i="9"/>
  <c r="H703" i="9"/>
  <c r="J703" i="9"/>
  <c r="L703" i="9"/>
  <c r="M703" i="9"/>
  <c r="N703" i="9"/>
  <c r="P703" i="9"/>
  <c r="R703" i="9"/>
  <c r="S703" i="9"/>
  <c r="T703" i="9"/>
  <c r="V703" i="9"/>
  <c r="X703" i="9"/>
  <c r="Z703" i="9"/>
  <c r="D704" i="9"/>
  <c r="F704" i="9"/>
  <c r="H704" i="9"/>
  <c r="J704" i="9"/>
  <c r="L704" i="9"/>
  <c r="M704" i="9"/>
  <c r="N704" i="9"/>
  <c r="P704" i="9"/>
  <c r="R704" i="9"/>
  <c r="S704" i="9"/>
  <c r="T704" i="9"/>
  <c r="V704" i="9"/>
  <c r="X704" i="9"/>
  <c r="Z704" i="9"/>
  <c r="D705" i="9"/>
  <c r="F705" i="9"/>
  <c r="H705" i="9"/>
  <c r="J705" i="9"/>
  <c r="L705" i="9"/>
  <c r="M705" i="9"/>
  <c r="N705" i="9"/>
  <c r="P705" i="9"/>
  <c r="R705" i="9"/>
  <c r="S705" i="9"/>
  <c r="T705" i="9"/>
  <c r="V705" i="9"/>
  <c r="X705" i="9"/>
  <c r="Z705" i="9"/>
  <c r="D706" i="9"/>
  <c r="F706" i="9"/>
  <c r="H706" i="9"/>
  <c r="J706" i="9"/>
  <c r="L706" i="9"/>
  <c r="M706" i="9"/>
  <c r="N706" i="9"/>
  <c r="P706" i="9"/>
  <c r="R706" i="9"/>
  <c r="S706" i="9"/>
  <c r="T706" i="9"/>
  <c r="V706" i="9"/>
  <c r="X706" i="9"/>
  <c r="Z706" i="9"/>
  <c r="D707" i="9"/>
  <c r="F707" i="9"/>
  <c r="H707" i="9"/>
  <c r="J707" i="9"/>
  <c r="L707" i="9"/>
  <c r="M707" i="9"/>
  <c r="N707" i="9"/>
  <c r="P707" i="9"/>
  <c r="R707" i="9"/>
  <c r="S707" i="9"/>
  <c r="T707" i="9"/>
  <c r="V707" i="9"/>
  <c r="X707" i="9"/>
  <c r="Z707" i="9"/>
  <c r="D708" i="9"/>
  <c r="F708" i="9"/>
  <c r="H708" i="9"/>
  <c r="J708" i="9"/>
  <c r="L708" i="9"/>
  <c r="M708" i="9"/>
  <c r="N708" i="9"/>
  <c r="P708" i="9"/>
  <c r="R708" i="9"/>
  <c r="S708" i="9"/>
  <c r="T708" i="9"/>
  <c r="V708" i="9"/>
  <c r="X708" i="9"/>
  <c r="Z708" i="9"/>
  <c r="D709" i="9"/>
  <c r="F709" i="9"/>
  <c r="H709" i="9"/>
  <c r="J709" i="9"/>
  <c r="L709" i="9"/>
  <c r="M709" i="9"/>
  <c r="N709" i="9"/>
  <c r="P709" i="9"/>
  <c r="R709" i="9"/>
  <c r="S709" i="9"/>
  <c r="T709" i="9"/>
  <c r="V709" i="9"/>
  <c r="X709" i="9"/>
  <c r="Z709" i="9"/>
  <c r="D710" i="9"/>
  <c r="F710" i="9"/>
  <c r="H710" i="9"/>
  <c r="J710" i="9"/>
  <c r="L710" i="9"/>
  <c r="M710" i="9"/>
  <c r="N710" i="9"/>
  <c r="P710" i="9"/>
  <c r="R710" i="9"/>
  <c r="S710" i="9"/>
  <c r="T710" i="9"/>
  <c r="V710" i="9"/>
  <c r="X710" i="9"/>
  <c r="Z710" i="9"/>
  <c r="D711" i="9"/>
  <c r="F711" i="9"/>
  <c r="H711" i="9"/>
  <c r="J711" i="9"/>
  <c r="L711" i="9"/>
  <c r="M711" i="9"/>
  <c r="N711" i="9"/>
  <c r="P711" i="9"/>
  <c r="R711" i="9"/>
  <c r="S711" i="9"/>
  <c r="T711" i="9"/>
  <c r="V711" i="9"/>
  <c r="X711" i="9"/>
  <c r="Z711" i="9"/>
  <c r="D712" i="9"/>
  <c r="F712" i="9"/>
  <c r="H712" i="9"/>
  <c r="J712" i="9"/>
  <c r="L712" i="9"/>
  <c r="M712" i="9"/>
  <c r="N712" i="9"/>
  <c r="P712" i="9"/>
  <c r="R712" i="9"/>
  <c r="S712" i="9"/>
  <c r="T712" i="9"/>
  <c r="V712" i="9"/>
  <c r="X712" i="9"/>
  <c r="Z712" i="9"/>
  <c r="D713" i="9"/>
  <c r="F713" i="9"/>
  <c r="H713" i="9"/>
  <c r="J713" i="9"/>
  <c r="L713" i="9"/>
  <c r="M713" i="9"/>
  <c r="N713" i="9"/>
  <c r="P713" i="9"/>
  <c r="R713" i="9"/>
  <c r="S713" i="9"/>
  <c r="T713" i="9"/>
  <c r="V713" i="9"/>
  <c r="X713" i="9"/>
  <c r="Z713" i="9"/>
  <c r="D714" i="9"/>
  <c r="F714" i="9"/>
  <c r="H714" i="9"/>
  <c r="J714" i="9"/>
  <c r="L714" i="9"/>
  <c r="M714" i="9"/>
  <c r="N714" i="9"/>
  <c r="P714" i="9"/>
  <c r="R714" i="9"/>
  <c r="S714" i="9"/>
  <c r="T714" i="9"/>
  <c r="V714" i="9"/>
  <c r="X714" i="9"/>
  <c r="Z714" i="9"/>
  <c r="D715" i="9"/>
  <c r="F715" i="9"/>
  <c r="H715" i="9"/>
  <c r="J715" i="9"/>
  <c r="L715" i="9"/>
  <c r="M715" i="9"/>
  <c r="N715" i="9"/>
  <c r="P715" i="9"/>
  <c r="R715" i="9"/>
  <c r="S715" i="9"/>
  <c r="T715" i="9"/>
  <c r="V715" i="9"/>
  <c r="X715" i="9"/>
  <c r="Z715" i="9"/>
  <c r="D716" i="9"/>
  <c r="F716" i="9"/>
  <c r="H716" i="9"/>
  <c r="J716" i="9"/>
  <c r="L716" i="9"/>
  <c r="M716" i="9"/>
  <c r="N716" i="9"/>
  <c r="P716" i="9"/>
  <c r="R716" i="9"/>
  <c r="S716" i="9"/>
  <c r="T716" i="9"/>
  <c r="V716" i="9"/>
  <c r="X716" i="9"/>
  <c r="Z716" i="9"/>
  <c r="D717" i="9"/>
  <c r="F717" i="9"/>
  <c r="H717" i="9"/>
  <c r="J717" i="9"/>
  <c r="L717" i="9"/>
  <c r="M717" i="9"/>
  <c r="N717" i="9"/>
  <c r="P717" i="9"/>
  <c r="R717" i="9"/>
  <c r="S717" i="9"/>
  <c r="T717" i="9"/>
  <c r="V717" i="9"/>
  <c r="X717" i="9"/>
  <c r="Z717" i="9"/>
  <c r="D718" i="9"/>
  <c r="F718" i="9"/>
  <c r="H718" i="9"/>
  <c r="J718" i="9"/>
  <c r="L718" i="9"/>
  <c r="M718" i="9"/>
  <c r="N718" i="9"/>
  <c r="P718" i="9"/>
  <c r="R718" i="9"/>
  <c r="S718" i="9"/>
  <c r="T718" i="9"/>
  <c r="V718" i="9"/>
  <c r="X718" i="9"/>
  <c r="Z718" i="9"/>
  <c r="D719" i="9"/>
  <c r="F719" i="9"/>
  <c r="H719" i="9"/>
  <c r="J719" i="9"/>
  <c r="L719" i="9"/>
  <c r="M719" i="9"/>
  <c r="N719" i="9"/>
  <c r="P719" i="9"/>
  <c r="R719" i="9"/>
  <c r="S719" i="9"/>
  <c r="T719" i="9"/>
  <c r="V719" i="9"/>
  <c r="X719" i="9"/>
  <c r="Z719" i="9"/>
  <c r="D720" i="9"/>
  <c r="F720" i="9"/>
  <c r="H720" i="9"/>
  <c r="J720" i="9"/>
  <c r="L720" i="9"/>
  <c r="M720" i="9"/>
  <c r="N720" i="9"/>
  <c r="P720" i="9"/>
  <c r="R720" i="9"/>
  <c r="S720" i="9"/>
  <c r="T720" i="9"/>
  <c r="V720" i="9"/>
  <c r="X720" i="9"/>
  <c r="Z720" i="9"/>
  <c r="D721" i="9"/>
  <c r="F721" i="9"/>
  <c r="H721" i="9"/>
  <c r="J721" i="9"/>
  <c r="L721" i="9"/>
  <c r="M721" i="9"/>
  <c r="N721" i="9"/>
  <c r="P721" i="9"/>
  <c r="R721" i="9"/>
  <c r="S721" i="9"/>
  <c r="T721" i="9"/>
  <c r="V721" i="9"/>
  <c r="X721" i="9"/>
  <c r="Z721" i="9"/>
  <c r="D722" i="9"/>
  <c r="F722" i="9"/>
  <c r="H722" i="9"/>
  <c r="J722" i="9"/>
  <c r="L722" i="9"/>
  <c r="M722" i="9"/>
  <c r="N722" i="9"/>
  <c r="P722" i="9"/>
  <c r="R722" i="9"/>
  <c r="S722" i="9"/>
  <c r="T722" i="9"/>
  <c r="V722" i="9"/>
  <c r="X722" i="9"/>
  <c r="Z722" i="9"/>
  <c r="D723" i="9"/>
  <c r="F723" i="9"/>
  <c r="H723" i="9"/>
  <c r="J723" i="9"/>
  <c r="L723" i="9"/>
  <c r="M723" i="9"/>
  <c r="N723" i="9"/>
  <c r="P723" i="9"/>
  <c r="R723" i="9"/>
  <c r="S723" i="9"/>
  <c r="T723" i="9"/>
  <c r="V723" i="9"/>
  <c r="X723" i="9"/>
  <c r="Z723" i="9"/>
  <c r="D724" i="9"/>
  <c r="F724" i="9"/>
  <c r="H724" i="9"/>
  <c r="J724" i="9"/>
  <c r="L724" i="9"/>
  <c r="M724" i="9"/>
  <c r="N724" i="9"/>
  <c r="P724" i="9"/>
  <c r="R724" i="9"/>
  <c r="S724" i="9"/>
  <c r="T724" i="9"/>
  <c r="V724" i="9"/>
  <c r="X724" i="9"/>
  <c r="Z724" i="9"/>
  <c r="D725" i="9"/>
  <c r="F725" i="9"/>
  <c r="H725" i="9"/>
  <c r="J725" i="9"/>
  <c r="L725" i="9"/>
  <c r="M725" i="9"/>
  <c r="N725" i="9"/>
  <c r="P725" i="9"/>
  <c r="R725" i="9"/>
  <c r="S725" i="9"/>
  <c r="T725" i="9"/>
  <c r="V725" i="9"/>
  <c r="X725" i="9"/>
  <c r="Z725" i="9"/>
  <c r="D726" i="9"/>
  <c r="F726" i="9"/>
  <c r="H726" i="9"/>
  <c r="J726" i="9"/>
  <c r="L726" i="9"/>
  <c r="M726" i="9"/>
  <c r="N726" i="9"/>
  <c r="P726" i="9"/>
  <c r="R726" i="9"/>
  <c r="S726" i="9"/>
  <c r="T726" i="9"/>
  <c r="V726" i="9"/>
  <c r="X726" i="9"/>
  <c r="Z726" i="9"/>
  <c r="D727" i="9"/>
  <c r="F727" i="9"/>
  <c r="H727" i="9"/>
  <c r="J727" i="9"/>
  <c r="L727" i="9"/>
  <c r="M727" i="9"/>
  <c r="N727" i="9"/>
  <c r="P727" i="9"/>
  <c r="R727" i="9"/>
  <c r="S727" i="9"/>
  <c r="T727" i="9"/>
  <c r="V727" i="9"/>
  <c r="X727" i="9"/>
  <c r="Z727" i="9"/>
  <c r="D728" i="9"/>
  <c r="F728" i="9"/>
  <c r="H728" i="9"/>
  <c r="J728" i="9"/>
  <c r="L728" i="9"/>
  <c r="M728" i="9"/>
  <c r="N728" i="9"/>
  <c r="P728" i="9"/>
  <c r="R728" i="9"/>
  <c r="S728" i="9"/>
  <c r="T728" i="9"/>
  <c r="V728" i="9"/>
  <c r="X728" i="9"/>
  <c r="Z728" i="9"/>
  <c r="D729" i="9"/>
  <c r="F729" i="9"/>
  <c r="H729" i="9"/>
  <c r="J729" i="9"/>
  <c r="L729" i="9"/>
  <c r="M729" i="9"/>
  <c r="N729" i="9"/>
  <c r="P729" i="9"/>
  <c r="R729" i="9"/>
  <c r="S729" i="9"/>
  <c r="T729" i="9"/>
  <c r="V729" i="9"/>
  <c r="X729" i="9"/>
  <c r="Z729" i="9"/>
  <c r="D730" i="9"/>
  <c r="F730" i="9"/>
  <c r="H730" i="9"/>
  <c r="J730" i="9"/>
  <c r="L730" i="9"/>
  <c r="M730" i="9"/>
  <c r="N730" i="9"/>
  <c r="P730" i="9"/>
  <c r="R730" i="9"/>
  <c r="S730" i="9"/>
  <c r="T730" i="9"/>
  <c r="V730" i="9"/>
  <c r="X730" i="9"/>
  <c r="Z730" i="9"/>
  <c r="D731" i="9"/>
  <c r="F731" i="9"/>
  <c r="H731" i="9"/>
  <c r="J731" i="9"/>
  <c r="L731" i="9"/>
  <c r="M731" i="9"/>
  <c r="N731" i="9"/>
  <c r="P731" i="9"/>
  <c r="R731" i="9"/>
  <c r="S731" i="9"/>
  <c r="T731" i="9"/>
  <c r="V731" i="9"/>
  <c r="X731" i="9"/>
  <c r="Z731" i="9"/>
  <c r="D732" i="9"/>
  <c r="F732" i="9"/>
  <c r="H732" i="9"/>
  <c r="J732" i="9"/>
  <c r="L732" i="9"/>
  <c r="M732" i="9"/>
  <c r="N732" i="9"/>
  <c r="P732" i="9"/>
  <c r="R732" i="9"/>
  <c r="S732" i="9"/>
  <c r="T732" i="9"/>
  <c r="V732" i="9"/>
  <c r="X732" i="9"/>
  <c r="Z732" i="9"/>
  <c r="D733" i="9"/>
  <c r="F733" i="9"/>
  <c r="H733" i="9"/>
  <c r="J733" i="9"/>
  <c r="L733" i="9"/>
  <c r="M733" i="9"/>
  <c r="N733" i="9"/>
  <c r="P733" i="9"/>
  <c r="R733" i="9"/>
  <c r="S733" i="9"/>
  <c r="T733" i="9"/>
  <c r="V733" i="9"/>
  <c r="X733" i="9"/>
  <c r="Z733" i="9"/>
  <c r="D734" i="9"/>
  <c r="F734" i="9"/>
  <c r="H734" i="9"/>
  <c r="J734" i="9"/>
  <c r="L734" i="9"/>
  <c r="M734" i="9"/>
  <c r="N734" i="9"/>
  <c r="P734" i="9"/>
  <c r="R734" i="9"/>
  <c r="S734" i="9"/>
  <c r="T734" i="9"/>
  <c r="V734" i="9"/>
  <c r="X734" i="9"/>
  <c r="Z734" i="9"/>
  <c r="D735" i="9"/>
  <c r="F735" i="9"/>
  <c r="H735" i="9"/>
  <c r="J735" i="9"/>
  <c r="L735" i="9"/>
  <c r="M735" i="9"/>
  <c r="N735" i="9"/>
  <c r="P735" i="9"/>
  <c r="R735" i="9"/>
  <c r="S735" i="9"/>
  <c r="T735" i="9"/>
  <c r="V735" i="9"/>
  <c r="X735" i="9"/>
  <c r="Z735" i="9"/>
  <c r="D736" i="9"/>
  <c r="F736" i="9"/>
  <c r="H736" i="9"/>
  <c r="J736" i="9"/>
  <c r="L736" i="9"/>
  <c r="M736" i="9"/>
  <c r="N736" i="9"/>
  <c r="P736" i="9"/>
  <c r="R736" i="9"/>
  <c r="S736" i="9"/>
  <c r="T736" i="9"/>
  <c r="V736" i="9"/>
  <c r="X736" i="9"/>
  <c r="Z736" i="9"/>
  <c r="D737" i="9"/>
  <c r="F737" i="9"/>
  <c r="H737" i="9"/>
  <c r="J737" i="9"/>
  <c r="L737" i="9"/>
  <c r="M737" i="9"/>
  <c r="N737" i="9"/>
  <c r="P737" i="9"/>
  <c r="R737" i="9"/>
  <c r="S737" i="9"/>
  <c r="T737" i="9"/>
  <c r="V737" i="9"/>
  <c r="X737" i="9"/>
  <c r="Z737" i="9"/>
  <c r="D738" i="9"/>
  <c r="F738" i="9"/>
  <c r="G738" i="9"/>
  <c r="H738" i="9"/>
  <c r="J738" i="9"/>
  <c r="L738" i="9"/>
  <c r="M738" i="9"/>
  <c r="N738" i="9"/>
  <c r="P738" i="9"/>
  <c r="R738" i="9"/>
  <c r="S738" i="9"/>
  <c r="T738" i="9"/>
  <c r="V738" i="9"/>
  <c r="X738" i="9"/>
  <c r="Z738" i="9"/>
  <c r="D739" i="9"/>
  <c r="F739" i="9"/>
  <c r="H739" i="9"/>
  <c r="J739" i="9"/>
  <c r="L739" i="9"/>
  <c r="M739" i="9"/>
  <c r="N739" i="9"/>
  <c r="P739" i="9"/>
  <c r="R739" i="9"/>
  <c r="S739" i="9"/>
  <c r="T739" i="9"/>
  <c r="V739" i="9"/>
  <c r="X739" i="9"/>
  <c r="Z739" i="9"/>
  <c r="D740" i="9"/>
  <c r="F740" i="9"/>
  <c r="H740" i="9"/>
  <c r="J740" i="9"/>
  <c r="L740" i="9"/>
  <c r="M740" i="9"/>
  <c r="N740" i="9"/>
  <c r="P740" i="9"/>
  <c r="R740" i="9"/>
  <c r="S740" i="9"/>
  <c r="T740" i="9"/>
  <c r="V740" i="9"/>
  <c r="X740" i="9"/>
  <c r="Z740" i="9"/>
  <c r="D741" i="9"/>
  <c r="F741" i="9"/>
  <c r="H741" i="9"/>
  <c r="J741" i="9"/>
  <c r="L741" i="9"/>
  <c r="M741" i="9"/>
  <c r="N741" i="9"/>
  <c r="P741" i="9"/>
  <c r="R741" i="9"/>
  <c r="S741" i="9"/>
  <c r="T741" i="9"/>
  <c r="V741" i="9"/>
  <c r="X741" i="9"/>
  <c r="Z741" i="9"/>
  <c r="D742" i="9"/>
  <c r="F742" i="9"/>
  <c r="H742" i="9"/>
  <c r="J742" i="9"/>
  <c r="L742" i="9"/>
  <c r="M742" i="9"/>
  <c r="N742" i="9"/>
  <c r="P742" i="9"/>
  <c r="R742" i="9"/>
  <c r="S742" i="9"/>
  <c r="T742" i="9"/>
  <c r="V742" i="9"/>
  <c r="X742" i="9"/>
  <c r="Z742" i="9"/>
  <c r="D743" i="9"/>
  <c r="F743" i="9"/>
  <c r="H743" i="9"/>
  <c r="J743" i="9"/>
  <c r="L743" i="9"/>
  <c r="M743" i="9"/>
  <c r="N743" i="9"/>
  <c r="P743" i="9"/>
  <c r="R743" i="9"/>
  <c r="S743" i="9"/>
  <c r="T743" i="9"/>
  <c r="V743" i="9"/>
  <c r="X743" i="9"/>
  <c r="Z743" i="9"/>
  <c r="D744" i="9"/>
  <c r="F744" i="9"/>
  <c r="H744" i="9"/>
  <c r="J744" i="9"/>
  <c r="L744" i="9"/>
  <c r="M744" i="9"/>
  <c r="N744" i="9"/>
  <c r="P744" i="9"/>
  <c r="R744" i="9"/>
  <c r="S744" i="9"/>
  <c r="T744" i="9"/>
  <c r="V744" i="9"/>
  <c r="X744" i="9"/>
  <c r="Z744" i="9"/>
  <c r="D745" i="9"/>
  <c r="F745" i="9"/>
  <c r="H745" i="9"/>
  <c r="J745" i="9"/>
  <c r="L745" i="9"/>
  <c r="M745" i="9"/>
  <c r="N745" i="9"/>
  <c r="P745" i="9"/>
  <c r="R745" i="9"/>
  <c r="S745" i="9"/>
  <c r="T745" i="9"/>
  <c r="V745" i="9"/>
  <c r="X745" i="9"/>
  <c r="Z745" i="9"/>
  <c r="D746" i="9"/>
  <c r="F746" i="9"/>
  <c r="H746" i="9"/>
  <c r="J746" i="9"/>
  <c r="L746" i="9"/>
  <c r="M746" i="9"/>
  <c r="N746" i="9"/>
  <c r="P746" i="9"/>
  <c r="R746" i="9"/>
  <c r="S746" i="9"/>
  <c r="T746" i="9"/>
  <c r="V746" i="9"/>
  <c r="X746" i="9"/>
  <c r="Z746" i="9"/>
  <c r="D747" i="9"/>
  <c r="F747" i="9"/>
  <c r="H747" i="9"/>
  <c r="J747" i="9"/>
  <c r="L747" i="9"/>
  <c r="M747" i="9"/>
  <c r="N747" i="9"/>
  <c r="P747" i="9"/>
  <c r="R747" i="9"/>
  <c r="S747" i="9"/>
  <c r="T747" i="9"/>
  <c r="V747" i="9"/>
  <c r="X747" i="9"/>
  <c r="Z747" i="9"/>
  <c r="D748" i="9"/>
  <c r="F748" i="9"/>
  <c r="H748" i="9"/>
  <c r="J748" i="9"/>
  <c r="L748" i="9"/>
  <c r="M748" i="9"/>
  <c r="N748" i="9"/>
  <c r="P748" i="9"/>
  <c r="R748" i="9"/>
  <c r="S748" i="9"/>
  <c r="T748" i="9"/>
  <c r="V748" i="9"/>
  <c r="X748" i="9"/>
  <c r="Z748" i="9"/>
  <c r="D749" i="9"/>
  <c r="F749" i="9"/>
  <c r="H749" i="9"/>
  <c r="J749" i="9"/>
  <c r="L749" i="9"/>
  <c r="M749" i="9"/>
  <c r="N749" i="9"/>
  <c r="P749" i="9"/>
  <c r="R749" i="9"/>
  <c r="S749" i="9"/>
  <c r="T749" i="9"/>
  <c r="V749" i="9"/>
  <c r="X749" i="9"/>
  <c r="Z749" i="9"/>
  <c r="D750" i="9"/>
  <c r="F750" i="9"/>
  <c r="H750" i="9"/>
  <c r="J750" i="9"/>
  <c r="L750" i="9"/>
  <c r="M750" i="9"/>
  <c r="N750" i="9"/>
  <c r="P750" i="9"/>
  <c r="R750" i="9"/>
  <c r="S750" i="9"/>
  <c r="T750" i="9"/>
  <c r="V750" i="9"/>
  <c r="X750" i="9"/>
  <c r="Z750" i="9"/>
  <c r="D751" i="9"/>
  <c r="F751" i="9"/>
  <c r="H751" i="9"/>
  <c r="J751" i="9"/>
  <c r="L751" i="9"/>
  <c r="M751" i="9"/>
  <c r="N751" i="9"/>
  <c r="P751" i="9"/>
  <c r="R751" i="9"/>
  <c r="S751" i="9"/>
  <c r="T751" i="9"/>
  <c r="V751" i="9"/>
  <c r="X751" i="9"/>
  <c r="Z751" i="9"/>
  <c r="D752" i="9"/>
  <c r="F752" i="9"/>
  <c r="H752" i="9"/>
  <c r="J752" i="9"/>
  <c r="L752" i="9"/>
  <c r="M752" i="9"/>
  <c r="N752" i="9"/>
  <c r="P752" i="9"/>
  <c r="R752" i="9"/>
  <c r="S752" i="9"/>
  <c r="T752" i="9"/>
  <c r="V752" i="9"/>
  <c r="X752" i="9"/>
  <c r="Z752" i="9"/>
  <c r="D753" i="9"/>
  <c r="F753" i="9"/>
  <c r="H753" i="9"/>
  <c r="J753" i="9"/>
  <c r="L753" i="9"/>
  <c r="M753" i="9"/>
  <c r="N753" i="9"/>
  <c r="P753" i="9"/>
  <c r="R753" i="9"/>
  <c r="S753" i="9"/>
  <c r="T753" i="9"/>
  <c r="V753" i="9"/>
  <c r="X753" i="9"/>
  <c r="Z753" i="9"/>
  <c r="D754" i="9"/>
  <c r="F754" i="9"/>
  <c r="H754" i="9"/>
  <c r="J754" i="9"/>
  <c r="L754" i="9"/>
  <c r="M754" i="9"/>
  <c r="N754" i="9"/>
  <c r="P754" i="9"/>
  <c r="R754" i="9"/>
  <c r="S754" i="9"/>
  <c r="T754" i="9"/>
  <c r="V754" i="9"/>
  <c r="X754" i="9"/>
  <c r="Z754" i="9"/>
  <c r="D755" i="9"/>
  <c r="F755" i="9"/>
  <c r="H755" i="9"/>
  <c r="J755" i="9"/>
  <c r="L755" i="9"/>
  <c r="M755" i="9"/>
  <c r="N755" i="9"/>
  <c r="P755" i="9"/>
  <c r="R755" i="9"/>
  <c r="S755" i="9"/>
  <c r="T755" i="9"/>
  <c r="V755" i="9"/>
  <c r="X755" i="9"/>
  <c r="Z755" i="9"/>
  <c r="D756" i="9"/>
  <c r="F756" i="9"/>
  <c r="H756" i="9"/>
  <c r="J756" i="9"/>
  <c r="L756" i="9"/>
  <c r="M756" i="9"/>
  <c r="N756" i="9"/>
  <c r="P756" i="9"/>
  <c r="R756" i="9"/>
  <c r="S756" i="9"/>
  <c r="T756" i="9"/>
  <c r="V756" i="9"/>
  <c r="X756" i="9"/>
  <c r="Z756" i="9"/>
  <c r="D757" i="9"/>
  <c r="F757" i="9"/>
  <c r="H757" i="9"/>
  <c r="J757" i="9"/>
  <c r="L757" i="9"/>
  <c r="M757" i="9"/>
  <c r="N757" i="9"/>
  <c r="P757" i="9"/>
  <c r="R757" i="9"/>
  <c r="S757" i="9"/>
  <c r="T757" i="9"/>
  <c r="V757" i="9"/>
  <c r="X757" i="9"/>
  <c r="Z757" i="9"/>
  <c r="D758" i="9"/>
  <c r="F758" i="9"/>
  <c r="H758" i="9"/>
  <c r="J758" i="9"/>
  <c r="L758" i="9"/>
  <c r="M758" i="9"/>
  <c r="N758" i="9"/>
  <c r="P758" i="9"/>
  <c r="R758" i="9"/>
  <c r="S758" i="9"/>
  <c r="T758" i="9"/>
  <c r="V758" i="9"/>
  <c r="X758" i="9"/>
  <c r="Z758" i="9"/>
  <c r="D759" i="9"/>
  <c r="F759" i="9"/>
  <c r="H759" i="9"/>
  <c r="J759" i="9"/>
  <c r="L759" i="9"/>
  <c r="M759" i="9"/>
  <c r="N759" i="9"/>
  <c r="P759" i="9"/>
  <c r="R759" i="9"/>
  <c r="S759" i="9"/>
  <c r="T759" i="9"/>
  <c r="V759" i="9"/>
  <c r="X759" i="9"/>
  <c r="Z759" i="9"/>
  <c r="D760" i="9"/>
  <c r="F760" i="9"/>
  <c r="H760" i="9"/>
  <c r="J760" i="9"/>
  <c r="L760" i="9"/>
  <c r="M760" i="9"/>
  <c r="N760" i="9"/>
  <c r="P760" i="9"/>
  <c r="R760" i="9"/>
  <c r="S760" i="9"/>
  <c r="T760" i="9"/>
  <c r="V760" i="9"/>
  <c r="X760" i="9"/>
  <c r="Z760" i="9"/>
  <c r="D761" i="9"/>
  <c r="F761" i="9"/>
  <c r="H761" i="9"/>
  <c r="J761" i="9"/>
  <c r="L761" i="9"/>
  <c r="M761" i="9"/>
  <c r="N761" i="9"/>
  <c r="P761" i="9"/>
  <c r="R761" i="9"/>
  <c r="S761" i="9"/>
  <c r="T761" i="9"/>
  <c r="V761" i="9"/>
  <c r="X761" i="9"/>
  <c r="Z761" i="9"/>
  <c r="D762" i="9"/>
  <c r="F762" i="9"/>
  <c r="H762" i="9"/>
  <c r="J762" i="9"/>
  <c r="L762" i="9"/>
  <c r="M762" i="9"/>
  <c r="N762" i="9"/>
  <c r="P762" i="9"/>
  <c r="R762" i="9"/>
  <c r="S762" i="9"/>
  <c r="T762" i="9"/>
  <c r="V762" i="9"/>
  <c r="X762" i="9"/>
  <c r="Z762" i="9"/>
  <c r="D763" i="9"/>
  <c r="F763" i="9"/>
  <c r="H763" i="9"/>
  <c r="J763" i="9"/>
  <c r="L763" i="9"/>
  <c r="M763" i="9"/>
  <c r="N763" i="9"/>
  <c r="P763" i="9"/>
  <c r="R763" i="9"/>
  <c r="S763" i="9"/>
  <c r="T763" i="9"/>
  <c r="V763" i="9"/>
  <c r="X763" i="9"/>
  <c r="Z763" i="9"/>
  <c r="D764" i="9"/>
  <c r="F764" i="9"/>
  <c r="H764" i="9"/>
  <c r="J764" i="9"/>
  <c r="L764" i="9"/>
  <c r="M764" i="9"/>
  <c r="N764" i="9"/>
  <c r="P764" i="9"/>
  <c r="R764" i="9"/>
  <c r="S764" i="9"/>
  <c r="T764" i="9"/>
  <c r="V764" i="9"/>
  <c r="X764" i="9"/>
  <c r="Z764" i="9"/>
  <c r="D765" i="9"/>
  <c r="F765" i="9"/>
  <c r="H765" i="9"/>
  <c r="J765" i="9"/>
  <c r="L765" i="9"/>
  <c r="M765" i="9"/>
  <c r="N765" i="9"/>
  <c r="P765" i="9"/>
  <c r="R765" i="9"/>
  <c r="S765" i="9"/>
  <c r="T765" i="9"/>
  <c r="V765" i="9"/>
  <c r="X765" i="9"/>
  <c r="Z765" i="9"/>
  <c r="D766" i="9"/>
  <c r="F766" i="9"/>
  <c r="H766" i="9"/>
  <c r="J766" i="9"/>
  <c r="L766" i="9"/>
  <c r="M766" i="9"/>
  <c r="N766" i="9"/>
  <c r="P766" i="9"/>
  <c r="R766" i="9"/>
  <c r="S766" i="9"/>
  <c r="T766" i="9"/>
  <c r="V766" i="9"/>
  <c r="X766" i="9"/>
  <c r="Z766" i="9"/>
  <c r="D767" i="9"/>
  <c r="F767" i="9"/>
  <c r="H767" i="9"/>
  <c r="J767" i="9"/>
  <c r="L767" i="9"/>
  <c r="M767" i="9"/>
  <c r="N767" i="9"/>
  <c r="P767" i="9"/>
  <c r="R767" i="9"/>
  <c r="S767" i="9"/>
  <c r="T767" i="9"/>
  <c r="V767" i="9"/>
  <c r="X767" i="9"/>
  <c r="Z767" i="9"/>
  <c r="D768" i="9"/>
  <c r="F768" i="9"/>
  <c r="H768" i="9"/>
  <c r="J768" i="9"/>
  <c r="L768" i="9"/>
  <c r="M768" i="9"/>
  <c r="N768" i="9"/>
  <c r="P768" i="9"/>
  <c r="R768" i="9"/>
  <c r="S768" i="9"/>
  <c r="T768" i="9"/>
  <c r="V768" i="9"/>
  <c r="X768" i="9"/>
  <c r="Z768" i="9"/>
  <c r="D769" i="9"/>
  <c r="F769" i="9"/>
  <c r="H769" i="9"/>
  <c r="J769" i="9"/>
  <c r="L769" i="9"/>
  <c r="M769" i="9"/>
  <c r="N769" i="9"/>
  <c r="P769" i="9"/>
  <c r="R769" i="9"/>
  <c r="S769" i="9"/>
  <c r="T769" i="9"/>
  <c r="V769" i="9"/>
  <c r="X769" i="9"/>
  <c r="Z769" i="9"/>
  <c r="D770" i="9"/>
  <c r="F770" i="9"/>
  <c r="H770" i="9"/>
  <c r="J770" i="9"/>
  <c r="L770" i="9"/>
  <c r="M770" i="9"/>
  <c r="N770" i="9"/>
  <c r="P770" i="9"/>
  <c r="R770" i="9"/>
  <c r="S770" i="9"/>
  <c r="T770" i="9"/>
  <c r="V770" i="9"/>
  <c r="X770" i="9"/>
  <c r="Z770" i="9"/>
  <c r="D771" i="9"/>
  <c r="F771" i="9"/>
  <c r="H771" i="9"/>
  <c r="J771" i="9"/>
  <c r="L771" i="9"/>
  <c r="M771" i="9"/>
  <c r="N771" i="9"/>
  <c r="P771" i="9"/>
  <c r="R771" i="9"/>
  <c r="S771" i="9"/>
  <c r="T771" i="9"/>
  <c r="V771" i="9"/>
  <c r="X771" i="9"/>
  <c r="Z771" i="9"/>
  <c r="D772" i="9"/>
  <c r="F772" i="9"/>
  <c r="H772" i="9"/>
  <c r="J772" i="9"/>
  <c r="L772" i="9"/>
  <c r="M772" i="9"/>
  <c r="N772" i="9"/>
  <c r="P772" i="9"/>
  <c r="R772" i="9"/>
  <c r="S772" i="9"/>
  <c r="T772" i="9"/>
  <c r="V772" i="9"/>
  <c r="X772" i="9"/>
  <c r="Z772" i="9"/>
  <c r="D773" i="9"/>
  <c r="F773" i="9"/>
  <c r="H773" i="9"/>
  <c r="J773" i="9"/>
  <c r="L773" i="9"/>
  <c r="M773" i="9"/>
  <c r="N773" i="9"/>
  <c r="P773" i="9"/>
  <c r="R773" i="9"/>
  <c r="S773" i="9"/>
  <c r="T773" i="9"/>
  <c r="V773" i="9"/>
  <c r="X773" i="9"/>
  <c r="Z773" i="9"/>
  <c r="D774" i="9"/>
  <c r="F774" i="9"/>
  <c r="H774" i="9"/>
  <c r="J774" i="9"/>
  <c r="L774" i="9"/>
  <c r="M774" i="9"/>
  <c r="N774" i="9"/>
  <c r="P774" i="9"/>
  <c r="R774" i="9"/>
  <c r="S774" i="9"/>
  <c r="T774" i="9"/>
  <c r="V774" i="9"/>
  <c r="X774" i="9"/>
  <c r="Z774" i="9"/>
  <c r="D775" i="9"/>
  <c r="F775" i="9"/>
  <c r="H775" i="9"/>
  <c r="J775" i="9"/>
  <c r="L775" i="9"/>
  <c r="M775" i="9"/>
  <c r="N775" i="9"/>
  <c r="P775" i="9"/>
  <c r="R775" i="9"/>
  <c r="S775" i="9"/>
  <c r="T775" i="9"/>
  <c r="V775" i="9"/>
  <c r="X775" i="9"/>
  <c r="Z775" i="9"/>
  <c r="D776" i="9"/>
  <c r="F776" i="9"/>
  <c r="H776" i="9"/>
  <c r="J776" i="9"/>
  <c r="L776" i="9"/>
  <c r="M776" i="9"/>
  <c r="N776" i="9"/>
  <c r="P776" i="9"/>
  <c r="R776" i="9"/>
  <c r="S776" i="9"/>
  <c r="T776" i="9"/>
  <c r="V776" i="9"/>
  <c r="X776" i="9"/>
  <c r="Z776" i="9"/>
  <c r="D777" i="9"/>
  <c r="F777" i="9"/>
  <c r="H777" i="9"/>
  <c r="J777" i="9"/>
  <c r="L777" i="9"/>
  <c r="M777" i="9"/>
  <c r="N777" i="9"/>
  <c r="P777" i="9"/>
  <c r="R777" i="9"/>
  <c r="S777" i="9"/>
  <c r="T777" i="9"/>
  <c r="V777" i="9"/>
  <c r="X777" i="9"/>
  <c r="Z777" i="9"/>
  <c r="D778" i="9"/>
  <c r="F778" i="9"/>
  <c r="H778" i="9"/>
  <c r="J778" i="9"/>
  <c r="L778" i="9"/>
  <c r="M778" i="9"/>
  <c r="N778" i="9"/>
  <c r="P778" i="9"/>
  <c r="R778" i="9"/>
  <c r="S778" i="9"/>
  <c r="T778" i="9"/>
  <c r="V778" i="9"/>
  <c r="X778" i="9"/>
  <c r="Z778" i="9"/>
  <c r="D779" i="9"/>
  <c r="F779" i="9"/>
  <c r="H779" i="9"/>
  <c r="J779" i="9"/>
  <c r="L779" i="9"/>
  <c r="M779" i="9"/>
  <c r="N779" i="9"/>
  <c r="P779" i="9"/>
  <c r="R779" i="9"/>
  <c r="S779" i="9"/>
  <c r="T779" i="9"/>
  <c r="V779" i="9"/>
  <c r="X779" i="9"/>
  <c r="Z779" i="9"/>
  <c r="D780" i="9"/>
  <c r="F780" i="9"/>
  <c r="H780" i="9"/>
  <c r="J780" i="9"/>
  <c r="L780" i="9"/>
  <c r="M780" i="9"/>
  <c r="N780" i="9"/>
  <c r="P780" i="9"/>
  <c r="R780" i="9"/>
  <c r="S780" i="9"/>
  <c r="T780" i="9"/>
  <c r="V780" i="9"/>
  <c r="X780" i="9"/>
  <c r="Z780" i="9"/>
  <c r="D781" i="9"/>
  <c r="F781" i="9"/>
  <c r="H781" i="9"/>
  <c r="J781" i="9"/>
  <c r="L781" i="9"/>
  <c r="M781" i="9"/>
  <c r="N781" i="9"/>
  <c r="P781" i="9"/>
  <c r="R781" i="9"/>
  <c r="S781" i="9"/>
  <c r="T781" i="9"/>
  <c r="V781" i="9"/>
  <c r="X781" i="9"/>
  <c r="Z781" i="9"/>
  <c r="D782" i="9"/>
  <c r="F782" i="9"/>
  <c r="H782" i="9"/>
  <c r="J782" i="9"/>
  <c r="L782" i="9"/>
  <c r="M782" i="9"/>
  <c r="N782" i="9"/>
  <c r="P782" i="9"/>
  <c r="R782" i="9"/>
  <c r="S782" i="9"/>
  <c r="T782" i="9"/>
  <c r="V782" i="9"/>
  <c r="X782" i="9"/>
  <c r="Z782" i="9"/>
  <c r="D783" i="9"/>
  <c r="F783" i="9"/>
  <c r="H783" i="9"/>
  <c r="J783" i="9"/>
  <c r="L783" i="9"/>
  <c r="M783" i="9"/>
  <c r="N783" i="9"/>
  <c r="P783" i="9"/>
  <c r="R783" i="9"/>
  <c r="S783" i="9"/>
  <c r="T783" i="9"/>
  <c r="V783" i="9"/>
  <c r="X783" i="9"/>
  <c r="Z783" i="9"/>
  <c r="D784" i="9"/>
  <c r="F784" i="9"/>
  <c r="H784" i="9"/>
  <c r="J784" i="9"/>
  <c r="L784" i="9"/>
  <c r="M784" i="9"/>
  <c r="N784" i="9"/>
  <c r="P784" i="9"/>
  <c r="R784" i="9"/>
  <c r="S784" i="9"/>
  <c r="T784" i="9"/>
  <c r="V784" i="9"/>
  <c r="X784" i="9"/>
  <c r="Z784" i="9"/>
  <c r="D785" i="9"/>
  <c r="F785" i="9"/>
  <c r="H785" i="9"/>
  <c r="J785" i="9"/>
  <c r="L785" i="9"/>
  <c r="M785" i="9"/>
  <c r="N785" i="9"/>
  <c r="P785" i="9"/>
  <c r="R785" i="9"/>
  <c r="S785" i="9"/>
  <c r="T785" i="9"/>
  <c r="V785" i="9"/>
  <c r="X785" i="9"/>
  <c r="Z785" i="9"/>
  <c r="D786" i="9"/>
  <c r="F786" i="9"/>
  <c r="H786" i="9"/>
  <c r="J786" i="9"/>
  <c r="L786" i="9"/>
  <c r="M786" i="9"/>
  <c r="N786" i="9"/>
  <c r="P786" i="9"/>
  <c r="R786" i="9"/>
  <c r="S786" i="9"/>
  <c r="T786" i="9"/>
  <c r="V786" i="9"/>
  <c r="X786" i="9"/>
  <c r="Z786" i="9"/>
  <c r="D787" i="9"/>
  <c r="F787" i="9"/>
  <c r="H787" i="9"/>
  <c r="J787" i="9"/>
  <c r="L787" i="9"/>
  <c r="M787" i="9"/>
  <c r="N787" i="9"/>
  <c r="P787" i="9"/>
  <c r="R787" i="9"/>
  <c r="S787" i="9"/>
  <c r="T787" i="9"/>
  <c r="V787" i="9"/>
  <c r="X787" i="9"/>
  <c r="Z787" i="9"/>
  <c r="D788" i="9"/>
  <c r="F788" i="9"/>
  <c r="H788" i="9"/>
  <c r="J788" i="9"/>
  <c r="L788" i="9"/>
  <c r="M788" i="9"/>
  <c r="N788" i="9"/>
  <c r="P788" i="9"/>
  <c r="R788" i="9"/>
  <c r="S788" i="9"/>
  <c r="T788" i="9"/>
  <c r="V788" i="9"/>
  <c r="X788" i="9"/>
  <c r="Z788" i="9"/>
  <c r="D789" i="9"/>
  <c r="F789" i="9"/>
  <c r="H789" i="9"/>
  <c r="J789" i="9"/>
  <c r="L789" i="9"/>
  <c r="M789" i="9"/>
  <c r="N789" i="9"/>
  <c r="P789" i="9"/>
  <c r="R789" i="9"/>
  <c r="S789" i="9"/>
  <c r="T789" i="9"/>
  <c r="V789" i="9"/>
  <c r="X789" i="9"/>
  <c r="Z789" i="9"/>
  <c r="D790" i="9"/>
  <c r="F790" i="9"/>
  <c r="H790" i="9"/>
  <c r="J790" i="9"/>
  <c r="L790" i="9"/>
  <c r="M790" i="9"/>
  <c r="N790" i="9"/>
  <c r="P790" i="9"/>
  <c r="R790" i="9"/>
  <c r="S790" i="9"/>
  <c r="T790" i="9"/>
  <c r="V790" i="9"/>
  <c r="X790" i="9"/>
  <c r="Z790" i="9"/>
  <c r="D791" i="9"/>
  <c r="F791" i="9"/>
  <c r="H791" i="9"/>
  <c r="J791" i="9"/>
  <c r="L791" i="9"/>
  <c r="M791" i="9"/>
  <c r="N791" i="9"/>
  <c r="P791" i="9"/>
  <c r="R791" i="9"/>
  <c r="S791" i="9"/>
  <c r="T791" i="9"/>
  <c r="V791" i="9"/>
  <c r="X791" i="9"/>
  <c r="Z791" i="9"/>
  <c r="D792" i="9"/>
  <c r="F792" i="9"/>
  <c r="H792" i="9"/>
  <c r="J792" i="9"/>
  <c r="L792" i="9"/>
  <c r="M792" i="9"/>
  <c r="N792" i="9"/>
  <c r="P792" i="9"/>
  <c r="R792" i="9"/>
  <c r="S792" i="9"/>
  <c r="T792" i="9"/>
  <c r="V792" i="9"/>
  <c r="X792" i="9"/>
  <c r="Z792" i="9"/>
  <c r="D793" i="9"/>
  <c r="F793" i="9"/>
  <c r="H793" i="9"/>
  <c r="J793" i="9"/>
  <c r="L793" i="9"/>
  <c r="M793" i="9"/>
  <c r="N793" i="9"/>
  <c r="P793" i="9"/>
  <c r="R793" i="9"/>
  <c r="S793" i="9"/>
  <c r="T793" i="9"/>
  <c r="V793" i="9"/>
  <c r="X793" i="9"/>
  <c r="Z793" i="9"/>
  <c r="D794" i="9"/>
  <c r="F794" i="9"/>
  <c r="H794" i="9"/>
  <c r="J794" i="9"/>
  <c r="L794" i="9"/>
  <c r="M794" i="9"/>
  <c r="N794" i="9"/>
  <c r="P794" i="9"/>
  <c r="R794" i="9"/>
  <c r="S794" i="9"/>
  <c r="T794" i="9"/>
  <c r="V794" i="9"/>
  <c r="X794" i="9"/>
  <c r="Z794" i="9"/>
  <c r="D795" i="9"/>
  <c r="F795" i="9"/>
  <c r="H795" i="9"/>
  <c r="J795" i="9"/>
  <c r="L795" i="9"/>
  <c r="M795" i="9"/>
  <c r="N795" i="9"/>
  <c r="P795" i="9"/>
  <c r="R795" i="9"/>
  <c r="S795" i="9"/>
  <c r="T795" i="9"/>
  <c r="V795" i="9"/>
  <c r="X795" i="9"/>
  <c r="Z795" i="9"/>
  <c r="D796" i="9"/>
  <c r="F796" i="9"/>
  <c r="H796" i="9"/>
  <c r="J796" i="9"/>
  <c r="L796" i="9"/>
  <c r="M796" i="9"/>
  <c r="N796" i="9"/>
  <c r="P796" i="9"/>
  <c r="R796" i="9"/>
  <c r="S796" i="9"/>
  <c r="T796" i="9"/>
  <c r="V796" i="9"/>
  <c r="X796" i="9"/>
  <c r="Z796" i="9"/>
  <c r="D797" i="9"/>
  <c r="F797" i="9"/>
  <c r="H797" i="9"/>
  <c r="J797" i="9"/>
  <c r="L797" i="9"/>
  <c r="M797" i="9"/>
  <c r="N797" i="9"/>
  <c r="P797" i="9"/>
  <c r="R797" i="9"/>
  <c r="S797" i="9"/>
  <c r="T797" i="9"/>
  <c r="V797" i="9"/>
  <c r="X797" i="9"/>
  <c r="Z797" i="9"/>
  <c r="D798" i="9"/>
  <c r="F798" i="9"/>
  <c r="H798" i="9"/>
  <c r="J798" i="9"/>
  <c r="L798" i="9"/>
  <c r="M798" i="9"/>
  <c r="N798" i="9"/>
  <c r="P798" i="9"/>
  <c r="R798" i="9"/>
  <c r="S798" i="9"/>
  <c r="T798" i="9"/>
  <c r="V798" i="9"/>
  <c r="X798" i="9"/>
  <c r="Z798" i="9"/>
  <c r="D799" i="9"/>
  <c r="F799" i="9"/>
  <c r="H799" i="9"/>
  <c r="J799" i="9"/>
  <c r="L799" i="9"/>
  <c r="M799" i="9"/>
  <c r="N799" i="9"/>
  <c r="P799" i="9"/>
  <c r="R799" i="9"/>
  <c r="S799" i="9"/>
  <c r="T799" i="9"/>
  <c r="V799" i="9"/>
  <c r="X799" i="9"/>
  <c r="Z799" i="9"/>
  <c r="D800" i="9"/>
  <c r="F800" i="9"/>
  <c r="H800" i="9"/>
  <c r="J800" i="9"/>
  <c r="L800" i="9"/>
  <c r="M800" i="9"/>
  <c r="N800" i="9"/>
  <c r="P800" i="9"/>
  <c r="R800" i="9"/>
  <c r="S800" i="9"/>
  <c r="T800" i="9"/>
  <c r="V800" i="9"/>
  <c r="X800" i="9"/>
  <c r="Z800" i="9"/>
  <c r="D801" i="9"/>
  <c r="F801" i="9"/>
  <c r="H801" i="9"/>
  <c r="J801" i="9"/>
  <c r="L801" i="9"/>
  <c r="M801" i="9"/>
  <c r="N801" i="9"/>
  <c r="P801" i="9"/>
  <c r="R801" i="9"/>
  <c r="S801" i="9"/>
  <c r="T801" i="9"/>
  <c r="V801" i="9"/>
  <c r="X801" i="9"/>
  <c r="Z801" i="9"/>
  <c r="D802" i="9"/>
  <c r="F802" i="9"/>
  <c r="H802" i="9"/>
  <c r="J802" i="9"/>
  <c r="L802" i="9"/>
  <c r="M802" i="9"/>
  <c r="N802" i="9"/>
  <c r="P802" i="9"/>
  <c r="R802" i="9"/>
  <c r="S802" i="9"/>
  <c r="T802" i="9"/>
  <c r="V802" i="9"/>
  <c r="X802" i="9"/>
  <c r="Z802" i="9"/>
  <c r="D803" i="9"/>
  <c r="F803" i="9"/>
  <c r="H803" i="9"/>
  <c r="J803" i="9"/>
  <c r="L803" i="9"/>
  <c r="M803" i="9"/>
  <c r="N803" i="9"/>
  <c r="P803" i="9"/>
  <c r="R803" i="9"/>
  <c r="S803" i="9"/>
  <c r="T803" i="9"/>
  <c r="V803" i="9"/>
  <c r="X803" i="9"/>
  <c r="Z803" i="9"/>
  <c r="D804" i="9"/>
  <c r="F804" i="9"/>
  <c r="H804" i="9"/>
  <c r="J804" i="9"/>
  <c r="L804" i="9"/>
  <c r="M804" i="9"/>
  <c r="N804" i="9"/>
  <c r="P804" i="9"/>
  <c r="R804" i="9"/>
  <c r="S804" i="9"/>
  <c r="T804" i="9"/>
  <c r="V804" i="9"/>
  <c r="X804" i="9"/>
  <c r="Z804" i="9"/>
  <c r="D805" i="9"/>
  <c r="F805" i="9"/>
  <c r="H805" i="9"/>
  <c r="J805" i="9"/>
  <c r="L805" i="9"/>
  <c r="M805" i="9"/>
  <c r="N805" i="9"/>
  <c r="P805" i="9"/>
  <c r="R805" i="9"/>
  <c r="S805" i="9"/>
  <c r="T805" i="9"/>
  <c r="V805" i="9"/>
  <c r="X805" i="9"/>
  <c r="Z805" i="9"/>
  <c r="D806" i="9"/>
  <c r="F806" i="9"/>
  <c r="H806" i="9"/>
  <c r="J806" i="9"/>
  <c r="L806" i="9"/>
  <c r="M806" i="9"/>
  <c r="N806" i="9"/>
  <c r="P806" i="9"/>
  <c r="R806" i="9"/>
  <c r="S806" i="9"/>
  <c r="T806" i="9"/>
  <c r="V806" i="9"/>
  <c r="X806" i="9"/>
  <c r="Z806" i="9"/>
  <c r="D807" i="9"/>
  <c r="F807" i="9"/>
  <c r="H807" i="9"/>
  <c r="J807" i="9"/>
  <c r="L807" i="9"/>
  <c r="M807" i="9"/>
  <c r="N807" i="9"/>
  <c r="P807" i="9"/>
  <c r="R807" i="9"/>
  <c r="S807" i="9"/>
  <c r="T807" i="9"/>
  <c r="V807" i="9"/>
  <c r="X807" i="9"/>
  <c r="Z807" i="9"/>
  <c r="D808" i="9"/>
  <c r="F808" i="9"/>
  <c r="H808" i="9"/>
  <c r="J808" i="9"/>
  <c r="L808" i="9"/>
  <c r="M808" i="9"/>
  <c r="N808" i="9"/>
  <c r="P808" i="9"/>
  <c r="R808" i="9"/>
  <c r="S808" i="9"/>
  <c r="T808" i="9"/>
  <c r="V808" i="9"/>
  <c r="X808" i="9"/>
  <c r="Z808" i="9"/>
  <c r="D809" i="9"/>
  <c r="F809" i="9"/>
  <c r="H809" i="9"/>
  <c r="J809" i="9"/>
  <c r="L809" i="9"/>
  <c r="M809" i="9"/>
  <c r="N809" i="9"/>
  <c r="P809" i="9"/>
  <c r="R809" i="9"/>
  <c r="S809" i="9"/>
  <c r="T809" i="9"/>
  <c r="V809" i="9"/>
  <c r="X809" i="9"/>
  <c r="Z809" i="9"/>
  <c r="D810" i="9"/>
  <c r="F810" i="9"/>
  <c r="H810" i="9"/>
  <c r="J810" i="9"/>
  <c r="L810" i="9"/>
  <c r="M810" i="9"/>
  <c r="N810" i="9"/>
  <c r="P810" i="9"/>
  <c r="R810" i="9"/>
  <c r="S810" i="9"/>
  <c r="T810" i="9"/>
  <c r="V810" i="9"/>
  <c r="X810" i="9"/>
  <c r="Z810" i="9"/>
  <c r="D811" i="9"/>
  <c r="F811" i="9"/>
  <c r="H811" i="9"/>
  <c r="J811" i="9"/>
  <c r="L811" i="9"/>
  <c r="M811" i="9"/>
  <c r="N811" i="9"/>
  <c r="P811" i="9"/>
  <c r="R811" i="9"/>
  <c r="S811" i="9"/>
  <c r="T811" i="9"/>
  <c r="V811" i="9"/>
  <c r="X811" i="9"/>
  <c r="Z811" i="9"/>
  <c r="D812" i="9"/>
  <c r="F812" i="9"/>
  <c r="H812" i="9"/>
  <c r="J812" i="9"/>
  <c r="L812" i="9"/>
  <c r="M812" i="9"/>
  <c r="N812" i="9"/>
  <c r="P812" i="9"/>
  <c r="R812" i="9"/>
  <c r="S812" i="9"/>
  <c r="T812" i="9"/>
  <c r="V812" i="9"/>
  <c r="X812" i="9"/>
  <c r="Z812" i="9"/>
  <c r="D813" i="9"/>
  <c r="F813" i="9"/>
  <c r="H813" i="9"/>
  <c r="J813" i="9"/>
  <c r="L813" i="9"/>
  <c r="M813" i="9"/>
  <c r="N813" i="9"/>
  <c r="P813" i="9"/>
  <c r="R813" i="9"/>
  <c r="S813" i="9"/>
  <c r="T813" i="9"/>
  <c r="V813" i="9"/>
  <c r="X813" i="9"/>
  <c r="Z813" i="9"/>
  <c r="D814" i="9"/>
  <c r="F814" i="9"/>
  <c r="H814" i="9"/>
  <c r="J814" i="9"/>
  <c r="L814" i="9"/>
  <c r="M814" i="9"/>
  <c r="N814" i="9"/>
  <c r="P814" i="9"/>
  <c r="R814" i="9"/>
  <c r="S814" i="9"/>
  <c r="T814" i="9"/>
  <c r="V814" i="9"/>
  <c r="X814" i="9"/>
  <c r="Z814" i="9"/>
  <c r="D815" i="9"/>
  <c r="F815" i="9"/>
  <c r="H815" i="9"/>
  <c r="J815" i="9"/>
  <c r="L815" i="9"/>
  <c r="M815" i="9"/>
  <c r="N815" i="9"/>
  <c r="P815" i="9"/>
  <c r="R815" i="9"/>
  <c r="S815" i="9"/>
  <c r="T815" i="9"/>
  <c r="V815" i="9"/>
  <c r="X815" i="9"/>
  <c r="Z815" i="9"/>
  <c r="D816" i="9"/>
  <c r="F816" i="9"/>
  <c r="H816" i="9"/>
  <c r="J816" i="9"/>
  <c r="L816" i="9"/>
  <c r="M816" i="9"/>
  <c r="N816" i="9"/>
  <c r="P816" i="9"/>
  <c r="R816" i="9"/>
  <c r="S816" i="9"/>
  <c r="T816" i="9"/>
  <c r="V816" i="9"/>
  <c r="X816" i="9"/>
  <c r="Z816" i="9"/>
  <c r="D817" i="9"/>
  <c r="F817" i="9"/>
  <c r="H817" i="9"/>
  <c r="J817" i="9"/>
  <c r="L817" i="9"/>
  <c r="M817" i="9"/>
  <c r="N817" i="9"/>
  <c r="P817" i="9"/>
  <c r="R817" i="9"/>
  <c r="S817" i="9"/>
  <c r="T817" i="9"/>
  <c r="V817" i="9"/>
  <c r="X817" i="9"/>
  <c r="Z817" i="9"/>
  <c r="D818" i="9"/>
  <c r="F818" i="9"/>
  <c r="H818" i="9"/>
  <c r="J818" i="9"/>
  <c r="L818" i="9"/>
  <c r="M818" i="9"/>
  <c r="N818" i="9"/>
  <c r="P818" i="9"/>
  <c r="R818" i="9"/>
  <c r="S818" i="9"/>
  <c r="T818" i="9"/>
  <c r="V818" i="9"/>
  <c r="X818" i="9"/>
  <c r="Z818" i="9"/>
  <c r="D819" i="9"/>
  <c r="F819" i="9"/>
  <c r="H819" i="9"/>
  <c r="J819" i="9"/>
  <c r="L819" i="9"/>
  <c r="M819" i="9"/>
  <c r="N819" i="9"/>
  <c r="P819" i="9"/>
  <c r="R819" i="9"/>
  <c r="S819" i="9"/>
  <c r="T819" i="9"/>
  <c r="V819" i="9"/>
  <c r="X819" i="9"/>
  <c r="Z819" i="9"/>
  <c r="D820" i="9"/>
  <c r="F820" i="9"/>
  <c r="H820" i="9"/>
  <c r="J820" i="9"/>
  <c r="L820" i="9"/>
  <c r="M820" i="9"/>
  <c r="N820" i="9"/>
  <c r="P820" i="9"/>
  <c r="R820" i="9"/>
  <c r="S820" i="9"/>
  <c r="T820" i="9"/>
  <c r="V820" i="9"/>
  <c r="X820" i="9"/>
  <c r="Z820" i="9"/>
  <c r="D821" i="9"/>
  <c r="F821" i="9"/>
  <c r="H821" i="9"/>
  <c r="J821" i="9"/>
  <c r="L821" i="9"/>
  <c r="M821" i="9"/>
  <c r="N821" i="9"/>
  <c r="P821" i="9"/>
  <c r="R821" i="9"/>
  <c r="S821" i="9"/>
  <c r="T821" i="9"/>
  <c r="V821" i="9"/>
  <c r="X821" i="9"/>
  <c r="Z821" i="9"/>
  <c r="D822" i="9"/>
  <c r="F822" i="9"/>
  <c r="H822" i="9"/>
  <c r="J822" i="9"/>
  <c r="L822" i="9"/>
  <c r="M822" i="9"/>
  <c r="N822" i="9"/>
  <c r="P822" i="9"/>
  <c r="R822" i="9"/>
  <c r="S822" i="9"/>
  <c r="T822" i="9"/>
  <c r="V822" i="9"/>
  <c r="X822" i="9"/>
  <c r="Z822" i="9"/>
  <c r="D823" i="9"/>
  <c r="F823" i="9"/>
  <c r="H823" i="9"/>
  <c r="J823" i="9"/>
  <c r="L823" i="9"/>
  <c r="M823" i="9"/>
  <c r="N823" i="9"/>
  <c r="P823" i="9"/>
  <c r="R823" i="9"/>
  <c r="S823" i="9"/>
  <c r="T823" i="9"/>
  <c r="V823" i="9"/>
  <c r="X823" i="9"/>
  <c r="Z823" i="9"/>
  <c r="D824" i="9"/>
  <c r="F824" i="9"/>
  <c r="H824" i="9"/>
  <c r="J824" i="9"/>
  <c r="L824" i="9"/>
  <c r="M824" i="9"/>
  <c r="N824" i="9"/>
  <c r="P824" i="9"/>
  <c r="R824" i="9"/>
  <c r="S824" i="9"/>
  <c r="T824" i="9"/>
  <c r="V824" i="9"/>
  <c r="X824" i="9"/>
  <c r="Z824" i="9"/>
  <c r="D825" i="9"/>
  <c r="F825" i="9"/>
  <c r="H825" i="9"/>
  <c r="J825" i="9"/>
  <c r="L825" i="9"/>
  <c r="M825" i="9"/>
  <c r="N825" i="9"/>
  <c r="P825" i="9"/>
  <c r="R825" i="9"/>
  <c r="S825" i="9"/>
  <c r="T825" i="9"/>
  <c r="V825" i="9"/>
  <c r="X825" i="9"/>
  <c r="Z825" i="9"/>
  <c r="D826" i="9"/>
  <c r="F826" i="9"/>
  <c r="H826" i="9"/>
  <c r="J826" i="9"/>
  <c r="L826" i="9"/>
  <c r="M826" i="9"/>
  <c r="N826" i="9"/>
  <c r="P826" i="9"/>
  <c r="R826" i="9"/>
  <c r="S826" i="9"/>
  <c r="T826" i="9"/>
  <c r="V826" i="9"/>
  <c r="X826" i="9"/>
  <c r="Z826" i="9"/>
  <c r="D827" i="9"/>
  <c r="F827" i="9"/>
  <c r="H827" i="9"/>
  <c r="J827" i="9"/>
  <c r="L827" i="9"/>
  <c r="M827" i="9"/>
  <c r="N827" i="9"/>
  <c r="P827" i="9"/>
  <c r="R827" i="9"/>
  <c r="S827" i="9"/>
  <c r="T827" i="9"/>
  <c r="V827" i="9"/>
  <c r="X827" i="9"/>
  <c r="Z827" i="9"/>
  <c r="D828" i="9"/>
  <c r="F828" i="9"/>
  <c r="H828" i="9"/>
  <c r="J828" i="9"/>
  <c r="L828" i="9"/>
  <c r="M828" i="9"/>
  <c r="N828" i="9"/>
  <c r="P828" i="9"/>
  <c r="R828" i="9"/>
  <c r="S828" i="9"/>
  <c r="T828" i="9"/>
  <c r="V828" i="9"/>
  <c r="X828" i="9"/>
  <c r="Z828" i="9"/>
  <c r="D829" i="9"/>
  <c r="F829" i="9"/>
  <c r="H829" i="9"/>
  <c r="J829" i="9"/>
  <c r="L829" i="9"/>
  <c r="M829" i="9"/>
  <c r="N829" i="9"/>
  <c r="P829" i="9"/>
  <c r="R829" i="9"/>
  <c r="S829" i="9"/>
  <c r="T829" i="9"/>
  <c r="V829" i="9"/>
  <c r="X829" i="9"/>
  <c r="Z829" i="9"/>
  <c r="D830" i="9"/>
  <c r="F830" i="9"/>
  <c r="H830" i="9"/>
  <c r="J830" i="9"/>
  <c r="L830" i="9"/>
  <c r="M830" i="9"/>
  <c r="N830" i="9"/>
  <c r="P830" i="9"/>
  <c r="R830" i="9"/>
  <c r="S830" i="9"/>
  <c r="T830" i="9"/>
  <c r="V830" i="9"/>
  <c r="X830" i="9"/>
  <c r="Z830" i="9"/>
  <c r="D831" i="9"/>
  <c r="F831" i="9"/>
  <c r="H831" i="9"/>
  <c r="J831" i="9"/>
  <c r="L831" i="9"/>
  <c r="M831" i="9"/>
  <c r="N831" i="9"/>
  <c r="P831" i="9"/>
  <c r="R831" i="9"/>
  <c r="S831" i="9"/>
  <c r="T831" i="9"/>
  <c r="V831" i="9"/>
  <c r="X831" i="9"/>
  <c r="Z831" i="9"/>
  <c r="D832" i="9"/>
  <c r="F832" i="9"/>
  <c r="H832" i="9"/>
  <c r="J832" i="9"/>
  <c r="L832" i="9"/>
  <c r="M832" i="9"/>
  <c r="N832" i="9"/>
  <c r="P832" i="9"/>
  <c r="R832" i="9"/>
  <c r="S832" i="9"/>
  <c r="T832" i="9"/>
  <c r="V832" i="9"/>
  <c r="X832" i="9"/>
  <c r="Z832" i="9"/>
  <c r="D833" i="9"/>
  <c r="F833" i="9"/>
  <c r="H833" i="9"/>
  <c r="J833" i="9"/>
  <c r="L833" i="9"/>
  <c r="M833" i="9"/>
  <c r="N833" i="9"/>
  <c r="P833" i="9"/>
  <c r="R833" i="9"/>
  <c r="S833" i="9"/>
  <c r="T833" i="9"/>
  <c r="V833" i="9"/>
  <c r="X833" i="9"/>
  <c r="Z833" i="9"/>
  <c r="D834" i="9"/>
  <c r="F834" i="9"/>
  <c r="H834" i="9"/>
  <c r="J834" i="9"/>
  <c r="L834" i="9"/>
  <c r="M834" i="9"/>
  <c r="N834" i="9"/>
  <c r="P834" i="9"/>
  <c r="R834" i="9"/>
  <c r="S834" i="9"/>
  <c r="T834" i="9"/>
  <c r="V834" i="9"/>
  <c r="X834" i="9"/>
  <c r="Z834" i="9"/>
  <c r="D835" i="9"/>
  <c r="F835" i="9"/>
  <c r="H835" i="9"/>
  <c r="J835" i="9"/>
  <c r="L835" i="9"/>
  <c r="M835" i="9"/>
  <c r="N835" i="9"/>
  <c r="P835" i="9"/>
  <c r="R835" i="9"/>
  <c r="S835" i="9"/>
  <c r="T835" i="9"/>
  <c r="V835" i="9"/>
  <c r="X835" i="9"/>
  <c r="Z835" i="9"/>
  <c r="D836" i="9"/>
  <c r="F836" i="9"/>
  <c r="H836" i="9"/>
  <c r="J836" i="9"/>
  <c r="L836" i="9"/>
  <c r="M836" i="9"/>
  <c r="N836" i="9"/>
  <c r="P836" i="9"/>
  <c r="R836" i="9"/>
  <c r="S836" i="9"/>
  <c r="T836" i="9"/>
  <c r="V836" i="9"/>
  <c r="X836" i="9"/>
  <c r="Z836" i="9"/>
  <c r="D837" i="9"/>
  <c r="F837" i="9"/>
  <c r="H837" i="9"/>
  <c r="J837" i="9"/>
  <c r="L837" i="9"/>
  <c r="M837" i="9"/>
  <c r="N837" i="9"/>
  <c r="P837" i="9"/>
  <c r="R837" i="9"/>
  <c r="S837" i="9"/>
  <c r="T837" i="9"/>
  <c r="V837" i="9"/>
  <c r="X837" i="9"/>
  <c r="Z837" i="9"/>
  <c r="D838" i="9"/>
  <c r="F838" i="9"/>
  <c r="H838" i="9"/>
  <c r="J838" i="9"/>
  <c r="L838" i="9"/>
  <c r="M838" i="9"/>
  <c r="N838" i="9"/>
  <c r="P838" i="9"/>
  <c r="R838" i="9"/>
  <c r="S838" i="9"/>
  <c r="T838" i="9"/>
  <c r="V838" i="9"/>
  <c r="X838" i="9"/>
  <c r="Z838" i="9"/>
  <c r="D839" i="9"/>
  <c r="F839" i="9"/>
  <c r="H839" i="9"/>
  <c r="J839" i="9"/>
  <c r="L839" i="9"/>
  <c r="M839" i="9"/>
  <c r="N839" i="9"/>
  <c r="P839" i="9"/>
  <c r="R839" i="9"/>
  <c r="S839" i="9"/>
  <c r="T839" i="9"/>
  <c r="V839" i="9"/>
  <c r="X839" i="9"/>
  <c r="Z839" i="9"/>
  <c r="D840" i="9"/>
  <c r="F840" i="9"/>
  <c r="H840" i="9"/>
  <c r="J840" i="9"/>
  <c r="L840" i="9"/>
  <c r="M840" i="9"/>
  <c r="N840" i="9"/>
  <c r="P840" i="9"/>
  <c r="R840" i="9"/>
  <c r="S840" i="9"/>
  <c r="T840" i="9"/>
  <c r="V840" i="9"/>
  <c r="X840" i="9"/>
  <c r="Z840" i="9"/>
  <c r="D841" i="9"/>
  <c r="F841" i="9"/>
  <c r="H841" i="9"/>
  <c r="J841" i="9"/>
  <c r="L841" i="9"/>
  <c r="M841" i="9"/>
  <c r="N841" i="9"/>
  <c r="P841" i="9"/>
  <c r="R841" i="9"/>
  <c r="S841" i="9"/>
  <c r="T841" i="9"/>
  <c r="V841" i="9"/>
  <c r="X841" i="9"/>
  <c r="Z841" i="9"/>
  <c r="D842" i="9"/>
  <c r="F842" i="9"/>
  <c r="H842" i="9"/>
  <c r="J842" i="9"/>
  <c r="L842" i="9"/>
  <c r="M842" i="9"/>
  <c r="N842" i="9"/>
  <c r="P842" i="9"/>
  <c r="R842" i="9"/>
  <c r="S842" i="9"/>
  <c r="T842" i="9"/>
  <c r="V842" i="9"/>
  <c r="X842" i="9"/>
  <c r="Z842" i="9"/>
  <c r="D843" i="9"/>
  <c r="F843" i="9"/>
  <c r="H843" i="9"/>
  <c r="J843" i="9"/>
  <c r="L843" i="9"/>
  <c r="M843" i="9"/>
  <c r="N843" i="9"/>
  <c r="P843" i="9"/>
  <c r="R843" i="9"/>
  <c r="S843" i="9"/>
  <c r="T843" i="9"/>
  <c r="V843" i="9"/>
  <c r="X843" i="9"/>
  <c r="Z843" i="9"/>
  <c r="D844" i="9"/>
  <c r="F844" i="9"/>
  <c r="H844" i="9"/>
  <c r="J844" i="9"/>
  <c r="L844" i="9"/>
  <c r="M844" i="9"/>
  <c r="N844" i="9"/>
  <c r="P844" i="9"/>
  <c r="R844" i="9"/>
  <c r="S844" i="9"/>
  <c r="T844" i="9"/>
  <c r="V844" i="9"/>
  <c r="X844" i="9"/>
  <c r="Z844" i="9"/>
  <c r="D845" i="9"/>
  <c r="F845" i="9"/>
  <c r="H845" i="9"/>
  <c r="J845" i="9"/>
  <c r="L845" i="9"/>
  <c r="M845" i="9"/>
  <c r="N845" i="9"/>
  <c r="P845" i="9"/>
  <c r="R845" i="9"/>
  <c r="S845" i="9"/>
  <c r="T845" i="9"/>
  <c r="V845" i="9"/>
  <c r="X845" i="9"/>
  <c r="Z845" i="9"/>
  <c r="D846" i="9"/>
  <c r="F846" i="9"/>
  <c r="H846" i="9"/>
  <c r="J846" i="9"/>
  <c r="L846" i="9"/>
  <c r="M846" i="9"/>
  <c r="N846" i="9"/>
  <c r="P846" i="9"/>
  <c r="R846" i="9"/>
  <c r="S846" i="9"/>
  <c r="T846" i="9"/>
  <c r="V846" i="9"/>
  <c r="X846" i="9"/>
  <c r="Z846" i="9"/>
  <c r="D847" i="9"/>
  <c r="F847" i="9"/>
  <c r="H847" i="9"/>
  <c r="J847" i="9"/>
  <c r="L847" i="9"/>
  <c r="M847" i="9"/>
  <c r="N847" i="9"/>
  <c r="P847" i="9"/>
  <c r="R847" i="9"/>
  <c r="S847" i="9"/>
  <c r="T847" i="9"/>
  <c r="V847" i="9"/>
  <c r="X847" i="9"/>
  <c r="Z847" i="9"/>
  <c r="D848" i="9"/>
  <c r="F848" i="9"/>
  <c r="H848" i="9"/>
  <c r="J848" i="9"/>
  <c r="L848" i="9"/>
  <c r="M848" i="9"/>
  <c r="N848" i="9"/>
  <c r="P848" i="9"/>
  <c r="R848" i="9"/>
  <c r="S848" i="9"/>
  <c r="T848" i="9"/>
  <c r="V848" i="9"/>
  <c r="X848" i="9"/>
  <c r="Z848" i="9"/>
  <c r="D849" i="9"/>
  <c r="F849" i="9"/>
  <c r="H849" i="9"/>
  <c r="J849" i="9"/>
  <c r="L849" i="9"/>
  <c r="M849" i="9"/>
  <c r="N849" i="9"/>
  <c r="P849" i="9"/>
  <c r="R849" i="9"/>
  <c r="S849" i="9"/>
  <c r="T849" i="9"/>
  <c r="V849" i="9"/>
  <c r="X849" i="9"/>
  <c r="Z849" i="9"/>
  <c r="D850" i="9"/>
  <c r="F850" i="9"/>
  <c r="H850" i="9"/>
  <c r="J850" i="9"/>
  <c r="L850" i="9"/>
  <c r="M850" i="9"/>
  <c r="N850" i="9"/>
  <c r="P850" i="9"/>
  <c r="R850" i="9"/>
  <c r="S850" i="9"/>
  <c r="T850" i="9"/>
  <c r="V850" i="9"/>
  <c r="X850" i="9"/>
  <c r="Z850" i="9"/>
  <c r="D851" i="9"/>
  <c r="F851" i="9"/>
  <c r="H851" i="9"/>
  <c r="J851" i="9"/>
  <c r="L851" i="9"/>
  <c r="M851" i="9"/>
  <c r="N851" i="9"/>
  <c r="P851" i="9"/>
  <c r="R851" i="9"/>
  <c r="S851" i="9"/>
  <c r="T851" i="9"/>
  <c r="V851" i="9"/>
  <c r="X851" i="9"/>
  <c r="Z851" i="9"/>
  <c r="D852" i="9"/>
  <c r="F852" i="9"/>
  <c r="H852" i="9"/>
  <c r="J852" i="9"/>
  <c r="L852" i="9"/>
  <c r="M852" i="9"/>
  <c r="N852" i="9"/>
  <c r="P852" i="9"/>
  <c r="R852" i="9"/>
  <c r="S852" i="9"/>
  <c r="T852" i="9"/>
  <c r="V852" i="9"/>
  <c r="X852" i="9"/>
  <c r="Z852" i="9"/>
  <c r="D853" i="9"/>
  <c r="F853" i="9"/>
  <c r="H853" i="9"/>
  <c r="J853" i="9"/>
  <c r="L853" i="9"/>
  <c r="M853" i="9"/>
  <c r="N853" i="9"/>
  <c r="P853" i="9"/>
  <c r="R853" i="9"/>
  <c r="S853" i="9"/>
  <c r="T853" i="9"/>
  <c r="V853" i="9"/>
  <c r="X853" i="9"/>
  <c r="Z853" i="9"/>
  <c r="D854" i="9"/>
  <c r="F854" i="9"/>
  <c r="H854" i="9"/>
  <c r="J854" i="9"/>
  <c r="L854" i="9"/>
  <c r="M854" i="9"/>
  <c r="N854" i="9"/>
  <c r="P854" i="9"/>
  <c r="R854" i="9"/>
  <c r="S854" i="9"/>
  <c r="T854" i="9"/>
  <c r="V854" i="9"/>
  <c r="X854" i="9"/>
  <c r="Z854" i="9"/>
  <c r="D855" i="9"/>
  <c r="F855" i="9"/>
  <c r="H855" i="9"/>
  <c r="J855" i="9"/>
  <c r="L855" i="9"/>
  <c r="M855" i="9"/>
  <c r="N855" i="9"/>
  <c r="P855" i="9"/>
  <c r="R855" i="9"/>
  <c r="S855" i="9"/>
  <c r="T855" i="9"/>
  <c r="V855" i="9"/>
  <c r="X855" i="9"/>
  <c r="Z855" i="9"/>
  <c r="D856" i="9"/>
  <c r="F856" i="9"/>
  <c r="H856" i="9"/>
  <c r="J856" i="9"/>
  <c r="L856" i="9"/>
  <c r="M856" i="9"/>
  <c r="N856" i="9"/>
  <c r="P856" i="9"/>
  <c r="R856" i="9"/>
  <c r="S856" i="9"/>
  <c r="T856" i="9"/>
  <c r="V856" i="9"/>
  <c r="X856" i="9"/>
  <c r="Z856" i="9"/>
  <c r="D857" i="9"/>
  <c r="F857" i="9"/>
  <c r="H857" i="9"/>
  <c r="J857" i="9"/>
  <c r="L857" i="9"/>
  <c r="M857" i="9"/>
  <c r="N857" i="9"/>
  <c r="P857" i="9"/>
  <c r="R857" i="9"/>
  <c r="S857" i="9"/>
  <c r="T857" i="9"/>
  <c r="V857" i="9"/>
  <c r="X857" i="9"/>
  <c r="Z857" i="9"/>
  <c r="D858" i="9"/>
  <c r="F858" i="9"/>
  <c r="H858" i="9"/>
  <c r="J858" i="9"/>
  <c r="L858" i="9"/>
  <c r="M858" i="9"/>
  <c r="N858" i="9"/>
  <c r="P858" i="9"/>
  <c r="R858" i="9"/>
  <c r="S858" i="9"/>
  <c r="T858" i="9"/>
  <c r="V858" i="9"/>
  <c r="X858" i="9"/>
  <c r="Z858" i="9"/>
  <c r="D859" i="9"/>
  <c r="F859" i="9"/>
  <c r="H859" i="9"/>
  <c r="J859" i="9"/>
  <c r="L859" i="9"/>
  <c r="M859" i="9"/>
  <c r="N859" i="9"/>
  <c r="P859" i="9"/>
  <c r="R859" i="9"/>
  <c r="S859" i="9"/>
  <c r="T859" i="9"/>
  <c r="V859" i="9"/>
  <c r="X859" i="9"/>
  <c r="Z859" i="9"/>
  <c r="D860" i="9"/>
  <c r="F860" i="9"/>
  <c r="H860" i="9"/>
  <c r="J860" i="9"/>
  <c r="L860" i="9"/>
  <c r="M860" i="9"/>
  <c r="N860" i="9"/>
  <c r="P860" i="9"/>
  <c r="R860" i="9"/>
  <c r="S860" i="9"/>
  <c r="T860" i="9"/>
  <c r="V860" i="9"/>
  <c r="X860" i="9"/>
  <c r="Z860" i="9"/>
  <c r="D861" i="9"/>
  <c r="F861" i="9"/>
  <c r="H861" i="9"/>
  <c r="J861" i="9"/>
  <c r="L861" i="9"/>
  <c r="M861" i="9"/>
  <c r="N861" i="9"/>
  <c r="P861" i="9"/>
  <c r="R861" i="9"/>
  <c r="S861" i="9"/>
  <c r="T861" i="9"/>
  <c r="V861" i="9"/>
  <c r="X861" i="9"/>
  <c r="Z861" i="9"/>
  <c r="D862" i="9"/>
  <c r="F862" i="9"/>
  <c r="H862" i="9"/>
  <c r="J862" i="9"/>
  <c r="L862" i="9"/>
  <c r="M862" i="9"/>
  <c r="N862" i="9"/>
  <c r="P862" i="9"/>
  <c r="R862" i="9"/>
  <c r="S862" i="9"/>
  <c r="T862" i="9"/>
  <c r="V862" i="9"/>
  <c r="X862" i="9"/>
  <c r="Z862" i="9"/>
  <c r="D863" i="9"/>
  <c r="F863" i="9"/>
  <c r="H863" i="9"/>
  <c r="J863" i="9"/>
  <c r="L863" i="9"/>
  <c r="M863" i="9"/>
  <c r="N863" i="9"/>
  <c r="P863" i="9"/>
  <c r="R863" i="9"/>
  <c r="S863" i="9"/>
  <c r="T863" i="9"/>
  <c r="V863" i="9"/>
  <c r="X863" i="9"/>
  <c r="Z863" i="9"/>
  <c r="D864" i="9"/>
  <c r="F864" i="9"/>
  <c r="H864" i="9"/>
  <c r="J864" i="9"/>
  <c r="L864" i="9"/>
  <c r="M864" i="9"/>
  <c r="N864" i="9"/>
  <c r="P864" i="9"/>
  <c r="R864" i="9"/>
  <c r="S864" i="9"/>
  <c r="T864" i="9"/>
  <c r="V864" i="9"/>
  <c r="X864" i="9"/>
  <c r="Z864" i="9"/>
  <c r="D865" i="9"/>
  <c r="F865" i="9"/>
  <c r="H865" i="9"/>
  <c r="J865" i="9"/>
  <c r="L865" i="9"/>
  <c r="M865" i="9"/>
  <c r="N865" i="9"/>
  <c r="P865" i="9"/>
  <c r="R865" i="9"/>
  <c r="S865" i="9"/>
  <c r="T865" i="9"/>
  <c r="V865" i="9"/>
  <c r="X865" i="9"/>
  <c r="Z865" i="9"/>
  <c r="D866" i="9"/>
  <c r="F866" i="9"/>
  <c r="H866" i="9"/>
  <c r="J866" i="9"/>
  <c r="L866" i="9"/>
  <c r="M866" i="9"/>
  <c r="N866" i="9"/>
  <c r="P866" i="9"/>
  <c r="R866" i="9"/>
  <c r="S866" i="9"/>
  <c r="T866" i="9"/>
  <c r="V866" i="9"/>
  <c r="X866" i="9"/>
  <c r="Z866" i="9"/>
  <c r="D867" i="9"/>
  <c r="F867" i="9"/>
  <c r="H867" i="9"/>
  <c r="J867" i="9"/>
  <c r="L867" i="9"/>
  <c r="M867" i="9"/>
  <c r="N867" i="9"/>
  <c r="P867" i="9"/>
  <c r="R867" i="9"/>
  <c r="S867" i="9"/>
  <c r="T867" i="9"/>
  <c r="V867" i="9"/>
  <c r="X867" i="9"/>
  <c r="Z867" i="9"/>
  <c r="D868" i="9"/>
  <c r="F868" i="9"/>
  <c r="H868" i="9"/>
  <c r="J868" i="9"/>
  <c r="L868" i="9"/>
  <c r="M868" i="9"/>
  <c r="N868" i="9"/>
  <c r="P868" i="9"/>
  <c r="R868" i="9"/>
  <c r="S868" i="9"/>
  <c r="T868" i="9"/>
  <c r="V868" i="9"/>
  <c r="X868" i="9"/>
  <c r="Z868" i="9"/>
  <c r="D869" i="9"/>
  <c r="F869" i="9"/>
  <c r="H869" i="9"/>
  <c r="J869" i="9"/>
  <c r="L869" i="9"/>
  <c r="M869" i="9"/>
  <c r="N869" i="9"/>
  <c r="P869" i="9"/>
  <c r="R869" i="9"/>
  <c r="S869" i="9"/>
  <c r="T869" i="9"/>
  <c r="V869" i="9"/>
  <c r="X869" i="9"/>
  <c r="Z869" i="9"/>
  <c r="D870" i="9"/>
  <c r="F870" i="9"/>
  <c r="H870" i="9"/>
  <c r="J870" i="9"/>
  <c r="L870" i="9"/>
  <c r="M870" i="9"/>
  <c r="N870" i="9"/>
  <c r="P870" i="9"/>
  <c r="R870" i="9"/>
  <c r="S870" i="9"/>
  <c r="T870" i="9"/>
  <c r="V870" i="9"/>
  <c r="X870" i="9"/>
  <c r="Z870" i="9"/>
  <c r="D871" i="9"/>
  <c r="F871" i="9"/>
  <c r="H871" i="9"/>
  <c r="J871" i="9"/>
  <c r="L871" i="9"/>
  <c r="M871" i="9"/>
  <c r="N871" i="9"/>
  <c r="P871" i="9"/>
  <c r="R871" i="9"/>
  <c r="S871" i="9"/>
  <c r="T871" i="9"/>
  <c r="V871" i="9"/>
  <c r="X871" i="9"/>
  <c r="Z871" i="9"/>
  <c r="D872" i="9"/>
  <c r="F872" i="9"/>
  <c r="H872" i="9"/>
  <c r="J872" i="9"/>
  <c r="L872" i="9"/>
  <c r="M872" i="9"/>
  <c r="N872" i="9"/>
  <c r="P872" i="9"/>
  <c r="R872" i="9"/>
  <c r="S872" i="9"/>
  <c r="T872" i="9"/>
  <c r="V872" i="9"/>
  <c r="X872" i="9"/>
  <c r="Z872" i="9"/>
  <c r="D873" i="9"/>
  <c r="F873" i="9"/>
  <c r="H873" i="9"/>
  <c r="J873" i="9"/>
  <c r="L873" i="9"/>
  <c r="M873" i="9"/>
  <c r="N873" i="9"/>
  <c r="P873" i="9"/>
  <c r="R873" i="9"/>
  <c r="S873" i="9"/>
  <c r="T873" i="9"/>
  <c r="V873" i="9"/>
  <c r="X873" i="9"/>
  <c r="Z873" i="9"/>
  <c r="D874" i="9"/>
  <c r="F874" i="9"/>
  <c r="H874" i="9"/>
  <c r="J874" i="9"/>
  <c r="L874" i="9"/>
  <c r="M874" i="9"/>
  <c r="N874" i="9"/>
  <c r="P874" i="9"/>
  <c r="R874" i="9"/>
  <c r="S874" i="9"/>
  <c r="T874" i="9"/>
  <c r="V874" i="9"/>
  <c r="X874" i="9"/>
  <c r="Z874" i="9"/>
  <c r="D875" i="9"/>
  <c r="F875" i="9"/>
  <c r="H875" i="9"/>
  <c r="J875" i="9"/>
  <c r="L875" i="9"/>
  <c r="M875" i="9"/>
  <c r="N875" i="9"/>
  <c r="P875" i="9"/>
  <c r="R875" i="9"/>
  <c r="S875" i="9"/>
  <c r="T875" i="9"/>
  <c r="V875" i="9"/>
  <c r="X875" i="9"/>
  <c r="Z875" i="9"/>
  <c r="D876" i="9"/>
  <c r="F876" i="9"/>
  <c r="H876" i="9"/>
  <c r="J876" i="9"/>
  <c r="L876" i="9"/>
  <c r="M876" i="9"/>
  <c r="N876" i="9"/>
  <c r="P876" i="9"/>
  <c r="R876" i="9"/>
  <c r="S876" i="9"/>
  <c r="T876" i="9"/>
  <c r="V876" i="9"/>
  <c r="X876" i="9"/>
  <c r="Z876" i="9"/>
  <c r="D877" i="9"/>
  <c r="F877" i="9"/>
  <c r="H877" i="9"/>
  <c r="J877" i="9"/>
  <c r="L877" i="9"/>
  <c r="M877" i="9"/>
  <c r="N877" i="9"/>
  <c r="P877" i="9"/>
  <c r="R877" i="9"/>
  <c r="S877" i="9"/>
  <c r="T877" i="9"/>
  <c r="V877" i="9"/>
  <c r="X877" i="9"/>
  <c r="Z877" i="9"/>
  <c r="D878" i="9"/>
  <c r="F878" i="9"/>
  <c r="H878" i="9"/>
  <c r="J878" i="9"/>
  <c r="L878" i="9"/>
  <c r="M878" i="9"/>
  <c r="N878" i="9"/>
  <c r="P878" i="9"/>
  <c r="R878" i="9"/>
  <c r="S878" i="9"/>
  <c r="T878" i="9"/>
  <c r="V878" i="9"/>
  <c r="X878" i="9"/>
  <c r="Z878" i="9"/>
  <c r="D879" i="9"/>
  <c r="F879" i="9"/>
  <c r="H879" i="9"/>
  <c r="J879" i="9"/>
  <c r="L879" i="9"/>
  <c r="M879" i="9"/>
  <c r="N879" i="9"/>
  <c r="P879" i="9"/>
  <c r="R879" i="9"/>
  <c r="S879" i="9"/>
  <c r="T879" i="9"/>
  <c r="V879" i="9"/>
  <c r="X879" i="9"/>
  <c r="Z879" i="9"/>
  <c r="D880" i="9"/>
  <c r="F880" i="9"/>
  <c r="H880" i="9"/>
  <c r="J880" i="9"/>
  <c r="L880" i="9"/>
  <c r="M880" i="9"/>
  <c r="N880" i="9"/>
  <c r="P880" i="9"/>
  <c r="R880" i="9"/>
  <c r="S880" i="9"/>
  <c r="T880" i="9"/>
  <c r="V880" i="9"/>
  <c r="X880" i="9"/>
  <c r="Z880" i="9"/>
  <c r="D881" i="9"/>
  <c r="F881" i="9"/>
  <c r="H881" i="9"/>
  <c r="J881" i="9"/>
  <c r="L881" i="9"/>
  <c r="M881" i="9"/>
  <c r="N881" i="9"/>
  <c r="P881" i="9"/>
  <c r="R881" i="9"/>
  <c r="S881" i="9"/>
  <c r="T881" i="9"/>
  <c r="V881" i="9"/>
  <c r="X881" i="9"/>
  <c r="Z881" i="9"/>
  <c r="D882" i="9"/>
  <c r="F882" i="9"/>
  <c r="H882" i="9"/>
  <c r="J882" i="9"/>
  <c r="L882" i="9"/>
  <c r="M882" i="9"/>
  <c r="N882" i="9"/>
  <c r="P882" i="9"/>
  <c r="R882" i="9"/>
  <c r="S882" i="9"/>
  <c r="T882" i="9"/>
  <c r="V882" i="9"/>
  <c r="X882" i="9"/>
  <c r="Z882" i="9"/>
  <c r="D883" i="9"/>
  <c r="F883" i="9"/>
  <c r="H883" i="9"/>
  <c r="J883" i="9"/>
  <c r="L883" i="9"/>
  <c r="M883" i="9"/>
  <c r="N883" i="9"/>
  <c r="P883" i="9"/>
  <c r="R883" i="9"/>
  <c r="S883" i="9"/>
  <c r="T883" i="9"/>
  <c r="V883" i="9"/>
  <c r="X883" i="9"/>
  <c r="Z883" i="9"/>
  <c r="D884" i="9"/>
  <c r="F884" i="9"/>
  <c r="H884" i="9"/>
  <c r="J884" i="9"/>
  <c r="L884" i="9"/>
  <c r="M884" i="9"/>
  <c r="N884" i="9"/>
  <c r="P884" i="9"/>
  <c r="R884" i="9"/>
  <c r="S884" i="9"/>
  <c r="T884" i="9"/>
  <c r="V884" i="9"/>
  <c r="X884" i="9"/>
  <c r="Z884" i="9"/>
  <c r="D885" i="9"/>
  <c r="F885" i="9"/>
  <c r="H885" i="9"/>
  <c r="J885" i="9"/>
  <c r="L885" i="9"/>
  <c r="M885" i="9"/>
  <c r="N885" i="9"/>
  <c r="P885" i="9"/>
  <c r="R885" i="9"/>
  <c r="S885" i="9"/>
  <c r="T885" i="9"/>
  <c r="V885" i="9"/>
  <c r="X885" i="9"/>
  <c r="Z885" i="9"/>
  <c r="D886" i="9"/>
  <c r="F886" i="9"/>
  <c r="H886" i="9"/>
  <c r="J886" i="9"/>
  <c r="L886" i="9"/>
  <c r="M886" i="9"/>
  <c r="N886" i="9"/>
  <c r="P886" i="9"/>
  <c r="R886" i="9"/>
  <c r="S886" i="9"/>
  <c r="T886" i="9"/>
  <c r="V886" i="9"/>
  <c r="X886" i="9"/>
  <c r="Z886" i="9"/>
  <c r="D887" i="9"/>
  <c r="F887" i="9"/>
  <c r="H887" i="9"/>
  <c r="J887" i="9"/>
  <c r="L887" i="9"/>
  <c r="M887" i="9"/>
  <c r="N887" i="9"/>
  <c r="P887" i="9"/>
  <c r="R887" i="9"/>
  <c r="S887" i="9"/>
  <c r="T887" i="9"/>
  <c r="V887" i="9"/>
  <c r="X887" i="9"/>
  <c r="Z887" i="9"/>
  <c r="D888" i="9"/>
  <c r="F888" i="9"/>
  <c r="H888" i="9"/>
  <c r="J888" i="9"/>
  <c r="L888" i="9"/>
  <c r="M888" i="9"/>
  <c r="N888" i="9"/>
  <c r="P888" i="9"/>
  <c r="R888" i="9"/>
  <c r="S888" i="9"/>
  <c r="T888" i="9"/>
  <c r="V888" i="9"/>
  <c r="X888" i="9"/>
  <c r="Z888" i="9"/>
  <c r="D889" i="9"/>
  <c r="F889" i="9"/>
  <c r="H889" i="9"/>
  <c r="J889" i="9"/>
  <c r="L889" i="9"/>
  <c r="M889" i="9"/>
  <c r="N889" i="9"/>
  <c r="P889" i="9"/>
  <c r="R889" i="9"/>
  <c r="S889" i="9"/>
  <c r="T889" i="9"/>
  <c r="V889" i="9"/>
  <c r="X889" i="9"/>
  <c r="Z889" i="9"/>
  <c r="D890" i="9"/>
  <c r="F890" i="9"/>
  <c r="H890" i="9"/>
  <c r="J890" i="9"/>
  <c r="L890" i="9"/>
  <c r="M890" i="9"/>
  <c r="N890" i="9"/>
  <c r="P890" i="9"/>
  <c r="R890" i="9"/>
  <c r="S890" i="9"/>
  <c r="T890" i="9"/>
  <c r="V890" i="9"/>
  <c r="X890" i="9"/>
  <c r="Z890" i="9"/>
  <c r="D891" i="9"/>
  <c r="F891" i="9"/>
  <c r="H891" i="9"/>
  <c r="J891" i="9"/>
  <c r="L891" i="9"/>
  <c r="M891" i="9"/>
  <c r="N891" i="9"/>
  <c r="P891" i="9"/>
  <c r="R891" i="9"/>
  <c r="S891" i="9"/>
  <c r="T891" i="9"/>
  <c r="V891" i="9"/>
  <c r="X891" i="9"/>
  <c r="Z891" i="9"/>
  <c r="D892" i="9"/>
  <c r="F892" i="9"/>
  <c r="H892" i="9"/>
  <c r="J892" i="9"/>
  <c r="L892" i="9"/>
  <c r="M892" i="9"/>
  <c r="N892" i="9"/>
  <c r="P892" i="9"/>
  <c r="R892" i="9"/>
  <c r="S892" i="9"/>
  <c r="T892" i="9"/>
  <c r="V892" i="9"/>
  <c r="X892" i="9"/>
  <c r="Z892" i="9"/>
  <c r="D893" i="9"/>
  <c r="F893" i="9"/>
  <c r="H893" i="9"/>
  <c r="J893" i="9"/>
  <c r="L893" i="9"/>
  <c r="M893" i="9"/>
  <c r="N893" i="9"/>
  <c r="P893" i="9"/>
  <c r="R893" i="9"/>
  <c r="S893" i="9"/>
  <c r="T893" i="9"/>
  <c r="V893" i="9"/>
  <c r="X893" i="9"/>
  <c r="Z893" i="9"/>
  <c r="D894" i="9"/>
  <c r="F894" i="9"/>
  <c r="H894" i="9"/>
  <c r="J894" i="9"/>
  <c r="L894" i="9"/>
  <c r="M894" i="9"/>
  <c r="N894" i="9"/>
  <c r="P894" i="9"/>
  <c r="R894" i="9"/>
  <c r="S894" i="9"/>
  <c r="T894" i="9"/>
  <c r="V894" i="9"/>
  <c r="X894" i="9"/>
  <c r="Z894" i="9"/>
  <c r="D895" i="9"/>
  <c r="F895" i="9"/>
  <c r="H895" i="9"/>
  <c r="J895" i="9"/>
  <c r="L895" i="9"/>
  <c r="M895" i="9"/>
  <c r="N895" i="9"/>
  <c r="P895" i="9"/>
  <c r="R895" i="9"/>
  <c r="S895" i="9"/>
  <c r="T895" i="9"/>
  <c r="V895" i="9"/>
  <c r="X895" i="9"/>
  <c r="Z895" i="9"/>
  <c r="D896" i="9"/>
  <c r="F896" i="9"/>
  <c r="H896" i="9"/>
  <c r="J896" i="9"/>
  <c r="L896" i="9"/>
  <c r="M896" i="9"/>
  <c r="N896" i="9"/>
  <c r="P896" i="9"/>
  <c r="R896" i="9"/>
  <c r="S896" i="9"/>
  <c r="T896" i="9"/>
  <c r="V896" i="9"/>
  <c r="X896" i="9"/>
  <c r="Z896" i="9"/>
  <c r="D897" i="9"/>
  <c r="F897" i="9"/>
  <c r="H897" i="9"/>
  <c r="J897" i="9"/>
  <c r="L897" i="9"/>
  <c r="M897" i="9"/>
  <c r="N897" i="9"/>
  <c r="P897" i="9"/>
  <c r="R897" i="9"/>
  <c r="S897" i="9"/>
  <c r="T897" i="9"/>
  <c r="V897" i="9"/>
  <c r="X897" i="9"/>
  <c r="Z897" i="9"/>
  <c r="D898" i="9"/>
  <c r="F898" i="9"/>
  <c r="H898" i="9"/>
  <c r="J898" i="9"/>
  <c r="L898" i="9"/>
  <c r="M898" i="9"/>
  <c r="N898" i="9"/>
  <c r="P898" i="9"/>
  <c r="R898" i="9"/>
  <c r="S898" i="9"/>
  <c r="T898" i="9"/>
  <c r="V898" i="9"/>
  <c r="X898" i="9"/>
  <c r="Z898" i="9"/>
  <c r="D899" i="9"/>
  <c r="F899" i="9"/>
  <c r="H899" i="9"/>
  <c r="J899" i="9"/>
  <c r="L899" i="9"/>
  <c r="M899" i="9"/>
  <c r="N899" i="9"/>
  <c r="P899" i="9"/>
  <c r="R899" i="9"/>
  <c r="S899" i="9"/>
  <c r="T899" i="9"/>
  <c r="V899" i="9"/>
  <c r="X899" i="9"/>
  <c r="Z899" i="9"/>
  <c r="D900" i="9"/>
  <c r="F900" i="9"/>
  <c r="H900" i="9"/>
  <c r="J900" i="9"/>
  <c r="L900" i="9"/>
  <c r="M900" i="9"/>
  <c r="N900" i="9"/>
  <c r="P900" i="9"/>
  <c r="R900" i="9"/>
  <c r="S900" i="9"/>
  <c r="T900" i="9"/>
  <c r="V900" i="9"/>
  <c r="X900" i="9"/>
  <c r="Z900" i="9"/>
  <c r="D901" i="9"/>
  <c r="F901" i="9"/>
  <c r="H901" i="9"/>
  <c r="J901" i="9"/>
  <c r="L901" i="9"/>
  <c r="M901" i="9"/>
  <c r="N901" i="9"/>
  <c r="P901" i="9"/>
  <c r="R901" i="9"/>
  <c r="S901" i="9"/>
  <c r="T901" i="9"/>
  <c r="V901" i="9"/>
  <c r="X901" i="9"/>
  <c r="Z901" i="9"/>
  <c r="D902" i="9"/>
  <c r="F902" i="9"/>
  <c r="H902" i="9"/>
  <c r="J902" i="9"/>
  <c r="L902" i="9"/>
  <c r="M902" i="9"/>
  <c r="N902" i="9"/>
  <c r="P902" i="9"/>
  <c r="R902" i="9"/>
  <c r="S902" i="9"/>
  <c r="T902" i="9"/>
  <c r="V902" i="9"/>
  <c r="X902" i="9"/>
  <c r="Z902" i="9"/>
  <c r="D903" i="9"/>
  <c r="F903" i="9"/>
  <c r="H903" i="9"/>
  <c r="J903" i="9"/>
  <c r="L903" i="9"/>
  <c r="M903" i="9"/>
  <c r="N903" i="9"/>
  <c r="P903" i="9"/>
  <c r="R903" i="9"/>
  <c r="S903" i="9"/>
  <c r="T903" i="9"/>
  <c r="V903" i="9"/>
  <c r="X903" i="9"/>
  <c r="Z903" i="9"/>
  <c r="D904" i="9"/>
  <c r="F904" i="9"/>
  <c r="H904" i="9"/>
  <c r="J904" i="9"/>
  <c r="L904" i="9"/>
  <c r="M904" i="9"/>
  <c r="N904" i="9"/>
  <c r="P904" i="9"/>
  <c r="R904" i="9"/>
  <c r="S904" i="9"/>
  <c r="T904" i="9"/>
  <c r="V904" i="9"/>
  <c r="X904" i="9"/>
  <c r="Z904" i="9"/>
  <c r="D905" i="9"/>
  <c r="F905" i="9"/>
  <c r="H905" i="9"/>
  <c r="J905" i="9"/>
  <c r="L905" i="9"/>
  <c r="M905" i="9"/>
  <c r="N905" i="9"/>
  <c r="P905" i="9"/>
  <c r="R905" i="9"/>
  <c r="S905" i="9"/>
  <c r="T905" i="9"/>
  <c r="V905" i="9"/>
  <c r="X905" i="9"/>
  <c r="Z905" i="9"/>
  <c r="D906" i="9"/>
  <c r="F906" i="9"/>
  <c r="H906" i="9"/>
  <c r="J906" i="9"/>
  <c r="L906" i="9"/>
  <c r="M906" i="9"/>
  <c r="N906" i="9"/>
  <c r="P906" i="9"/>
  <c r="R906" i="9"/>
  <c r="S906" i="9"/>
  <c r="T906" i="9"/>
  <c r="V906" i="9"/>
  <c r="X906" i="9"/>
  <c r="Z906" i="9"/>
  <c r="D907" i="9"/>
  <c r="F907" i="9"/>
  <c r="H907" i="9"/>
  <c r="J907" i="9"/>
  <c r="L907" i="9"/>
  <c r="M907" i="9"/>
  <c r="N907" i="9"/>
  <c r="P907" i="9"/>
  <c r="R907" i="9"/>
  <c r="S907" i="9"/>
  <c r="T907" i="9"/>
  <c r="V907" i="9"/>
  <c r="X907" i="9"/>
  <c r="Z907" i="9"/>
  <c r="D908" i="9"/>
  <c r="F908" i="9"/>
  <c r="H908" i="9"/>
  <c r="J908" i="9"/>
  <c r="L908" i="9"/>
  <c r="M908" i="9"/>
  <c r="N908" i="9"/>
  <c r="P908" i="9"/>
  <c r="R908" i="9"/>
  <c r="S908" i="9"/>
  <c r="T908" i="9"/>
  <c r="V908" i="9"/>
  <c r="X908" i="9"/>
  <c r="Z908" i="9"/>
  <c r="D909" i="9"/>
  <c r="F909" i="9"/>
  <c r="H909" i="9"/>
  <c r="J909" i="9"/>
  <c r="L909" i="9"/>
  <c r="M909" i="9"/>
  <c r="N909" i="9"/>
  <c r="P909" i="9"/>
  <c r="R909" i="9"/>
  <c r="S909" i="9"/>
  <c r="T909" i="9"/>
  <c r="V909" i="9"/>
  <c r="X909" i="9"/>
  <c r="Z909" i="9"/>
  <c r="D910" i="9"/>
  <c r="F910" i="9"/>
  <c r="H910" i="9"/>
  <c r="J910" i="9"/>
  <c r="L910" i="9"/>
  <c r="M910" i="9"/>
  <c r="N910" i="9"/>
  <c r="P910" i="9"/>
  <c r="R910" i="9"/>
  <c r="S910" i="9"/>
  <c r="T910" i="9"/>
  <c r="V910" i="9"/>
  <c r="X910" i="9"/>
  <c r="Z910" i="9"/>
  <c r="D911" i="9"/>
  <c r="F911" i="9"/>
  <c r="H911" i="9"/>
  <c r="J911" i="9"/>
  <c r="L911" i="9"/>
  <c r="M911" i="9"/>
  <c r="N911" i="9"/>
  <c r="P911" i="9"/>
  <c r="R911" i="9"/>
  <c r="S911" i="9"/>
  <c r="T911" i="9"/>
  <c r="V911" i="9"/>
  <c r="X911" i="9"/>
  <c r="Z911" i="9"/>
  <c r="D912" i="9"/>
  <c r="F912" i="9"/>
  <c r="H912" i="9"/>
  <c r="J912" i="9"/>
  <c r="L912" i="9"/>
  <c r="M912" i="9"/>
  <c r="N912" i="9"/>
  <c r="P912" i="9"/>
  <c r="R912" i="9"/>
  <c r="S912" i="9"/>
  <c r="T912" i="9"/>
  <c r="V912" i="9"/>
  <c r="X912" i="9"/>
  <c r="Z912" i="9"/>
  <c r="D913" i="9"/>
  <c r="F913" i="9"/>
  <c r="H913" i="9"/>
  <c r="J913" i="9"/>
  <c r="L913" i="9"/>
  <c r="M913" i="9"/>
  <c r="N913" i="9"/>
  <c r="P913" i="9"/>
  <c r="R913" i="9"/>
  <c r="S913" i="9"/>
  <c r="T913" i="9"/>
  <c r="V913" i="9"/>
  <c r="X913" i="9"/>
  <c r="Z913" i="9"/>
  <c r="D914" i="9"/>
  <c r="F914" i="9"/>
  <c r="H914" i="9"/>
  <c r="J914" i="9"/>
  <c r="L914" i="9"/>
  <c r="M914" i="9"/>
  <c r="N914" i="9"/>
  <c r="P914" i="9"/>
  <c r="R914" i="9"/>
  <c r="S914" i="9"/>
  <c r="T914" i="9"/>
  <c r="V914" i="9"/>
  <c r="X914" i="9"/>
  <c r="Z914" i="9"/>
  <c r="D915" i="9"/>
  <c r="F915" i="9"/>
  <c r="H915" i="9"/>
  <c r="J915" i="9"/>
  <c r="L915" i="9"/>
  <c r="M915" i="9"/>
  <c r="N915" i="9"/>
  <c r="P915" i="9"/>
  <c r="R915" i="9"/>
  <c r="S915" i="9"/>
  <c r="T915" i="9"/>
  <c r="V915" i="9"/>
  <c r="X915" i="9"/>
  <c r="Z915" i="9"/>
  <c r="D916" i="9"/>
  <c r="F916" i="9"/>
  <c r="G916" i="9"/>
  <c r="H916" i="9"/>
  <c r="J916" i="9"/>
  <c r="L916" i="9"/>
  <c r="M916" i="9"/>
  <c r="N916" i="9"/>
  <c r="P916" i="9"/>
  <c r="R916" i="9"/>
  <c r="S916" i="9"/>
  <c r="T916" i="9"/>
  <c r="V916" i="9"/>
  <c r="X916" i="9"/>
  <c r="Z916" i="9"/>
  <c r="D917" i="9"/>
  <c r="F917" i="9"/>
  <c r="G917" i="9"/>
  <c r="H917" i="9"/>
  <c r="J917" i="9"/>
  <c r="L917" i="9"/>
  <c r="M917" i="9"/>
  <c r="N917" i="9"/>
  <c r="P917" i="9"/>
  <c r="R917" i="9"/>
  <c r="S917" i="9"/>
  <c r="T917" i="9"/>
  <c r="V917" i="9"/>
  <c r="X917" i="9"/>
  <c r="Z917" i="9"/>
  <c r="D918" i="9"/>
  <c r="F918" i="9"/>
  <c r="G918" i="9"/>
  <c r="H918" i="9"/>
  <c r="J918" i="9"/>
  <c r="L918" i="9"/>
  <c r="M918" i="9"/>
  <c r="N918" i="9"/>
  <c r="P918" i="9"/>
  <c r="R918" i="9"/>
  <c r="S918" i="9"/>
  <c r="T918" i="9"/>
  <c r="V918" i="9"/>
  <c r="X918" i="9"/>
  <c r="Z918" i="9"/>
  <c r="D919" i="9"/>
  <c r="F919" i="9"/>
  <c r="G919" i="9"/>
  <c r="H919" i="9"/>
  <c r="J919" i="9"/>
  <c r="L919" i="9"/>
  <c r="M919" i="9"/>
  <c r="N919" i="9"/>
  <c r="P919" i="9"/>
  <c r="R919" i="9"/>
  <c r="S919" i="9"/>
  <c r="T919" i="9"/>
  <c r="V919" i="9"/>
  <c r="X919" i="9"/>
  <c r="Z919" i="9"/>
  <c r="D920" i="9"/>
  <c r="F920" i="9"/>
  <c r="G920" i="9"/>
  <c r="H920" i="9"/>
  <c r="J920" i="9"/>
  <c r="L920" i="9"/>
  <c r="M920" i="9"/>
  <c r="N920" i="9"/>
  <c r="P920" i="9"/>
  <c r="R920" i="9"/>
  <c r="S920" i="9"/>
  <c r="T920" i="9"/>
  <c r="V920" i="9"/>
  <c r="X920" i="9"/>
  <c r="Z920" i="9"/>
  <c r="D921" i="9"/>
  <c r="F921" i="9"/>
  <c r="G921" i="9"/>
  <c r="H921" i="9"/>
  <c r="J921" i="9"/>
  <c r="L921" i="9"/>
  <c r="M921" i="9"/>
  <c r="N921" i="9"/>
  <c r="P921" i="9"/>
  <c r="R921" i="9"/>
  <c r="S921" i="9"/>
  <c r="T921" i="9"/>
  <c r="V921" i="9"/>
  <c r="X921" i="9"/>
  <c r="Z921" i="9"/>
  <c r="D922" i="9"/>
  <c r="F922" i="9"/>
  <c r="G922" i="9"/>
  <c r="H922" i="9"/>
  <c r="J922" i="9"/>
  <c r="L922" i="9"/>
  <c r="M922" i="9"/>
  <c r="N922" i="9"/>
  <c r="P922" i="9"/>
  <c r="R922" i="9"/>
  <c r="S922" i="9"/>
  <c r="T922" i="9"/>
  <c r="V922" i="9"/>
  <c r="X922" i="9"/>
  <c r="Z922" i="9"/>
  <c r="D923" i="9"/>
  <c r="F923" i="9"/>
  <c r="G923" i="9"/>
  <c r="H923" i="9"/>
  <c r="J923" i="9"/>
  <c r="L923" i="9"/>
  <c r="M923" i="9"/>
  <c r="N923" i="9"/>
  <c r="P923" i="9"/>
  <c r="R923" i="9"/>
  <c r="S923" i="9"/>
  <c r="T923" i="9"/>
  <c r="V923" i="9"/>
  <c r="X923" i="9"/>
  <c r="Z923" i="9"/>
  <c r="D924" i="9"/>
  <c r="F924" i="9"/>
  <c r="G924" i="9"/>
  <c r="H924" i="9"/>
  <c r="J924" i="9"/>
  <c r="L924" i="9"/>
  <c r="M924" i="9"/>
  <c r="N924" i="9"/>
  <c r="P924" i="9"/>
  <c r="R924" i="9"/>
  <c r="S924" i="9"/>
  <c r="T924" i="9"/>
  <c r="V924" i="9"/>
  <c r="X924" i="9"/>
  <c r="Z924" i="9"/>
  <c r="D925" i="9"/>
  <c r="F925" i="9"/>
  <c r="G925" i="9"/>
  <c r="H925" i="9"/>
  <c r="J925" i="9"/>
  <c r="L925" i="9"/>
  <c r="M925" i="9"/>
  <c r="N925" i="9"/>
  <c r="P925" i="9"/>
  <c r="R925" i="9"/>
  <c r="S925" i="9"/>
  <c r="T925" i="9"/>
  <c r="V925" i="9"/>
  <c r="X925" i="9"/>
  <c r="Z925" i="9"/>
  <c r="D926" i="9"/>
  <c r="F926" i="9"/>
  <c r="G926" i="9"/>
  <c r="H926" i="9"/>
  <c r="J926" i="9"/>
  <c r="L926" i="9"/>
  <c r="M926" i="9"/>
  <c r="N926" i="9"/>
  <c r="P926" i="9"/>
  <c r="R926" i="9"/>
  <c r="S926" i="9"/>
  <c r="T926" i="9"/>
  <c r="V926" i="9"/>
  <c r="X926" i="9"/>
  <c r="Z926" i="9"/>
  <c r="D927" i="9"/>
  <c r="F927" i="9"/>
  <c r="G927" i="9"/>
  <c r="H927" i="9"/>
  <c r="J927" i="9"/>
  <c r="L927" i="9"/>
  <c r="M927" i="9"/>
  <c r="N927" i="9"/>
  <c r="P927" i="9"/>
  <c r="R927" i="9"/>
  <c r="S927" i="9"/>
  <c r="T927" i="9"/>
  <c r="V927" i="9"/>
  <c r="X927" i="9"/>
  <c r="Z927" i="9"/>
  <c r="D928" i="9"/>
  <c r="F928" i="9"/>
  <c r="G928" i="9"/>
  <c r="H928" i="9"/>
  <c r="J928" i="9"/>
  <c r="L928" i="9"/>
  <c r="M928" i="9"/>
  <c r="N928" i="9"/>
  <c r="P928" i="9"/>
  <c r="R928" i="9"/>
  <c r="S928" i="9"/>
  <c r="T928" i="9"/>
  <c r="V928" i="9"/>
  <c r="X928" i="9"/>
  <c r="Z928" i="9"/>
  <c r="D929" i="9"/>
  <c r="F929" i="9"/>
  <c r="G929" i="9"/>
  <c r="H929" i="9"/>
  <c r="J929" i="9"/>
  <c r="L929" i="9"/>
  <c r="M929" i="9"/>
  <c r="N929" i="9"/>
  <c r="P929" i="9"/>
  <c r="R929" i="9"/>
  <c r="S929" i="9"/>
  <c r="T929" i="9"/>
  <c r="V929" i="9"/>
  <c r="X929" i="9"/>
  <c r="Z929" i="9"/>
  <c r="D930" i="9"/>
  <c r="F930" i="9"/>
  <c r="G930" i="9"/>
  <c r="H930" i="9"/>
  <c r="J930" i="9"/>
  <c r="L930" i="9"/>
  <c r="M930" i="9"/>
  <c r="N930" i="9"/>
  <c r="P930" i="9"/>
  <c r="R930" i="9"/>
  <c r="S930" i="9"/>
  <c r="T930" i="9"/>
  <c r="V930" i="9"/>
  <c r="X930" i="9"/>
  <c r="Z930" i="9"/>
  <c r="D931" i="9"/>
  <c r="F931" i="9"/>
  <c r="G931" i="9"/>
  <c r="H931" i="9"/>
  <c r="J931" i="9"/>
  <c r="L931" i="9"/>
  <c r="M931" i="9"/>
  <c r="N931" i="9"/>
  <c r="P931" i="9"/>
  <c r="R931" i="9"/>
  <c r="S931" i="9"/>
  <c r="T931" i="9"/>
  <c r="V931" i="9"/>
  <c r="X931" i="9"/>
  <c r="Z931" i="9"/>
  <c r="D932" i="9"/>
  <c r="F932" i="9"/>
  <c r="G932" i="9"/>
  <c r="H932" i="9"/>
  <c r="J932" i="9"/>
  <c r="L932" i="9"/>
  <c r="M932" i="9"/>
  <c r="N932" i="9"/>
  <c r="P932" i="9"/>
  <c r="R932" i="9"/>
  <c r="S932" i="9"/>
  <c r="T932" i="9"/>
  <c r="V932" i="9"/>
  <c r="X932" i="9"/>
  <c r="Z932" i="9"/>
  <c r="D933" i="9"/>
  <c r="F933" i="9"/>
  <c r="G933" i="9"/>
  <c r="H933" i="9"/>
  <c r="J933" i="9"/>
  <c r="L933" i="9"/>
  <c r="M933" i="9"/>
  <c r="N933" i="9"/>
  <c r="P933" i="9"/>
  <c r="R933" i="9"/>
  <c r="S933" i="9"/>
  <c r="T933" i="9"/>
  <c r="V933" i="9"/>
  <c r="X933" i="9"/>
  <c r="Z933" i="9"/>
  <c r="D934" i="9"/>
  <c r="F934" i="9"/>
  <c r="G934" i="9"/>
  <c r="H934" i="9"/>
  <c r="J934" i="9"/>
  <c r="L934" i="9"/>
  <c r="M934" i="9"/>
  <c r="N934" i="9"/>
  <c r="P934" i="9"/>
  <c r="R934" i="9"/>
  <c r="S934" i="9"/>
  <c r="T934" i="9"/>
  <c r="V934" i="9"/>
  <c r="X934" i="9"/>
  <c r="Z934" i="9"/>
  <c r="D935" i="9"/>
  <c r="F935" i="9"/>
  <c r="G935" i="9"/>
  <c r="H935" i="9"/>
  <c r="J935" i="9"/>
  <c r="L935" i="9"/>
  <c r="M935" i="9"/>
  <c r="N935" i="9"/>
  <c r="P935" i="9"/>
  <c r="R935" i="9"/>
  <c r="S935" i="9"/>
  <c r="T935" i="9"/>
  <c r="V935" i="9"/>
  <c r="X935" i="9"/>
  <c r="Z935" i="9"/>
  <c r="D936" i="9"/>
  <c r="F936" i="9"/>
  <c r="G936" i="9"/>
  <c r="H936" i="9"/>
  <c r="J936" i="9"/>
  <c r="L936" i="9"/>
  <c r="M936" i="9"/>
  <c r="N936" i="9"/>
  <c r="P936" i="9"/>
  <c r="R936" i="9"/>
  <c r="S936" i="9"/>
  <c r="T936" i="9"/>
  <c r="V936" i="9"/>
  <c r="X936" i="9"/>
  <c r="Z936" i="9"/>
  <c r="D937" i="9"/>
  <c r="F937" i="9"/>
  <c r="G937" i="9"/>
  <c r="H937" i="9"/>
  <c r="J937" i="9"/>
  <c r="L937" i="9"/>
  <c r="M937" i="9"/>
  <c r="N937" i="9"/>
  <c r="P937" i="9"/>
  <c r="R937" i="9"/>
  <c r="S937" i="9"/>
  <c r="T937" i="9"/>
  <c r="V937" i="9"/>
  <c r="X937" i="9"/>
  <c r="Z937" i="9"/>
  <c r="D938" i="9"/>
  <c r="F938" i="9"/>
  <c r="G938" i="9"/>
  <c r="H938" i="9"/>
  <c r="J938" i="9"/>
  <c r="L938" i="9"/>
  <c r="M938" i="9"/>
  <c r="N938" i="9"/>
  <c r="P938" i="9"/>
  <c r="R938" i="9"/>
  <c r="S938" i="9"/>
  <c r="T938" i="9"/>
  <c r="V938" i="9"/>
  <c r="X938" i="9"/>
  <c r="Z938" i="9"/>
  <c r="D939" i="9"/>
  <c r="F939" i="9"/>
  <c r="G939" i="9"/>
  <c r="H939" i="9"/>
  <c r="J939" i="9"/>
  <c r="L939" i="9"/>
  <c r="M939" i="9"/>
  <c r="N939" i="9"/>
  <c r="P939" i="9"/>
  <c r="R939" i="9"/>
  <c r="S939" i="9"/>
  <c r="T939" i="9"/>
  <c r="V939" i="9"/>
  <c r="X939" i="9"/>
  <c r="Z939" i="9"/>
  <c r="D940" i="9"/>
  <c r="F940" i="9"/>
  <c r="G940" i="9"/>
  <c r="H940" i="9"/>
  <c r="J940" i="9"/>
  <c r="L940" i="9"/>
  <c r="M940" i="9"/>
  <c r="N940" i="9"/>
  <c r="P940" i="9"/>
  <c r="R940" i="9"/>
  <c r="S940" i="9"/>
  <c r="T940" i="9"/>
  <c r="V940" i="9"/>
  <c r="X940" i="9"/>
  <c r="Z940" i="9"/>
  <c r="D941" i="9"/>
  <c r="F941" i="9"/>
  <c r="G941" i="9"/>
  <c r="H941" i="9"/>
  <c r="J941" i="9"/>
  <c r="L941" i="9"/>
  <c r="M941" i="9"/>
  <c r="N941" i="9"/>
  <c r="P941" i="9"/>
  <c r="R941" i="9"/>
  <c r="S941" i="9"/>
  <c r="T941" i="9"/>
  <c r="V941" i="9"/>
  <c r="X941" i="9"/>
  <c r="Z941" i="9"/>
  <c r="D942" i="9"/>
  <c r="F942" i="9"/>
  <c r="G942" i="9"/>
  <c r="H942" i="9"/>
  <c r="J942" i="9"/>
  <c r="L942" i="9"/>
  <c r="M942" i="9"/>
  <c r="N942" i="9"/>
  <c r="P942" i="9"/>
  <c r="R942" i="9"/>
  <c r="S942" i="9"/>
  <c r="T942" i="9"/>
  <c r="V942" i="9"/>
  <c r="X942" i="9"/>
  <c r="Z942" i="9"/>
  <c r="D943" i="9"/>
  <c r="F943" i="9"/>
  <c r="G943" i="9"/>
  <c r="H943" i="9"/>
  <c r="J943" i="9"/>
  <c r="L943" i="9"/>
  <c r="M943" i="9"/>
  <c r="N943" i="9"/>
  <c r="P943" i="9"/>
  <c r="R943" i="9"/>
  <c r="S943" i="9"/>
  <c r="T943" i="9"/>
  <c r="V943" i="9"/>
  <c r="X943" i="9"/>
  <c r="Z943" i="9"/>
  <c r="D944" i="9"/>
  <c r="F944" i="9"/>
  <c r="G944" i="9"/>
  <c r="H944" i="9"/>
  <c r="J944" i="9"/>
  <c r="L944" i="9"/>
  <c r="M944" i="9"/>
  <c r="N944" i="9"/>
  <c r="P944" i="9"/>
  <c r="R944" i="9"/>
  <c r="S944" i="9"/>
  <c r="T944" i="9"/>
  <c r="V944" i="9"/>
  <c r="X944" i="9"/>
  <c r="Z944" i="9"/>
  <c r="D945" i="9"/>
  <c r="F945" i="9"/>
  <c r="G945" i="9"/>
  <c r="H945" i="9"/>
  <c r="J945" i="9"/>
  <c r="L945" i="9"/>
  <c r="M945" i="9"/>
  <c r="N945" i="9"/>
  <c r="P945" i="9"/>
  <c r="R945" i="9"/>
  <c r="S945" i="9"/>
  <c r="T945" i="9"/>
  <c r="V945" i="9"/>
  <c r="X945" i="9"/>
  <c r="Z945" i="9"/>
  <c r="D946" i="9"/>
  <c r="F946" i="9"/>
  <c r="G946" i="9"/>
  <c r="H946" i="9"/>
  <c r="J946" i="9"/>
  <c r="L946" i="9"/>
  <c r="M946" i="9"/>
  <c r="N946" i="9"/>
  <c r="P946" i="9"/>
  <c r="R946" i="9"/>
  <c r="S946" i="9"/>
  <c r="T946" i="9"/>
  <c r="V946" i="9"/>
  <c r="X946" i="9"/>
  <c r="Z946" i="9"/>
  <c r="D947" i="9"/>
  <c r="F947" i="9"/>
  <c r="G947" i="9"/>
  <c r="H947" i="9"/>
  <c r="J947" i="9"/>
  <c r="L947" i="9"/>
  <c r="M947" i="9"/>
  <c r="N947" i="9"/>
  <c r="P947" i="9"/>
  <c r="R947" i="9"/>
  <c r="S947" i="9"/>
  <c r="T947" i="9"/>
  <c r="V947" i="9"/>
  <c r="X947" i="9"/>
  <c r="Z947" i="9"/>
  <c r="D948" i="9"/>
  <c r="F948" i="9"/>
  <c r="G948" i="9"/>
  <c r="H948" i="9"/>
  <c r="J948" i="9"/>
  <c r="L948" i="9"/>
  <c r="M948" i="9"/>
  <c r="N948" i="9"/>
  <c r="P948" i="9"/>
  <c r="R948" i="9"/>
  <c r="S948" i="9"/>
  <c r="T948" i="9"/>
  <c r="V948" i="9"/>
  <c r="X948" i="9"/>
  <c r="Z948" i="9"/>
  <c r="D949" i="9"/>
  <c r="F949" i="9"/>
  <c r="G949" i="9"/>
  <c r="H949" i="9"/>
  <c r="J949" i="9"/>
  <c r="L949" i="9"/>
  <c r="M949" i="9"/>
  <c r="N949" i="9"/>
  <c r="P949" i="9"/>
  <c r="R949" i="9"/>
  <c r="S949" i="9"/>
  <c r="T949" i="9"/>
  <c r="V949" i="9"/>
  <c r="X949" i="9"/>
  <c r="Z949" i="9"/>
  <c r="D950" i="9"/>
  <c r="F950" i="9"/>
  <c r="G950" i="9"/>
  <c r="H950" i="9"/>
  <c r="J950" i="9"/>
  <c r="L950" i="9"/>
  <c r="M950" i="9"/>
  <c r="N950" i="9"/>
  <c r="P950" i="9"/>
  <c r="R950" i="9"/>
  <c r="S950" i="9"/>
  <c r="T950" i="9"/>
  <c r="V950" i="9"/>
  <c r="X950" i="9"/>
  <c r="Z950" i="9"/>
  <c r="D951" i="9"/>
  <c r="F951" i="9"/>
  <c r="G951" i="9"/>
  <c r="H951" i="9"/>
  <c r="J951" i="9"/>
  <c r="L951" i="9"/>
  <c r="M951" i="9"/>
  <c r="N951" i="9"/>
  <c r="P951" i="9"/>
  <c r="R951" i="9"/>
  <c r="S951" i="9"/>
  <c r="T951" i="9"/>
  <c r="V951" i="9"/>
  <c r="X951" i="9"/>
  <c r="Z951" i="9"/>
  <c r="D952" i="9"/>
  <c r="F952" i="9"/>
  <c r="G952" i="9"/>
  <c r="H952" i="9"/>
  <c r="J952" i="9"/>
  <c r="L952" i="9"/>
  <c r="M952" i="9"/>
  <c r="N952" i="9"/>
  <c r="P952" i="9"/>
  <c r="R952" i="9"/>
  <c r="S952" i="9"/>
  <c r="T952" i="9"/>
  <c r="V952" i="9"/>
  <c r="X952" i="9"/>
  <c r="Z952" i="9"/>
  <c r="D953" i="9"/>
  <c r="F953" i="9"/>
  <c r="G953" i="9"/>
  <c r="H953" i="9"/>
  <c r="J953" i="9"/>
  <c r="L953" i="9"/>
  <c r="M953" i="9"/>
  <c r="N953" i="9"/>
  <c r="P953" i="9"/>
  <c r="R953" i="9"/>
  <c r="S953" i="9"/>
  <c r="T953" i="9"/>
  <c r="V953" i="9"/>
  <c r="X953" i="9"/>
  <c r="Z953" i="9"/>
  <c r="D954" i="9"/>
  <c r="F954" i="9"/>
  <c r="G954" i="9"/>
  <c r="H954" i="9"/>
  <c r="J954" i="9"/>
  <c r="L954" i="9"/>
  <c r="M954" i="9"/>
  <c r="N954" i="9"/>
  <c r="P954" i="9"/>
  <c r="R954" i="9"/>
  <c r="S954" i="9"/>
  <c r="T954" i="9"/>
  <c r="V954" i="9"/>
  <c r="X954" i="9"/>
  <c r="Z954" i="9"/>
  <c r="D955" i="9"/>
  <c r="F955" i="9"/>
  <c r="G955" i="9"/>
  <c r="H955" i="9"/>
  <c r="J955" i="9"/>
  <c r="L955" i="9"/>
  <c r="M955" i="9"/>
  <c r="N955" i="9"/>
  <c r="P955" i="9"/>
  <c r="R955" i="9"/>
  <c r="S955" i="9"/>
  <c r="T955" i="9"/>
  <c r="V955" i="9"/>
  <c r="X955" i="9"/>
  <c r="Z955" i="9"/>
  <c r="D956" i="9"/>
  <c r="F956" i="9"/>
  <c r="G956" i="9"/>
  <c r="H956" i="9"/>
  <c r="J956" i="9"/>
  <c r="L956" i="9"/>
  <c r="M956" i="9"/>
  <c r="N956" i="9"/>
  <c r="P956" i="9"/>
  <c r="R956" i="9"/>
  <c r="S956" i="9"/>
  <c r="T956" i="9"/>
  <c r="V956" i="9"/>
  <c r="X956" i="9"/>
  <c r="Z956" i="9"/>
  <c r="D957" i="9"/>
  <c r="F957" i="9"/>
  <c r="G957" i="9"/>
  <c r="H957" i="9"/>
  <c r="J957" i="9"/>
  <c r="L957" i="9"/>
  <c r="M957" i="9"/>
  <c r="N957" i="9"/>
  <c r="P957" i="9"/>
  <c r="R957" i="9"/>
  <c r="S957" i="9"/>
  <c r="T957" i="9"/>
  <c r="V957" i="9"/>
  <c r="X957" i="9"/>
  <c r="Z957" i="9"/>
  <c r="D958" i="9"/>
  <c r="F958" i="9"/>
  <c r="G958" i="9"/>
  <c r="H958" i="9"/>
  <c r="J958" i="9"/>
  <c r="L958" i="9"/>
  <c r="M958" i="9"/>
  <c r="N958" i="9"/>
  <c r="P958" i="9"/>
  <c r="R958" i="9"/>
  <c r="S958" i="9"/>
  <c r="T958" i="9"/>
  <c r="V958" i="9"/>
  <c r="X958" i="9"/>
  <c r="Z958" i="9"/>
  <c r="D959" i="9"/>
  <c r="F959" i="9"/>
  <c r="G959" i="9"/>
  <c r="H959" i="9"/>
  <c r="J959" i="9"/>
  <c r="L959" i="9"/>
  <c r="M959" i="9"/>
  <c r="N959" i="9"/>
  <c r="P959" i="9"/>
  <c r="R959" i="9"/>
  <c r="S959" i="9"/>
  <c r="T959" i="9"/>
  <c r="V959" i="9"/>
  <c r="X959" i="9"/>
  <c r="Z959" i="9"/>
  <c r="D960" i="9"/>
  <c r="F960" i="9"/>
  <c r="G960" i="9"/>
  <c r="H960" i="9"/>
  <c r="J960" i="9"/>
  <c r="L960" i="9"/>
  <c r="M960" i="9"/>
  <c r="N960" i="9"/>
  <c r="P960" i="9"/>
  <c r="R960" i="9"/>
  <c r="S960" i="9"/>
  <c r="T960" i="9"/>
  <c r="V960" i="9"/>
  <c r="X960" i="9"/>
  <c r="Z960" i="9"/>
  <c r="D961" i="9"/>
  <c r="F961" i="9"/>
  <c r="G961" i="9"/>
  <c r="H961" i="9"/>
  <c r="J961" i="9"/>
  <c r="L961" i="9"/>
  <c r="M961" i="9"/>
  <c r="N961" i="9"/>
  <c r="P961" i="9"/>
  <c r="R961" i="9"/>
  <c r="S961" i="9"/>
  <c r="T961" i="9"/>
  <c r="V961" i="9"/>
  <c r="X961" i="9"/>
  <c r="Z961" i="9"/>
  <c r="D962" i="9"/>
  <c r="F962" i="9"/>
  <c r="G962" i="9"/>
  <c r="H962" i="9"/>
  <c r="J962" i="9"/>
  <c r="L962" i="9"/>
  <c r="M962" i="9"/>
  <c r="N962" i="9"/>
  <c r="P962" i="9"/>
  <c r="R962" i="9"/>
  <c r="S962" i="9"/>
  <c r="T962" i="9"/>
  <c r="V962" i="9"/>
  <c r="X962" i="9"/>
  <c r="Z962" i="9"/>
  <c r="D963" i="9"/>
  <c r="F963" i="9"/>
  <c r="G963" i="9"/>
  <c r="H963" i="9"/>
  <c r="J963" i="9"/>
  <c r="L963" i="9"/>
  <c r="M963" i="9"/>
  <c r="N963" i="9"/>
  <c r="P963" i="9"/>
  <c r="R963" i="9"/>
  <c r="S963" i="9"/>
  <c r="T963" i="9"/>
  <c r="V963" i="9"/>
  <c r="X963" i="9"/>
  <c r="Z963" i="9"/>
  <c r="D964" i="9"/>
  <c r="F964" i="9"/>
  <c r="G964" i="9"/>
  <c r="H964" i="9"/>
  <c r="J964" i="9"/>
  <c r="L964" i="9"/>
  <c r="M964" i="9"/>
  <c r="N964" i="9"/>
  <c r="P964" i="9"/>
  <c r="R964" i="9"/>
  <c r="S964" i="9"/>
  <c r="T964" i="9"/>
  <c r="V964" i="9"/>
  <c r="X964" i="9"/>
  <c r="Z964" i="9"/>
  <c r="D965" i="9"/>
  <c r="F965" i="9"/>
  <c r="G965" i="9"/>
  <c r="H965" i="9"/>
  <c r="J965" i="9"/>
  <c r="L965" i="9"/>
  <c r="M965" i="9"/>
  <c r="N965" i="9"/>
  <c r="P965" i="9"/>
  <c r="R965" i="9"/>
  <c r="S965" i="9"/>
  <c r="T965" i="9"/>
  <c r="V965" i="9"/>
  <c r="X965" i="9"/>
  <c r="Z965" i="9"/>
  <c r="D966" i="9"/>
  <c r="F966" i="9"/>
  <c r="G966" i="9"/>
  <c r="H966" i="9"/>
  <c r="J966" i="9"/>
  <c r="L966" i="9"/>
  <c r="M966" i="9"/>
  <c r="N966" i="9"/>
  <c r="P966" i="9"/>
  <c r="R966" i="9"/>
  <c r="S966" i="9"/>
  <c r="T966" i="9"/>
  <c r="V966" i="9"/>
  <c r="X966" i="9"/>
  <c r="Z966" i="9"/>
  <c r="D967" i="9"/>
  <c r="F967" i="9"/>
  <c r="G967" i="9"/>
  <c r="H967" i="9"/>
  <c r="J967" i="9"/>
  <c r="L967" i="9"/>
  <c r="M967" i="9"/>
  <c r="N967" i="9"/>
  <c r="P967" i="9"/>
  <c r="R967" i="9"/>
  <c r="S967" i="9"/>
  <c r="T967" i="9"/>
  <c r="V967" i="9"/>
  <c r="X967" i="9"/>
  <c r="Z967" i="9"/>
  <c r="D968" i="9"/>
  <c r="F968" i="9"/>
  <c r="G968" i="9"/>
  <c r="H968" i="9"/>
  <c r="J968" i="9"/>
  <c r="L968" i="9"/>
  <c r="M968" i="9"/>
  <c r="N968" i="9"/>
  <c r="P968" i="9"/>
  <c r="R968" i="9"/>
  <c r="S968" i="9"/>
  <c r="T968" i="9"/>
  <c r="V968" i="9"/>
  <c r="X968" i="9"/>
  <c r="Z968" i="9"/>
  <c r="D969" i="9"/>
  <c r="F969" i="9"/>
  <c r="G969" i="9"/>
  <c r="H969" i="9"/>
  <c r="J969" i="9"/>
  <c r="L969" i="9"/>
  <c r="M969" i="9"/>
  <c r="N969" i="9"/>
  <c r="P969" i="9"/>
  <c r="R969" i="9"/>
  <c r="S969" i="9"/>
  <c r="T969" i="9"/>
  <c r="V969" i="9"/>
  <c r="X969" i="9"/>
  <c r="Z969" i="9"/>
  <c r="D970" i="9"/>
  <c r="F970" i="9"/>
  <c r="G970" i="9"/>
  <c r="H970" i="9"/>
  <c r="J970" i="9"/>
  <c r="L970" i="9"/>
  <c r="M970" i="9"/>
  <c r="N970" i="9"/>
  <c r="P970" i="9"/>
  <c r="R970" i="9"/>
  <c r="S970" i="9"/>
  <c r="T970" i="9"/>
  <c r="V970" i="9"/>
  <c r="X970" i="9"/>
  <c r="Z970" i="9"/>
  <c r="D971" i="9"/>
  <c r="F971" i="9"/>
  <c r="G971" i="9"/>
  <c r="H971" i="9"/>
  <c r="J971" i="9"/>
  <c r="L971" i="9"/>
  <c r="M971" i="9"/>
  <c r="N971" i="9"/>
  <c r="P971" i="9"/>
  <c r="R971" i="9"/>
  <c r="S971" i="9"/>
  <c r="T971" i="9"/>
  <c r="V971" i="9"/>
  <c r="X971" i="9"/>
  <c r="Z971" i="9"/>
  <c r="D972" i="9"/>
  <c r="F972" i="9"/>
  <c r="G972" i="9"/>
  <c r="H972" i="9"/>
  <c r="J972" i="9"/>
  <c r="L972" i="9"/>
  <c r="M972" i="9"/>
  <c r="N972" i="9"/>
  <c r="P972" i="9"/>
  <c r="R972" i="9"/>
  <c r="S972" i="9"/>
  <c r="T972" i="9"/>
  <c r="V972" i="9"/>
  <c r="X972" i="9"/>
  <c r="Z972" i="9"/>
  <c r="D973" i="9"/>
  <c r="F973" i="9"/>
  <c r="G973" i="9"/>
  <c r="H973" i="9"/>
  <c r="J973" i="9"/>
  <c r="L973" i="9"/>
  <c r="M973" i="9"/>
  <c r="N973" i="9"/>
  <c r="P973" i="9"/>
  <c r="R973" i="9"/>
  <c r="S973" i="9"/>
  <c r="T973" i="9"/>
  <c r="V973" i="9"/>
  <c r="X973" i="9"/>
  <c r="Z973" i="9"/>
  <c r="D974" i="9"/>
  <c r="F974" i="9"/>
  <c r="G974" i="9"/>
  <c r="H974" i="9"/>
  <c r="J974" i="9"/>
  <c r="L974" i="9"/>
  <c r="M974" i="9"/>
  <c r="N974" i="9"/>
  <c r="P974" i="9"/>
  <c r="R974" i="9"/>
  <c r="S974" i="9"/>
  <c r="T974" i="9"/>
  <c r="V974" i="9"/>
  <c r="X974" i="9"/>
  <c r="Z974" i="9"/>
  <c r="D975" i="9"/>
  <c r="F975" i="9"/>
  <c r="G975" i="9"/>
  <c r="H975" i="9"/>
  <c r="J975" i="9"/>
  <c r="L975" i="9"/>
  <c r="M975" i="9"/>
  <c r="N975" i="9"/>
  <c r="P975" i="9"/>
  <c r="R975" i="9"/>
  <c r="S975" i="9"/>
  <c r="T975" i="9"/>
  <c r="V975" i="9"/>
  <c r="X975" i="9"/>
  <c r="Z975" i="9"/>
  <c r="D976" i="9"/>
  <c r="F976" i="9"/>
  <c r="G976" i="9"/>
  <c r="H976" i="9"/>
  <c r="J976" i="9"/>
  <c r="L976" i="9"/>
  <c r="M976" i="9"/>
  <c r="N976" i="9"/>
  <c r="P976" i="9"/>
  <c r="R976" i="9"/>
  <c r="S976" i="9"/>
  <c r="T976" i="9"/>
  <c r="V976" i="9"/>
  <c r="X976" i="9"/>
  <c r="Z976" i="9"/>
  <c r="D977" i="9"/>
  <c r="F977" i="9"/>
  <c r="G977" i="9"/>
  <c r="H977" i="9"/>
  <c r="J977" i="9"/>
  <c r="L977" i="9"/>
  <c r="M977" i="9"/>
  <c r="N977" i="9"/>
  <c r="P977" i="9"/>
  <c r="R977" i="9"/>
  <c r="S977" i="9"/>
  <c r="T977" i="9"/>
  <c r="V977" i="9"/>
  <c r="X977" i="9"/>
  <c r="Z977" i="9"/>
  <c r="D978" i="9"/>
  <c r="F978" i="9"/>
  <c r="G978" i="9"/>
  <c r="H978" i="9"/>
  <c r="J978" i="9"/>
  <c r="L978" i="9"/>
  <c r="M978" i="9"/>
  <c r="N978" i="9"/>
  <c r="P978" i="9"/>
  <c r="R978" i="9"/>
  <c r="S978" i="9"/>
  <c r="T978" i="9"/>
  <c r="V978" i="9"/>
  <c r="X978" i="9"/>
  <c r="Z978" i="9"/>
  <c r="D979" i="9"/>
  <c r="F979" i="9"/>
  <c r="G979" i="9"/>
  <c r="H979" i="9"/>
  <c r="J979" i="9"/>
  <c r="L979" i="9"/>
  <c r="M979" i="9"/>
  <c r="N979" i="9"/>
  <c r="P979" i="9"/>
  <c r="R979" i="9"/>
  <c r="S979" i="9"/>
  <c r="T979" i="9"/>
  <c r="V979" i="9"/>
  <c r="X979" i="9"/>
  <c r="Z979" i="9"/>
  <c r="D980" i="9"/>
  <c r="F980" i="9"/>
  <c r="G980" i="9"/>
  <c r="H980" i="9"/>
  <c r="J980" i="9"/>
  <c r="L980" i="9"/>
  <c r="M980" i="9"/>
  <c r="N980" i="9"/>
  <c r="P980" i="9"/>
  <c r="R980" i="9"/>
  <c r="S980" i="9"/>
  <c r="T980" i="9"/>
  <c r="V980" i="9"/>
  <c r="X980" i="9"/>
  <c r="Z980" i="9"/>
  <c r="D981" i="9"/>
  <c r="F981" i="9"/>
  <c r="G981" i="9"/>
  <c r="H981" i="9"/>
  <c r="J981" i="9"/>
  <c r="L981" i="9"/>
  <c r="M981" i="9"/>
  <c r="N981" i="9"/>
  <c r="P981" i="9"/>
  <c r="R981" i="9"/>
  <c r="S981" i="9"/>
  <c r="T981" i="9"/>
  <c r="V981" i="9"/>
  <c r="X981" i="9"/>
  <c r="Z981" i="9"/>
  <c r="D982" i="9"/>
  <c r="F982" i="9"/>
  <c r="G982" i="9"/>
  <c r="H982" i="9"/>
  <c r="J982" i="9"/>
  <c r="L982" i="9"/>
  <c r="M982" i="9"/>
  <c r="N982" i="9"/>
  <c r="P982" i="9"/>
  <c r="R982" i="9"/>
  <c r="S982" i="9"/>
  <c r="T982" i="9"/>
  <c r="V982" i="9"/>
  <c r="X982" i="9"/>
  <c r="Z982" i="9"/>
  <c r="D983" i="9"/>
  <c r="F983" i="9"/>
  <c r="G983" i="9"/>
  <c r="H983" i="9"/>
  <c r="J983" i="9"/>
  <c r="L983" i="9"/>
  <c r="M983" i="9"/>
  <c r="N983" i="9"/>
  <c r="P983" i="9"/>
  <c r="R983" i="9"/>
  <c r="S983" i="9"/>
  <c r="T983" i="9"/>
  <c r="V983" i="9"/>
  <c r="X983" i="9"/>
  <c r="Z983" i="9"/>
  <c r="D984" i="9"/>
  <c r="F984" i="9"/>
  <c r="G984" i="9"/>
  <c r="H984" i="9"/>
  <c r="J984" i="9"/>
  <c r="L984" i="9"/>
  <c r="M984" i="9"/>
  <c r="N984" i="9"/>
  <c r="P984" i="9"/>
  <c r="R984" i="9"/>
  <c r="S984" i="9"/>
  <c r="T984" i="9"/>
  <c r="V984" i="9"/>
  <c r="X984" i="9"/>
  <c r="Z984" i="9"/>
  <c r="D985" i="9"/>
  <c r="F985" i="9"/>
  <c r="G985" i="9"/>
  <c r="H985" i="9"/>
  <c r="J985" i="9"/>
  <c r="L985" i="9"/>
  <c r="M985" i="9"/>
  <c r="N985" i="9"/>
  <c r="P985" i="9"/>
  <c r="R985" i="9"/>
  <c r="S985" i="9"/>
  <c r="T985" i="9"/>
  <c r="V985" i="9"/>
  <c r="X985" i="9"/>
  <c r="Z985" i="9"/>
  <c r="D986" i="9"/>
  <c r="F986" i="9"/>
  <c r="G986" i="9"/>
  <c r="H986" i="9"/>
  <c r="J986" i="9"/>
  <c r="L986" i="9"/>
  <c r="M986" i="9"/>
  <c r="N986" i="9"/>
  <c r="P986" i="9"/>
  <c r="R986" i="9"/>
  <c r="S986" i="9"/>
  <c r="T986" i="9"/>
  <c r="V986" i="9"/>
  <c r="X986" i="9"/>
  <c r="Z986" i="9"/>
  <c r="D987" i="9"/>
  <c r="F987" i="9"/>
  <c r="G987" i="9"/>
  <c r="H987" i="9"/>
  <c r="J987" i="9"/>
  <c r="L987" i="9"/>
  <c r="M987" i="9"/>
  <c r="N987" i="9"/>
  <c r="P987" i="9"/>
  <c r="R987" i="9"/>
  <c r="S987" i="9"/>
  <c r="T987" i="9"/>
  <c r="V987" i="9"/>
  <c r="X987" i="9"/>
  <c r="Z987" i="9"/>
  <c r="D988" i="9"/>
  <c r="F988" i="9"/>
  <c r="G988" i="9"/>
  <c r="H988" i="9"/>
  <c r="J988" i="9"/>
  <c r="L988" i="9"/>
  <c r="M988" i="9"/>
  <c r="N988" i="9"/>
  <c r="P988" i="9"/>
  <c r="R988" i="9"/>
  <c r="S988" i="9"/>
  <c r="T988" i="9"/>
  <c r="V988" i="9"/>
  <c r="X988" i="9"/>
  <c r="Z988" i="9"/>
  <c r="D989" i="9"/>
  <c r="F989" i="9"/>
  <c r="G989" i="9"/>
  <c r="H989" i="9"/>
  <c r="J989" i="9"/>
  <c r="L989" i="9"/>
  <c r="M989" i="9"/>
  <c r="N989" i="9"/>
  <c r="P989" i="9"/>
  <c r="R989" i="9"/>
  <c r="S989" i="9"/>
  <c r="T989" i="9"/>
  <c r="V989" i="9"/>
  <c r="X989" i="9"/>
  <c r="Z989" i="9"/>
  <c r="D990" i="9"/>
  <c r="F990" i="9"/>
  <c r="G990" i="9"/>
  <c r="H990" i="9"/>
  <c r="J990" i="9"/>
  <c r="L990" i="9"/>
  <c r="M990" i="9"/>
  <c r="N990" i="9"/>
  <c r="P990" i="9"/>
  <c r="R990" i="9"/>
  <c r="S990" i="9"/>
  <c r="T990" i="9"/>
  <c r="V990" i="9"/>
  <c r="X990" i="9"/>
  <c r="Z990" i="9"/>
  <c r="D991" i="9"/>
  <c r="F991" i="9"/>
  <c r="G991" i="9"/>
  <c r="H991" i="9"/>
  <c r="J991" i="9"/>
  <c r="L991" i="9"/>
  <c r="M991" i="9"/>
  <c r="N991" i="9"/>
  <c r="P991" i="9"/>
  <c r="R991" i="9"/>
  <c r="S991" i="9"/>
  <c r="T991" i="9"/>
  <c r="V991" i="9"/>
  <c r="X991" i="9"/>
  <c r="Z991" i="9"/>
  <c r="D992" i="9"/>
  <c r="F992" i="9"/>
  <c r="G992" i="9"/>
  <c r="H992" i="9"/>
  <c r="J992" i="9"/>
  <c r="L992" i="9"/>
  <c r="M992" i="9"/>
  <c r="N992" i="9"/>
  <c r="P992" i="9"/>
  <c r="R992" i="9"/>
  <c r="S992" i="9"/>
  <c r="T992" i="9"/>
  <c r="V992" i="9"/>
  <c r="X992" i="9"/>
  <c r="Z992" i="9"/>
  <c r="D993" i="9"/>
  <c r="F993" i="9"/>
  <c r="G993" i="9"/>
  <c r="H993" i="9"/>
  <c r="J993" i="9"/>
  <c r="L993" i="9"/>
  <c r="M993" i="9"/>
  <c r="N993" i="9"/>
  <c r="P993" i="9"/>
  <c r="R993" i="9"/>
  <c r="S993" i="9"/>
  <c r="T993" i="9"/>
  <c r="V993" i="9"/>
  <c r="X993" i="9"/>
  <c r="Z993" i="9"/>
  <c r="D994" i="9"/>
  <c r="F994" i="9"/>
  <c r="G994" i="9"/>
  <c r="H994" i="9"/>
  <c r="J994" i="9"/>
  <c r="L994" i="9"/>
  <c r="M994" i="9"/>
  <c r="N994" i="9"/>
  <c r="P994" i="9"/>
  <c r="R994" i="9"/>
  <c r="S994" i="9"/>
  <c r="T994" i="9"/>
  <c r="V994" i="9"/>
  <c r="X994" i="9"/>
  <c r="Z994" i="9"/>
  <c r="D995" i="9"/>
  <c r="F995" i="9"/>
  <c r="G995" i="9"/>
  <c r="H995" i="9"/>
  <c r="J995" i="9"/>
  <c r="L995" i="9"/>
  <c r="M995" i="9"/>
  <c r="N995" i="9"/>
  <c r="P995" i="9"/>
  <c r="R995" i="9"/>
  <c r="S995" i="9"/>
  <c r="T995" i="9"/>
  <c r="V995" i="9"/>
  <c r="X995" i="9"/>
  <c r="Z995" i="9"/>
  <c r="D996" i="9"/>
  <c r="F996" i="9"/>
  <c r="G996" i="9"/>
  <c r="H996" i="9"/>
  <c r="J996" i="9"/>
  <c r="L996" i="9"/>
  <c r="M996" i="9"/>
  <c r="N996" i="9"/>
  <c r="P996" i="9"/>
  <c r="R996" i="9"/>
  <c r="S996" i="9"/>
  <c r="T996" i="9"/>
  <c r="V996" i="9"/>
  <c r="X996" i="9"/>
  <c r="Z996" i="9"/>
  <c r="D997" i="9"/>
  <c r="F997" i="9"/>
  <c r="G997" i="9"/>
  <c r="H997" i="9"/>
  <c r="J997" i="9"/>
  <c r="L997" i="9"/>
  <c r="M997" i="9"/>
  <c r="N997" i="9"/>
  <c r="P997" i="9"/>
  <c r="R997" i="9"/>
  <c r="S997" i="9"/>
  <c r="T997" i="9"/>
  <c r="V997" i="9"/>
  <c r="X997" i="9"/>
  <c r="Z997" i="9"/>
  <c r="D998" i="9"/>
  <c r="F998" i="9"/>
  <c r="G998" i="9"/>
  <c r="H998" i="9"/>
  <c r="J998" i="9"/>
  <c r="L998" i="9"/>
  <c r="M998" i="9"/>
  <c r="N998" i="9"/>
  <c r="P998" i="9"/>
  <c r="R998" i="9"/>
  <c r="S998" i="9"/>
  <c r="T998" i="9"/>
  <c r="V998" i="9"/>
  <c r="X998" i="9"/>
  <c r="Z998" i="9"/>
  <c r="D999" i="9"/>
  <c r="F999" i="9"/>
  <c r="G999" i="9"/>
  <c r="H999" i="9"/>
  <c r="J999" i="9"/>
  <c r="L999" i="9"/>
  <c r="M999" i="9"/>
  <c r="N999" i="9"/>
  <c r="P999" i="9"/>
  <c r="R999" i="9"/>
  <c r="S999" i="9"/>
  <c r="T999" i="9"/>
  <c r="V999" i="9"/>
  <c r="X999" i="9"/>
  <c r="Z999" i="9"/>
  <c r="D1000" i="9"/>
  <c r="F1000" i="9"/>
  <c r="G1000" i="9"/>
  <c r="H1000" i="9"/>
  <c r="J1000" i="9"/>
  <c r="L1000" i="9"/>
  <c r="M1000" i="9"/>
  <c r="N1000" i="9"/>
  <c r="P1000" i="9"/>
  <c r="R1000" i="9"/>
  <c r="S1000" i="9"/>
  <c r="T1000" i="9"/>
  <c r="V1000" i="9"/>
  <c r="X1000" i="9"/>
  <c r="Z1000" i="9"/>
  <c r="D1001" i="9"/>
  <c r="F1001" i="9"/>
  <c r="G1001" i="9"/>
  <c r="H1001" i="9"/>
  <c r="J1001" i="9"/>
  <c r="L1001" i="9"/>
  <c r="M1001" i="9"/>
  <c r="N1001" i="9"/>
  <c r="P1001" i="9"/>
  <c r="R1001" i="9"/>
  <c r="S1001" i="9"/>
  <c r="T1001" i="9"/>
  <c r="V1001" i="9"/>
  <c r="X1001" i="9"/>
  <c r="Z1001" i="9"/>
  <c r="D1002" i="9"/>
  <c r="F1002" i="9"/>
  <c r="G1002" i="9"/>
  <c r="H1002" i="9"/>
  <c r="J1002" i="9"/>
  <c r="L1002" i="9"/>
  <c r="M1002" i="9"/>
  <c r="N1002" i="9"/>
  <c r="P1002" i="9"/>
  <c r="R1002" i="9"/>
  <c r="S1002" i="9"/>
  <c r="T1002" i="9"/>
  <c r="V1002" i="9"/>
  <c r="X1002" i="9"/>
  <c r="Z1002" i="9"/>
  <c r="D1003" i="9"/>
  <c r="F1003" i="9"/>
  <c r="G1003" i="9"/>
  <c r="H1003" i="9"/>
  <c r="J1003" i="9"/>
  <c r="L1003" i="9"/>
  <c r="M1003" i="9"/>
  <c r="N1003" i="9"/>
  <c r="P1003" i="9"/>
  <c r="R1003" i="9"/>
  <c r="S1003" i="9"/>
  <c r="T1003" i="9"/>
  <c r="V1003" i="9"/>
  <c r="X1003" i="9"/>
  <c r="Z1003" i="9"/>
  <c r="D1004" i="9"/>
  <c r="F1004" i="9"/>
  <c r="G1004" i="9"/>
  <c r="H1004" i="9"/>
  <c r="J1004" i="9"/>
  <c r="L1004" i="9"/>
  <c r="M1004" i="9"/>
  <c r="N1004" i="9"/>
  <c r="P1004" i="9"/>
  <c r="R1004" i="9"/>
  <c r="S1004" i="9"/>
  <c r="T1004" i="9"/>
  <c r="V1004" i="9"/>
  <c r="X1004" i="9"/>
  <c r="Z1004" i="9"/>
  <c r="D1005" i="9"/>
  <c r="F1005" i="9"/>
  <c r="G1005" i="9"/>
  <c r="H1005" i="9"/>
  <c r="J1005" i="9"/>
  <c r="L1005" i="9"/>
  <c r="M1005" i="9"/>
  <c r="N1005" i="9"/>
  <c r="P1005" i="9"/>
  <c r="R1005" i="9"/>
  <c r="S1005" i="9"/>
  <c r="T1005" i="9"/>
  <c r="V1005" i="9"/>
  <c r="X1005" i="9"/>
  <c r="Z1005" i="9"/>
  <c r="D1006" i="9"/>
  <c r="F1006" i="9"/>
  <c r="G1006" i="9"/>
  <c r="H1006" i="9"/>
  <c r="J1006" i="9"/>
  <c r="L1006" i="9"/>
  <c r="M1006" i="9"/>
  <c r="N1006" i="9"/>
  <c r="P1006" i="9"/>
  <c r="R1006" i="9"/>
  <c r="S1006" i="9"/>
  <c r="T1006" i="9"/>
  <c r="V1006" i="9"/>
  <c r="X1006" i="9"/>
  <c r="Z1006" i="9"/>
  <c r="D1007" i="9"/>
  <c r="F1007" i="9"/>
  <c r="G1007" i="9"/>
  <c r="H1007" i="9"/>
  <c r="J1007" i="9"/>
  <c r="L1007" i="9"/>
  <c r="M1007" i="9"/>
  <c r="N1007" i="9"/>
  <c r="P1007" i="9"/>
  <c r="R1007" i="9"/>
  <c r="S1007" i="9"/>
  <c r="T1007" i="9"/>
  <c r="V1007" i="9"/>
  <c r="X1007" i="9"/>
  <c r="Z1007" i="9"/>
  <c r="D1008" i="9"/>
  <c r="F1008" i="9"/>
  <c r="G1008" i="9"/>
  <c r="H1008" i="9"/>
  <c r="J1008" i="9"/>
  <c r="L1008" i="9"/>
  <c r="M1008" i="9"/>
  <c r="N1008" i="9"/>
  <c r="P1008" i="9"/>
  <c r="R1008" i="9"/>
  <c r="S1008" i="9"/>
  <c r="T1008" i="9"/>
  <c r="V1008" i="9"/>
  <c r="X1008" i="9"/>
  <c r="Z1008" i="9"/>
  <c r="D1009" i="9"/>
  <c r="F1009" i="9"/>
  <c r="G1009" i="9"/>
  <c r="H1009" i="9"/>
  <c r="J1009" i="9"/>
  <c r="L1009" i="9"/>
  <c r="M1009" i="9"/>
  <c r="N1009" i="9"/>
  <c r="P1009" i="9"/>
  <c r="R1009" i="9"/>
  <c r="S1009" i="9"/>
  <c r="T1009" i="9"/>
  <c r="V1009" i="9"/>
  <c r="X1009" i="9"/>
  <c r="Z1009" i="9"/>
  <c r="D1010" i="9"/>
  <c r="F1010" i="9"/>
  <c r="G1010" i="9"/>
  <c r="H1010" i="9"/>
  <c r="J1010" i="9"/>
  <c r="L1010" i="9"/>
  <c r="M1010" i="9"/>
  <c r="N1010" i="9"/>
  <c r="P1010" i="9"/>
  <c r="R1010" i="9"/>
  <c r="S1010" i="9"/>
  <c r="T1010" i="9"/>
  <c r="V1010" i="9"/>
  <c r="X1010" i="9"/>
  <c r="Z1010" i="9"/>
  <c r="D1011" i="9"/>
  <c r="F1011" i="9"/>
  <c r="G1011" i="9"/>
  <c r="H1011" i="9"/>
  <c r="J1011" i="9"/>
  <c r="L1011" i="9"/>
  <c r="M1011" i="9"/>
  <c r="N1011" i="9"/>
  <c r="P1011" i="9"/>
  <c r="R1011" i="9"/>
  <c r="S1011" i="9"/>
  <c r="T1011" i="9"/>
  <c r="V1011" i="9"/>
  <c r="X1011" i="9"/>
  <c r="Z1011" i="9"/>
  <c r="D1012" i="9"/>
  <c r="F1012" i="9"/>
  <c r="G1012" i="9"/>
  <c r="H1012" i="9"/>
  <c r="J1012" i="9"/>
  <c r="L1012" i="9"/>
  <c r="M1012" i="9"/>
  <c r="N1012" i="9"/>
  <c r="P1012" i="9"/>
  <c r="R1012" i="9"/>
  <c r="S1012" i="9"/>
  <c r="T1012" i="9"/>
  <c r="V1012" i="9"/>
  <c r="X1012" i="9"/>
  <c r="Z1012" i="9"/>
  <c r="D1013" i="9"/>
  <c r="F1013" i="9"/>
  <c r="G1013" i="9"/>
  <c r="H1013" i="9"/>
  <c r="J1013" i="9"/>
  <c r="L1013" i="9"/>
  <c r="M1013" i="9"/>
  <c r="N1013" i="9"/>
  <c r="P1013" i="9"/>
  <c r="R1013" i="9"/>
  <c r="S1013" i="9"/>
  <c r="T1013" i="9"/>
  <c r="V1013" i="9"/>
  <c r="X1013" i="9"/>
  <c r="Z1013" i="9"/>
  <c r="D1014" i="9"/>
  <c r="F1014" i="9"/>
  <c r="G1014" i="9"/>
  <c r="H1014" i="9"/>
  <c r="J1014" i="9"/>
  <c r="L1014" i="9"/>
  <c r="M1014" i="9"/>
  <c r="N1014" i="9"/>
  <c r="P1014" i="9"/>
  <c r="R1014" i="9"/>
  <c r="S1014" i="9"/>
  <c r="T1014" i="9"/>
  <c r="V1014" i="9"/>
  <c r="X1014" i="9"/>
  <c r="Z1014" i="9"/>
  <c r="D1015" i="9"/>
  <c r="F1015" i="9"/>
  <c r="G1015" i="9"/>
  <c r="H1015" i="9"/>
  <c r="J1015" i="9"/>
  <c r="L1015" i="9"/>
  <c r="M1015" i="9"/>
  <c r="N1015" i="9"/>
  <c r="P1015" i="9"/>
  <c r="R1015" i="9"/>
  <c r="S1015" i="9"/>
  <c r="T1015" i="9"/>
  <c r="V1015" i="9"/>
  <c r="X1015" i="9"/>
  <c r="Z1015" i="9"/>
  <c r="D1016" i="9"/>
  <c r="F1016" i="9"/>
  <c r="G1016" i="9"/>
  <c r="H1016" i="9"/>
  <c r="J1016" i="9"/>
  <c r="L1016" i="9"/>
  <c r="M1016" i="9"/>
  <c r="N1016" i="9"/>
  <c r="P1016" i="9"/>
  <c r="R1016" i="9"/>
  <c r="S1016" i="9"/>
  <c r="T1016" i="9"/>
  <c r="V1016" i="9"/>
  <c r="X1016" i="9"/>
  <c r="Z1016" i="9"/>
  <c r="D1017" i="9"/>
  <c r="F1017" i="9"/>
  <c r="G1017" i="9"/>
  <c r="H1017" i="9"/>
  <c r="J1017" i="9"/>
  <c r="L1017" i="9"/>
  <c r="M1017" i="9"/>
  <c r="N1017" i="9"/>
  <c r="P1017" i="9"/>
  <c r="R1017" i="9"/>
  <c r="S1017" i="9"/>
  <c r="T1017" i="9"/>
  <c r="V1017" i="9"/>
  <c r="X1017" i="9"/>
  <c r="Z1017" i="9"/>
  <c r="D1018" i="9"/>
  <c r="F1018" i="9"/>
  <c r="G1018" i="9"/>
  <c r="H1018" i="9"/>
  <c r="J1018" i="9"/>
  <c r="L1018" i="9"/>
  <c r="M1018" i="9"/>
  <c r="N1018" i="9"/>
  <c r="P1018" i="9"/>
  <c r="R1018" i="9"/>
  <c r="S1018" i="9"/>
  <c r="T1018" i="9"/>
  <c r="V1018" i="9"/>
  <c r="X1018" i="9"/>
  <c r="Z1018" i="9"/>
  <c r="D1019" i="9"/>
  <c r="F1019" i="9"/>
  <c r="G1019" i="9"/>
  <c r="H1019" i="9"/>
  <c r="J1019" i="9"/>
  <c r="L1019" i="9"/>
  <c r="M1019" i="9"/>
  <c r="N1019" i="9"/>
  <c r="P1019" i="9"/>
  <c r="R1019" i="9"/>
  <c r="S1019" i="9"/>
  <c r="T1019" i="9"/>
  <c r="V1019" i="9"/>
  <c r="X1019" i="9"/>
  <c r="Z1019" i="9"/>
  <c r="D1020" i="9"/>
  <c r="F1020" i="9"/>
  <c r="G1020" i="9"/>
  <c r="H1020" i="9"/>
  <c r="J1020" i="9"/>
  <c r="L1020" i="9"/>
  <c r="M1020" i="9"/>
  <c r="N1020" i="9"/>
  <c r="P1020" i="9"/>
  <c r="R1020" i="9"/>
  <c r="S1020" i="9"/>
  <c r="T1020" i="9"/>
  <c r="V1020" i="9"/>
  <c r="X1020" i="9"/>
  <c r="Z1020" i="9"/>
  <c r="D1021" i="9"/>
  <c r="F1021" i="9"/>
  <c r="G1021" i="9"/>
  <c r="H1021" i="9"/>
  <c r="J1021" i="9"/>
  <c r="L1021" i="9"/>
  <c r="M1021" i="9"/>
  <c r="N1021" i="9"/>
  <c r="P1021" i="9"/>
  <c r="R1021" i="9"/>
  <c r="S1021" i="9"/>
  <c r="T1021" i="9"/>
  <c r="V1021" i="9"/>
  <c r="X1021" i="9"/>
  <c r="Z1021" i="9"/>
  <c r="D1022" i="9"/>
  <c r="F1022" i="9"/>
  <c r="G1022" i="9"/>
  <c r="H1022" i="9"/>
  <c r="J1022" i="9"/>
  <c r="L1022" i="9"/>
  <c r="M1022" i="9"/>
  <c r="N1022" i="9"/>
  <c r="P1022" i="9"/>
  <c r="R1022" i="9"/>
  <c r="S1022" i="9"/>
  <c r="T1022" i="9"/>
  <c r="V1022" i="9"/>
  <c r="X1022" i="9"/>
  <c r="Z1022" i="9"/>
  <c r="D1023" i="9"/>
  <c r="F1023" i="9"/>
  <c r="G1023" i="9"/>
  <c r="H1023" i="9"/>
  <c r="J1023" i="9"/>
  <c r="L1023" i="9"/>
  <c r="M1023" i="9"/>
  <c r="N1023" i="9"/>
  <c r="P1023" i="9"/>
  <c r="R1023" i="9"/>
  <c r="S1023" i="9"/>
  <c r="T1023" i="9"/>
  <c r="V1023" i="9"/>
  <c r="X1023" i="9"/>
  <c r="Z1023" i="9"/>
  <c r="D1024" i="9"/>
  <c r="F1024" i="9"/>
  <c r="G1024" i="9"/>
  <c r="H1024" i="9"/>
  <c r="J1024" i="9"/>
  <c r="L1024" i="9"/>
  <c r="M1024" i="9"/>
  <c r="N1024" i="9"/>
  <c r="P1024" i="9"/>
  <c r="R1024" i="9"/>
  <c r="S1024" i="9"/>
  <c r="T1024" i="9"/>
  <c r="V1024" i="9"/>
  <c r="X1024" i="9"/>
  <c r="Z1024" i="9"/>
  <c r="D1025" i="9"/>
  <c r="F1025" i="9"/>
  <c r="G1025" i="9"/>
  <c r="H1025" i="9"/>
  <c r="J1025" i="9"/>
  <c r="L1025" i="9"/>
  <c r="M1025" i="9"/>
  <c r="N1025" i="9"/>
  <c r="P1025" i="9"/>
  <c r="R1025" i="9"/>
  <c r="S1025" i="9"/>
  <c r="T1025" i="9"/>
  <c r="V1025" i="9"/>
  <c r="X1025" i="9"/>
  <c r="Z1025" i="9"/>
  <c r="D1026" i="9"/>
  <c r="F1026" i="9"/>
  <c r="G1026" i="9"/>
  <c r="H1026" i="9"/>
  <c r="J1026" i="9"/>
  <c r="L1026" i="9"/>
  <c r="M1026" i="9"/>
  <c r="N1026" i="9"/>
  <c r="P1026" i="9"/>
  <c r="R1026" i="9"/>
  <c r="S1026" i="9"/>
  <c r="T1026" i="9"/>
  <c r="V1026" i="9"/>
  <c r="X1026" i="9"/>
  <c r="Z1026" i="9"/>
  <c r="D1027" i="9"/>
  <c r="F1027" i="9"/>
  <c r="G1027" i="9"/>
  <c r="H1027" i="9"/>
  <c r="J1027" i="9"/>
  <c r="L1027" i="9"/>
  <c r="M1027" i="9"/>
  <c r="N1027" i="9"/>
  <c r="P1027" i="9"/>
  <c r="R1027" i="9"/>
  <c r="S1027" i="9"/>
  <c r="T1027" i="9"/>
  <c r="V1027" i="9"/>
  <c r="X1027" i="9"/>
  <c r="Z1027" i="9"/>
  <c r="D1028" i="9"/>
  <c r="F1028" i="9"/>
  <c r="G1028" i="9"/>
  <c r="H1028" i="9"/>
  <c r="J1028" i="9"/>
  <c r="L1028" i="9"/>
  <c r="M1028" i="9"/>
  <c r="N1028" i="9"/>
  <c r="P1028" i="9"/>
  <c r="R1028" i="9"/>
  <c r="S1028" i="9"/>
  <c r="T1028" i="9"/>
  <c r="V1028" i="9"/>
  <c r="X1028" i="9"/>
  <c r="Z1028" i="9"/>
  <c r="D1029" i="9"/>
  <c r="F1029" i="9"/>
  <c r="G1029" i="9"/>
  <c r="H1029" i="9"/>
  <c r="J1029" i="9"/>
  <c r="L1029" i="9"/>
  <c r="M1029" i="9"/>
  <c r="N1029" i="9"/>
  <c r="P1029" i="9"/>
  <c r="R1029" i="9"/>
  <c r="S1029" i="9"/>
  <c r="T1029" i="9"/>
  <c r="V1029" i="9"/>
  <c r="X1029" i="9"/>
  <c r="Z1029" i="9"/>
  <c r="D1030" i="9"/>
  <c r="F1030" i="9"/>
  <c r="G1030" i="9"/>
  <c r="H1030" i="9"/>
  <c r="J1030" i="9"/>
  <c r="L1030" i="9"/>
  <c r="M1030" i="9"/>
  <c r="N1030" i="9"/>
  <c r="P1030" i="9"/>
  <c r="R1030" i="9"/>
  <c r="S1030" i="9"/>
  <c r="T1030" i="9"/>
  <c r="V1030" i="9"/>
  <c r="X1030" i="9"/>
  <c r="Z1030" i="9"/>
  <c r="D1031" i="9"/>
  <c r="F1031" i="9"/>
  <c r="G1031" i="9"/>
  <c r="H1031" i="9"/>
  <c r="J1031" i="9"/>
  <c r="L1031" i="9"/>
  <c r="M1031" i="9"/>
  <c r="N1031" i="9"/>
  <c r="P1031" i="9"/>
  <c r="R1031" i="9"/>
  <c r="S1031" i="9"/>
  <c r="T1031" i="9"/>
  <c r="V1031" i="9"/>
  <c r="X1031" i="9"/>
  <c r="Z1031" i="9"/>
  <c r="D1032" i="9"/>
  <c r="F1032" i="9"/>
  <c r="G1032" i="9"/>
  <c r="H1032" i="9"/>
  <c r="J1032" i="9"/>
  <c r="L1032" i="9"/>
  <c r="M1032" i="9"/>
  <c r="N1032" i="9"/>
  <c r="P1032" i="9"/>
  <c r="R1032" i="9"/>
  <c r="S1032" i="9"/>
  <c r="T1032" i="9"/>
  <c r="V1032" i="9"/>
  <c r="X1032" i="9"/>
  <c r="Z1032" i="9"/>
  <c r="D1033" i="9"/>
  <c r="F1033" i="9"/>
  <c r="G1033" i="9"/>
  <c r="H1033" i="9"/>
  <c r="J1033" i="9"/>
  <c r="L1033" i="9"/>
  <c r="M1033" i="9"/>
  <c r="N1033" i="9"/>
  <c r="P1033" i="9"/>
  <c r="R1033" i="9"/>
  <c r="S1033" i="9"/>
  <c r="T1033" i="9"/>
  <c r="V1033" i="9"/>
  <c r="X1033" i="9"/>
  <c r="Z1033" i="9"/>
  <c r="D1034" i="9"/>
  <c r="F1034" i="9"/>
  <c r="G1034" i="9"/>
  <c r="H1034" i="9"/>
  <c r="J1034" i="9"/>
  <c r="L1034" i="9"/>
  <c r="M1034" i="9"/>
  <c r="N1034" i="9"/>
  <c r="P1034" i="9"/>
  <c r="R1034" i="9"/>
  <c r="S1034" i="9"/>
  <c r="T1034" i="9"/>
  <c r="V1034" i="9"/>
  <c r="X1034" i="9"/>
  <c r="Z1034" i="9"/>
  <c r="D1035" i="9"/>
  <c r="F1035" i="9"/>
  <c r="G1035" i="9"/>
  <c r="H1035" i="9"/>
  <c r="J1035" i="9"/>
  <c r="L1035" i="9"/>
  <c r="M1035" i="9"/>
  <c r="N1035" i="9"/>
  <c r="P1035" i="9"/>
  <c r="R1035" i="9"/>
  <c r="S1035" i="9"/>
  <c r="T1035" i="9"/>
  <c r="V1035" i="9"/>
  <c r="X1035" i="9"/>
  <c r="Z1035" i="9"/>
  <c r="D1036" i="9"/>
  <c r="F1036" i="9"/>
  <c r="G1036" i="9"/>
  <c r="H1036" i="9"/>
  <c r="J1036" i="9"/>
  <c r="L1036" i="9"/>
  <c r="M1036" i="9"/>
  <c r="N1036" i="9"/>
  <c r="P1036" i="9"/>
  <c r="R1036" i="9"/>
  <c r="S1036" i="9"/>
  <c r="T1036" i="9"/>
  <c r="V1036" i="9"/>
  <c r="X1036" i="9"/>
  <c r="Z1036" i="9"/>
  <c r="D1037" i="9"/>
  <c r="F1037" i="9"/>
  <c r="G1037" i="9"/>
  <c r="H1037" i="9"/>
  <c r="J1037" i="9"/>
  <c r="L1037" i="9"/>
  <c r="M1037" i="9"/>
  <c r="N1037" i="9"/>
  <c r="P1037" i="9"/>
  <c r="R1037" i="9"/>
  <c r="S1037" i="9"/>
  <c r="T1037" i="9"/>
  <c r="V1037" i="9"/>
  <c r="X1037" i="9"/>
  <c r="Z1037" i="9"/>
  <c r="D1038" i="9"/>
  <c r="F1038" i="9"/>
  <c r="G1038" i="9"/>
  <c r="H1038" i="9"/>
  <c r="J1038" i="9"/>
  <c r="L1038" i="9"/>
  <c r="M1038" i="9"/>
  <c r="N1038" i="9"/>
  <c r="P1038" i="9"/>
  <c r="R1038" i="9"/>
  <c r="S1038" i="9"/>
  <c r="T1038" i="9"/>
  <c r="V1038" i="9"/>
  <c r="X1038" i="9"/>
  <c r="Z1038" i="9"/>
  <c r="D1039" i="9"/>
  <c r="F1039" i="9"/>
  <c r="G1039" i="9"/>
  <c r="H1039" i="9"/>
  <c r="J1039" i="9"/>
  <c r="L1039" i="9"/>
  <c r="M1039" i="9"/>
  <c r="N1039" i="9"/>
  <c r="P1039" i="9"/>
  <c r="R1039" i="9"/>
  <c r="S1039" i="9"/>
  <c r="T1039" i="9"/>
  <c r="V1039" i="9"/>
  <c r="X1039" i="9"/>
  <c r="Z1039" i="9"/>
  <c r="D1040" i="9"/>
  <c r="F1040" i="9"/>
  <c r="G1040" i="9"/>
  <c r="H1040" i="9"/>
  <c r="J1040" i="9"/>
  <c r="L1040" i="9"/>
  <c r="M1040" i="9"/>
  <c r="N1040" i="9"/>
  <c r="P1040" i="9"/>
  <c r="R1040" i="9"/>
  <c r="S1040" i="9"/>
  <c r="T1040" i="9"/>
  <c r="V1040" i="9"/>
  <c r="X1040" i="9"/>
  <c r="Z1040" i="9"/>
  <c r="D1041" i="9"/>
  <c r="F1041" i="9"/>
  <c r="G1041" i="9"/>
  <c r="H1041" i="9"/>
  <c r="J1041" i="9"/>
  <c r="L1041" i="9"/>
  <c r="M1041" i="9"/>
  <c r="N1041" i="9"/>
  <c r="P1041" i="9"/>
  <c r="R1041" i="9"/>
  <c r="S1041" i="9"/>
  <c r="T1041" i="9"/>
  <c r="V1041" i="9"/>
  <c r="X1041" i="9"/>
  <c r="Z1041" i="9"/>
  <c r="D1042" i="9"/>
  <c r="F1042" i="9"/>
  <c r="G1042" i="9"/>
  <c r="H1042" i="9"/>
  <c r="J1042" i="9"/>
  <c r="L1042" i="9"/>
  <c r="M1042" i="9"/>
  <c r="N1042" i="9"/>
  <c r="P1042" i="9"/>
  <c r="R1042" i="9"/>
  <c r="S1042" i="9"/>
  <c r="T1042" i="9"/>
  <c r="V1042" i="9"/>
  <c r="X1042" i="9"/>
  <c r="Z1042" i="9"/>
  <c r="D1043" i="9"/>
  <c r="F1043" i="9"/>
  <c r="G1043" i="9"/>
  <c r="H1043" i="9"/>
  <c r="J1043" i="9"/>
  <c r="L1043" i="9"/>
  <c r="M1043" i="9"/>
  <c r="N1043" i="9"/>
  <c r="P1043" i="9"/>
  <c r="R1043" i="9"/>
  <c r="S1043" i="9"/>
  <c r="T1043" i="9"/>
  <c r="V1043" i="9"/>
  <c r="X1043" i="9"/>
  <c r="Z1043" i="9"/>
  <c r="D1044" i="9"/>
  <c r="F1044" i="9"/>
  <c r="G1044" i="9"/>
  <c r="H1044" i="9"/>
  <c r="J1044" i="9"/>
  <c r="L1044" i="9"/>
  <c r="M1044" i="9"/>
  <c r="N1044" i="9"/>
  <c r="P1044" i="9"/>
  <c r="R1044" i="9"/>
  <c r="S1044" i="9"/>
  <c r="T1044" i="9"/>
  <c r="V1044" i="9"/>
  <c r="X1044" i="9"/>
  <c r="Z1044" i="9"/>
  <c r="D1045" i="9"/>
  <c r="F1045" i="9"/>
  <c r="G1045" i="9"/>
  <c r="H1045" i="9"/>
  <c r="J1045" i="9"/>
  <c r="L1045" i="9"/>
  <c r="M1045" i="9"/>
  <c r="N1045" i="9"/>
  <c r="P1045" i="9"/>
  <c r="R1045" i="9"/>
  <c r="S1045" i="9"/>
  <c r="T1045" i="9"/>
  <c r="V1045" i="9"/>
  <c r="X1045" i="9"/>
  <c r="Z1045" i="9"/>
  <c r="D1046" i="9"/>
  <c r="F1046" i="9"/>
  <c r="G1046" i="9"/>
  <c r="H1046" i="9"/>
  <c r="J1046" i="9"/>
  <c r="L1046" i="9"/>
  <c r="M1046" i="9"/>
  <c r="N1046" i="9"/>
  <c r="P1046" i="9"/>
  <c r="R1046" i="9"/>
  <c r="S1046" i="9"/>
  <c r="T1046" i="9"/>
  <c r="V1046" i="9"/>
  <c r="X1046" i="9"/>
  <c r="Z1046" i="9"/>
  <c r="D1047" i="9"/>
  <c r="F1047" i="9"/>
  <c r="G1047" i="9"/>
  <c r="H1047" i="9"/>
  <c r="J1047" i="9"/>
  <c r="L1047" i="9"/>
  <c r="M1047" i="9"/>
  <c r="N1047" i="9"/>
  <c r="P1047" i="9"/>
  <c r="R1047" i="9"/>
  <c r="S1047" i="9"/>
  <c r="T1047" i="9"/>
  <c r="V1047" i="9"/>
  <c r="X1047" i="9"/>
  <c r="Z1047" i="9"/>
  <c r="D1048" i="9"/>
  <c r="F1048" i="9"/>
  <c r="G1048" i="9"/>
  <c r="H1048" i="9"/>
  <c r="J1048" i="9"/>
  <c r="L1048" i="9"/>
  <c r="M1048" i="9"/>
  <c r="N1048" i="9"/>
  <c r="P1048" i="9"/>
  <c r="R1048" i="9"/>
  <c r="S1048" i="9"/>
  <c r="T1048" i="9"/>
  <c r="V1048" i="9"/>
  <c r="X1048" i="9"/>
  <c r="Z1048" i="9"/>
  <c r="D1049" i="9"/>
  <c r="F1049" i="9"/>
  <c r="G1049" i="9"/>
  <c r="H1049" i="9"/>
  <c r="J1049" i="9"/>
  <c r="L1049" i="9"/>
  <c r="M1049" i="9"/>
  <c r="N1049" i="9"/>
  <c r="P1049" i="9"/>
  <c r="R1049" i="9"/>
  <c r="S1049" i="9"/>
  <c r="T1049" i="9"/>
  <c r="V1049" i="9"/>
  <c r="X1049" i="9"/>
  <c r="Z1049" i="9"/>
  <c r="D1050" i="9"/>
  <c r="F1050" i="9"/>
  <c r="G1050" i="9"/>
  <c r="H1050" i="9"/>
  <c r="J1050" i="9"/>
  <c r="L1050" i="9"/>
  <c r="M1050" i="9"/>
  <c r="N1050" i="9"/>
  <c r="P1050" i="9"/>
  <c r="R1050" i="9"/>
  <c r="S1050" i="9"/>
  <c r="T1050" i="9"/>
  <c r="V1050" i="9"/>
  <c r="X1050" i="9"/>
  <c r="Z1050" i="9"/>
  <c r="D1051" i="9"/>
  <c r="F1051" i="9"/>
  <c r="G1051" i="9"/>
  <c r="H1051" i="9"/>
  <c r="J1051" i="9"/>
  <c r="L1051" i="9"/>
  <c r="M1051" i="9"/>
  <c r="N1051" i="9"/>
  <c r="P1051" i="9"/>
  <c r="R1051" i="9"/>
  <c r="S1051" i="9"/>
  <c r="T1051" i="9"/>
  <c r="V1051" i="9"/>
  <c r="X1051" i="9"/>
  <c r="Z1051" i="9"/>
  <c r="D1052" i="9"/>
  <c r="F1052" i="9"/>
  <c r="G1052" i="9"/>
  <c r="H1052" i="9"/>
  <c r="J1052" i="9"/>
  <c r="L1052" i="9"/>
  <c r="M1052" i="9"/>
  <c r="N1052" i="9"/>
  <c r="P1052" i="9"/>
  <c r="R1052" i="9"/>
  <c r="S1052" i="9"/>
  <c r="T1052" i="9"/>
  <c r="V1052" i="9"/>
  <c r="X1052" i="9"/>
  <c r="Z1052" i="9"/>
  <c r="D1053" i="9"/>
  <c r="F1053" i="9"/>
  <c r="G1053" i="9"/>
  <c r="H1053" i="9"/>
  <c r="J1053" i="9"/>
  <c r="L1053" i="9"/>
  <c r="M1053" i="9"/>
  <c r="N1053" i="9"/>
  <c r="P1053" i="9"/>
  <c r="R1053" i="9"/>
  <c r="S1053" i="9"/>
  <c r="T1053" i="9"/>
  <c r="V1053" i="9"/>
  <c r="X1053" i="9"/>
  <c r="Z1053" i="9"/>
  <c r="D1054" i="9"/>
  <c r="F1054" i="9"/>
  <c r="G1054" i="9"/>
  <c r="H1054" i="9"/>
  <c r="J1054" i="9"/>
  <c r="L1054" i="9"/>
  <c r="M1054" i="9"/>
  <c r="N1054" i="9"/>
  <c r="P1054" i="9"/>
  <c r="R1054" i="9"/>
  <c r="S1054" i="9"/>
  <c r="T1054" i="9"/>
  <c r="V1054" i="9"/>
  <c r="X1054" i="9"/>
  <c r="Z1054" i="9"/>
  <c r="D1055" i="9"/>
  <c r="F1055" i="9"/>
  <c r="G1055" i="9"/>
  <c r="H1055" i="9"/>
  <c r="J1055" i="9"/>
  <c r="L1055" i="9"/>
  <c r="M1055" i="9"/>
  <c r="N1055" i="9"/>
  <c r="P1055" i="9"/>
  <c r="R1055" i="9"/>
  <c r="S1055" i="9"/>
  <c r="T1055" i="9"/>
  <c r="V1055" i="9"/>
  <c r="X1055" i="9"/>
  <c r="Z1055" i="9"/>
  <c r="D1056" i="9"/>
  <c r="F1056" i="9"/>
  <c r="G1056" i="9"/>
  <c r="H1056" i="9"/>
  <c r="J1056" i="9"/>
  <c r="L1056" i="9"/>
  <c r="M1056" i="9"/>
  <c r="N1056" i="9"/>
  <c r="P1056" i="9"/>
  <c r="R1056" i="9"/>
  <c r="S1056" i="9"/>
  <c r="T1056" i="9"/>
  <c r="V1056" i="9"/>
  <c r="X1056" i="9"/>
  <c r="Z1056" i="9"/>
  <c r="D1057" i="9"/>
  <c r="F1057" i="9"/>
  <c r="G1057" i="9"/>
  <c r="H1057" i="9"/>
  <c r="J1057" i="9"/>
  <c r="L1057" i="9"/>
  <c r="M1057" i="9"/>
  <c r="N1057" i="9"/>
  <c r="P1057" i="9"/>
  <c r="R1057" i="9"/>
  <c r="S1057" i="9"/>
  <c r="T1057" i="9"/>
  <c r="V1057" i="9"/>
  <c r="X1057" i="9"/>
  <c r="Z1057" i="9"/>
  <c r="D1058" i="9"/>
  <c r="F1058" i="9"/>
  <c r="G1058" i="9"/>
  <c r="H1058" i="9"/>
  <c r="J1058" i="9"/>
  <c r="L1058" i="9"/>
  <c r="M1058" i="9"/>
  <c r="N1058" i="9"/>
  <c r="P1058" i="9"/>
  <c r="R1058" i="9"/>
  <c r="S1058" i="9"/>
  <c r="T1058" i="9"/>
  <c r="V1058" i="9"/>
  <c r="X1058" i="9"/>
  <c r="Z1058" i="9"/>
  <c r="D1059" i="9"/>
  <c r="F1059" i="9"/>
  <c r="G1059" i="9"/>
  <c r="H1059" i="9"/>
  <c r="J1059" i="9"/>
  <c r="L1059" i="9"/>
  <c r="M1059" i="9"/>
  <c r="N1059" i="9"/>
  <c r="P1059" i="9"/>
  <c r="R1059" i="9"/>
  <c r="S1059" i="9"/>
  <c r="T1059" i="9"/>
  <c r="V1059" i="9"/>
  <c r="X1059" i="9"/>
  <c r="Z1059" i="9"/>
  <c r="D1060" i="9"/>
  <c r="F1060" i="9"/>
  <c r="G1060" i="9"/>
  <c r="H1060" i="9"/>
  <c r="J1060" i="9"/>
  <c r="L1060" i="9"/>
  <c r="M1060" i="9"/>
  <c r="N1060" i="9"/>
  <c r="P1060" i="9"/>
  <c r="R1060" i="9"/>
  <c r="S1060" i="9"/>
  <c r="T1060" i="9"/>
  <c r="V1060" i="9"/>
  <c r="X1060" i="9"/>
  <c r="Z1060" i="9"/>
  <c r="D1061" i="9"/>
  <c r="F1061" i="9"/>
  <c r="G1061" i="9"/>
  <c r="H1061" i="9"/>
  <c r="J1061" i="9"/>
  <c r="L1061" i="9"/>
  <c r="M1061" i="9"/>
  <c r="N1061" i="9"/>
  <c r="P1061" i="9"/>
  <c r="R1061" i="9"/>
  <c r="S1061" i="9"/>
  <c r="T1061" i="9"/>
  <c r="V1061" i="9"/>
  <c r="X1061" i="9"/>
  <c r="Z1061" i="9"/>
  <c r="D1062" i="9"/>
  <c r="F1062" i="9"/>
  <c r="G1062" i="9"/>
  <c r="H1062" i="9"/>
  <c r="J1062" i="9"/>
  <c r="L1062" i="9"/>
  <c r="M1062" i="9"/>
  <c r="N1062" i="9"/>
  <c r="P1062" i="9"/>
  <c r="R1062" i="9"/>
  <c r="S1062" i="9"/>
  <c r="T1062" i="9"/>
  <c r="V1062" i="9"/>
  <c r="X1062" i="9"/>
  <c r="Z1062" i="9"/>
  <c r="D1063" i="9"/>
  <c r="F1063" i="9"/>
  <c r="G1063" i="9"/>
  <c r="H1063" i="9"/>
  <c r="J1063" i="9"/>
  <c r="L1063" i="9"/>
  <c r="M1063" i="9"/>
  <c r="N1063" i="9"/>
  <c r="P1063" i="9"/>
  <c r="R1063" i="9"/>
  <c r="S1063" i="9"/>
  <c r="T1063" i="9"/>
  <c r="V1063" i="9"/>
  <c r="X1063" i="9"/>
  <c r="Z1063" i="9"/>
  <c r="D1064" i="9"/>
  <c r="F1064" i="9"/>
  <c r="G1064" i="9"/>
  <c r="H1064" i="9"/>
  <c r="J1064" i="9"/>
  <c r="L1064" i="9"/>
  <c r="M1064" i="9"/>
  <c r="N1064" i="9"/>
  <c r="P1064" i="9"/>
  <c r="R1064" i="9"/>
  <c r="S1064" i="9"/>
  <c r="T1064" i="9"/>
  <c r="V1064" i="9"/>
  <c r="X1064" i="9"/>
  <c r="Z1064" i="9"/>
  <c r="D1065" i="9"/>
  <c r="F1065" i="9"/>
  <c r="G1065" i="9"/>
  <c r="H1065" i="9"/>
  <c r="J1065" i="9"/>
  <c r="L1065" i="9"/>
  <c r="M1065" i="9"/>
  <c r="N1065" i="9"/>
  <c r="P1065" i="9"/>
  <c r="R1065" i="9"/>
  <c r="S1065" i="9"/>
  <c r="T1065" i="9"/>
  <c r="V1065" i="9"/>
  <c r="X1065" i="9"/>
  <c r="Z1065" i="9"/>
  <c r="D1066" i="9"/>
  <c r="F1066" i="9"/>
  <c r="G1066" i="9"/>
  <c r="H1066" i="9"/>
  <c r="J1066" i="9"/>
  <c r="L1066" i="9"/>
  <c r="M1066" i="9"/>
  <c r="N1066" i="9"/>
  <c r="P1066" i="9"/>
  <c r="R1066" i="9"/>
  <c r="S1066" i="9"/>
  <c r="T1066" i="9"/>
  <c r="V1066" i="9"/>
  <c r="X1066" i="9"/>
  <c r="Z1066" i="9"/>
  <c r="D1067" i="9"/>
  <c r="F1067" i="9"/>
  <c r="G1067" i="9"/>
  <c r="H1067" i="9"/>
  <c r="J1067" i="9"/>
  <c r="L1067" i="9"/>
  <c r="M1067" i="9"/>
  <c r="N1067" i="9"/>
  <c r="P1067" i="9"/>
  <c r="R1067" i="9"/>
  <c r="S1067" i="9"/>
  <c r="T1067" i="9"/>
  <c r="V1067" i="9"/>
  <c r="X1067" i="9"/>
  <c r="Z1067" i="9"/>
  <c r="D1068" i="9"/>
  <c r="F1068" i="9"/>
  <c r="G1068" i="9"/>
  <c r="H1068" i="9"/>
  <c r="J1068" i="9"/>
  <c r="L1068" i="9"/>
  <c r="M1068" i="9"/>
  <c r="N1068" i="9"/>
  <c r="P1068" i="9"/>
  <c r="R1068" i="9"/>
  <c r="S1068" i="9"/>
  <c r="T1068" i="9"/>
  <c r="V1068" i="9"/>
  <c r="X1068" i="9"/>
  <c r="Z1068" i="9"/>
  <c r="D1069" i="9"/>
  <c r="F1069" i="9"/>
  <c r="G1069" i="9"/>
  <c r="H1069" i="9"/>
  <c r="J1069" i="9"/>
  <c r="L1069" i="9"/>
  <c r="M1069" i="9"/>
  <c r="N1069" i="9"/>
  <c r="P1069" i="9"/>
  <c r="R1069" i="9"/>
  <c r="S1069" i="9"/>
  <c r="T1069" i="9"/>
  <c r="V1069" i="9"/>
  <c r="X1069" i="9"/>
  <c r="Z1069" i="9"/>
  <c r="D1070" i="9"/>
  <c r="F1070" i="9"/>
  <c r="G1070" i="9"/>
  <c r="H1070" i="9"/>
  <c r="J1070" i="9"/>
  <c r="L1070" i="9"/>
  <c r="M1070" i="9"/>
  <c r="N1070" i="9"/>
  <c r="P1070" i="9"/>
  <c r="R1070" i="9"/>
  <c r="S1070" i="9"/>
  <c r="T1070" i="9"/>
  <c r="V1070" i="9"/>
  <c r="X1070" i="9"/>
  <c r="Z1070" i="9"/>
  <c r="D1071" i="9"/>
  <c r="F1071" i="9"/>
  <c r="G1071" i="9"/>
  <c r="H1071" i="9"/>
  <c r="J1071" i="9"/>
  <c r="L1071" i="9"/>
  <c r="M1071" i="9"/>
  <c r="N1071" i="9"/>
  <c r="P1071" i="9"/>
  <c r="R1071" i="9"/>
  <c r="S1071" i="9"/>
  <c r="T1071" i="9"/>
  <c r="V1071" i="9"/>
  <c r="X1071" i="9"/>
  <c r="Z1071" i="9"/>
  <c r="D1072" i="9"/>
  <c r="F1072" i="9"/>
  <c r="G1072" i="9"/>
  <c r="H1072" i="9"/>
  <c r="J1072" i="9"/>
  <c r="L1072" i="9"/>
  <c r="M1072" i="9"/>
  <c r="N1072" i="9"/>
  <c r="P1072" i="9"/>
  <c r="R1072" i="9"/>
  <c r="S1072" i="9"/>
  <c r="T1072" i="9"/>
  <c r="V1072" i="9"/>
  <c r="X1072" i="9"/>
  <c r="Z1072" i="9"/>
  <c r="D1073" i="9"/>
  <c r="F1073" i="9"/>
  <c r="G1073" i="9"/>
  <c r="H1073" i="9"/>
  <c r="J1073" i="9"/>
  <c r="L1073" i="9"/>
  <c r="M1073" i="9"/>
  <c r="N1073" i="9"/>
  <c r="P1073" i="9"/>
  <c r="R1073" i="9"/>
  <c r="S1073" i="9"/>
  <c r="T1073" i="9"/>
  <c r="V1073" i="9"/>
  <c r="X1073" i="9"/>
  <c r="Z1073" i="9"/>
  <c r="D1074" i="9"/>
  <c r="F1074" i="9"/>
  <c r="G1074" i="9"/>
  <c r="H1074" i="9"/>
  <c r="J1074" i="9"/>
  <c r="L1074" i="9"/>
  <c r="M1074" i="9"/>
  <c r="N1074" i="9"/>
  <c r="P1074" i="9"/>
  <c r="R1074" i="9"/>
  <c r="S1074" i="9"/>
  <c r="T1074" i="9"/>
  <c r="V1074" i="9"/>
  <c r="X1074" i="9"/>
  <c r="Z1074" i="9"/>
  <c r="D1075" i="9"/>
  <c r="F1075" i="9"/>
  <c r="G1075" i="9"/>
  <c r="H1075" i="9"/>
  <c r="J1075" i="9"/>
  <c r="L1075" i="9"/>
  <c r="M1075" i="9"/>
  <c r="N1075" i="9"/>
  <c r="P1075" i="9"/>
  <c r="R1075" i="9"/>
  <c r="S1075" i="9"/>
  <c r="T1075" i="9"/>
  <c r="V1075" i="9"/>
  <c r="X1075" i="9"/>
  <c r="Z1075" i="9"/>
  <c r="D1076" i="9"/>
  <c r="F1076" i="9"/>
  <c r="G1076" i="9"/>
  <c r="H1076" i="9"/>
  <c r="J1076" i="9"/>
  <c r="L1076" i="9"/>
  <c r="M1076" i="9"/>
  <c r="N1076" i="9"/>
  <c r="P1076" i="9"/>
  <c r="R1076" i="9"/>
  <c r="S1076" i="9"/>
  <c r="T1076" i="9"/>
  <c r="V1076" i="9"/>
  <c r="X1076" i="9"/>
  <c r="Z1076" i="9"/>
  <c r="D1077" i="9"/>
  <c r="F1077" i="9"/>
  <c r="G1077" i="9"/>
  <c r="H1077" i="9"/>
  <c r="J1077" i="9"/>
  <c r="L1077" i="9"/>
  <c r="M1077" i="9"/>
  <c r="N1077" i="9"/>
  <c r="P1077" i="9"/>
  <c r="R1077" i="9"/>
  <c r="S1077" i="9"/>
  <c r="T1077" i="9"/>
  <c r="V1077" i="9"/>
  <c r="X1077" i="9"/>
  <c r="Z1077" i="9"/>
  <c r="D1078" i="9"/>
  <c r="F1078" i="9"/>
  <c r="G1078" i="9"/>
  <c r="H1078" i="9"/>
  <c r="J1078" i="9"/>
  <c r="L1078" i="9"/>
  <c r="M1078" i="9"/>
  <c r="N1078" i="9"/>
  <c r="P1078" i="9"/>
  <c r="R1078" i="9"/>
  <c r="S1078" i="9"/>
  <c r="T1078" i="9"/>
  <c r="V1078" i="9"/>
  <c r="X1078" i="9"/>
  <c r="Z1078" i="9"/>
  <c r="Y454" i="2"/>
  <c r="Z565" i="2"/>
  <c r="A100" i="4"/>
  <c r="AA32" i="15" s="1"/>
  <c r="A101" i="4"/>
  <c r="P77" i="2"/>
  <c r="W76" i="2"/>
  <c r="U76" i="2"/>
  <c r="S76" i="2"/>
  <c r="Q76" i="2"/>
  <c r="P78" i="2"/>
  <c r="P79" i="2"/>
  <c r="P80" i="2"/>
  <c r="P81" i="2"/>
  <c r="P82" i="2"/>
  <c r="P83" i="2"/>
  <c r="P84" i="2"/>
  <c r="P85" i="2"/>
  <c r="K54" i="2"/>
  <c r="K55" i="2"/>
  <c r="K56" i="2"/>
  <c r="L56" i="2" s="1"/>
  <c r="K57" i="2"/>
  <c r="K58" i="2"/>
  <c r="K59" i="2"/>
  <c r="A40" i="4"/>
  <c r="AD45" i="2"/>
  <c r="AD47" i="2" s="1"/>
  <c r="AD49" i="2" s="1"/>
  <c r="AE45" i="2"/>
  <c r="AE47" i="2" s="1"/>
  <c r="AE49" i="2" s="1"/>
  <c r="AE51" i="2" s="1"/>
  <c r="AE53" i="2" s="1"/>
  <c r="AF45" i="2"/>
  <c r="AF47" i="2" s="1"/>
  <c r="AF49" i="2" s="1"/>
  <c r="AF51" i="2" s="1"/>
  <c r="AF53" i="2" s="1"/>
  <c r="AG45" i="2"/>
  <c r="AG47" i="2" s="1"/>
  <c r="AG49" i="2" s="1"/>
  <c r="AG51" i="2" s="1"/>
  <c r="AG53" i="2" s="1"/>
  <c r="A61" i="4"/>
  <c r="D179" i="2" s="1"/>
  <c r="A63" i="4"/>
  <c r="D1324" i="2" s="1"/>
  <c r="A59" i="4"/>
  <c r="D1322" i="2" s="1"/>
  <c r="A60" i="4"/>
  <c r="A57" i="4"/>
  <c r="L178" i="2"/>
  <c r="A176" i="2" s="1"/>
  <c r="A175" i="4"/>
  <c r="AA18" i="17" s="1"/>
  <c r="A176" i="4"/>
  <c r="Q96" i="20" s="1"/>
  <c r="R96" i="20" s="1"/>
  <c r="S96" i="20" s="1"/>
  <c r="T96" i="20" s="1"/>
  <c r="U96" i="20" s="1"/>
  <c r="V96" i="20" s="1"/>
  <c r="W96" i="20" s="1"/>
  <c r="X96" i="20" s="1"/>
  <c r="Y96" i="20" s="1"/>
  <c r="Z96" i="20" s="1"/>
  <c r="AA96" i="20" s="1"/>
  <c r="AB96" i="20" s="1"/>
  <c r="AC96" i="20" s="1"/>
  <c r="AD96" i="20" s="1"/>
  <c r="AE96" i="20" s="1"/>
  <c r="AF96" i="20" s="1"/>
  <c r="AG96" i="20" s="1"/>
  <c r="AH96" i="20" s="1"/>
  <c r="A154" i="4"/>
  <c r="A96" i="4"/>
  <c r="V24" i="13" s="1"/>
  <c r="A95" i="4"/>
  <c r="C2" i="17" s="1"/>
  <c r="C33" i="17" s="1"/>
  <c r="A94" i="4"/>
  <c r="AD2" i="16" s="1"/>
  <c r="A68" i="4"/>
  <c r="AG804" i="2" s="1"/>
  <c r="A89" i="4"/>
  <c r="D42" i="11" s="1"/>
  <c r="P410" i="2"/>
  <c r="A188" i="4"/>
  <c r="AX767" i="2"/>
  <c r="K828" i="2" s="1"/>
  <c r="AX769" i="2"/>
  <c r="K830" i="2" s="1"/>
  <c r="L922" i="2"/>
  <c r="AB796" i="2" s="1"/>
  <c r="L401" i="2"/>
  <c r="BD364" i="2" s="1"/>
  <c r="BA376" i="2"/>
  <c r="BA374" i="2"/>
  <c r="A7" i="10"/>
  <c r="B7" i="10"/>
  <c r="C7" i="10"/>
  <c r="F7" i="10"/>
  <c r="A29" i="10"/>
  <c r="B29" i="10"/>
  <c r="C29" i="10"/>
  <c r="F29" i="10"/>
  <c r="A49" i="10"/>
  <c r="B49" i="10"/>
  <c r="C49" i="10"/>
  <c r="F49" i="10"/>
  <c r="A69" i="10"/>
  <c r="B69" i="10"/>
  <c r="C69" i="10"/>
  <c r="F69" i="10"/>
  <c r="A8" i="10"/>
  <c r="B8" i="10"/>
  <c r="C8" i="10"/>
  <c r="F8" i="10"/>
  <c r="A30" i="10"/>
  <c r="B30" i="10"/>
  <c r="C30" i="10"/>
  <c r="F30" i="10"/>
  <c r="A50" i="10"/>
  <c r="B50" i="10"/>
  <c r="C50" i="10"/>
  <c r="F50" i="10"/>
  <c r="A70" i="10"/>
  <c r="B70" i="10"/>
  <c r="C70" i="10"/>
  <c r="F70" i="10"/>
  <c r="A9" i="10"/>
  <c r="B9" i="10"/>
  <c r="C9" i="10"/>
  <c r="F9" i="10"/>
  <c r="A31" i="10"/>
  <c r="B31" i="10"/>
  <c r="C31" i="10"/>
  <c r="F31" i="10"/>
  <c r="A51" i="10"/>
  <c r="B51" i="10"/>
  <c r="C51" i="10"/>
  <c r="F51" i="10"/>
  <c r="A71" i="10"/>
  <c r="B71" i="10"/>
  <c r="C71" i="10"/>
  <c r="F71" i="10"/>
  <c r="A10" i="10"/>
  <c r="B10" i="10"/>
  <c r="C10" i="10"/>
  <c r="F10" i="10"/>
  <c r="A32" i="10"/>
  <c r="B32" i="10"/>
  <c r="C32" i="10"/>
  <c r="F32" i="10"/>
  <c r="A52" i="10"/>
  <c r="B52" i="10"/>
  <c r="C52" i="10"/>
  <c r="F52" i="10"/>
  <c r="A72" i="10"/>
  <c r="B72" i="10"/>
  <c r="C72" i="10"/>
  <c r="F72" i="10"/>
  <c r="L768" i="2"/>
  <c r="L769" i="2"/>
  <c r="L770" i="2"/>
  <c r="L771" i="2"/>
  <c r="L772" i="2"/>
  <c r="L773" i="2"/>
  <c r="L774" i="2"/>
  <c r="K834" i="2" s="1"/>
  <c r="L775" i="2"/>
  <c r="K835" i="2" s="1"/>
  <c r="L776" i="2"/>
  <c r="K836" i="2" s="1"/>
  <c r="L777" i="2"/>
  <c r="K837" i="2" s="1"/>
  <c r="AH116" i="20"/>
  <c r="A109" i="4"/>
  <c r="P1680" i="2" s="1"/>
  <c r="P1682" i="2" s="1"/>
  <c r="N1029" i="2"/>
  <c r="N1028" i="2"/>
  <c r="N1027" i="2"/>
  <c r="Q1212" i="2"/>
  <c r="Q1213" i="2"/>
  <c r="Q1214" i="2"/>
  <c r="Q1211" i="2"/>
  <c r="A173" i="4"/>
  <c r="A172" i="4"/>
  <c r="AN5" i="18"/>
  <c r="AC750" i="2"/>
  <c r="AC752" i="2" s="1"/>
  <c r="AC754" i="2" s="1"/>
  <c r="AC756" i="2" s="1"/>
  <c r="AC758" i="2" s="1"/>
  <c r="AC760" i="2" s="1"/>
  <c r="AC749" i="2"/>
  <c r="AC751" i="2"/>
  <c r="AC753" i="2" s="1"/>
  <c r="AC755" i="2" s="1"/>
  <c r="AC757" i="2" s="1"/>
  <c r="N788" i="2"/>
  <c r="Y796" i="2" s="1"/>
  <c r="Y798" i="2" s="1"/>
  <c r="Y800" i="2" s="1"/>
  <c r="Y802" i="2" s="1"/>
  <c r="Y804" i="2" s="1"/>
  <c r="Y813" i="2" s="1"/>
  <c r="Y815" i="2" s="1"/>
  <c r="Y817" i="2" s="1"/>
  <c r="Y819" i="2" s="1"/>
  <c r="Y821" i="2" s="1"/>
  <c r="Z798" i="2"/>
  <c r="Z800" i="2" s="1"/>
  <c r="Z802" i="2" s="1"/>
  <c r="Z804" i="2" s="1"/>
  <c r="Z806" i="2" s="1"/>
  <c r="Z808" i="2" s="1"/>
  <c r="AB748" i="2"/>
  <c r="AB750" i="2" s="1"/>
  <c r="AA748" i="2"/>
  <c r="AA750" i="2" s="1"/>
  <c r="AA752" i="2" s="1"/>
  <c r="AA754" i="2" s="1"/>
  <c r="AA756" i="2" s="1"/>
  <c r="AA758" i="2" s="1"/>
  <c r="AA760" i="2" s="1"/>
  <c r="Z748" i="2"/>
  <c r="Z750" i="2" s="1"/>
  <c r="Z752" i="2"/>
  <c r="Z754" i="2"/>
  <c r="Z756" i="2" s="1"/>
  <c r="Z758" i="2" s="1"/>
  <c r="Z760" i="2" s="1"/>
  <c r="Y748" i="2"/>
  <c r="Y750" i="2" s="1"/>
  <c r="Y752" i="2" s="1"/>
  <c r="Y754" i="2" s="1"/>
  <c r="Y756" i="2" s="1"/>
  <c r="O1162" i="2"/>
  <c r="AB1033" i="2" s="1"/>
  <c r="AB1035" i="2" s="1"/>
  <c r="AB1043" i="2" s="1"/>
  <c r="I996" i="2"/>
  <c r="AD999" i="2"/>
  <c r="AD997" i="2"/>
  <c r="AC1001" i="2"/>
  <c r="AC1003" i="2" s="1"/>
  <c r="AB1001" i="2"/>
  <c r="AA1001" i="2"/>
  <c r="AA997" i="2" s="1"/>
  <c r="Z1001" i="2"/>
  <c r="BC332" i="2"/>
  <c r="BC334" i="2" s="1"/>
  <c r="BC336" i="2" s="1"/>
  <c r="BC338" i="2" s="1"/>
  <c r="BC340" i="2" s="1"/>
  <c r="BD332" i="2"/>
  <c r="BD334" i="2" s="1"/>
  <c r="BD336" i="2" s="1"/>
  <c r="BD338" i="2" s="1"/>
  <c r="BD340" i="2" s="1"/>
  <c r="BB332" i="2"/>
  <c r="BA332" i="2"/>
  <c r="BA334" i="2" s="1"/>
  <c r="BA336" i="2" s="1"/>
  <c r="BA338" i="2" s="1"/>
  <c r="BA340" i="2" s="1"/>
  <c r="A187" i="4"/>
  <c r="V30" i="15" s="1"/>
  <c r="A108" i="4"/>
  <c r="O1682" i="2" s="1"/>
  <c r="A107" i="4"/>
  <c r="O1681" i="2" s="1"/>
  <c r="A106" i="4"/>
  <c r="O1680" i="2" s="1"/>
  <c r="A105" i="4"/>
  <c r="N1682" i="2" s="1"/>
  <c r="A99" i="4"/>
  <c r="N1680" i="2" s="1"/>
  <c r="N1681" i="2" s="1"/>
  <c r="A29" i="4"/>
  <c r="D44" i="11" s="1"/>
  <c r="A30" i="4"/>
  <c r="D45" i="11" s="1"/>
  <c r="A21" i="4"/>
  <c r="C38" i="13" s="1"/>
  <c r="A22" i="4"/>
  <c r="C39" i="13" s="1"/>
  <c r="A24" i="4"/>
  <c r="C42" i="13" s="1"/>
  <c r="A25" i="4"/>
  <c r="C43" i="13" s="1"/>
  <c r="A26" i="4"/>
  <c r="C45" i="13" s="1"/>
  <c r="A27" i="4"/>
  <c r="C47" i="13" s="1"/>
  <c r="A28" i="4"/>
  <c r="C48" i="13" s="1"/>
  <c r="B5" i="2"/>
  <c r="B6" i="2"/>
  <c r="H269" i="2"/>
  <c r="A37" i="4"/>
  <c r="AX770" i="2"/>
  <c r="K831" i="2" s="1"/>
  <c r="AX771" i="2"/>
  <c r="K832" i="2" s="1"/>
  <c r="AX772" i="2"/>
  <c r="K833" i="2" s="1"/>
  <c r="BN515" i="2"/>
  <c r="BO515" i="2"/>
  <c r="BP515" i="2"/>
  <c r="BQ515" i="2"/>
  <c r="BR515" i="2"/>
  <c r="BN509" i="2"/>
  <c r="BO509" i="2"/>
  <c r="BP509" i="2"/>
  <c r="BQ509" i="2"/>
  <c r="BR509" i="2"/>
  <c r="BN510" i="2"/>
  <c r="BO510" i="2"/>
  <c r="BP510" i="2"/>
  <c r="BQ510" i="2"/>
  <c r="BR510" i="2"/>
  <c r="BN511" i="2"/>
  <c r="BO511" i="2"/>
  <c r="BP511" i="2"/>
  <c r="BQ511" i="2"/>
  <c r="BR511" i="2"/>
  <c r="BN512" i="2"/>
  <c r="BO512" i="2"/>
  <c r="BP512" i="2"/>
  <c r="BQ512" i="2"/>
  <c r="BR512" i="2"/>
  <c r="BN513" i="2"/>
  <c r="BO513" i="2"/>
  <c r="BP513" i="2"/>
  <c r="BQ513" i="2"/>
  <c r="BR513" i="2"/>
  <c r="BN514" i="2"/>
  <c r="BO514" i="2"/>
  <c r="BP514" i="2"/>
  <c r="BQ514" i="2"/>
  <c r="BR514" i="2"/>
  <c r="BO508" i="2"/>
  <c r="BP508" i="2"/>
  <c r="BQ508" i="2"/>
  <c r="BR508" i="2"/>
  <c r="BN508" i="2"/>
  <c r="BI509" i="2"/>
  <c r="BJ509" i="2"/>
  <c r="BK509" i="2"/>
  <c r="BL509" i="2"/>
  <c r="BM509" i="2"/>
  <c r="BI510" i="2"/>
  <c r="BJ510" i="2"/>
  <c r="BK510" i="2"/>
  <c r="BL510" i="2"/>
  <c r="BM510" i="2"/>
  <c r="BI511" i="2"/>
  <c r="BJ511" i="2"/>
  <c r="BK511" i="2"/>
  <c r="BL511" i="2"/>
  <c r="BM511" i="2"/>
  <c r="BI512" i="2"/>
  <c r="BJ512" i="2"/>
  <c r="BK512" i="2"/>
  <c r="BL512" i="2"/>
  <c r="BM512" i="2"/>
  <c r="BI513" i="2"/>
  <c r="BJ513" i="2"/>
  <c r="BK513" i="2"/>
  <c r="BL513" i="2"/>
  <c r="BM513" i="2"/>
  <c r="BI514" i="2"/>
  <c r="BJ514" i="2"/>
  <c r="BK514" i="2"/>
  <c r="BL514" i="2"/>
  <c r="BM514" i="2"/>
  <c r="BI515" i="2"/>
  <c r="BJ515" i="2"/>
  <c r="BK515" i="2"/>
  <c r="BL515" i="2"/>
  <c r="BM515" i="2"/>
  <c r="BJ508" i="2"/>
  <c r="BK508" i="2"/>
  <c r="BL508" i="2"/>
  <c r="BM508" i="2"/>
  <c r="BI508" i="2"/>
  <c r="BD509" i="2"/>
  <c r="BE509" i="2"/>
  <c r="BF509" i="2"/>
  <c r="BG509" i="2"/>
  <c r="BH509" i="2"/>
  <c r="BD510" i="2"/>
  <c r="BE510" i="2"/>
  <c r="BF510" i="2"/>
  <c r="BG510" i="2"/>
  <c r="BH510" i="2"/>
  <c r="BD511" i="2"/>
  <c r="BE511" i="2"/>
  <c r="BF511" i="2"/>
  <c r="BG511" i="2"/>
  <c r="BH511" i="2"/>
  <c r="BD512" i="2"/>
  <c r="BE512" i="2"/>
  <c r="BF512" i="2"/>
  <c r="BG512" i="2"/>
  <c r="BH512" i="2"/>
  <c r="BD513" i="2"/>
  <c r="BE513" i="2"/>
  <c r="BF513" i="2"/>
  <c r="BG513" i="2"/>
  <c r="BH513" i="2"/>
  <c r="BD514" i="2"/>
  <c r="BE514" i="2"/>
  <c r="BF514" i="2"/>
  <c r="BG514" i="2"/>
  <c r="BH514" i="2"/>
  <c r="BD515" i="2"/>
  <c r="BE515" i="2"/>
  <c r="BF515" i="2"/>
  <c r="BG515" i="2"/>
  <c r="BH515" i="2"/>
  <c r="BE508" i="2"/>
  <c r="BF508" i="2"/>
  <c r="BG508" i="2"/>
  <c r="BH508" i="2"/>
  <c r="BD508" i="2"/>
  <c r="AY509" i="2"/>
  <c r="AZ509" i="2"/>
  <c r="BA509" i="2"/>
  <c r="BB509" i="2"/>
  <c r="BC509" i="2"/>
  <c r="AY510" i="2"/>
  <c r="AZ510" i="2"/>
  <c r="BA510" i="2"/>
  <c r="BB510" i="2"/>
  <c r="BC510" i="2"/>
  <c r="AY511" i="2"/>
  <c r="AZ511" i="2"/>
  <c r="BA511" i="2"/>
  <c r="BB511" i="2"/>
  <c r="BC511" i="2"/>
  <c r="AY512" i="2"/>
  <c r="AZ512" i="2"/>
  <c r="BA512" i="2"/>
  <c r="BB512" i="2"/>
  <c r="BC512" i="2"/>
  <c r="AY513" i="2"/>
  <c r="AZ513" i="2"/>
  <c r="BA513" i="2"/>
  <c r="BB513" i="2"/>
  <c r="BC513" i="2"/>
  <c r="AY514" i="2"/>
  <c r="AZ514" i="2"/>
  <c r="BA514" i="2"/>
  <c r="BB514" i="2"/>
  <c r="BC514" i="2"/>
  <c r="AY515" i="2"/>
  <c r="AZ515" i="2"/>
  <c r="BA515" i="2"/>
  <c r="BB515" i="2"/>
  <c r="BC515" i="2"/>
  <c r="AZ508" i="2"/>
  <c r="BA508" i="2"/>
  <c r="BB508" i="2"/>
  <c r="BC508" i="2"/>
  <c r="AY508" i="2"/>
  <c r="AT509" i="2"/>
  <c r="AU509" i="2"/>
  <c r="AV509" i="2"/>
  <c r="AW509" i="2"/>
  <c r="AX509" i="2"/>
  <c r="AT510" i="2"/>
  <c r="AU510" i="2"/>
  <c r="AV510" i="2"/>
  <c r="AW510" i="2"/>
  <c r="AX510" i="2"/>
  <c r="AT511" i="2"/>
  <c r="AU511" i="2"/>
  <c r="AV511" i="2"/>
  <c r="AW511" i="2"/>
  <c r="AX511" i="2"/>
  <c r="AT512" i="2"/>
  <c r="AU512" i="2"/>
  <c r="AV512" i="2"/>
  <c r="AW512" i="2"/>
  <c r="AX512" i="2"/>
  <c r="AT513" i="2"/>
  <c r="AU513" i="2"/>
  <c r="AV513" i="2"/>
  <c r="AW513" i="2"/>
  <c r="AX513" i="2"/>
  <c r="AT514" i="2"/>
  <c r="AU514" i="2"/>
  <c r="AV514" i="2"/>
  <c r="AW514" i="2"/>
  <c r="AX514" i="2"/>
  <c r="AT515" i="2"/>
  <c r="AU515" i="2"/>
  <c r="AV515" i="2"/>
  <c r="AW515" i="2"/>
  <c r="AX515" i="2"/>
  <c r="AU508" i="2"/>
  <c r="AV508" i="2"/>
  <c r="AW508" i="2"/>
  <c r="AX508" i="2"/>
  <c r="AT508" i="2"/>
  <c r="AO509" i="2"/>
  <c r="AP509" i="2"/>
  <c r="AQ509" i="2"/>
  <c r="AR509" i="2"/>
  <c r="AS509" i="2"/>
  <c r="AO510" i="2"/>
  <c r="AP510" i="2"/>
  <c r="AQ510" i="2"/>
  <c r="AR510" i="2"/>
  <c r="AS510" i="2"/>
  <c r="AO511" i="2"/>
  <c r="AP511" i="2"/>
  <c r="AQ511" i="2"/>
  <c r="AR511" i="2"/>
  <c r="AS511" i="2"/>
  <c r="AO512" i="2"/>
  <c r="AP512" i="2"/>
  <c r="AQ512" i="2"/>
  <c r="AR512" i="2"/>
  <c r="AS512" i="2"/>
  <c r="AO513" i="2"/>
  <c r="AP513" i="2"/>
  <c r="AQ513" i="2"/>
  <c r="AR513" i="2"/>
  <c r="AS513" i="2"/>
  <c r="AO514" i="2"/>
  <c r="AP514" i="2"/>
  <c r="AQ514" i="2"/>
  <c r="AR514" i="2"/>
  <c r="AS514" i="2"/>
  <c r="AO515" i="2"/>
  <c r="AP515" i="2"/>
  <c r="AQ515" i="2"/>
  <c r="AR515" i="2"/>
  <c r="AS515" i="2"/>
  <c r="AP508" i="2"/>
  <c r="AQ508" i="2"/>
  <c r="AR508" i="2"/>
  <c r="AS508" i="2"/>
  <c r="AO508" i="2"/>
  <c r="A39" i="4"/>
  <c r="BA384" i="2"/>
  <c r="BA386" i="2"/>
  <c r="BA388" i="2"/>
  <c r="BA390" i="2"/>
  <c r="BA382" i="2"/>
  <c r="BA372" i="2"/>
  <c r="BA370" i="2"/>
  <c r="BA368" i="2"/>
  <c r="BA366" i="2"/>
  <c r="BA364" i="2"/>
  <c r="BE113" i="10"/>
  <c r="BD113" i="10"/>
  <c r="BA113" i="10"/>
  <c r="AZ113" i="10"/>
  <c r="AY113" i="10"/>
  <c r="AX113" i="10"/>
  <c r="AW113" i="10"/>
  <c r="H438" i="2"/>
  <c r="I433" i="2"/>
  <c r="I434" i="2"/>
  <c r="I435" i="2"/>
  <c r="I436" i="2"/>
  <c r="I432" i="2"/>
  <c r="L756" i="2"/>
  <c r="K816" i="2" s="1"/>
  <c r="M804" i="2"/>
  <c r="L804" i="2"/>
  <c r="M922" i="2"/>
  <c r="J1033" i="2"/>
  <c r="J1036" i="2" s="1"/>
  <c r="K1036" i="2" s="1"/>
  <c r="F663" i="2"/>
  <c r="G663" i="2" s="1"/>
  <c r="F611" i="2"/>
  <c r="N611" i="2" s="1"/>
  <c r="F549" i="2"/>
  <c r="G549" i="2"/>
  <c r="H549" i="2"/>
  <c r="F497" i="2"/>
  <c r="G497" i="2"/>
  <c r="H497" i="2"/>
  <c r="C63" i="2"/>
  <c r="H663" i="2"/>
  <c r="I663" i="2" s="1"/>
  <c r="J663" i="2" s="1"/>
  <c r="BR1732" i="2"/>
  <c r="BR1734" i="2" s="1"/>
  <c r="BR1736" i="2" s="1"/>
  <c r="BR1738" i="2" s="1"/>
  <c r="BR1740" i="2" s="1"/>
  <c r="BR1742" i="2" s="1"/>
  <c r="BR1744" i="2" s="1"/>
  <c r="BR1746" i="2" s="1"/>
  <c r="BR1748" i="2" s="1"/>
  <c r="BR1750" i="2" s="1"/>
  <c r="BR1752" i="2" s="1"/>
  <c r="BR1754" i="2" s="1"/>
  <c r="BR1756" i="2" s="1"/>
  <c r="BR1758" i="2" s="1"/>
  <c r="A1462" i="2"/>
  <c r="J11" i="2"/>
  <c r="R2" i="20" s="1"/>
  <c r="J12" i="2"/>
  <c r="S2" i="20" s="1"/>
  <c r="J13" i="2"/>
  <c r="T2" i="20" s="1"/>
  <c r="A132" i="4"/>
  <c r="AG39" i="15" s="1"/>
  <c r="J1695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U1367" i="2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BP1497" i="2"/>
  <c r="Q98" i="20"/>
  <c r="R98" i="20"/>
  <c r="S98" i="20"/>
  <c r="T98" i="20"/>
  <c r="U98" i="20"/>
  <c r="V98" i="20"/>
  <c r="W98" i="20"/>
  <c r="X98" i="20"/>
  <c r="Y98" i="20"/>
  <c r="Z98" i="20"/>
  <c r="AA98" i="20"/>
  <c r="AB98" i="20"/>
  <c r="AC98" i="20"/>
  <c r="AD98" i="20"/>
  <c r="AE98" i="20"/>
  <c r="AF98" i="20"/>
  <c r="AG98" i="20"/>
  <c r="AH98" i="20"/>
  <c r="AI98" i="20"/>
  <c r="AJ98" i="20"/>
  <c r="AK98" i="20"/>
  <c r="AL98" i="20"/>
  <c r="AM98" i="20"/>
  <c r="AM120" i="20"/>
  <c r="AM121" i="20"/>
  <c r="AM122" i="20"/>
  <c r="AM123" i="20"/>
  <c r="A1663" i="2"/>
  <c r="J1644" i="2"/>
  <c r="C1474" i="2"/>
  <c r="C1475" i="2"/>
  <c r="C1476" i="2"/>
  <c r="C1477" i="2"/>
  <c r="C1473" i="2"/>
  <c r="F1458" i="2"/>
  <c r="F1459" i="2"/>
  <c r="F1460" i="2"/>
  <c r="AF1652" i="2"/>
  <c r="AG1652" i="2"/>
  <c r="AE1652" i="2"/>
  <c r="AN1374" i="2"/>
  <c r="AN1376" i="2" s="1"/>
  <c r="AN1378" i="2" s="1"/>
  <c r="AN1380" i="2" s="1"/>
  <c r="C2" i="9"/>
  <c r="A2" i="9"/>
  <c r="B2" i="9"/>
  <c r="AM1374" i="2"/>
  <c r="AM1376" i="2" s="1"/>
  <c r="AM1378" i="2" s="1"/>
  <c r="AM1380" i="2" s="1"/>
  <c r="AL1374" i="2"/>
  <c r="AL1376" i="2" s="1"/>
  <c r="AL1378" i="2" s="1"/>
  <c r="AL1380" i="2" s="1"/>
  <c r="AK1374" i="2"/>
  <c r="AK1376" i="2" s="1"/>
  <c r="AK1378" i="2" s="1"/>
  <c r="AK1380" i="2" s="1"/>
  <c r="AJ1374" i="2"/>
  <c r="AJ1376" i="2" s="1"/>
  <c r="AJ1378" i="2" s="1"/>
  <c r="AJ1380" i="2" s="1"/>
  <c r="AI1374" i="2"/>
  <c r="AI1376" i="2" s="1"/>
  <c r="AI1378" i="2" s="1"/>
  <c r="AI1380" i="2" s="1"/>
  <c r="AH1374" i="2"/>
  <c r="AH1376" i="2" s="1"/>
  <c r="AH1378" i="2" s="1"/>
  <c r="AH1380" i="2" s="1"/>
  <c r="C1423" i="2"/>
  <c r="M1367" i="2"/>
  <c r="L1367" i="2"/>
  <c r="AT1450" i="2"/>
  <c r="AP1450" i="2"/>
  <c r="AL1450" i="2"/>
  <c r="AT1445" i="2"/>
  <c r="AP1445" i="2"/>
  <c r="AL1445" i="2"/>
  <c r="AT1440" i="2"/>
  <c r="AP1440" i="2"/>
  <c r="AL1440" i="2"/>
  <c r="B1434" i="2"/>
  <c r="A1620" i="2" s="1"/>
  <c r="H1619" i="2" s="1"/>
  <c r="J1351" i="2"/>
  <c r="J1352" i="2"/>
  <c r="G1624" i="2"/>
  <c r="H1624" i="2" s="1"/>
  <c r="G1625" i="2"/>
  <c r="H1625" i="2" s="1"/>
  <c r="G1626" i="2"/>
  <c r="H1626" i="2" s="1"/>
  <c r="G1627" i="2"/>
  <c r="H1627" i="2" s="1"/>
  <c r="G1628" i="2"/>
  <c r="H1628" i="2" s="1"/>
  <c r="G1629" i="2"/>
  <c r="H1629" i="2" s="1"/>
  <c r="G1630" i="2"/>
  <c r="H1630" i="2" s="1"/>
  <c r="G1623" i="2"/>
  <c r="H1623" i="2" s="1"/>
  <c r="N1616" i="2"/>
  <c r="AO377" i="2"/>
  <c r="AN377" i="2"/>
  <c r="Q38" i="20"/>
  <c r="R38" i="20"/>
  <c r="S38" i="20"/>
  <c r="T38" i="20"/>
  <c r="U38" i="20"/>
  <c r="V38" i="20"/>
  <c r="W38" i="20"/>
  <c r="X38" i="20"/>
  <c r="Y38" i="20"/>
  <c r="Z38" i="20"/>
  <c r="AA38" i="20"/>
  <c r="AB38" i="20"/>
  <c r="AC38" i="20"/>
  <c r="AD38" i="20"/>
  <c r="AE38" i="20"/>
  <c r="AF38" i="20"/>
  <c r="AG38" i="20"/>
  <c r="AH38" i="20"/>
  <c r="AI38" i="20"/>
  <c r="AJ38" i="20"/>
  <c r="AK38" i="20"/>
  <c r="AL38" i="20"/>
  <c r="AM38" i="20"/>
  <c r="A1447" i="2"/>
  <c r="Q122" i="20"/>
  <c r="R122" i="20"/>
  <c r="S122" i="20"/>
  <c r="T122" i="20"/>
  <c r="U122" i="20"/>
  <c r="V122" i="20"/>
  <c r="W122" i="20"/>
  <c r="X122" i="20"/>
  <c r="Y122" i="20"/>
  <c r="Z122" i="20"/>
  <c r="AA122" i="20"/>
  <c r="AB122" i="20"/>
  <c r="AC122" i="20"/>
  <c r="AD122" i="20"/>
  <c r="AE122" i="20"/>
  <c r="AF122" i="20"/>
  <c r="AG122" i="20"/>
  <c r="AH122" i="20"/>
  <c r="AI122" i="20"/>
  <c r="AJ122" i="20"/>
  <c r="AK122" i="20"/>
  <c r="AL122" i="20"/>
  <c r="Q123" i="20"/>
  <c r="R123" i="20"/>
  <c r="S123" i="20"/>
  <c r="T123" i="20"/>
  <c r="U123" i="20"/>
  <c r="V123" i="20"/>
  <c r="W123" i="20"/>
  <c r="X123" i="20"/>
  <c r="Y123" i="20"/>
  <c r="Z123" i="20"/>
  <c r="AA123" i="20"/>
  <c r="AB123" i="20"/>
  <c r="AC123" i="20"/>
  <c r="AD123" i="20"/>
  <c r="AE123" i="20"/>
  <c r="AF123" i="20"/>
  <c r="AG123" i="20"/>
  <c r="AH123" i="20"/>
  <c r="AI123" i="20"/>
  <c r="AJ123" i="20"/>
  <c r="AK123" i="20"/>
  <c r="AL123" i="20"/>
  <c r="A45" i="4"/>
  <c r="A44" i="4"/>
  <c r="A43" i="4"/>
  <c r="A42" i="4"/>
  <c r="A41" i="4"/>
  <c r="L39" i="20"/>
  <c r="L40" i="20"/>
  <c r="L41" i="20"/>
  <c r="L42" i="20"/>
  <c r="L43" i="20"/>
  <c r="L44" i="20"/>
  <c r="L45" i="20"/>
  <c r="L46" i="20"/>
  <c r="L47" i="20"/>
  <c r="L48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J95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3" i="20"/>
  <c r="J94" i="20"/>
  <c r="J92" i="20"/>
  <c r="U1470" i="2"/>
  <c r="U1454" i="2"/>
  <c r="P1486" i="2"/>
  <c r="P1481" i="2"/>
  <c r="P1476" i="2"/>
  <c r="P1466" i="2"/>
  <c r="P1461" i="2"/>
  <c r="P1456" i="2"/>
  <c r="P1367" i="2"/>
  <c r="O1367" i="2"/>
  <c r="U1434" i="2"/>
  <c r="U1419" i="2"/>
  <c r="P1446" i="2"/>
  <c r="AE1444" i="2" s="1"/>
  <c r="P1451" i="2"/>
  <c r="AE1449" i="2" s="1"/>
  <c r="P1426" i="2"/>
  <c r="P1431" i="2"/>
  <c r="P1441" i="2"/>
  <c r="AE1439" i="2" s="1"/>
  <c r="K1448" i="2"/>
  <c r="L1448" i="2"/>
  <c r="C97" i="20"/>
  <c r="C37" i="20"/>
  <c r="C3" i="20"/>
  <c r="B907" i="2"/>
  <c r="I1367" i="2"/>
  <c r="A162" i="4"/>
  <c r="AM3" i="20" s="1"/>
  <c r="Z5" i="20"/>
  <c r="AA5" i="20"/>
  <c r="AB5" i="20"/>
  <c r="AC5" i="20"/>
  <c r="AD5" i="20"/>
  <c r="AE5" i="20"/>
  <c r="AF5" i="20"/>
  <c r="AG5" i="20"/>
  <c r="AH5" i="20"/>
  <c r="AI5" i="20"/>
  <c r="AJ5" i="20"/>
  <c r="AK5" i="20"/>
  <c r="AL5" i="20"/>
  <c r="AM5" i="20"/>
  <c r="Z6" i="20"/>
  <c r="AA6" i="20"/>
  <c r="AB6" i="20"/>
  <c r="AC6" i="20"/>
  <c r="AD6" i="20"/>
  <c r="AE6" i="20"/>
  <c r="AF6" i="20"/>
  <c r="AG6" i="20"/>
  <c r="AH6" i="20"/>
  <c r="AI6" i="20"/>
  <c r="AJ6" i="20"/>
  <c r="AK6" i="20"/>
  <c r="AL6" i="20"/>
  <c r="AM6" i="20"/>
  <c r="Z7" i="20"/>
  <c r="AA7" i="20"/>
  <c r="AB7" i="20"/>
  <c r="AC7" i="20"/>
  <c r="AD7" i="20"/>
  <c r="AE7" i="20"/>
  <c r="AF7" i="20"/>
  <c r="AG7" i="20"/>
  <c r="AH7" i="20"/>
  <c r="AI7" i="20"/>
  <c r="AJ7" i="20"/>
  <c r="AK7" i="20"/>
  <c r="AL7" i="20"/>
  <c r="AM7" i="20"/>
  <c r="Z8" i="20"/>
  <c r="AA8" i="20"/>
  <c r="AB8" i="20"/>
  <c r="AC8" i="20"/>
  <c r="AD8" i="20"/>
  <c r="AE8" i="20"/>
  <c r="AF8" i="20"/>
  <c r="AG8" i="20"/>
  <c r="AH8" i="20"/>
  <c r="AI8" i="20"/>
  <c r="AJ8" i="20"/>
  <c r="AK8" i="20"/>
  <c r="AL8" i="20"/>
  <c r="AM8" i="20"/>
  <c r="Z9" i="20"/>
  <c r="AA9" i="20"/>
  <c r="AB9" i="20"/>
  <c r="AC9" i="20"/>
  <c r="AD9" i="20"/>
  <c r="AE9" i="20"/>
  <c r="AF9" i="20"/>
  <c r="AG9" i="20"/>
  <c r="AH9" i="20"/>
  <c r="AI9" i="20"/>
  <c r="AJ9" i="20"/>
  <c r="AK9" i="20"/>
  <c r="AL9" i="20"/>
  <c r="AM9" i="20"/>
  <c r="Z10" i="20"/>
  <c r="AA10" i="20"/>
  <c r="AB10" i="20"/>
  <c r="AC10" i="20"/>
  <c r="AD10" i="20"/>
  <c r="AE10" i="20"/>
  <c r="AF10" i="20"/>
  <c r="AG10" i="20"/>
  <c r="AH10" i="20"/>
  <c r="AI10" i="20"/>
  <c r="AJ10" i="20"/>
  <c r="AK10" i="20"/>
  <c r="AL10" i="20"/>
  <c r="AM10" i="20"/>
  <c r="Z11" i="20"/>
  <c r="AA11" i="20"/>
  <c r="AB11" i="20"/>
  <c r="AC11" i="20"/>
  <c r="AD11" i="20"/>
  <c r="AE11" i="20"/>
  <c r="AF11" i="20"/>
  <c r="AG11" i="20"/>
  <c r="AH11" i="20"/>
  <c r="AI11" i="20"/>
  <c r="AJ11" i="20"/>
  <c r="AK11" i="20"/>
  <c r="AL11" i="20"/>
  <c r="AM11" i="20"/>
  <c r="Z12" i="20"/>
  <c r="AA12" i="20"/>
  <c r="AB12" i="20"/>
  <c r="AC12" i="20"/>
  <c r="AD12" i="20"/>
  <c r="AE12" i="20"/>
  <c r="AF12" i="20"/>
  <c r="AG12" i="20"/>
  <c r="AH12" i="20"/>
  <c r="AI12" i="20"/>
  <c r="AJ12" i="20"/>
  <c r="AK12" i="20"/>
  <c r="AL12" i="20"/>
  <c r="AM12" i="20"/>
  <c r="Z13" i="20"/>
  <c r="AA13" i="20"/>
  <c r="AB13" i="20"/>
  <c r="AC13" i="20"/>
  <c r="AD13" i="20"/>
  <c r="AE13" i="20"/>
  <c r="AF13" i="20"/>
  <c r="AG13" i="20"/>
  <c r="AH13" i="20"/>
  <c r="AI13" i="20"/>
  <c r="AJ13" i="20"/>
  <c r="AK13" i="20"/>
  <c r="AL13" i="20"/>
  <c r="AM13" i="20"/>
  <c r="Z14" i="20"/>
  <c r="AA14" i="20"/>
  <c r="AB14" i="20"/>
  <c r="AC14" i="20"/>
  <c r="AD14" i="20"/>
  <c r="AE14" i="20"/>
  <c r="AF14" i="20"/>
  <c r="AG14" i="20"/>
  <c r="AH14" i="20"/>
  <c r="AI14" i="20"/>
  <c r="AJ14" i="20"/>
  <c r="AK14" i="20"/>
  <c r="AL14" i="20"/>
  <c r="AM14" i="20"/>
  <c r="Z15" i="20"/>
  <c r="AA15" i="20"/>
  <c r="AB15" i="20"/>
  <c r="AC15" i="20"/>
  <c r="AD15" i="20"/>
  <c r="AE15" i="20"/>
  <c r="AF15" i="20"/>
  <c r="AG15" i="20"/>
  <c r="AH15" i="20"/>
  <c r="AI15" i="20"/>
  <c r="AJ15" i="20"/>
  <c r="AK15" i="20"/>
  <c r="AL15" i="20"/>
  <c r="AM15" i="20"/>
  <c r="Z16" i="20"/>
  <c r="AA16" i="20"/>
  <c r="AB16" i="20"/>
  <c r="AC16" i="20"/>
  <c r="AD16" i="20"/>
  <c r="AE16" i="20"/>
  <c r="AF16" i="20"/>
  <c r="AG16" i="20"/>
  <c r="AH16" i="20"/>
  <c r="AI16" i="20"/>
  <c r="AJ16" i="20"/>
  <c r="AK16" i="20"/>
  <c r="AL16" i="20"/>
  <c r="AM16" i="20"/>
  <c r="Z17" i="20"/>
  <c r="AA17" i="20"/>
  <c r="AB17" i="20"/>
  <c r="AC17" i="20"/>
  <c r="AD17" i="20"/>
  <c r="AE17" i="20"/>
  <c r="AF17" i="20"/>
  <c r="AG17" i="20"/>
  <c r="AH17" i="20"/>
  <c r="AI17" i="20"/>
  <c r="AJ17" i="20"/>
  <c r="AK17" i="20"/>
  <c r="AL17" i="20"/>
  <c r="AM17" i="20"/>
  <c r="Z18" i="20"/>
  <c r="AA18" i="20"/>
  <c r="AB18" i="20"/>
  <c r="AC18" i="20"/>
  <c r="AD18" i="20"/>
  <c r="AE18" i="20"/>
  <c r="AF18" i="20"/>
  <c r="AG18" i="20"/>
  <c r="AH18" i="20"/>
  <c r="AI18" i="20"/>
  <c r="AJ18" i="20"/>
  <c r="AK18" i="20"/>
  <c r="AL18" i="20"/>
  <c r="AM18" i="20"/>
  <c r="Z19" i="20"/>
  <c r="AA19" i="20"/>
  <c r="AB19" i="20"/>
  <c r="AC19" i="20"/>
  <c r="AD19" i="20"/>
  <c r="AE19" i="20"/>
  <c r="AF19" i="20"/>
  <c r="AG19" i="20"/>
  <c r="AH19" i="20"/>
  <c r="AI19" i="20"/>
  <c r="AJ19" i="20"/>
  <c r="AK19" i="20"/>
  <c r="AL19" i="20"/>
  <c r="AM19" i="20"/>
  <c r="Z20" i="20"/>
  <c r="AA20" i="20"/>
  <c r="AB20" i="20"/>
  <c r="AC20" i="20"/>
  <c r="AD20" i="20"/>
  <c r="AE20" i="20"/>
  <c r="AF20" i="20"/>
  <c r="AG20" i="20"/>
  <c r="AH20" i="20"/>
  <c r="AI20" i="20"/>
  <c r="AJ20" i="20"/>
  <c r="AK20" i="20"/>
  <c r="AL20" i="20"/>
  <c r="AM20" i="20"/>
  <c r="Z21" i="20"/>
  <c r="AA21" i="20"/>
  <c r="AB21" i="20"/>
  <c r="AC21" i="20"/>
  <c r="AD21" i="20"/>
  <c r="AE21" i="20"/>
  <c r="AF21" i="20"/>
  <c r="AG21" i="20"/>
  <c r="AH21" i="20"/>
  <c r="AI21" i="20"/>
  <c r="AJ21" i="20"/>
  <c r="AK21" i="20"/>
  <c r="AL21" i="20"/>
  <c r="AM21" i="20"/>
  <c r="Z22" i="20"/>
  <c r="AA22" i="20"/>
  <c r="AB22" i="20"/>
  <c r="AC22" i="20"/>
  <c r="AD22" i="20"/>
  <c r="AE22" i="20"/>
  <c r="AF22" i="20"/>
  <c r="AG22" i="20"/>
  <c r="AH22" i="20"/>
  <c r="AI22" i="20"/>
  <c r="AJ22" i="20"/>
  <c r="AK22" i="20"/>
  <c r="AL22" i="20"/>
  <c r="AM22" i="20"/>
  <c r="Z23" i="20"/>
  <c r="AA23" i="20"/>
  <c r="AB23" i="20"/>
  <c r="AC23" i="20"/>
  <c r="AD23" i="20"/>
  <c r="AE23" i="20"/>
  <c r="AF23" i="20"/>
  <c r="AG23" i="20"/>
  <c r="AH23" i="20"/>
  <c r="AI23" i="20"/>
  <c r="AJ23" i="20"/>
  <c r="AK23" i="20"/>
  <c r="AL23" i="20"/>
  <c r="AM23" i="20"/>
  <c r="Z24" i="20"/>
  <c r="AA24" i="20"/>
  <c r="AB24" i="20"/>
  <c r="AC24" i="20"/>
  <c r="AD24" i="20"/>
  <c r="AE24" i="20"/>
  <c r="AF24" i="20"/>
  <c r="AG24" i="20"/>
  <c r="AH24" i="20"/>
  <c r="AI24" i="20"/>
  <c r="AJ24" i="20"/>
  <c r="AK24" i="20"/>
  <c r="AL24" i="20"/>
  <c r="AM24" i="20"/>
  <c r="Z25" i="20"/>
  <c r="AA25" i="20"/>
  <c r="AB25" i="20"/>
  <c r="AC25" i="20"/>
  <c r="AD25" i="20"/>
  <c r="AE25" i="20"/>
  <c r="AF25" i="20"/>
  <c r="AG25" i="20"/>
  <c r="AH25" i="20"/>
  <c r="AI25" i="20"/>
  <c r="AJ25" i="20"/>
  <c r="AK25" i="20"/>
  <c r="AL25" i="20"/>
  <c r="AM25" i="20"/>
  <c r="Z26" i="20"/>
  <c r="AA26" i="20"/>
  <c r="AB26" i="20"/>
  <c r="AC26" i="20"/>
  <c r="AD26" i="20"/>
  <c r="AE26" i="20"/>
  <c r="AF26" i="20"/>
  <c r="AG26" i="20"/>
  <c r="AH26" i="20"/>
  <c r="AI26" i="20"/>
  <c r="AJ26" i="20"/>
  <c r="AK26" i="20"/>
  <c r="AL26" i="20"/>
  <c r="AM26" i="20"/>
  <c r="Z27" i="20"/>
  <c r="AA27" i="20"/>
  <c r="AB27" i="20"/>
  <c r="AC27" i="20"/>
  <c r="AD27" i="20"/>
  <c r="AE27" i="20"/>
  <c r="AF27" i="20"/>
  <c r="AG27" i="20"/>
  <c r="AH27" i="20"/>
  <c r="AI27" i="20"/>
  <c r="AJ27" i="20"/>
  <c r="AK27" i="20"/>
  <c r="AL27" i="20"/>
  <c r="AM27" i="20"/>
  <c r="Z28" i="20"/>
  <c r="AA28" i="20"/>
  <c r="AB28" i="20"/>
  <c r="AC28" i="20"/>
  <c r="AD28" i="20"/>
  <c r="AE28" i="20"/>
  <c r="AF28" i="20"/>
  <c r="AG28" i="20"/>
  <c r="AH28" i="20"/>
  <c r="AI28" i="20"/>
  <c r="AJ28" i="20"/>
  <c r="AK28" i="20"/>
  <c r="AL28" i="20"/>
  <c r="AM28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Z30" i="20"/>
  <c r="AA30" i="20"/>
  <c r="AB30" i="20"/>
  <c r="AC30" i="20"/>
  <c r="AD30" i="20"/>
  <c r="AE30" i="20"/>
  <c r="AF30" i="20"/>
  <c r="AG30" i="20"/>
  <c r="AH30" i="20"/>
  <c r="AI30" i="20"/>
  <c r="AJ30" i="20"/>
  <c r="AK30" i="20"/>
  <c r="AL30" i="20"/>
  <c r="AM30" i="20"/>
  <c r="Z31" i="20"/>
  <c r="AA31" i="20"/>
  <c r="AB31" i="20"/>
  <c r="AC31" i="20"/>
  <c r="AD31" i="20"/>
  <c r="AE31" i="20"/>
  <c r="AF31" i="20"/>
  <c r="AG31" i="20"/>
  <c r="AH31" i="20"/>
  <c r="AI31" i="20"/>
  <c r="AJ31" i="20"/>
  <c r="AK31" i="20"/>
  <c r="AL31" i="20"/>
  <c r="AM31" i="20"/>
  <c r="Z32" i="20"/>
  <c r="AA32" i="20"/>
  <c r="AB32" i="20"/>
  <c r="AC32" i="20"/>
  <c r="AD32" i="20"/>
  <c r="AE32" i="20"/>
  <c r="AF32" i="20"/>
  <c r="AG32" i="20"/>
  <c r="AH32" i="20"/>
  <c r="AI32" i="20"/>
  <c r="AJ32" i="20"/>
  <c r="AK32" i="20"/>
  <c r="AL32" i="20"/>
  <c r="AM32" i="20"/>
  <c r="Z33" i="20"/>
  <c r="AA33" i="20"/>
  <c r="AB33" i="20"/>
  <c r="AC33" i="20"/>
  <c r="AD33" i="20"/>
  <c r="AE33" i="20"/>
  <c r="AF33" i="20"/>
  <c r="AG33" i="20"/>
  <c r="AH33" i="20"/>
  <c r="AI33" i="20"/>
  <c r="AJ33" i="20"/>
  <c r="AK33" i="20"/>
  <c r="AL33" i="20"/>
  <c r="AM33" i="20"/>
  <c r="Z34" i="20"/>
  <c r="AA34" i="20"/>
  <c r="AB34" i="20"/>
  <c r="AC34" i="20"/>
  <c r="AD34" i="20"/>
  <c r="AE34" i="20"/>
  <c r="AF34" i="20"/>
  <c r="AG34" i="20"/>
  <c r="AH34" i="20"/>
  <c r="AI34" i="20"/>
  <c r="AJ34" i="20"/>
  <c r="AK34" i="20"/>
  <c r="AL34" i="20"/>
  <c r="AM34" i="20"/>
  <c r="Z35" i="20"/>
  <c r="AA35" i="20"/>
  <c r="AB35" i="20"/>
  <c r="AC35" i="20"/>
  <c r="AD35" i="20"/>
  <c r="AE35" i="20"/>
  <c r="AF35" i="20"/>
  <c r="AG35" i="20"/>
  <c r="AH35" i="20"/>
  <c r="AI35" i="20"/>
  <c r="AJ35" i="20"/>
  <c r="AK35" i="20"/>
  <c r="AL35" i="20"/>
  <c r="AM35" i="20"/>
  <c r="Z36" i="20"/>
  <c r="AA36" i="20"/>
  <c r="AB36" i="20"/>
  <c r="AC36" i="20"/>
  <c r="AD36" i="20"/>
  <c r="AE36" i="20"/>
  <c r="AF36" i="20"/>
  <c r="AG36" i="20"/>
  <c r="AH36" i="20"/>
  <c r="AI36" i="20"/>
  <c r="AJ36" i="20"/>
  <c r="AK36" i="20"/>
  <c r="AL36" i="20"/>
  <c r="AM36" i="20"/>
  <c r="Z39" i="20"/>
  <c r="AA39" i="20"/>
  <c r="AB39" i="20"/>
  <c r="AC39" i="20"/>
  <c r="AD39" i="20"/>
  <c r="AE39" i="20"/>
  <c r="AF39" i="20"/>
  <c r="AG39" i="20"/>
  <c r="AH39" i="20"/>
  <c r="AI39" i="20"/>
  <c r="AJ39" i="20"/>
  <c r="AK39" i="20"/>
  <c r="AL39" i="20"/>
  <c r="AM39" i="20"/>
  <c r="Z40" i="20"/>
  <c r="AA40" i="20"/>
  <c r="AB40" i="20"/>
  <c r="AC40" i="20"/>
  <c r="AD40" i="20"/>
  <c r="AE40" i="20"/>
  <c r="AF40" i="20"/>
  <c r="AG40" i="20"/>
  <c r="AH40" i="20"/>
  <c r="AI40" i="20"/>
  <c r="AJ40" i="20"/>
  <c r="AK40" i="20"/>
  <c r="AL40" i="20"/>
  <c r="AM40" i="20"/>
  <c r="Z41" i="20"/>
  <c r="AA41" i="20"/>
  <c r="AB41" i="20"/>
  <c r="AC41" i="20"/>
  <c r="AD41" i="20"/>
  <c r="AE41" i="20"/>
  <c r="AF41" i="20"/>
  <c r="AG41" i="20"/>
  <c r="AH41" i="20"/>
  <c r="AI41" i="20"/>
  <c r="AJ41" i="20"/>
  <c r="AK41" i="20"/>
  <c r="AL41" i="20"/>
  <c r="AM41" i="20"/>
  <c r="Z42" i="20"/>
  <c r="AA42" i="20"/>
  <c r="AB42" i="20"/>
  <c r="AC42" i="20"/>
  <c r="AD42" i="20"/>
  <c r="AE42" i="20"/>
  <c r="AF42" i="20"/>
  <c r="AG42" i="20"/>
  <c r="AH42" i="20"/>
  <c r="AI42" i="20"/>
  <c r="AJ42" i="20"/>
  <c r="AK42" i="20"/>
  <c r="AL42" i="20"/>
  <c r="AM42" i="20"/>
  <c r="Z43" i="20"/>
  <c r="AA43" i="20"/>
  <c r="AB43" i="20"/>
  <c r="AC43" i="20"/>
  <c r="AD43" i="20"/>
  <c r="AE43" i="20"/>
  <c r="AF43" i="20"/>
  <c r="AG43" i="20"/>
  <c r="AH43" i="20"/>
  <c r="AI43" i="20"/>
  <c r="AJ43" i="20"/>
  <c r="AK43" i="20"/>
  <c r="AL43" i="20"/>
  <c r="AM43" i="20"/>
  <c r="Z44" i="20"/>
  <c r="AA44" i="20"/>
  <c r="AB44" i="20"/>
  <c r="AC44" i="20"/>
  <c r="AD44" i="20"/>
  <c r="AE44" i="20"/>
  <c r="AF44" i="20"/>
  <c r="AG44" i="20"/>
  <c r="AH44" i="20"/>
  <c r="AI44" i="20"/>
  <c r="AJ44" i="20"/>
  <c r="AK44" i="20"/>
  <c r="AL44" i="20"/>
  <c r="AM44" i="20"/>
  <c r="Z45" i="20"/>
  <c r="AA45" i="20"/>
  <c r="AB45" i="20"/>
  <c r="AC45" i="20"/>
  <c r="AD45" i="20"/>
  <c r="AE45" i="20"/>
  <c r="AF45" i="20"/>
  <c r="AG45" i="20"/>
  <c r="AH45" i="20"/>
  <c r="AI45" i="20"/>
  <c r="AJ45" i="20"/>
  <c r="AK45" i="20"/>
  <c r="AL45" i="20"/>
  <c r="AM45" i="20"/>
  <c r="Z46" i="20"/>
  <c r="AA46" i="20"/>
  <c r="AB46" i="20"/>
  <c r="AC46" i="20"/>
  <c r="AD46" i="20"/>
  <c r="AE46" i="20"/>
  <c r="AF46" i="20"/>
  <c r="AG46" i="20"/>
  <c r="AH46" i="20"/>
  <c r="AI46" i="20"/>
  <c r="AJ46" i="20"/>
  <c r="AK46" i="20"/>
  <c r="AL46" i="20"/>
  <c r="AM46" i="20"/>
  <c r="Z47" i="20"/>
  <c r="AA47" i="20"/>
  <c r="AB47" i="20"/>
  <c r="AC47" i="20"/>
  <c r="AD47" i="20"/>
  <c r="AE47" i="20"/>
  <c r="AF47" i="20"/>
  <c r="AG47" i="20"/>
  <c r="AH47" i="20"/>
  <c r="AI47" i="20"/>
  <c r="AJ47" i="20"/>
  <c r="AK47" i="20"/>
  <c r="AL47" i="20"/>
  <c r="AM47" i="20"/>
  <c r="Z48" i="20"/>
  <c r="AA48" i="20"/>
  <c r="AB48" i="20"/>
  <c r="AC48" i="20"/>
  <c r="AD48" i="20"/>
  <c r="AE48" i="20"/>
  <c r="AF48" i="20"/>
  <c r="AG48" i="20"/>
  <c r="AH48" i="20"/>
  <c r="AI48" i="20"/>
  <c r="AJ48" i="20"/>
  <c r="AK48" i="20"/>
  <c r="AL48" i="20"/>
  <c r="AM48" i="20"/>
  <c r="Z49" i="20"/>
  <c r="AA49" i="20"/>
  <c r="AB49" i="20"/>
  <c r="AC49" i="20"/>
  <c r="AD49" i="20"/>
  <c r="AE49" i="20"/>
  <c r="AF49" i="20"/>
  <c r="AG49" i="20"/>
  <c r="AH49" i="20"/>
  <c r="AI49" i="20"/>
  <c r="AJ49" i="20"/>
  <c r="AK49" i="20"/>
  <c r="AL49" i="20"/>
  <c r="AM49" i="20"/>
  <c r="Z50" i="20"/>
  <c r="AA50" i="20"/>
  <c r="AB50" i="20"/>
  <c r="AC50" i="20"/>
  <c r="AD50" i="20"/>
  <c r="AE50" i="20"/>
  <c r="AF50" i="20"/>
  <c r="AG50" i="20"/>
  <c r="AH50" i="20"/>
  <c r="AI50" i="20"/>
  <c r="AJ50" i="20"/>
  <c r="AK50" i="20"/>
  <c r="AL50" i="20"/>
  <c r="AM50" i="20"/>
  <c r="Z51" i="20"/>
  <c r="AA51" i="20"/>
  <c r="AB51" i="20"/>
  <c r="AC51" i="20"/>
  <c r="AD51" i="20"/>
  <c r="AE51" i="20"/>
  <c r="AF51" i="20"/>
  <c r="AG51" i="20"/>
  <c r="AH51" i="20"/>
  <c r="AI51" i="20"/>
  <c r="AJ51" i="20"/>
  <c r="AK51" i="20"/>
  <c r="AL51" i="20"/>
  <c r="AM51" i="20"/>
  <c r="Z52" i="20"/>
  <c r="AA52" i="20"/>
  <c r="AB52" i="20"/>
  <c r="AC52" i="20"/>
  <c r="AD52" i="20"/>
  <c r="AE52" i="20"/>
  <c r="AF52" i="20"/>
  <c r="AG52" i="20"/>
  <c r="AH52" i="20"/>
  <c r="AI52" i="20"/>
  <c r="AJ52" i="20"/>
  <c r="AK52" i="20"/>
  <c r="AL52" i="20"/>
  <c r="AM52" i="20"/>
  <c r="Z53" i="20"/>
  <c r="AA53" i="20"/>
  <c r="AB53" i="20"/>
  <c r="AC53" i="20"/>
  <c r="AD53" i="20"/>
  <c r="AE53" i="20"/>
  <c r="AF53" i="20"/>
  <c r="AG53" i="20"/>
  <c r="AH53" i="20"/>
  <c r="AI53" i="20"/>
  <c r="AJ53" i="20"/>
  <c r="AK53" i="20"/>
  <c r="AL53" i="20"/>
  <c r="AM53" i="20"/>
  <c r="Z54" i="20"/>
  <c r="AA54" i="20"/>
  <c r="AB54" i="20"/>
  <c r="AC54" i="20"/>
  <c r="AD54" i="20"/>
  <c r="AE54" i="20"/>
  <c r="AF54" i="20"/>
  <c r="AG54" i="20"/>
  <c r="AH54" i="20"/>
  <c r="AI54" i="20"/>
  <c r="AJ54" i="20"/>
  <c r="AK54" i="20"/>
  <c r="AL54" i="20"/>
  <c r="AM54" i="20"/>
  <c r="Z55" i="20"/>
  <c r="AA55" i="20"/>
  <c r="AB55" i="20"/>
  <c r="AC55" i="20"/>
  <c r="AD55" i="20"/>
  <c r="AE55" i="20"/>
  <c r="AF55" i="20"/>
  <c r="AG55" i="20"/>
  <c r="AH55" i="20"/>
  <c r="AI55" i="20"/>
  <c r="AJ55" i="20"/>
  <c r="AK55" i="20"/>
  <c r="AL55" i="20"/>
  <c r="AM55" i="20"/>
  <c r="Z56" i="20"/>
  <c r="AA56" i="20"/>
  <c r="AB56" i="20"/>
  <c r="AC56" i="20"/>
  <c r="AD56" i="20"/>
  <c r="AE56" i="20"/>
  <c r="AF56" i="20"/>
  <c r="AG56" i="20"/>
  <c r="AH56" i="20"/>
  <c r="AI56" i="20"/>
  <c r="AJ56" i="20"/>
  <c r="AK56" i="20"/>
  <c r="AL56" i="20"/>
  <c r="AM56" i="20"/>
  <c r="Z57" i="20"/>
  <c r="AA57" i="20"/>
  <c r="AB57" i="20"/>
  <c r="AC57" i="20"/>
  <c r="AD57" i="20"/>
  <c r="AE57" i="20"/>
  <c r="AF57" i="20"/>
  <c r="AG57" i="20"/>
  <c r="AH57" i="20"/>
  <c r="AI57" i="20"/>
  <c r="AJ57" i="20"/>
  <c r="AK57" i="20"/>
  <c r="AL57" i="20"/>
  <c r="AM57" i="20"/>
  <c r="Z58" i="20"/>
  <c r="AA58" i="20"/>
  <c r="AB58" i="20"/>
  <c r="AC58" i="20"/>
  <c r="AD58" i="20"/>
  <c r="AE58" i="20"/>
  <c r="AF58" i="20"/>
  <c r="AG58" i="20"/>
  <c r="AH58" i="20"/>
  <c r="AI58" i="20"/>
  <c r="AJ58" i="20"/>
  <c r="AK58" i="20"/>
  <c r="AL58" i="20"/>
  <c r="AM58" i="20"/>
  <c r="Z59" i="20"/>
  <c r="AA59" i="20"/>
  <c r="AB59" i="20"/>
  <c r="AC59" i="20"/>
  <c r="AD59" i="20"/>
  <c r="AE59" i="20"/>
  <c r="AF59" i="20"/>
  <c r="AG59" i="20"/>
  <c r="AH59" i="20"/>
  <c r="AI59" i="20"/>
  <c r="AJ59" i="20"/>
  <c r="AK59" i="20"/>
  <c r="AL59" i="20"/>
  <c r="AM59" i="20"/>
  <c r="Z60" i="20"/>
  <c r="AA60" i="20"/>
  <c r="AB60" i="20"/>
  <c r="AC60" i="20"/>
  <c r="AD60" i="20"/>
  <c r="AE60" i="20"/>
  <c r="AF60" i="20"/>
  <c r="AG60" i="20"/>
  <c r="AH60" i="20"/>
  <c r="AI60" i="20"/>
  <c r="AJ60" i="20"/>
  <c r="AK60" i="20"/>
  <c r="AL60" i="20"/>
  <c r="AM60" i="20"/>
  <c r="Z61" i="20"/>
  <c r="AA61" i="20"/>
  <c r="AB61" i="20"/>
  <c r="AC61" i="20"/>
  <c r="AD61" i="20"/>
  <c r="AE61" i="20"/>
  <c r="AF61" i="20"/>
  <c r="AG61" i="20"/>
  <c r="AH61" i="20"/>
  <c r="AI61" i="20"/>
  <c r="AJ61" i="20"/>
  <c r="AK61" i="20"/>
  <c r="AL61" i="20"/>
  <c r="AM61" i="20"/>
  <c r="Z62" i="20"/>
  <c r="AA62" i="20"/>
  <c r="AB62" i="20"/>
  <c r="AC62" i="20"/>
  <c r="AD62" i="20"/>
  <c r="AE62" i="20"/>
  <c r="AF62" i="20"/>
  <c r="AG62" i="20"/>
  <c r="AH62" i="20"/>
  <c r="AI62" i="20"/>
  <c r="AJ62" i="20"/>
  <c r="AK62" i="20"/>
  <c r="AL62" i="20"/>
  <c r="AM62" i="20"/>
  <c r="Z63" i="20"/>
  <c r="AA63" i="20"/>
  <c r="AB63" i="20"/>
  <c r="AC63" i="20"/>
  <c r="AD63" i="20"/>
  <c r="AE63" i="20"/>
  <c r="AF63" i="20"/>
  <c r="AG63" i="20"/>
  <c r="AH63" i="20"/>
  <c r="AI63" i="20"/>
  <c r="AJ63" i="20"/>
  <c r="AK63" i="20"/>
  <c r="AL63" i="20"/>
  <c r="AM63" i="20"/>
  <c r="Z64" i="20"/>
  <c r="AA64" i="20"/>
  <c r="AB64" i="20"/>
  <c r="AC64" i="20"/>
  <c r="AD64" i="20"/>
  <c r="AE64" i="20"/>
  <c r="AF64" i="20"/>
  <c r="AG64" i="20"/>
  <c r="AH64" i="20"/>
  <c r="AI64" i="20"/>
  <c r="AJ64" i="20"/>
  <c r="AK64" i="20"/>
  <c r="AL64" i="20"/>
  <c r="AM64" i="20"/>
  <c r="Z65" i="20"/>
  <c r="AA65" i="20"/>
  <c r="AB65" i="20"/>
  <c r="AC65" i="20"/>
  <c r="AD65" i="20"/>
  <c r="AE65" i="20"/>
  <c r="AF65" i="20"/>
  <c r="AG65" i="20"/>
  <c r="AH65" i="20"/>
  <c r="AI65" i="20"/>
  <c r="AJ65" i="20"/>
  <c r="AK65" i="20"/>
  <c r="AL65" i="20"/>
  <c r="AM65" i="20"/>
  <c r="Z66" i="20"/>
  <c r="AA66" i="20"/>
  <c r="AB66" i="20"/>
  <c r="AC66" i="20"/>
  <c r="AD66" i="20"/>
  <c r="AE66" i="20"/>
  <c r="AF66" i="20"/>
  <c r="AG66" i="20"/>
  <c r="AH66" i="20"/>
  <c r="AI66" i="20"/>
  <c r="AJ66" i="20"/>
  <c r="AK66" i="20"/>
  <c r="AL66" i="20"/>
  <c r="AM66" i="20"/>
  <c r="Z67" i="20"/>
  <c r="AA67" i="20"/>
  <c r="AB67" i="20"/>
  <c r="AC67" i="20"/>
  <c r="AD67" i="20"/>
  <c r="AE67" i="20"/>
  <c r="AF67" i="20"/>
  <c r="AG67" i="20"/>
  <c r="AH67" i="20"/>
  <c r="AI67" i="20"/>
  <c r="AJ67" i="20"/>
  <c r="AK67" i="20"/>
  <c r="AL67" i="20"/>
  <c r="AM67" i="20"/>
  <c r="Z68" i="20"/>
  <c r="AA68" i="20"/>
  <c r="AB68" i="20"/>
  <c r="AC68" i="20"/>
  <c r="AD68" i="20"/>
  <c r="AE68" i="20"/>
  <c r="AF68" i="20"/>
  <c r="AG68" i="20"/>
  <c r="AH68" i="20"/>
  <c r="AI68" i="20"/>
  <c r="AJ68" i="20"/>
  <c r="AK68" i="20"/>
  <c r="AL68" i="20"/>
  <c r="AM68" i="20"/>
  <c r="Z69" i="20"/>
  <c r="AA69" i="20"/>
  <c r="AB69" i="20"/>
  <c r="AC69" i="20"/>
  <c r="AD69" i="20"/>
  <c r="AE69" i="20"/>
  <c r="AF69" i="20"/>
  <c r="AG69" i="20"/>
  <c r="AH69" i="20"/>
  <c r="AI69" i="20"/>
  <c r="AJ69" i="20"/>
  <c r="AK69" i="20"/>
  <c r="AL69" i="20"/>
  <c r="AM69" i="20"/>
  <c r="Z70" i="20"/>
  <c r="AA70" i="20"/>
  <c r="AB70" i="20"/>
  <c r="AC70" i="20"/>
  <c r="AD70" i="20"/>
  <c r="AE70" i="20"/>
  <c r="AF70" i="20"/>
  <c r="AG70" i="20"/>
  <c r="AH70" i="20"/>
  <c r="AI70" i="20"/>
  <c r="AJ70" i="20"/>
  <c r="AK70" i="20"/>
  <c r="AL70" i="20"/>
  <c r="AM70" i="20"/>
  <c r="Z71" i="20"/>
  <c r="AA71" i="20"/>
  <c r="AB71" i="20"/>
  <c r="AC71" i="20"/>
  <c r="AD71" i="20"/>
  <c r="AE71" i="20"/>
  <c r="AF71" i="20"/>
  <c r="AG71" i="20"/>
  <c r="AH71" i="20"/>
  <c r="AI71" i="20"/>
  <c r="AJ71" i="20"/>
  <c r="AK71" i="20"/>
  <c r="AL71" i="20"/>
  <c r="AM71" i="20"/>
  <c r="Z72" i="20"/>
  <c r="AA72" i="20"/>
  <c r="AB72" i="20"/>
  <c r="AC72" i="20"/>
  <c r="AD72" i="20"/>
  <c r="AE72" i="20"/>
  <c r="AF72" i="20"/>
  <c r="AG72" i="20"/>
  <c r="AH72" i="20"/>
  <c r="AI72" i="20"/>
  <c r="AJ72" i="20"/>
  <c r="AK72" i="20"/>
  <c r="AL72" i="20"/>
  <c r="AM72" i="20"/>
  <c r="Z73" i="20"/>
  <c r="AA73" i="20"/>
  <c r="AB73" i="20"/>
  <c r="AC73" i="20"/>
  <c r="AD73" i="20"/>
  <c r="AE73" i="20"/>
  <c r="AF73" i="20"/>
  <c r="AG73" i="20"/>
  <c r="AH73" i="20"/>
  <c r="AI73" i="20"/>
  <c r="AJ73" i="20"/>
  <c r="AK73" i="20"/>
  <c r="AL73" i="20"/>
  <c r="AM73" i="20"/>
  <c r="Z74" i="20"/>
  <c r="AA74" i="20"/>
  <c r="AB74" i="20"/>
  <c r="AC74" i="20"/>
  <c r="AD74" i="20"/>
  <c r="AE74" i="20"/>
  <c r="AF74" i="20"/>
  <c r="AG74" i="20"/>
  <c r="AH74" i="20"/>
  <c r="AI74" i="20"/>
  <c r="AJ74" i="20"/>
  <c r="AK74" i="20"/>
  <c r="AL74" i="20"/>
  <c r="AM74" i="20"/>
  <c r="Z75" i="20"/>
  <c r="AA75" i="20"/>
  <c r="AB75" i="20"/>
  <c r="AC75" i="20"/>
  <c r="AD75" i="20"/>
  <c r="AE75" i="20"/>
  <c r="AF75" i="20"/>
  <c r="AG75" i="20"/>
  <c r="AH75" i="20"/>
  <c r="AI75" i="20"/>
  <c r="AJ75" i="20"/>
  <c r="AK75" i="20"/>
  <c r="AL75" i="20"/>
  <c r="AM75" i="20"/>
  <c r="Z76" i="20"/>
  <c r="AA76" i="20"/>
  <c r="AB76" i="20"/>
  <c r="AC76" i="20"/>
  <c r="AD76" i="20"/>
  <c r="AE76" i="20"/>
  <c r="AF76" i="20"/>
  <c r="AG76" i="20"/>
  <c r="AH76" i="20"/>
  <c r="AI76" i="20"/>
  <c r="AJ76" i="20"/>
  <c r="AK76" i="20"/>
  <c r="AL76" i="20"/>
  <c r="AM76" i="20"/>
  <c r="Z77" i="20"/>
  <c r="AA77" i="20"/>
  <c r="AB77" i="20"/>
  <c r="AC77" i="20"/>
  <c r="AD77" i="20"/>
  <c r="AE77" i="20"/>
  <c r="AF77" i="20"/>
  <c r="AG77" i="20"/>
  <c r="AH77" i="20"/>
  <c r="AI77" i="20"/>
  <c r="AJ77" i="20"/>
  <c r="AK77" i="20"/>
  <c r="AL77" i="20"/>
  <c r="AM77" i="20"/>
  <c r="Z78" i="20"/>
  <c r="AA78" i="20"/>
  <c r="AB78" i="20"/>
  <c r="AC78" i="20"/>
  <c r="AD78" i="20"/>
  <c r="AE78" i="20"/>
  <c r="AF78" i="20"/>
  <c r="AG78" i="20"/>
  <c r="AH78" i="20"/>
  <c r="AI78" i="20"/>
  <c r="AJ78" i="20"/>
  <c r="AK78" i="20"/>
  <c r="AL78" i="20"/>
  <c r="AM78" i="20"/>
  <c r="Z79" i="20"/>
  <c r="AA79" i="20"/>
  <c r="AB79" i="20"/>
  <c r="AC79" i="20"/>
  <c r="AD79" i="20"/>
  <c r="AE79" i="20"/>
  <c r="AF79" i="20"/>
  <c r="AG79" i="20"/>
  <c r="AH79" i="20"/>
  <c r="AI79" i="20"/>
  <c r="AJ79" i="20"/>
  <c r="AK79" i="20"/>
  <c r="AL79" i="20"/>
  <c r="AM79" i="20"/>
  <c r="Z80" i="20"/>
  <c r="AA80" i="20"/>
  <c r="AB80" i="20"/>
  <c r="AC80" i="20"/>
  <c r="AD80" i="20"/>
  <c r="AE80" i="20"/>
  <c r="AF80" i="20"/>
  <c r="AG80" i="20"/>
  <c r="AH80" i="20"/>
  <c r="AI80" i="20"/>
  <c r="AJ80" i="20"/>
  <c r="AK80" i="20"/>
  <c r="AL80" i="20"/>
  <c r="AM80" i="20"/>
  <c r="Z81" i="20"/>
  <c r="AA81" i="20"/>
  <c r="AB81" i="20"/>
  <c r="AC81" i="20"/>
  <c r="AD81" i="20"/>
  <c r="AE81" i="20"/>
  <c r="AF81" i="20"/>
  <c r="AG81" i="20"/>
  <c r="AH81" i="20"/>
  <c r="AI81" i="20"/>
  <c r="AJ81" i="20"/>
  <c r="AK81" i="20"/>
  <c r="AL81" i="20"/>
  <c r="AM81" i="20"/>
  <c r="Z82" i="20"/>
  <c r="AA82" i="20"/>
  <c r="AB82" i="20"/>
  <c r="AC82" i="20"/>
  <c r="AD82" i="20"/>
  <c r="AE82" i="20"/>
  <c r="AF82" i="20"/>
  <c r="AG82" i="20"/>
  <c r="AH82" i="20"/>
  <c r="AI82" i="20"/>
  <c r="AJ82" i="20"/>
  <c r="AK82" i="20"/>
  <c r="AL82" i="20"/>
  <c r="AM82" i="20"/>
  <c r="Z83" i="20"/>
  <c r="AA83" i="20"/>
  <c r="AB83" i="20"/>
  <c r="AC83" i="20"/>
  <c r="AD83" i="20"/>
  <c r="AE83" i="20"/>
  <c r="AF83" i="20"/>
  <c r="AG83" i="20"/>
  <c r="AH83" i="20"/>
  <c r="AI83" i="20"/>
  <c r="AJ83" i="20"/>
  <c r="AK83" i="20"/>
  <c r="AL83" i="20"/>
  <c r="AM83" i="20"/>
  <c r="Z84" i="20"/>
  <c r="AA84" i="20"/>
  <c r="AB84" i="20"/>
  <c r="AC84" i="20"/>
  <c r="AD84" i="20"/>
  <c r="AE84" i="20"/>
  <c r="AF84" i="20"/>
  <c r="AG84" i="20"/>
  <c r="AH84" i="20"/>
  <c r="AI84" i="20"/>
  <c r="AJ84" i="20"/>
  <c r="AK84" i="20"/>
  <c r="AL84" i="20"/>
  <c r="AM84" i="20"/>
  <c r="Z85" i="20"/>
  <c r="AA85" i="20"/>
  <c r="AB85" i="20"/>
  <c r="AC85" i="20"/>
  <c r="AD85" i="20"/>
  <c r="AE85" i="20"/>
  <c r="AF85" i="20"/>
  <c r="AG85" i="20"/>
  <c r="AH85" i="20"/>
  <c r="AI85" i="20"/>
  <c r="AJ85" i="20"/>
  <c r="AK85" i="20"/>
  <c r="AL85" i="20"/>
  <c r="AM85" i="20"/>
  <c r="Z86" i="20"/>
  <c r="AA86" i="20"/>
  <c r="AB86" i="20"/>
  <c r="AC86" i="20"/>
  <c r="AD86" i="20"/>
  <c r="AE86" i="20"/>
  <c r="AF86" i="20"/>
  <c r="AG86" i="20"/>
  <c r="AH86" i="20"/>
  <c r="AI86" i="20"/>
  <c r="AJ86" i="20"/>
  <c r="AK86" i="20"/>
  <c r="AL86" i="20"/>
  <c r="AM86" i="20"/>
  <c r="Z87" i="20"/>
  <c r="AA87" i="20"/>
  <c r="AB87" i="20"/>
  <c r="AC87" i="20"/>
  <c r="AD87" i="20"/>
  <c r="AE87" i="20"/>
  <c r="AF87" i="20"/>
  <c r="AG87" i="20"/>
  <c r="AH87" i="20"/>
  <c r="AI87" i="20"/>
  <c r="AJ87" i="20"/>
  <c r="AK87" i="20"/>
  <c r="AL87" i="20"/>
  <c r="AM87" i="20"/>
  <c r="Z88" i="20"/>
  <c r="AA88" i="20"/>
  <c r="AB88" i="20"/>
  <c r="AC88" i="20"/>
  <c r="AD88" i="20"/>
  <c r="AE88" i="20"/>
  <c r="AF88" i="20"/>
  <c r="AG88" i="20"/>
  <c r="AH88" i="20"/>
  <c r="AI88" i="20"/>
  <c r="AJ88" i="20"/>
  <c r="AK88" i="20"/>
  <c r="AL88" i="20"/>
  <c r="AM88" i="20"/>
  <c r="Z89" i="20"/>
  <c r="AA89" i="20"/>
  <c r="AB89" i="20"/>
  <c r="AC89" i="20"/>
  <c r="AD89" i="20"/>
  <c r="AE89" i="20"/>
  <c r="AF89" i="20"/>
  <c r="AG89" i="20"/>
  <c r="AH89" i="20"/>
  <c r="AI89" i="20"/>
  <c r="AJ89" i="20"/>
  <c r="AK89" i="20"/>
  <c r="AL89" i="20"/>
  <c r="AM89" i="20"/>
  <c r="Z90" i="20"/>
  <c r="AA90" i="20"/>
  <c r="AB90" i="20"/>
  <c r="AC90" i="20"/>
  <c r="AD90" i="20"/>
  <c r="AE90" i="20"/>
  <c r="AF90" i="20"/>
  <c r="AG90" i="20"/>
  <c r="AH90" i="20"/>
  <c r="AI90" i="20"/>
  <c r="AJ90" i="20"/>
  <c r="AK90" i="20"/>
  <c r="AL90" i="20"/>
  <c r="AM90" i="20"/>
  <c r="Z91" i="20"/>
  <c r="AA91" i="20"/>
  <c r="AB91" i="20"/>
  <c r="AC91" i="20"/>
  <c r="AD91" i="20"/>
  <c r="AE91" i="20"/>
  <c r="AF91" i="20"/>
  <c r="AG91" i="20"/>
  <c r="AH91" i="20"/>
  <c r="AI91" i="20"/>
  <c r="AJ91" i="20"/>
  <c r="AK91" i="20"/>
  <c r="AL91" i="20"/>
  <c r="AM91" i="20"/>
  <c r="Z92" i="20"/>
  <c r="AA92" i="20"/>
  <c r="AB92" i="20"/>
  <c r="AC92" i="20"/>
  <c r="AD92" i="20"/>
  <c r="AE92" i="20"/>
  <c r="AF92" i="20"/>
  <c r="AG92" i="20"/>
  <c r="AH92" i="20"/>
  <c r="AJ92" i="20"/>
  <c r="AK92" i="20"/>
  <c r="AL92" i="20"/>
  <c r="AM92" i="20"/>
  <c r="Z93" i="20"/>
  <c r="AA93" i="20"/>
  <c r="AB93" i="20"/>
  <c r="AC93" i="20"/>
  <c r="AD93" i="20"/>
  <c r="AE93" i="20"/>
  <c r="AF93" i="20"/>
  <c r="AG93" i="20"/>
  <c r="AH93" i="20"/>
  <c r="AI93" i="20"/>
  <c r="AJ93" i="20"/>
  <c r="AK93" i="20"/>
  <c r="AL93" i="20"/>
  <c r="AM93" i="20"/>
  <c r="Z94" i="20"/>
  <c r="AA94" i="20"/>
  <c r="AB94" i="20"/>
  <c r="AC94" i="20"/>
  <c r="AD94" i="20"/>
  <c r="AE94" i="20"/>
  <c r="AF94" i="20"/>
  <c r="AG94" i="20"/>
  <c r="AH94" i="20"/>
  <c r="AI94" i="20"/>
  <c r="AJ94" i="20"/>
  <c r="AK94" i="20"/>
  <c r="AL94" i="20"/>
  <c r="AM94" i="20"/>
  <c r="Z95" i="20"/>
  <c r="AA95" i="20"/>
  <c r="AB95" i="20"/>
  <c r="AC95" i="20"/>
  <c r="AD95" i="20"/>
  <c r="AE95" i="20"/>
  <c r="AF95" i="20"/>
  <c r="AG95" i="20"/>
  <c r="AH95" i="20"/>
  <c r="AI95" i="20"/>
  <c r="AJ95" i="20"/>
  <c r="AK95" i="20"/>
  <c r="AL95" i="20"/>
  <c r="AM95" i="20"/>
  <c r="Z99" i="20"/>
  <c r="AA99" i="20"/>
  <c r="AB99" i="20"/>
  <c r="AC99" i="20"/>
  <c r="AD99" i="20"/>
  <c r="AE99" i="20"/>
  <c r="AF99" i="20"/>
  <c r="AG99" i="20"/>
  <c r="AH99" i="20"/>
  <c r="AI99" i="20"/>
  <c r="AJ99" i="20"/>
  <c r="AK99" i="20"/>
  <c r="AL99" i="20"/>
  <c r="AM99" i="20"/>
  <c r="Z100" i="20"/>
  <c r="AA100" i="20"/>
  <c r="AB100" i="20"/>
  <c r="AC100" i="20"/>
  <c r="AD100" i="20"/>
  <c r="AE100" i="20"/>
  <c r="AF100" i="20"/>
  <c r="AG100" i="20"/>
  <c r="AH100" i="20"/>
  <c r="AI100" i="20"/>
  <c r="AJ100" i="20"/>
  <c r="AK100" i="20"/>
  <c r="AL100" i="20"/>
  <c r="AM100" i="20"/>
  <c r="Z101" i="20"/>
  <c r="AA101" i="20"/>
  <c r="AB101" i="20"/>
  <c r="AC101" i="20"/>
  <c r="AD101" i="20"/>
  <c r="AE101" i="20"/>
  <c r="AF101" i="20"/>
  <c r="AG101" i="20"/>
  <c r="AH101" i="20"/>
  <c r="AI101" i="20"/>
  <c r="AJ101" i="20"/>
  <c r="AK101" i="20"/>
  <c r="AL101" i="20"/>
  <c r="AM101" i="20"/>
  <c r="Z102" i="20"/>
  <c r="AA102" i="20"/>
  <c r="AB102" i="20"/>
  <c r="AC102" i="20"/>
  <c r="AD102" i="20"/>
  <c r="AE102" i="20"/>
  <c r="AF102" i="20"/>
  <c r="AG102" i="20"/>
  <c r="AH102" i="20"/>
  <c r="AI102" i="20"/>
  <c r="AJ102" i="20"/>
  <c r="AK102" i="20"/>
  <c r="AL102" i="20"/>
  <c r="AM102" i="20"/>
  <c r="Z103" i="20"/>
  <c r="AA103" i="20"/>
  <c r="AB103" i="20"/>
  <c r="AC103" i="20"/>
  <c r="AD103" i="20"/>
  <c r="AE103" i="20"/>
  <c r="AF103" i="20"/>
  <c r="AG103" i="20"/>
  <c r="AH103" i="20"/>
  <c r="AI103" i="20"/>
  <c r="AJ103" i="20"/>
  <c r="AK103" i="20"/>
  <c r="AL103" i="20"/>
  <c r="AM103" i="20"/>
  <c r="Z104" i="20"/>
  <c r="AA104" i="20"/>
  <c r="AB104" i="20"/>
  <c r="AC104" i="20"/>
  <c r="AD104" i="20"/>
  <c r="AE104" i="20"/>
  <c r="AF104" i="20"/>
  <c r="AG104" i="20"/>
  <c r="AH104" i="20"/>
  <c r="AI104" i="20"/>
  <c r="AJ104" i="20"/>
  <c r="AK104" i="20"/>
  <c r="AL104" i="20"/>
  <c r="AM104" i="20"/>
  <c r="Z105" i="20"/>
  <c r="AA105" i="20"/>
  <c r="AB105" i="20"/>
  <c r="AC105" i="20"/>
  <c r="AD105" i="20"/>
  <c r="AE105" i="20"/>
  <c r="AF105" i="20"/>
  <c r="AG105" i="20"/>
  <c r="AH105" i="20"/>
  <c r="AI105" i="20"/>
  <c r="AJ105" i="20"/>
  <c r="AK105" i="20"/>
  <c r="AL105" i="20"/>
  <c r="AM105" i="20"/>
  <c r="Z106" i="20"/>
  <c r="AA106" i="20"/>
  <c r="AB106" i="20"/>
  <c r="AC106" i="20"/>
  <c r="AD106" i="20"/>
  <c r="AE106" i="20"/>
  <c r="AF106" i="20"/>
  <c r="AG106" i="20"/>
  <c r="AH106" i="20"/>
  <c r="AI106" i="20"/>
  <c r="AJ106" i="20"/>
  <c r="AK106" i="20"/>
  <c r="AL106" i="20"/>
  <c r="AM106" i="20"/>
  <c r="Z107" i="20"/>
  <c r="AA107" i="20"/>
  <c r="AB107" i="20"/>
  <c r="AC107" i="20"/>
  <c r="AD107" i="20"/>
  <c r="AE107" i="20"/>
  <c r="AF107" i="20"/>
  <c r="AG107" i="20"/>
  <c r="AH107" i="20"/>
  <c r="AI107" i="20"/>
  <c r="AJ107" i="20"/>
  <c r="AK107" i="20"/>
  <c r="AL107" i="20"/>
  <c r="AM107" i="20"/>
  <c r="Z108" i="20"/>
  <c r="AA108" i="20"/>
  <c r="AB108" i="20"/>
  <c r="AC108" i="20"/>
  <c r="AD108" i="20"/>
  <c r="AE108" i="20"/>
  <c r="AF108" i="20"/>
  <c r="AG108" i="20"/>
  <c r="AH108" i="20"/>
  <c r="AI108" i="20"/>
  <c r="AJ108" i="20"/>
  <c r="AK108" i="20"/>
  <c r="AL108" i="20"/>
  <c r="AM108" i="20"/>
  <c r="Z109" i="20"/>
  <c r="AA109" i="20"/>
  <c r="AB109" i="20"/>
  <c r="AC109" i="20"/>
  <c r="AD109" i="20"/>
  <c r="AE109" i="20"/>
  <c r="AF109" i="20"/>
  <c r="AG109" i="20"/>
  <c r="AH109" i="20"/>
  <c r="AI109" i="20"/>
  <c r="AJ109" i="20"/>
  <c r="AK109" i="20"/>
  <c r="AL109" i="20"/>
  <c r="AM109" i="20"/>
  <c r="Z110" i="20"/>
  <c r="AA110" i="20"/>
  <c r="AB110" i="20"/>
  <c r="AC110" i="20"/>
  <c r="AD110" i="20"/>
  <c r="AE110" i="20"/>
  <c r="AF110" i="20"/>
  <c r="AG110" i="20"/>
  <c r="AH110" i="20"/>
  <c r="AI110" i="20"/>
  <c r="AJ110" i="20"/>
  <c r="AK110" i="20"/>
  <c r="AL110" i="20"/>
  <c r="AM110" i="20"/>
  <c r="Z111" i="20"/>
  <c r="AA111" i="20"/>
  <c r="AB111" i="20"/>
  <c r="AC111" i="20"/>
  <c r="AD111" i="20"/>
  <c r="AE111" i="20"/>
  <c r="AF111" i="20"/>
  <c r="AG111" i="20"/>
  <c r="AH111" i="20"/>
  <c r="AI111" i="20"/>
  <c r="AJ111" i="20"/>
  <c r="AK111" i="20"/>
  <c r="AL111" i="20"/>
  <c r="AM111" i="20"/>
  <c r="Z112" i="20"/>
  <c r="AA112" i="20"/>
  <c r="AB112" i="20"/>
  <c r="AC112" i="20"/>
  <c r="AD112" i="20"/>
  <c r="AE112" i="20"/>
  <c r="AF112" i="20"/>
  <c r="AG112" i="20"/>
  <c r="AH112" i="20"/>
  <c r="AI112" i="20"/>
  <c r="AJ112" i="20"/>
  <c r="AK112" i="20"/>
  <c r="AL112" i="20"/>
  <c r="AM112" i="20"/>
  <c r="Z113" i="20"/>
  <c r="AA113" i="20"/>
  <c r="AB113" i="20"/>
  <c r="AC113" i="20"/>
  <c r="AD113" i="20"/>
  <c r="AE113" i="20"/>
  <c r="AF113" i="20"/>
  <c r="AG113" i="20"/>
  <c r="AH113" i="20"/>
  <c r="AI113" i="20"/>
  <c r="AJ113" i="20"/>
  <c r="AK113" i="20"/>
  <c r="AL113" i="20"/>
  <c r="AM113" i="20"/>
  <c r="Z114" i="20"/>
  <c r="AA114" i="20"/>
  <c r="AB114" i="20"/>
  <c r="AC114" i="20"/>
  <c r="AD114" i="20"/>
  <c r="AE114" i="20"/>
  <c r="AF114" i="20"/>
  <c r="AG114" i="20"/>
  <c r="AH114" i="20"/>
  <c r="AI114" i="20"/>
  <c r="AJ114" i="20"/>
  <c r="AK114" i="20"/>
  <c r="AL114" i="20"/>
  <c r="AM114" i="20"/>
  <c r="Z115" i="20"/>
  <c r="AA115" i="20"/>
  <c r="AB115" i="20"/>
  <c r="AC115" i="20"/>
  <c r="AD115" i="20"/>
  <c r="AE115" i="20"/>
  <c r="AF115" i="20"/>
  <c r="AG115" i="20"/>
  <c r="AH115" i="20"/>
  <c r="AI115" i="20"/>
  <c r="AJ115" i="20"/>
  <c r="AK115" i="20"/>
  <c r="AL115" i="20"/>
  <c r="AM115" i="20"/>
  <c r="Z116" i="20"/>
  <c r="AA116" i="20"/>
  <c r="AB116" i="20"/>
  <c r="AC116" i="20"/>
  <c r="AD116" i="20"/>
  <c r="AE116" i="20"/>
  <c r="AF116" i="20"/>
  <c r="AG116" i="20"/>
  <c r="AI116" i="20"/>
  <c r="AJ116" i="20"/>
  <c r="AK116" i="20"/>
  <c r="AL116" i="20"/>
  <c r="AM116" i="20"/>
  <c r="Z117" i="20"/>
  <c r="AA117" i="20"/>
  <c r="AB117" i="20"/>
  <c r="AC117" i="20"/>
  <c r="AD117" i="20"/>
  <c r="AE117" i="20"/>
  <c r="AF117" i="20"/>
  <c r="AG117" i="20"/>
  <c r="AH117" i="20"/>
  <c r="AI117" i="20"/>
  <c r="AJ117" i="20"/>
  <c r="AK117" i="20"/>
  <c r="AL117" i="20"/>
  <c r="AM117" i="20"/>
  <c r="Z118" i="20"/>
  <c r="AA118" i="20"/>
  <c r="AB118" i="20"/>
  <c r="AC118" i="20"/>
  <c r="AD118" i="20"/>
  <c r="AE118" i="20"/>
  <c r="AF118" i="20"/>
  <c r="AG118" i="20"/>
  <c r="AH118" i="20"/>
  <c r="AI118" i="20"/>
  <c r="AJ118" i="20"/>
  <c r="AK118" i="20"/>
  <c r="AL118" i="20"/>
  <c r="AM118" i="20"/>
  <c r="Z119" i="20"/>
  <c r="AA119" i="20"/>
  <c r="AB119" i="20"/>
  <c r="AC119" i="20"/>
  <c r="AD119" i="20"/>
  <c r="AE119" i="20"/>
  <c r="AF119" i="20"/>
  <c r="AG119" i="20"/>
  <c r="AH119" i="20"/>
  <c r="AI119" i="20"/>
  <c r="AJ119" i="20"/>
  <c r="AK119" i="20"/>
  <c r="AL119" i="20"/>
  <c r="AM119" i="20"/>
  <c r="Z120" i="20"/>
  <c r="AA120" i="20"/>
  <c r="AB120" i="20"/>
  <c r="AC120" i="20"/>
  <c r="AD120" i="20"/>
  <c r="AE120" i="20"/>
  <c r="AF120" i="20"/>
  <c r="AG120" i="20"/>
  <c r="AH120" i="20"/>
  <c r="AI120" i="20"/>
  <c r="AJ120" i="20"/>
  <c r="AK120" i="20"/>
  <c r="AL120" i="20"/>
  <c r="Z121" i="20"/>
  <c r="AA121" i="20"/>
  <c r="AB121" i="20"/>
  <c r="AC121" i="20"/>
  <c r="AD121" i="20"/>
  <c r="AE121" i="20"/>
  <c r="AF121" i="20"/>
  <c r="AG121" i="20"/>
  <c r="AH121" i="20"/>
  <c r="AI121" i="20"/>
  <c r="AJ121" i="20"/>
  <c r="AK121" i="20"/>
  <c r="AL121" i="20"/>
  <c r="Z124" i="20"/>
  <c r="AA124" i="20"/>
  <c r="AB124" i="20"/>
  <c r="AC124" i="20"/>
  <c r="AD124" i="20"/>
  <c r="AE124" i="20"/>
  <c r="AF124" i="20"/>
  <c r="AG124" i="20"/>
  <c r="AH124" i="20"/>
  <c r="AI124" i="20"/>
  <c r="AJ124" i="20"/>
  <c r="AK124" i="20"/>
  <c r="AL124" i="20"/>
  <c r="AM124" i="20"/>
  <c r="Z125" i="20"/>
  <c r="AA125" i="20"/>
  <c r="AB125" i="20"/>
  <c r="AC125" i="20"/>
  <c r="AD125" i="20"/>
  <c r="AE125" i="20"/>
  <c r="AF125" i="20"/>
  <c r="AG125" i="20"/>
  <c r="AH125" i="20"/>
  <c r="AI125" i="20"/>
  <c r="AJ125" i="20"/>
  <c r="AK125" i="20"/>
  <c r="AL125" i="20"/>
  <c r="AM125" i="20"/>
  <c r="AM4" i="20"/>
  <c r="Q94" i="20"/>
  <c r="R94" i="20"/>
  <c r="S94" i="20"/>
  <c r="T94" i="20"/>
  <c r="U94" i="20"/>
  <c r="V94" i="20"/>
  <c r="W94" i="20"/>
  <c r="X94" i="20"/>
  <c r="Y94" i="20"/>
  <c r="AL4" i="20"/>
  <c r="Q124" i="20"/>
  <c r="R124" i="20"/>
  <c r="S124" i="20"/>
  <c r="T124" i="20"/>
  <c r="U124" i="20"/>
  <c r="V124" i="20"/>
  <c r="W124" i="20"/>
  <c r="X124" i="20"/>
  <c r="Y124" i="20"/>
  <c r="Q125" i="20"/>
  <c r="R125" i="20"/>
  <c r="S125" i="20"/>
  <c r="T125" i="20"/>
  <c r="U125" i="20"/>
  <c r="V125" i="20"/>
  <c r="W125" i="20"/>
  <c r="X125" i="20"/>
  <c r="Y125" i="20"/>
  <c r="AK4" i="20"/>
  <c r="AJ4" i="20"/>
  <c r="S29" i="20"/>
  <c r="T29" i="20"/>
  <c r="U29" i="20"/>
  <c r="V29" i="20"/>
  <c r="W29" i="20"/>
  <c r="X29" i="20"/>
  <c r="Y29" i="20"/>
  <c r="S30" i="20"/>
  <c r="T30" i="20"/>
  <c r="U30" i="20"/>
  <c r="V30" i="20"/>
  <c r="W30" i="20"/>
  <c r="X30" i="20"/>
  <c r="Y30" i="20"/>
  <c r="S31" i="20"/>
  <c r="T31" i="20"/>
  <c r="U31" i="20"/>
  <c r="V31" i="20"/>
  <c r="W31" i="20"/>
  <c r="X31" i="20"/>
  <c r="Y31" i="20"/>
  <c r="S32" i="20"/>
  <c r="T32" i="20"/>
  <c r="U32" i="20"/>
  <c r="V32" i="20"/>
  <c r="W32" i="20"/>
  <c r="X32" i="20"/>
  <c r="Y32" i="20"/>
  <c r="S33" i="20"/>
  <c r="T33" i="20"/>
  <c r="U33" i="20"/>
  <c r="V33" i="20"/>
  <c r="W33" i="20"/>
  <c r="X33" i="20"/>
  <c r="Y33" i="20"/>
  <c r="S34" i="20"/>
  <c r="T34" i="20"/>
  <c r="U34" i="20"/>
  <c r="V34" i="20"/>
  <c r="W34" i="20"/>
  <c r="X34" i="20"/>
  <c r="Y34" i="20"/>
  <c r="AI4" i="20"/>
  <c r="AH4" i="20"/>
  <c r="AG4" i="20"/>
  <c r="AF4" i="20"/>
  <c r="Q120" i="20"/>
  <c r="R120" i="20"/>
  <c r="S120" i="20"/>
  <c r="T120" i="20"/>
  <c r="U120" i="20"/>
  <c r="V120" i="20"/>
  <c r="W120" i="20"/>
  <c r="X120" i="20"/>
  <c r="Y120" i="20"/>
  <c r="AE4" i="20"/>
  <c r="AD4" i="20"/>
  <c r="AC4" i="20"/>
  <c r="AB4" i="20"/>
  <c r="AA4" i="20"/>
  <c r="Z4" i="20"/>
  <c r="Y4" i="20"/>
  <c r="Y5" i="20"/>
  <c r="Y6" i="20"/>
  <c r="Y7" i="20"/>
  <c r="Y8" i="20"/>
  <c r="Y9" i="20"/>
  <c r="Y10" i="20"/>
  <c r="Y11" i="20"/>
  <c r="Y12" i="20"/>
  <c r="Y13" i="20"/>
  <c r="Y14" i="20"/>
  <c r="Y15" i="20"/>
  <c r="Y16" i="20"/>
  <c r="Y17" i="20"/>
  <c r="Y18" i="20"/>
  <c r="Y19" i="20"/>
  <c r="Y20" i="20"/>
  <c r="Y21" i="20"/>
  <c r="Y22" i="20"/>
  <c r="Y23" i="20"/>
  <c r="Y24" i="20"/>
  <c r="Y25" i="20"/>
  <c r="Y26" i="20"/>
  <c r="Y27" i="20"/>
  <c r="Y28" i="20"/>
  <c r="Y35" i="20"/>
  <c r="Y36" i="20"/>
  <c r="Y39" i="20"/>
  <c r="Y40" i="20"/>
  <c r="Y41" i="20"/>
  <c r="Y42" i="20"/>
  <c r="Y43" i="20"/>
  <c r="Y44" i="20"/>
  <c r="Y45" i="20"/>
  <c r="Y46" i="20"/>
  <c r="Y47" i="20"/>
  <c r="Y48" i="20"/>
  <c r="Y49" i="20"/>
  <c r="Y50" i="20"/>
  <c r="Y51" i="20"/>
  <c r="Y52" i="20"/>
  <c r="Y53" i="20"/>
  <c r="Y54" i="20"/>
  <c r="Y55" i="20"/>
  <c r="Y56" i="20"/>
  <c r="Y57" i="20"/>
  <c r="Y58" i="20"/>
  <c r="Y59" i="20"/>
  <c r="Y60" i="20"/>
  <c r="Y61" i="20"/>
  <c r="Y62" i="20"/>
  <c r="Y63" i="20"/>
  <c r="Y64" i="20"/>
  <c r="Y65" i="20"/>
  <c r="Y66" i="20"/>
  <c r="Y67" i="20"/>
  <c r="Y68" i="20"/>
  <c r="Y69" i="20"/>
  <c r="Y70" i="20"/>
  <c r="Y71" i="20"/>
  <c r="Y72" i="20"/>
  <c r="Y73" i="20"/>
  <c r="Y74" i="20"/>
  <c r="Y75" i="20"/>
  <c r="Y76" i="20"/>
  <c r="Y77" i="20"/>
  <c r="Y78" i="20"/>
  <c r="Y79" i="20"/>
  <c r="Y80" i="20"/>
  <c r="Y81" i="20"/>
  <c r="Y82" i="20"/>
  <c r="Y83" i="20"/>
  <c r="Y84" i="20"/>
  <c r="Y85" i="20"/>
  <c r="Y86" i="20"/>
  <c r="Y87" i="20"/>
  <c r="Y88" i="20"/>
  <c r="Y89" i="20"/>
  <c r="Y90" i="20"/>
  <c r="Y91" i="20"/>
  <c r="Y92" i="20"/>
  <c r="Y93" i="20"/>
  <c r="Y95" i="20"/>
  <c r="Y99" i="20"/>
  <c r="Y100" i="20"/>
  <c r="Y101" i="20"/>
  <c r="Y102" i="20"/>
  <c r="Y103" i="20"/>
  <c r="Y104" i="20"/>
  <c r="Y105" i="20"/>
  <c r="Y106" i="20"/>
  <c r="Y107" i="20"/>
  <c r="Y108" i="20"/>
  <c r="Y109" i="20"/>
  <c r="Y110" i="20"/>
  <c r="Y111" i="20"/>
  <c r="Y112" i="20"/>
  <c r="Y113" i="20"/>
  <c r="Y114" i="20"/>
  <c r="Y115" i="20"/>
  <c r="Y116" i="20"/>
  <c r="Y117" i="20"/>
  <c r="Y118" i="20"/>
  <c r="Y119" i="20"/>
  <c r="Y121" i="20"/>
  <c r="X4" i="20"/>
  <c r="X5" i="20"/>
  <c r="X6" i="20"/>
  <c r="X7" i="20"/>
  <c r="X8" i="20"/>
  <c r="X9" i="20"/>
  <c r="X10" i="20"/>
  <c r="X11" i="20"/>
  <c r="X12" i="20"/>
  <c r="X13" i="20"/>
  <c r="X14" i="20"/>
  <c r="X15" i="20"/>
  <c r="X16" i="20"/>
  <c r="X17" i="20"/>
  <c r="X18" i="20"/>
  <c r="X19" i="20"/>
  <c r="X20" i="20"/>
  <c r="X21" i="20"/>
  <c r="X22" i="20"/>
  <c r="X23" i="20"/>
  <c r="X24" i="20"/>
  <c r="X25" i="20"/>
  <c r="X26" i="20"/>
  <c r="X27" i="20"/>
  <c r="X28" i="20"/>
  <c r="X35" i="20"/>
  <c r="X36" i="20"/>
  <c r="X39" i="20"/>
  <c r="X40" i="20"/>
  <c r="X41" i="20"/>
  <c r="X42" i="20"/>
  <c r="X43" i="20"/>
  <c r="X44" i="20"/>
  <c r="X45" i="20"/>
  <c r="X46" i="20"/>
  <c r="X47" i="20"/>
  <c r="X48" i="20"/>
  <c r="X49" i="20"/>
  <c r="X50" i="20"/>
  <c r="X51" i="20"/>
  <c r="X52" i="20"/>
  <c r="X53" i="20"/>
  <c r="X54" i="20"/>
  <c r="X55" i="20"/>
  <c r="X56" i="20"/>
  <c r="X57" i="20"/>
  <c r="X58" i="20"/>
  <c r="X59" i="20"/>
  <c r="X60" i="20"/>
  <c r="X61" i="20"/>
  <c r="X62" i="20"/>
  <c r="X63" i="20"/>
  <c r="X64" i="20"/>
  <c r="X65" i="20"/>
  <c r="X66" i="20"/>
  <c r="X67" i="20"/>
  <c r="X68" i="20"/>
  <c r="X69" i="20"/>
  <c r="X70" i="20"/>
  <c r="X71" i="20"/>
  <c r="X72" i="20"/>
  <c r="X73" i="20"/>
  <c r="X74" i="20"/>
  <c r="X75" i="20"/>
  <c r="X76" i="20"/>
  <c r="X77" i="20"/>
  <c r="X78" i="20"/>
  <c r="X79" i="20"/>
  <c r="X80" i="20"/>
  <c r="X81" i="20"/>
  <c r="X82" i="20"/>
  <c r="X83" i="20"/>
  <c r="X84" i="20"/>
  <c r="X85" i="20"/>
  <c r="X86" i="20"/>
  <c r="X87" i="20"/>
  <c r="X88" i="20"/>
  <c r="X89" i="20"/>
  <c r="X90" i="20"/>
  <c r="X91" i="20"/>
  <c r="X92" i="20"/>
  <c r="X93" i="20"/>
  <c r="X95" i="20"/>
  <c r="X99" i="20"/>
  <c r="X100" i="20"/>
  <c r="X101" i="20"/>
  <c r="X102" i="20"/>
  <c r="X103" i="20"/>
  <c r="X104" i="20"/>
  <c r="X105" i="20"/>
  <c r="X106" i="20"/>
  <c r="X107" i="20"/>
  <c r="X108" i="20"/>
  <c r="X109" i="20"/>
  <c r="X110" i="20"/>
  <c r="X111" i="20"/>
  <c r="X112" i="20"/>
  <c r="X113" i="20"/>
  <c r="X114" i="20"/>
  <c r="X115" i="20"/>
  <c r="X116" i="20"/>
  <c r="X117" i="20"/>
  <c r="X118" i="20"/>
  <c r="X119" i="20"/>
  <c r="X121" i="20"/>
  <c r="W4" i="20"/>
  <c r="W5" i="20"/>
  <c r="W6" i="20"/>
  <c r="W7" i="20"/>
  <c r="W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28" i="20"/>
  <c r="W35" i="20"/>
  <c r="W36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W77" i="20"/>
  <c r="W78" i="20"/>
  <c r="W79" i="20"/>
  <c r="W80" i="20"/>
  <c r="W81" i="20"/>
  <c r="W82" i="20"/>
  <c r="W83" i="20"/>
  <c r="W84" i="20"/>
  <c r="W85" i="20"/>
  <c r="W86" i="20"/>
  <c r="W87" i="20"/>
  <c r="W88" i="20"/>
  <c r="W89" i="20"/>
  <c r="W90" i="20"/>
  <c r="W91" i="20"/>
  <c r="W92" i="20"/>
  <c r="W93" i="20"/>
  <c r="W95" i="20"/>
  <c r="W99" i="20"/>
  <c r="W100" i="20"/>
  <c r="W101" i="20"/>
  <c r="W102" i="20"/>
  <c r="W103" i="20"/>
  <c r="W104" i="20"/>
  <c r="W105" i="20"/>
  <c r="W106" i="20"/>
  <c r="W107" i="20"/>
  <c r="W108" i="20"/>
  <c r="W109" i="20"/>
  <c r="W110" i="20"/>
  <c r="W111" i="20"/>
  <c r="W112" i="20"/>
  <c r="W113" i="20"/>
  <c r="W114" i="20"/>
  <c r="W115" i="20"/>
  <c r="W116" i="20"/>
  <c r="W117" i="20"/>
  <c r="W118" i="20"/>
  <c r="W119" i="20"/>
  <c r="W121" i="20"/>
  <c r="V4" i="20"/>
  <c r="V5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35" i="20"/>
  <c r="V36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5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1" i="20"/>
  <c r="U4" i="20"/>
  <c r="T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35" i="20"/>
  <c r="T36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T55" i="20"/>
  <c r="T56" i="20"/>
  <c r="T57" i="20"/>
  <c r="T58" i="20"/>
  <c r="T59" i="20"/>
  <c r="T60" i="20"/>
  <c r="T61" i="20"/>
  <c r="T62" i="20"/>
  <c r="T63" i="20"/>
  <c r="T64" i="20"/>
  <c r="T65" i="20"/>
  <c r="T66" i="20"/>
  <c r="T67" i="20"/>
  <c r="T68" i="20"/>
  <c r="T69" i="20"/>
  <c r="T70" i="20"/>
  <c r="T71" i="20"/>
  <c r="T72" i="20"/>
  <c r="T73" i="20"/>
  <c r="T74" i="20"/>
  <c r="T75" i="20"/>
  <c r="T76" i="20"/>
  <c r="T77" i="20"/>
  <c r="T78" i="20"/>
  <c r="T79" i="20"/>
  <c r="T80" i="20"/>
  <c r="T81" i="20"/>
  <c r="T82" i="20"/>
  <c r="T83" i="20"/>
  <c r="T84" i="20"/>
  <c r="T85" i="20"/>
  <c r="T86" i="20"/>
  <c r="T87" i="20"/>
  <c r="T88" i="20"/>
  <c r="T89" i="20"/>
  <c r="T90" i="20"/>
  <c r="T91" i="20"/>
  <c r="T92" i="20"/>
  <c r="T93" i="20"/>
  <c r="T95" i="20"/>
  <c r="T99" i="20"/>
  <c r="T100" i="20"/>
  <c r="T101" i="20"/>
  <c r="T102" i="20"/>
  <c r="T103" i="20"/>
  <c r="T104" i="20"/>
  <c r="T105" i="20"/>
  <c r="T106" i="20"/>
  <c r="T107" i="20"/>
  <c r="T108" i="20"/>
  <c r="T109" i="20"/>
  <c r="T110" i="20"/>
  <c r="T111" i="20"/>
  <c r="T112" i="20"/>
  <c r="T113" i="20"/>
  <c r="T114" i="20"/>
  <c r="T115" i="20"/>
  <c r="T116" i="20"/>
  <c r="T117" i="20"/>
  <c r="T118" i="20"/>
  <c r="T119" i="20"/>
  <c r="T121" i="20"/>
  <c r="T4" i="20"/>
  <c r="S4" i="20"/>
  <c r="S5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35" i="20"/>
  <c r="S36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5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1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35" i="20"/>
  <c r="U36" i="20"/>
  <c r="U39" i="20"/>
  <c r="U40" i="20"/>
  <c r="U41" i="20"/>
  <c r="U42" i="20"/>
  <c r="U43" i="20"/>
  <c r="U44" i="20"/>
  <c r="U45" i="20"/>
  <c r="U46" i="20"/>
  <c r="U47" i="20"/>
  <c r="U48" i="20"/>
  <c r="U49" i="20"/>
  <c r="U50" i="20"/>
  <c r="U51" i="20"/>
  <c r="U52" i="20"/>
  <c r="U53" i="20"/>
  <c r="U54" i="20"/>
  <c r="U55" i="20"/>
  <c r="U56" i="20"/>
  <c r="U57" i="20"/>
  <c r="U58" i="20"/>
  <c r="U59" i="20"/>
  <c r="U60" i="20"/>
  <c r="U61" i="20"/>
  <c r="U62" i="20"/>
  <c r="U63" i="20"/>
  <c r="U64" i="20"/>
  <c r="U65" i="20"/>
  <c r="U66" i="20"/>
  <c r="U67" i="20"/>
  <c r="U68" i="20"/>
  <c r="U69" i="20"/>
  <c r="U70" i="20"/>
  <c r="U71" i="20"/>
  <c r="U72" i="20"/>
  <c r="U73" i="20"/>
  <c r="U74" i="20"/>
  <c r="U75" i="20"/>
  <c r="U76" i="20"/>
  <c r="U77" i="20"/>
  <c r="U78" i="20"/>
  <c r="U79" i="20"/>
  <c r="U80" i="20"/>
  <c r="U81" i="20"/>
  <c r="U82" i="20"/>
  <c r="U83" i="20"/>
  <c r="U84" i="20"/>
  <c r="U85" i="20"/>
  <c r="U87" i="20"/>
  <c r="U88" i="20"/>
  <c r="U89" i="20"/>
  <c r="U90" i="20"/>
  <c r="U91" i="20"/>
  <c r="U92" i="20"/>
  <c r="U93" i="20"/>
  <c r="U95" i="20"/>
  <c r="U99" i="20"/>
  <c r="U100" i="20"/>
  <c r="U101" i="20"/>
  <c r="U102" i="20"/>
  <c r="U103" i="20"/>
  <c r="U104" i="20"/>
  <c r="U105" i="20"/>
  <c r="U106" i="20"/>
  <c r="U107" i="20"/>
  <c r="U108" i="20"/>
  <c r="U109" i="20"/>
  <c r="U110" i="20"/>
  <c r="U111" i="20"/>
  <c r="U112" i="20"/>
  <c r="U113" i="20"/>
  <c r="U114" i="20"/>
  <c r="U115" i="20"/>
  <c r="U116" i="20"/>
  <c r="U117" i="20"/>
  <c r="U118" i="20"/>
  <c r="U119" i="20"/>
  <c r="U121" i="20"/>
  <c r="U86" i="20"/>
  <c r="R86" i="20"/>
  <c r="AF2" i="20"/>
  <c r="AG2" i="20"/>
  <c r="AH2" i="20"/>
  <c r="AI2" i="20"/>
  <c r="AJ2" i="20"/>
  <c r="AK2" i="20"/>
  <c r="AL2" i="20"/>
  <c r="AM2" i="20"/>
  <c r="R39" i="20"/>
  <c r="R40" i="20"/>
  <c r="R41" i="20"/>
  <c r="R42" i="20"/>
  <c r="R43" i="20"/>
  <c r="R44" i="20"/>
  <c r="R45" i="20"/>
  <c r="R46" i="20"/>
  <c r="R47" i="20"/>
  <c r="R48" i="20"/>
  <c r="R49" i="20"/>
  <c r="R50" i="20"/>
  <c r="R51" i="20"/>
  <c r="R52" i="20"/>
  <c r="R53" i="20"/>
  <c r="R54" i="20"/>
  <c r="R55" i="20"/>
  <c r="R56" i="20"/>
  <c r="R57" i="20"/>
  <c r="R58" i="20"/>
  <c r="R59" i="20"/>
  <c r="R60" i="20"/>
  <c r="R61" i="20"/>
  <c r="R62" i="20"/>
  <c r="R63" i="20"/>
  <c r="R64" i="20"/>
  <c r="R65" i="20"/>
  <c r="R66" i="20"/>
  <c r="R67" i="20"/>
  <c r="R68" i="20"/>
  <c r="R69" i="20"/>
  <c r="R70" i="20"/>
  <c r="R71" i="20"/>
  <c r="R72" i="20"/>
  <c r="R73" i="20"/>
  <c r="R74" i="20"/>
  <c r="R75" i="20"/>
  <c r="R76" i="20"/>
  <c r="R77" i="20"/>
  <c r="R78" i="20"/>
  <c r="R79" i="20"/>
  <c r="R80" i="20"/>
  <c r="R81" i="20"/>
  <c r="R82" i="20"/>
  <c r="R83" i="20"/>
  <c r="R84" i="20"/>
  <c r="R85" i="20"/>
  <c r="R87" i="20"/>
  <c r="R88" i="20"/>
  <c r="R89" i="20"/>
  <c r="R90" i="20"/>
  <c r="R91" i="20"/>
  <c r="R92" i="20"/>
  <c r="R93" i="20"/>
  <c r="R95" i="20"/>
  <c r="R99" i="20"/>
  <c r="R100" i="20"/>
  <c r="R101" i="20"/>
  <c r="R102" i="20"/>
  <c r="R103" i="20"/>
  <c r="R104" i="20"/>
  <c r="R105" i="20"/>
  <c r="R106" i="20"/>
  <c r="R107" i="20"/>
  <c r="R108" i="20"/>
  <c r="R109" i="20"/>
  <c r="R110" i="20"/>
  <c r="R111" i="20"/>
  <c r="R112" i="20"/>
  <c r="R113" i="20"/>
  <c r="R114" i="20"/>
  <c r="R115" i="20"/>
  <c r="R116" i="20"/>
  <c r="R117" i="20"/>
  <c r="R118" i="20"/>
  <c r="R119" i="20"/>
  <c r="R121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1" i="20"/>
  <c r="Q99" i="20"/>
  <c r="J1367" i="2"/>
  <c r="Q42" i="20"/>
  <c r="Q40" i="20"/>
  <c r="Q41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5" i="20"/>
  <c r="Q39" i="20"/>
  <c r="A195" i="4"/>
  <c r="B1341" i="2" s="1"/>
  <c r="A193" i="4"/>
  <c r="B1339" i="2" s="1"/>
  <c r="A153" i="4"/>
  <c r="B5" i="15" s="1"/>
  <c r="A152" i="4"/>
  <c r="K5" i="15" s="1"/>
  <c r="A98" i="4"/>
  <c r="K15" i="15" s="1"/>
  <c r="A169" i="4"/>
  <c r="V52" i="15" s="1"/>
  <c r="A170" i="4"/>
  <c r="AB52" i="15" s="1"/>
  <c r="A149" i="4"/>
  <c r="B56" i="15" s="1"/>
  <c r="A166" i="4"/>
  <c r="A52" i="4"/>
  <c r="A168" i="4"/>
  <c r="A1076" i="9"/>
  <c r="B1076" i="9"/>
  <c r="C1076" i="9"/>
  <c r="A1077" i="9"/>
  <c r="B1077" i="9"/>
  <c r="C1077" i="9"/>
  <c r="A1078" i="9"/>
  <c r="B1078" i="9"/>
  <c r="C1078" i="9"/>
  <c r="P1171" i="2"/>
  <c r="B1319" i="2"/>
  <c r="A192" i="4"/>
  <c r="S1026" i="2" s="1"/>
  <c r="B1202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AA6" i="17"/>
  <c r="AB6" i="17"/>
  <c r="AC6" i="17"/>
  <c r="AD6" i="17"/>
  <c r="AE6" i="17"/>
  <c r="AF6" i="17"/>
  <c r="AA7" i="17"/>
  <c r="AB7" i="17"/>
  <c r="AC7" i="17"/>
  <c r="AD7" i="17"/>
  <c r="AE7" i="17"/>
  <c r="AF7" i="17"/>
  <c r="AA8" i="17"/>
  <c r="AB8" i="17"/>
  <c r="AC8" i="17"/>
  <c r="AD8" i="17"/>
  <c r="AE8" i="17"/>
  <c r="AF8" i="17"/>
  <c r="AA9" i="17"/>
  <c r="AB9" i="17"/>
  <c r="AC9" i="17"/>
  <c r="AD9" i="17"/>
  <c r="AE9" i="17"/>
  <c r="AF9" i="17"/>
  <c r="AA10" i="17"/>
  <c r="AB10" i="17"/>
  <c r="AC10" i="17"/>
  <c r="AD10" i="17"/>
  <c r="AE10" i="17"/>
  <c r="AF10" i="17"/>
  <c r="AB5" i="17"/>
  <c r="AC5" i="17"/>
  <c r="AD5" i="17"/>
  <c r="AE5" i="17"/>
  <c r="AF5" i="17"/>
  <c r="AA5" i="17"/>
  <c r="S6" i="17"/>
  <c r="T6" i="17"/>
  <c r="U6" i="17"/>
  <c r="V6" i="17"/>
  <c r="W6" i="17"/>
  <c r="X6" i="17"/>
  <c r="S7" i="17"/>
  <c r="T7" i="17"/>
  <c r="U7" i="17"/>
  <c r="V7" i="17"/>
  <c r="W7" i="17"/>
  <c r="X7" i="17"/>
  <c r="S8" i="17"/>
  <c r="T8" i="17"/>
  <c r="U8" i="17"/>
  <c r="V8" i="17"/>
  <c r="W8" i="17"/>
  <c r="X8" i="17"/>
  <c r="S9" i="17"/>
  <c r="T9" i="17"/>
  <c r="U9" i="17"/>
  <c r="V9" i="17"/>
  <c r="W9" i="17"/>
  <c r="X9" i="17"/>
  <c r="S10" i="17"/>
  <c r="T10" i="17"/>
  <c r="U10" i="17"/>
  <c r="V10" i="17"/>
  <c r="W10" i="17"/>
  <c r="X10" i="17"/>
  <c r="T5" i="17"/>
  <c r="U5" i="17"/>
  <c r="V5" i="17"/>
  <c r="W5" i="17"/>
  <c r="X5" i="17"/>
  <c r="S5" i="17"/>
  <c r="L5" i="17"/>
  <c r="M5" i="17"/>
  <c r="N5" i="17"/>
  <c r="O5" i="17"/>
  <c r="P5" i="17"/>
  <c r="L6" i="17"/>
  <c r="M6" i="17"/>
  <c r="N6" i="17"/>
  <c r="O6" i="17"/>
  <c r="P6" i="17"/>
  <c r="L7" i="17"/>
  <c r="M7" i="17"/>
  <c r="N7" i="17"/>
  <c r="O7" i="17"/>
  <c r="P7" i="17"/>
  <c r="L8" i="17"/>
  <c r="M8" i="17"/>
  <c r="N8" i="17"/>
  <c r="O8" i="17"/>
  <c r="P8" i="17"/>
  <c r="L9" i="17"/>
  <c r="M9" i="17"/>
  <c r="N9" i="17"/>
  <c r="O9" i="17"/>
  <c r="P9" i="17"/>
  <c r="L10" i="17"/>
  <c r="M10" i="17"/>
  <c r="N10" i="17"/>
  <c r="O10" i="17"/>
  <c r="P10" i="17"/>
  <c r="K5" i="17"/>
  <c r="K6" i="17"/>
  <c r="K7" i="17"/>
  <c r="K8" i="17"/>
  <c r="K9" i="17"/>
  <c r="K10" i="17"/>
  <c r="H10" i="17"/>
  <c r="C6" i="17"/>
  <c r="D6" i="17"/>
  <c r="E6" i="17"/>
  <c r="F6" i="17"/>
  <c r="G6" i="17"/>
  <c r="H6" i="17"/>
  <c r="C7" i="17"/>
  <c r="D7" i="17"/>
  <c r="E7" i="17"/>
  <c r="F7" i="17"/>
  <c r="G7" i="17"/>
  <c r="H7" i="17"/>
  <c r="C8" i="17"/>
  <c r="D8" i="17"/>
  <c r="E8" i="17"/>
  <c r="F8" i="17"/>
  <c r="G8" i="17"/>
  <c r="H8" i="17"/>
  <c r="C9" i="17"/>
  <c r="D9" i="17"/>
  <c r="E9" i="17"/>
  <c r="F9" i="17"/>
  <c r="G9" i="17"/>
  <c r="H9" i="17"/>
  <c r="C10" i="17"/>
  <c r="D10" i="17"/>
  <c r="E10" i="17"/>
  <c r="F10" i="17"/>
  <c r="G10" i="17"/>
  <c r="D5" i="17"/>
  <c r="E5" i="17"/>
  <c r="F5" i="17"/>
  <c r="G5" i="17"/>
  <c r="H5" i="17"/>
  <c r="C5" i="17"/>
  <c r="A1193" i="2"/>
  <c r="A1185" i="2"/>
  <c r="A1177" i="2"/>
  <c r="I1170" i="2"/>
  <c r="M1162" i="2"/>
  <c r="L1147" i="2"/>
  <c r="H1147" i="2"/>
  <c r="A1169" i="2"/>
  <c r="G1147" i="2"/>
  <c r="F1147" i="2"/>
  <c r="E1147" i="2"/>
  <c r="D1147" i="2"/>
  <c r="B1147" i="2"/>
  <c r="F1018" i="2"/>
  <c r="E1018" i="2"/>
  <c r="D1018" i="2"/>
  <c r="O1012" i="2"/>
  <c r="P1007" i="2"/>
  <c r="G980" i="2"/>
  <c r="L762" i="2"/>
  <c r="K822" i="2" s="1"/>
  <c r="L763" i="2"/>
  <c r="K823" i="2" s="1"/>
  <c r="L764" i="2"/>
  <c r="K824" i="2" s="1"/>
  <c r="L765" i="2"/>
  <c r="K825" i="2" s="1"/>
  <c r="L766" i="2"/>
  <c r="K826" i="2" s="1"/>
  <c r="L767" i="2"/>
  <c r="K827" i="2" s="1"/>
  <c r="AX768" i="2"/>
  <c r="K829" i="2" s="1"/>
  <c r="L757" i="2"/>
  <c r="K817" i="2" s="1"/>
  <c r="L758" i="2"/>
  <c r="L759" i="2"/>
  <c r="K819" i="2" s="1"/>
  <c r="L760" i="2"/>
  <c r="K820" i="2" s="1"/>
  <c r="A165" i="4"/>
  <c r="L752" i="2" s="1"/>
  <c r="A980" i="2"/>
  <c r="I966" i="2"/>
  <c r="H966" i="2"/>
  <c r="G966" i="2"/>
  <c r="B963" i="2"/>
  <c r="W724" i="2"/>
  <c r="W725" i="2"/>
  <c r="W726" i="2"/>
  <c r="W727" i="2"/>
  <c r="W728" i="2"/>
  <c r="W729" i="2"/>
  <c r="W730" i="2"/>
  <c r="W723" i="2"/>
  <c r="B715" i="2"/>
  <c r="W701" i="2"/>
  <c r="W702" i="2"/>
  <c r="W703" i="2"/>
  <c r="W704" i="2"/>
  <c r="W705" i="2"/>
  <c r="W706" i="2"/>
  <c r="W707" i="2"/>
  <c r="W700" i="2"/>
  <c r="B692" i="2"/>
  <c r="W678" i="2"/>
  <c r="W679" i="2"/>
  <c r="W680" i="2"/>
  <c r="W681" i="2"/>
  <c r="W682" i="2"/>
  <c r="W683" i="2"/>
  <c r="W684" i="2"/>
  <c r="W677" i="2"/>
  <c r="B669" i="2"/>
  <c r="P328" i="2"/>
  <c r="P327" i="2"/>
  <c r="P325" i="2"/>
  <c r="P323" i="2"/>
  <c r="AA510" i="2"/>
  <c r="Z510" i="2" s="1"/>
  <c r="AA511" i="2"/>
  <c r="Z511" i="2" s="1"/>
  <c r="F379" i="2" s="1"/>
  <c r="J379" i="2" s="1"/>
  <c r="AA512" i="2"/>
  <c r="Z512" i="2" s="1"/>
  <c r="F380" i="2" s="1"/>
  <c r="AA513" i="2"/>
  <c r="Z513" i="2" s="1"/>
  <c r="F381" i="2" s="1"/>
  <c r="N381" i="2" s="1"/>
  <c r="AA514" i="2"/>
  <c r="Z514" i="2" s="1"/>
  <c r="F382" i="2" s="1"/>
  <c r="AA515" i="2"/>
  <c r="Z515" i="2" s="1"/>
  <c r="F383" i="2" s="1"/>
  <c r="N383" i="2" s="1"/>
  <c r="AA516" i="2"/>
  <c r="Z516" i="2" s="1"/>
  <c r="F384" i="2" s="1"/>
  <c r="AA509" i="2"/>
  <c r="Z509" i="2" s="1"/>
  <c r="F377" i="2" s="1"/>
  <c r="M377" i="2" s="1"/>
  <c r="L376" i="2"/>
  <c r="M376" i="2"/>
  <c r="N376" i="2"/>
  <c r="G376" i="2"/>
  <c r="H376" i="2"/>
  <c r="I376" i="2"/>
  <c r="J376" i="2"/>
  <c r="K376" i="2"/>
  <c r="F376" i="2"/>
  <c r="E376" i="2"/>
  <c r="D376" i="2"/>
  <c r="AA398" i="2"/>
  <c r="Z398" i="2" s="1"/>
  <c r="E378" i="2" s="1"/>
  <c r="AA399" i="2"/>
  <c r="Z399" i="2" s="1"/>
  <c r="E379" i="2" s="1"/>
  <c r="AA400" i="2"/>
  <c r="Z400" i="2" s="1"/>
  <c r="E380" i="2" s="1"/>
  <c r="AA401" i="2"/>
  <c r="Z401" i="2" s="1"/>
  <c r="E381" i="2" s="1"/>
  <c r="AA402" i="2"/>
  <c r="Z402" i="2" s="1"/>
  <c r="E382" i="2" s="1"/>
  <c r="AA403" i="2"/>
  <c r="Z403" i="2" s="1"/>
  <c r="E383" i="2" s="1"/>
  <c r="AA404" i="2"/>
  <c r="Z404" i="2" s="1"/>
  <c r="E384" i="2" s="1"/>
  <c r="AA397" i="2"/>
  <c r="Z397" i="2" s="1"/>
  <c r="E377" i="2" s="1"/>
  <c r="K340" i="2"/>
  <c r="A160" i="4"/>
  <c r="R328" i="2" s="1"/>
  <c r="AM352" i="2"/>
  <c r="AM354" i="2"/>
  <c r="AM355" i="2"/>
  <c r="AM356" i="2"/>
  <c r="AM357" i="2"/>
  <c r="AM358" i="2"/>
  <c r="AM351" i="2"/>
  <c r="AO347" i="2"/>
  <c r="AO348" i="2"/>
  <c r="A36" i="4"/>
  <c r="K1033" i="2" s="1"/>
  <c r="F784" i="2"/>
  <c r="E784" i="2"/>
  <c r="D784" i="2"/>
  <c r="A953" i="2"/>
  <c r="A945" i="2"/>
  <c r="A937" i="2"/>
  <c r="I930" i="2"/>
  <c r="L907" i="2"/>
  <c r="H907" i="2"/>
  <c r="A929" i="2"/>
  <c r="G907" i="2"/>
  <c r="F907" i="2"/>
  <c r="E907" i="2"/>
  <c r="D907" i="2"/>
  <c r="O791" i="2"/>
  <c r="T786" i="2"/>
  <c r="AA11" i="17"/>
  <c r="S11" i="17"/>
  <c r="K11" i="17"/>
  <c r="C11" i="17"/>
  <c r="I409" i="2"/>
  <c r="Q46" i="16" s="1"/>
  <c r="B176" i="2"/>
  <c r="AA11" i="18"/>
  <c r="U11" i="18"/>
  <c r="O11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AB5" i="18"/>
  <c r="AC5" i="18"/>
  <c r="AD5" i="18"/>
  <c r="AE5" i="18"/>
  <c r="AF5" i="18"/>
  <c r="O6" i="18"/>
  <c r="P6" i="18"/>
  <c r="Q6" i="18"/>
  <c r="R6" i="18"/>
  <c r="S6" i="18"/>
  <c r="T6" i="18"/>
  <c r="U6" i="18"/>
  <c r="V6" i="18"/>
  <c r="W6" i="18"/>
  <c r="X6" i="18"/>
  <c r="Y6" i="18"/>
  <c r="Z6" i="18"/>
  <c r="AA6" i="18"/>
  <c r="AB6" i="18"/>
  <c r="AC6" i="18"/>
  <c r="AD6" i="18"/>
  <c r="AE6" i="18"/>
  <c r="AF6" i="18"/>
  <c r="O7" i="18"/>
  <c r="P7" i="18"/>
  <c r="Q7" i="18"/>
  <c r="R7" i="18"/>
  <c r="S7" i="18"/>
  <c r="T7" i="18"/>
  <c r="U7" i="18"/>
  <c r="V7" i="18"/>
  <c r="W7" i="18"/>
  <c r="X7" i="18"/>
  <c r="Y7" i="18"/>
  <c r="Z7" i="18"/>
  <c r="AA7" i="18"/>
  <c r="AB7" i="18"/>
  <c r="AC7" i="18"/>
  <c r="AD7" i="18"/>
  <c r="AE7" i="18"/>
  <c r="AF7" i="18"/>
  <c r="O8" i="18"/>
  <c r="P8" i="18"/>
  <c r="Q8" i="18"/>
  <c r="R8" i="18"/>
  <c r="S8" i="18"/>
  <c r="T8" i="18"/>
  <c r="U8" i="18"/>
  <c r="V8" i="18"/>
  <c r="W8" i="18"/>
  <c r="X8" i="18"/>
  <c r="Y8" i="18"/>
  <c r="Z8" i="18"/>
  <c r="AA8" i="18"/>
  <c r="AB8" i="18"/>
  <c r="AC8" i="18"/>
  <c r="AD8" i="18"/>
  <c r="AE8" i="18"/>
  <c r="AF8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B9" i="18"/>
  <c r="AC9" i="18"/>
  <c r="AD9" i="18"/>
  <c r="AE9" i="18"/>
  <c r="AF9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B10" i="18"/>
  <c r="AC10" i="18"/>
  <c r="AD10" i="18"/>
  <c r="AE10" i="18"/>
  <c r="AF10" i="18"/>
  <c r="I6" i="18"/>
  <c r="J6" i="18"/>
  <c r="K6" i="18"/>
  <c r="L6" i="18"/>
  <c r="M6" i="18"/>
  <c r="N6" i="18"/>
  <c r="I7" i="18"/>
  <c r="J7" i="18"/>
  <c r="K7" i="18"/>
  <c r="L7" i="18"/>
  <c r="M7" i="18"/>
  <c r="N7" i="18"/>
  <c r="I8" i="18"/>
  <c r="J8" i="18"/>
  <c r="K8" i="18"/>
  <c r="L8" i="18"/>
  <c r="M8" i="18"/>
  <c r="N8" i="18"/>
  <c r="I9" i="18"/>
  <c r="J9" i="18"/>
  <c r="K9" i="18"/>
  <c r="L9" i="18"/>
  <c r="M9" i="18"/>
  <c r="N9" i="18"/>
  <c r="I10" i="18"/>
  <c r="J10" i="18"/>
  <c r="K10" i="18"/>
  <c r="L10" i="18"/>
  <c r="M10" i="18"/>
  <c r="N10" i="18"/>
  <c r="J5" i="18"/>
  <c r="K5" i="18"/>
  <c r="L5" i="18"/>
  <c r="M5" i="18"/>
  <c r="N5" i="18"/>
  <c r="I5" i="18"/>
  <c r="D5" i="18"/>
  <c r="E5" i="18"/>
  <c r="F5" i="18"/>
  <c r="G5" i="18"/>
  <c r="H5" i="18"/>
  <c r="D6" i="18"/>
  <c r="E6" i="18"/>
  <c r="F6" i="18"/>
  <c r="G6" i="18"/>
  <c r="H6" i="18"/>
  <c r="D7" i="18"/>
  <c r="E7" i="18"/>
  <c r="F7" i="18"/>
  <c r="G7" i="18"/>
  <c r="H7" i="18"/>
  <c r="D8" i="18"/>
  <c r="E8" i="18"/>
  <c r="F8" i="18"/>
  <c r="G8" i="18"/>
  <c r="H8" i="18"/>
  <c r="D9" i="18"/>
  <c r="E9" i="18"/>
  <c r="F9" i="18"/>
  <c r="G9" i="18"/>
  <c r="H9" i="18"/>
  <c r="D10" i="18"/>
  <c r="E10" i="18"/>
  <c r="F10" i="18"/>
  <c r="G10" i="18"/>
  <c r="H10" i="18"/>
  <c r="C6" i="18"/>
  <c r="C7" i="18"/>
  <c r="C8" i="18"/>
  <c r="C9" i="18"/>
  <c r="C10" i="18"/>
  <c r="C5" i="18"/>
  <c r="G746" i="2"/>
  <c r="N746" i="2"/>
  <c r="A746" i="2"/>
  <c r="B386" i="2"/>
  <c r="A196" i="2"/>
  <c r="AC467" i="2"/>
  <c r="AA11" i="1"/>
  <c r="AA6" i="1"/>
  <c r="AB6" i="1"/>
  <c r="AC6" i="1"/>
  <c r="AD6" i="1"/>
  <c r="AE6" i="1"/>
  <c r="AF6" i="1"/>
  <c r="AA7" i="1"/>
  <c r="AB7" i="1"/>
  <c r="AC7" i="1"/>
  <c r="AD7" i="1"/>
  <c r="AE7" i="1"/>
  <c r="AF7" i="1"/>
  <c r="AA8" i="1"/>
  <c r="AB8" i="1"/>
  <c r="AC8" i="1"/>
  <c r="AD8" i="1"/>
  <c r="AE8" i="1"/>
  <c r="AF8" i="1"/>
  <c r="AA9" i="1"/>
  <c r="AB9" i="1"/>
  <c r="AC9" i="1"/>
  <c r="AD9" i="1"/>
  <c r="AE9" i="1"/>
  <c r="AF9" i="1"/>
  <c r="AA10" i="1"/>
  <c r="AB10" i="1"/>
  <c r="AC10" i="1"/>
  <c r="AD10" i="1"/>
  <c r="AE10" i="1"/>
  <c r="AF10" i="1"/>
  <c r="AB5" i="1"/>
  <c r="AC5" i="1"/>
  <c r="AD5" i="1"/>
  <c r="AE5" i="1"/>
  <c r="AF5" i="1"/>
  <c r="AA5" i="1"/>
  <c r="W5" i="1"/>
  <c r="S11" i="1"/>
  <c r="S6" i="1"/>
  <c r="T6" i="1"/>
  <c r="U6" i="1"/>
  <c r="V6" i="1"/>
  <c r="W6" i="1"/>
  <c r="X6" i="1"/>
  <c r="S7" i="1"/>
  <c r="T7" i="1"/>
  <c r="U7" i="1"/>
  <c r="V7" i="1"/>
  <c r="W7" i="1"/>
  <c r="X7" i="1"/>
  <c r="S8" i="1"/>
  <c r="T8" i="1"/>
  <c r="U8" i="1"/>
  <c r="V8" i="1"/>
  <c r="W8" i="1"/>
  <c r="X8" i="1"/>
  <c r="S9" i="1"/>
  <c r="T9" i="1"/>
  <c r="U9" i="1"/>
  <c r="V9" i="1"/>
  <c r="W9" i="1"/>
  <c r="X9" i="1"/>
  <c r="S10" i="1"/>
  <c r="T10" i="1"/>
  <c r="U10" i="1"/>
  <c r="V10" i="1"/>
  <c r="W10" i="1"/>
  <c r="X10" i="1"/>
  <c r="T5" i="1"/>
  <c r="U5" i="1"/>
  <c r="V5" i="1"/>
  <c r="X5" i="1"/>
  <c r="S5" i="1"/>
  <c r="K11" i="1"/>
  <c r="C11" i="1"/>
  <c r="K6" i="1"/>
  <c r="L6" i="1"/>
  <c r="M6" i="1"/>
  <c r="N6" i="1"/>
  <c r="O6" i="1"/>
  <c r="P6" i="1"/>
  <c r="K7" i="1"/>
  <c r="L7" i="1"/>
  <c r="M7" i="1"/>
  <c r="N7" i="1"/>
  <c r="O7" i="1"/>
  <c r="P7" i="1"/>
  <c r="K8" i="1"/>
  <c r="L8" i="1"/>
  <c r="M8" i="1"/>
  <c r="N8" i="1"/>
  <c r="O8" i="1"/>
  <c r="P8" i="1"/>
  <c r="K9" i="1"/>
  <c r="L9" i="1"/>
  <c r="M9" i="1"/>
  <c r="N9" i="1"/>
  <c r="O9" i="1"/>
  <c r="P9" i="1"/>
  <c r="K10" i="1"/>
  <c r="L10" i="1"/>
  <c r="M10" i="1"/>
  <c r="N10" i="1"/>
  <c r="O10" i="1"/>
  <c r="P10" i="1"/>
  <c r="L5" i="1"/>
  <c r="M5" i="1"/>
  <c r="N5" i="1"/>
  <c r="O5" i="1"/>
  <c r="P5" i="1"/>
  <c r="K5" i="1"/>
  <c r="C6" i="1"/>
  <c r="D6" i="1"/>
  <c r="E6" i="1"/>
  <c r="F6" i="1"/>
  <c r="G6" i="1"/>
  <c r="H6" i="1"/>
  <c r="C7" i="1"/>
  <c r="D7" i="1"/>
  <c r="E7" i="1"/>
  <c r="F7" i="1"/>
  <c r="G7" i="1"/>
  <c r="H7" i="1"/>
  <c r="C8" i="1"/>
  <c r="D8" i="1"/>
  <c r="E8" i="1"/>
  <c r="F8" i="1"/>
  <c r="G8" i="1"/>
  <c r="H8" i="1"/>
  <c r="C9" i="1"/>
  <c r="D9" i="1"/>
  <c r="E9" i="1"/>
  <c r="F9" i="1"/>
  <c r="G9" i="1"/>
  <c r="H9" i="1"/>
  <c r="C10" i="1"/>
  <c r="D10" i="1"/>
  <c r="E10" i="1"/>
  <c r="F10" i="1"/>
  <c r="G10" i="1"/>
  <c r="H10" i="1"/>
  <c r="D5" i="1"/>
  <c r="E5" i="1"/>
  <c r="F5" i="1"/>
  <c r="G5" i="1"/>
  <c r="H5" i="1"/>
  <c r="C5" i="1"/>
  <c r="AD10" i="16"/>
  <c r="G328" i="2"/>
  <c r="G329" i="2" s="1"/>
  <c r="G323" i="2"/>
  <c r="G325" i="2"/>
  <c r="F323" i="2"/>
  <c r="F325" i="2"/>
  <c r="E325" i="2"/>
  <c r="E323" i="2"/>
  <c r="AN506" i="2"/>
  <c r="AE509" i="2" s="1"/>
  <c r="BN506" i="2"/>
  <c r="BI506" i="2"/>
  <c r="BD506" i="2"/>
  <c r="I556" i="2"/>
  <c r="M556" i="2"/>
  <c r="D556" i="2"/>
  <c r="AC468" i="2"/>
  <c r="AF443" i="2"/>
  <c r="Z459" i="2" s="1"/>
  <c r="AY506" i="2" s="1"/>
  <c r="AB443" i="2"/>
  <c r="Z458" i="2" s="1"/>
  <c r="AT506" i="2" s="1"/>
  <c r="A730" i="9"/>
  <c r="B730" i="9"/>
  <c r="C730" i="9"/>
  <c r="A1061" i="9"/>
  <c r="B1061" i="9"/>
  <c r="C1061" i="9"/>
  <c r="A1051" i="9"/>
  <c r="B1051" i="9"/>
  <c r="C1051" i="9"/>
  <c r="A1060" i="9"/>
  <c r="B1060" i="9"/>
  <c r="C1060" i="9"/>
  <c r="A1027" i="9"/>
  <c r="B1027" i="9"/>
  <c r="C1027" i="9"/>
  <c r="A1033" i="9"/>
  <c r="B1033" i="9"/>
  <c r="C1033" i="9"/>
  <c r="A1029" i="9"/>
  <c r="B1029" i="9"/>
  <c r="C1029" i="9"/>
  <c r="A1031" i="9"/>
  <c r="B1031" i="9"/>
  <c r="C1031" i="9"/>
  <c r="A1035" i="9"/>
  <c r="B1035" i="9"/>
  <c r="C1035" i="9"/>
  <c r="A1046" i="9"/>
  <c r="B1046" i="9"/>
  <c r="C1046" i="9"/>
  <c r="A1034" i="9"/>
  <c r="B1034" i="9"/>
  <c r="C1034" i="9"/>
  <c r="A728" i="9"/>
  <c r="B728" i="9"/>
  <c r="C728" i="9"/>
  <c r="BG1" i="9"/>
  <c r="BH1" i="9" s="1"/>
  <c r="A117" i="4"/>
  <c r="A817" i="9"/>
  <c r="A818" i="9"/>
  <c r="A844" i="9"/>
  <c r="A845" i="9"/>
  <c r="A871" i="9"/>
  <c r="A872" i="9"/>
  <c r="A898" i="9"/>
  <c r="A899" i="9"/>
  <c r="A925" i="9"/>
  <c r="A926" i="9"/>
  <c r="A952" i="9"/>
  <c r="A953" i="9"/>
  <c r="A753" i="9"/>
  <c r="A754" i="9"/>
  <c r="A788" i="9"/>
  <c r="A789" i="9"/>
  <c r="A976" i="9"/>
  <c r="A977" i="9"/>
  <c r="A998" i="9"/>
  <c r="A999" i="9"/>
  <c r="A1020" i="9"/>
  <c r="A1021" i="9"/>
  <c r="A803" i="9"/>
  <c r="A804" i="9"/>
  <c r="A830" i="9"/>
  <c r="A831" i="9"/>
  <c r="A857" i="9"/>
  <c r="A858" i="9"/>
  <c r="A884" i="9"/>
  <c r="A885" i="9"/>
  <c r="A911" i="9"/>
  <c r="A912" i="9"/>
  <c r="A938" i="9"/>
  <c r="A939" i="9"/>
  <c r="A737" i="9"/>
  <c r="A738" i="9"/>
  <c r="A770" i="9"/>
  <c r="A771" i="9"/>
  <c r="A202" i="9"/>
  <c r="A152" i="9"/>
  <c r="A100" i="9"/>
  <c r="A50" i="9"/>
  <c r="A814" i="9"/>
  <c r="A841" i="9"/>
  <c r="A868" i="9"/>
  <c r="A895" i="9"/>
  <c r="A922" i="9"/>
  <c r="A949" i="9"/>
  <c r="A751" i="9"/>
  <c r="A785" i="9"/>
  <c r="A749" i="9"/>
  <c r="A783" i="9"/>
  <c r="A974" i="9"/>
  <c r="A996" i="9"/>
  <c r="A1018" i="9"/>
  <c r="A1073" i="9"/>
  <c r="A1070" i="9"/>
  <c r="A1067" i="9"/>
  <c r="A1064" i="9"/>
  <c r="A800" i="9"/>
  <c r="A827" i="9"/>
  <c r="A854" i="9"/>
  <c r="A881" i="9"/>
  <c r="A908" i="9"/>
  <c r="A935" i="9"/>
  <c r="A735" i="9"/>
  <c r="A767" i="9"/>
  <c r="A733" i="9"/>
  <c r="A765" i="9"/>
  <c r="A962" i="9"/>
  <c r="A984" i="9"/>
  <c r="A1006" i="9"/>
  <c r="A797" i="9"/>
  <c r="A824" i="9"/>
  <c r="A851" i="9"/>
  <c r="A878" i="9"/>
  <c r="A905" i="9"/>
  <c r="A932" i="9"/>
  <c r="A731" i="9"/>
  <c r="A762" i="9"/>
  <c r="A729" i="9"/>
  <c r="A959" i="9"/>
  <c r="A960" i="9"/>
  <c r="A982" i="9"/>
  <c r="A1004" i="9"/>
  <c r="A807" i="9"/>
  <c r="A834" i="9"/>
  <c r="A861" i="9"/>
  <c r="A888" i="9"/>
  <c r="A915" i="9"/>
  <c r="A942" i="9"/>
  <c r="A743" i="9"/>
  <c r="A776" i="9"/>
  <c r="A741" i="9"/>
  <c r="A774" i="9"/>
  <c r="A968" i="9"/>
  <c r="A990" i="9"/>
  <c r="A1012" i="9"/>
  <c r="A821" i="9"/>
  <c r="A848" i="9"/>
  <c r="A875" i="9"/>
  <c r="A902" i="9"/>
  <c r="B817" i="9"/>
  <c r="B818" i="9"/>
  <c r="B844" i="9"/>
  <c r="B845" i="9"/>
  <c r="B871" i="9"/>
  <c r="B872" i="9"/>
  <c r="B898" i="9"/>
  <c r="B899" i="9"/>
  <c r="B925" i="9"/>
  <c r="B926" i="9"/>
  <c r="B952" i="9"/>
  <c r="B953" i="9"/>
  <c r="B753" i="9"/>
  <c r="B754" i="9"/>
  <c r="B788" i="9"/>
  <c r="B789" i="9"/>
  <c r="B976" i="9"/>
  <c r="B977" i="9"/>
  <c r="B998" i="9"/>
  <c r="B999" i="9"/>
  <c r="B1020" i="9"/>
  <c r="B1021" i="9"/>
  <c r="B803" i="9"/>
  <c r="B804" i="9"/>
  <c r="B830" i="9"/>
  <c r="B831" i="9"/>
  <c r="B857" i="9"/>
  <c r="B858" i="9"/>
  <c r="B884" i="9"/>
  <c r="B885" i="9"/>
  <c r="B911" i="9"/>
  <c r="B912" i="9"/>
  <c r="B938" i="9"/>
  <c r="B939" i="9"/>
  <c r="B737" i="9"/>
  <c r="B738" i="9"/>
  <c r="B770" i="9"/>
  <c r="B771" i="9"/>
  <c r="B202" i="9"/>
  <c r="B152" i="9"/>
  <c r="B100" i="9"/>
  <c r="B50" i="9"/>
  <c r="B814" i="9"/>
  <c r="B841" i="9"/>
  <c r="B868" i="9"/>
  <c r="B895" i="9"/>
  <c r="B922" i="9"/>
  <c r="B949" i="9"/>
  <c r="B751" i="9"/>
  <c r="B785" i="9"/>
  <c r="B749" i="9"/>
  <c r="B783" i="9"/>
  <c r="B974" i="9"/>
  <c r="B996" i="9"/>
  <c r="B1018" i="9"/>
  <c r="B1073" i="9"/>
  <c r="B1070" i="9"/>
  <c r="B1067" i="9"/>
  <c r="B1064" i="9"/>
  <c r="B800" i="9"/>
  <c r="B827" i="9"/>
  <c r="B854" i="9"/>
  <c r="B881" i="9"/>
  <c r="B908" i="9"/>
  <c r="B935" i="9"/>
  <c r="B735" i="9"/>
  <c r="B767" i="9"/>
  <c r="B733" i="9"/>
  <c r="B765" i="9"/>
  <c r="B962" i="9"/>
  <c r="B984" i="9"/>
  <c r="B1006" i="9"/>
  <c r="B797" i="9"/>
  <c r="B824" i="9"/>
  <c r="B851" i="9"/>
  <c r="B878" i="9"/>
  <c r="B905" i="9"/>
  <c r="B932" i="9"/>
  <c r="B731" i="9"/>
  <c r="B762" i="9"/>
  <c r="B729" i="9"/>
  <c r="B959" i="9"/>
  <c r="B960" i="9"/>
  <c r="B982" i="9"/>
  <c r="B1004" i="9"/>
  <c r="B807" i="9"/>
  <c r="B834" i="9"/>
  <c r="B861" i="9"/>
  <c r="B888" i="9"/>
  <c r="B915" i="9"/>
  <c r="B942" i="9"/>
  <c r="B743" i="9"/>
  <c r="B776" i="9"/>
  <c r="B741" i="9"/>
  <c r="B774" i="9"/>
  <c r="B968" i="9"/>
  <c r="B990" i="9"/>
  <c r="B1012" i="9"/>
  <c r="B821" i="9"/>
  <c r="B848" i="9"/>
  <c r="B875" i="9"/>
  <c r="B902" i="9"/>
  <c r="C817" i="9"/>
  <c r="C818" i="9"/>
  <c r="C844" i="9"/>
  <c r="C845" i="9"/>
  <c r="C871" i="9"/>
  <c r="C872" i="9"/>
  <c r="C898" i="9"/>
  <c r="C899" i="9"/>
  <c r="C925" i="9"/>
  <c r="C926" i="9"/>
  <c r="C952" i="9"/>
  <c r="C953" i="9"/>
  <c r="C753" i="9"/>
  <c r="C754" i="9"/>
  <c r="C788" i="9"/>
  <c r="C789" i="9"/>
  <c r="C976" i="9"/>
  <c r="C977" i="9"/>
  <c r="C998" i="9"/>
  <c r="C999" i="9"/>
  <c r="C1020" i="9"/>
  <c r="C1021" i="9"/>
  <c r="C803" i="9"/>
  <c r="C804" i="9"/>
  <c r="C830" i="9"/>
  <c r="C831" i="9"/>
  <c r="C857" i="9"/>
  <c r="C858" i="9"/>
  <c r="C884" i="9"/>
  <c r="C885" i="9"/>
  <c r="C911" i="9"/>
  <c r="C912" i="9"/>
  <c r="C938" i="9"/>
  <c r="C939" i="9"/>
  <c r="C737" i="9"/>
  <c r="C738" i="9"/>
  <c r="C770" i="9"/>
  <c r="C771" i="9"/>
  <c r="C202" i="9"/>
  <c r="C152" i="9"/>
  <c r="C100" i="9"/>
  <c r="C50" i="9"/>
  <c r="C814" i="9"/>
  <c r="C841" i="9"/>
  <c r="C868" i="9"/>
  <c r="C895" i="9"/>
  <c r="C922" i="9"/>
  <c r="C949" i="9"/>
  <c r="C751" i="9"/>
  <c r="C785" i="9"/>
  <c r="C749" i="9"/>
  <c r="C783" i="9"/>
  <c r="C974" i="9"/>
  <c r="C996" i="9"/>
  <c r="C1018" i="9"/>
  <c r="C1073" i="9"/>
  <c r="C1070" i="9"/>
  <c r="C1067" i="9"/>
  <c r="C1064" i="9"/>
  <c r="C800" i="9"/>
  <c r="C827" i="9"/>
  <c r="C854" i="9"/>
  <c r="C881" i="9"/>
  <c r="C908" i="9"/>
  <c r="C935" i="9"/>
  <c r="C735" i="9"/>
  <c r="C767" i="9"/>
  <c r="C733" i="9"/>
  <c r="C765" i="9"/>
  <c r="C962" i="9"/>
  <c r="C984" i="9"/>
  <c r="C1006" i="9"/>
  <c r="C797" i="9"/>
  <c r="C824" i="9"/>
  <c r="C851" i="9"/>
  <c r="C878" i="9"/>
  <c r="C905" i="9"/>
  <c r="C932" i="9"/>
  <c r="C731" i="9"/>
  <c r="C762" i="9"/>
  <c r="C729" i="9"/>
  <c r="C959" i="9"/>
  <c r="C960" i="9"/>
  <c r="C982" i="9"/>
  <c r="C1004" i="9"/>
  <c r="C807" i="9"/>
  <c r="C834" i="9"/>
  <c r="C861" i="9"/>
  <c r="C888" i="9"/>
  <c r="C915" i="9"/>
  <c r="C942" i="9"/>
  <c r="C743" i="9"/>
  <c r="C776" i="9"/>
  <c r="C741" i="9"/>
  <c r="C774" i="9"/>
  <c r="C968" i="9"/>
  <c r="C990" i="9"/>
  <c r="C1012" i="9"/>
  <c r="C821" i="9"/>
  <c r="C848" i="9"/>
  <c r="C875" i="9"/>
  <c r="C902" i="9"/>
  <c r="A929" i="9"/>
  <c r="A956" i="9"/>
  <c r="A759" i="9"/>
  <c r="A794" i="9"/>
  <c r="A757" i="9"/>
  <c r="A792" i="9"/>
  <c r="A980" i="9"/>
  <c r="A1002" i="9"/>
  <c r="A1024" i="9"/>
  <c r="A1057" i="9"/>
  <c r="A1048" i="9"/>
  <c r="A1054" i="9"/>
  <c r="A964" i="9"/>
  <c r="A965" i="9"/>
  <c r="A986" i="9"/>
  <c r="A987" i="9"/>
  <c r="A1008" i="9"/>
  <c r="A1009" i="9"/>
  <c r="A810" i="9"/>
  <c r="A811" i="9"/>
  <c r="A837" i="9"/>
  <c r="A838" i="9"/>
  <c r="A864" i="9"/>
  <c r="A865" i="9"/>
  <c r="A891" i="9"/>
  <c r="A892" i="9"/>
  <c r="A918" i="9"/>
  <c r="A919" i="9"/>
  <c r="A945" i="9"/>
  <c r="A946" i="9"/>
  <c r="A745" i="9"/>
  <c r="A746" i="9"/>
  <c r="A779" i="9"/>
  <c r="A780" i="9"/>
  <c r="A970" i="9"/>
  <c r="A971" i="9"/>
  <c r="A992" i="9"/>
  <c r="A993" i="9"/>
  <c r="A1014" i="9"/>
  <c r="A1015" i="9"/>
  <c r="A819" i="9"/>
  <c r="A820" i="9"/>
  <c r="A846" i="9"/>
  <c r="A847" i="9"/>
  <c r="A873" i="9"/>
  <c r="A874" i="9"/>
  <c r="A900" i="9"/>
  <c r="A901" i="9"/>
  <c r="A927" i="9"/>
  <c r="A928" i="9"/>
  <c r="A954" i="9"/>
  <c r="A955" i="9"/>
  <c r="A755" i="9"/>
  <c r="A756" i="9"/>
  <c r="A790" i="9"/>
  <c r="A791" i="9"/>
  <c r="A978" i="9"/>
  <c r="A979" i="9"/>
  <c r="A1000" i="9"/>
  <c r="A1001" i="9"/>
  <c r="A1022" i="9"/>
  <c r="A1023" i="9"/>
  <c r="A203" i="9"/>
  <c r="A153" i="9"/>
  <c r="A101" i="9"/>
  <c r="A51" i="9"/>
  <c r="A815" i="9"/>
  <c r="A842" i="9"/>
  <c r="A869" i="9"/>
  <c r="A896" i="9"/>
  <c r="A923" i="9"/>
  <c r="A950" i="9"/>
  <c r="A752" i="9"/>
  <c r="A786" i="9"/>
  <c r="A750" i="9"/>
  <c r="A784" i="9"/>
  <c r="A975" i="9"/>
  <c r="A997" i="9"/>
  <c r="A1019" i="9"/>
  <c r="A1074" i="9"/>
  <c r="A1071" i="9"/>
  <c r="A1068" i="9"/>
  <c r="A1065" i="9"/>
  <c r="A1043" i="9"/>
  <c r="A1042" i="9"/>
  <c r="A801" i="9"/>
  <c r="A828" i="9"/>
  <c r="A855" i="9"/>
  <c r="A882" i="9"/>
  <c r="A909" i="9"/>
  <c r="A936" i="9"/>
  <c r="A736" i="9"/>
  <c r="A768" i="9"/>
  <c r="A734" i="9"/>
  <c r="A766" i="9"/>
  <c r="A963" i="9"/>
  <c r="A985" i="9"/>
  <c r="A1007" i="9"/>
  <c r="A1039" i="9"/>
  <c r="A1038" i="9"/>
  <c r="A798" i="9"/>
  <c r="A825" i="9"/>
  <c r="B929" i="9"/>
  <c r="B956" i="9"/>
  <c r="B759" i="9"/>
  <c r="B794" i="9"/>
  <c r="B757" i="9"/>
  <c r="B792" i="9"/>
  <c r="B980" i="9"/>
  <c r="B1002" i="9"/>
  <c r="B1024" i="9"/>
  <c r="B1057" i="9"/>
  <c r="B1048" i="9"/>
  <c r="B1054" i="9"/>
  <c r="B964" i="9"/>
  <c r="B965" i="9"/>
  <c r="B986" i="9"/>
  <c r="B987" i="9"/>
  <c r="B1008" i="9"/>
  <c r="B1009" i="9"/>
  <c r="B810" i="9"/>
  <c r="B811" i="9"/>
  <c r="B837" i="9"/>
  <c r="B838" i="9"/>
  <c r="B864" i="9"/>
  <c r="B865" i="9"/>
  <c r="B891" i="9"/>
  <c r="B892" i="9"/>
  <c r="B918" i="9"/>
  <c r="B919" i="9"/>
  <c r="B945" i="9"/>
  <c r="B946" i="9"/>
  <c r="B745" i="9"/>
  <c r="B746" i="9"/>
  <c r="B779" i="9"/>
  <c r="B780" i="9"/>
  <c r="B970" i="9"/>
  <c r="B971" i="9"/>
  <c r="B992" i="9"/>
  <c r="B993" i="9"/>
  <c r="B1014" i="9"/>
  <c r="B1015" i="9"/>
  <c r="B819" i="9"/>
  <c r="B820" i="9"/>
  <c r="B846" i="9"/>
  <c r="B847" i="9"/>
  <c r="B873" i="9"/>
  <c r="B874" i="9"/>
  <c r="B900" i="9"/>
  <c r="B901" i="9"/>
  <c r="B927" i="9"/>
  <c r="B928" i="9"/>
  <c r="B954" i="9"/>
  <c r="B955" i="9"/>
  <c r="B755" i="9"/>
  <c r="B756" i="9"/>
  <c r="B790" i="9"/>
  <c r="B791" i="9"/>
  <c r="B978" i="9"/>
  <c r="B979" i="9"/>
  <c r="B1000" i="9"/>
  <c r="B1001" i="9"/>
  <c r="B1022" i="9"/>
  <c r="B1023" i="9"/>
  <c r="B203" i="9"/>
  <c r="B153" i="9"/>
  <c r="B101" i="9"/>
  <c r="B51" i="9"/>
  <c r="B815" i="9"/>
  <c r="B842" i="9"/>
  <c r="B869" i="9"/>
  <c r="B896" i="9"/>
  <c r="B923" i="9"/>
  <c r="B950" i="9"/>
  <c r="B752" i="9"/>
  <c r="B786" i="9"/>
  <c r="B750" i="9"/>
  <c r="B784" i="9"/>
  <c r="B975" i="9"/>
  <c r="B997" i="9"/>
  <c r="B1019" i="9"/>
  <c r="B1074" i="9"/>
  <c r="B1071" i="9"/>
  <c r="B1068" i="9"/>
  <c r="B1065" i="9"/>
  <c r="B1043" i="9"/>
  <c r="B1042" i="9"/>
  <c r="B801" i="9"/>
  <c r="B828" i="9"/>
  <c r="B855" i="9"/>
  <c r="B882" i="9"/>
  <c r="B909" i="9"/>
  <c r="B936" i="9"/>
  <c r="B736" i="9"/>
  <c r="B768" i="9"/>
  <c r="B734" i="9"/>
  <c r="B766" i="9"/>
  <c r="B963" i="9"/>
  <c r="B985" i="9"/>
  <c r="B1007" i="9"/>
  <c r="B1039" i="9"/>
  <c r="B1038" i="9"/>
  <c r="B798" i="9"/>
  <c r="B825" i="9"/>
  <c r="C929" i="9"/>
  <c r="C956" i="9"/>
  <c r="C759" i="9"/>
  <c r="C794" i="9"/>
  <c r="C757" i="9"/>
  <c r="C792" i="9"/>
  <c r="C980" i="9"/>
  <c r="C1002" i="9"/>
  <c r="C1024" i="9"/>
  <c r="C1057" i="9"/>
  <c r="C1048" i="9"/>
  <c r="C1054" i="9"/>
  <c r="C964" i="9"/>
  <c r="C965" i="9"/>
  <c r="C986" i="9"/>
  <c r="C987" i="9"/>
  <c r="C1008" i="9"/>
  <c r="C1009" i="9"/>
  <c r="C810" i="9"/>
  <c r="C811" i="9"/>
  <c r="C837" i="9"/>
  <c r="C838" i="9"/>
  <c r="C864" i="9"/>
  <c r="C865" i="9"/>
  <c r="C891" i="9"/>
  <c r="C892" i="9"/>
  <c r="C918" i="9"/>
  <c r="C919" i="9"/>
  <c r="C945" i="9"/>
  <c r="C946" i="9"/>
  <c r="C745" i="9"/>
  <c r="C746" i="9"/>
  <c r="C779" i="9"/>
  <c r="C780" i="9"/>
  <c r="C970" i="9"/>
  <c r="C971" i="9"/>
  <c r="C992" i="9"/>
  <c r="C993" i="9"/>
  <c r="C1014" i="9"/>
  <c r="C1015" i="9"/>
  <c r="C819" i="9"/>
  <c r="C820" i="9"/>
  <c r="C846" i="9"/>
  <c r="C847" i="9"/>
  <c r="C873" i="9"/>
  <c r="C874" i="9"/>
  <c r="C900" i="9"/>
  <c r="C901" i="9"/>
  <c r="C927" i="9"/>
  <c r="C928" i="9"/>
  <c r="C954" i="9"/>
  <c r="C955" i="9"/>
  <c r="C755" i="9"/>
  <c r="C756" i="9"/>
  <c r="C790" i="9"/>
  <c r="C791" i="9"/>
  <c r="C978" i="9"/>
  <c r="C979" i="9"/>
  <c r="C1000" i="9"/>
  <c r="C1001" i="9"/>
  <c r="C1022" i="9"/>
  <c r="C1023" i="9"/>
  <c r="C203" i="9"/>
  <c r="C153" i="9"/>
  <c r="C101" i="9"/>
  <c r="C51" i="9"/>
  <c r="C815" i="9"/>
  <c r="C842" i="9"/>
  <c r="C869" i="9"/>
  <c r="C896" i="9"/>
  <c r="C923" i="9"/>
  <c r="C950" i="9"/>
  <c r="C752" i="9"/>
  <c r="C786" i="9"/>
  <c r="C750" i="9"/>
  <c r="C784" i="9"/>
  <c r="C975" i="9"/>
  <c r="C997" i="9"/>
  <c r="C1019" i="9"/>
  <c r="C1074" i="9"/>
  <c r="C1071" i="9"/>
  <c r="C1068" i="9"/>
  <c r="C1065" i="9"/>
  <c r="C1043" i="9"/>
  <c r="C1042" i="9"/>
  <c r="C801" i="9"/>
  <c r="C828" i="9"/>
  <c r="C855" i="9"/>
  <c r="C882" i="9"/>
  <c r="C909" i="9"/>
  <c r="C936" i="9"/>
  <c r="C736" i="9"/>
  <c r="C768" i="9"/>
  <c r="C734" i="9"/>
  <c r="C766" i="9"/>
  <c r="C963" i="9"/>
  <c r="C985" i="9"/>
  <c r="C1007" i="9"/>
  <c r="C1039" i="9"/>
  <c r="C1038" i="9"/>
  <c r="C798" i="9"/>
  <c r="C825" i="9"/>
  <c r="A852" i="9"/>
  <c r="A879" i="9"/>
  <c r="A906" i="9"/>
  <c r="A933" i="9"/>
  <c r="A732" i="9"/>
  <c r="A763" i="9"/>
  <c r="A761" i="9"/>
  <c r="A961" i="9"/>
  <c r="A983" i="9"/>
  <c r="A1005" i="9"/>
  <c r="A1037" i="9"/>
  <c r="A1036" i="9"/>
  <c r="A808" i="9"/>
  <c r="A835" i="9"/>
  <c r="A862" i="9"/>
  <c r="A889" i="9"/>
  <c r="A916" i="9"/>
  <c r="A943" i="9"/>
  <c r="A744" i="9"/>
  <c r="A777" i="9"/>
  <c r="A742" i="9"/>
  <c r="A775" i="9"/>
  <c r="A969" i="9"/>
  <c r="A991" i="9"/>
  <c r="A1013" i="9"/>
  <c r="A1041" i="9"/>
  <c r="A1040" i="9"/>
  <c r="A822" i="9"/>
  <c r="A849" i="9"/>
  <c r="A876" i="9"/>
  <c r="A903" i="9"/>
  <c r="A930" i="9"/>
  <c r="A957" i="9"/>
  <c r="A760" i="9"/>
  <c r="A795" i="9"/>
  <c r="A758" i="9"/>
  <c r="A793" i="9"/>
  <c r="A981" i="9"/>
  <c r="A1003" i="9"/>
  <c r="A1025" i="9"/>
  <c r="A1045" i="9"/>
  <c r="A1044" i="9"/>
  <c r="A1047" i="9"/>
  <c r="A1026" i="9"/>
  <c r="A1032" i="9"/>
  <c r="A1028" i="9"/>
  <c r="A1030" i="9"/>
  <c r="A816" i="9"/>
  <c r="A843" i="9"/>
  <c r="A870" i="9"/>
  <c r="A897" i="9"/>
  <c r="A924" i="9"/>
  <c r="A951" i="9"/>
  <c r="A787" i="9"/>
  <c r="A1075" i="9"/>
  <c r="A1072" i="9"/>
  <c r="A1069" i="9"/>
  <c r="A1066" i="9"/>
  <c r="A802" i="9"/>
  <c r="A829" i="9"/>
  <c r="A856" i="9"/>
  <c r="A883" i="9"/>
  <c r="A910" i="9"/>
  <c r="A937" i="9"/>
  <c r="A769" i="9"/>
  <c r="A799" i="9"/>
  <c r="A826" i="9"/>
  <c r="A853" i="9"/>
  <c r="A880" i="9"/>
  <c r="A907" i="9"/>
  <c r="A934" i="9"/>
  <c r="A764" i="9"/>
  <c r="A809" i="9"/>
  <c r="A836" i="9"/>
  <c r="A863" i="9"/>
  <c r="A890" i="9"/>
  <c r="A917" i="9"/>
  <c r="A944" i="9"/>
  <c r="A778" i="9"/>
  <c r="A823" i="9"/>
  <c r="A850" i="9"/>
  <c r="A877" i="9"/>
  <c r="A904" i="9"/>
  <c r="A931" i="9"/>
  <c r="A958" i="9"/>
  <c r="A796" i="9"/>
  <c r="A1062" i="9"/>
  <c r="A1058" i="9"/>
  <c r="A1052" i="9"/>
  <c r="A1049" i="9"/>
  <c r="A1055" i="9"/>
  <c r="A1063" i="9"/>
  <c r="A1059" i="9"/>
  <c r="A1053" i="9"/>
  <c r="A1050" i="9"/>
  <c r="A1056" i="9"/>
  <c r="A805" i="9"/>
  <c r="A806" i="9"/>
  <c r="A832" i="9"/>
  <c r="A833" i="9"/>
  <c r="A859" i="9"/>
  <c r="A860" i="9"/>
  <c r="B852" i="9"/>
  <c r="B879" i="9"/>
  <c r="B906" i="9"/>
  <c r="B933" i="9"/>
  <c r="B732" i="9"/>
  <c r="B763" i="9"/>
  <c r="B761" i="9"/>
  <c r="B961" i="9"/>
  <c r="B983" i="9"/>
  <c r="B1005" i="9"/>
  <c r="B1037" i="9"/>
  <c r="B1036" i="9"/>
  <c r="B808" i="9"/>
  <c r="B835" i="9"/>
  <c r="B862" i="9"/>
  <c r="B889" i="9"/>
  <c r="B916" i="9"/>
  <c r="B943" i="9"/>
  <c r="B744" i="9"/>
  <c r="B777" i="9"/>
  <c r="B742" i="9"/>
  <c r="B775" i="9"/>
  <c r="B969" i="9"/>
  <c r="B991" i="9"/>
  <c r="B1013" i="9"/>
  <c r="B1041" i="9"/>
  <c r="B1040" i="9"/>
  <c r="B822" i="9"/>
  <c r="B849" i="9"/>
  <c r="B876" i="9"/>
  <c r="B903" i="9"/>
  <c r="B930" i="9"/>
  <c r="B957" i="9"/>
  <c r="B760" i="9"/>
  <c r="B795" i="9"/>
  <c r="B758" i="9"/>
  <c r="B793" i="9"/>
  <c r="B981" i="9"/>
  <c r="B1003" i="9"/>
  <c r="B1025" i="9"/>
  <c r="B1045" i="9"/>
  <c r="B1044" i="9"/>
  <c r="B1047" i="9"/>
  <c r="B1026" i="9"/>
  <c r="B1032" i="9"/>
  <c r="B1028" i="9"/>
  <c r="B1030" i="9"/>
  <c r="B816" i="9"/>
  <c r="B843" i="9"/>
  <c r="B870" i="9"/>
  <c r="B897" i="9"/>
  <c r="B924" i="9"/>
  <c r="B951" i="9"/>
  <c r="B787" i="9"/>
  <c r="B1075" i="9"/>
  <c r="B1072" i="9"/>
  <c r="B1069" i="9"/>
  <c r="B1066" i="9"/>
  <c r="B802" i="9"/>
  <c r="B829" i="9"/>
  <c r="B856" i="9"/>
  <c r="B883" i="9"/>
  <c r="B910" i="9"/>
  <c r="B937" i="9"/>
  <c r="B769" i="9"/>
  <c r="B799" i="9"/>
  <c r="B826" i="9"/>
  <c r="B853" i="9"/>
  <c r="B880" i="9"/>
  <c r="B907" i="9"/>
  <c r="B934" i="9"/>
  <c r="B764" i="9"/>
  <c r="B809" i="9"/>
  <c r="B836" i="9"/>
  <c r="B863" i="9"/>
  <c r="B890" i="9"/>
  <c r="B917" i="9"/>
  <c r="B944" i="9"/>
  <c r="B778" i="9"/>
  <c r="B823" i="9"/>
  <c r="B850" i="9"/>
  <c r="B877" i="9"/>
  <c r="B904" i="9"/>
  <c r="B931" i="9"/>
  <c r="B958" i="9"/>
  <c r="B796" i="9"/>
  <c r="B1062" i="9"/>
  <c r="B1058" i="9"/>
  <c r="B1052" i="9"/>
  <c r="B1049" i="9"/>
  <c r="B1055" i="9"/>
  <c r="B1063" i="9"/>
  <c r="B1059" i="9"/>
  <c r="B1053" i="9"/>
  <c r="B1050" i="9"/>
  <c r="B1056" i="9"/>
  <c r="B805" i="9"/>
  <c r="B806" i="9"/>
  <c r="B832" i="9"/>
  <c r="B833" i="9"/>
  <c r="B859" i="9"/>
  <c r="B860" i="9"/>
  <c r="C852" i="9"/>
  <c r="C879" i="9"/>
  <c r="C906" i="9"/>
  <c r="C933" i="9"/>
  <c r="C732" i="9"/>
  <c r="C763" i="9"/>
  <c r="C761" i="9"/>
  <c r="C961" i="9"/>
  <c r="C983" i="9"/>
  <c r="C1005" i="9"/>
  <c r="C1037" i="9"/>
  <c r="C1036" i="9"/>
  <c r="C808" i="9"/>
  <c r="C835" i="9"/>
  <c r="C862" i="9"/>
  <c r="C889" i="9"/>
  <c r="C916" i="9"/>
  <c r="C943" i="9"/>
  <c r="C744" i="9"/>
  <c r="C777" i="9"/>
  <c r="C742" i="9"/>
  <c r="C775" i="9"/>
  <c r="C969" i="9"/>
  <c r="C991" i="9"/>
  <c r="C1013" i="9"/>
  <c r="C1041" i="9"/>
  <c r="C1040" i="9"/>
  <c r="C822" i="9"/>
  <c r="C849" i="9"/>
  <c r="C876" i="9"/>
  <c r="C903" i="9"/>
  <c r="C930" i="9"/>
  <c r="C957" i="9"/>
  <c r="C760" i="9"/>
  <c r="C795" i="9"/>
  <c r="C758" i="9"/>
  <c r="C793" i="9"/>
  <c r="C981" i="9"/>
  <c r="C1003" i="9"/>
  <c r="C1025" i="9"/>
  <c r="C1045" i="9"/>
  <c r="C1044" i="9"/>
  <c r="C1047" i="9"/>
  <c r="C1026" i="9"/>
  <c r="C1032" i="9"/>
  <c r="C1028" i="9"/>
  <c r="C1030" i="9"/>
  <c r="C816" i="9"/>
  <c r="C843" i="9"/>
  <c r="C870" i="9"/>
  <c r="C897" i="9"/>
  <c r="C924" i="9"/>
  <c r="C951" i="9"/>
  <c r="C787" i="9"/>
  <c r="C1075" i="9"/>
  <c r="C1072" i="9"/>
  <c r="C1069" i="9"/>
  <c r="C1066" i="9"/>
  <c r="C802" i="9"/>
  <c r="C829" i="9"/>
  <c r="C856" i="9"/>
  <c r="C883" i="9"/>
  <c r="C910" i="9"/>
  <c r="C937" i="9"/>
  <c r="C769" i="9"/>
  <c r="C799" i="9"/>
  <c r="C826" i="9"/>
  <c r="C853" i="9"/>
  <c r="C880" i="9"/>
  <c r="C907" i="9"/>
  <c r="C934" i="9"/>
  <c r="C764" i="9"/>
  <c r="C809" i="9"/>
  <c r="C836" i="9"/>
  <c r="C863" i="9"/>
  <c r="C890" i="9"/>
  <c r="C917" i="9"/>
  <c r="C944" i="9"/>
  <c r="C778" i="9"/>
  <c r="C823" i="9"/>
  <c r="C850" i="9"/>
  <c r="C877" i="9"/>
  <c r="C904" i="9"/>
  <c r="C931" i="9"/>
  <c r="C958" i="9"/>
  <c r="C796" i="9"/>
  <c r="C1062" i="9"/>
  <c r="C1058" i="9"/>
  <c r="C1052" i="9"/>
  <c r="C1049" i="9"/>
  <c r="C1055" i="9"/>
  <c r="C1063" i="9"/>
  <c r="C1059" i="9"/>
  <c r="C1053" i="9"/>
  <c r="C1050" i="9"/>
  <c r="C1056" i="9"/>
  <c r="C805" i="9"/>
  <c r="C806" i="9"/>
  <c r="C832" i="9"/>
  <c r="C833" i="9"/>
  <c r="C859" i="9"/>
  <c r="C860" i="9"/>
  <c r="A886" i="9"/>
  <c r="A887" i="9"/>
  <c r="A913" i="9"/>
  <c r="A914" i="9"/>
  <c r="A940" i="9"/>
  <c r="A941" i="9"/>
  <c r="A739" i="9"/>
  <c r="A740" i="9"/>
  <c r="A772" i="9"/>
  <c r="A773" i="9"/>
  <c r="A966" i="9"/>
  <c r="A967" i="9"/>
  <c r="A988" i="9"/>
  <c r="A989" i="9"/>
  <c r="A1010" i="9"/>
  <c r="A1011" i="9"/>
  <c r="A812" i="9"/>
  <c r="A813" i="9"/>
  <c r="A839" i="9"/>
  <c r="A840" i="9"/>
  <c r="A866" i="9"/>
  <c r="A867" i="9"/>
  <c r="A893" i="9"/>
  <c r="A894" i="9"/>
  <c r="A920" i="9"/>
  <c r="A921" i="9"/>
  <c r="A947" i="9"/>
  <c r="A948" i="9"/>
  <c r="A747" i="9"/>
  <c r="A748" i="9"/>
  <c r="A781" i="9"/>
  <c r="A782" i="9"/>
  <c r="A972" i="9"/>
  <c r="A973" i="9"/>
  <c r="A994" i="9"/>
  <c r="A995" i="9"/>
  <c r="A1016" i="9"/>
  <c r="A1017" i="9"/>
  <c r="B886" i="9"/>
  <c r="B887" i="9"/>
  <c r="B913" i="9"/>
  <c r="B914" i="9"/>
  <c r="B940" i="9"/>
  <c r="B941" i="9"/>
  <c r="B739" i="9"/>
  <c r="B740" i="9"/>
  <c r="B772" i="9"/>
  <c r="B773" i="9"/>
  <c r="B966" i="9"/>
  <c r="B967" i="9"/>
  <c r="B988" i="9"/>
  <c r="B989" i="9"/>
  <c r="B1010" i="9"/>
  <c r="B1011" i="9"/>
  <c r="B812" i="9"/>
  <c r="B813" i="9"/>
  <c r="B839" i="9"/>
  <c r="B840" i="9"/>
  <c r="B866" i="9"/>
  <c r="B867" i="9"/>
  <c r="B893" i="9"/>
  <c r="B894" i="9"/>
  <c r="B920" i="9"/>
  <c r="B921" i="9"/>
  <c r="B947" i="9"/>
  <c r="B948" i="9"/>
  <c r="B747" i="9"/>
  <c r="B748" i="9"/>
  <c r="B781" i="9"/>
  <c r="B782" i="9"/>
  <c r="B972" i="9"/>
  <c r="B973" i="9"/>
  <c r="B994" i="9"/>
  <c r="B995" i="9"/>
  <c r="B1016" i="9"/>
  <c r="B1017" i="9"/>
  <c r="C886" i="9"/>
  <c r="C887" i="9"/>
  <c r="C913" i="9"/>
  <c r="C914" i="9"/>
  <c r="C940" i="9"/>
  <c r="C941" i="9"/>
  <c r="C739" i="9"/>
  <c r="C740" i="9"/>
  <c r="C772" i="9"/>
  <c r="C773" i="9"/>
  <c r="C966" i="9"/>
  <c r="C967" i="9"/>
  <c r="C988" i="9"/>
  <c r="C989" i="9"/>
  <c r="C1010" i="9"/>
  <c r="C1011" i="9"/>
  <c r="C812" i="9"/>
  <c r="C813" i="9"/>
  <c r="C839" i="9"/>
  <c r="C840" i="9"/>
  <c r="C866" i="9"/>
  <c r="C867" i="9"/>
  <c r="C893" i="9"/>
  <c r="C894" i="9"/>
  <c r="C920" i="9"/>
  <c r="C921" i="9"/>
  <c r="C947" i="9"/>
  <c r="C948" i="9"/>
  <c r="C747" i="9"/>
  <c r="C748" i="9"/>
  <c r="C781" i="9"/>
  <c r="C782" i="9"/>
  <c r="C972" i="9"/>
  <c r="C973" i="9"/>
  <c r="C994" i="9"/>
  <c r="C995" i="9"/>
  <c r="C1016" i="9"/>
  <c r="C1017" i="9"/>
  <c r="AQ319" i="2"/>
  <c r="W443" i="2"/>
  <c r="Z457" i="2" s="1"/>
  <c r="AO506" i="2" s="1"/>
  <c r="V370" i="2"/>
  <c r="AI376" i="2"/>
  <c r="AI375" i="2"/>
  <c r="AI374" i="2"/>
  <c r="X320" i="2"/>
  <c r="X321" i="2"/>
  <c r="X322" i="2"/>
  <c r="X323" i="2"/>
  <c r="X324" i="2"/>
  <c r="AV113" i="10"/>
  <c r="AU113" i="10"/>
  <c r="AT113" i="10"/>
  <c r="AS113" i="10"/>
  <c r="AP323" i="2"/>
  <c r="AU336" i="2" s="1"/>
  <c r="AP324" i="2"/>
  <c r="AU338" i="2" s="1"/>
  <c r="AT324" i="2" s="1"/>
  <c r="AP325" i="2"/>
  <c r="AU340" i="2" s="1"/>
  <c r="AS325" i="2" s="1"/>
  <c r="AJ354" i="2" s="1"/>
  <c r="AH354" i="2" s="1"/>
  <c r="AP326" i="2"/>
  <c r="AU342" i="2" s="1"/>
  <c r="AP327" i="2"/>
  <c r="AU344" i="2" s="1"/>
  <c r="AP328" i="2"/>
  <c r="AU346" i="2" s="1"/>
  <c r="AT328" i="2" s="1"/>
  <c r="AP329" i="2"/>
  <c r="AU348" i="2" s="1"/>
  <c r="AR329" i="2" s="1"/>
  <c r="AP322" i="2"/>
  <c r="AU334" i="2" s="1"/>
  <c r="AT323" i="2"/>
  <c r="AI352" i="2" s="1"/>
  <c r="A432" i="2"/>
  <c r="A424" i="2"/>
  <c r="A416" i="2"/>
  <c r="L386" i="2"/>
  <c r="H386" i="2"/>
  <c r="A408" i="2"/>
  <c r="G386" i="2"/>
  <c r="F386" i="2"/>
  <c r="E386" i="2"/>
  <c r="D386" i="2"/>
  <c r="J24" i="2"/>
  <c r="AE2" i="20" s="1"/>
  <c r="J22" i="2"/>
  <c r="AC2" i="20" s="1"/>
  <c r="J23" i="2"/>
  <c r="AD2" i="20" s="1"/>
  <c r="J15" i="2"/>
  <c r="V2" i="20" s="1"/>
  <c r="J16" i="2"/>
  <c r="W2" i="20" s="1"/>
  <c r="J17" i="2"/>
  <c r="X2" i="20" s="1"/>
  <c r="J18" i="2"/>
  <c r="Y2" i="20" s="1"/>
  <c r="J19" i="2"/>
  <c r="Z2" i="20" s="1"/>
  <c r="J20" i="2"/>
  <c r="AA2" i="20" s="1"/>
  <c r="J21" i="2"/>
  <c r="AB2" i="20" s="1"/>
  <c r="J14" i="2"/>
  <c r="U2" i="20" s="1"/>
  <c r="O362" i="2"/>
  <c r="F369" i="2"/>
  <c r="E369" i="2"/>
  <c r="D369" i="2"/>
  <c r="BD1079" i="9"/>
  <c r="A178" i="4"/>
  <c r="N319" i="2" s="1"/>
  <c r="N317" i="2" s="1"/>
  <c r="AQ27" i="16" s="1"/>
  <c r="A177" i="4"/>
  <c r="N324" i="2" s="1"/>
  <c r="J1448" i="2"/>
  <c r="F378" i="2"/>
  <c r="AV384" i="2"/>
  <c r="AV330" i="2"/>
  <c r="A164" i="4"/>
  <c r="J321" i="2" s="1"/>
  <c r="J324" i="2" s="1"/>
  <c r="V316" i="2"/>
  <c r="G317" i="2"/>
  <c r="A155" i="4"/>
  <c r="A144" i="4"/>
  <c r="R4" i="16" s="1"/>
  <c r="I46" i="16"/>
  <c r="AP10" i="16"/>
  <c r="AJ10" i="16"/>
  <c r="I40" i="16"/>
  <c r="I34" i="16"/>
  <c r="I28" i="16"/>
  <c r="I22" i="16"/>
  <c r="I16" i="16"/>
  <c r="I10" i="16"/>
  <c r="I4" i="16"/>
  <c r="AP5" i="16"/>
  <c r="AQ5" i="16"/>
  <c r="AR5" i="16"/>
  <c r="AS5" i="16"/>
  <c r="AT5" i="16"/>
  <c r="AU5" i="16"/>
  <c r="AP6" i="16"/>
  <c r="AQ6" i="16"/>
  <c r="AR6" i="16"/>
  <c r="AS6" i="16"/>
  <c r="AT6" i="16"/>
  <c r="AU6" i="16"/>
  <c r="AP7" i="16"/>
  <c r="AQ7" i="16"/>
  <c r="AR7" i="16"/>
  <c r="AS7" i="16"/>
  <c r="AT7" i="16"/>
  <c r="AU7" i="16"/>
  <c r="AP8" i="16"/>
  <c r="AQ8" i="16"/>
  <c r="AR8" i="16"/>
  <c r="AS8" i="16"/>
  <c r="AT8" i="16"/>
  <c r="AU8" i="16"/>
  <c r="AP9" i="16"/>
  <c r="AQ9" i="16"/>
  <c r="AR9" i="16"/>
  <c r="AS9" i="16"/>
  <c r="AT9" i="16"/>
  <c r="AU9" i="16"/>
  <c r="AQ4" i="16"/>
  <c r="AR4" i="16"/>
  <c r="AS4" i="16"/>
  <c r="AT4" i="16"/>
  <c r="AU4" i="16"/>
  <c r="AP4" i="16"/>
  <c r="AJ5" i="16"/>
  <c r="AK5" i="16"/>
  <c r="AL5" i="16"/>
  <c r="AM5" i="16"/>
  <c r="AN5" i="16"/>
  <c r="AO5" i="16"/>
  <c r="AJ6" i="16"/>
  <c r="AK6" i="16"/>
  <c r="AL6" i="16"/>
  <c r="AM6" i="16"/>
  <c r="AN6" i="16"/>
  <c r="AO6" i="16"/>
  <c r="AJ7" i="16"/>
  <c r="AK7" i="16"/>
  <c r="AL7" i="16"/>
  <c r="AM7" i="16"/>
  <c r="AN7" i="16"/>
  <c r="AO7" i="16"/>
  <c r="AJ8" i="16"/>
  <c r="AK8" i="16"/>
  <c r="AL8" i="16"/>
  <c r="AM8" i="16"/>
  <c r="AN8" i="16"/>
  <c r="AO8" i="16"/>
  <c r="AJ9" i="16"/>
  <c r="AK9" i="16"/>
  <c r="AL9" i="16"/>
  <c r="AM9" i="16"/>
  <c r="AN9" i="16"/>
  <c r="AO9" i="16"/>
  <c r="AK4" i="16"/>
  <c r="AL4" i="16"/>
  <c r="AM4" i="16"/>
  <c r="AN4" i="16"/>
  <c r="AO4" i="16"/>
  <c r="AJ4" i="16"/>
  <c r="AD5" i="16"/>
  <c r="AE5" i="16"/>
  <c r="AF5" i="16"/>
  <c r="AG5" i="16"/>
  <c r="AH5" i="16"/>
  <c r="AI5" i="16"/>
  <c r="AD6" i="16"/>
  <c r="AE6" i="16"/>
  <c r="AF6" i="16"/>
  <c r="AG6" i="16"/>
  <c r="AH6" i="16"/>
  <c r="AI6" i="16"/>
  <c r="AD7" i="16"/>
  <c r="AE7" i="16"/>
  <c r="AF7" i="16"/>
  <c r="AG7" i="16"/>
  <c r="AH7" i="16"/>
  <c r="AI7" i="16"/>
  <c r="AD8" i="16"/>
  <c r="AE8" i="16"/>
  <c r="AF8" i="16"/>
  <c r="AG8" i="16"/>
  <c r="AH8" i="16"/>
  <c r="AI8" i="16"/>
  <c r="AD9" i="16"/>
  <c r="AE9" i="16"/>
  <c r="AF9" i="16"/>
  <c r="AG9" i="16"/>
  <c r="AH9" i="16"/>
  <c r="AI9" i="16"/>
  <c r="AE4" i="16"/>
  <c r="AF4" i="16"/>
  <c r="AG4" i="16"/>
  <c r="AH4" i="16"/>
  <c r="AI4" i="16"/>
  <c r="AD4" i="16"/>
  <c r="C47" i="16"/>
  <c r="D47" i="16"/>
  <c r="E47" i="16"/>
  <c r="F47" i="16"/>
  <c r="G47" i="16"/>
  <c r="H47" i="16"/>
  <c r="C48" i="16"/>
  <c r="D48" i="16"/>
  <c r="E48" i="16"/>
  <c r="F48" i="16"/>
  <c r="G48" i="16"/>
  <c r="H48" i="16"/>
  <c r="C49" i="16"/>
  <c r="D49" i="16"/>
  <c r="E49" i="16"/>
  <c r="F49" i="16"/>
  <c r="G49" i="16"/>
  <c r="H49" i="16"/>
  <c r="C50" i="16"/>
  <c r="D50" i="16"/>
  <c r="E50" i="16"/>
  <c r="F50" i="16"/>
  <c r="G50" i="16"/>
  <c r="H50" i="16"/>
  <c r="C51" i="16"/>
  <c r="D51" i="16"/>
  <c r="E51" i="16"/>
  <c r="F51" i="16"/>
  <c r="G51" i="16"/>
  <c r="H51" i="16"/>
  <c r="D46" i="16"/>
  <c r="E46" i="16"/>
  <c r="F46" i="16"/>
  <c r="G46" i="16"/>
  <c r="H46" i="16"/>
  <c r="C46" i="16"/>
  <c r="C41" i="16"/>
  <c r="D41" i="16"/>
  <c r="E41" i="16"/>
  <c r="F41" i="16"/>
  <c r="G41" i="16"/>
  <c r="H41" i="16"/>
  <c r="C42" i="16"/>
  <c r="D42" i="16"/>
  <c r="E42" i="16"/>
  <c r="F42" i="16"/>
  <c r="G42" i="16"/>
  <c r="H42" i="16"/>
  <c r="C43" i="16"/>
  <c r="D43" i="16"/>
  <c r="E43" i="16"/>
  <c r="F43" i="16"/>
  <c r="G43" i="16"/>
  <c r="H43" i="16"/>
  <c r="C44" i="16"/>
  <c r="D44" i="16"/>
  <c r="E44" i="16"/>
  <c r="F44" i="16"/>
  <c r="G44" i="16"/>
  <c r="H44" i="16"/>
  <c r="C45" i="16"/>
  <c r="D45" i="16"/>
  <c r="E45" i="16"/>
  <c r="F45" i="16"/>
  <c r="G45" i="16"/>
  <c r="H45" i="16"/>
  <c r="D40" i="16"/>
  <c r="E40" i="16"/>
  <c r="F40" i="16"/>
  <c r="G40" i="16"/>
  <c r="H40" i="16"/>
  <c r="C40" i="16"/>
  <c r="C35" i="16"/>
  <c r="D35" i="16"/>
  <c r="E35" i="16"/>
  <c r="F35" i="16"/>
  <c r="G35" i="16"/>
  <c r="H35" i="16"/>
  <c r="C36" i="16"/>
  <c r="D36" i="16"/>
  <c r="E36" i="16"/>
  <c r="F36" i="16"/>
  <c r="G36" i="16"/>
  <c r="H36" i="16"/>
  <c r="C37" i="16"/>
  <c r="D37" i="16"/>
  <c r="E37" i="16"/>
  <c r="F37" i="16"/>
  <c r="G37" i="16"/>
  <c r="H37" i="16"/>
  <c r="C38" i="16"/>
  <c r="D38" i="16"/>
  <c r="E38" i="16"/>
  <c r="F38" i="16"/>
  <c r="G38" i="16"/>
  <c r="H38" i="16"/>
  <c r="C39" i="16"/>
  <c r="D39" i="16"/>
  <c r="E39" i="16"/>
  <c r="F39" i="16"/>
  <c r="G39" i="16"/>
  <c r="H39" i="16"/>
  <c r="D34" i="16"/>
  <c r="E34" i="16"/>
  <c r="F34" i="16"/>
  <c r="G34" i="16"/>
  <c r="H34" i="16"/>
  <c r="C34" i="16"/>
  <c r="C29" i="16"/>
  <c r="D29" i="16"/>
  <c r="E29" i="16"/>
  <c r="F29" i="16"/>
  <c r="G29" i="16"/>
  <c r="H29" i="16"/>
  <c r="C30" i="16"/>
  <c r="D30" i="16"/>
  <c r="E30" i="16"/>
  <c r="F30" i="16"/>
  <c r="G30" i="16"/>
  <c r="H30" i="16"/>
  <c r="C31" i="16"/>
  <c r="D31" i="16"/>
  <c r="E31" i="16"/>
  <c r="F31" i="16"/>
  <c r="G31" i="16"/>
  <c r="H31" i="16"/>
  <c r="C32" i="16"/>
  <c r="D32" i="16"/>
  <c r="E32" i="16"/>
  <c r="F32" i="16"/>
  <c r="G32" i="16"/>
  <c r="H32" i="16"/>
  <c r="C33" i="16"/>
  <c r="D33" i="16"/>
  <c r="E33" i="16"/>
  <c r="F33" i="16"/>
  <c r="G33" i="16"/>
  <c r="H33" i="16"/>
  <c r="D28" i="16"/>
  <c r="E28" i="16"/>
  <c r="F28" i="16"/>
  <c r="G28" i="16"/>
  <c r="H28" i="16"/>
  <c r="C28" i="16"/>
  <c r="C23" i="16"/>
  <c r="D23" i="16"/>
  <c r="E23" i="16"/>
  <c r="F23" i="16"/>
  <c r="G23" i="16"/>
  <c r="H23" i="16"/>
  <c r="C24" i="16"/>
  <c r="D24" i="16"/>
  <c r="E24" i="16"/>
  <c r="F24" i="16"/>
  <c r="G24" i="16"/>
  <c r="H24" i="16"/>
  <c r="C25" i="16"/>
  <c r="D25" i="16"/>
  <c r="E25" i="16"/>
  <c r="F25" i="16"/>
  <c r="G25" i="16"/>
  <c r="H25" i="16"/>
  <c r="C26" i="16"/>
  <c r="D26" i="16"/>
  <c r="E26" i="16"/>
  <c r="F26" i="16"/>
  <c r="G26" i="16"/>
  <c r="H26" i="16"/>
  <c r="C27" i="16"/>
  <c r="D27" i="16"/>
  <c r="E27" i="16"/>
  <c r="F27" i="16"/>
  <c r="G27" i="16"/>
  <c r="H27" i="16"/>
  <c r="D22" i="16"/>
  <c r="E22" i="16"/>
  <c r="F22" i="16"/>
  <c r="G22" i="16"/>
  <c r="H22" i="16"/>
  <c r="C22" i="16"/>
  <c r="C17" i="16"/>
  <c r="D17" i="16"/>
  <c r="E17" i="16"/>
  <c r="F17" i="16"/>
  <c r="G17" i="16"/>
  <c r="H17" i="16"/>
  <c r="C18" i="16"/>
  <c r="D18" i="16"/>
  <c r="E18" i="16"/>
  <c r="F18" i="16"/>
  <c r="G18" i="16"/>
  <c r="H18" i="16"/>
  <c r="C19" i="16"/>
  <c r="D19" i="16"/>
  <c r="E19" i="16"/>
  <c r="F19" i="16"/>
  <c r="G19" i="16"/>
  <c r="H19" i="16"/>
  <c r="C20" i="16"/>
  <c r="D20" i="16"/>
  <c r="E20" i="16"/>
  <c r="F20" i="16"/>
  <c r="G20" i="16"/>
  <c r="H20" i="16"/>
  <c r="C21" i="16"/>
  <c r="D21" i="16"/>
  <c r="E21" i="16"/>
  <c r="F21" i="16"/>
  <c r="G21" i="16"/>
  <c r="H21" i="16"/>
  <c r="D16" i="16"/>
  <c r="E16" i="16"/>
  <c r="F16" i="16"/>
  <c r="G16" i="16"/>
  <c r="H16" i="16"/>
  <c r="C16" i="16"/>
  <c r="C10" i="16"/>
  <c r="D10" i="16"/>
  <c r="E10" i="16"/>
  <c r="F10" i="16"/>
  <c r="G10" i="16"/>
  <c r="H10" i="16"/>
  <c r="C11" i="16"/>
  <c r="D11" i="16"/>
  <c r="E11" i="16"/>
  <c r="F11" i="16"/>
  <c r="G11" i="16"/>
  <c r="H11" i="16"/>
  <c r="C12" i="16"/>
  <c r="D12" i="16"/>
  <c r="E12" i="16"/>
  <c r="F12" i="16"/>
  <c r="G12" i="16"/>
  <c r="H12" i="16"/>
  <c r="C13" i="16"/>
  <c r="D13" i="16"/>
  <c r="E13" i="16"/>
  <c r="F13" i="16"/>
  <c r="G13" i="16"/>
  <c r="H13" i="16"/>
  <c r="C14" i="16"/>
  <c r="D14" i="16"/>
  <c r="E14" i="16"/>
  <c r="F14" i="16"/>
  <c r="G14" i="16"/>
  <c r="H14" i="16"/>
  <c r="D15" i="16"/>
  <c r="E15" i="16"/>
  <c r="F15" i="16"/>
  <c r="G15" i="16"/>
  <c r="H15" i="16"/>
  <c r="C15" i="16"/>
  <c r="C4" i="16"/>
  <c r="D4" i="16"/>
  <c r="E4" i="16"/>
  <c r="F4" i="16"/>
  <c r="G4" i="16"/>
  <c r="H4" i="16"/>
  <c r="C5" i="16"/>
  <c r="D5" i="16"/>
  <c r="E5" i="16"/>
  <c r="F5" i="16"/>
  <c r="G5" i="16"/>
  <c r="H5" i="16"/>
  <c r="C6" i="16"/>
  <c r="D6" i="16"/>
  <c r="E6" i="16"/>
  <c r="F6" i="16"/>
  <c r="G6" i="16"/>
  <c r="H6" i="16"/>
  <c r="C7" i="16"/>
  <c r="D7" i="16"/>
  <c r="E7" i="16"/>
  <c r="F7" i="16"/>
  <c r="G7" i="16"/>
  <c r="H7" i="16"/>
  <c r="C8" i="16"/>
  <c r="D8" i="16"/>
  <c r="E8" i="16"/>
  <c r="F8" i="16"/>
  <c r="G8" i="16"/>
  <c r="H8" i="16"/>
  <c r="D9" i="16"/>
  <c r="E9" i="16"/>
  <c r="F9" i="16"/>
  <c r="G9" i="16"/>
  <c r="H9" i="16"/>
  <c r="C9" i="16"/>
  <c r="A317" i="2"/>
  <c r="Q31" i="16" s="1"/>
  <c r="A28" i="10"/>
  <c r="Q55" i="2"/>
  <c r="L256" i="2"/>
  <c r="A143" i="4"/>
  <c r="A14" i="10"/>
  <c r="B14" i="10"/>
  <c r="C14" i="10"/>
  <c r="F14" i="10"/>
  <c r="A34" i="4"/>
  <c r="A186" i="4"/>
  <c r="B772" i="2" s="1"/>
  <c r="A33" i="4"/>
  <c r="E63" i="2"/>
  <c r="A32" i="4"/>
  <c r="A141" i="4"/>
  <c r="C1430" i="2" s="1"/>
  <c r="A89" i="10"/>
  <c r="B89" i="10"/>
  <c r="C89" i="10"/>
  <c r="F89" i="10"/>
  <c r="A90" i="10"/>
  <c r="B90" i="10"/>
  <c r="C90" i="10"/>
  <c r="F90" i="10"/>
  <c r="A91" i="10"/>
  <c r="B91" i="10"/>
  <c r="C91" i="10"/>
  <c r="F91" i="10"/>
  <c r="B28" i="10"/>
  <c r="C28" i="10"/>
  <c r="F28" i="10"/>
  <c r="AB30" i="16"/>
  <c r="A19" i="4"/>
  <c r="A20" i="4"/>
  <c r="A55" i="4"/>
  <c r="A35" i="4"/>
  <c r="A31" i="4"/>
  <c r="K1034" i="2" s="1"/>
  <c r="F17" i="10"/>
  <c r="A97" i="4"/>
  <c r="F39" i="11" s="1"/>
  <c r="A196" i="4"/>
  <c r="F28" i="11" s="1"/>
  <c r="A161" i="4"/>
  <c r="F32" i="11" s="1"/>
  <c r="A167" i="4"/>
  <c r="R322" i="2" s="1"/>
  <c r="A156" i="4"/>
  <c r="AD36" i="11" s="1"/>
  <c r="J273" i="2"/>
  <c r="H264" i="2"/>
  <c r="C1336" i="2" s="1"/>
  <c r="H265" i="2"/>
  <c r="C1337" i="2" s="1"/>
  <c r="H266" i="2"/>
  <c r="C1338" i="2" s="1"/>
  <c r="H267" i="2"/>
  <c r="C1339" i="2" s="1"/>
  <c r="H270" i="2"/>
  <c r="C1342" i="2" s="1"/>
  <c r="A198" i="4"/>
  <c r="C265" i="2" s="1"/>
  <c r="G265" i="2" s="1"/>
  <c r="B1337" i="2" s="1"/>
  <c r="A199" i="4"/>
  <c r="C266" i="2" s="1"/>
  <c r="G266" i="2" s="1"/>
  <c r="B1338" i="2" s="1"/>
  <c r="A200" i="4"/>
  <c r="C267" i="2" s="1"/>
  <c r="G267" i="2" s="1"/>
  <c r="A201" i="4"/>
  <c r="C270" i="2" s="1"/>
  <c r="G270" i="2" s="1"/>
  <c r="B1342" i="2" s="1"/>
  <c r="A202" i="4"/>
  <c r="C271" i="2" s="1"/>
  <c r="A203" i="4"/>
  <c r="C272" i="2" s="1"/>
  <c r="A204" i="4"/>
  <c r="C273" i="2" s="1"/>
  <c r="A205" i="4"/>
  <c r="C274" i="2" s="1"/>
  <c r="A206" i="4"/>
  <c r="C275" i="2" s="1"/>
  <c r="A207" i="4"/>
  <c r="C276" i="2" s="1"/>
  <c r="A208" i="4"/>
  <c r="C277" i="2" s="1"/>
  <c r="A209" i="4"/>
  <c r="C278" i="2" s="1"/>
  <c r="A210" i="4"/>
  <c r="C279" i="2" s="1"/>
  <c r="A211" i="4"/>
  <c r="C280" i="2" s="1"/>
  <c r="A212" i="4"/>
  <c r="C281" i="2" s="1"/>
  <c r="A214" i="4"/>
  <c r="C283" i="2" s="1"/>
  <c r="A215" i="4"/>
  <c r="C284" i="2" s="1"/>
  <c r="A216" i="4"/>
  <c r="C285" i="2" s="1"/>
  <c r="A217" i="4"/>
  <c r="C286" i="2" s="1"/>
  <c r="A218" i="4"/>
  <c r="C287" i="2" s="1"/>
  <c r="A219" i="4"/>
  <c r="C288" i="2" s="1"/>
  <c r="A220" i="4"/>
  <c r="C289" i="2" s="1"/>
  <c r="A221" i="4"/>
  <c r="C290" i="2" s="1"/>
  <c r="A222" i="4"/>
  <c r="C291" i="2" s="1"/>
  <c r="A223" i="4"/>
  <c r="C292" i="2" s="1"/>
  <c r="A224" i="4"/>
  <c r="C293" i="2" s="1"/>
  <c r="A225" i="4"/>
  <c r="C294" i="2" s="1"/>
  <c r="A226" i="4"/>
  <c r="C295" i="2" s="1"/>
  <c r="A227" i="4"/>
  <c r="C296" i="2" s="1"/>
  <c r="A228" i="4"/>
  <c r="C297" i="2" s="1"/>
  <c r="A229" i="4"/>
  <c r="C298" i="2" s="1"/>
  <c r="A230" i="4"/>
  <c r="C299" i="2" s="1"/>
  <c r="A231" i="4"/>
  <c r="C300" i="2" s="1"/>
  <c r="A232" i="4"/>
  <c r="C301" i="2" s="1"/>
  <c r="A233" i="4"/>
  <c r="C302" i="2" s="1"/>
  <c r="A234" i="4"/>
  <c r="C303" i="2" s="1"/>
  <c r="A235" i="4"/>
  <c r="C304" i="2" s="1"/>
  <c r="A236" i="4"/>
  <c r="C305" i="2" s="1"/>
  <c r="A237" i="4"/>
  <c r="C306" i="2" s="1"/>
  <c r="A238" i="4"/>
  <c r="C307" i="2" s="1"/>
  <c r="A239" i="4"/>
  <c r="C308" i="2" s="1"/>
  <c r="A240" i="4"/>
  <c r="C309" i="2" s="1"/>
  <c r="A241" i="4"/>
  <c r="C310" i="2" s="1"/>
  <c r="N1026" i="2"/>
  <c r="U27" i="17" s="1"/>
  <c r="A76" i="4"/>
  <c r="F10" i="11" s="1"/>
  <c r="A77" i="4"/>
  <c r="F11" i="11" s="1"/>
  <c r="A78" i="4"/>
  <c r="F12" i="11" s="1"/>
  <c r="A79" i="4"/>
  <c r="F14" i="11" s="1"/>
  <c r="A80" i="4"/>
  <c r="F15" i="11" s="1"/>
  <c r="A81" i="4"/>
  <c r="F16" i="11" s="1"/>
  <c r="A82" i="4"/>
  <c r="F17" i="11" s="1"/>
  <c r="A85" i="4"/>
  <c r="F19" i="11" s="1"/>
  <c r="A86" i="4"/>
  <c r="F20" i="11" s="1"/>
  <c r="A87" i="4"/>
  <c r="F21" i="11" s="1"/>
  <c r="A88" i="4"/>
  <c r="F22" i="11" s="1"/>
  <c r="A90" i="4"/>
  <c r="F24" i="11" s="1"/>
  <c r="A91" i="4"/>
  <c r="F25" i="11" s="1"/>
  <c r="A158" i="4"/>
  <c r="AA7" i="11" s="1"/>
  <c r="A159" i="4"/>
  <c r="F31" i="11" s="1"/>
  <c r="A92" i="4"/>
  <c r="Q14" i="16" s="1"/>
  <c r="F2" i="10"/>
  <c r="F3" i="10"/>
  <c r="F4" i="10"/>
  <c r="F5" i="10"/>
  <c r="F6" i="10"/>
  <c r="F11" i="10"/>
  <c r="F12" i="10"/>
  <c r="F13" i="10"/>
  <c r="F15" i="10"/>
  <c r="F16" i="10"/>
  <c r="F18" i="10"/>
  <c r="F19" i="10"/>
  <c r="F20" i="10"/>
  <c r="F21" i="10"/>
  <c r="F22" i="10"/>
  <c r="F23" i="10"/>
  <c r="F24" i="10"/>
  <c r="F25" i="10"/>
  <c r="F26" i="10"/>
  <c r="F27" i="10"/>
  <c r="F105" i="10"/>
  <c r="F107" i="10"/>
  <c r="F106" i="10"/>
  <c r="F108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9" i="10"/>
  <c r="F110" i="10"/>
  <c r="F111" i="10"/>
  <c r="F112" i="10"/>
  <c r="E211" i="2"/>
  <c r="F211" i="2"/>
  <c r="D211" i="2"/>
  <c r="A185" i="4"/>
  <c r="A189" i="4"/>
  <c r="A38" i="4"/>
  <c r="L196" i="2"/>
  <c r="M196" i="2"/>
  <c r="G196" i="2"/>
  <c r="H196" i="2"/>
  <c r="E196" i="2"/>
  <c r="F196" i="2"/>
  <c r="D196" i="2"/>
  <c r="C192" i="9"/>
  <c r="C193" i="9"/>
  <c r="C141" i="9"/>
  <c r="C142" i="9"/>
  <c r="C90" i="9"/>
  <c r="C91" i="9"/>
  <c r="C40" i="9"/>
  <c r="C41" i="9"/>
  <c r="C382" i="9"/>
  <c r="C383" i="9"/>
  <c r="C334" i="9"/>
  <c r="C335" i="9"/>
  <c r="C286" i="9"/>
  <c r="C287" i="9"/>
  <c r="C239" i="9"/>
  <c r="C240" i="9"/>
  <c r="C526" i="9"/>
  <c r="C527" i="9"/>
  <c r="C478" i="9"/>
  <c r="C479" i="9"/>
  <c r="C430" i="9"/>
  <c r="C431" i="9"/>
  <c r="C718" i="9"/>
  <c r="C719" i="9"/>
  <c r="C670" i="9"/>
  <c r="C671" i="9"/>
  <c r="C622" i="9"/>
  <c r="C623" i="9"/>
  <c r="C574" i="9"/>
  <c r="C575" i="9"/>
  <c r="C168" i="9"/>
  <c r="C169" i="9"/>
  <c r="C116" i="9"/>
  <c r="C117" i="9"/>
  <c r="C66" i="9"/>
  <c r="C67" i="9"/>
  <c r="C16" i="9"/>
  <c r="C17" i="9"/>
  <c r="C358" i="9"/>
  <c r="C359" i="9"/>
  <c r="C310" i="9"/>
  <c r="C311" i="9"/>
  <c r="C262" i="9"/>
  <c r="C263" i="9"/>
  <c r="C502" i="9"/>
  <c r="C503" i="9"/>
  <c r="C454" i="9"/>
  <c r="C455" i="9"/>
  <c r="C406" i="9"/>
  <c r="C407" i="9"/>
  <c r="C694" i="9"/>
  <c r="C695" i="9"/>
  <c r="C646" i="9"/>
  <c r="C647" i="9"/>
  <c r="C598" i="9"/>
  <c r="C599" i="9"/>
  <c r="C550" i="9"/>
  <c r="C551" i="9"/>
  <c r="C180" i="9"/>
  <c r="C181" i="9"/>
  <c r="C128" i="9"/>
  <c r="C129" i="9"/>
  <c r="C78" i="9"/>
  <c r="C79" i="9"/>
  <c r="C28" i="9"/>
  <c r="C29" i="9"/>
  <c r="C370" i="9"/>
  <c r="C371" i="9"/>
  <c r="C322" i="9"/>
  <c r="C323" i="9"/>
  <c r="C274" i="9"/>
  <c r="C275" i="9"/>
  <c r="C514" i="9"/>
  <c r="C515" i="9"/>
  <c r="C466" i="9"/>
  <c r="C467" i="9"/>
  <c r="C418" i="9"/>
  <c r="C419" i="9"/>
  <c r="C706" i="9"/>
  <c r="C707" i="9"/>
  <c r="C658" i="9"/>
  <c r="C659" i="9"/>
  <c r="C610" i="9"/>
  <c r="C611" i="9"/>
  <c r="C562" i="9"/>
  <c r="C563" i="9"/>
  <c r="C228" i="9"/>
  <c r="C229" i="9"/>
  <c r="C217" i="9"/>
  <c r="C218" i="9"/>
  <c r="C190" i="9"/>
  <c r="C191" i="9"/>
  <c r="C139" i="9"/>
  <c r="C140" i="9"/>
  <c r="C88" i="9"/>
  <c r="C89" i="9"/>
  <c r="C38" i="9"/>
  <c r="C39" i="9"/>
  <c r="C380" i="9"/>
  <c r="C381" i="9"/>
  <c r="C332" i="9"/>
  <c r="C333" i="9"/>
  <c r="C284" i="9"/>
  <c r="C285" i="9"/>
  <c r="C237" i="9"/>
  <c r="C238" i="9"/>
  <c r="C524" i="9"/>
  <c r="C525" i="9"/>
  <c r="C476" i="9"/>
  <c r="C477" i="9"/>
  <c r="C428" i="9"/>
  <c r="C429" i="9"/>
  <c r="C716" i="9"/>
  <c r="C717" i="9"/>
  <c r="C668" i="9"/>
  <c r="C669" i="9"/>
  <c r="C620" i="9"/>
  <c r="C621" i="9"/>
  <c r="C572" i="9"/>
  <c r="C573" i="9"/>
  <c r="C166" i="9"/>
  <c r="C167" i="9"/>
  <c r="C114" i="9"/>
  <c r="C115" i="9"/>
  <c r="C64" i="9"/>
  <c r="C65" i="9"/>
  <c r="C14" i="9"/>
  <c r="C15" i="9"/>
  <c r="C356" i="9"/>
  <c r="C357" i="9"/>
  <c r="C308" i="9"/>
  <c r="C309" i="9"/>
  <c r="C260" i="9"/>
  <c r="C261" i="9"/>
  <c r="C500" i="9"/>
  <c r="C501" i="9"/>
  <c r="C452" i="9"/>
  <c r="C453" i="9"/>
  <c r="C404" i="9"/>
  <c r="C405" i="9"/>
  <c r="C692" i="9"/>
  <c r="C693" i="9"/>
  <c r="C644" i="9"/>
  <c r="C645" i="9"/>
  <c r="C596" i="9"/>
  <c r="C597" i="9"/>
  <c r="C548" i="9"/>
  <c r="C549" i="9"/>
  <c r="C178" i="9"/>
  <c r="C179" i="9"/>
  <c r="C126" i="9"/>
  <c r="C127" i="9"/>
  <c r="C76" i="9"/>
  <c r="C77" i="9"/>
  <c r="C26" i="9"/>
  <c r="C27" i="9"/>
  <c r="C368" i="9"/>
  <c r="C369" i="9"/>
  <c r="C320" i="9"/>
  <c r="C321" i="9"/>
  <c r="C272" i="9"/>
  <c r="C273" i="9"/>
  <c r="C512" i="9"/>
  <c r="C513" i="9"/>
  <c r="C464" i="9"/>
  <c r="C465" i="9"/>
  <c r="C416" i="9"/>
  <c r="C417" i="9"/>
  <c r="C704" i="9"/>
  <c r="C705" i="9"/>
  <c r="C656" i="9"/>
  <c r="C657" i="9"/>
  <c r="C608" i="9"/>
  <c r="C609" i="9"/>
  <c r="C560" i="9"/>
  <c r="C561" i="9"/>
  <c r="C226" i="9"/>
  <c r="C227" i="9"/>
  <c r="C215" i="9"/>
  <c r="C216" i="9"/>
  <c r="C194" i="9"/>
  <c r="C195" i="9"/>
  <c r="C143" i="9"/>
  <c r="C144" i="9"/>
  <c r="C92" i="9"/>
  <c r="C93" i="9"/>
  <c r="C42" i="9"/>
  <c r="C43" i="9"/>
  <c r="C384" i="9"/>
  <c r="C385" i="9"/>
  <c r="C336" i="9"/>
  <c r="C337" i="9"/>
  <c r="C288" i="9"/>
  <c r="C289" i="9"/>
  <c r="C241" i="9"/>
  <c r="C242" i="9"/>
  <c r="C528" i="9"/>
  <c r="C529" i="9"/>
  <c r="C480" i="9"/>
  <c r="C481" i="9"/>
  <c r="C432" i="9"/>
  <c r="C433" i="9"/>
  <c r="C720" i="9"/>
  <c r="C721" i="9"/>
  <c r="C672" i="9"/>
  <c r="C673" i="9"/>
  <c r="C624" i="9"/>
  <c r="C625" i="9"/>
  <c r="C576" i="9"/>
  <c r="C577" i="9"/>
  <c r="C170" i="9"/>
  <c r="C171" i="9"/>
  <c r="C118" i="9"/>
  <c r="C119" i="9"/>
  <c r="C68" i="9"/>
  <c r="C69" i="9"/>
  <c r="C18" i="9"/>
  <c r="C19" i="9"/>
  <c r="C360" i="9"/>
  <c r="C361" i="9"/>
  <c r="C312" i="9"/>
  <c r="C313" i="9"/>
  <c r="C264" i="9"/>
  <c r="C265" i="9"/>
  <c r="C504" i="9"/>
  <c r="C505" i="9"/>
  <c r="C456" i="9"/>
  <c r="C457" i="9"/>
  <c r="C408" i="9"/>
  <c r="C409" i="9"/>
  <c r="C696" i="9"/>
  <c r="C697" i="9"/>
  <c r="C648" i="9"/>
  <c r="C649" i="9"/>
  <c r="C600" i="9"/>
  <c r="C601" i="9"/>
  <c r="C552" i="9"/>
  <c r="C553" i="9"/>
  <c r="C182" i="9"/>
  <c r="C183" i="9"/>
  <c r="C130" i="9"/>
  <c r="C131" i="9"/>
  <c r="C80" i="9"/>
  <c r="C81" i="9"/>
  <c r="C30" i="9"/>
  <c r="C31" i="9"/>
  <c r="C372" i="9"/>
  <c r="C373" i="9"/>
  <c r="C324" i="9"/>
  <c r="C325" i="9"/>
  <c r="C276" i="9"/>
  <c r="C277" i="9"/>
  <c r="C516" i="9"/>
  <c r="C517" i="9"/>
  <c r="C468" i="9"/>
  <c r="C469" i="9"/>
  <c r="C420" i="9"/>
  <c r="C421" i="9"/>
  <c r="C708" i="9"/>
  <c r="C709" i="9"/>
  <c r="C660" i="9"/>
  <c r="C661" i="9"/>
  <c r="C612" i="9"/>
  <c r="C613" i="9"/>
  <c r="C564" i="9"/>
  <c r="C565" i="9"/>
  <c r="C230" i="9"/>
  <c r="C231" i="9"/>
  <c r="C219" i="9"/>
  <c r="C220" i="9"/>
  <c r="C188" i="9"/>
  <c r="C137" i="9"/>
  <c r="C86" i="9"/>
  <c r="C36" i="9"/>
  <c r="C185" i="9"/>
  <c r="C133" i="9"/>
  <c r="C83" i="9"/>
  <c r="C33" i="9"/>
  <c r="C378" i="9"/>
  <c r="C330" i="9"/>
  <c r="C282" i="9"/>
  <c r="C375" i="9"/>
  <c r="C327" i="9"/>
  <c r="C279" i="9"/>
  <c r="C522" i="9"/>
  <c r="C474" i="9"/>
  <c r="C426" i="9"/>
  <c r="C519" i="9"/>
  <c r="C471" i="9"/>
  <c r="C423" i="9"/>
  <c r="C714" i="9"/>
  <c r="C666" i="9"/>
  <c r="C618" i="9"/>
  <c r="C570" i="9"/>
  <c r="C711" i="9"/>
  <c r="C663" i="9"/>
  <c r="C615" i="9"/>
  <c r="C567" i="9"/>
  <c r="C164" i="9"/>
  <c r="C112" i="9"/>
  <c r="C62" i="9"/>
  <c r="C12" i="9"/>
  <c r="C161" i="9"/>
  <c r="C109" i="9"/>
  <c r="C59" i="9"/>
  <c r="C9" i="9"/>
  <c r="C354" i="9"/>
  <c r="C306" i="9"/>
  <c r="C258" i="9"/>
  <c r="C351" i="9"/>
  <c r="C303" i="9"/>
  <c r="C255" i="9"/>
  <c r="C498" i="9"/>
  <c r="C450" i="9"/>
  <c r="C402" i="9"/>
  <c r="C495" i="9"/>
  <c r="C447" i="9"/>
  <c r="C399" i="9"/>
  <c r="C690" i="9"/>
  <c r="C642" i="9"/>
  <c r="C594" i="9"/>
  <c r="C546" i="9"/>
  <c r="C687" i="9"/>
  <c r="C639" i="9"/>
  <c r="C591" i="9"/>
  <c r="C543" i="9"/>
  <c r="C158" i="9"/>
  <c r="C106" i="9"/>
  <c r="C56" i="9"/>
  <c r="C6" i="9"/>
  <c r="C155" i="9"/>
  <c r="C103" i="9"/>
  <c r="C53" i="9"/>
  <c r="C3" i="9"/>
  <c r="C348" i="9"/>
  <c r="C300" i="9"/>
  <c r="C252" i="9"/>
  <c r="C208" i="9"/>
  <c r="C345" i="9"/>
  <c r="C297" i="9"/>
  <c r="C249" i="9"/>
  <c r="C205" i="9"/>
  <c r="C492" i="9"/>
  <c r="C444" i="9"/>
  <c r="C396" i="9"/>
  <c r="C489" i="9"/>
  <c r="C441" i="9"/>
  <c r="C393" i="9"/>
  <c r="C684" i="9"/>
  <c r="C636" i="9"/>
  <c r="C588" i="9"/>
  <c r="C540" i="9"/>
  <c r="C681" i="9"/>
  <c r="C633" i="9"/>
  <c r="C585" i="9"/>
  <c r="C537" i="9"/>
  <c r="C176" i="9"/>
  <c r="C124" i="9"/>
  <c r="C74" i="9"/>
  <c r="C24" i="9"/>
  <c r="C173" i="9"/>
  <c r="C121" i="9"/>
  <c r="C71" i="9"/>
  <c r="C21" i="9"/>
  <c r="C366" i="9"/>
  <c r="C318" i="9"/>
  <c r="C270" i="9"/>
  <c r="C363" i="9"/>
  <c r="C315" i="9"/>
  <c r="C267" i="9"/>
  <c r="C510" i="9"/>
  <c r="C462" i="9"/>
  <c r="C414" i="9"/>
  <c r="C507" i="9"/>
  <c r="C459" i="9"/>
  <c r="C411" i="9"/>
  <c r="C702" i="9"/>
  <c r="C654" i="9"/>
  <c r="C606" i="9"/>
  <c r="C558" i="9"/>
  <c r="C699" i="9"/>
  <c r="C651" i="9"/>
  <c r="C603" i="9"/>
  <c r="C555" i="9"/>
  <c r="C200" i="9"/>
  <c r="C149" i="9"/>
  <c r="C98" i="9"/>
  <c r="C48" i="9"/>
  <c r="C197" i="9"/>
  <c r="C146" i="9"/>
  <c r="C95" i="9"/>
  <c r="C45" i="9"/>
  <c r="C390" i="9"/>
  <c r="C342" i="9"/>
  <c r="C294" i="9"/>
  <c r="C387" i="9"/>
  <c r="C339" i="9"/>
  <c r="C291" i="9"/>
  <c r="C534" i="9"/>
  <c r="C486" i="9"/>
  <c r="C438" i="9"/>
  <c r="C531" i="9"/>
  <c r="C483" i="9"/>
  <c r="C435" i="9"/>
  <c r="C726" i="9"/>
  <c r="C678" i="9"/>
  <c r="C630" i="9"/>
  <c r="C582" i="9"/>
  <c r="C723" i="9"/>
  <c r="C675" i="9"/>
  <c r="C627" i="9"/>
  <c r="C579" i="9"/>
  <c r="C235" i="9"/>
  <c r="C233" i="9"/>
  <c r="C224" i="9"/>
  <c r="C222" i="9"/>
  <c r="C213" i="9"/>
  <c r="C211" i="9"/>
  <c r="C246" i="9"/>
  <c r="C244" i="9"/>
  <c r="C187" i="9"/>
  <c r="C136" i="9"/>
  <c r="C85" i="9"/>
  <c r="C35" i="9"/>
  <c r="C184" i="9"/>
  <c r="C132" i="9"/>
  <c r="C82" i="9"/>
  <c r="C32" i="9"/>
  <c r="C377" i="9"/>
  <c r="C329" i="9"/>
  <c r="C281" i="9"/>
  <c r="C374" i="9"/>
  <c r="C326" i="9"/>
  <c r="C278" i="9"/>
  <c r="C521" i="9"/>
  <c r="C473" i="9"/>
  <c r="C425" i="9"/>
  <c r="C518" i="9"/>
  <c r="C470" i="9"/>
  <c r="C422" i="9"/>
  <c r="C713" i="9"/>
  <c r="C665" i="9"/>
  <c r="C617" i="9"/>
  <c r="C569" i="9"/>
  <c r="C710" i="9"/>
  <c r="C662" i="9"/>
  <c r="C614" i="9"/>
  <c r="C566" i="9"/>
  <c r="C163" i="9"/>
  <c r="C111" i="9"/>
  <c r="C61" i="9"/>
  <c r="C11" i="9"/>
  <c r="C160" i="9"/>
  <c r="C108" i="9"/>
  <c r="C58" i="9"/>
  <c r="C8" i="9"/>
  <c r="C353" i="9"/>
  <c r="C305" i="9"/>
  <c r="C257" i="9"/>
  <c r="C350" i="9"/>
  <c r="C302" i="9"/>
  <c r="C254" i="9"/>
  <c r="C497" i="9"/>
  <c r="C449" i="9"/>
  <c r="C401" i="9"/>
  <c r="C494" i="9"/>
  <c r="C446" i="9"/>
  <c r="C398" i="9"/>
  <c r="C689" i="9"/>
  <c r="C641" i="9"/>
  <c r="C593" i="9"/>
  <c r="C545" i="9"/>
  <c r="C686" i="9"/>
  <c r="C638" i="9"/>
  <c r="C590" i="9"/>
  <c r="C542" i="9"/>
  <c r="C157" i="9"/>
  <c r="C105" i="9"/>
  <c r="C55" i="9"/>
  <c r="C5" i="9"/>
  <c r="C154" i="9"/>
  <c r="C102" i="9"/>
  <c r="C52" i="9"/>
  <c r="C347" i="9"/>
  <c r="C299" i="9"/>
  <c r="C251" i="9"/>
  <c r="C207" i="9"/>
  <c r="C344" i="9"/>
  <c r="C296" i="9"/>
  <c r="C248" i="9"/>
  <c r="C204" i="9"/>
  <c r="C491" i="9"/>
  <c r="C443" i="9"/>
  <c r="C395" i="9"/>
  <c r="C488" i="9"/>
  <c r="C440" i="9"/>
  <c r="C392" i="9"/>
  <c r="C683" i="9"/>
  <c r="C635" i="9"/>
  <c r="C587" i="9"/>
  <c r="C539" i="9"/>
  <c r="C680" i="9"/>
  <c r="C632" i="9"/>
  <c r="C584" i="9"/>
  <c r="C536" i="9"/>
  <c r="C175" i="9"/>
  <c r="C123" i="9"/>
  <c r="C73" i="9"/>
  <c r="C23" i="9"/>
  <c r="C172" i="9"/>
  <c r="C120" i="9"/>
  <c r="C70" i="9"/>
  <c r="C20" i="9"/>
  <c r="C365" i="9"/>
  <c r="C317" i="9"/>
  <c r="C269" i="9"/>
  <c r="C362" i="9"/>
  <c r="C314" i="9"/>
  <c r="C266" i="9"/>
  <c r="C509" i="9"/>
  <c r="C461" i="9"/>
  <c r="C413" i="9"/>
  <c r="C506" i="9"/>
  <c r="C458" i="9"/>
  <c r="C410" i="9"/>
  <c r="C701" i="9"/>
  <c r="C653" i="9"/>
  <c r="C605" i="9"/>
  <c r="C557" i="9"/>
  <c r="C698" i="9"/>
  <c r="C650" i="9"/>
  <c r="C602" i="9"/>
  <c r="C554" i="9"/>
  <c r="C199" i="9"/>
  <c r="C148" i="9"/>
  <c r="C97" i="9"/>
  <c r="C47" i="9"/>
  <c r="C196" i="9"/>
  <c r="C145" i="9"/>
  <c r="C94" i="9"/>
  <c r="C44" i="9"/>
  <c r="C389" i="9"/>
  <c r="C341" i="9"/>
  <c r="C293" i="9"/>
  <c r="C386" i="9"/>
  <c r="C338" i="9"/>
  <c r="C290" i="9"/>
  <c r="C533" i="9"/>
  <c r="C485" i="9"/>
  <c r="C437" i="9"/>
  <c r="C530" i="9"/>
  <c r="C482" i="9"/>
  <c r="C434" i="9"/>
  <c r="C725" i="9"/>
  <c r="C677" i="9"/>
  <c r="C629" i="9"/>
  <c r="C581" i="9"/>
  <c r="C722" i="9"/>
  <c r="C674" i="9"/>
  <c r="C626" i="9"/>
  <c r="C578" i="9"/>
  <c r="C234" i="9"/>
  <c r="C232" i="9"/>
  <c r="C223" i="9"/>
  <c r="C221" i="9"/>
  <c r="C212" i="9"/>
  <c r="C210" i="9"/>
  <c r="C245" i="9"/>
  <c r="C243" i="9"/>
  <c r="C135" i="9"/>
  <c r="C151" i="9"/>
  <c r="C189" i="9"/>
  <c r="C138" i="9"/>
  <c r="C87" i="9"/>
  <c r="C37" i="9"/>
  <c r="C186" i="9"/>
  <c r="C134" i="9"/>
  <c r="C84" i="9"/>
  <c r="C34" i="9"/>
  <c r="C379" i="9"/>
  <c r="C331" i="9"/>
  <c r="C283" i="9"/>
  <c r="C376" i="9"/>
  <c r="C328" i="9"/>
  <c r="C280" i="9"/>
  <c r="C523" i="9"/>
  <c r="C475" i="9"/>
  <c r="C427" i="9"/>
  <c r="C520" i="9"/>
  <c r="C472" i="9"/>
  <c r="C424" i="9"/>
  <c r="C715" i="9"/>
  <c r="C667" i="9"/>
  <c r="C619" i="9"/>
  <c r="C571" i="9"/>
  <c r="C712" i="9"/>
  <c r="C664" i="9"/>
  <c r="C616" i="9"/>
  <c r="C568" i="9"/>
  <c r="C165" i="9"/>
  <c r="C113" i="9"/>
  <c r="C63" i="9"/>
  <c r="C13" i="9"/>
  <c r="C162" i="9"/>
  <c r="C110" i="9"/>
  <c r="C60" i="9"/>
  <c r="C10" i="9"/>
  <c r="C355" i="9"/>
  <c r="C307" i="9"/>
  <c r="C259" i="9"/>
  <c r="C352" i="9"/>
  <c r="C304" i="9"/>
  <c r="C256" i="9"/>
  <c r="C499" i="9"/>
  <c r="C451" i="9"/>
  <c r="C403" i="9"/>
  <c r="C496" i="9"/>
  <c r="C448" i="9"/>
  <c r="C400" i="9"/>
  <c r="C691" i="9"/>
  <c r="C643" i="9"/>
  <c r="C595" i="9"/>
  <c r="C547" i="9"/>
  <c r="C688" i="9"/>
  <c r="C640" i="9"/>
  <c r="C592" i="9"/>
  <c r="C544" i="9"/>
  <c r="C159" i="9"/>
  <c r="C107" i="9"/>
  <c r="C57" i="9"/>
  <c r="C7" i="9"/>
  <c r="C156" i="9"/>
  <c r="C104" i="9"/>
  <c r="C54" i="9"/>
  <c r="C4" i="9"/>
  <c r="C349" i="9"/>
  <c r="C301" i="9"/>
  <c r="C253" i="9"/>
  <c r="C209" i="9"/>
  <c r="C346" i="9"/>
  <c r="C298" i="9"/>
  <c r="C250" i="9"/>
  <c r="C206" i="9"/>
  <c r="C493" i="9"/>
  <c r="C445" i="9"/>
  <c r="C397" i="9"/>
  <c r="C490" i="9"/>
  <c r="C442" i="9"/>
  <c r="C394" i="9"/>
  <c r="C685" i="9"/>
  <c r="C637" i="9"/>
  <c r="C589" i="9"/>
  <c r="C541" i="9"/>
  <c r="C682" i="9"/>
  <c r="C634" i="9"/>
  <c r="C586" i="9"/>
  <c r="C538" i="9"/>
  <c r="C177" i="9"/>
  <c r="C125" i="9"/>
  <c r="C75" i="9"/>
  <c r="C25" i="9"/>
  <c r="C174" i="9"/>
  <c r="C122" i="9"/>
  <c r="C72" i="9"/>
  <c r="C22" i="9"/>
  <c r="C367" i="9"/>
  <c r="C319" i="9"/>
  <c r="C271" i="9"/>
  <c r="C364" i="9"/>
  <c r="C316" i="9"/>
  <c r="C268" i="9"/>
  <c r="C511" i="9"/>
  <c r="C463" i="9"/>
  <c r="C415" i="9"/>
  <c r="C508" i="9"/>
  <c r="C460" i="9"/>
  <c r="C412" i="9"/>
  <c r="C703" i="9"/>
  <c r="C655" i="9"/>
  <c r="C607" i="9"/>
  <c r="C559" i="9"/>
  <c r="C700" i="9"/>
  <c r="C652" i="9"/>
  <c r="C604" i="9"/>
  <c r="C556" i="9"/>
  <c r="C201" i="9"/>
  <c r="C150" i="9"/>
  <c r="C99" i="9"/>
  <c r="C49" i="9"/>
  <c r="C198" i="9"/>
  <c r="C147" i="9"/>
  <c r="C96" i="9"/>
  <c r="C46" i="9"/>
  <c r="C391" i="9"/>
  <c r="C343" i="9"/>
  <c r="C295" i="9"/>
  <c r="C388" i="9"/>
  <c r="C340" i="9"/>
  <c r="C292" i="9"/>
  <c r="C535" i="9"/>
  <c r="C487" i="9"/>
  <c r="C439" i="9"/>
  <c r="C532" i="9"/>
  <c r="C484" i="9"/>
  <c r="C436" i="9"/>
  <c r="C727" i="9"/>
  <c r="C679" i="9"/>
  <c r="C631" i="9"/>
  <c r="C583" i="9"/>
  <c r="C724" i="9"/>
  <c r="C676" i="9"/>
  <c r="C628" i="9"/>
  <c r="C580" i="9"/>
  <c r="C236" i="9"/>
  <c r="C225" i="9"/>
  <c r="C214" i="9"/>
  <c r="C247" i="9"/>
  <c r="B192" i="9"/>
  <c r="B193" i="9"/>
  <c r="B141" i="9"/>
  <c r="B142" i="9"/>
  <c r="B90" i="9"/>
  <c r="B91" i="9"/>
  <c r="B40" i="9"/>
  <c r="B41" i="9"/>
  <c r="B382" i="9"/>
  <c r="B383" i="9"/>
  <c r="B334" i="9"/>
  <c r="B335" i="9"/>
  <c r="B286" i="9"/>
  <c r="B287" i="9"/>
  <c r="B239" i="9"/>
  <c r="B240" i="9"/>
  <c r="B526" i="9"/>
  <c r="B527" i="9"/>
  <c r="B478" i="9"/>
  <c r="B479" i="9"/>
  <c r="B430" i="9"/>
  <c r="B431" i="9"/>
  <c r="B718" i="9"/>
  <c r="B719" i="9"/>
  <c r="B670" i="9"/>
  <c r="B671" i="9"/>
  <c r="B622" i="9"/>
  <c r="B623" i="9"/>
  <c r="B574" i="9"/>
  <c r="B575" i="9"/>
  <c r="B168" i="9"/>
  <c r="B169" i="9"/>
  <c r="B116" i="9"/>
  <c r="B117" i="9"/>
  <c r="B66" i="9"/>
  <c r="B67" i="9"/>
  <c r="B16" i="9"/>
  <c r="B17" i="9"/>
  <c r="B358" i="9"/>
  <c r="B359" i="9"/>
  <c r="B310" i="9"/>
  <c r="B311" i="9"/>
  <c r="B262" i="9"/>
  <c r="B263" i="9"/>
  <c r="B502" i="9"/>
  <c r="B503" i="9"/>
  <c r="B454" i="9"/>
  <c r="B455" i="9"/>
  <c r="B406" i="9"/>
  <c r="B407" i="9"/>
  <c r="B694" i="9"/>
  <c r="B695" i="9"/>
  <c r="B646" i="9"/>
  <c r="B647" i="9"/>
  <c r="B598" i="9"/>
  <c r="B599" i="9"/>
  <c r="B550" i="9"/>
  <c r="B551" i="9"/>
  <c r="B180" i="9"/>
  <c r="B181" i="9"/>
  <c r="B128" i="9"/>
  <c r="B129" i="9"/>
  <c r="B78" i="9"/>
  <c r="B79" i="9"/>
  <c r="B28" i="9"/>
  <c r="B29" i="9"/>
  <c r="B370" i="9"/>
  <c r="B371" i="9"/>
  <c r="B322" i="9"/>
  <c r="B323" i="9"/>
  <c r="B274" i="9"/>
  <c r="B275" i="9"/>
  <c r="B514" i="9"/>
  <c r="B515" i="9"/>
  <c r="B466" i="9"/>
  <c r="B467" i="9"/>
  <c r="B418" i="9"/>
  <c r="B419" i="9"/>
  <c r="B706" i="9"/>
  <c r="B707" i="9"/>
  <c r="B658" i="9"/>
  <c r="B659" i="9"/>
  <c r="B610" i="9"/>
  <c r="B611" i="9"/>
  <c r="B562" i="9"/>
  <c r="B563" i="9"/>
  <c r="B228" i="9"/>
  <c r="B229" i="9"/>
  <c r="B217" i="9"/>
  <c r="B218" i="9"/>
  <c r="B190" i="9"/>
  <c r="B191" i="9"/>
  <c r="B139" i="9"/>
  <c r="B140" i="9"/>
  <c r="B88" i="9"/>
  <c r="B89" i="9"/>
  <c r="B38" i="9"/>
  <c r="B39" i="9"/>
  <c r="B380" i="9"/>
  <c r="B381" i="9"/>
  <c r="B332" i="9"/>
  <c r="B333" i="9"/>
  <c r="B284" i="9"/>
  <c r="B285" i="9"/>
  <c r="B237" i="9"/>
  <c r="B238" i="9"/>
  <c r="B524" i="9"/>
  <c r="B525" i="9"/>
  <c r="B476" i="9"/>
  <c r="B477" i="9"/>
  <c r="B428" i="9"/>
  <c r="B429" i="9"/>
  <c r="B716" i="9"/>
  <c r="B717" i="9"/>
  <c r="B668" i="9"/>
  <c r="B669" i="9"/>
  <c r="B620" i="9"/>
  <c r="B621" i="9"/>
  <c r="B572" i="9"/>
  <c r="B573" i="9"/>
  <c r="B166" i="9"/>
  <c r="B167" i="9"/>
  <c r="B114" i="9"/>
  <c r="B115" i="9"/>
  <c r="B64" i="9"/>
  <c r="B65" i="9"/>
  <c r="B14" i="9"/>
  <c r="B15" i="9"/>
  <c r="B356" i="9"/>
  <c r="B357" i="9"/>
  <c r="B308" i="9"/>
  <c r="B309" i="9"/>
  <c r="B260" i="9"/>
  <c r="B261" i="9"/>
  <c r="B500" i="9"/>
  <c r="B501" i="9"/>
  <c r="B452" i="9"/>
  <c r="B453" i="9"/>
  <c r="B404" i="9"/>
  <c r="B405" i="9"/>
  <c r="B692" i="9"/>
  <c r="B693" i="9"/>
  <c r="B644" i="9"/>
  <c r="B645" i="9"/>
  <c r="B596" i="9"/>
  <c r="B597" i="9"/>
  <c r="B548" i="9"/>
  <c r="B549" i="9"/>
  <c r="B178" i="9"/>
  <c r="B179" i="9"/>
  <c r="B126" i="9"/>
  <c r="B127" i="9"/>
  <c r="B76" i="9"/>
  <c r="B77" i="9"/>
  <c r="B26" i="9"/>
  <c r="B27" i="9"/>
  <c r="B368" i="9"/>
  <c r="B369" i="9"/>
  <c r="B320" i="9"/>
  <c r="B321" i="9"/>
  <c r="B272" i="9"/>
  <c r="B273" i="9"/>
  <c r="B512" i="9"/>
  <c r="B513" i="9"/>
  <c r="B464" i="9"/>
  <c r="B465" i="9"/>
  <c r="B416" i="9"/>
  <c r="B417" i="9"/>
  <c r="B704" i="9"/>
  <c r="B705" i="9"/>
  <c r="B656" i="9"/>
  <c r="B657" i="9"/>
  <c r="B608" i="9"/>
  <c r="B609" i="9"/>
  <c r="B560" i="9"/>
  <c r="B561" i="9"/>
  <c r="B226" i="9"/>
  <c r="B227" i="9"/>
  <c r="B215" i="9"/>
  <c r="B216" i="9"/>
  <c r="B194" i="9"/>
  <c r="B195" i="9"/>
  <c r="B143" i="9"/>
  <c r="B144" i="9"/>
  <c r="B92" i="9"/>
  <c r="B93" i="9"/>
  <c r="B42" i="9"/>
  <c r="B43" i="9"/>
  <c r="B384" i="9"/>
  <c r="B385" i="9"/>
  <c r="B336" i="9"/>
  <c r="B337" i="9"/>
  <c r="B288" i="9"/>
  <c r="B289" i="9"/>
  <c r="B241" i="9"/>
  <c r="B242" i="9"/>
  <c r="B528" i="9"/>
  <c r="B529" i="9"/>
  <c r="B480" i="9"/>
  <c r="B481" i="9"/>
  <c r="B432" i="9"/>
  <c r="B433" i="9"/>
  <c r="B720" i="9"/>
  <c r="B721" i="9"/>
  <c r="B672" i="9"/>
  <c r="B673" i="9"/>
  <c r="B624" i="9"/>
  <c r="B625" i="9"/>
  <c r="B576" i="9"/>
  <c r="B577" i="9"/>
  <c r="B170" i="9"/>
  <c r="B171" i="9"/>
  <c r="B118" i="9"/>
  <c r="B119" i="9"/>
  <c r="B68" i="9"/>
  <c r="B69" i="9"/>
  <c r="B18" i="9"/>
  <c r="B19" i="9"/>
  <c r="B360" i="9"/>
  <c r="B361" i="9"/>
  <c r="B312" i="9"/>
  <c r="B313" i="9"/>
  <c r="B264" i="9"/>
  <c r="B265" i="9"/>
  <c r="B504" i="9"/>
  <c r="B505" i="9"/>
  <c r="B456" i="9"/>
  <c r="B457" i="9"/>
  <c r="B408" i="9"/>
  <c r="B409" i="9"/>
  <c r="B696" i="9"/>
  <c r="B697" i="9"/>
  <c r="B648" i="9"/>
  <c r="B649" i="9"/>
  <c r="B600" i="9"/>
  <c r="B601" i="9"/>
  <c r="B552" i="9"/>
  <c r="B553" i="9"/>
  <c r="B182" i="9"/>
  <c r="B183" i="9"/>
  <c r="B130" i="9"/>
  <c r="B131" i="9"/>
  <c r="B80" i="9"/>
  <c r="B81" i="9"/>
  <c r="B30" i="9"/>
  <c r="B31" i="9"/>
  <c r="B372" i="9"/>
  <c r="B373" i="9"/>
  <c r="B324" i="9"/>
  <c r="B325" i="9"/>
  <c r="B276" i="9"/>
  <c r="B277" i="9"/>
  <c r="B516" i="9"/>
  <c r="B517" i="9"/>
  <c r="B468" i="9"/>
  <c r="B469" i="9"/>
  <c r="B420" i="9"/>
  <c r="B421" i="9"/>
  <c r="B708" i="9"/>
  <c r="B709" i="9"/>
  <c r="B660" i="9"/>
  <c r="B661" i="9"/>
  <c r="B612" i="9"/>
  <c r="B613" i="9"/>
  <c r="B564" i="9"/>
  <c r="B565" i="9"/>
  <c r="B230" i="9"/>
  <c r="B231" i="9"/>
  <c r="B219" i="9"/>
  <c r="B220" i="9"/>
  <c r="B188" i="9"/>
  <c r="B137" i="9"/>
  <c r="B86" i="9"/>
  <c r="B36" i="9"/>
  <c r="B185" i="9"/>
  <c r="B133" i="9"/>
  <c r="B83" i="9"/>
  <c r="B33" i="9"/>
  <c r="B378" i="9"/>
  <c r="B330" i="9"/>
  <c r="B282" i="9"/>
  <c r="B375" i="9"/>
  <c r="B327" i="9"/>
  <c r="B279" i="9"/>
  <c r="B522" i="9"/>
  <c r="B474" i="9"/>
  <c r="B426" i="9"/>
  <c r="B519" i="9"/>
  <c r="B471" i="9"/>
  <c r="B423" i="9"/>
  <c r="B714" i="9"/>
  <c r="B666" i="9"/>
  <c r="B618" i="9"/>
  <c r="B570" i="9"/>
  <c r="B711" i="9"/>
  <c r="B663" i="9"/>
  <c r="B615" i="9"/>
  <c r="B567" i="9"/>
  <c r="B164" i="9"/>
  <c r="B112" i="9"/>
  <c r="B62" i="9"/>
  <c r="B12" i="9"/>
  <c r="B161" i="9"/>
  <c r="B109" i="9"/>
  <c r="B59" i="9"/>
  <c r="B9" i="9"/>
  <c r="B354" i="9"/>
  <c r="B306" i="9"/>
  <c r="B258" i="9"/>
  <c r="B351" i="9"/>
  <c r="B303" i="9"/>
  <c r="B255" i="9"/>
  <c r="B498" i="9"/>
  <c r="B450" i="9"/>
  <c r="B402" i="9"/>
  <c r="B495" i="9"/>
  <c r="B447" i="9"/>
  <c r="B399" i="9"/>
  <c r="B690" i="9"/>
  <c r="B642" i="9"/>
  <c r="B594" i="9"/>
  <c r="B546" i="9"/>
  <c r="B687" i="9"/>
  <c r="B639" i="9"/>
  <c r="B591" i="9"/>
  <c r="B543" i="9"/>
  <c r="B158" i="9"/>
  <c r="B106" i="9"/>
  <c r="B56" i="9"/>
  <c r="B6" i="9"/>
  <c r="B155" i="9"/>
  <c r="B103" i="9"/>
  <c r="B53" i="9"/>
  <c r="B3" i="9"/>
  <c r="B348" i="9"/>
  <c r="B300" i="9"/>
  <c r="B252" i="9"/>
  <c r="B208" i="9"/>
  <c r="B345" i="9"/>
  <c r="B297" i="9"/>
  <c r="B249" i="9"/>
  <c r="B205" i="9"/>
  <c r="B492" i="9"/>
  <c r="B444" i="9"/>
  <c r="B396" i="9"/>
  <c r="B489" i="9"/>
  <c r="B441" i="9"/>
  <c r="B393" i="9"/>
  <c r="B684" i="9"/>
  <c r="B636" i="9"/>
  <c r="B588" i="9"/>
  <c r="B540" i="9"/>
  <c r="B681" i="9"/>
  <c r="B633" i="9"/>
  <c r="B585" i="9"/>
  <c r="B537" i="9"/>
  <c r="B176" i="9"/>
  <c r="B124" i="9"/>
  <c r="B74" i="9"/>
  <c r="B24" i="9"/>
  <c r="B173" i="9"/>
  <c r="B121" i="9"/>
  <c r="B71" i="9"/>
  <c r="B21" i="9"/>
  <c r="B366" i="9"/>
  <c r="B318" i="9"/>
  <c r="B270" i="9"/>
  <c r="B363" i="9"/>
  <c r="B315" i="9"/>
  <c r="B267" i="9"/>
  <c r="B510" i="9"/>
  <c r="B462" i="9"/>
  <c r="B414" i="9"/>
  <c r="B507" i="9"/>
  <c r="B459" i="9"/>
  <c r="B411" i="9"/>
  <c r="B702" i="9"/>
  <c r="B654" i="9"/>
  <c r="B606" i="9"/>
  <c r="B558" i="9"/>
  <c r="B699" i="9"/>
  <c r="B651" i="9"/>
  <c r="B603" i="9"/>
  <c r="B555" i="9"/>
  <c r="B200" i="9"/>
  <c r="B149" i="9"/>
  <c r="B98" i="9"/>
  <c r="B48" i="9"/>
  <c r="B197" i="9"/>
  <c r="B146" i="9"/>
  <c r="B95" i="9"/>
  <c r="B45" i="9"/>
  <c r="B390" i="9"/>
  <c r="B342" i="9"/>
  <c r="B294" i="9"/>
  <c r="B387" i="9"/>
  <c r="B339" i="9"/>
  <c r="B291" i="9"/>
  <c r="B534" i="9"/>
  <c r="B486" i="9"/>
  <c r="B438" i="9"/>
  <c r="B531" i="9"/>
  <c r="B483" i="9"/>
  <c r="B435" i="9"/>
  <c r="B726" i="9"/>
  <c r="B678" i="9"/>
  <c r="B630" i="9"/>
  <c r="B582" i="9"/>
  <c r="B723" i="9"/>
  <c r="B675" i="9"/>
  <c r="B627" i="9"/>
  <c r="B579" i="9"/>
  <c r="B235" i="9"/>
  <c r="B233" i="9"/>
  <c r="B224" i="9"/>
  <c r="B222" i="9"/>
  <c r="B213" i="9"/>
  <c r="B211" i="9"/>
  <c r="B246" i="9"/>
  <c r="B244" i="9"/>
  <c r="B187" i="9"/>
  <c r="B136" i="9"/>
  <c r="B85" i="9"/>
  <c r="B35" i="9"/>
  <c r="B184" i="9"/>
  <c r="B132" i="9"/>
  <c r="B82" i="9"/>
  <c r="B32" i="9"/>
  <c r="B377" i="9"/>
  <c r="B329" i="9"/>
  <c r="B281" i="9"/>
  <c r="B374" i="9"/>
  <c r="B326" i="9"/>
  <c r="B278" i="9"/>
  <c r="B521" i="9"/>
  <c r="B473" i="9"/>
  <c r="B425" i="9"/>
  <c r="B518" i="9"/>
  <c r="B470" i="9"/>
  <c r="B422" i="9"/>
  <c r="B713" i="9"/>
  <c r="B665" i="9"/>
  <c r="B617" i="9"/>
  <c r="B569" i="9"/>
  <c r="B710" i="9"/>
  <c r="B662" i="9"/>
  <c r="B614" i="9"/>
  <c r="B566" i="9"/>
  <c r="B163" i="9"/>
  <c r="B111" i="9"/>
  <c r="B61" i="9"/>
  <c r="B11" i="9"/>
  <c r="B160" i="9"/>
  <c r="B108" i="9"/>
  <c r="B58" i="9"/>
  <c r="B8" i="9"/>
  <c r="B353" i="9"/>
  <c r="B305" i="9"/>
  <c r="B257" i="9"/>
  <c r="B350" i="9"/>
  <c r="B302" i="9"/>
  <c r="B254" i="9"/>
  <c r="B497" i="9"/>
  <c r="B449" i="9"/>
  <c r="B401" i="9"/>
  <c r="B494" i="9"/>
  <c r="B446" i="9"/>
  <c r="B398" i="9"/>
  <c r="B689" i="9"/>
  <c r="B641" i="9"/>
  <c r="B593" i="9"/>
  <c r="B545" i="9"/>
  <c r="B686" i="9"/>
  <c r="B638" i="9"/>
  <c r="B590" i="9"/>
  <c r="B542" i="9"/>
  <c r="B157" i="9"/>
  <c r="B105" i="9"/>
  <c r="B55" i="9"/>
  <c r="B5" i="9"/>
  <c r="B154" i="9"/>
  <c r="B102" i="9"/>
  <c r="B52" i="9"/>
  <c r="B347" i="9"/>
  <c r="B299" i="9"/>
  <c r="B251" i="9"/>
  <c r="B207" i="9"/>
  <c r="B344" i="9"/>
  <c r="B296" i="9"/>
  <c r="B248" i="9"/>
  <c r="B204" i="9"/>
  <c r="B491" i="9"/>
  <c r="B443" i="9"/>
  <c r="B395" i="9"/>
  <c r="B488" i="9"/>
  <c r="B440" i="9"/>
  <c r="B392" i="9"/>
  <c r="B683" i="9"/>
  <c r="B635" i="9"/>
  <c r="B587" i="9"/>
  <c r="B539" i="9"/>
  <c r="B680" i="9"/>
  <c r="B632" i="9"/>
  <c r="B584" i="9"/>
  <c r="B536" i="9"/>
  <c r="B175" i="9"/>
  <c r="B123" i="9"/>
  <c r="B73" i="9"/>
  <c r="B23" i="9"/>
  <c r="B172" i="9"/>
  <c r="B120" i="9"/>
  <c r="B70" i="9"/>
  <c r="B20" i="9"/>
  <c r="B365" i="9"/>
  <c r="B317" i="9"/>
  <c r="B269" i="9"/>
  <c r="B362" i="9"/>
  <c r="B314" i="9"/>
  <c r="B266" i="9"/>
  <c r="B509" i="9"/>
  <c r="B461" i="9"/>
  <c r="B413" i="9"/>
  <c r="B506" i="9"/>
  <c r="B458" i="9"/>
  <c r="B410" i="9"/>
  <c r="B701" i="9"/>
  <c r="B653" i="9"/>
  <c r="B605" i="9"/>
  <c r="B557" i="9"/>
  <c r="B698" i="9"/>
  <c r="B650" i="9"/>
  <c r="B602" i="9"/>
  <c r="B554" i="9"/>
  <c r="B199" i="9"/>
  <c r="B148" i="9"/>
  <c r="B97" i="9"/>
  <c r="B47" i="9"/>
  <c r="B196" i="9"/>
  <c r="B145" i="9"/>
  <c r="B94" i="9"/>
  <c r="B44" i="9"/>
  <c r="B389" i="9"/>
  <c r="B341" i="9"/>
  <c r="B293" i="9"/>
  <c r="B386" i="9"/>
  <c r="B338" i="9"/>
  <c r="B290" i="9"/>
  <c r="B533" i="9"/>
  <c r="B485" i="9"/>
  <c r="B437" i="9"/>
  <c r="B530" i="9"/>
  <c r="B482" i="9"/>
  <c r="B434" i="9"/>
  <c r="B725" i="9"/>
  <c r="B677" i="9"/>
  <c r="B629" i="9"/>
  <c r="B581" i="9"/>
  <c r="B722" i="9"/>
  <c r="B674" i="9"/>
  <c r="B626" i="9"/>
  <c r="B578" i="9"/>
  <c r="B234" i="9"/>
  <c r="B232" i="9"/>
  <c r="B223" i="9"/>
  <c r="B221" i="9"/>
  <c r="B212" i="9"/>
  <c r="B210" i="9"/>
  <c r="B245" i="9"/>
  <c r="B243" i="9"/>
  <c r="B135" i="9"/>
  <c r="B151" i="9"/>
  <c r="B189" i="9"/>
  <c r="B138" i="9"/>
  <c r="B87" i="9"/>
  <c r="B37" i="9"/>
  <c r="B186" i="9"/>
  <c r="B134" i="9"/>
  <c r="B84" i="9"/>
  <c r="B34" i="9"/>
  <c r="B379" i="9"/>
  <c r="B331" i="9"/>
  <c r="B283" i="9"/>
  <c r="B376" i="9"/>
  <c r="B328" i="9"/>
  <c r="B280" i="9"/>
  <c r="B523" i="9"/>
  <c r="B475" i="9"/>
  <c r="B427" i="9"/>
  <c r="B520" i="9"/>
  <c r="B472" i="9"/>
  <c r="B424" i="9"/>
  <c r="B715" i="9"/>
  <c r="B667" i="9"/>
  <c r="B619" i="9"/>
  <c r="B571" i="9"/>
  <c r="B712" i="9"/>
  <c r="B664" i="9"/>
  <c r="B616" i="9"/>
  <c r="B568" i="9"/>
  <c r="B165" i="9"/>
  <c r="B113" i="9"/>
  <c r="B63" i="9"/>
  <c r="B13" i="9"/>
  <c r="B162" i="9"/>
  <c r="B110" i="9"/>
  <c r="B60" i="9"/>
  <c r="B10" i="9"/>
  <c r="B355" i="9"/>
  <c r="B307" i="9"/>
  <c r="B259" i="9"/>
  <c r="B352" i="9"/>
  <c r="B304" i="9"/>
  <c r="B256" i="9"/>
  <c r="B499" i="9"/>
  <c r="B451" i="9"/>
  <c r="B403" i="9"/>
  <c r="B496" i="9"/>
  <c r="B448" i="9"/>
  <c r="B400" i="9"/>
  <c r="B691" i="9"/>
  <c r="B643" i="9"/>
  <c r="B595" i="9"/>
  <c r="B547" i="9"/>
  <c r="B688" i="9"/>
  <c r="B640" i="9"/>
  <c r="B592" i="9"/>
  <c r="B544" i="9"/>
  <c r="B159" i="9"/>
  <c r="B107" i="9"/>
  <c r="B57" i="9"/>
  <c r="B7" i="9"/>
  <c r="B156" i="9"/>
  <c r="B104" i="9"/>
  <c r="B54" i="9"/>
  <c r="B4" i="9"/>
  <c r="B349" i="9"/>
  <c r="B301" i="9"/>
  <c r="B253" i="9"/>
  <c r="B209" i="9"/>
  <c r="B346" i="9"/>
  <c r="B298" i="9"/>
  <c r="B250" i="9"/>
  <c r="B206" i="9"/>
  <c r="B493" i="9"/>
  <c r="B445" i="9"/>
  <c r="B397" i="9"/>
  <c r="B490" i="9"/>
  <c r="B442" i="9"/>
  <c r="B394" i="9"/>
  <c r="B685" i="9"/>
  <c r="B637" i="9"/>
  <c r="B589" i="9"/>
  <c r="B541" i="9"/>
  <c r="B682" i="9"/>
  <c r="B634" i="9"/>
  <c r="B586" i="9"/>
  <c r="B538" i="9"/>
  <c r="B177" i="9"/>
  <c r="B125" i="9"/>
  <c r="B75" i="9"/>
  <c r="B25" i="9"/>
  <c r="B174" i="9"/>
  <c r="B122" i="9"/>
  <c r="B72" i="9"/>
  <c r="B22" i="9"/>
  <c r="B367" i="9"/>
  <c r="B319" i="9"/>
  <c r="B271" i="9"/>
  <c r="B364" i="9"/>
  <c r="B316" i="9"/>
  <c r="B268" i="9"/>
  <c r="B511" i="9"/>
  <c r="B463" i="9"/>
  <c r="B415" i="9"/>
  <c r="B508" i="9"/>
  <c r="B460" i="9"/>
  <c r="B412" i="9"/>
  <c r="B703" i="9"/>
  <c r="B655" i="9"/>
  <c r="B607" i="9"/>
  <c r="B559" i="9"/>
  <c r="B700" i="9"/>
  <c r="B652" i="9"/>
  <c r="B604" i="9"/>
  <c r="B556" i="9"/>
  <c r="B201" i="9"/>
  <c r="B150" i="9"/>
  <c r="B99" i="9"/>
  <c r="B49" i="9"/>
  <c r="B198" i="9"/>
  <c r="B147" i="9"/>
  <c r="B96" i="9"/>
  <c r="B46" i="9"/>
  <c r="B391" i="9"/>
  <c r="B343" i="9"/>
  <c r="B295" i="9"/>
  <c r="B388" i="9"/>
  <c r="B340" i="9"/>
  <c r="B292" i="9"/>
  <c r="B535" i="9"/>
  <c r="B487" i="9"/>
  <c r="B439" i="9"/>
  <c r="B532" i="9"/>
  <c r="B484" i="9"/>
  <c r="B436" i="9"/>
  <c r="B727" i="9"/>
  <c r="B679" i="9"/>
  <c r="B631" i="9"/>
  <c r="B583" i="9"/>
  <c r="B724" i="9"/>
  <c r="B676" i="9"/>
  <c r="B628" i="9"/>
  <c r="B580" i="9"/>
  <c r="B236" i="9"/>
  <c r="B225" i="9"/>
  <c r="B214" i="9"/>
  <c r="B247" i="9"/>
  <c r="A192" i="9"/>
  <c r="A193" i="9"/>
  <c r="A141" i="9"/>
  <c r="A142" i="9"/>
  <c r="A90" i="9"/>
  <c r="A91" i="9"/>
  <c r="A40" i="9"/>
  <c r="A41" i="9"/>
  <c r="A382" i="9"/>
  <c r="A383" i="9"/>
  <c r="A334" i="9"/>
  <c r="A335" i="9"/>
  <c r="A286" i="9"/>
  <c r="A287" i="9"/>
  <c r="A239" i="9"/>
  <c r="A240" i="9"/>
  <c r="A526" i="9"/>
  <c r="A527" i="9"/>
  <c r="A478" i="9"/>
  <c r="A479" i="9"/>
  <c r="A430" i="9"/>
  <c r="A431" i="9"/>
  <c r="A718" i="9"/>
  <c r="A719" i="9"/>
  <c r="A670" i="9"/>
  <c r="A671" i="9"/>
  <c r="A622" i="9"/>
  <c r="A623" i="9"/>
  <c r="A574" i="9"/>
  <c r="A575" i="9"/>
  <c r="A168" i="9"/>
  <c r="A169" i="9"/>
  <c r="A116" i="9"/>
  <c r="A117" i="9"/>
  <c r="A66" i="9"/>
  <c r="A67" i="9"/>
  <c r="A16" i="9"/>
  <c r="A17" i="9"/>
  <c r="A358" i="9"/>
  <c r="A359" i="9"/>
  <c r="A310" i="9"/>
  <c r="A311" i="9"/>
  <c r="A262" i="9"/>
  <c r="A263" i="9"/>
  <c r="A502" i="9"/>
  <c r="A503" i="9"/>
  <c r="A454" i="9"/>
  <c r="A455" i="9"/>
  <c r="A406" i="9"/>
  <c r="A407" i="9"/>
  <c r="A694" i="9"/>
  <c r="A695" i="9"/>
  <c r="A646" i="9"/>
  <c r="A647" i="9"/>
  <c r="A598" i="9"/>
  <c r="A599" i="9"/>
  <c r="A550" i="9"/>
  <c r="A551" i="9"/>
  <c r="A180" i="9"/>
  <c r="A181" i="9"/>
  <c r="A128" i="9"/>
  <c r="A129" i="9"/>
  <c r="A78" i="9"/>
  <c r="A79" i="9"/>
  <c r="A28" i="9"/>
  <c r="A29" i="9"/>
  <c r="A370" i="9"/>
  <c r="A371" i="9"/>
  <c r="A322" i="9"/>
  <c r="A323" i="9"/>
  <c r="A274" i="9"/>
  <c r="A275" i="9"/>
  <c r="A514" i="9"/>
  <c r="A515" i="9"/>
  <c r="A466" i="9"/>
  <c r="A467" i="9"/>
  <c r="A418" i="9"/>
  <c r="A419" i="9"/>
  <c r="A706" i="9"/>
  <c r="A707" i="9"/>
  <c r="A658" i="9"/>
  <c r="A659" i="9"/>
  <c r="A610" i="9"/>
  <c r="A611" i="9"/>
  <c r="A562" i="9"/>
  <c r="A563" i="9"/>
  <c r="A228" i="9"/>
  <c r="A229" i="9"/>
  <c r="A217" i="9"/>
  <c r="A218" i="9"/>
  <c r="A190" i="9"/>
  <c r="A191" i="9"/>
  <c r="A139" i="9"/>
  <c r="A140" i="9"/>
  <c r="A88" i="9"/>
  <c r="A89" i="9"/>
  <c r="A38" i="9"/>
  <c r="A39" i="9"/>
  <c r="A380" i="9"/>
  <c r="A381" i="9"/>
  <c r="A332" i="9"/>
  <c r="A333" i="9"/>
  <c r="A284" i="9"/>
  <c r="A285" i="9"/>
  <c r="A237" i="9"/>
  <c r="A238" i="9"/>
  <c r="A524" i="9"/>
  <c r="A525" i="9"/>
  <c r="A476" i="9"/>
  <c r="A477" i="9"/>
  <c r="A428" i="9"/>
  <c r="A429" i="9"/>
  <c r="A716" i="9"/>
  <c r="A717" i="9"/>
  <c r="A668" i="9"/>
  <c r="A669" i="9"/>
  <c r="A620" i="9"/>
  <c r="A621" i="9"/>
  <c r="A572" i="9"/>
  <c r="A573" i="9"/>
  <c r="A166" i="9"/>
  <c r="A167" i="9"/>
  <c r="A114" i="9"/>
  <c r="A115" i="9"/>
  <c r="A64" i="9"/>
  <c r="A65" i="9"/>
  <c r="A14" i="9"/>
  <c r="A15" i="9"/>
  <c r="A356" i="9"/>
  <c r="A357" i="9"/>
  <c r="A308" i="9"/>
  <c r="A309" i="9"/>
  <c r="A260" i="9"/>
  <c r="A261" i="9"/>
  <c r="A500" i="9"/>
  <c r="A501" i="9"/>
  <c r="A452" i="9"/>
  <c r="A453" i="9"/>
  <c r="A404" i="9"/>
  <c r="A405" i="9"/>
  <c r="A692" i="9"/>
  <c r="A693" i="9"/>
  <c r="A644" i="9"/>
  <c r="A645" i="9"/>
  <c r="A596" i="9"/>
  <c r="A597" i="9"/>
  <c r="A548" i="9"/>
  <c r="A549" i="9"/>
  <c r="A178" i="9"/>
  <c r="A179" i="9"/>
  <c r="A126" i="9"/>
  <c r="A127" i="9"/>
  <c r="A76" i="9"/>
  <c r="A77" i="9"/>
  <c r="A26" i="9"/>
  <c r="A27" i="9"/>
  <c r="A368" i="9"/>
  <c r="A369" i="9"/>
  <c r="A320" i="9"/>
  <c r="A321" i="9"/>
  <c r="A272" i="9"/>
  <c r="A273" i="9"/>
  <c r="A512" i="9"/>
  <c r="A513" i="9"/>
  <c r="A464" i="9"/>
  <c r="A465" i="9"/>
  <c r="A416" i="9"/>
  <c r="A417" i="9"/>
  <c r="A704" i="9"/>
  <c r="A705" i="9"/>
  <c r="A656" i="9"/>
  <c r="A657" i="9"/>
  <c r="A608" i="9"/>
  <c r="A609" i="9"/>
  <c r="A560" i="9"/>
  <c r="A561" i="9"/>
  <c r="A226" i="9"/>
  <c r="A227" i="9"/>
  <c r="A215" i="9"/>
  <c r="A216" i="9"/>
  <c r="A194" i="9"/>
  <c r="A195" i="9"/>
  <c r="A143" i="9"/>
  <c r="A144" i="9"/>
  <c r="A92" i="9"/>
  <c r="A93" i="9"/>
  <c r="A42" i="9"/>
  <c r="A43" i="9"/>
  <c r="A384" i="9"/>
  <c r="A385" i="9"/>
  <c r="A336" i="9"/>
  <c r="A337" i="9"/>
  <c r="A288" i="9"/>
  <c r="A289" i="9"/>
  <c r="A241" i="9"/>
  <c r="A242" i="9"/>
  <c r="A528" i="9"/>
  <c r="A529" i="9"/>
  <c r="A480" i="9"/>
  <c r="A481" i="9"/>
  <c r="A432" i="9"/>
  <c r="A433" i="9"/>
  <c r="A720" i="9"/>
  <c r="A721" i="9"/>
  <c r="A672" i="9"/>
  <c r="A673" i="9"/>
  <c r="A624" i="9"/>
  <c r="A625" i="9"/>
  <c r="A576" i="9"/>
  <c r="A577" i="9"/>
  <c r="A170" i="9"/>
  <c r="A171" i="9"/>
  <c r="A118" i="9"/>
  <c r="A119" i="9"/>
  <c r="A68" i="9"/>
  <c r="A69" i="9"/>
  <c r="A18" i="9"/>
  <c r="A19" i="9"/>
  <c r="A360" i="9"/>
  <c r="A361" i="9"/>
  <c r="A312" i="9"/>
  <c r="A313" i="9"/>
  <c r="A264" i="9"/>
  <c r="A265" i="9"/>
  <c r="A504" i="9"/>
  <c r="A505" i="9"/>
  <c r="A456" i="9"/>
  <c r="A457" i="9"/>
  <c r="A408" i="9"/>
  <c r="A409" i="9"/>
  <c r="A696" i="9"/>
  <c r="A697" i="9"/>
  <c r="A648" i="9"/>
  <c r="A649" i="9"/>
  <c r="A600" i="9"/>
  <c r="A601" i="9"/>
  <c r="A552" i="9"/>
  <c r="A553" i="9"/>
  <c r="A182" i="9"/>
  <c r="A183" i="9"/>
  <c r="A130" i="9"/>
  <c r="A131" i="9"/>
  <c r="A80" i="9"/>
  <c r="A81" i="9"/>
  <c r="A30" i="9"/>
  <c r="A31" i="9"/>
  <c r="A372" i="9"/>
  <c r="A373" i="9"/>
  <c r="A324" i="9"/>
  <c r="A325" i="9"/>
  <c r="A276" i="9"/>
  <c r="A277" i="9"/>
  <c r="A516" i="9"/>
  <c r="A517" i="9"/>
  <c r="A468" i="9"/>
  <c r="A469" i="9"/>
  <c r="A420" i="9"/>
  <c r="A421" i="9"/>
  <c r="A708" i="9"/>
  <c r="A709" i="9"/>
  <c r="A660" i="9"/>
  <c r="A661" i="9"/>
  <c r="A612" i="9"/>
  <c r="A613" i="9"/>
  <c r="A564" i="9"/>
  <c r="A565" i="9"/>
  <c r="A230" i="9"/>
  <c r="A231" i="9"/>
  <c r="A219" i="9"/>
  <c r="A220" i="9"/>
  <c r="A188" i="9"/>
  <c r="A137" i="9"/>
  <c r="A86" i="9"/>
  <c r="A36" i="9"/>
  <c r="A185" i="9"/>
  <c r="A133" i="9"/>
  <c r="A83" i="9"/>
  <c r="A33" i="9"/>
  <c r="A378" i="9"/>
  <c r="A330" i="9"/>
  <c r="A282" i="9"/>
  <c r="A375" i="9"/>
  <c r="A327" i="9"/>
  <c r="A279" i="9"/>
  <c r="A522" i="9"/>
  <c r="A474" i="9"/>
  <c r="A426" i="9"/>
  <c r="A519" i="9"/>
  <c r="A471" i="9"/>
  <c r="A423" i="9"/>
  <c r="A714" i="9"/>
  <c r="A666" i="9"/>
  <c r="A618" i="9"/>
  <c r="A570" i="9"/>
  <c r="A711" i="9"/>
  <c r="A663" i="9"/>
  <c r="A615" i="9"/>
  <c r="A567" i="9"/>
  <c r="A164" i="9"/>
  <c r="A112" i="9"/>
  <c r="A62" i="9"/>
  <c r="A12" i="9"/>
  <c r="A161" i="9"/>
  <c r="A109" i="9"/>
  <c r="A59" i="9"/>
  <c r="A9" i="9"/>
  <c r="A354" i="9"/>
  <c r="A306" i="9"/>
  <c r="A258" i="9"/>
  <c r="A351" i="9"/>
  <c r="A303" i="9"/>
  <c r="A255" i="9"/>
  <c r="A498" i="9"/>
  <c r="A450" i="9"/>
  <c r="A402" i="9"/>
  <c r="A495" i="9"/>
  <c r="A447" i="9"/>
  <c r="A399" i="9"/>
  <c r="A690" i="9"/>
  <c r="A642" i="9"/>
  <c r="A594" i="9"/>
  <c r="A546" i="9"/>
  <c r="A687" i="9"/>
  <c r="A639" i="9"/>
  <c r="A591" i="9"/>
  <c r="A543" i="9"/>
  <c r="A158" i="9"/>
  <c r="A106" i="9"/>
  <c r="A56" i="9"/>
  <c r="A6" i="9"/>
  <c r="A155" i="9"/>
  <c r="A103" i="9"/>
  <c r="A53" i="9"/>
  <c r="A3" i="9"/>
  <c r="A348" i="9"/>
  <c r="A300" i="9"/>
  <c r="A252" i="9"/>
  <c r="A208" i="9"/>
  <c r="A345" i="9"/>
  <c r="A297" i="9"/>
  <c r="A249" i="9"/>
  <c r="A205" i="9"/>
  <c r="A492" i="9"/>
  <c r="A444" i="9"/>
  <c r="A396" i="9"/>
  <c r="A489" i="9"/>
  <c r="A441" i="9"/>
  <c r="A393" i="9"/>
  <c r="A684" i="9"/>
  <c r="A636" i="9"/>
  <c r="A588" i="9"/>
  <c r="A540" i="9"/>
  <c r="A681" i="9"/>
  <c r="A633" i="9"/>
  <c r="A585" i="9"/>
  <c r="A537" i="9"/>
  <c r="A176" i="9"/>
  <c r="A124" i="9"/>
  <c r="A74" i="9"/>
  <c r="A24" i="9"/>
  <c r="A173" i="9"/>
  <c r="A121" i="9"/>
  <c r="A71" i="9"/>
  <c r="A21" i="9"/>
  <c r="A366" i="9"/>
  <c r="A318" i="9"/>
  <c r="A270" i="9"/>
  <c r="A363" i="9"/>
  <c r="A315" i="9"/>
  <c r="A267" i="9"/>
  <c r="A510" i="9"/>
  <c r="A462" i="9"/>
  <c r="A414" i="9"/>
  <c r="A507" i="9"/>
  <c r="A459" i="9"/>
  <c r="A411" i="9"/>
  <c r="A702" i="9"/>
  <c r="A654" i="9"/>
  <c r="A606" i="9"/>
  <c r="A558" i="9"/>
  <c r="A699" i="9"/>
  <c r="A651" i="9"/>
  <c r="A603" i="9"/>
  <c r="A555" i="9"/>
  <c r="A200" i="9"/>
  <c r="A149" i="9"/>
  <c r="A98" i="9"/>
  <c r="A48" i="9"/>
  <c r="A197" i="9"/>
  <c r="A146" i="9"/>
  <c r="A95" i="9"/>
  <c r="A45" i="9"/>
  <c r="A390" i="9"/>
  <c r="A342" i="9"/>
  <c r="A294" i="9"/>
  <c r="A387" i="9"/>
  <c r="A339" i="9"/>
  <c r="A291" i="9"/>
  <c r="A534" i="9"/>
  <c r="A486" i="9"/>
  <c r="A438" i="9"/>
  <c r="A531" i="9"/>
  <c r="A483" i="9"/>
  <c r="A435" i="9"/>
  <c r="A726" i="9"/>
  <c r="A678" i="9"/>
  <c r="A630" i="9"/>
  <c r="A582" i="9"/>
  <c r="A723" i="9"/>
  <c r="A675" i="9"/>
  <c r="A627" i="9"/>
  <c r="A579" i="9"/>
  <c r="A235" i="9"/>
  <c r="A233" i="9"/>
  <c r="A224" i="9"/>
  <c r="A222" i="9"/>
  <c r="A213" i="9"/>
  <c r="A211" i="9"/>
  <c r="A246" i="9"/>
  <c r="A244" i="9"/>
  <c r="A187" i="9"/>
  <c r="A136" i="9"/>
  <c r="A85" i="9"/>
  <c r="A35" i="9"/>
  <c r="A184" i="9"/>
  <c r="A132" i="9"/>
  <c r="A82" i="9"/>
  <c r="A32" i="9"/>
  <c r="A377" i="9"/>
  <c r="A329" i="9"/>
  <c r="A281" i="9"/>
  <c r="A374" i="9"/>
  <c r="A326" i="9"/>
  <c r="A278" i="9"/>
  <c r="A521" i="9"/>
  <c r="A473" i="9"/>
  <c r="A425" i="9"/>
  <c r="A518" i="9"/>
  <c r="A470" i="9"/>
  <c r="A422" i="9"/>
  <c r="A713" i="9"/>
  <c r="A665" i="9"/>
  <c r="A617" i="9"/>
  <c r="A569" i="9"/>
  <c r="A710" i="9"/>
  <c r="A662" i="9"/>
  <c r="A614" i="9"/>
  <c r="A566" i="9"/>
  <c r="A163" i="9"/>
  <c r="A111" i="9"/>
  <c r="A61" i="9"/>
  <c r="A11" i="9"/>
  <c r="A160" i="9"/>
  <c r="A108" i="9"/>
  <c r="A58" i="9"/>
  <c r="A8" i="9"/>
  <c r="A353" i="9"/>
  <c r="A305" i="9"/>
  <c r="A257" i="9"/>
  <c r="A350" i="9"/>
  <c r="A302" i="9"/>
  <c r="A254" i="9"/>
  <c r="A497" i="9"/>
  <c r="A449" i="9"/>
  <c r="A401" i="9"/>
  <c r="A494" i="9"/>
  <c r="A446" i="9"/>
  <c r="A398" i="9"/>
  <c r="A689" i="9"/>
  <c r="A641" i="9"/>
  <c r="A593" i="9"/>
  <c r="A545" i="9"/>
  <c r="A686" i="9"/>
  <c r="A638" i="9"/>
  <c r="A590" i="9"/>
  <c r="A542" i="9"/>
  <c r="A157" i="9"/>
  <c r="A105" i="9"/>
  <c r="A55" i="9"/>
  <c r="A5" i="9"/>
  <c r="A154" i="9"/>
  <c r="A102" i="9"/>
  <c r="A52" i="9"/>
  <c r="A347" i="9"/>
  <c r="A299" i="9"/>
  <c r="A251" i="9"/>
  <c r="A207" i="9"/>
  <c r="A344" i="9"/>
  <c r="A296" i="9"/>
  <c r="A248" i="9"/>
  <c r="A204" i="9"/>
  <c r="A491" i="9"/>
  <c r="A443" i="9"/>
  <c r="A395" i="9"/>
  <c r="A488" i="9"/>
  <c r="A440" i="9"/>
  <c r="A392" i="9"/>
  <c r="A683" i="9"/>
  <c r="A635" i="9"/>
  <c r="A587" i="9"/>
  <c r="A539" i="9"/>
  <c r="A680" i="9"/>
  <c r="A632" i="9"/>
  <c r="A584" i="9"/>
  <c r="A536" i="9"/>
  <c r="A175" i="9"/>
  <c r="A123" i="9"/>
  <c r="A73" i="9"/>
  <c r="A23" i="9"/>
  <c r="A172" i="9"/>
  <c r="A120" i="9"/>
  <c r="A70" i="9"/>
  <c r="A20" i="9"/>
  <c r="A365" i="9"/>
  <c r="A317" i="9"/>
  <c r="A269" i="9"/>
  <c r="A362" i="9"/>
  <c r="A314" i="9"/>
  <c r="A266" i="9"/>
  <c r="A509" i="9"/>
  <c r="A461" i="9"/>
  <c r="A413" i="9"/>
  <c r="A506" i="9"/>
  <c r="A458" i="9"/>
  <c r="A410" i="9"/>
  <c r="A701" i="9"/>
  <c r="A653" i="9"/>
  <c r="A605" i="9"/>
  <c r="A557" i="9"/>
  <c r="A698" i="9"/>
  <c r="A650" i="9"/>
  <c r="A602" i="9"/>
  <c r="A554" i="9"/>
  <c r="A199" i="9"/>
  <c r="A148" i="9"/>
  <c r="A97" i="9"/>
  <c r="A47" i="9"/>
  <c r="A196" i="9"/>
  <c r="A145" i="9"/>
  <c r="A94" i="9"/>
  <c r="A44" i="9"/>
  <c r="A389" i="9"/>
  <c r="A341" i="9"/>
  <c r="A293" i="9"/>
  <c r="A386" i="9"/>
  <c r="A338" i="9"/>
  <c r="A290" i="9"/>
  <c r="A533" i="9"/>
  <c r="A485" i="9"/>
  <c r="A437" i="9"/>
  <c r="A530" i="9"/>
  <c r="A482" i="9"/>
  <c r="A434" i="9"/>
  <c r="A725" i="9"/>
  <c r="A677" i="9"/>
  <c r="A629" i="9"/>
  <c r="A581" i="9"/>
  <c r="A722" i="9"/>
  <c r="A674" i="9"/>
  <c r="A626" i="9"/>
  <c r="A578" i="9"/>
  <c r="A234" i="9"/>
  <c r="A232" i="9"/>
  <c r="A223" i="9"/>
  <c r="A221" i="9"/>
  <c r="A212" i="9"/>
  <c r="A210" i="9"/>
  <c r="A245" i="9"/>
  <c r="A243" i="9"/>
  <c r="A135" i="9"/>
  <c r="A151" i="9"/>
  <c r="A189" i="9"/>
  <c r="A138" i="9"/>
  <c r="A87" i="9"/>
  <c r="A37" i="9"/>
  <c r="A186" i="9"/>
  <c r="A134" i="9"/>
  <c r="A84" i="9"/>
  <c r="A34" i="9"/>
  <c r="A379" i="9"/>
  <c r="A331" i="9"/>
  <c r="A283" i="9"/>
  <c r="A376" i="9"/>
  <c r="A328" i="9"/>
  <c r="A280" i="9"/>
  <c r="A523" i="9"/>
  <c r="A475" i="9"/>
  <c r="A427" i="9"/>
  <c r="A520" i="9"/>
  <c r="A472" i="9"/>
  <c r="A424" i="9"/>
  <c r="A715" i="9"/>
  <c r="A667" i="9"/>
  <c r="A619" i="9"/>
  <c r="A571" i="9"/>
  <c r="A712" i="9"/>
  <c r="A664" i="9"/>
  <c r="A616" i="9"/>
  <c r="A568" i="9"/>
  <c r="A165" i="9"/>
  <c r="A113" i="9"/>
  <c r="A63" i="9"/>
  <c r="A13" i="9"/>
  <c r="A162" i="9"/>
  <c r="A110" i="9"/>
  <c r="A60" i="9"/>
  <c r="A10" i="9"/>
  <c r="A355" i="9"/>
  <c r="A307" i="9"/>
  <c r="A259" i="9"/>
  <c r="A352" i="9"/>
  <c r="A304" i="9"/>
  <c r="A256" i="9"/>
  <c r="A499" i="9"/>
  <c r="A451" i="9"/>
  <c r="A403" i="9"/>
  <c r="A496" i="9"/>
  <c r="A448" i="9"/>
  <c r="A400" i="9"/>
  <c r="A691" i="9"/>
  <c r="A643" i="9"/>
  <c r="A595" i="9"/>
  <c r="A547" i="9"/>
  <c r="A688" i="9"/>
  <c r="A640" i="9"/>
  <c r="A592" i="9"/>
  <c r="A544" i="9"/>
  <c r="A159" i="9"/>
  <c r="A107" i="9"/>
  <c r="A57" i="9"/>
  <c r="A7" i="9"/>
  <c r="A156" i="9"/>
  <c r="A104" i="9"/>
  <c r="A54" i="9"/>
  <c r="A4" i="9"/>
  <c r="A349" i="9"/>
  <c r="A301" i="9"/>
  <c r="A253" i="9"/>
  <c r="A209" i="9"/>
  <c r="A346" i="9"/>
  <c r="A298" i="9"/>
  <c r="A250" i="9"/>
  <c r="A206" i="9"/>
  <c r="A493" i="9"/>
  <c r="A445" i="9"/>
  <c r="A397" i="9"/>
  <c r="A490" i="9"/>
  <c r="A442" i="9"/>
  <c r="A394" i="9"/>
  <c r="A685" i="9"/>
  <c r="A637" i="9"/>
  <c r="A589" i="9"/>
  <c r="A541" i="9"/>
  <c r="A682" i="9"/>
  <c r="A634" i="9"/>
  <c r="A586" i="9"/>
  <c r="A538" i="9"/>
  <c r="A177" i="9"/>
  <c r="A125" i="9"/>
  <c r="A75" i="9"/>
  <c r="A25" i="9"/>
  <c r="A174" i="9"/>
  <c r="A122" i="9"/>
  <c r="A72" i="9"/>
  <c r="A22" i="9"/>
  <c r="A367" i="9"/>
  <c r="A319" i="9"/>
  <c r="A271" i="9"/>
  <c r="A364" i="9"/>
  <c r="A316" i="9"/>
  <c r="A268" i="9"/>
  <c r="A511" i="9"/>
  <c r="A463" i="9"/>
  <c r="A415" i="9"/>
  <c r="A508" i="9"/>
  <c r="A460" i="9"/>
  <c r="A412" i="9"/>
  <c r="A703" i="9"/>
  <c r="A655" i="9"/>
  <c r="A607" i="9"/>
  <c r="A559" i="9"/>
  <c r="A700" i="9"/>
  <c r="A652" i="9"/>
  <c r="A604" i="9"/>
  <c r="A556" i="9"/>
  <c r="A201" i="9"/>
  <c r="A150" i="9"/>
  <c r="A99" i="9"/>
  <c r="A49" i="9"/>
  <c r="A198" i="9"/>
  <c r="A147" i="9"/>
  <c r="A96" i="9"/>
  <c r="A46" i="9"/>
  <c r="A391" i="9"/>
  <c r="A343" i="9"/>
  <c r="A295" i="9"/>
  <c r="A388" i="9"/>
  <c r="A340" i="9"/>
  <c r="A292" i="9"/>
  <c r="A535" i="9"/>
  <c r="A487" i="9"/>
  <c r="A439" i="9"/>
  <c r="A532" i="9"/>
  <c r="A484" i="9"/>
  <c r="A436" i="9"/>
  <c r="A727" i="9"/>
  <c r="A679" i="9"/>
  <c r="A631" i="9"/>
  <c r="A583" i="9"/>
  <c r="A724" i="9"/>
  <c r="A676" i="9"/>
  <c r="A628" i="9"/>
  <c r="A580" i="9"/>
  <c r="A236" i="9"/>
  <c r="A225" i="9"/>
  <c r="A214" i="9"/>
  <c r="A247" i="9"/>
  <c r="BJ113" i="10"/>
  <c r="A64" i="4"/>
  <c r="AL79" i="2" s="1"/>
  <c r="A65" i="4"/>
  <c r="AL81" i="2" s="1"/>
  <c r="A66" i="4"/>
  <c r="BI364" i="2" s="1"/>
  <c r="A67" i="4"/>
  <c r="F1450" i="2" s="1"/>
  <c r="A11" i="10"/>
  <c r="B11" i="10"/>
  <c r="C11" i="10"/>
  <c r="A33" i="10"/>
  <c r="B33" i="10"/>
  <c r="C33" i="10"/>
  <c r="A53" i="10"/>
  <c r="B53" i="10"/>
  <c r="C53" i="10"/>
  <c r="A73" i="10"/>
  <c r="B73" i="10"/>
  <c r="C73" i="10"/>
  <c r="A3" i="10"/>
  <c r="B3" i="10"/>
  <c r="C3" i="10"/>
  <c r="A12" i="10"/>
  <c r="B12" i="10"/>
  <c r="C12" i="10"/>
  <c r="A34" i="10"/>
  <c r="B34" i="10"/>
  <c r="C34" i="10"/>
  <c r="A54" i="10"/>
  <c r="B54" i="10"/>
  <c r="C54" i="10"/>
  <c r="A74" i="10"/>
  <c r="B74" i="10"/>
  <c r="C74" i="10"/>
  <c r="A4" i="10"/>
  <c r="B4" i="10"/>
  <c r="C4" i="10"/>
  <c r="A13" i="10"/>
  <c r="B13" i="10"/>
  <c r="C13" i="10"/>
  <c r="A35" i="10"/>
  <c r="B35" i="10"/>
  <c r="C35" i="10"/>
  <c r="A55" i="10"/>
  <c r="B55" i="10"/>
  <c r="C55" i="10"/>
  <c r="A75" i="10"/>
  <c r="B75" i="10"/>
  <c r="C75" i="10"/>
  <c r="A15" i="10"/>
  <c r="B15" i="10"/>
  <c r="C15" i="10"/>
  <c r="A36" i="10"/>
  <c r="B36" i="10"/>
  <c r="C36" i="10"/>
  <c r="A56" i="10"/>
  <c r="B56" i="10"/>
  <c r="C56" i="10"/>
  <c r="A76" i="10"/>
  <c r="B76" i="10"/>
  <c r="C76" i="10"/>
  <c r="A16" i="10"/>
  <c r="B16" i="10"/>
  <c r="C16" i="10"/>
  <c r="A37" i="10"/>
  <c r="B37" i="10"/>
  <c r="C37" i="10"/>
  <c r="A57" i="10"/>
  <c r="B57" i="10"/>
  <c r="C57" i="10"/>
  <c r="A77" i="10"/>
  <c r="B77" i="10"/>
  <c r="C77" i="10"/>
  <c r="A17" i="10"/>
  <c r="B17" i="10"/>
  <c r="C17" i="10"/>
  <c r="A38" i="10"/>
  <c r="B38" i="10"/>
  <c r="C38" i="10"/>
  <c r="A58" i="10"/>
  <c r="B58" i="10"/>
  <c r="C58" i="10"/>
  <c r="A78" i="10"/>
  <c r="B78" i="10"/>
  <c r="C78" i="10"/>
  <c r="A18" i="10"/>
  <c r="B18" i="10"/>
  <c r="C18" i="10"/>
  <c r="A39" i="10"/>
  <c r="B39" i="10"/>
  <c r="C39" i="10"/>
  <c r="A59" i="10"/>
  <c r="B59" i="10"/>
  <c r="C59" i="10"/>
  <c r="A79" i="10"/>
  <c r="B79" i="10"/>
  <c r="C79" i="10"/>
  <c r="A5" i="10"/>
  <c r="B5" i="10"/>
  <c r="C5" i="10"/>
  <c r="A19" i="10"/>
  <c r="B19" i="10"/>
  <c r="C19" i="10"/>
  <c r="A40" i="10"/>
  <c r="B40" i="10"/>
  <c r="C40" i="10"/>
  <c r="A60" i="10"/>
  <c r="B60" i="10"/>
  <c r="C60" i="10"/>
  <c r="A80" i="10"/>
  <c r="B80" i="10"/>
  <c r="C80" i="10"/>
  <c r="A20" i="10"/>
  <c r="B20" i="10"/>
  <c r="C20" i="10"/>
  <c r="A41" i="10"/>
  <c r="B41" i="10"/>
  <c r="C41" i="10"/>
  <c r="A61" i="10"/>
  <c r="B61" i="10"/>
  <c r="C61" i="10"/>
  <c r="A81" i="10"/>
  <c r="B81" i="10"/>
  <c r="C81" i="10"/>
  <c r="A21" i="10"/>
  <c r="B21" i="10"/>
  <c r="C21" i="10"/>
  <c r="A42" i="10"/>
  <c r="B42" i="10"/>
  <c r="C42" i="10"/>
  <c r="A62" i="10"/>
  <c r="B62" i="10"/>
  <c r="C62" i="10"/>
  <c r="A82" i="10"/>
  <c r="B82" i="10"/>
  <c r="C82" i="10"/>
  <c r="A22" i="10"/>
  <c r="B22" i="10"/>
  <c r="C22" i="10"/>
  <c r="A43" i="10"/>
  <c r="B43" i="10"/>
  <c r="C43" i="10"/>
  <c r="A63" i="10"/>
  <c r="B63" i="10"/>
  <c r="C63" i="10"/>
  <c r="A83" i="10"/>
  <c r="B83" i="10"/>
  <c r="C83" i="10"/>
  <c r="A6" i="10"/>
  <c r="B6" i="10"/>
  <c r="C6" i="10"/>
  <c r="A23" i="10"/>
  <c r="B23" i="10"/>
  <c r="C23" i="10"/>
  <c r="A44" i="10"/>
  <c r="B44" i="10"/>
  <c r="C44" i="10"/>
  <c r="A64" i="10"/>
  <c r="B64" i="10"/>
  <c r="C64" i="10"/>
  <c r="A84" i="10"/>
  <c r="B84" i="10"/>
  <c r="C84" i="10"/>
  <c r="A24" i="10"/>
  <c r="B24" i="10"/>
  <c r="C24" i="10"/>
  <c r="A45" i="10"/>
  <c r="B45" i="10"/>
  <c r="C45" i="10"/>
  <c r="A65" i="10"/>
  <c r="B65" i="10"/>
  <c r="C65" i="10"/>
  <c r="A85" i="10"/>
  <c r="B85" i="10"/>
  <c r="C85" i="10"/>
  <c r="A92" i="10"/>
  <c r="B92" i="10"/>
  <c r="C92" i="10"/>
  <c r="A101" i="10"/>
  <c r="B101" i="10"/>
  <c r="C101" i="10"/>
  <c r="A109" i="10"/>
  <c r="B109" i="10"/>
  <c r="C109" i="10"/>
  <c r="A98" i="10"/>
  <c r="B98" i="10"/>
  <c r="C98" i="10"/>
  <c r="A94" i="10"/>
  <c r="B94" i="10"/>
  <c r="C94" i="10"/>
  <c r="A96" i="10"/>
  <c r="B96" i="10"/>
  <c r="C96" i="10"/>
  <c r="A99" i="10"/>
  <c r="B99" i="10"/>
  <c r="C99" i="10"/>
  <c r="A103" i="10"/>
  <c r="B103" i="10"/>
  <c r="C103" i="10"/>
  <c r="A105" i="10"/>
  <c r="B105" i="10"/>
  <c r="C105" i="10"/>
  <c r="A107" i="10"/>
  <c r="B107" i="10"/>
  <c r="C107" i="10"/>
  <c r="A95" i="10"/>
  <c r="B95" i="10"/>
  <c r="C95" i="10"/>
  <c r="A97" i="10"/>
  <c r="B97" i="10"/>
  <c r="C97" i="10"/>
  <c r="A100" i="10"/>
  <c r="B100" i="10"/>
  <c r="C100" i="10"/>
  <c r="A104" i="10"/>
  <c r="B104" i="10"/>
  <c r="C104" i="10"/>
  <c r="A106" i="10"/>
  <c r="B106" i="10"/>
  <c r="C106" i="10"/>
  <c r="A108" i="10"/>
  <c r="B108" i="10"/>
  <c r="C108" i="10"/>
  <c r="A93" i="10"/>
  <c r="B93" i="10"/>
  <c r="C93" i="10"/>
  <c r="A102" i="10"/>
  <c r="B102" i="10"/>
  <c r="C102" i="10"/>
  <c r="A110" i="10"/>
  <c r="B110" i="10"/>
  <c r="C110" i="10"/>
  <c r="A111" i="10"/>
  <c r="B111" i="10"/>
  <c r="C111" i="10"/>
  <c r="A112" i="10"/>
  <c r="B112" i="10"/>
  <c r="C112" i="10"/>
  <c r="A25" i="10"/>
  <c r="B25" i="10"/>
  <c r="C25" i="10"/>
  <c r="A46" i="10"/>
  <c r="B46" i="10"/>
  <c r="C46" i="10"/>
  <c r="A66" i="10"/>
  <c r="B66" i="10"/>
  <c r="C66" i="10"/>
  <c r="A86" i="10"/>
  <c r="B86" i="10"/>
  <c r="C86" i="10"/>
  <c r="A26" i="10"/>
  <c r="B26" i="10"/>
  <c r="C26" i="10"/>
  <c r="A47" i="10"/>
  <c r="B47" i="10"/>
  <c r="C47" i="10"/>
  <c r="A67" i="10"/>
  <c r="B67" i="10"/>
  <c r="C67" i="10"/>
  <c r="A87" i="10"/>
  <c r="B87" i="10"/>
  <c r="C87" i="10"/>
  <c r="A27" i="10"/>
  <c r="B27" i="10"/>
  <c r="C27" i="10"/>
  <c r="A48" i="10"/>
  <c r="B48" i="10"/>
  <c r="C48" i="10"/>
  <c r="A68" i="10"/>
  <c r="B68" i="10"/>
  <c r="C68" i="10"/>
  <c r="A88" i="10"/>
  <c r="B88" i="10"/>
  <c r="C88" i="10"/>
  <c r="C2" i="10"/>
  <c r="B2" i="10"/>
  <c r="A2" i="10"/>
  <c r="A140" i="4"/>
  <c r="A43" i="2"/>
  <c r="B44" i="2"/>
  <c r="A180" i="4"/>
  <c r="C1459" i="2" s="1"/>
  <c r="A182" i="4"/>
  <c r="A190" i="4"/>
  <c r="B781" i="2" s="1"/>
  <c r="A138" i="4"/>
  <c r="O46" i="2" s="1"/>
  <c r="A17" i="4"/>
  <c r="A4" i="4"/>
  <c r="A18" i="4"/>
  <c r="E6" i="13" s="1"/>
  <c r="D1423" i="2"/>
  <c r="B1423" i="2"/>
  <c r="Q16" i="16"/>
  <c r="AB800" i="2"/>
  <c r="O1323" i="2"/>
  <c r="O1324" i="2"/>
  <c r="O1321" i="2"/>
  <c r="O1322" i="2"/>
  <c r="N797" i="2"/>
  <c r="N796" i="2"/>
  <c r="N1018" i="2"/>
  <c r="N1017" i="2"/>
  <c r="N368" i="2"/>
  <c r="N367" i="2"/>
  <c r="P60" i="2"/>
  <c r="P61" i="2"/>
  <c r="AL71" i="10"/>
  <c r="AL40" i="10"/>
  <c r="AM40" i="10" s="1"/>
  <c r="AL57" i="10"/>
  <c r="AL69" i="10"/>
  <c r="AL90" i="10"/>
  <c r="AL88" i="10"/>
  <c r="AM88" i="10" s="1"/>
  <c r="AL82" i="10"/>
  <c r="AL72" i="10"/>
  <c r="AL70" i="10"/>
  <c r="AL61" i="10"/>
  <c r="AL41" i="10"/>
  <c r="AL62" i="10"/>
  <c r="AL60" i="10"/>
  <c r="AL51" i="10"/>
  <c r="AM51" i="10" s="1"/>
  <c r="AL34" i="10"/>
  <c r="AL21" i="10"/>
  <c r="AL4" i="10"/>
  <c r="AL50" i="10"/>
  <c r="AL35" i="10"/>
  <c r="AL8" i="10"/>
  <c r="AL67" i="10"/>
  <c r="AL2" i="10"/>
  <c r="AM2" i="10" s="1"/>
  <c r="AL30" i="10"/>
  <c r="AL45" i="10"/>
  <c r="AL7" i="10"/>
  <c r="AL3" i="10"/>
  <c r="AM3" i="10" s="1"/>
  <c r="AL24" i="10"/>
  <c r="AL13" i="10"/>
  <c r="AL5" i="10"/>
  <c r="AM5" i="10" s="1"/>
  <c r="AL29" i="10"/>
  <c r="AM29" i="10" s="1"/>
  <c r="D77" i="2"/>
  <c r="B128" i="2"/>
  <c r="F103" i="2"/>
  <c r="B77" i="2"/>
  <c r="V19" i="10" l="1"/>
  <c r="V47" i="10"/>
  <c r="W47" i="10" s="1"/>
  <c r="V64" i="10"/>
  <c r="H91" i="2"/>
  <c r="B78" i="2"/>
  <c r="V101" i="10"/>
  <c r="W101" i="10" s="1"/>
  <c r="AM91" i="10"/>
  <c r="V58" i="10"/>
  <c r="W58" i="10" s="1"/>
  <c r="K497" i="2"/>
  <c r="H143" i="2"/>
  <c r="M2" i="9"/>
  <c r="M66" i="9"/>
  <c r="M81" i="9"/>
  <c r="M212" i="9"/>
  <c r="M235" i="9"/>
  <c r="M252" i="9"/>
  <c r="M282" i="9"/>
  <c r="M298" i="9"/>
  <c r="M307" i="9"/>
  <c r="M432" i="9"/>
  <c r="M550" i="9"/>
  <c r="M554" i="9"/>
  <c r="M558" i="9"/>
  <c r="M562" i="9"/>
  <c r="M566" i="9"/>
  <c r="M570" i="9"/>
  <c r="M574" i="9"/>
  <c r="M595" i="9"/>
  <c r="M599" i="9"/>
  <c r="M603" i="9"/>
  <c r="M607" i="9"/>
  <c r="M70" i="9"/>
  <c r="M83" i="9"/>
  <c r="M108" i="9"/>
  <c r="M121" i="9"/>
  <c r="M142" i="9"/>
  <c r="M149" i="9"/>
  <c r="M186" i="9"/>
  <c r="M195" i="9"/>
  <c r="M218" i="9"/>
  <c r="M277" i="9"/>
  <c r="M293" i="9"/>
  <c r="M309" i="9"/>
  <c r="M323" i="9"/>
  <c r="M327" i="9"/>
  <c r="M331" i="9"/>
  <c r="M335" i="9"/>
  <c r="M339" i="9"/>
  <c r="M343" i="9"/>
  <c r="M347" i="9"/>
  <c r="M351" i="9"/>
  <c r="M355" i="9"/>
  <c r="M359" i="9"/>
  <c r="M363" i="9"/>
  <c r="M367" i="9"/>
  <c r="M371" i="9"/>
  <c r="M375" i="9"/>
  <c r="M379" i="9"/>
  <c r="M383" i="9"/>
  <c r="M387" i="9"/>
  <c r="M391" i="9"/>
  <c r="M395" i="9"/>
  <c r="M399" i="9"/>
  <c r="M403" i="9"/>
  <c r="M407" i="9"/>
  <c r="M411" i="9"/>
  <c r="M415" i="9"/>
  <c r="M419" i="9"/>
  <c r="M423" i="9"/>
  <c r="M427" i="9"/>
  <c r="M431" i="9"/>
  <c r="M436" i="9"/>
  <c r="M440" i="9"/>
  <c r="M444" i="9"/>
  <c r="M448" i="9"/>
  <c r="M452" i="9"/>
  <c r="M456" i="9"/>
  <c r="M460" i="9"/>
  <c r="M464" i="9"/>
  <c r="M468" i="9"/>
  <c r="M472" i="9"/>
  <c r="M476" i="9"/>
  <c r="M480" i="9"/>
  <c r="M484" i="9"/>
  <c r="M488" i="9"/>
  <c r="M492" i="9"/>
  <c r="M496" i="9"/>
  <c r="M500" i="9"/>
  <c r="M504" i="9"/>
  <c r="M508" i="9"/>
  <c r="M513" i="9"/>
  <c r="M517" i="9"/>
  <c r="M521" i="9"/>
  <c r="M525" i="9"/>
  <c r="M529" i="9"/>
  <c r="M533" i="9"/>
  <c r="M537" i="9"/>
  <c r="M541" i="9"/>
  <c r="M545" i="9"/>
  <c r="M549" i="9"/>
  <c r="M578" i="9"/>
  <c r="M582" i="9"/>
  <c r="M586" i="9"/>
  <c r="M590" i="9"/>
  <c r="M611" i="9"/>
  <c r="M615" i="9"/>
  <c r="M619" i="9"/>
  <c r="M623" i="9"/>
  <c r="M627" i="9"/>
  <c r="M631" i="9"/>
  <c r="M635" i="9"/>
  <c r="M639" i="9"/>
  <c r="M643" i="9"/>
  <c r="M647" i="9"/>
  <c r="M651" i="9"/>
  <c r="M655" i="9"/>
  <c r="M59" i="9"/>
  <c r="M89" i="9"/>
  <c r="M110" i="9"/>
  <c r="M125" i="9"/>
  <c r="M175" i="9"/>
  <c r="M188" i="9"/>
  <c r="M220" i="9"/>
  <c r="M270" i="9"/>
  <c r="M286" i="9"/>
  <c r="M302" i="9"/>
  <c r="M318" i="9"/>
  <c r="M512" i="9"/>
  <c r="M553" i="9"/>
  <c r="M557" i="9"/>
  <c r="M561" i="9"/>
  <c r="M565" i="9"/>
  <c r="M569" i="9"/>
  <c r="M573" i="9"/>
  <c r="M594" i="9"/>
  <c r="M598" i="9"/>
  <c r="M602" i="9"/>
  <c r="M606" i="9"/>
  <c r="M75" i="9"/>
  <c r="M143" i="9"/>
  <c r="M154" i="9"/>
  <c r="M167" i="9"/>
  <c r="M202" i="9"/>
  <c r="M244" i="9"/>
  <c r="M278" i="9"/>
  <c r="M294" i="9"/>
  <c r="M310" i="9"/>
  <c r="M551" i="9"/>
  <c r="M555" i="9"/>
  <c r="M559" i="9"/>
  <c r="M563" i="9"/>
  <c r="M567" i="9"/>
  <c r="M571" i="9"/>
  <c r="M575" i="9"/>
  <c r="M592" i="9"/>
  <c r="M596" i="9"/>
  <c r="M600" i="9"/>
  <c r="M604" i="9"/>
  <c r="M608" i="9"/>
  <c r="A272" i="2" a="1"/>
  <c r="A272" i="2" s="1"/>
  <c r="A276" i="2" a="1"/>
  <c r="A276" i="2" s="1"/>
  <c r="A280" i="2" a="1"/>
  <c r="A280" i="2" s="1"/>
  <c r="A284" i="2" a="1"/>
  <c r="A284" i="2" s="1"/>
  <c r="A288" i="2" a="1"/>
  <c r="A288" i="2" s="1"/>
  <c r="A292" i="2" a="1"/>
  <c r="A292" i="2" s="1"/>
  <c r="A296" i="2" a="1"/>
  <c r="A296" i="2" s="1"/>
  <c r="A300" i="2" a="1"/>
  <c r="A300" i="2" s="1"/>
  <c r="A304" i="2" a="1"/>
  <c r="A304" i="2" s="1"/>
  <c r="A308" i="2" a="1"/>
  <c r="A308" i="2" s="1"/>
  <c r="A306" i="2" a="1"/>
  <c r="A306" i="2" s="1"/>
  <c r="A277" i="2" a="1"/>
  <c r="A277" i="2" s="1"/>
  <c r="A285" i="2" a="1"/>
  <c r="A285" i="2" s="1"/>
  <c r="A293" i="2" a="1"/>
  <c r="A293" i="2" s="1"/>
  <c r="A301" i="2" a="1"/>
  <c r="A301" i="2" s="1"/>
  <c r="A309" i="2" a="1"/>
  <c r="A309" i="2" s="1"/>
  <c r="A278" i="2" a="1"/>
  <c r="A278" i="2" s="1"/>
  <c r="A286" i="2" a="1"/>
  <c r="A286" i="2" s="1"/>
  <c r="A294" i="2" a="1"/>
  <c r="A294" i="2" s="1"/>
  <c r="A302" i="2" a="1"/>
  <c r="A302" i="2" s="1"/>
  <c r="A273" i="2" a="1"/>
  <c r="A273" i="2" s="1"/>
  <c r="A281" i="2" a="1"/>
  <c r="A281" i="2" s="1"/>
  <c r="A289" i="2" a="1"/>
  <c r="A289" i="2" s="1"/>
  <c r="A297" i="2" a="1"/>
  <c r="A297" i="2" s="1"/>
  <c r="A305" i="2" a="1"/>
  <c r="A305" i="2" s="1"/>
  <c r="A274" i="2" a="1"/>
  <c r="A274" i="2" s="1"/>
  <c r="A282" i="2" a="1"/>
  <c r="A282" i="2" s="1"/>
  <c r="A290" i="2" a="1"/>
  <c r="A290" i="2" s="1"/>
  <c r="A298" i="2" a="1"/>
  <c r="A298" i="2" s="1"/>
  <c r="A310" i="2" a="1"/>
  <c r="A310" i="2" s="1"/>
  <c r="A275" i="2" a="1"/>
  <c r="A275" i="2" s="1"/>
  <c r="A279" i="2" a="1"/>
  <c r="A279" i="2" s="1"/>
  <c r="A283" i="2" a="1"/>
  <c r="A283" i="2" s="1"/>
  <c r="A287" i="2" a="1"/>
  <c r="A287" i="2" s="1"/>
  <c r="A291" i="2" a="1"/>
  <c r="A291" i="2" s="1"/>
  <c r="A295" i="2" a="1"/>
  <c r="A295" i="2" s="1"/>
  <c r="A299" i="2" a="1"/>
  <c r="A299" i="2" s="1"/>
  <c r="A303" i="2" a="1"/>
  <c r="A303" i="2" s="1"/>
  <c r="A307" i="2" a="1"/>
  <c r="A307" i="2" s="1"/>
  <c r="A271" i="2" a="1"/>
  <c r="A271" i="2" s="1"/>
  <c r="AM90" i="10"/>
  <c r="AM69" i="10"/>
  <c r="AL1439" i="2"/>
  <c r="AP1439" i="2" s="1"/>
  <c r="AT1439" i="2" s="1"/>
  <c r="AL1444" i="2"/>
  <c r="AP1444" i="2" s="1"/>
  <c r="AT1444" i="2" s="1"/>
  <c r="AL1449" i="2"/>
  <c r="AP1449" i="2" s="1"/>
  <c r="AT1449" i="2" s="1"/>
  <c r="AE1434" i="2"/>
  <c r="AK1419" i="2"/>
  <c r="AS1419" i="2"/>
  <c r="BA1419" i="2" s="1"/>
  <c r="BI1419" i="2" s="1"/>
  <c r="AE1484" i="2"/>
  <c r="AK1484" i="2"/>
  <c r="AS1484" i="2"/>
  <c r="BA1484" i="2" s="1"/>
  <c r="BI1484" i="2" s="1"/>
  <c r="AS1469" i="2"/>
  <c r="BA1469" i="2" s="1"/>
  <c r="BI1469" i="2" s="1"/>
  <c r="AK1469" i="2"/>
  <c r="AE1469" i="2"/>
  <c r="AR1419" i="2"/>
  <c r="AZ1419" i="2" s="1"/>
  <c r="BH1419" i="2" s="1"/>
  <c r="AJ1419" i="2"/>
  <c r="AS1454" i="2"/>
  <c r="BA1454" i="2" s="1"/>
  <c r="BI1454" i="2" s="1"/>
  <c r="AK1454" i="2"/>
  <c r="AE1454" i="2"/>
  <c r="AK1424" i="2"/>
  <c r="AS1424" i="2"/>
  <c r="BA1424" i="2" s="1"/>
  <c r="BI1424" i="2" s="1"/>
  <c r="AK1459" i="2"/>
  <c r="AE1459" i="2"/>
  <c r="AS1459" i="2"/>
  <c r="BA1459" i="2" s="1"/>
  <c r="BI1459" i="2" s="1"/>
  <c r="AI1419" i="2"/>
  <c r="AQ1419" i="2"/>
  <c r="AY1419" i="2" s="1"/>
  <c r="BG1419" i="2" s="1"/>
  <c r="AK1464" i="2"/>
  <c r="AS1464" i="2"/>
  <c r="BA1464" i="2" s="1"/>
  <c r="BI1464" i="2" s="1"/>
  <c r="AE1464" i="2"/>
  <c r="O1426" i="2"/>
  <c r="O1431" i="2" s="1"/>
  <c r="AS1479" i="2"/>
  <c r="BA1479" i="2" s="1"/>
  <c r="BI1479" i="2" s="1"/>
  <c r="AK1479" i="2"/>
  <c r="AE1479" i="2"/>
  <c r="AS1429" i="2"/>
  <c r="BA1429" i="2" s="1"/>
  <c r="BI1429" i="2" s="1"/>
  <c r="AK1429" i="2"/>
  <c r="AK1474" i="2"/>
  <c r="AE1474" i="2"/>
  <c r="AS1474" i="2"/>
  <c r="BA1474" i="2" s="1"/>
  <c r="BI1474" i="2" s="1"/>
  <c r="K1065" i="2"/>
  <c r="Y1077" i="9"/>
  <c r="Y1074" i="9"/>
  <c r="Y1072" i="9"/>
  <c r="Y1070" i="9"/>
  <c r="Y1068" i="9"/>
  <c r="Y1065" i="9"/>
  <c r="Y1062" i="9"/>
  <c r="Y1061" i="9"/>
  <c r="Y1058" i="9"/>
  <c r="Y1056" i="9"/>
  <c r="Y1054" i="9"/>
  <c r="Y1052" i="9"/>
  <c r="Y1050" i="9"/>
  <c r="Y1046" i="9"/>
  <c r="Y1043" i="9"/>
  <c r="Y1041" i="9"/>
  <c r="Y1039" i="9"/>
  <c r="Y1037" i="9"/>
  <c r="Y1035" i="9"/>
  <c r="Y1033" i="9"/>
  <c r="Y1031" i="9"/>
  <c r="Y1029" i="9"/>
  <c r="Y1027" i="9"/>
  <c r="Y1024" i="9"/>
  <c r="Y1022" i="9"/>
  <c r="Y1021" i="9"/>
  <c r="Y1019" i="9"/>
  <c r="Y1017" i="9"/>
  <c r="Y1014" i="9"/>
  <c r="Y1013" i="9"/>
  <c r="Y1010" i="9"/>
  <c r="Y1008" i="9"/>
  <c r="Y1007" i="9"/>
  <c r="Y1004" i="9"/>
  <c r="Y1003" i="9"/>
  <c r="Y1000" i="9"/>
  <c r="Y999" i="9"/>
  <c r="Y1078" i="9"/>
  <c r="Y1076" i="9"/>
  <c r="Y1073" i="9"/>
  <c r="Y1071" i="9"/>
  <c r="Y1069" i="9"/>
  <c r="Y1066" i="9"/>
  <c r="Y1064" i="9"/>
  <c r="Y1063" i="9"/>
  <c r="Y1059" i="9"/>
  <c r="Y1057" i="9"/>
  <c r="Y1055" i="9"/>
  <c r="Y1053" i="9"/>
  <c r="Y1051" i="9"/>
  <c r="Y1049" i="9"/>
  <c r="Y1047" i="9"/>
  <c r="Y1045" i="9"/>
  <c r="Y1042" i="9"/>
  <c r="Y1040" i="9"/>
  <c r="Y1038" i="9"/>
  <c r="Y1036" i="9"/>
  <c r="Y1034" i="9"/>
  <c r="Y1032" i="9"/>
  <c r="Y1030" i="9"/>
  <c r="Y1028" i="9"/>
  <c r="Y1026" i="9"/>
  <c r="Y1025" i="9"/>
  <c r="Y1023" i="9"/>
  <c r="Y1020" i="9"/>
  <c r="Y1018" i="9"/>
  <c r="Y1016" i="9"/>
  <c r="Y1015" i="9"/>
  <c r="Y1012" i="9"/>
  <c r="Y1011" i="9"/>
  <c r="Y1009" i="9"/>
  <c r="Y1006" i="9"/>
  <c r="Y1005" i="9"/>
  <c r="Y1002" i="9"/>
  <c r="Y1001" i="9"/>
  <c r="Y998" i="9"/>
  <c r="Y1044" i="9"/>
  <c r="K1057" i="2"/>
  <c r="Y1075" i="9"/>
  <c r="Y1067" i="9"/>
  <c r="Y1060" i="9"/>
  <c r="Y1048" i="9"/>
  <c r="Y867" i="9"/>
  <c r="Y827" i="9"/>
  <c r="Y843" i="9"/>
  <c r="Y803" i="9"/>
  <c r="Y795" i="9"/>
  <c r="Y907" i="9"/>
  <c r="Y779" i="9"/>
  <c r="Y859" i="9"/>
  <c r="Y891" i="9"/>
  <c r="Y746" i="9"/>
  <c r="Y747" i="9"/>
  <c r="Y811" i="9"/>
  <c r="Y875" i="9"/>
  <c r="Y755" i="9"/>
  <c r="Y819" i="9"/>
  <c r="Y883" i="9"/>
  <c r="Y771" i="9"/>
  <c r="Y835" i="9"/>
  <c r="Y899" i="9"/>
  <c r="Y787" i="9"/>
  <c r="Y851" i="9"/>
  <c r="Y915" i="9"/>
  <c r="Y916" i="9"/>
  <c r="Y917" i="9"/>
  <c r="Y918" i="9"/>
  <c r="Y919" i="9"/>
  <c r="Y920" i="9"/>
  <c r="Y921" i="9"/>
  <c r="Y922" i="9"/>
  <c r="Y923" i="9"/>
  <c r="Y924" i="9"/>
  <c r="Y925" i="9"/>
  <c r="Y926" i="9"/>
  <c r="Y927" i="9"/>
  <c r="Y928" i="9"/>
  <c r="Y929" i="9"/>
  <c r="Y930" i="9"/>
  <c r="Y931" i="9"/>
  <c r="Y932" i="9"/>
  <c r="Y933" i="9"/>
  <c r="Y934" i="9"/>
  <c r="Y935" i="9"/>
  <c r="Y936" i="9"/>
  <c r="Y937" i="9"/>
  <c r="Y938" i="9"/>
  <c r="Y939" i="9"/>
  <c r="Y940" i="9"/>
  <c r="Y941" i="9"/>
  <c r="Y942" i="9"/>
  <c r="Y943" i="9"/>
  <c r="Y944" i="9"/>
  <c r="Y945" i="9"/>
  <c r="Y946" i="9"/>
  <c r="Y947" i="9"/>
  <c r="Y948" i="9"/>
  <c r="Y949" i="9"/>
  <c r="Y950" i="9"/>
  <c r="Y951" i="9"/>
  <c r="Y952" i="9"/>
  <c r="Y953" i="9"/>
  <c r="Y954" i="9"/>
  <c r="Y955" i="9"/>
  <c r="Y956" i="9"/>
  <c r="Y957" i="9"/>
  <c r="Y958" i="9"/>
  <c r="Y959" i="9"/>
  <c r="Y960" i="9"/>
  <c r="Y961" i="9"/>
  <c r="Y962" i="9"/>
  <c r="Y963" i="9"/>
  <c r="Y964" i="9"/>
  <c r="Y965" i="9"/>
  <c r="Y966" i="9"/>
  <c r="Y967" i="9"/>
  <c r="Y968" i="9"/>
  <c r="Y969" i="9"/>
  <c r="Y970" i="9"/>
  <c r="Y971" i="9"/>
  <c r="Y972" i="9"/>
  <c r="Y973" i="9"/>
  <c r="Y974" i="9"/>
  <c r="Y975" i="9"/>
  <c r="Y976" i="9"/>
  <c r="Y977" i="9"/>
  <c r="Y978" i="9"/>
  <c r="Y979" i="9"/>
  <c r="Y980" i="9"/>
  <c r="Y981" i="9"/>
  <c r="Y982" i="9"/>
  <c r="Y983" i="9"/>
  <c r="Y984" i="9"/>
  <c r="Y985" i="9"/>
  <c r="Y986" i="9"/>
  <c r="Y987" i="9"/>
  <c r="Y988" i="9"/>
  <c r="Y989" i="9"/>
  <c r="Y990" i="9"/>
  <c r="Y991" i="9"/>
  <c r="Y992" i="9"/>
  <c r="Y993" i="9"/>
  <c r="Y994" i="9"/>
  <c r="Y995" i="9"/>
  <c r="Y996" i="9"/>
  <c r="Y997" i="9"/>
  <c r="Y908" i="9"/>
  <c r="Y900" i="9"/>
  <c r="Y892" i="9"/>
  <c r="Y884" i="9"/>
  <c r="Y876" i="9"/>
  <c r="Y868" i="9"/>
  <c r="Y860" i="9"/>
  <c r="Y852" i="9"/>
  <c r="Y844" i="9"/>
  <c r="Y836" i="9"/>
  <c r="Y828" i="9"/>
  <c r="Y820" i="9"/>
  <c r="Y812" i="9"/>
  <c r="Y804" i="9"/>
  <c r="Y796" i="9"/>
  <c r="Y788" i="9"/>
  <c r="Y780" i="9"/>
  <c r="Y772" i="9"/>
  <c r="Y764" i="9"/>
  <c r="Y756" i="9"/>
  <c r="Y748" i="9"/>
  <c r="Y740" i="9"/>
  <c r="Y909" i="9"/>
  <c r="Y901" i="9"/>
  <c r="Y893" i="9"/>
  <c r="Y885" i="9"/>
  <c r="Y877" i="9"/>
  <c r="Y869" i="9"/>
  <c r="Y861" i="9"/>
  <c r="Y853" i="9"/>
  <c r="Y845" i="9"/>
  <c r="Y837" i="9"/>
  <c r="Y829" i="9"/>
  <c r="Y821" i="9"/>
  <c r="Y813" i="9"/>
  <c r="Y805" i="9"/>
  <c r="Y797" i="9"/>
  <c r="Y789" i="9"/>
  <c r="Y781" i="9"/>
  <c r="Y773" i="9"/>
  <c r="Y765" i="9"/>
  <c r="Y757" i="9"/>
  <c r="Y749" i="9"/>
  <c r="Y741" i="9"/>
  <c r="Y910" i="9"/>
  <c r="Y902" i="9"/>
  <c r="Y894" i="9"/>
  <c r="Y886" i="9"/>
  <c r="Y878" i="9"/>
  <c r="Y870" i="9"/>
  <c r="Y862" i="9"/>
  <c r="Y854" i="9"/>
  <c r="Y846" i="9"/>
  <c r="Y838" i="9"/>
  <c r="Y830" i="9"/>
  <c r="Y822" i="9"/>
  <c r="Y814" i="9"/>
  <c r="Y806" i="9"/>
  <c r="Y798" i="9"/>
  <c r="Y790" i="9"/>
  <c r="Y782" i="9"/>
  <c r="Y774" i="9"/>
  <c r="Y766" i="9"/>
  <c r="Y758" i="9"/>
  <c r="Y750" i="9"/>
  <c r="Y742" i="9"/>
  <c r="Y911" i="9"/>
  <c r="Y903" i="9"/>
  <c r="Y895" i="9"/>
  <c r="Y887" i="9"/>
  <c r="Y879" i="9"/>
  <c r="Y871" i="9"/>
  <c r="Y863" i="9"/>
  <c r="Y855" i="9"/>
  <c r="Y847" i="9"/>
  <c r="Y839" i="9"/>
  <c r="Y831" i="9"/>
  <c r="Y823" i="9"/>
  <c r="Y815" i="9"/>
  <c r="Y807" i="9"/>
  <c r="Y799" i="9"/>
  <c r="Y791" i="9"/>
  <c r="Y783" i="9"/>
  <c r="Y775" i="9"/>
  <c r="Y767" i="9"/>
  <c r="Y759" i="9"/>
  <c r="Y751" i="9"/>
  <c r="Y743" i="9"/>
  <c r="Y912" i="9"/>
  <c r="Y904" i="9"/>
  <c r="Y896" i="9"/>
  <c r="Y888" i="9"/>
  <c r="Y880" i="9"/>
  <c r="Y872" i="9"/>
  <c r="Y864" i="9"/>
  <c r="Y856" i="9"/>
  <c r="Y848" i="9"/>
  <c r="Y840" i="9"/>
  <c r="Y832" i="9"/>
  <c r="Y824" i="9"/>
  <c r="Y816" i="9"/>
  <c r="Y808" i="9"/>
  <c r="Y800" i="9"/>
  <c r="Y792" i="9"/>
  <c r="Y784" i="9"/>
  <c r="Y776" i="9"/>
  <c r="Y768" i="9"/>
  <c r="Y760" i="9"/>
  <c r="Y752" i="9"/>
  <c r="Y744" i="9"/>
  <c r="K1067" i="2"/>
  <c r="K1059" i="2"/>
  <c r="Y913" i="9"/>
  <c r="Y905" i="9"/>
  <c r="Y897" i="9"/>
  <c r="Y889" i="9"/>
  <c r="Y881" i="9"/>
  <c r="Y873" i="9"/>
  <c r="Y865" i="9"/>
  <c r="Y857" i="9"/>
  <c r="Y849" i="9"/>
  <c r="Y841" i="9"/>
  <c r="Y833" i="9"/>
  <c r="Y825" i="9"/>
  <c r="Y817" i="9"/>
  <c r="Y809" i="9"/>
  <c r="Y801" i="9"/>
  <c r="Y793" i="9"/>
  <c r="Y785" i="9"/>
  <c r="Y777" i="9"/>
  <c r="Y769" i="9"/>
  <c r="Y761" i="9"/>
  <c r="Y753" i="9"/>
  <c r="Y745" i="9"/>
  <c r="Y914" i="9"/>
  <c r="Y906" i="9"/>
  <c r="Y898" i="9"/>
  <c r="Y890" i="9"/>
  <c r="Y882" i="9"/>
  <c r="Y874" i="9"/>
  <c r="Y866" i="9"/>
  <c r="Y858" i="9"/>
  <c r="Y850" i="9"/>
  <c r="Y842" i="9"/>
  <c r="Y834" i="9"/>
  <c r="Y826" i="9"/>
  <c r="Y818" i="9"/>
  <c r="Y810" i="9"/>
  <c r="Y802" i="9"/>
  <c r="Y794" i="9"/>
  <c r="Y786" i="9"/>
  <c r="Y778" i="9"/>
  <c r="Y770" i="9"/>
  <c r="Y762" i="9"/>
  <c r="Y754" i="9"/>
  <c r="L35" i="11"/>
  <c r="G690" i="9"/>
  <c r="G566" i="9"/>
  <c r="G486" i="9"/>
  <c r="G67" i="9"/>
  <c r="G625" i="9"/>
  <c r="G30" i="9"/>
  <c r="G58" i="9"/>
  <c r="G63" i="9"/>
  <c r="G70" i="9"/>
  <c r="G107" i="9"/>
  <c r="G136" i="9"/>
  <c r="G154" i="9"/>
  <c r="G195" i="9"/>
  <c r="G209" i="9"/>
  <c r="G214" i="9"/>
  <c r="G221" i="9"/>
  <c r="G240" i="9"/>
  <c r="G261" i="9"/>
  <c r="G273" i="9"/>
  <c r="G281" i="9"/>
  <c r="G289" i="9"/>
  <c r="G297" i="9"/>
  <c r="G325" i="9"/>
  <c r="G333" i="9"/>
  <c r="G341" i="9"/>
  <c r="G349" i="9"/>
  <c r="G357" i="9"/>
  <c r="G365" i="9"/>
  <c r="G373" i="9"/>
  <c r="G381" i="9"/>
  <c r="G389" i="9"/>
  <c r="G397" i="9"/>
  <c r="G405" i="9"/>
  <c r="G413" i="9"/>
  <c r="G421" i="9"/>
  <c r="G429" i="9"/>
  <c r="G437" i="9"/>
  <c r="G445" i="9"/>
  <c r="G453" i="9"/>
  <c r="G461" i="9"/>
  <c r="G469" i="9"/>
  <c r="G477" i="9"/>
  <c r="G485" i="9"/>
  <c r="G493" i="9"/>
  <c r="G501" i="9"/>
  <c r="G509" i="9"/>
  <c r="G517" i="9"/>
  <c r="G525" i="9"/>
  <c r="G533" i="9"/>
  <c r="G541" i="9"/>
  <c r="G549" i="9"/>
  <c r="G557" i="9"/>
  <c r="G565" i="9"/>
  <c r="G573" i="9"/>
  <c r="G581" i="9"/>
  <c r="G589" i="9"/>
  <c r="G597" i="9"/>
  <c r="G605" i="9"/>
  <c r="G613" i="9"/>
  <c r="G621" i="9"/>
  <c r="G629" i="9"/>
  <c r="G637" i="9"/>
  <c r="G645" i="9"/>
  <c r="G653" i="9"/>
  <c r="G661" i="9"/>
  <c r="G669" i="9"/>
  <c r="G677" i="9"/>
  <c r="G685" i="9"/>
  <c r="G693" i="9"/>
  <c r="G701" i="9"/>
  <c r="G709" i="9"/>
  <c r="G717" i="9"/>
  <c r="G725" i="9"/>
  <c r="G733" i="9"/>
  <c r="G34" i="9"/>
  <c r="G80" i="9"/>
  <c r="G90" i="9"/>
  <c r="G100" i="9"/>
  <c r="G119" i="9"/>
  <c r="G131" i="9"/>
  <c r="G144" i="9"/>
  <c r="G164" i="9"/>
  <c r="G174" i="9"/>
  <c r="G184" i="9"/>
  <c r="G254" i="9"/>
  <c r="G324" i="9"/>
  <c r="G332" i="9"/>
  <c r="G340" i="9"/>
  <c r="G348" i="9"/>
  <c r="G356" i="9"/>
  <c r="G364" i="9"/>
  <c r="G372" i="9"/>
  <c r="G380" i="9"/>
  <c r="G388" i="9"/>
  <c r="G396" i="9"/>
  <c r="G404" i="9"/>
  <c r="G412" i="9"/>
  <c r="G420" i="9"/>
  <c r="G428" i="9"/>
  <c r="G436" i="9"/>
  <c r="G444" i="9"/>
  <c r="G452" i="9"/>
  <c r="G460" i="9"/>
  <c r="G468" i="9"/>
  <c r="G476" i="9"/>
  <c r="G484" i="9"/>
  <c r="G492" i="9"/>
  <c r="G500" i="9"/>
  <c r="G508" i="9"/>
  <c r="G516" i="9"/>
  <c r="G524" i="9"/>
  <c r="G532" i="9"/>
  <c r="G540" i="9"/>
  <c r="G548" i="9"/>
  <c r="G556" i="9"/>
  <c r="G564" i="9"/>
  <c r="G572" i="9"/>
  <c r="G580" i="9"/>
  <c r="G588" i="9"/>
  <c r="G596" i="9"/>
  <c r="G604" i="9"/>
  <c r="G612" i="9"/>
  <c r="G620" i="9"/>
  <c r="G628" i="9"/>
  <c r="G636" i="9"/>
  <c r="G644" i="9"/>
  <c r="G652" i="9"/>
  <c r="G660" i="9"/>
  <c r="G668" i="9"/>
  <c r="G676" i="9"/>
  <c r="G684" i="9"/>
  <c r="G692" i="9"/>
  <c r="G700" i="9"/>
  <c r="G708" i="9"/>
  <c r="G716" i="9"/>
  <c r="G724" i="9"/>
  <c r="G732" i="9"/>
  <c r="G740" i="9"/>
  <c r="G741" i="9"/>
  <c r="G742" i="9"/>
  <c r="G743" i="9"/>
  <c r="G744" i="9"/>
  <c r="G745" i="9"/>
  <c r="G746" i="9"/>
  <c r="G747" i="9"/>
  <c r="G748" i="9"/>
  <c r="G749" i="9"/>
  <c r="G750" i="9"/>
  <c r="G751" i="9"/>
  <c r="G752" i="9"/>
  <c r="G753" i="9"/>
  <c r="G754" i="9"/>
  <c r="G755" i="9"/>
  <c r="G756" i="9"/>
  <c r="G757" i="9"/>
  <c r="G758" i="9"/>
  <c r="G759" i="9"/>
  <c r="G760" i="9"/>
  <c r="G761" i="9"/>
  <c r="G60" i="9"/>
  <c r="G77" i="9"/>
  <c r="G97" i="9"/>
  <c r="G102" i="9"/>
  <c r="G109" i="9"/>
  <c r="G114" i="9"/>
  <c r="G126" i="9"/>
  <c r="G133" i="9"/>
  <c r="G146" i="9"/>
  <c r="G166" i="9"/>
  <c r="G191" i="9"/>
  <c r="G206" i="9"/>
  <c r="G211" i="9"/>
  <c r="G230" i="9"/>
  <c r="G237" i="9"/>
  <c r="G249" i="9"/>
  <c r="G256" i="9"/>
  <c r="G323" i="9"/>
  <c r="G331" i="9"/>
  <c r="G339" i="9"/>
  <c r="G347" i="9"/>
  <c r="G355" i="9"/>
  <c r="G363" i="9"/>
  <c r="G371" i="9"/>
  <c r="G379" i="9"/>
  <c r="G387" i="9"/>
  <c r="G395" i="9"/>
  <c r="G403" i="9"/>
  <c r="G411" i="9"/>
  <c r="G419" i="9"/>
  <c r="G427" i="9"/>
  <c r="G435" i="9"/>
  <c r="G443" i="9"/>
  <c r="G451" i="9"/>
  <c r="G459" i="9"/>
  <c r="G467" i="9"/>
  <c r="G475" i="9"/>
  <c r="G483" i="9"/>
  <c r="G491" i="9"/>
  <c r="G499" i="9"/>
  <c r="G507" i="9"/>
  <c r="G515" i="9"/>
  <c r="G523" i="9"/>
  <c r="G531" i="9"/>
  <c r="G539" i="9"/>
  <c r="G547" i="9"/>
  <c r="G555" i="9"/>
  <c r="G563" i="9"/>
  <c r="G571" i="9"/>
  <c r="G579" i="9"/>
  <c r="G587" i="9"/>
  <c r="G595" i="9"/>
  <c r="G603" i="9"/>
  <c r="G611" i="9"/>
  <c r="G619" i="9"/>
  <c r="G627" i="9"/>
  <c r="G635" i="9"/>
  <c r="G643" i="9"/>
  <c r="G651" i="9"/>
  <c r="G659" i="9"/>
  <c r="G52" i="9"/>
  <c r="G71" i="9"/>
  <c r="G86" i="9"/>
  <c r="G93" i="9"/>
  <c r="G120" i="9"/>
  <c r="G155" i="9"/>
  <c r="G170" i="9"/>
  <c r="G178" i="9"/>
  <c r="G198" i="9"/>
  <c r="G224" i="9"/>
  <c r="G243" i="9"/>
  <c r="G264" i="9"/>
  <c r="G274" i="9"/>
  <c r="G282" i="9"/>
  <c r="G290" i="9"/>
  <c r="G298" i="9"/>
  <c r="G327" i="9"/>
  <c r="G335" i="9"/>
  <c r="G343" i="9"/>
  <c r="G351" i="9"/>
  <c r="G359" i="9"/>
  <c r="G367" i="9"/>
  <c r="G375" i="9"/>
  <c r="G383" i="9"/>
  <c r="G391" i="9"/>
  <c r="G399" i="9"/>
  <c r="G407" i="9"/>
  <c r="G415" i="9"/>
  <c r="G423" i="9"/>
  <c r="G431" i="9"/>
  <c r="G439" i="9"/>
  <c r="G447" i="9"/>
  <c r="G455" i="9"/>
  <c r="G463" i="9"/>
  <c r="G471" i="9"/>
  <c r="G479" i="9"/>
  <c r="G487" i="9"/>
  <c r="G495" i="9"/>
  <c r="G503" i="9"/>
  <c r="G511" i="9"/>
  <c r="G519" i="9"/>
  <c r="G527" i="9"/>
  <c r="G535" i="9"/>
  <c r="G543" i="9"/>
  <c r="G551" i="9"/>
  <c r="G559" i="9"/>
  <c r="G567" i="9"/>
  <c r="G575" i="9"/>
  <c r="G583" i="9"/>
  <c r="G591" i="9"/>
  <c r="G599" i="9"/>
  <c r="G607" i="9"/>
  <c r="G615" i="9"/>
  <c r="G623" i="9"/>
  <c r="G631" i="9"/>
  <c r="G639" i="9"/>
  <c r="G647" i="9"/>
  <c r="G655" i="9"/>
  <c r="G663" i="9"/>
  <c r="G671" i="9"/>
  <c r="G679" i="9"/>
  <c r="G687" i="9"/>
  <c r="G695" i="9"/>
  <c r="G703" i="9"/>
  <c r="G711" i="9"/>
  <c r="G719" i="9"/>
  <c r="G727" i="9"/>
  <c r="G735" i="9"/>
  <c r="G129" i="9"/>
  <c r="G157" i="9"/>
  <c r="G208" i="9"/>
  <c r="G246" i="9"/>
  <c r="G285" i="9"/>
  <c r="G328" i="9"/>
  <c r="G344" i="9"/>
  <c r="G360" i="9"/>
  <c r="G376" i="9"/>
  <c r="G392" i="9"/>
  <c r="G408" i="9"/>
  <c r="G424" i="9"/>
  <c r="G440" i="9"/>
  <c r="G456" i="9"/>
  <c r="G472" i="9"/>
  <c r="G488" i="9"/>
  <c r="G504" i="9"/>
  <c r="G520" i="9"/>
  <c r="G536" i="9"/>
  <c r="G552" i="9"/>
  <c r="G568" i="9"/>
  <c r="G584" i="9"/>
  <c r="G600" i="9"/>
  <c r="G616" i="9"/>
  <c r="G632" i="9"/>
  <c r="G648" i="9"/>
  <c r="G664" i="9"/>
  <c r="G670" i="9"/>
  <c r="G682" i="9"/>
  <c r="G705" i="9"/>
  <c r="G723" i="9"/>
  <c r="G728" i="9"/>
  <c r="G734" i="9"/>
  <c r="G205" i="9"/>
  <c r="G225" i="9"/>
  <c r="G299" i="9"/>
  <c r="G353" i="9"/>
  <c r="G358" i="9"/>
  <c r="G44" i="9"/>
  <c r="G192" i="9"/>
  <c r="G201" i="9"/>
  <c r="G275" i="9"/>
  <c r="G681" i="9"/>
  <c r="G699" i="9"/>
  <c r="G704" i="9"/>
  <c r="G710" i="9"/>
  <c r="G722" i="9"/>
  <c r="G137" i="9"/>
  <c r="G267" i="9"/>
  <c r="G326" i="9"/>
  <c r="G337" i="9"/>
  <c r="G342" i="9"/>
  <c r="G374" i="9"/>
  <c r="G385" i="9"/>
  <c r="G48" i="9"/>
  <c r="G79" i="9"/>
  <c r="G84" i="9"/>
  <c r="G106" i="9"/>
  <c r="G113" i="9"/>
  <c r="G140" i="9"/>
  <c r="G152" i="9"/>
  <c r="G187" i="9"/>
  <c r="G241" i="9"/>
  <c r="G277" i="9"/>
  <c r="G338" i="9"/>
  <c r="G354" i="9"/>
  <c r="G370" i="9"/>
  <c r="G386" i="9"/>
  <c r="G402" i="9"/>
  <c r="G418" i="9"/>
  <c r="G434" i="9"/>
  <c r="G450" i="9"/>
  <c r="G466" i="9"/>
  <c r="G482" i="9"/>
  <c r="G498" i="9"/>
  <c r="G514" i="9"/>
  <c r="G530" i="9"/>
  <c r="G546" i="9"/>
  <c r="G562" i="9"/>
  <c r="G578" i="9"/>
  <c r="G594" i="9"/>
  <c r="G610" i="9"/>
  <c r="G626" i="9"/>
  <c r="G642" i="9"/>
  <c r="G658" i="9"/>
  <c r="G675" i="9"/>
  <c r="G680" i="9"/>
  <c r="G686" i="9"/>
  <c r="G698" i="9"/>
  <c r="G721" i="9"/>
  <c r="G739" i="9"/>
  <c r="G27" i="9"/>
  <c r="G369" i="9"/>
  <c r="G390" i="9"/>
  <c r="G401" i="9"/>
  <c r="G406" i="9"/>
  <c r="G66" i="9"/>
  <c r="G73" i="9"/>
  <c r="G123" i="9"/>
  <c r="G160" i="9"/>
  <c r="G167" i="9"/>
  <c r="G222" i="9"/>
  <c r="G233" i="9"/>
  <c r="G266" i="9"/>
  <c r="G293" i="9"/>
  <c r="G330" i="9"/>
  <c r="G346" i="9"/>
  <c r="G362" i="9"/>
  <c r="G378" i="9"/>
  <c r="G394" i="9"/>
  <c r="G410" i="9"/>
  <c r="G426" i="9"/>
  <c r="G442" i="9"/>
  <c r="G458" i="9"/>
  <c r="G474" i="9"/>
  <c r="G490" i="9"/>
  <c r="G506" i="9"/>
  <c r="G522" i="9"/>
  <c r="G538" i="9"/>
  <c r="G554" i="9"/>
  <c r="G570" i="9"/>
  <c r="G586" i="9"/>
  <c r="G602" i="9"/>
  <c r="G618" i="9"/>
  <c r="G634" i="9"/>
  <c r="G650" i="9"/>
  <c r="G666" i="9"/>
  <c r="G689" i="9"/>
  <c r="G707" i="9"/>
  <c r="G712" i="9"/>
  <c r="G718" i="9"/>
  <c r="G730" i="9"/>
  <c r="G57" i="9"/>
  <c r="G96" i="9"/>
  <c r="G116" i="9"/>
  <c r="G148" i="9"/>
  <c r="G181" i="9"/>
  <c r="G217" i="9"/>
  <c r="G253" i="9"/>
  <c r="G283" i="9"/>
  <c r="G329" i="9"/>
  <c r="G334" i="9"/>
  <c r="G345" i="9"/>
  <c r="G350" i="9"/>
  <c r="G361" i="9"/>
  <c r="G366" i="9"/>
  <c r="G377" i="9"/>
  <c r="G382" i="9"/>
  <c r="G393" i="9"/>
  <c r="G398" i="9"/>
  <c r="G409" i="9"/>
  <c r="G414" i="9"/>
  <c r="G425" i="9"/>
  <c r="G430" i="9"/>
  <c r="G441" i="9"/>
  <c r="G446" i="9"/>
  <c r="G457" i="9"/>
  <c r="G462" i="9"/>
  <c r="G473" i="9"/>
  <c r="G478" i="9"/>
  <c r="G489" i="9"/>
  <c r="G494" i="9"/>
  <c r="G505" i="9"/>
  <c r="G510" i="9"/>
  <c r="G521" i="9"/>
  <c r="G526" i="9"/>
  <c r="G537" i="9"/>
  <c r="G542" i="9"/>
  <c r="G553" i="9"/>
  <c r="G558" i="9"/>
  <c r="G569" i="9"/>
  <c r="G574" i="9"/>
  <c r="G585" i="9"/>
  <c r="G590" i="9"/>
  <c r="G601" i="9"/>
  <c r="G606" i="9"/>
  <c r="G617" i="9"/>
  <c r="G622" i="9"/>
  <c r="G633" i="9"/>
  <c r="G638" i="9"/>
  <c r="G400" i="9"/>
  <c r="G417" i="9"/>
  <c r="G470" i="9"/>
  <c r="G496" i="9"/>
  <c r="G545" i="9"/>
  <c r="G598" i="9"/>
  <c r="G624" i="9"/>
  <c r="G656" i="9"/>
  <c r="G713" i="9"/>
  <c r="G737" i="9"/>
  <c r="G258" i="9"/>
  <c r="G301" i="9"/>
  <c r="G416" i="9"/>
  <c r="G465" i="9"/>
  <c r="G518" i="9"/>
  <c r="G544" i="9"/>
  <c r="G593" i="9"/>
  <c r="G646" i="9"/>
  <c r="G665" i="9"/>
  <c r="G694" i="9"/>
  <c r="G736" i="9"/>
  <c r="G83" i="9"/>
  <c r="G139" i="9"/>
  <c r="G238" i="9"/>
  <c r="G352" i="9"/>
  <c r="G454" i="9"/>
  <c r="G480" i="9"/>
  <c r="G529" i="9"/>
  <c r="G582" i="9"/>
  <c r="G608" i="9"/>
  <c r="G672" i="9"/>
  <c r="G697" i="9"/>
  <c r="G706" i="9"/>
  <c r="G720" i="9"/>
  <c r="G729" i="9"/>
  <c r="G76" i="9"/>
  <c r="G130" i="9"/>
  <c r="G168" i="9"/>
  <c r="G175" i="9"/>
  <c r="G227" i="9"/>
  <c r="G368" i="9"/>
  <c r="G449" i="9"/>
  <c r="G502" i="9"/>
  <c r="G528" i="9"/>
  <c r="G577" i="9"/>
  <c r="G630" i="9"/>
  <c r="G662" i="9"/>
  <c r="G667" i="9"/>
  <c r="G691" i="9"/>
  <c r="G696" i="9"/>
  <c r="G715" i="9"/>
  <c r="G762" i="9"/>
  <c r="G763" i="9"/>
  <c r="G764" i="9"/>
  <c r="G765" i="9"/>
  <c r="G766" i="9"/>
  <c r="G767" i="9"/>
  <c r="G768" i="9"/>
  <c r="G769" i="9"/>
  <c r="G770" i="9"/>
  <c r="G771" i="9"/>
  <c r="G772" i="9"/>
  <c r="G773" i="9"/>
  <c r="G774" i="9"/>
  <c r="G775" i="9"/>
  <c r="G776" i="9"/>
  <c r="G777" i="9"/>
  <c r="G778" i="9"/>
  <c r="G779" i="9"/>
  <c r="G780" i="9"/>
  <c r="G781" i="9"/>
  <c r="G782" i="9"/>
  <c r="G783" i="9"/>
  <c r="G784" i="9"/>
  <c r="G785" i="9"/>
  <c r="G786" i="9"/>
  <c r="G787" i="9"/>
  <c r="G788" i="9"/>
  <c r="G789" i="9"/>
  <c r="G790" i="9"/>
  <c r="G791" i="9"/>
  <c r="G792" i="9"/>
  <c r="G793" i="9"/>
  <c r="G794" i="9"/>
  <c r="G795" i="9"/>
  <c r="G796" i="9"/>
  <c r="G797" i="9"/>
  <c r="G798" i="9"/>
  <c r="G799" i="9"/>
  <c r="G800" i="9"/>
  <c r="G801" i="9"/>
  <c r="G802" i="9"/>
  <c r="G803" i="9"/>
  <c r="G804" i="9"/>
  <c r="G805" i="9"/>
  <c r="G806" i="9"/>
  <c r="G807" i="9"/>
  <c r="G808" i="9"/>
  <c r="G809" i="9"/>
  <c r="G810" i="9"/>
  <c r="G811" i="9"/>
  <c r="G812" i="9"/>
  <c r="G813" i="9"/>
  <c r="G814" i="9"/>
  <c r="G815" i="9"/>
  <c r="G816" i="9"/>
  <c r="G817" i="9"/>
  <c r="G818" i="9"/>
  <c r="G819" i="9"/>
  <c r="G820" i="9"/>
  <c r="G821" i="9"/>
  <c r="G822" i="9"/>
  <c r="G823" i="9"/>
  <c r="G824" i="9"/>
  <c r="G825" i="9"/>
  <c r="G826" i="9"/>
  <c r="G827" i="9"/>
  <c r="G828" i="9"/>
  <c r="G829" i="9"/>
  <c r="G830" i="9"/>
  <c r="G831" i="9"/>
  <c r="G832" i="9"/>
  <c r="G833" i="9"/>
  <c r="G834" i="9"/>
  <c r="G835" i="9"/>
  <c r="G836" i="9"/>
  <c r="G837" i="9"/>
  <c r="G838" i="9"/>
  <c r="G839" i="9"/>
  <c r="G840" i="9"/>
  <c r="G841" i="9"/>
  <c r="G842" i="9"/>
  <c r="G843" i="9"/>
  <c r="G844" i="9"/>
  <c r="G845" i="9"/>
  <c r="G846" i="9"/>
  <c r="G847" i="9"/>
  <c r="G848" i="9"/>
  <c r="G849" i="9"/>
  <c r="G850" i="9"/>
  <c r="G851" i="9"/>
  <c r="G852" i="9"/>
  <c r="G853" i="9"/>
  <c r="G854" i="9"/>
  <c r="G855" i="9"/>
  <c r="G856" i="9"/>
  <c r="G857" i="9"/>
  <c r="G858" i="9"/>
  <c r="G859" i="9"/>
  <c r="G860" i="9"/>
  <c r="G861" i="9"/>
  <c r="G862" i="9"/>
  <c r="G863" i="9"/>
  <c r="G864" i="9"/>
  <c r="G865" i="9"/>
  <c r="G866" i="9"/>
  <c r="G867" i="9"/>
  <c r="G868" i="9"/>
  <c r="G869" i="9"/>
  <c r="G870" i="9"/>
  <c r="G871" i="9"/>
  <c r="G872" i="9"/>
  <c r="G873" i="9"/>
  <c r="G874" i="9"/>
  <c r="G875" i="9"/>
  <c r="G876" i="9"/>
  <c r="G877" i="9"/>
  <c r="G878" i="9"/>
  <c r="G879" i="9"/>
  <c r="G880" i="9"/>
  <c r="G881" i="9"/>
  <c r="G882" i="9"/>
  <c r="G883" i="9"/>
  <c r="G884" i="9"/>
  <c r="G885" i="9"/>
  <c r="G886" i="9"/>
  <c r="G887" i="9"/>
  <c r="G888" i="9"/>
  <c r="G889" i="9"/>
  <c r="G890" i="9"/>
  <c r="G891" i="9"/>
  <c r="G892" i="9"/>
  <c r="G893" i="9"/>
  <c r="G894" i="9"/>
  <c r="G895" i="9"/>
  <c r="G896" i="9"/>
  <c r="G897" i="9"/>
  <c r="G898" i="9"/>
  <c r="G899" i="9"/>
  <c r="G900" i="9"/>
  <c r="G901" i="9"/>
  <c r="G902" i="9"/>
  <c r="G903" i="9"/>
  <c r="G904" i="9"/>
  <c r="G905" i="9"/>
  <c r="G906" i="9"/>
  <c r="G907" i="9"/>
  <c r="G908" i="9"/>
  <c r="G909" i="9"/>
  <c r="G910" i="9"/>
  <c r="G911" i="9"/>
  <c r="G912" i="9"/>
  <c r="G913" i="9"/>
  <c r="G914" i="9"/>
  <c r="G915" i="9"/>
  <c r="G683" i="9"/>
  <c r="G674" i="9"/>
  <c r="G657" i="9"/>
  <c r="G614" i="9"/>
  <c r="G534" i="9"/>
  <c r="G438" i="9"/>
  <c r="G384" i="9"/>
  <c r="G291" i="9"/>
  <c r="G163" i="9"/>
  <c r="G41" i="9"/>
  <c r="G726" i="9"/>
  <c r="G688" i="9"/>
  <c r="G497" i="9"/>
  <c r="G336" i="9"/>
  <c r="G94" i="9"/>
  <c r="G731" i="9"/>
  <c r="G714" i="9"/>
  <c r="G649" i="9"/>
  <c r="G640" i="9"/>
  <c r="G560" i="9"/>
  <c r="G464" i="9"/>
  <c r="G262" i="9"/>
  <c r="G99" i="9"/>
  <c r="G702" i="9"/>
  <c r="G654" i="9"/>
  <c r="G641" i="9"/>
  <c r="G561" i="9"/>
  <c r="G481" i="9"/>
  <c r="G448" i="9"/>
  <c r="G422" i="9"/>
  <c r="H112" i="2"/>
  <c r="K1062" i="2"/>
  <c r="Y276" i="9"/>
  <c r="Y656" i="9"/>
  <c r="Y657" i="9"/>
  <c r="Y658" i="9"/>
  <c r="Y659" i="9"/>
  <c r="Y660" i="9"/>
  <c r="Y661" i="9"/>
  <c r="Y662" i="9"/>
  <c r="Y663" i="9"/>
  <c r="Y664" i="9"/>
  <c r="Y665" i="9"/>
  <c r="Y666" i="9"/>
  <c r="Y667" i="9"/>
  <c r="Y668" i="9"/>
  <c r="Y669" i="9"/>
  <c r="Y670" i="9"/>
  <c r="Y671" i="9"/>
  <c r="Y672" i="9"/>
  <c r="Y673" i="9"/>
  <c r="Y674" i="9"/>
  <c r="Y675" i="9"/>
  <c r="Y676" i="9"/>
  <c r="Y677" i="9"/>
  <c r="Y678" i="9"/>
  <c r="Y679" i="9"/>
  <c r="Y680" i="9"/>
  <c r="Y681" i="9"/>
  <c r="Y682" i="9"/>
  <c r="Y683" i="9"/>
  <c r="Y684" i="9"/>
  <c r="Y685" i="9"/>
  <c r="Y686" i="9"/>
  <c r="Y687" i="9"/>
  <c r="Y688" i="9"/>
  <c r="Y689" i="9"/>
  <c r="Y690" i="9"/>
  <c r="Y691" i="9"/>
  <c r="Y692" i="9"/>
  <c r="Y693" i="9"/>
  <c r="Y694" i="9"/>
  <c r="Y695" i="9"/>
  <c r="Y696" i="9"/>
  <c r="Y697" i="9"/>
  <c r="Y698" i="9"/>
  <c r="Y699" i="9"/>
  <c r="Y700" i="9"/>
  <c r="Y701" i="9"/>
  <c r="Y702" i="9"/>
  <c r="Y703" i="9"/>
  <c r="Y704" i="9"/>
  <c r="Y705" i="9"/>
  <c r="Y706" i="9"/>
  <c r="Y707" i="9"/>
  <c r="Y708" i="9"/>
  <c r="Y709" i="9"/>
  <c r="Y710" i="9"/>
  <c r="Y711" i="9"/>
  <c r="Y712" i="9"/>
  <c r="Y713" i="9"/>
  <c r="Y714" i="9"/>
  <c r="Y715" i="9"/>
  <c r="Y716" i="9"/>
  <c r="Y717" i="9"/>
  <c r="Y718" i="9"/>
  <c r="Y719" i="9"/>
  <c r="Y720" i="9"/>
  <c r="Y721" i="9"/>
  <c r="Y722" i="9"/>
  <c r="Y723" i="9"/>
  <c r="Y724" i="9"/>
  <c r="Y725" i="9"/>
  <c r="Y726" i="9"/>
  <c r="Y727" i="9"/>
  <c r="Y728" i="9"/>
  <c r="Y729" i="9"/>
  <c r="Y730" i="9"/>
  <c r="Y731" i="9"/>
  <c r="Y732" i="9"/>
  <c r="Y733" i="9"/>
  <c r="Y734" i="9"/>
  <c r="Y735" i="9"/>
  <c r="Y736" i="9"/>
  <c r="Y737" i="9"/>
  <c r="Y738" i="9"/>
  <c r="Y739" i="9"/>
  <c r="K1060" i="2"/>
  <c r="Y487" i="9"/>
  <c r="Y488" i="9"/>
  <c r="Y489" i="9"/>
  <c r="Y490" i="9"/>
  <c r="Y491" i="9"/>
  <c r="Y492" i="9"/>
  <c r="Y493" i="9"/>
  <c r="Y494" i="9"/>
  <c r="Y495" i="9"/>
  <c r="Y496" i="9"/>
  <c r="Y497" i="9"/>
  <c r="Y498" i="9"/>
  <c r="Y499" i="9"/>
  <c r="Y500" i="9"/>
  <c r="Y501" i="9"/>
  <c r="Y502" i="9"/>
  <c r="Y503" i="9"/>
  <c r="Y504" i="9"/>
  <c r="Y505" i="9"/>
  <c r="Y506" i="9"/>
  <c r="Y507" i="9"/>
  <c r="Y508" i="9"/>
  <c r="Y509" i="9"/>
  <c r="Y510" i="9"/>
  <c r="Y511" i="9"/>
  <c r="Y512" i="9"/>
  <c r="Y513" i="9"/>
  <c r="Y514" i="9"/>
  <c r="Y515" i="9"/>
  <c r="Y516" i="9"/>
  <c r="Y517" i="9"/>
  <c r="Y518" i="9"/>
  <c r="Y519" i="9"/>
  <c r="Y520" i="9"/>
  <c r="Y521" i="9"/>
  <c r="Y522" i="9"/>
  <c r="Y523" i="9"/>
  <c r="Y524" i="9"/>
  <c r="Y525" i="9"/>
  <c r="Y526" i="9"/>
  <c r="Y527" i="9"/>
  <c r="Y528" i="9"/>
  <c r="Y529" i="9"/>
  <c r="Y530" i="9"/>
  <c r="Y531" i="9"/>
  <c r="Y532" i="9"/>
  <c r="Y533" i="9"/>
  <c r="Y534" i="9"/>
  <c r="Y535" i="9"/>
  <c r="Y536" i="9"/>
  <c r="Y537" i="9"/>
  <c r="Y538" i="9"/>
  <c r="Y539" i="9"/>
  <c r="Y540" i="9"/>
  <c r="Y541" i="9"/>
  <c r="Y542" i="9"/>
  <c r="Y543" i="9"/>
  <c r="Y544" i="9"/>
  <c r="Y545" i="9"/>
  <c r="Y546" i="9"/>
  <c r="Y547" i="9"/>
  <c r="Y548" i="9"/>
  <c r="Y549" i="9"/>
  <c r="Y550" i="9"/>
  <c r="Y551" i="9"/>
  <c r="Y552" i="9"/>
  <c r="Y553" i="9"/>
  <c r="Y554" i="9"/>
  <c r="Y555" i="9"/>
  <c r="Y556" i="9"/>
  <c r="Y557" i="9"/>
  <c r="Y558" i="9"/>
  <c r="Y559" i="9"/>
  <c r="Y560" i="9"/>
  <c r="Y561" i="9"/>
  <c r="Y562" i="9"/>
  <c r="Y563" i="9"/>
  <c r="Y564" i="9"/>
  <c r="Y565" i="9"/>
  <c r="Y566" i="9"/>
  <c r="Y567" i="9"/>
  <c r="Y568" i="9"/>
  <c r="Y569" i="9"/>
  <c r="Y570" i="9"/>
  <c r="Y571" i="9"/>
  <c r="Y280" i="9"/>
  <c r="Y572" i="9"/>
  <c r="Y573" i="9"/>
  <c r="Y574" i="9"/>
  <c r="Y575" i="9"/>
  <c r="Y576" i="9"/>
  <c r="Y577" i="9"/>
  <c r="Y578" i="9"/>
  <c r="Y579" i="9"/>
  <c r="Y580" i="9"/>
  <c r="Y581" i="9"/>
  <c r="Y582" i="9"/>
  <c r="Y583" i="9"/>
  <c r="Y584" i="9"/>
  <c r="Y585" i="9"/>
  <c r="Y586" i="9"/>
  <c r="Y587" i="9"/>
  <c r="Y588" i="9"/>
  <c r="Y589" i="9"/>
  <c r="Y590" i="9"/>
  <c r="Y591" i="9"/>
  <c r="Y592" i="9"/>
  <c r="Y593" i="9"/>
  <c r="Y594" i="9"/>
  <c r="Y595" i="9"/>
  <c r="Y596" i="9"/>
  <c r="Y597" i="9"/>
  <c r="Y598" i="9"/>
  <c r="Y599" i="9"/>
  <c r="Y600" i="9"/>
  <c r="Y601" i="9"/>
  <c r="Y602" i="9"/>
  <c r="Y603" i="9"/>
  <c r="Y604" i="9"/>
  <c r="Y605" i="9"/>
  <c r="Y606" i="9"/>
  <c r="Y607" i="9"/>
  <c r="Y608" i="9"/>
  <c r="Y609" i="9"/>
  <c r="Y610" i="9"/>
  <c r="Y611" i="9"/>
  <c r="Y612" i="9"/>
  <c r="Y613" i="9"/>
  <c r="Y614" i="9"/>
  <c r="Y615" i="9"/>
  <c r="Y616" i="9"/>
  <c r="Y617" i="9"/>
  <c r="Y618" i="9"/>
  <c r="Y619" i="9"/>
  <c r="Y620" i="9"/>
  <c r="Y621" i="9"/>
  <c r="Y622" i="9"/>
  <c r="Y623" i="9"/>
  <c r="Y624" i="9"/>
  <c r="Y625" i="9"/>
  <c r="Y626" i="9"/>
  <c r="Y627" i="9"/>
  <c r="Y628" i="9"/>
  <c r="Y629" i="9"/>
  <c r="Y630" i="9"/>
  <c r="Y631" i="9"/>
  <c r="Y632" i="9"/>
  <c r="Y633" i="9"/>
  <c r="Y634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K1063" i="2"/>
  <c r="K1055" i="2"/>
  <c r="K1066" i="2"/>
  <c r="K1058" i="2"/>
  <c r="K1064" i="2"/>
  <c r="K1056" i="2"/>
  <c r="K1061" i="2"/>
  <c r="C28" i="1"/>
  <c r="AH32" i="15"/>
  <c r="R787" i="2"/>
  <c r="M333" i="2"/>
  <c r="M334" i="2" s="1"/>
  <c r="L334" i="2" s="1"/>
  <c r="Z328" i="2" s="1"/>
  <c r="J432" i="2" s="1"/>
  <c r="H432" i="2" s="1"/>
  <c r="D348" i="2" s="1"/>
  <c r="C348" i="2" s="1"/>
  <c r="L1341" i="2"/>
  <c r="M1341" i="2" s="1"/>
  <c r="Y292" i="9"/>
  <c r="Y403" i="9"/>
  <c r="Y404" i="9"/>
  <c r="Y405" i="9"/>
  <c r="Y406" i="9"/>
  <c r="Y407" i="9"/>
  <c r="Y408" i="9"/>
  <c r="Y409" i="9"/>
  <c r="Y410" i="9"/>
  <c r="Y411" i="9"/>
  <c r="Y412" i="9"/>
  <c r="Y413" i="9"/>
  <c r="Y414" i="9"/>
  <c r="Y415" i="9"/>
  <c r="Y416" i="9"/>
  <c r="Y417" i="9"/>
  <c r="Y418" i="9"/>
  <c r="Y419" i="9"/>
  <c r="Y420" i="9"/>
  <c r="Y421" i="9"/>
  <c r="Y422" i="9"/>
  <c r="Y423" i="9"/>
  <c r="Y424" i="9"/>
  <c r="Y425" i="9"/>
  <c r="Y426" i="9"/>
  <c r="Y427" i="9"/>
  <c r="Y428" i="9"/>
  <c r="Y429" i="9"/>
  <c r="Y430" i="9"/>
  <c r="Y431" i="9"/>
  <c r="Y432" i="9"/>
  <c r="Y433" i="9"/>
  <c r="Y434" i="9"/>
  <c r="Y435" i="9"/>
  <c r="Y436" i="9"/>
  <c r="Y437" i="9"/>
  <c r="Y438" i="9"/>
  <c r="Y439" i="9"/>
  <c r="Y440" i="9"/>
  <c r="Y441" i="9"/>
  <c r="Y442" i="9"/>
  <c r="Y443" i="9"/>
  <c r="Y444" i="9"/>
  <c r="Y445" i="9"/>
  <c r="Y446" i="9"/>
  <c r="Y447" i="9"/>
  <c r="Y448" i="9"/>
  <c r="Y449" i="9"/>
  <c r="Y450" i="9"/>
  <c r="Y451" i="9"/>
  <c r="Y452" i="9"/>
  <c r="Y453" i="9"/>
  <c r="Y454" i="9"/>
  <c r="Y455" i="9"/>
  <c r="Y456" i="9"/>
  <c r="Y457" i="9"/>
  <c r="Y458" i="9"/>
  <c r="Y459" i="9"/>
  <c r="Y460" i="9"/>
  <c r="Y461" i="9"/>
  <c r="Y462" i="9"/>
  <c r="Y463" i="9"/>
  <c r="Y464" i="9"/>
  <c r="Y465" i="9"/>
  <c r="Y466" i="9"/>
  <c r="Y467" i="9"/>
  <c r="Y468" i="9"/>
  <c r="Y469" i="9"/>
  <c r="Y470" i="9"/>
  <c r="Y471" i="9"/>
  <c r="Y472" i="9"/>
  <c r="Y473" i="9"/>
  <c r="Y474" i="9"/>
  <c r="Y475" i="9"/>
  <c r="Y476" i="9"/>
  <c r="Y477" i="9"/>
  <c r="Y478" i="9"/>
  <c r="Y479" i="9"/>
  <c r="Y480" i="9"/>
  <c r="Y481" i="9"/>
  <c r="Y482" i="9"/>
  <c r="Y483" i="9"/>
  <c r="Y484" i="9"/>
  <c r="Y485" i="9"/>
  <c r="Y486" i="9"/>
  <c r="Y288" i="9"/>
  <c r="Y300" i="9"/>
  <c r="Y321" i="9"/>
  <c r="Y268" i="9"/>
  <c r="Y296" i="9"/>
  <c r="Y277" i="9"/>
  <c r="Y285" i="9"/>
  <c r="Y322" i="9"/>
  <c r="Y323" i="9"/>
  <c r="Y325" i="9"/>
  <c r="Y327" i="9"/>
  <c r="Y329" i="9"/>
  <c r="Y331" i="9"/>
  <c r="Y333" i="9"/>
  <c r="Y335" i="9"/>
  <c r="Y337" i="9"/>
  <c r="Y339" i="9"/>
  <c r="Y341" i="9"/>
  <c r="Y342" i="9"/>
  <c r="Y344" i="9"/>
  <c r="Y346" i="9"/>
  <c r="Y348" i="9"/>
  <c r="Y349" i="9"/>
  <c r="Y352" i="9"/>
  <c r="Y353" i="9"/>
  <c r="Y356" i="9"/>
  <c r="Y357" i="9"/>
  <c r="Y359" i="9"/>
  <c r="Y361" i="9"/>
  <c r="Y363" i="9"/>
  <c r="Y365" i="9"/>
  <c r="Y367" i="9"/>
  <c r="Y369" i="9"/>
  <c r="Y371" i="9"/>
  <c r="Y373" i="9"/>
  <c r="Y375" i="9"/>
  <c r="Y377" i="9"/>
  <c r="Y379" i="9"/>
  <c r="Y380" i="9"/>
  <c r="Y383" i="9"/>
  <c r="Y385" i="9"/>
  <c r="Y387" i="9"/>
  <c r="Y391" i="9"/>
  <c r="Y392" i="9"/>
  <c r="Y394" i="9"/>
  <c r="Y396" i="9"/>
  <c r="Y399" i="9"/>
  <c r="Y400" i="9"/>
  <c r="Y319" i="9"/>
  <c r="Y136" i="9"/>
  <c r="Y318" i="9"/>
  <c r="Y175" i="9"/>
  <c r="Y269" i="9"/>
  <c r="Y293" i="9"/>
  <c r="Y301" i="9"/>
  <c r="Y324" i="9"/>
  <c r="Y326" i="9"/>
  <c r="Y328" i="9"/>
  <c r="Y330" i="9"/>
  <c r="Y332" i="9"/>
  <c r="Y334" i="9"/>
  <c r="Y336" i="9"/>
  <c r="Y338" i="9"/>
  <c r="Y340" i="9"/>
  <c r="Y343" i="9"/>
  <c r="Y345" i="9"/>
  <c r="Y347" i="9"/>
  <c r="Y350" i="9"/>
  <c r="Y351" i="9"/>
  <c r="Y354" i="9"/>
  <c r="Y355" i="9"/>
  <c r="Y358" i="9"/>
  <c r="Y360" i="9"/>
  <c r="Y362" i="9"/>
  <c r="Y364" i="9"/>
  <c r="Y366" i="9"/>
  <c r="Y368" i="9"/>
  <c r="Y370" i="9"/>
  <c r="Y372" i="9"/>
  <c r="Y374" i="9"/>
  <c r="Y376" i="9"/>
  <c r="Y378" i="9"/>
  <c r="Y381" i="9"/>
  <c r="Y382" i="9"/>
  <c r="Y384" i="9"/>
  <c r="Y386" i="9"/>
  <c r="Y388" i="9"/>
  <c r="Y389" i="9"/>
  <c r="Y390" i="9"/>
  <c r="Y393" i="9"/>
  <c r="Y395" i="9"/>
  <c r="Y397" i="9"/>
  <c r="Y398" i="9"/>
  <c r="Y401" i="9"/>
  <c r="Y402" i="9"/>
  <c r="Y270" i="9"/>
  <c r="Y278" i="9"/>
  <c r="Y286" i="9"/>
  <c r="Y294" i="9"/>
  <c r="Y302" i="9"/>
  <c r="Y320" i="9"/>
  <c r="P90" i="2"/>
  <c r="L58" i="2"/>
  <c r="Y1045" i="2"/>
  <c r="Y1039" i="2"/>
  <c r="Y284" i="9"/>
  <c r="Y272" i="9"/>
  <c r="Y145" i="9"/>
  <c r="J497" i="2"/>
  <c r="I497" i="2"/>
  <c r="F79" i="2"/>
  <c r="D146" i="2"/>
  <c r="M321" i="9"/>
  <c r="M312" i="9"/>
  <c r="M304" i="9"/>
  <c r="M300" i="9"/>
  <c r="M296" i="9"/>
  <c r="M292" i="9"/>
  <c r="M288" i="9"/>
  <c r="M284" i="9"/>
  <c r="M280" i="9"/>
  <c r="M276" i="9"/>
  <c r="M272" i="9"/>
  <c r="M268" i="9"/>
  <c r="M251" i="9"/>
  <c r="M228" i="9"/>
  <c r="M204" i="9"/>
  <c r="M180" i="9"/>
  <c r="M145" i="9"/>
  <c r="M139" i="9"/>
  <c r="M107" i="9"/>
  <c r="M104" i="9"/>
  <c r="M99" i="9"/>
  <c r="M88" i="9"/>
  <c r="M77" i="9"/>
  <c r="M74" i="9"/>
  <c r="V97" i="10"/>
  <c r="W97" i="10" s="1"/>
  <c r="V80" i="10"/>
  <c r="W80" i="10" s="1"/>
  <c r="V35" i="10"/>
  <c r="W35" i="10" s="1"/>
  <c r="V20" i="10"/>
  <c r="H88" i="2"/>
  <c r="AM4" i="10"/>
  <c r="W79" i="2"/>
  <c r="M319" i="9"/>
  <c r="M316" i="9"/>
  <c r="M308" i="9"/>
  <c r="M242" i="9"/>
  <c r="M234" i="9"/>
  <c r="M211" i="9"/>
  <c r="M208" i="9"/>
  <c r="M200" i="9"/>
  <c r="M189" i="9"/>
  <c r="M129" i="9"/>
  <c r="M119" i="9"/>
  <c r="M111" i="9"/>
  <c r="M60" i="9"/>
  <c r="V110" i="10"/>
  <c r="V107" i="10"/>
  <c r="AM61" i="10"/>
  <c r="H168" i="2"/>
  <c r="D150" i="2"/>
  <c r="AM70" i="10"/>
  <c r="H117" i="2"/>
  <c r="B134" i="2"/>
  <c r="F71" i="2"/>
  <c r="AD60" i="2"/>
  <c r="M311" i="9"/>
  <c r="M303" i="9"/>
  <c r="M299" i="9"/>
  <c r="M295" i="9"/>
  <c r="M291" i="9"/>
  <c r="M287" i="9"/>
  <c r="M283" i="9"/>
  <c r="M279" i="9"/>
  <c r="M275" i="9"/>
  <c r="M271" i="9"/>
  <c r="M267" i="9"/>
  <c r="M250" i="9"/>
  <c r="M227" i="9"/>
  <c r="M224" i="9"/>
  <c r="M216" i="9"/>
  <c r="M203" i="9"/>
  <c r="M182" i="9"/>
  <c r="M179" i="9"/>
  <c r="M168" i="9"/>
  <c r="M150" i="9"/>
  <c r="M103" i="9"/>
  <c r="M90" i="9"/>
  <c r="M79" i="9"/>
  <c r="M68" i="9"/>
  <c r="M65" i="9"/>
  <c r="V82" i="10"/>
  <c r="W82" i="10" s="1"/>
  <c r="V76" i="10"/>
  <c r="W76" i="10" s="1"/>
  <c r="V65" i="10"/>
  <c r="W65" i="10" s="1"/>
  <c r="K988" i="2"/>
  <c r="H74" i="2"/>
  <c r="D149" i="2"/>
  <c r="F144" i="2"/>
  <c r="AM82" i="10"/>
  <c r="N663" i="2"/>
  <c r="S85" i="2"/>
  <c r="M320" i="9"/>
  <c r="M314" i="9"/>
  <c r="M306" i="9"/>
  <c r="M243" i="9"/>
  <c r="M240" i="9"/>
  <c r="M232" i="9"/>
  <c r="M219" i="9"/>
  <c r="M196" i="9"/>
  <c r="M171" i="9"/>
  <c r="M141" i="9"/>
  <c r="M138" i="9"/>
  <c r="M130" i="9"/>
  <c r="M120" i="9"/>
  <c r="M117" i="9"/>
  <c r="M106" i="9"/>
  <c r="M98" i="9"/>
  <c r="M87" i="9"/>
  <c r="D1459" i="2"/>
  <c r="B1459" i="2" s="1"/>
  <c r="D1458" i="2"/>
  <c r="C1457" i="2" s="1"/>
  <c r="D1457" i="2" s="1"/>
  <c r="AA46" i="15" s="1"/>
  <c r="AM67" i="10"/>
  <c r="AM24" i="10"/>
  <c r="AB515" i="2"/>
  <c r="J334" i="2"/>
  <c r="AM72" i="10"/>
  <c r="J381" i="2"/>
  <c r="G611" i="2"/>
  <c r="H611" i="2" s="1"/>
  <c r="I611" i="2" s="1"/>
  <c r="J611" i="2" s="1"/>
  <c r="U78" i="2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V7" i="10"/>
  <c r="W7" i="10" s="1"/>
  <c r="V46" i="10"/>
  <c r="W46" i="10" s="1"/>
  <c r="V103" i="10"/>
  <c r="W103" i="10" s="1"/>
  <c r="V109" i="10"/>
  <c r="W109" i="10" s="1"/>
  <c r="V8" i="10"/>
  <c r="W8" i="10" s="1"/>
  <c r="V11" i="10"/>
  <c r="W11" i="10" s="1"/>
  <c r="V21" i="10"/>
  <c r="W21" i="10" s="1"/>
  <c r="V72" i="10"/>
  <c r="W72" i="10" s="1"/>
  <c r="V112" i="10"/>
  <c r="W112" i="10" s="1"/>
  <c r="V31" i="10"/>
  <c r="W31" i="10" s="1"/>
  <c r="V99" i="10"/>
  <c r="W99" i="10" s="1"/>
  <c r="V30" i="10"/>
  <c r="W30" i="10" s="1"/>
  <c r="V39" i="10"/>
  <c r="W39" i="10" s="1"/>
  <c r="V62" i="10"/>
  <c r="W62" i="10" s="1"/>
  <c r="V83" i="10"/>
  <c r="W83" i="10" s="1"/>
  <c r="V86" i="10"/>
  <c r="W86" i="10" s="1"/>
  <c r="V89" i="10"/>
  <c r="W89" i="10" s="1"/>
  <c r="V98" i="10"/>
  <c r="W98" i="10" s="1"/>
  <c r="AM30" i="10"/>
  <c r="G31" i="9"/>
  <c r="G45" i="9"/>
  <c r="G59" i="9"/>
  <c r="G69" i="9"/>
  <c r="G72" i="9"/>
  <c r="G75" i="9"/>
  <c r="G82" i="9"/>
  <c r="G85" i="9"/>
  <c r="G89" i="9"/>
  <c r="G105" i="9"/>
  <c r="G112" i="9"/>
  <c r="G115" i="9"/>
  <c r="G132" i="9"/>
  <c r="G135" i="9"/>
  <c r="G142" i="9"/>
  <c r="G151" i="9"/>
  <c r="G173" i="9"/>
  <c r="G177" i="9"/>
  <c r="G180" i="9"/>
  <c r="G190" i="9"/>
  <c r="G193" i="9"/>
  <c r="G194" i="9"/>
  <c r="G204" i="9"/>
  <c r="G207" i="9"/>
  <c r="G210" i="9"/>
  <c r="G220" i="9"/>
  <c r="G223" i="9"/>
  <c r="G226" i="9"/>
  <c r="G236" i="9"/>
  <c r="G239" i="9"/>
  <c r="G242" i="9"/>
  <c r="G252" i="9"/>
  <c r="G255" i="9"/>
  <c r="G263" i="9"/>
  <c r="G272" i="9"/>
  <c r="G280" i="9"/>
  <c r="G288" i="9"/>
  <c r="G296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26" i="9"/>
  <c r="G40" i="9"/>
  <c r="G56" i="9"/>
  <c r="G65" i="9"/>
  <c r="G78" i="9"/>
  <c r="G92" i="9"/>
  <c r="G95" i="9"/>
  <c r="G98" i="9"/>
  <c r="G108" i="9"/>
  <c r="G125" i="9"/>
  <c r="G128" i="9"/>
  <c r="G138" i="9"/>
  <c r="G143" i="9"/>
  <c r="G147" i="9"/>
  <c r="G169" i="9"/>
  <c r="G186" i="9"/>
  <c r="G200" i="9"/>
  <c r="G216" i="9"/>
  <c r="G232" i="9"/>
  <c r="G248" i="9"/>
  <c r="G260" i="9"/>
  <c r="G271" i="9"/>
  <c r="G279" i="9"/>
  <c r="G287" i="9"/>
  <c r="G295" i="9"/>
  <c r="G303" i="9"/>
  <c r="G35" i="9"/>
  <c r="G49" i="9"/>
  <c r="G62" i="9"/>
  <c r="G68" i="9"/>
  <c r="G74" i="9"/>
  <c r="G81" i="9"/>
  <c r="G87" i="9"/>
  <c r="G88" i="9"/>
  <c r="G101" i="9"/>
  <c r="G104" i="9"/>
  <c r="G111" i="9"/>
  <c r="G118" i="9"/>
  <c r="G122" i="9"/>
  <c r="G134" i="9"/>
  <c r="G141" i="9"/>
  <c r="G150" i="9"/>
  <c r="G153" i="9"/>
  <c r="G156" i="9"/>
  <c r="G159" i="9"/>
  <c r="G162" i="9"/>
  <c r="G165" i="9"/>
  <c r="G172" i="9"/>
  <c r="G176" i="9"/>
  <c r="G179" i="9"/>
  <c r="G183" i="9"/>
  <c r="G189" i="9"/>
  <c r="G197" i="9"/>
  <c r="G203" i="9"/>
  <c r="G213" i="9"/>
  <c r="G219" i="9"/>
  <c r="G229" i="9"/>
  <c r="G235" i="9"/>
  <c r="G245" i="9"/>
  <c r="G251" i="9"/>
  <c r="G257" i="9"/>
  <c r="G265" i="9"/>
  <c r="G270" i="9"/>
  <c r="G278" i="9"/>
  <c r="G286" i="9"/>
  <c r="G294" i="9"/>
  <c r="G302" i="9"/>
  <c r="G53" i="9"/>
  <c r="G61" i="9"/>
  <c r="G64" i="9"/>
  <c r="G91" i="9"/>
  <c r="G103" i="9"/>
  <c r="G110" i="9"/>
  <c r="G117" i="9"/>
  <c r="G121" i="9"/>
  <c r="G124" i="9"/>
  <c r="G127" i="9"/>
  <c r="G145" i="9"/>
  <c r="G149" i="9"/>
  <c r="G158" i="9"/>
  <c r="G161" i="9"/>
  <c r="G171" i="9"/>
  <c r="G182" i="9"/>
  <c r="G185" i="9"/>
  <c r="G188" i="9"/>
  <c r="G196" i="9"/>
  <c r="G199" i="9"/>
  <c r="G202" i="9"/>
  <c r="G212" i="9"/>
  <c r="G215" i="9"/>
  <c r="G218" i="9"/>
  <c r="G228" i="9"/>
  <c r="G231" i="9"/>
  <c r="G234" i="9"/>
  <c r="G244" i="9"/>
  <c r="G247" i="9"/>
  <c r="G250" i="9"/>
  <c r="G259" i="9"/>
  <c r="G268" i="9"/>
  <c r="G276" i="9"/>
  <c r="G284" i="9"/>
  <c r="G292" i="9"/>
  <c r="G300" i="9"/>
  <c r="V25" i="10"/>
  <c r="W25" i="10" s="1"/>
  <c r="V18" i="10"/>
  <c r="W18" i="10" s="1"/>
  <c r="N1436" i="2"/>
  <c r="AJ1434" i="2" s="1"/>
  <c r="AN1434" i="2" s="1"/>
  <c r="AR1434" i="2" s="1"/>
  <c r="AI1429" i="2"/>
  <c r="AQ1429" i="2"/>
  <c r="AY1429" i="2" s="1"/>
  <c r="BG1429" i="2" s="1"/>
  <c r="AM8" i="10"/>
  <c r="AM62" i="10"/>
  <c r="Y120" i="9"/>
  <c r="Y267" i="9"/>
  <c r="Y275" i="9"/>
  <c r="Y283" i="9"/>
  <c r="Y291" i="9"/>
  <c r="Y299" i="9"/>
  <c r="Y129" i="9"/>
  <c r="Y166" i="9"/>
  <c r="Y266" i="9"/>
  <c r="Y274" i="9"/>
  <c r="Y282" i="9"/>
  <c r="Y290" i="9"/>
  <c r="Y298" i="9"/>
  <c r="Y115" i="9"/>
  <c r="Y273" i="9"/>
  <c r="Y281" i="9"/>
  <c r="Y289" i="9"/>
  <c r="Y297" i="9"/>
  <c r="Y271" i="9"/>
  <c r="Y279" i="9"/>
  <c r="Y287" i="9"/>
  <c r="Y295" i="9"/>
  <c r="Y303" i="9"/>
  <c r="Y304" i="9"/>
  <c r="Y305" i="9"/>
  <c r="Y306" i="9"/>
  <c r="Y307" i="9"/>
  <c r="Y308" i="9"/>
  <c r="Y309" i="9"/>
  <c r="Y310" i="9"/>
  <c r="Y311" i="9"/>
  <c r="Y312" i="9"/>
  <c r="Y313" i="9"/>
  <c r="Y314" i="9"/>
  <c r="Y315" i="9"/>
  <c r="Y316" i="9"/>
  <c r="Y317" i="9"/>
  <c r="L1343" i="2"/>
  <c r="M1343" i="2" s="1"/>
  <c r="AQ1424" i="2"/>
  <c r="AY1424" i="2" s="1"/>
  <c r="BG1424" i="2" s="1"/>
  <c r="AI1424" i="2"/>
  <c r="L1340" i="2"/>
  <c r="M1340" i="2" s="1"/>
  <c r="AM7" i="10"/>
  <c r="AM45" i="10"/>
  <c r="AM71" i="10"/>
  <c r="AM34" i="10"/>
  <c r="L1345" i="2"/>
  <c r="M1345" i="2" s="1"/>
  <c r="AM93" i="10"/>
  <c r="AM50" i="10"/>
  <c r="AM57" i="10"/>
  <c r="L1339" i="2"/>
  <c r="M1339" i="2" s="1"/>
  <c r="E4" i="10"/>
  <c r="H4" i="10" s="1"/>
  <c r="E42" i="10"/>
  <c r="E47" i="10"/>
  <c r="H47" i="10" s="1"/>
  <c r="E48" i="10"/>
  <c r="H48" i="10" s="1"/>
  <c r="E65" i="10"/>
  <c r="E89" i="10"/>
  <c r="H89" i="10" s="1"/>
  <c r="E100" i="10"/>
  <c r="H100" i="10" s="1"/>
  <c r="E9" i="10"/>
  <c r="H9" i="10" s="1"/>
  <c r="E53" i="10"/>
  <c r="H53" i="10" s="1"/>
  <c r="E77" i="10"/>
  <c r="H77" i="10" s="1"/>
  <c r="E83" i="10"/>
  <c r="H83" i="10" s="1"/>
  <c r="E98" i="10"/>
  <c r="H98" i="10" s="1"/>
  <c r="E29" i="10"/>
  <c r="E82" i="10"/>
  <c r="H82" i="10" s="1"/>
  <c r="E112" i="10"/>
  <c r="H112" i="10" s="1"/>
  <c r="E6" i="10"/>
  <c r="H6" i="10" s="1"/>
  <c r="E17" i="10"/>
  <c r="H17" i="10" s="1"/>
  <c r="E55" i="10"/>
  <c r="E67" i="10"/>
  <c r="H67" i="10" s="1"/>
  <c r="E68" i="10"/>
  <c r="H68" i="10" s="1"/>
  <c r="E85" i="10"/>
  <c r="E92" i="10"/>
  <c r="H92" i="10" s="1"/>
  <c r="E94" i="10"/>
  <c r="H94" i="10" s="1"/>
  <c r="E105" i="10"/>
  <c r="H105" i="10" s="1"/>
  <c r="E32" i="10"/>
  <c r="H32" i="10" s="1"/>
  <c r="E40" i="10"/>
  <c r="H40" i="10" s="1"/>
  <c r="E62" i="10"/>
  <c r="H62" i="10" s="1"/>
  <c r="E73" i="10"/>
  <c r="H73" i="10" s="1"/>
  <c r="E80" i="10"/>
  <c r="H80" i="10" s="1"/>
  <c r="E109" i="10"/>
  <c r="H109" i="10" s="1"/>
  <c r="E34" i="10"/>
  <c r="H34" i="10" s="1"/>
  <c r="E102" i="10"/>
  <c r="H102" i="10" s="1"/>
  <c r="E19" i="10"/>
  <c r="H19" i="10" s="1"/>
  <c r="E106" i="10"/>
  <c r="H106" i="10" s="1"/>
  <c r="E12" i="10"/>
  <c r="H12" i="10" s="1"/>
  <c r="E26" i="10"/>
  <c r="H26" i="10" s="1"/>
  <c r="E31" i="10"/>
  <c r="E39" i="10"/>
  <c r="H39" i="10" s="1"/>
  <c r="E87" i="10"/>
  <c r="H87" i="10" s="1"/>
  <c r="E104" i="10"/>
  <c r="H104" i="10" s="1"/>
  <c r="E108" i="10"/>
  <c r="H108" i="10" s="1"/>
  <c r="E7" i="10"/>
  <c r="E75" i="10"/>
  <c r="H75" i="10" s="1"/>
  <c r="E15" i="10"/>
  <c r="H15" i="10" s="1"/>
  <c r="E50" i="10"/>
  <c r="H50" i="10" s="1"/>
  <c r="E57" i="10"/>
  <c r="H57" i="10" s="1"/>
  <c r="E103" i="10"/>
  <c r="H103" i="10" s="1"/>
  <c r="E107" i="10"/>
  <c r="H107" i="10" s="1"/>
  <c r="E24" i="10"/>
  <c r="H24" i="10" s="1"/>
  <c r="E37" i="10"/>
  <c r="H37" i="10" s="1"/>
  <c r="E96" i="10"/>
  <c r="E22" i="10"/>
  <c r="E27" i="10"/>
  <c r="H27" i="10" s="1"/>
  <c r="E63" i="10"/>
  <c r="H63" i="10" s="1"/>
  <c r="E110" i="10"/>
  <c r="H110" i="10" s="1"/>
  <c r="E111" i="10"/>
  <c r="H111" i="10" s="1"/>
  <c r="BE356" i="2"/>
  <c r="BF356" i="2" s="1"/>
  <c r="H365" i="2" s="1"/>
  <c r="E70" i="10"/>
  <c r="H70" i="10" s="1"/>
  <c r="AB509" i="2"/>
  <c r="AD509" i="2"/>
  <c r="BE358" i="2"/>
  <c r="BF358" i="2" s="1"/>
  <c r="H366" i="2" s="1"/>
  <c r="W20" i="10"/>
  <c r="Q16" i="10"/>
  <c r="R16" i="10" s="1"/>
  <c r="Q66" i="10"/>
  <c r="R66" i="10" s="1"/>
  <c r="Q67" i="10"/>
  <c r="R67" i="10" s="1"/>
  <c r="Q31" i="10"/>
  <c r="R31" i="10" s="1"/>
  <c r="Q101" i="10"/>
  <c r="R101" i="10" s="1"/>
  <c r="Q47" i="10"/>
  <c r="R47" i="10" s="1"/>
  <c r="Q89" i="10"/>
  <c r="Q99" i="10"/>
  <c r="R99" i="10" s="1"/>
  <c r="Q26" i="10"/>
  <c r="R26" i="10" s="1"/>
  <c r="Q69" i="10"/>
  <c r="R69" i="10" s="1"/>
  <c r="Q93" i="10"/>
  <c r="R93" i="10" s="1"/>
  <c r="Q108" i="10"/>
  <c r="R108" i="10" s="1"/>
  <c r="Q13" i="10"/>
  <c r="R13" i="10" s="1"/>
  <c r="Q81" i="10"/>
  <c r="R81" i="10" s="1"/>
  <c r="Q91" i="10"/>
  <c r="R91" i="10" s="1"/>
  <c r="Q110" i="10"/>
  <c r="R110" i="10" s="1"/>
  <c r="Q23" i="10"/>
  <c r="R23" i="10" s="1"/>
  <c r="Q52" i="10"/>
  <c r="R52" i="10" s="1"/>
  <c r="BD370" i="2"/>
  <c r="BD368" i="2"/>
  <c r="BD376" i="2" s="1"/>
  <c r="S37" i="9"/>
  <c r="S51" i="9"/>
  <c r="S65" i="9"/>
  <c r="S103" i="9"/>
  <c r="S181" i="9"/>
  <c r="S189" i="9"/>
  <c r="S195" i="9"/>
  <c r="S203" i="9"/>
  <c r="S211" i="9"/>
  <c r="S219" i="9"/>
  <c r="S227" i="9"/>
  <c r="S235" i="9"/>
  <c r="S243" i="9"/>
  <c r="S251" i="9"/>
  <c r="S60" i="9"/>
  <c r="S98" i="9"/>
  <c r="S111" i="9"/>
  <c r="S180" i="9"/>
  <c r="S188" i="9"/>
  <c r="S194" i="9"/>
  <c r="S202" i="9"/>
  <c r="S210" i="9"/>
  <c r="S218" i="9"/>
  <c r="S226" i="9"/>
  <c r="S234" i="9"/>
  <c r="S242" i="9"/>
  <c r="S250" i="9"/>
  <c r="S73" i="9"/>
  <c r="S187" i="9"/>
  <c r="S201" i="9"/>
  <c r="S209" i="9"/>
  <c r="S217" i="9"/>
  <c r="S225" i="9"/>
  <c r="S233" i="9"/>
  <c r="S241" i="9"/>
  <c r="S249" i="9"/>
  <c r="S57" i="9"/>
  <c r="S95" i="9"/>
  <c r="S183" i="9"/>
  <c r="S191" i="9"/>
  <c r="S197" i="9"/>
  <c r="S205" i="9"/>
  <c r="S213" i="9"/>
  <c r="S221" i="9"/>
  <c r="S229" i="9"/>
  <c r="S237" i="9"/>
  <c r="S245" i="9"/>
  <c r="S253" i="9"/>
  <c r="S256" i="9"/>
  <c r="S260" i="9"/>
  <c r="S264" i="9"/>
  <c r="S68" i="9"/>
  <c r="S206" i="9"/>
  <c r="S214" i="9"/>
  <c r="S222" i="9"/>
  <c r="S246" i="9"/>
  <c r="S262" i="9"/>
  <c r="S267" i="9"/>
  <c r="S268" i="9"/>
  <c r="S269" i="9"/>
  <c r="S270" i="9"/>
  <c r="S272" i="9"/>
  <c r="S285" i="9"/>
  <c r="S288" i="9"/>
  <c r="S291" i="9"/>
  <c r="S294" i="9"/>
  <c r="S295" i="9"/>
  <c r="S298" i="9"/>
  <c r="S301" i="9"/>
  <c r="S302" i="9"/>
  <c r="S42" i="9"/>
  <c r="S182" i="9"/>
  <c r="S186" i="9"/>
  <c r="S190" i="9"/>
  <c r="S196" i="9"/>
  <c r="S200" i="9"/>
  <c r="S204" i="9"/>
  <c r="S208" i="9"/>
  <c r="S212" i="9"/>
  <c r="S216" i="9"/>
  <c r="S220" i="9"/>
  <c r="S224" i="9"/>
  <c r="S228" i="9"/>
  <c r="S232" i="9"/>
  <c r="S236" i="9"/>
  <c r="S240" i="9"/>
  <c r="S244" i="9"/>
  <c r="S248" i="9"/>
  <c r="S252" i="9"/>
  <c r="S81" i="9"/>
  <c r="S192" i="9"/>
  <c r="S230" i="9"/>
  <c r="S238" i="9"/>
  <c r="S254" i="9"/>
  <c r="S271" i="9"/>
  <c r="S274" i="9"/>
  <c r="S275" i="9"/>
  <c r="S276" i="9"/>
  <c r="S277" i="9"/>
  <c r="S278" i="9"/>
  <c r="S279" i="9"/>
  <c r="S280" i="9"/>
  <c r="S281" i="9"/>
  <c r="S282" i="9"/>
  <c r="S284" i="9"/>
  <c r="S287" i="9"/>
  <c r="S290" i="9"/>
  <c r="S299" i="9"/>
  <c r="S90" i="9"/>
  <c r="S185" i="9"/>
  <c r="S193" i="9"/>
  <c r="S199" i="9"/>
  <c r="S207" i="9"/>
  <c r="S215" i="9"/>
  <c r="S223" i="9"/>
  <c r="S231" i="9"/>
  <c r="S239" i="9"/>
  <c r="S247" i="9"/>
  <c r="S255" i="9"/>
  <c r="S259" i="9"/>
  <c r="S263" i="9"/>
  <c r="S184" i="9"/>
  <c r="S198" i="9"/>
  <c r="S258" i="9"/>
  <c r="S266" i="9"/>
  <c r="S273" i="9"/>
  <c r="S283" i="9"/>
  <c r="S286" i="9"/>
  <c r="S289" i="9"/>
  <c r="S292" i="9"/>
  <c r="S293" i="9"/>
  <c r="S296" i="9"/>
  <c r="S297" i="9"/>
  <c r="S300" i="9"/>
  <c r="S303" i="9"/>
  <c r="S31" i="9"/>
  <c r="S257" i="9"/>
  <c r="S261" i="9"/>
  <c r="S265" i="9"/>
  <c r="S28" i="9"/>
  <c r="M383" i="2"/>
  <c r="E60" i="10"/>
  <c r="H60" i="10" s="1"/>
  <c r="E45" i="10"/>
  <c r="H45" i="10" s="1"/>
  <c r="M379" i="2"/>
  <c r="Q97" i="10"/>
  <c r="R97" i="10" s="1"/>
  <c r="BE345" i="2"/>
  <c r="BF345" i="2" s="1"/>
  <c r="D364" i="2" s="1"/>
  <c r="C364" i="2" s="1"/>
  <c r="F156" i="2"/>
  <c r="H96" i="2"/>
  <c r="F157" i="2"/>
  <c r="B153" i="2"/>
  <c r="F96" i="2"/>
  <c r="AL26" i="10"/>
  <c r="AM26" i="10" s="1"/>
  <c r="AL33" i="10"/>
  <c r="AM33" i="10" s="1"/>
  <c r="AL9" i="10"/>
  <c r="AM9" i="10" s="1"/>
  <c r="AL48" i="10"/>
  <c r="AM48" i="10" s="1"/>
  <c r="AL49" i="10"/>
  <c r="AM49" i="10" s="1"/>
  <c r="AL12" i="10"/>
  <c r="AM12" i="10" s="1"/>
  <c r="AL84" i="10"/>
  <c r="AM84" i="10" s="1"/>
  <c r="AL55" i="10"/>
  <c r="AM55" i="10" s="1"/>
  <c r="I1470" i="2"/>
  <c r="M63" i="9"/>
  <c r="M72" i="9"/>
  <c r="M85" i="9"/>
  <c r="M92" i="9"/>
  <c r="M101" i="9"/>
  <c r="M114" i="9"/>
  <c r="M123" i="9"/>
  <c r="M127" i="9"/>
  <c r="M132" i="9"/>
  <c r="M136" i="9"/>
  <c r="M152" i="9"/>
  <c r="M156" i="9"/>
  <c r="M165" i="9"/>
  <c r="M185" i="9"/>
  <c r="M193" i="9"/>
  <c r="M199" i="9"/>
  <c r="M207" i="9"/>
  <c r="M215" i="9"/>
  <c r="M223" i="9"/>
  <c r="M231" i="9"/>
  <c r="M239" i="9"/>
  <c r="M247" i="9"/>
  <c r="M58" i="9"/>
  <c r="M67" i="9"/>
  <c r="M76" i="9"/>
  <c r="M80" i="9"/>
  <c r="M96" i="9"/>
  <c r="M105" i="9"/>
  <c r="M109" i="9"/>
  <c r="M118" i="9"/>
  <c r="M131" i="9"/>
  <c r="M140" i="9"/>
  <c r="M147" i="9"/>
  <c r="M160" i="9"/>
  <c r="M169" i="9"/>
  <c r="M173" i="9"/>
  <c r="M178" i="9"/>
  <c r="M184" i="9"/>
  <c r="M192" i="9"/>
  <c r="M198" i="9"/>
  <c r="M206" i="9"/>
  <c r="M214" i="9"/>
  <c r="M222" i="9"/>
  <c r="M230" i="9"/>
  <c r="M238" i="9"/>
  <c r="M246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57" i="9"/>
  <c r="M62" i="9"/>
  <c r="M71" i="9"/>
  <c r="M84" i="9"/>
  <c r="M91" i="9"/>
  <c r="M95" i="9"/>
  <c r="M100" i="9"/>
  <c r="M113" i="9"/>
  <c r="M122" i="9"/>
  <c r="M126" i="9"/>
  <c r="M135" i="9"/>
  <c r="M151" i="9"/>
  <c r="M155" i="9"/>
  <c r="M159" i="9"/>
  <c r="M164" i="9"/>
  <c r="M177" i="9"/>
  <c r="M183" i="9"/>
  <c r="M191" i="9"/>
  <c r="M197" i="9"/>
  <c r="M205" i="9"/>
  <c r="M213" i="9"/>
  <c r="M221" i="9"/>
  <c r="M229" i="9"/>
  <c r="M237" i="9"/>
  <c r="M245" i="9"/>
  <c r="M253" i="9"/>
  <c r="M64" i="9"/>
  <c r="M69" i="9"/>
  <c r="M73" i="9"/>
  <c r="M82" i="9"/>
  <c r="M86" i="9"/>
  <c r="M93" i="9"/>
  <c r="M102" i="9"/>
  <c r="M115" i="9"/>
  <c r="M124" i="9"/>
  <c r="M128" i="9"/>
  <c r="M133" i="9"/>
  <c r="M144" i="9"/>
  <c r="M153" i="9"/>
  <c r="M157" i="9"/>
  <c r="M162" i="9"/>
  <c r="M166" i="9"/>
  <c r="M187" i="9"/>
  <c r="M201" i="9"/>
  <c r="M209" i="9"/>
  <c r="M217" i="9"/>
  <c r="M225" i="9"/>
  <c r="M233" i="9"/>
  <c r="M241" i="9"/>
  <c r="M249" i="9"/>
  <c r="V102" i="10"/>
  <c r="W102" i="10" s="1"/>
  <c r="V75" i="10"/>
  <c r="W75" i="10" s="1"/>
  <c r="V71" i="10"/>
  <c r="W71" i="10" s="1"/>
  <c r="V56" i="10"/>
  <c r="W56" i="10" s="1"/>
  <c r="V53" i="10"/>
  <c r="W53" i="10" s="1"/>
  <c r="V42" i="10"/>
  <c r="W42" i="10" s="1"/>
  <c r="V34" i="10"/>
  <c r="W34" i="10" s="1"/>
  <c r="V6" i="10"/>
  <c r="W6" i="10" s="1"/>
  <c r="V24" i="10"/>
  <c r="W24" i="10" s="1"/>
  <c r="V26" i="10"/>
  <c r="W26" i="10" s="1"/>
  <c r="V33" i="10"/>
  <c r="W33" i="10" s="1"/>
  <c r="V38" i="10"/>
  <c r="W38" i="10" s="1"/>
  <c r="V50" i="10"/>
  <c r="W50" i="10" s="1"/>
  <c r="V61" i="10"/>
  <c r="W61" i="10" s="1"/>
  <c r="V69" i="10"/>
  <c r="W69" i="10" s="1"/>
  <c r="V74" i="10"/>
  <c r="W74" i="10" s="1"/>
  <c r="V79" i="10"/>
  <c r="W79" i="10" s="1"/>
  <c r="V93" i="10"/>
  <c r="W93" i="10" s="1"/>
  <c r="V106" i="10"/>
  <c r="W106" i="10" s="1"/>
  <c r="V108" i="10"/>
  <c r="V17" i="10"/>
  <c r="W17" i="10" s="1"/>
  <c r="V23" i="10"/>
  <c r="W23" i="10" s="1"/>
  <c r="V43" i="10"/>
  <c r="W43" i="10" s="1"/>
  <c r="V49" i="10"/>
  <c r="W49" i="10" s="1"/>
  <c r="V55" i="10"/>
  <c r="W55" i="10" s="1"/>
  <c r="V68" i="10"/>
  <c r="W68" i="10" s="1"/>
  <c r="V85" i="10"/>
  <c r="W85" i="10" s="1"/>
  <c r="V91" i="10"/>
  <c r="W91" i="10" s="1"/>
  <c r="V92" i="10"/>
  <c r="W92" i="10" s="1"/>
  <c r="V94" i="10"/>
  <c r="V105" i="10"/>
  <c r="W105" i="10" s="1"/>
  <c r="V15" i="10"/>
  <c r="W15" i="10" s="1"/>
  <c r="V16" i="10"/>
  <c r="W16" i="10" s="1"/>
  <c r="V22" i="10"/>
  <c r="W22" i="10" s="1"/>
  <c r="V32" i="10"/>
  <c r="W32" i="10" s="1"/>
  <c r="V37" i="10"/>
  <c r="W37" i="10" s="1"/>
  <c r="V54" i="10"/>
  <c r="W54" i="10" s="1"/>
  <c r="V60" i="10"/>
  <c r="W60" i="10" s="1"/>
  <c r="V66" i="10"/>
  <c r="W66" i="10" s="1"/>
  <c r="V67" i="10"/>
  <c r="W67" i="10" s="1"/>
  <c r="V73" i="10"/>
  <c r="W73" i="10" s="1"/>
  <c r="V78" i="10"/>
  <c r="W78" i="10" s="1"/>
  <c r="V84" i="10"/>
  <c r="W84" i="10" s="1"/>
  <c r="V90" i="10"/>
  <c r="W90" i="10" s="1"/>
  <c r="V104" i="10"/>
  <c r="W104" i="10" s="1"/>
  <c r="V12" i="10"/>
  <c r="W12" i="10" s="1"/>
  <c r="V40" i="10"/>
  <c r="W40" i="10" s="1"/>
  <c r="V45" i="10"/>
  <c r="W45" i="10" s="1"/>
  <c r="V51" i="10"/>
  <c r="W51" i="10" s="1"/>
  <c r="V57" i="10"/>
  <c r="W57" i="10" s="1"/>
  <c r="V63" i="10"/>
  <c r="W63" i="10" s="1"/>
  <c r="V81" i="10"/>
  <c r="W81" i="10" s="1"/>
  <c r="V87" i="10"/>
  <c r="W87" i="10" s="1"/>
  <c r="V96" i="10"/>
  <c r="W96" i="10" s="1"/>
  <c r="V111" i="10"/>
  <c r="W111" i="10" s="1"/>
  <c r="AT329" i="2"/>
  <c r="AI358" i="2" s="1"/>
  <c r="V95" i="10"/>
  <c r="W95" i="10" s="1"/>
  <c r="V77" i="10"/>
  <c r="W77" i="10" s="1"/>
  <c r="H65" i="10"/>
  <c r="V36" i="10"/>
  <c r="W36" i="10" s="1"/>
  <c r="V27" i="10"/>
  <c r="W27" i="10" s="1"/>
  <c r="V13" i="10"/>
  <c r="W13" i="10" s="1"/>
  <c r="V9" i="10"/>
  <c r="W9" i="10" s="1"/>
  <c r="S77" i="2"/>
  <c r="F105" i="2"/>
  <c r="B155" i="2"/>
  <c r="H137" i="2"/>
  <c r="AL19" i="10"/>
  <c r="AM19" i="10" s="1"/>
  <c r="AL15" i="10"/>
  <c r="AM15" i="10" s="1"/>
  <c r="AL64" i="10"/>
  <c r="AM64" i="10" s="1"/>
  <c r="AL92" i="10"/>
  <c r="AM92" i="10" s="1"/>
  <c r="B81" i="2"/>
  <c r="H164" i="2"/>
  <c r="F95" i="2"/>
  <c r="F148" i="2"/>
  <c r="H80" i="2"/>
  <c r="AL17" i="10"/>
  <c r="AM17" i="10" s="1"/>
  <c r="AL36" i="10"/>
  <c r="AM36" i="10" s="1"/>
  <c r="AL59" i="10"/>
  <c r="AM59" i="10" s="1"/>
  <c r="AL58" i="10"/>
  <c r="AM58" i="10" s="1"/>
  <c r="AL27" i="10"/>
  <c r="AM27" i="10" s="1"/>
  <c r="AL37" i="10"/>
  <c r="AM37" i="10" s="1"/>
  <c r="AL78" i="10"/>
  <c r="AM78" i="10" s="1"/>
  <c r="AL94" i="10"/>
  <c r="AM94" i="10" s="1"/>
  <c r="AS329" i="2"/>
  <c r="AJ358" i="2" s="1"/>
  <c r="AH358" i="2" s="1"/>
  <c r="Y131" i="9"/>
  <c r="Y159" i="9"/>
  <c r="Y177" i="9"/>
  <c r="Y254" i="9"/>
  <c r="Y255" i="9"/>
  <c r="Y256" i="9"/>
  <c r="Y257" i="9"/>
  <c r="Y258" i="9"/>
  <c r="Y259" i="9"/>
  <c r="Y260" i="9"/>
  <c r="Y261" i="9"/>
  <c r="Y262" i="9"/>
  <c r="Y263" i="9"/>
  <c r="Y264" i="9"/>
  <c r="Y265" i="9"/>
  <c r="Y150" i="9"/>
  <c r="Y143" i="9"/>
  <c r="Y161" i="9"/>
  <c r="V100" i="10"/>
  <c r="W100" i="10" s="1"/>
  <c r="V88" i="10"/>
  <c r="W88" i="10" s="1"/>
  <c r="V59" i="10"/>
  <c r="W59" i="10" s="1"/>
  <c r="V48" i="10"/>
  <c r="W48" i="10" s="1"/>
  <c r="V44" i="10"/>
  <c r="W44" i="10" s="1"/>
  <c r="M332" i="2"/>
  <c r="AM21" i="10"/>
  <c r="F92" i="2"/>
  <c r="AL23" i="10"/>
  <c r="AM23" i="10" s="1"/>
  <c r="AL74" i="10"/>
  <c r="AM74" i="10" s="1"/>
  <c r="B76" i="2"/>
  <c r="D101" i="2"/>
  <c r="B93" i="2"/>
  <c r="F127" i="2"/>
  <c r="AL20" i="10"/>
  <c r="AM20" i="10" s="1"/>
  <c r="AL44" i="10"/>
  <c r="AM44" i="10" s="1"/>
  <c r="AL18" i="10"/>
  <c r="AM18" i="10" s="1"/>
  <c r="AL66" i="10"/>
  <c r="AM66" i="10" s="1"/>
  <c r="AL39" i="10"/>
  <c r="AM39" i="10" s="1"/>
  <c r="AL80" i="10"/>
  <c r="AM80" i="10" s="1"/>
  <c r="AL47" i="10"/>
  <c r="AM47" i="10" s="1"/>
  <c r="V70" i="10"/>
  <c r="W70" i="10" s="1"/>
  <c r="V52" i="10"/>
  <c r="W52" i="10" s="1"/>
  <c r="V41" i="10"/>
  <c r="W41" i="10" s="1"/>
  <c r="V28" i="10"/>
  <c r="W28" i="10" s="1"/>
  <c r="V14" i="10"/>
  <c r="W14" i="10" s="1"/>
  <c r="W110" i="10"/>
  <c r="W107" i="10"/>
  <c r="H22" i="10"/>
  <c r="W19" i="10"/>
  <c r="AF57" i="10"/>
  <c r="K784" i="2"/>
  <c r="J782" i="2" s="1"/>
  <c r="O1356" i="2"/>
  <c r="Y3" i="9"/>
  <c r="Y118" i="9"/>
  <c r="Y126" i="9"/>
  <c r="Y134" i="9"/>
  <c r="Y142" i="9"/>
  <c r="Y148" i="9"/>
  <c r="Y156" i="9"/>
  <c r="Y164" i="9"/>
  <c r="Y172" i="9"/>
  <c r="Y117" i="9"/>
  <c r="Y125" i="9"/>
  <c r="Y133" i="9"/>
  <c r="Y141" i="9"/>
  <c r="Y147" i="9"/>
  <c r="Y155" i="9"/>
  <c r="Y163" i="9"/>
  <c r="Y171" i="9"/>
  <c r="Y179" i="9"/>
  <c r="Y180" i="9"/>
  <c r="Y181" i="9"/>
  <c r="Y182" i="9"/>
  <c r="Y183" i="9"/>
  <c r="Y184" i="9"/>
  <c r="Y185" i="9"/>
  <c r="Y186" i="9"/>
  <c r="Y187" i="9"/>
  <c r="Y188" i="9"/>
  <c r="Y189" i="9"/>
  <c r="Y190" i="9"/>
  <c r="Y191" i="9"/>
  <c r="Y192" i="9"/>
  <c r="Y193" i="9"/>
  <c r="Y194" i="9"/>
  <c r="Y195" i="9"/>
  <c r="Y196" i="9"/>
  <c r="Y197" i="9"/>
  <c r="Y198" i="9"/>
  <c r="Y199" i="9"/>
  <c r="Y200" i="9"/>
  <c r="Y201" i="9"/>
  <c r="Y202" i="9"/>
  <c r="Y203" i="9"/>
  <c r="Y204" i="9"/>
  <c r="Y205" i="9"/>
  <c r="Y206" i="9"/>
  <c r="Y207" i="9"/>
  <c r="Y208" i="9"/>
  <c r="Y209" i="9"/>
  <c r="Y210" i="9"/>
  <c r="Y211" i="9"/>
  <c r="Y212" i="9"/>
  <c r="Y213" i="9"/>
  <c r="Y214" i="9"/>
  <c r="Y215" i="9"/>
  <c r="Y216" i="9"/>
  <c r="Y217" i="9"/>
  <c r="Y218" i="9"/>
  <c r="Y219" i="9"/>
  <c r="Y220" i="9"/>
  <c r="Y221" i="9"/>
  <c r="Y222" i="9"/>
  <c r="Y223" i="9"/>
  <c r="Y224" i="9"/>
  <c r="Y225" i="9"/>
  <c r="Y226" i="9"/>
  <c r="Y227" i="9"/>
  <c r="Y228" i="9"/>
  <c r="Y229" i="9"/>
  <c r="Y230" i="9"/>
  <c r="Y231" i="9"/>
  <c r="Y232" i="9"/>
  <c r="Y233" i="9"/>
  <c r="Y234" i="9"/>
  <c r="Y235" i="9"/>
  <c r="Y236" i="9"/>
  <c r="Y237" i="9"/>
  <c r="Y238" i="9"/>
  <c r="Y239" i="9"/>
  <c r="Y240" i="9"/>
  <c r="Y241" i="9"/>
  <c r="Y242" i="9"/>
  <c r="Y243" i="9"/>
  <c r="Y244" i="9"/>
  <c r="Y245" i="9"/>
  <c r="Y246" i="9"/>
  <c r="Y247" i="9"/>
  <c r="Y248" i="9"/>
  <c r="Y249" i="9"/>
  <c r="Y250" i="9"/>
  <c r="Y251" i="9"/>
  <c r="Y252" i="9"/>
  <c r="Y253" i="9"/>
  <c r="Y116" i="9"/>
  <c r="Y124" i="9"/>
  <c r="Y132" i="9"/>
  <c r="Y140" i="9"/>
  <c r="Y146" i="9"/>
  <c r="Y154" i="9"/>
  <c r="Y162" i="9"/>
  <c r="Y170" i="9"/>
  <c r="Y178" i="9"/>
  <c r="Y122" i="9"/>
  <c r="Y130" i="9"/>
  <c r="Y138" i="9"/>
  <c r="Y144" i="9"/>
  <c r="Y152" i="9"/>
  <c r="Y160" i="9"/>
  <c r="Y168" i="9"/>
  <c r="Y176" i="9"/>
  <c r="Y1035" i="2"/>
  <c r="Y165" i="9"/>
  <c r="Y149" i="9"/>
  <c r="Y135" i="9"/>
  <c r="Y119" i="9"/>
  <c r="Y151" i="9"/>
  <c r="Y137" i="9"/>
  <c r="Y167" i="9"/>
  <c r="Y121" i="9"/>
  <c r="Y173" i="9"/>
  <c r="Y157" i="9"/>
  <c r="Y127" i="9"/>
  <c r="Y174" i="9"/>
  <c r="Y169" i="9"/>
  <c r="Y158" i="9"/>
  <c r="Y153" i="9"/>
  <c r="Y139" i="9"/>
  <c r="Y128" i="9"/>
  <c r="Y123" i="9"/>
  <c r="N1008" i="2"/>
  <c r="AC1025" i="2"/>
  <c r="AD1025" i="2" s="1"/>
  <c r="D1006" i="2" s="1"/>
  <c r="L380" i="2"/>
  <c r="N380" i="2"/>
  <c r="J380" i="2"/>
  <c r="M380" i="2"/>
  <c r="H380" i="2"/>
  <c r="AI353" i="2"/>
  <c r="AW324" i="2"/>
  <c r="BE352" i="2"/>
  <c r="BF352" i="2" s="1"/>
  <c r="H363" i="2" s="1"/>
  <c r="H362" i="2" s="1"/>
  <c r="AS322" i="2"/>
  <c r="AJ351" i="2" s="1"/>
  <c r="AH351" i="2" s="1"/>
  <c r="AR322" i="2"/>
  <c r="AT322" i="2"/>
  <c r="AI351" i="2" s="1"/>
  <c r="AM60" i="10"/>
  <c r="AR328" i="2"/>
  <c r="S106" i="9"/>
  <c r="S76" i="9"/>
  <c r="S45" i="9"/>
  <c r="U786" i="2"/>
  <c r="U787" i="2" s="1"/>
  <c r="T787" i="2" s="1"/>
  <c r="C22" i="18" s="1"/>
  <c r="U785" i="2"/>
  <c r="Q1006" i="2"/>
  <c r="AB808" i="2"/>
  <c r="AB806" i="2"/>
  <c r="AB802" i="2"/>
  <c r="O45" i="2"/>
  <c r="N43" i="2" s="1"/>
  <c r="AB798" i="2"/>
  <c r="Y1033" i="2"/>
  <c r="Y1041" i="2"/>
  <c r="Y1050" i="2" s="1"/>
  <c r="Y1052" i="2" s="1"/>
  <c r="Y1043" i="2"/>
  <c r="Y1037" i="2"/>
  <c r="S2" i="9"/>
  <c r="S26" i="9"/>
  <c r="S29" i="9"/>
  <c r="S40" i="9"/>
  <c r="S43" i="9"/>
  <c r="S53" i="9"/>
  <c r="S56" i="9"/>
  <c r="S64" i="9"/>
  <c r="S72" i="9"/>
  <c r="S80" i="9"/>
  <c r="S94" i="9"/>
  <c r="S102" i="9"/>
  <c r="S110" i="9"/>
  <c r="S32" i="9"/>
  <c r="S46" i="9"/>
  <c r="S63" i="9"/>
  <c r="S71" i="9"/>
  <c r="S79" i="9"/>
  <c r="S87" i="9"/>
  <c r="S93" i="9"/>
  <c r="S101" i="9"/>
  <c r="S109" i="9"/>
  <c r="S25" i="9"/>
  <c r="S35" i="9"/>
  <c r="S39" i="9"/>
  <c r="S49" i="9"/>
  <c r="S52" i="9"/>
  <c r="S55" i="9"/>
  <c r="S62" i="9"/>
  <c r="S70" i="9"/>
  <c r="S78" i="9"/>
  <c r="S86" i="9"/>
  <c r="S92" i="9"/>
  <c r="S100" i="9"/>
  <c r="S108" i="9"/>
  <c r="S24" i="9"/>
  <c r="S38" i="9"/>
  <c r="S54" i="9"/>
  <c r="S59" i="9"/>
  <c r="S67" i="9"/>
  <c r="S75" i="9"/>
  <c r="S83" i="9"/>
  <c r="S89" i="9"/>
  <c r="S97" i="9"/>
  <c r="S105" i="9"/>
  <c r="S113" i="9"/>
  <c r="S33" i="9"/>
  <c r="S36" i="9"/>
  <c r="S47" i="9"/>
  <c r="S50" i="9"/>
  <c r="S30" i="9"/>
  <c r="S44" i="9"/>
  <c r="S27" i="9"/>
  <c r="S41" i="9"/>
  <c r="S58" i="9"/>
  <c r="S69" i="9"/>
  <c r="S74" i="9"/>
  <c r="S85" i="9"/>
  <c r="S88" i="9"/>
  <c r="S99" i="9"/>
  <c r="S10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34" i="9"/>
  <c r="S48" i="9"/>
  <c r="S61" i="9"/>
  <c r="S66" i="9"/>
  <c r="S77" i="9"/>
  <c r="S82" i="9"/>
  <c r="S91" i="9"/>
  <c r="S96" i="9"/>
  <c r="S107" i="9"/>
  <c r="S112" i="9"/>
  <c r="AL77" i="10"/>
  <c r="AM77" i="10" s="1"/>
  <c r="AL110" i="10"/>
  <c r="AM110" i="10" s="1"/>
  <c r="AL111" i="10"/>
  <c r="AM111" i="10" s="1"/>
  <c r="AL112" i="10"/>
  <c r="AM112" i="10" s="1"/>
  <c r="AL38" i="10"/>
  <c r="AM38" i="10" s="1"/>
  <c r="AL81" i="10"/>
  <c r="AM81" i="10" s="1"/>
  <c r="AL42" i="10"/>
  <c r="AM42" i="10" s="1"/>
  <c r="AL86" i="10"/>
  <c r="AM86" i="10" s="1"/>
  <c r="AL11" i="10"/>
  <c r="AM11" i="10" s="1"/>
  <c r="AL25" i="10"/>
  <c r="AM25" i="10" s="1"/>
  <c r="AL46" i="10"/>
  <c r="AM46" i="10" s="1"/>
  <c r="AL76" i="10"/>
  <c r="AM76" i="10" s="1"/>
  <c r="AL28" i="10"/>
  <c r="AM28" i="10" s="1"/>
  <c r="AL43" i="10"/>
  <c r="AM43" i="10" s="1"/>
  <c r="AL10" i="10"/>
  <c r="AM10" i="10" s="1"/>
  <c r="AL16" i="10"/>
  <c r="AM16" i="10" s="1"/>
  <c r="AL89" i="10"/>
  <c r="AM89" i="10" s="1"/>
  <c r="AL79" i="10"/>
  <c r="AM79" i="10" s="1"/>
  <c r="AL65" i="10"/>
  <c r="AM65" i="10" s="1"/>
  <c r="AL68" i="10"/>
  <c r="AM68" i="10" s="1"/>
  <c r="AL31" i="10"/>
  <c r="AM31" i="10" s="1"/>
  <c r="AL54" i="10"/>
  <c r="AM54" i="10" s="1"/>
  <c r="AL22" i="10"/>
  <c r="AM22" i="10" s="1"/>
  <c r="AL32" i="10"/>
  <c r="AM32" i="10" s="1"/>
  <c r="AL52" i="10"/>
  <c r="AM52" i="10" s="1"/>
  <c r="AL14" i="10"/>
  <c r="AM14" i="10" s="1"/>
  <c r="AL6" i="10"/>
  <c r="AM6" i="10" s="1"/>
  <c r="AL95" i="10"/>
  <c r="AM95" i="10" s="1"/>
  <c r="AL99" i="10"/>
  <c r="AM99" i="10" s="1"/>
  <c r="AL101" i="10"/>
  <c r="AM101" i="10" s="1"/>
  <c r="AL106" i="10"/>
  <c r="AM106" i="10" s="1"/>
  <c r="AL107" i="10"/>
  <c r="AM107" i="10" s="1"/>
  <c r="AL103" i="10"/>
  <c r="AM103" i="10" s="1"/>
  <c r="AL104" i="10"/>
  <c r="AM104" i="10" s="1"/>
  <c r="AL108" i="10"/>
  <c r="AM108" i="10" s="1"/>
  <c r="AL109" i="10"/>
  <c r="AM109" i="10" s="1"/>
  <c r="B123" i="2"/>
  <c r="F149" i="2"/>
  <c r="D143" i="2"/>
  <c r="D140" i="2"/>
  <c r="F162" i="2"/>
  <c r="D76" i="2"/>
  <c r="B106" i="2"/>
  <c r="B100" i="2"/>
  <c r="B72" i="2"/>
  <c r="F118" i="2"/>
  <c r="H78" i="2"/>
  <c r="W82" i="2"/>
  <c r="B133" i="2"/>
  <c r="BE343" i="2"/>
  <c r="BF343" i="2" s="1"/>
  <c r="D363" i="2" s="1"/>
  <c r="D362" i="2" s="1"/>
  <c r="AB804" i="2"/>
  <c r="AM41" i="10"/>
  <c r="A195" i="2"/>
  <c r="H379" i="2"/>
  <c r="N379" i="2"/>
  <c r="L379" i="2"/>
  <c r="AR325" i="2"/>
  <c r="AT325" i="2"/>
  <c r="AW325" i="2" s="1"/>
  <c r="H96" i="10"/>
  <c r="BB334" i="2"/>
  <c r="BH331" i="2"/>
  <c r="BI331" i="2" s="1"/>
  <c r="R336" i="2" s="1"/>
  <c r="R335" i="2" s="1"/>
  <c r="AS328" i="2"/>
  <c r="AJ357" i="2" s="1"/>
  <c r="AH357" i="2" s="1"/>
  <c r="AS324" i="2"/>
  <c r="AV324" i="2" s="1"/>
  <c r="AL353" i="2" s="1"/>
  <c r="D379" i="2" s="1"/>
  <c r="B379" i="2" s="1"/>
  <c r="C379" i="2" s="1"/>
  <c r="D375" i="2" s="1"/>
  <c r="AR324" i="2"/>
  <c r="I549" i="2"/>
  <c r="J549" i="2"/>
  <c r="AA1003" i="2"/>
  <c r="S114" i="9"/>
  <c r="S84" i="9"/>
  <c r="AC1027" i="2"/>
  <c r="AD1027" i="2" s="1"/>
  <c r="D1007" i="2" s="1"/>
  <c r="Q1007" i="2"/>
  <c r="Q1008" i="2" s="1"/>
  <c r="P1008" i="2" s="1"/>
  <c r="R89" i="10"/>
  <c r="W94" i="10"/>
  <c r="AE2" i="10"/>
  <c r="AF2" i="10" s="1"/>
  <c r="AE107" i="10"/>
  <c r="AF107" i="10" s="1"/>
  <c r="AE58" i="10"/>
  <c r="AF58" i="10" s="1"/>
  <c r="AM35" i="10"/>
  <c r="H31" i="10"/>
  <c r="AM13" i="10"/>
  <c r="K549" i="2"/>
  <c r="E14" i="10"/>
  <c r="H14" i="10" s="1"/>
  <c r="V10" i="10"/>
  <c r="W10" i="10" s="1"/>
  <c r="V5" i="10"/>
  <c r="W5" i="10" s="1"/>
  <c r="L1344" i="2"/>
  <c r="M1344" i="2" s="1"/>
  <c r="W108" i="10"/>
  <c r="W64" i="10"/>
  <c r="E2" i="10"/>
  <c r="H2" i="10" s="1"/>
  <c r="AP19" i="10"/>
  <c r="Q1356" i="2"/>
  <c r="R1353" i="2"/>
  <c r="F992" i="2"/>
  <c r="E990" i="2" s="1"/>
  <c r="AS773" i="9"/>
  <c r="AS1046" i="9"/>
  <c r="BI372" i="2"/>
  <c r="AQ88" i="10"/>
  <c r="AR42" i="10"/>
  <c r="AR109" i="10"/>
  <c r="V33" i="13"/>
  <c r="AS1057" i="9"/>
  <c r="AS723" i="9"/>
  <c r="AS940" i="9"/>
  <c r="AS776" i="9"/>
  <c r="O1355" i="2"/>
  <c r="Q1352" i="2"/>
  <c r="AS923" i="9"/>
  <c r="AS583" i="9"/>
  <c r="C2" i="18"/>
  <c r="C32" i="18" s="1"/>
  <c r="AR24" i="10"/>
  <c r="O1354" i="2"/>
  <c r="AQ323" i="9"/>
  <c r="AQ831" i="9"/>
  <c r="AQ837" i="9"/>
  <c r="AQ129" i="9"/>
  <c r="AQ844" i="9"/>
  <c r="AQ804" i="9"/>
  <c r="AK46" i="2"/>
  <c r="AL46" i="2" s="1"/>
  <c r="Y46" i="2" s="1"/>
  <c r="X46" i="2" s="1"/>
  <c r="AK44" i="2"/>
  <c r="AL44" i="2" s="1"/>
  <c r="Y45" i="2" s="1"/>
  <c r="X45" i="2" s="1"/>
  <c r="F85" i="2"/>
  <c r="B96" i="2"/>
  <c r="H145" i="2"/>
  <c r="B166" i="2"/>
  <c r="B162" i="2"/>
  <c r="D107" i="2"/>
  <c r="D125" i="2"/>
  <c r="H124" i="2"/>
  <c r="H152" i="2"/>
  <c r="W90" i="2"/>
  <c r="X90" i="2" s="1"/>
  <c r="B115" i="2"/>
  <c r="H163" i="2"/>
  <c r="H109" i="2"/>
  <c r="F158" i="2"/>
  <c r="B136" i="2"/>
  <c r="D170" i="2"/>
  <c r="B112" i="2"/>
  <c r="F159" i="2"/>
  <c r="S83" i="2"/>
  <c r="D100" i="2"/>
  <c r="H118" i="2"/>
  <c r="D133" i="2"/>
  <c r="H158" i="2"/>
  <c r="D82" i="2"/>
  <c r="F104" i="2"/>
  <c r="B124" i="2"/>
  <c r="F131" i="2"/>
  <c r="H156" i="2"/>
  <c r="F150" i="2"/>
  <c r="D124" i="2"/>
  <c r="F106" i="2"/>
  <c r="F80" i="2"/>
  <c r="D167" i="2"/>
  <c r="F133" i="2"/>
  <c r="H113" i="2"/>
  <c r="D79" i="2"/>
  <c r="H149" i="2"/>
  <c r="B129" i="2"/>
  <c r="D90" i="2"/>
  <c r="H166" i="2"/>
  <c r="F132" i="2"/>
  <c r="B108" i="2"/>
  <c r="H82" i="2"/>
  <c r="B75" i="2"/>
  <c r="D88" i="2"/>
  <c r="U77" i="2"/>
  <c r="H79" i="2"/>
  <c r="D99" i="2"/>
  <c r="D87" i="2"/>
  <c r="H100" i="2"/>
  <c r="B114" i="2"/>
  <c r="D126" i="2"/>
  <c r="H148" i="2"/>
  <c r="F164" i="2"/>
  <c r="H95" i="2"/>
  <c r="F163" i="2"/>
  <c r="D145" i="2"/>
  <c r="D161" i="2"/>
  <c r="D139" i="2"/>
  <c r="H138" i="2"/>
  <c r="D72" i="2"/>
  <c r="D127" i="2"/>
  <c r="F72" i="2"/>
  <c r="H134" i="2"/>
  <c r="F110" i="2"/>
  <c r="D164" i="2"/>
  <c r="B117" i="2"/>
  <c r="H73" i="2"/>
  <c r="H107" i="2"/>
  <c r="D123" i="2"/>
  <c r="H150" i="2"/>
  <c r="W84" i="2"/>
  <c r="F84" i="2"/>
  <c r="D108" i="2"/>
  <c r="B148" i="2"/>
  <c r="H146" i="2"/>
  <c r="H160" i="2"/>
  <c r="F130" i="2"/>
  <c r="B109" i="2"/>
  <c r="B79" i="2"/>
  <c r="H162" i="2"/>
  <c r="F123" i="2"/>
  <c r="D98" i="2"/>
  <c r="F160" i="2"/>
  <c r="B160" i="2"/>
  <c r="D94" i="2"/>
  <c r="D162" i="2"/>
  <c r="B158" i="2"/>
  <c r="F100" i="2"/>
  <c r="U90" i="2"/>
  <c r="V90" i="2" s="1"/>
  <c r="S84" i="2"/>
  <c r="D84" i="2"/>
  <c r="B99" i="2"/>
  <c r="Q90" i="2"/>
  <c r="R90" i="2" s="1"/>
  <c r="B83" i="2"/>
  <c r="Q78" i="2"/>
  <c r="D78" i="2"/>
  <c r="D95" i="2"/>
  <c r="B110" i="2"/>
  <c r="B159" i="2"/>
  <c r="F152" i="2"/>
  <c r="F167" i="2"/>
  <c r="B147" i="2"/>
  <c r="H151" i="2"/>
  <c r="D132" i="2"/>
  <c r="B125" i="2"/>
  <c r="B107" i="2"/>
  <c r="B73" i="2"/>
  <c r="S80" i="2"/>
  <c r="B126" i="2"/>
  <c r="F141" i="2"/>
  <c r="B156" i="2"/>
  <c r="F75" i="2"/>
  <c r="F135" i="2"/>
  <c r="S79" i="2"/>
  <c r="D102" i="2"/>
  <c r="B146" i="2"/>
  <c r="D148" i="2"/>
  <c r="D89" i="2"/>
  <c r="D114" i="2"/>
  <c r="F128" i="2"/>
  <c r="H167" i="2"/>
  <c r="D137" i="2"/>
  <c r="F111" i="2"/>
  <c r="H153" i="2"/>
  <c r="B131" i="2"/>
  <c r="U85" i="2"/>
  <c r="H136" i="2"/>
  <c r="B101" i="2"/>
  <c r="F168" i="2"/>
  <c r="B140" i="2"/>
  <c r="F93" i="2"/>
  <c r="S81" i="2"/>
  <c r="D74" i="2"/>
  <c r="H94" i="2"/>
  <c r="F81" i="2"/>
  <c r="U82" i="2"/>
  <c r="H84" i="2"/>
  <c r="B102" i="2"/>
  <c r="B127" i="2"/>
  <c r="D141" i="2"/>
  <c r="B163" i="2"/>
  <c r="B145" i="2"/>
  <c r="F166" i="2"/>
  <c r="D109" i="2"/>
  <c r="D93" i="2"/>
  <c r="F88" i="2"/>
  <c r="W78" i="2"/>
  <c r="U84" i="2"/>
  <c r="B149" i="2"/>
  <c r="B95" i="2"/>
  <c r="F112" i="2"/>
  <c r="H75" i="2"/>
  <c r="D155" i="2"/>
  <c r="F102" i="2"/>
  <c r="F134" i="2"/>
  <c r="H99" i="2"/>
  <c r="D73" i="2"/>
  <c r="D159" i="2"/>
  <c r="B157" i="2"/>
  <c r="Q82" i="2"/>
  <c r="D104" i="2"/>
  <c r="F125" i="2"/>
  <c r="D165" i="2"/>
  <c r="H71" i="2"/>
  <c r="D106" i="2"/>
  <c r="H123" i="2"/>
  <c r="F169" i="2"/>
  <c r="D134" i="2"/>
  <c r="F101" i="2"/>
  <c r="S82" i="2"/>
  <c r="D130" i="2"/>
  <c r="F90" i="2"/>
  <c r="D147" i="2"/>
  <c r="H103" i="2"/>
  <c r="H159" i="2"/>
  <c r="B118" i="2"/>
  <c r="F77" i="2"/>
  <c r="U83" i="2"/>
  <c r="F89" i="2"/>
  <c r="Q84" i="2"/>
  <c r="H77" i="2"/>
  <c r="Q83" i="2"/>
  <c r="B90" i="2"/>
  <c r="F107" i="2"/>
  <c r="D128" i="2"/>
  <c r="D158" i="2"/>
  <c r="D152" i="2"/>
  <c r="H76" i="2"/>
  <c r="F117" i="2"/>
  <c r="F140" i="2"/>
  <c r="D115" i="2"/>
  <c r="B84" i="2"/>
  <c r="Q77" i="2"/>
  <c r="H128" i="2"/>
  <c r="U81" i="2"/>
  <c r="H105" i="2"/>
  <c r="H130" i="2"/>
  <c r="B167" i="2"/>
  <c r="D75" i="2"/>
  <c r="D110" i="2"/>
  <c r="H125" i="2"/>
  <c r="F165" i="2"/>
  <c r="H126" i="2"/>
  <c r="H98" i="2"/>
  <c r="U80" i="2"/>
  <c r="F126" i="2"/>
  <c r="B87" i="2"/>
  <c r="F142" i="2"/>
  <c r="B97" i="2"/>
  <c r="D156" i="2"/>
  <c r="B113" i="2"/>
  <c r="F73" i="2"/>
  <c r="B91" i="2"/>
  <c r="Q85" i="2"/>
  <c r="H85" i="2"/>
  <c r="W85" i="2"/>
  <c r="F91" i="2"/>
  <c r="H108" i="2"/>
  <c r="H129" i="2"/>
  <c r="D160" i="2"/>
  <c r="D85" i="2"/>
  <c r="F76" i="2"/>
  <c r="B103" i="2"/>
  <c r="H147" i="2"/>
  <c r="B135" i="2"/>
  <c r="B105" i="2"/>
  <c r="W81" i="2"/>
  <c r="D142" i="2"/>
  <c r="H111" i="2"/>
  <c r="D136" i="2"/>
  <c r="F170" i="2"/>
  <c r="F78" i="2"/>
  <c r="D112" i="2"/>
  <c r="H133" i="2"/>
  <c r="D163" i="2"/>
  <c r="B152" i="2"/>
  <c r="F94" i="2"/>
  <c r="D169" i="2"/>
  <c r="B151" i="2"/>
  <c r="F83" i="2"/>
  <c r="H132" i="2"/>
  <c r="F86" i="2"/>
  <c r="D153" i="2"/>
  <c r="H110" i="2"/>
  <c r="B74" i="2"/>
  <c r="D92" i="2"/>
  <c r="H89" i="2"/>
  <c r="H92" i="2"/>
  <c r="D111" i="2"/>
  <c r="H135" i="2"/>
  <c r="F161" i="2"/>
  <c r="F145" i="2"/>
  <c r="H131" i="2"/>
  <c r="B88" i="2"/>
  <c r="B82" i="2"/>
  <c r="F155" i="2"/>
  <c r="B154" i="2"/>
  <c r="H116" i="2"/>
  <c r="B85" i="2"/>
  <c r="D151" i="2"/>
  <c r="D71" i="2"/>
  <c r="F113" i="2"/>
  <c r="F138" i="2"/>
  <c r="W80" i="2"/>
  <c r="F87" i="2"/>
  <c r="H115" i="2"/>
  <c r="H140" i="2"/>
  <c r="H157" i="2"/>
  <c r="B144" i="2"/>
  <c r="H90" i="2"/>
  <c r="B165" i="2"/>
  <c r="B142" i="2"/>
  <c r="B169" i="2"/>
  <c r="F129" i="2"/>
  <c r="D83" i="2"/>
  <c r="F146" i="2"/>
  <c r="D105" i="2"/>
  <c r="B80" i="2"/>
  <c r="D96" i="2"/>
  <c r="D91" i="2"/>
  <c r="B71" i="2"/>
  <c r="B94" i="2"/>
  <c r="F116" i="2"/>
  <c r="F137" i="2"/>
  <c r="D166" i="2"/>
  <c r="F154" i="2"/>
  <c r="D103" i="2"/>
  <c r="W77" i="2"/>
  <c r="Q79" i="2"/>
  <c r="D129" i="2"/>
  <c r="D113" i="2"/>
  <c r="F108" i="2"/>
  <c r="D144" i="2"/>
  <c r="B141" i="2"/>
  <c r="B139" i="2"/>
  <c r="H141" i="2"/>
  <c r="F82" i="2"/>
  <c r="H114" i="2"/>
  <c r="D138" i="2"/>
  <c r="P1352" i="2"/>
  <c r="H144" i="2"/>
  <c r="F99" i="2"/>
  <c r="H97" i="2"/>
  <c r="S78" i="2"/>
  <c r="C22" i="1"/>
  <c r="F136" i="2"/>
  <c r="D118" i="2"/>
  <c r="B111" i="2"/>
  <c r="H83" i="2"/>
  <c r="F147" i="2"/>
  <c r="B132" i="2"/>
  <c r="S90" i="2"/>
  <c r="T90" i="2" s="1"/>
  <c r="B130" i="2"/>
  <c r="D135" i="2"/>
  <c r="Q80" i="2"/>
  <c r="F124" i="2"/>
  <c r="D131" i="2"/>
  <c r="F114" i="2"/>
  <c r="H142" i="2"/>
  <c r="B98" i="2"/>
  <c r="H93" i="2"/>
  <c r="F97" i="2"/>
  <c r="F139" i="2"/>
  <c r="B150" i="2"/>
  <c r="B116" i="2"/>
  <c r="H87" i="2"/>
  <c r="H154" i="2"/>
  <c r="D117" i="2"/>
  <c r="Q81" i="2"/>
  <c r="F115" i="2"/>
  <c r="H165" i="2"/>
  <c r="H127" i="2"/>
  <c r="H169" i="2"/>
  <c r="B168" i="2"/>
  <c r="H161" i="2"/>
  <c r="Q1357" i="2"/>
  <c r="O1358" i="2"/>
  <c r="R1351" i="2"/>
  <c r="O1353" i="2"/>
  <c r="R1354" i="2"/>
  <c r="P1357" i="2"/>
  <c r="P1355" i="2"/>
  <c r="Q1355" i="2"/>
  <c r="Q1358" i="2"/>
  <c r="R1357" i="2"/>
  <c r="P1358" i="2"/>
  <c r="P1356" i="2"/>
  <c r="P1351" i="2"/>
  <c r="Q1354" i="2"/>
  <c r="O1351" i="2"/>
  <c r="R1355" i="2"/>
  <c r="R1358" i="2"/>
  <c r="O1357" i="2"/>
  <c r="R1356" i="2"/>
  <c r="O1352" i="2"/>
  <c r="B143" i="2"/>
  <c r="B86" i="2"/>
  <c r="F74" i="2"/>
  <c r="H86" i="2"/>
  <c r="D86" i="2"/>
  <c r="H170" i="2"/>
  <c r="F153" i="2"/>
  <c r="H139" i="2"/>
  <c r="B104" i="2"/>
  <c r="D154" i="2"/>
  <c r="H102" i="2"/>
  <c r="B161" i="2"/>
  <c r="D97" i="2"/>
  <c r="B137" i="2"/>
  <c r="B170" i="2"/>
  <c r="F109" i="2"/>
  <c r="W83" i="2"/>
  <c r="K787" i="2"/>
  <c r="O48" i="2"/>
  <c r="E338" i="2" s="1"/>
  <c r="P1354" i="2"/>
  <c r="Q1351" i="2"/>
  <c r="B138" i="2"/>
  <c r="D80" i="2"/>
  <c r="H72" i="2"/>
  <c r="D81" i="2"/>
  <c r="B89" i="2"/>
  <c r="U79" i="2"/>
  <c r="D157" i="2"/>
  <c r="F143" i="2"/>
  <c r="D116" i="2"/>
  <c r="F151" i="2"/>
  <c r="F98" i="2"/>
  <c r="H155" i="2"/>
  <c r="B92" i="2"/>
  <c r="H106" i="2"/>
  <c r="B164" i="2"/>
  <c r="H104" i="2"/>
  <c r="D168" i="2"/>
  <c r="H101" i="2"/>
  <c r="L54" i="2"/>
  <c r="P86" i="2"/>
  <c r="W86" i="2" s="1"/>
  <c r="X86" i="2" s="1"/>
  <c r="AG60" i="2"/>
  <c r="AH60" i="2" s="1"/>
  <c r="I60" i="2" s="1"/>
  <c r="I57" i="2" s="1"/>
  <c r="AG58" i="2"/>
  <c r="AH58" i="2" s="1"/>
  <c r="I59" i="2" s="1"/>
  <c r="H55" i="10"/>
  <c r="AE100" i="2"/>
  <c r="AE102" i="2"/>
  <c r="AE104" i="2" s="1"/>
  <c r="AE106" i="2" s="1"/>
  <c r="AE110" i="2" s="1"/>
  <c r="AE112" i="2" s="1"/>
  <c r="AE114" i="2" s="1"/>
  <c r="AE116" i="2" s="1"/>
  <c r="P89" i="2"/>
  <c r="W89" i="2" s="1"/>
  <c r="X89" i="2" s="1"/>
  <c r="L57" i="2"/>
  <c r="AD98" i="2"/>
  <c r="AD100" i="2" s="1"/>
  <c r="AD102" i="2" s="1"/>
  <c r="AD104" i="2" s="1"/>
  <c r="AD87" i="2"/>
  <c r="AD89" i="2" s="1"/>
  <c r="AS1040" i="9"/>
  <c r="P88" i="2"/>
  <c r="S88" i="2" s="1"/>
  <c r="T88" i="2" s="1"/>
  <c r="J378" i="2"/>
  <c r="H378" i="2"/>
  <c r="M378" i="2"/>
  <c r="N378" i="2"/>
  <c r="L378" i="2"/>
  <c r="AF749" i="2"/>
  <c r="AG749" i="2" s="1"/>
  <c r="D758" i="2" s="1"/>
  <c r="C758" i="2" s="1"/>
  <c r="AB752" i="2"/>
  <c r="AE510" i="2"/>
  <c r="AF513" i="2"/>
  <c r="AB514" i="2"/>
  <c r="AE511" i="2"/>
  <c r="AD511" i="2"/>
  <c r="AD512" i="2"/>
  <c r="AE512" i="2"/>
  <c r="AE514" i="2"/>
  <c r="AC515" i="2"/>
  <c r="AB510" i="2"/>
  <c r="AC514" i="2"/>
  <c r="AF511" i="2"/>
  <c r="AD516" i="2"/>
  <c r="AC513" i="2"/>
  <c r="AF509" i="2"/>
  <c r="AC509" i="2"/>
  <c r="AD514" i="2"/>
  <c r="AF512" i="2"/>
  <c r="AE513" i="2"/>
  <c r="AE516" i="2"/>
  <c r="AD510" i="2"/>
  <c r="AF516" i="2"/>
  <c r="AF515" i="2"/>
  <c r="AC516" i="2"/>
  <c r="AF514" i="2"/>
  <c r="AF510" i="2"/>
  <c r="AD513" i="2"/>
  <c r="AD515" i="2"/>
  <c r="AB511" i="2"/>
  <c r="AC511" i="2"/>
  <c r="AE515" i="2"/>
  <c r="AB513" i="2"/>
  <c r="AC512" i="2"/>
  <c r="AB512" i="2"/>
  <c r="AC510" i="2"/>
  <c r="AB516" i="2"/>
  <c r="AT327" i="2"/>
  <c r="AW327" i="2" s="1"/>
  <c r="AR327" i="2"/>
  <c r="AS327" i="2"/>
  <c r="AJ356" i="2" s="1"/>
  <c r="AH356" i="2" s="1"/>
  <c r="AR326" i="2"/>
  <c r="AS326" i="2"/>
  <c r="AJ355" i="2" s="1"/>
  <c r="AH355" i="2" s="1"/>
  <c r="AT326" i="2"/>
  <c r="AI355" i="2" s="1"/>
  <c r="Y806" i="2"/>
  <c r="Y808" i="2" s="1"/>
  <c r="Y758" i="2"/>
  <c r="Y760" i="2" s="1"/>
  <c r="H384" i="2"/>
  <c r="L384" i="2"/>
  <c r="M384" i="2"/>
  <c r="N384" i="2"/>
  <c r="J384" i="2"/>
  <c r="AR323" i="2"/>
  <c r="AS323" i="2"/>
  <c r="AJ352" i="2" s="1"/>
  <c r="AH352" i="2" s="1"/>
  <c r="N377" i="2"/>
  <c r="J377" i="2"/>
  <c r="H377" i="2"/>
  <c r="L377" i="2"/>
  <c r="M382" i="2"/>
  <c r="H382" i="2"/>
  <c r="L382" i="2"/>
  <c r="N382" i="2"/>
  <c r="J382" i="2"/>
  <c r="AD51" i="2"/>
  <c r="AK48" i="2"/>
  <c r="AL48" i="2" s="1"/>
  <c r="Y47" i="2" s="1"/>
  <c r="X47" i="2" s="1"/>
  <c r="J366" i="2"/>
  <c r="B59" i="2"/>
  <c r="J1016" i="2"/>
  <c r="H383" i="2"/>
  <c r="L383" i="2"/>
  <c r="J383" i="2"/>
  <c r="M381" i="2"/>
  <c r="H381" i="2"/>
  <c r="L381" i="2"/>
  <c r="I28" i="15"/>
  <c r="AG5" i="15"/>
  <c r="L59" i="2"/>
  <c r="P91" i="2"/>
  <c r="AC1023" i="2"/>
  <c r="AD1023" i="2" s="1"/>
  <c r="D1005" i="2" s="1"/>
  <c r="AC1021" i="2"/>
  <c r="AD1021" i="2" s="1"/>
  <c r="D1004" i="2" s="1"/>
  <c r="AC1014" i="2"/>
  <c r="AD1014" i="2" s="1"/>
  <c r="D1014" i="2" s="1"/>
  <c r="D1012" i="2" s="1"/>
  <c r="AC1016" i="2"/>
  <c r="AD1016" i="2" s="1"/>
  <c r="D1015" i="2" s="1"/>
  <c r="AC1012" i="2"/>
  <c r="AD1012" i="2" s="1"/>
  <c r="D1013" i="2" s="1"/>
  <c r="BE354" i="2"/>
  <c r="BF354" i="2" s="1"/>
  <c r="H364" i="2" s="1"/>
  <c r="BE347" i="2"/>
  <c r="BF347" i="2" s="1"/>
  <c r="D365" i="2" s="1"/>
  <c r="AD56" i="2"/>
  <c r="AF747" i="2"/>
  <c r="AG747" i="2" s="1"/>
  <c r="D757" i="2" s="1"/>
  <c r="L55" i="2"/>
  <c r="P87" i="2"/>
  <c r="AC759" i="2"/>
  <c r="Z815" i="2"/>
  <c r="Z817" i="2"/>
  <c r="Z819" i="2" s="1"/>
  <c r="Z821" i="2" s="1"/>
  <c r="Z825" i="2" s="1"/>
  <c r="Z827" i="2" s="1"/>
  <c r="Z829" i="2" s="1"/>
  <c r="Z831" i="2" s="1"/>
  <c r="Z813" i="2"/>
  <c r="L497" i="2"/>
  <c r="M497" i="2" s="1"/>
  <c r="K663" i="2"/>
  <c r="L663" i="2" s="1"/>
  <c r="M663" i="2" s="1"/>
  <c r="AB1003" i="2"/>
  <c r="AB997" i="2"/>
  <c r="AC997" i="2"/>
  <c r="Z997" i="2"/>
  <c r="Z1003" i="2"/>
  <c r="AG1000" i="2"/>
  <c r="AH1000" i="2" s="1"/>
  <c r="D993" i="2" s="1"/>
  <c r="C993" i="2" s="1"/>
  <c r="AC999" i="2"/>
  <c r="AC1005" i="2"/>
  <c r="AC1007" i="2" s="1"/>
  <c r="AC1009" i="2" s="1"/>
  <c r="AE75" i="10"/>
  <c r="AF75" i="10" s="1"/>
  <c r="AB1037" i="2"/>
  <c r="AB1045" i="2" s="1"/>
  <c r="AB1039" i="2"/>
  <c r="AB1041" i="2"/>
  <c r="AE8" i="10"/>
  <c r="AF8" i="10" s="1"/>
  <c r="AE28" i="10"/>
  <c r="AF28" i="10" s="1"/>
  <c r="AE33" i="10"/>
  <c r="AF33" i="10" s="1"/>
  <c r="AE41" i="10"/>
  <c r="AF41" i="10" s="1"/>
  <c r="AE49" i="10"/>
  <c r="AF49" i="10" s="1"/>
  <c r="AE54" i="10"/>
  <c r="AF54" i="10" s="1"/>
  <c r="AE69" i="10"/>
  <c r="AF69" i="10" s="1"/>
  <c r="AE74" i="10"/>
  <c r="AF74" i="10" s="1"/>
  <c r="AE86" i="10"/>
  <c r="AF86" i="10" s="1"/>
  <c r="AE93" i="10"/>
  <c r="AF93" i="10" s="1"/>
  <c r="AE95" i="10"/>
  <c r="AF95" i="10" s="1"/>
  <c r="AE97" i="10"/>
  <c r="AF97" i="10" s="1"/>
  <c r="AE99" i="10"/>
  <c r="AF99" i="10" s="1"/>
  <c r="AE101" i="10"/>
  <c r="AF101" i="10" s="1"/>
  <c r="AE103" i="10"/>
  <c r="AF103" i="10" s="1"/>
  <c r="AE3" i="10"/>
  <c r="AE11" i="10"/>
  <c r="AF11" i="10" s="1"/>
  <c r="AE16" i="10"/>
  <c r="AF16" i="10" s="1"/>
  <c r="AE21" i="10"/>
  <c r="AF21" i="10" s="1"/>
  <c r="AE36" i="10"/>
  <c r="AF36" i="10" s="1"/>
  <c r="AE44" i="10"/>
  <c r="AF44" i="10" s="1"/>
  <c r="AE52" i="10"/>
  <c r="AF52" i="10" s="1"/>
  <c r="AE59" i="10"/>
  <c r="AF59" i="10" s="1"/>
  <c r="AE64" i="10"/>
  <c r="AF64" i="10" s="1"/>
  <c r="AE72" i="10"/>
  <c r="AF72" i="10" s="1"/>
  <c r="AE79" i="10"/>
  <c r="AF79" i="10" s="1"/>
  <c r="AE84" i="10"/>
  <c r="AF84" i="10" s="1"/>
  <c r="AE91" i="10"/>
  <c r="AF91" i="10" s="1"/>
  <c r="AE6" i="10"/>
  <c r="AF6" i="10" s="1"/>
  <c r="AE14" i="10"/>
  <c r="AF14" i="10" s="1"/>
  <c r="AE24" i="10"/>
  <c r="AF24" i="10" s="1"/>
  <c r="AE26" i="10"/>
  <c r="AF26" i="10" s="1"/>
  <c r="AE31" i="10"/>
  <c r="AF31" i="10" s="1"/>
  <c r="AE39" i="10"/>
  <c r="AF39" i="10" s="1"/>
  <c r="AE47" i="10"/>
  <c r="AF47" i="10" s="1"/>
  <c r="AE62" i="10"/>
  <c r="AF62" i="10" s="1"/>
  <c r="AE67" i="10"/>
  <c r="AF67" i="10" s="1"/>
  <c r="AE77" i="10"/>
  <c r="AF77" i="10" s="1"/>
  <c r="AE82" i="10"/>
  <c r="AF82" i="10" s="1"/>
  <c r="AE89" i="10"/>
  <c r="AF89" i="10" s="1"/>
  <c r="AE5" i="10"/>
  <c r="AF5" i="10" s="1"/>
  <c r="AE13" i="10"/>
  <c r="AF13" i="10" s="1"/>
  <c r="AE18" i="10"/>
  <c r="AF18" i="10" s="1"/>
  <c r="AE23" i="10"/>
  <c r="AF23" i="10" s="1"/>
  <c r="AE30" i="10"/>
  <c r="AF30" i="10" s="1"/>
  <c r="AE38" i="10"/>
  <c r="AF38" i="10" s="1"/>
  <c r="AE46" i="10"/>
  <c r="AF46" i="10" s="1"/>
  <c r="AE61" i="10"/>
  <c r="AF61" i="10" s="1"/>
  <c r="AE66" i="10"/>
  <c r="AF66" i="10" s="1"/>
  <c r="AE76" i="10"/>
  <c r="AF76" i="10" s="1"/>
  <c r="AE81" i="10"/>
  <c r="AF81" i="10" s="1"/>
  <c r="AE88" i="10"/>
  <c r="AF88" i="10" s="1"/>
  <c r="AE15" i="10"/>
  <c r="AF15" i="10" s="1"/>
  <c r="AE25" i="10"/>
  <c r="AF25" i="10" s="1"/>
  <c r="AE34" i="10"/>
  <c r="AF34" i="10" s="1"/>
  <c r="AE35" i="10"/>
  <c r="AF35" i="10" s="1"/>
  <c r="AE50" i="10"/>
  <c r="AF50" i="10" s="1"/>
  <c r="AE51" i="10"/>
  <c r="AF51" i="10" s="1"/>
  <c r="AE65" i="10"/>
  <c r="AF65" i="10" s="1"/>
  <c r="AE78" i="10"/>
  <c r="AF78" i="10" s="1"/>
  <c r="AE98" i="10"/>
  <c r="AF98" i="10" s="1"/>
  <c r="AE37" i="10"/>
  <c r="AF37" i="10" s="1"/>
  <c r="AE53" i="10"/>
  <c r="AF53" i="10" s="1"/>
  <c r="AE80" i="10"/>
  <c r="AF80" i="10" s="1"/>
  <c r="AE90" i="10"/>
  <c r="AF90" i="10" s="1"/>
  <c r="AE104" i="10"/>
  <c r="AF104" i="10" s="1"/>
  <c r="AE106" i="10"/>
  <c r="AF106" i="10" s="1"/>
  <c r="AE108" i="10"/>
  <c r="AF108" i="10" s="1"/>
  <c r="AE110" i="10"/>
  <c r="AF110" i="10" s="1"/>
  <c r="AE112" i="10"/>
  <c r="AF112" i="10" s="1"/>
  <c r="AE55" i="10"/>
  <c r="AF55" i="10" s="1"/>
  <c r="AE56" i="10"/>
  <c r="AE68" i="10"/>
  <c r="AF68" i="10" s="1"/>
  <c r="AE92" i="10"/>
  <c r="AF92" i="10" s="1"/>
  <c r="AE7" i="10"/>
  <c r="AF7" i="10" s="1"/>
  <c r="AE42" i="10"/>
  <c r="AF42" i="10" s="1"/>
  <c r="AE43" i="10"/>
  <c r="AF43" i="10" s="1"/>
  <c r="AE60" i="10"/>
  <c r="AF60" i="10" s="1"/>
  <c r="AE73" i="10"/>
  <c r="AF73" i="10" s="1"/>
  <c r="AE94" i="10"/>
  <c r="AF94" i="10" s="1"/>
  <c r="AE102" i="10"/>
  <c r="AF102" i="10" s="1"/>
  <c r="AE22" i="10"/>
  <c r="AF22" i="10" s="1"/>
  <c r="AE70" i="10"/>
  <c r="AF70" i="10" s="1"/>
  <c r="AE4" i="10"/>
  <c r="AF4" i="10" s="1"/>
  <c r="AE29" i="10"/>
  <c r="AF29" i="10" s="1"/>
  <c r="AE96" i="10"/>
  <c r="AF96" i="10" s="1"/>
  <c r="AE105" i="10"/>
  <c r="AF105" i="10" s="1"/>
  <c r="AE12" i="10"/>
  <c r="AF12" i="10" s="1"/>
  <c r="AE19" i="10"/>
  <c r="AF19" i="10" s="1"/>
  <c r="AE20" i="10"/>
  <c r="AF20" i="10" s="1"/>
  <c r="AE27" i="10"/>
  <c r="AF27" i="10" s="1"/>
  <c r="AE32" i="10"/>
  <c r="AF32" i="10" s="1"/>
  <c r="AE45" i="10"/>
  <c r="AF45" i="10" s="1"/>
  <c r="AE63" i="10"/>
  <c r="AF63" i="10" s="1"/>
  <c r="AE87" i="10"/>
  <c r="AF87" i="10" s="1"/>
  <c r="AE100" i="10"/>
  <c r="AF100" i="10" s="1"/>
  <c r="AE111" i="10"/>
  <c r="AF111" i="10" s="1"/>
  <c r="AE17" i="10"/>
  <c r="AF17" i="10" s="1"/>
  <c r="AE48" i="10"/>
  <c r="AF48" i="10" s="1"/>
  <c r="AE85" i="10"/>
  <c r="AF85" i="10" s="1"/>
  <c r="AE9" i="10"/>
  <c r="AF9" i="10" s="1"/>
  <c r="AE10" i="10"/>
  <c r="AF10" i="10" s="1"/>
  <c r="AE40" i="10"/>
  <c r="AF40" i="10" s="1"/>
  <c r="AE71" i="10"/>
  <c r="AF71" i="10" s="1"/>
  <c r="AE83" i="10"/>
  <c r="AF83" i="10" s="1"/>
  <c r="AE109" i="10"/>
  <c r="AF109" i="10" s="1"/>
  <c r="H85" i="10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" i="9"/>
  <c r="G25" i="9"/>
  <c r="G29" i="9"/>
  <c r="G33" i="9"/>
  <c r="G37" i="9"/>
  <c r="G39" i="9"/>
  <c r="G43" i="9"/>
  <c r="G47" i="9"/>
  <c r="G51" i="9"/>
  <c r="G55" i="9"/>
  <c r="G4" i="9"/>
  <c r="G28" i="9"/>
  <c r="G32" i="9"/>
  <c r="G36" i="9"/>
  <c r="G38" i="9"/>
  <c r="G42" i="9"/>
  <c r="G46" i="9"/>
  <c r="G50" i="9"/>
  <c r="G54" i="9"/>
  <c r="G3" i="9"/>
  <c r="AE98" i="2"/>
  <c r="AE87" i="2"/>
  <c r="AE89" i="2" s="1"/>
  <c r="Y5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4" i="9"/>
  <c r="Y2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H42" i="10"/>
  <c r="Q4" i="10"/>
  <c r="R4" i="10" s="1"/>
  <c r="Q12" i="10"/>
  <c r="R12" i="10" s="1"/>
  <c r="Q17" i="10"/>
  <c r="R17" i="10" s="1"/>
  <c r="Q22" i="10"/>
  <c r="R22" i="10" s="1"/>
  <c r="Q29" i="10"/>
  <c r="R29" i="10" s="1"/>
  <c r="Q37" i="10"/>
  <c r="R37" i="10" s="1"/>
  <c r="Q45" i="10"/>
  <c r="R45" i="10" s="1"/>
  <c r="Q53" i="10"/>
  <c r="R53" i="10" s="1"/>
  <c r="Q60" i="10"/>
  <c r="R60" i="10" s="1"/>
  <c r="Q65" i="10"/>
  <c r="R65" i="10" s="1"/>
  <c r="Q73" i="10"/>
  <c r="R73" i="10" s="1"/>
  <c r="Q80" i="10"/>
  <c r="R80" i="10" s="1"/>
  <c r="Q85" i="10"/>
  <c r="R85" i="10" s="1"/>
  <c r="Q96" i="10"/>
  <c r="R96" i="10" s="1"/>
  <c r="Q98" i="10"/>
  <c r="R98" i="10" s="1"/>
  <c r="Q100" i="10"/>
  <c r="R100" i="10" s="1"/>
  <c r="Q102" i="10"/>
  <c r="R102" i="10" s="1"/>
  <c r="Q104" i="10"/>
  <c r="R104" i="10" s="1"/>
  <c r="Q7" i="10"/>
  <c r="R7" i="10" s="1"/>
  <c r="Q15" i="10"/>
  <c r="R15" i="10" s="1"/>
  <c r="Q27" i="10"/>
  <c r="R27" i="10" s="1"/>
  <c r="Q32" i="10"/>
  <c r="R32" i="10" s="1"/>
  <c r="Q40" i="10"/>
  <c r="R40" i="10" s="1"/>
  <c r="Q48" i="10"/>
  <c r="R48" i="10" s="1"/>
  <c r="Q63" i="10"/>
  <c r="R63" i="10" s="1"/>
  <c r="Q68" i="10"/>
  <c r="R68" i="10" s="1"/>
  <c r="Q83" i="10"/>
  <c r="R83" i="10" s="1"/>
  <c r="Q92" i="10"/>
  <c r="R92" i="10" s="1"/>
  <c r="Q94" i="10"/>
  <c r="R94" i="10" s="1"/>
  <c r="Q10" i="10"/>
  <c r="R10" i="10" s="1"/>
  <c r="Q20" i="10"/>
  <c r="R20" i="10" s="1"/>
  <c r="Q25" i="10"/>
  <c r="R25" i="10" s="1"/>
  <c r="Q35" i="10"/>
  <c r="R35" i="10" s="1"/>
  <c r="Q43" i="10"/>
  <c r="R43" i="10" s="1"/>
  <c r="Q51" i="10"/>
  <c r="R51" i="10" s="1"/>
  <c r="Q56" i="10"/>
  <c r="R56" i="10" s="1"/>
  <c r="Q58" i="10"/>
  <c r="R58" i="10" s="1"/>
  <c r="Q71" i="10"/>
  <c r="R71" i="10" s="1"/>
  <c r="Q78" i="10"/>
  <c r="R78" i="10" s="1"/>
  <c r="Q90" i="10"/>
  <c r="R90" i="10" s="1"/>
  <c r="Q9" i="10"/>
  <c r="R9" i="10" s="1"/>
  <c r="Q19" i="10"/>
  <c r="R19" i="10" s="1"/>
  <c r="Q34" i="10"/>
  <c r="R34" i="10" s="1"/>
  <c r="Q42" i="10"/>
  <c r="R42" i="10" s="1"/>
  <c r="Q50" i="10"/>
  <c r="R50" i="10" s="1"/>
  <c r="Q55" i="10"/>
  <c r="R55" i="10" s="1"/>
  <c r="Q57" i="10"/>
  <c r="R57" i="10" s="1"/>
  <c r="Q70" i="10"/>
  <c r="R70" i="10" s="1"/>
  <c r="Q75" i="10"/>
  <c r="R75" i="10" s="1"/>
  <c r="Q87" i="10"/>
  <c r="R87" i="10" s="1"/>
  <c r="Q5" i="10"/>
  <c r="R5" i="10" s="1"/>
  <c r="Q18" i="10"/>
  <c r="R18" i="10" s="1"/>
  <c r="Q28" i="10"/>
  <c r="R28" i="10" s="1"/>
  <c r="Q41" i="10"/>
  <c r="R41" i="10" s="1"/>
  <c r="Q59" i="10"/>
  <c r="R59" i="10" s="1"/>
  <c r="Q72" i="10"/>
  <c r="R72" i="10" s="1"/>
  <c r="Q3" i="10"/>
  <c r="R3" i="10" s="1"/>
  <c r="Q6" i="10"/>
  <c r="R6" i="10" s="1"/>
  <c r="Q8" i="10"/>
  <c r="R8" i="10" s="1"/>
  <c r="Q44" i="10"/>
  <c r="R44" i="10" s="1"/>
  <c r="Q61" i="10"/>
  <c r="R61" i="10" s="1"/>
  <c r="Q74" i="10"/>
  <c r="R74" i="10" s="1"/>
  <c r="Q84" i="10"/>
  <c r="R84" i="10" s="1"/>
  <c r="Q95" i="10"/>
  <c r="R95" i="10" s="1"/>
  <c r="Q105" i="10"/>
  <c r="R105" i="10" s="1"/>
  <c r="Q107" i="10"/>
  <c r="R107" i="10" s="1"/>
  <c r="Q109" i="10"/>
  <c r="R109" i="10" s="1"/>
  <c r="Q111" i="10"/>
  <c r="R111" i="10" s="1"/>
  <c r="Q11" i="10"/>
  <c r="R11" i="10" s="1"/>
  <c r="Q21" i="10"/>
  <c r="R21" i="10" s="1"/>
  <c r="Q30" i="10"/>
  <c r="R30" i="10" s="1"/>
  <c r="Q46" i="10"/>
  <c r="R46" i="10" s="1"/>
  <c r="Q62" i="10"/>
  <c r="R62" i="10" s="1"/>
  <c r="Q86" i="10"/>
  <c r="R86" i="10" s="1"/>
  <c r="Q14" i="10"/>
  <c r="R14" i="10" s="1"/>
  <c r="Q24" i="10"/>
  <c r="R24" i="10" s="1"/>
  <c r="Q33" i="10"/>
  <c r="R33" i="10" s="1"/>
  <c r="Q49" i="10"/>
  <c r="R49" i="10" s="1"/>
  <c r="Q64" i="10"/>
  <c r="R64" i="10" s="1"/>
  <c r="Q77" i="10"/>
  <c r="R77" i="10" s="1"/>
  <c r="Q88" i="10"/>
  <c r="R88" i="10" s="1"/>
  <c r="Q2" i="10"/>
  <c r="R2" i="10" s="1"/>
  <c r="Q82" i="10"/>
  <c r="R82" i="10" s="1"/>
  <c r="Q106" i="10"/>
  <c r="R106" i="10" s="1"/>
  <c r="Q38" i="10"/>
  <c r="R38" i="10" s="1"/>
  <c r="Q79" i="10"/>
  <c r="R79" i="10" s="1"/>
  <c r="Q39" i="10"/>
  <c r="R39" i="10" s="1"/>
  <c r="Q54" i="10"/>
  <c r="R54" i="10" s="1"/>
  <c r="Q76" i="10"/>
  <c r="R76" i="10" s="1"/>
  <c r="Q103" i="10"/>
  <c r="R103" i="10" s="1"/>
  <c r="Q112" i="10"/>
  <c r="R112" i="10" s="1"/>
  <c r="Q36" i="10"/>
  <c r="R36" i="10" s="1"/>
  <c r="S3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4" i="9"/>
  <c r="H29" i="10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4" i="9"/>
  <c r="AF3" i="10"/>
  <c r="C732" i="2"/>
  <c r="C709" i="2"/>
  <c r="C686" i="2"/>
  <c r="H7" i="10"/>
  <c r="AL63" i="10"/>
  <c r="AM63" i="10" s="1"/>
  <c r="AL83" i="10"/>
  <c r="AM83" i="10" s="1"/>
  <c r="AL56" i="10"/>
  <c r="AM56" i="10" s="1"/>
  <c r="AL53" i="10"/>
  <c r="AM53" i="10" s="1"/>
  <c r="AL73" i="10"/>
  <c r="AM73" i="10" s="1"/>
  <c r="AL85" i="10"/>
  <c r="AM85" i="10" s="1"/>
  <c r="AL96" i="10"/>
  <c r="AM96" i="10" s="1"/>
  <c r="AL98" i="10"/>
  <c r="AM98" i="10" s="1"/>
  <c r="AL100" i="10"/>
  <c r="AM100" i="10" s="1"/>
  <c r="AL102" i="10"/>
  <c r="AM102" i="10" s="1"/>
  <c r="AS71" i="9"/>
  <c r="AS975" i="9"/>
  <c r="AS307" i="9"/>
  <c r="AS996" i="9"/>
  <c r="AS350" i="9"/>
  <c r="AS843" i="9"/>
  <c r="AS997" i="9"/>
  <c r="AS724" i="9"/>
  <c r="AL87" i="10"/>
  <c r="AM87" i="10" s="1"/>
  <c r="AF56" i="10"/>
  <c r="E5" i="10"/>
  <c r="H5" i="10" s="1"/>
  <c r="E13" i="10"/>
  <c r="H13" i="10" s="1"/>
  <c r="E18" i="10"/>
  <c r="H18" i="10" s="1"/>
  <c r="E23" i="10"/>
  <c r="H23" i="10" s="1"/>
  <c r="E30" i="10"/>
  <c r="H30" i="10" s="1"/>
  <c r="E38" i="10"/>
  <c r="H38" i="10" s="1"/>
  <c r="E46" i="10"/>
  <c r="H46" i="10" s="1"/>
  <c r="E61" i="10"/>
  <c r="H61" i="10" s="1"/>
  <c r="E66" i="10"/>
  <c r="H66" i="10" s="1"/>
  <c r="E76" i="10"/>
  <c r="H76" i="10" s="1"/>
  <c r="E81" i="10"/>
  <c r="H81" i="10" s="1"/>
  <c r="E88" i="10"/>
  <c r="H88" i="10" s="1"/>
  <c r="E8" i="10"/>
  <c r="H8" i="10" s="1"/>
  <c r="E28" i="10"/>
  <c r="H28" i="10" s="1"/>
  <c r="E33" i="10"/>
  <c r="H33" i="10" s="1"/>
  <c r="E41" i="10"/>
  <c r="H41" i="10" s="1"/>
  <c r="E49" i="10"/>
  <c r="H49" i="10" s="1"/>
  <c r="E54" i="10"/>
  <c r="H54" i="10" s="1"/>
  <c r="E69" i="10"/>
  <c r="H69" i="10" s="1"/>
  <c r="E74" i="10"/>
  <c r="H74" i="10" s="1"/>
  <c r="E86" i="10"/>
  <c r="H86" i="10" s="1"/>
  <c r="E93" i="10"/>
  <c r="H93" i="10" s="1"/>
  <c r="E95" i="10"/>
  <c r="H95" i="10" s="1"/>
  <c r="E97" i="10"/>
  <c r="H97" i="10" s="1"/>
  <c r="E99" i="10"/>
  <c r="H99" i="10" s="1"/>
  <c r="E101" i="10"/>
  <c r="H101" i="10" s="1"/>
  <c r="E3" i="10"/>
  <c r="H3" i="10" s="1"/>
  <c r="E11" i="10"/>
  <c r="H11" i="10" s="1"/>
  <c r="E16" i="10"/>
  <c r="H16" i="10" s="1"/>
  <c r="E21" i="10"/>
  <c r="H21" i="10" s="1"/>
  <c r="E36" i="10"/>
  <c r="H36" i="10" s="1"/>
  <c r="E44" i="10"/>
  <c r="H44" i="10" s="1"/>
  <c r="E52" i="10"/>
  <c r="H52" i="10" s="1"/>
  <c r="E59" i="10"/>
  <c r="H59" i="10" s="1"/>
  <c r="E64" i="10"/>
  <c r="H64" i="10" s="1"/>
  <c r="E72" i="10"/>
  <c r="H72" i="10" s="1"/>
  <c r="E79" i="10"/>
  <c r="H79" i="10" s="1"/>
  <c r="E84" i="10"/>
  <c r="H84" i="10" s="1"/>
  <c r="E91" i="10"/>
  <c r="H91" i="10" s="1"/>
  <c r="E10" i="10"/>
  <c r="H10" i="10" s="1"/>
  <c r="E20" i="10"/>
  <c r="H20" i="10" s="1"/>
  <c r="E25" i="10"/>
  <c r="H25" i="10" s="1"/>
  <c r="E35" i="10"/>
  <c r="H35" i="10" s="1"/>
  <c r="E43" i="10"/>
  <c r="H43" i="10" s="1"/>
  <c r="E51" i="10"/>
  <c r="H51" i="10" s="1"/>
  <c r="E56" i="10"/>
  <c r="H56" i="10" s="1"/>
  <c r="E58" i="10"/>
  <c r="H58" i="10" s="1"/>
  <c r="E71" i="10"/>
  <c r="H71" i="10" s="1"/>
  <c r="E78" i="10"/>
  <c r="H78" i="10" s="1"/>
  <c r="E90" i="10"/>
  <c r="H90" i="10" s="1"/>
  <c r="AL105" i="10"/>
  <c r="AM105" i="10" s="1"/>
  <c r="AL97" i="10"/>
  <c r="AM97" i="10" s="1"/>
  <c r="AL75" i="10"/>
  <c r="AM75" i="10" s="1"/>
  <c r="AS924" i="9"/>
  <c r="AS768" i="9"/>
  <c r="AS415" i="9"/>
  <c r="V3" i="10"/>
  <c r="W3" i="10" s="1"/>
  <c r="V4" i="10"/>
  <c r="W4" i="10" s="1"/>
  <c r="V2" i="10"/>
  <c r="W2" i="10" s="1"/>
  <c r="AR23" i="10"/>
  <c r="AP90" i="10"/>
  <c r="AV325" i="2"/>
  <c r="AL354" i="2" s="1"/>
  <c r="D380" i="2" s="1"/>
  <c r="B380" i="2" s="1"/>
  <c r="C380" i="2" s="1"/>
  <c r="AS1016" i="9"/>
  <c r="AS941" i="9"/>
  <c r="AS876" i="9"/>
  <c r="AS793" i="9"/>
  <c r="AS628" i="9"/>
  <c r="AS423" i="9"/>
  <c r="AS1073" i="9"/>
  <c r="AS906" i="9"/>
  <c r="AS702" i="9"/>
  <c r="AS559" i="9"/>
  <c r="AS306" i="9"/>
  <c r="O319" i="2"/>
  <c r="O317" i="2" s="1"/>
  <c r="AK18" i="16" s="1"/>
  <c r="F994" i="2"/>
  <c r="AS1068" i="9"/>
  <c r="AS1051" i="9"/>
  <c r="AS963" i="9"/>
  <c r="AS905" i="9"/>
  <c r="AS815" i="9"/>
  <c r="AS752" i="9"/>
  <c r="AS662" i="9"/>
  <c r="AS521" i="9"/>
  <c r="AS248" i="9"/>
  <c r="AS1039" i="9"/>
  <c r="I26" i="15"/>
  <c r="AP102" i="10"/>
  <c r="AL89" i="2"/>
  <c r="S74" i="2" s="1"/>
  <c r="AS1022" i="9"/>
  <c r="AR953" i="9"/>
  <c r="AS888" i="9"/>
  <c r="AS813" i="9"/>
  <c r="AS748" i="9"/>
  <c r="AS651" i="9"/>
  <c r="AS520" i="9"/>
  <c r="AS199" i="9"/>
  <c r="AQ597" i="9"/>
  <c r="O320" i="2"/>
  <c r="D180" i="2"/>
  <c r="AP101" i="10"/>
  <c r="AS1017" i="9"/>
  <c r="AS951" i="9"/>
  <c r="AS886" i="9"/>
  <c r="AS637" i="9"/>
  <c r="AS487" i="9"/>
  <c r="D1451" i="2"/>
  <c r="B365" i="2"/>
  <c r="AR22" i="10"/>
  <c r="BD372" i="2"/>
  <c r="AR989" i="9"/>
  <c r="AQ953" i="9"/>
  <c r="J323" i="2"/>
  <c r="R319" i="2"/>
  <c r="R317" i="2" s="1"/>
  <c r="AK27" i="16" s="1"/>
  <c r="V1422" i="2"/>
  <c r="Q1431" i="2" s="1"/>
  <c r="AE1429" i="2" s="1"/>
  <c r="AR85" i="10"/>
  <c r="BD366" i="2"/>
  <c r="BD374" i="2" s="1"/>
  <c r="V19" i="13"/>
  <c r="AQ986" i="9"/>
  <c r="C269" i="2"/>
  <c r="G269" i="2" s="1"/>
  <c r="AR977" i="9"/>
  <c r="AR948" i="9"/>
  <c r="AQ333" i="9"/>
  <c r="AR16" i="10"/>
  <c r="J1015" i="2"/>
  <c r="I1013" i="2" s="1"/>
  <c r="AR91" i="10"/>
  <c r="AP68" i="10"/>
  <c r="AQ976" i="9"/>
  <c r="AQ738" i="9"/>
  <c r="L982" i="2"/>
  <c r="L980" i="2" s="1"/>
  <c r="S18" i="17" s="1"/>
  <c r="AP59" i="10"/>
  <c r="F995" i="2"/>
  <c r="AP56" i="10"/>
  <c r="AP28" i="10"/>
  <c r="C47" i="18"/>
  <c r="C48" i="17"/>
  <c r="AQ27" i="10"/>
  <c r="AP89" i="10"/>
  <c r="AQ454" i="9"/>
  <c r="AQ103" i="10"/>
  <c r="AW23" i="11"/>
  <c r="AQ83" i="10"/>
  <c r="AR1005" i="9"/>
  <c r="AR876" i="9"/>
  <c r="AQ692" i="9"/>
  <c r="AQ369" i="9"/>
  <c r="R326" i="2"/>
  <c r="AQ79" i="10"/>
  <c r="AQ45" i="10"/>
  <c r="AR554" i="9"/>
  <c r="Q1350" i="2"/>
  <c r="AG1039" i="2"/>
  <c r="V39" i="15"/>
  <c r="AQ101" i="10"/>
  <c r="AD47" i="18"/>
  <c r="AD32" i="18" s="1"/>
  <c r="AR344" i="9"/>
  <c r="AG89" i="2"/>
  <c r="AG81" i="2"/>
  <c r="AQ59" i="10"/>
  <c r="AQ39" i="10"/>
  <c r="B58" i="2"/>
  <c r="A56" i="2" s="1"/>
  <c r="AW323" i="2"/>
  <c r="AQ63" i="10"/>
  <c r="AQ105" i="10"/>
  <c r="C1431" i="2"/>
  <c r="AQ94" i="10"/>
  <c r="H795" i="2"/>
  <c r="L750" i="2"/>
  <c r="S44" i="16"/>
  <c r="AQ43" i="10"/>
  <c r="AN378" i="2"/>
  <c r="AS1063" i="9"/>
  <c r="AS1056" i="9"/>
  <c r="AS1044" i="9"/>
  <c r="AQ1021" i="9"/>
  <c r="AQ993" i="9"/>
  <c r="AS966" i="9"/>
  <c r="AS920" i="9"/>
  <c r="AS878" i="9"/>
  <c r="AS842" i="9"/>
  <c r="AS806" i="9"/>
  <c r="AS772" i="9"/>
  <c r="AS739" i="9"/>
  <c r="AQ719" i="9"/>
  <c r="AS641" i="9"/>
  <c r="AS584" i="9"/>
  <c r="AS495" i="9"/>
  <c r="AS410" i="9"/>
  <c r="AS257" i="9"/>
  <c r="AQ22" i="10"/>
  <c r="AQ109" i="10"/>
  <c r="AQ18" i="10"/>
  <c r="AQ1077" i="9"/>
  <c r="AS1030" i="9"/>
  <c r="AQ1009" i="9"/>
  <c r="AS984" i="9"/>
  <c r="AQ963" i="9"/>
  <c r="AQ938" i="9"/>
  <c r="AS901" i="9"/>
  <c r="AQ871" i="9"/>
  <c r="AS792" i="9"/>
  <c r="AS734" i="9"/>
  <c r="AS685" i="9"/>
  <c r="AS619" i="9"/>
  <c r="AS555" i="9"/>
  <c r="AS449" i="9"/>
  <c r="AS198" i="9"/>
  <c r="AS109" i="9"/>
  <c r="R1350" i="2"/>
  <c r="AQ112" i="10"/>
  <c r="AQ96" i="10"/>
  <c r="N1373" i="2"/>
  <c r="AG798" i="2"/>
  <c r="D1323" i="2"/>
  <c r="AA27" i="17"/>
  <c r="AQ107" i="10"/>
  <c r="F37" i="11"/>
  <c r="E6" i="11" s="1"/>
  <c r="C39" i="1"/>
  <c r="O324" i="2"/>
  <c r="K1054" i="2"/>
  <c r="AS1075" i="9"/>
  <c r="AS1029" i="9"/>
  <c r="AS982" i="9"/>
  <c r="AS957" i="9"/>
  <c r="AS934" i="9"/>
  <c r="AS895" i="9"/>
  <c r="AQ865" i="9"/>
  <c r="AS827" i="9"/>
  <c r="AS790" i="9"/>
  <c r="AS760" i="9"/>
  <c r="AS684" i="9"/>
  <c r="AQ611" i="9"/>
  <c r="AS443" i="9"/>
  <c r="AS162" i="9"/>
  <c r="AS100" i="9"/>
  <c r="BI366" i="2"/>
  <c r="AG1035" i="2"/>
  <c r="P19" i="1"/>
  <c r="Q3" i="20"/>
  <c r="R3" i="20" s="1"/>
  <c r="S3" i="20" s="1"/>
  <c r="T3" i="20" s="1"/>
  <c r="U3" i="20" s="1"/>
  <c r="V3" i="20" s="1"/>
  <c r="W3" i="20" s="1"/>
  <c r="X3" i="20" s="1"/>
  <c r="Y3" i="20" s="1"/>
  <c r="Z3" i="20" s="1"/>
  <c r="AA3" i="20" s="1"/>
  <c r="AB3" i="20" s="1"/>
  <c r="AC3" i="20" s="1"/>
  <c r="AD3" i="20" s="1"/>
  <c r="AE3" i="20" s="1"/>
  <c r="AF3" i="20" s="1"/>
  <c r="AG3" i="20" s="1"/>
  <c r="AH3" i="20" s="1"/>
  <c r="AI3" i="20" s="1"/>
  <c r="AJ3" i="20" s="1"/>
  <c r="AK3" i="20" s="1"/>
  <c r="AL3" i="20" s="1"/>
  <c r="AQ99" i="10"/>
  <c r="AQ68" i="10"/>
  <c r="C38" i="18"/>
  <c r="L748" i="2"/>
  <c r="L746" i="2" s="1"/>
  <c r="S19" i="18" s="1"/>
  <c r="AS1074" i="9"/>
  <c r="AS1047" i="9"/>
  <c r="AS1028" i="9"/>
  <c r="AQ925" i="9"/>
  <c r="AS894" i="9"/>
  <c r="AQ858" i="9"/>
  <c r="AS785" i="9"/>
  <c r="AS757" i="9"/>
  <c r="AS674" i="9"/>
  <c r="AQ610" i="9"/>
  <c r="AS531" i="9"/>
  <c r="AS425" i="9"/>
  <c r="AS318" i="9"/>
  <c r="AS151" i="9"/>
  <c r="O11" i="10"/>
  <c r="O24" i="10"/>
  <c r="O13" i="10"/>
  <c r="O67" i="10"/>
  <c r="O107" i="10"/>
  <c r="O55" i="10"/>
  <c r="O41" i="10"/>
  <c r="O98" i="10"/>
  <c r="O26" i="10"/>
  <c r="O91" i="10"/>
  <c r="S91" i="10" s="1"/>
  <c r="O85" i="10"/>
  <c r="O108" i="10"/>
  <c r="S108" i="10" s="1"/>
  <c r="O84" i="10"/>
  <c r="O94" i="10"/>
  <c r="O87" i="10"/>
  <c r="O59" i="10"/>
  <c r="O10" i="10"/>
  <c r="O30" i="10"/>
  <c r="O49" i="10"/>
  <c r="O110" i="10"/>
  <c r="O101" i="10"/>
  <c r="O45" i="10"/>
  <c r="O103" i="10"/>
  <c r="O4" i="10"/>
  <c r="S4" i="10" s="1"/>
  <c r="O73" i="10"/>
  <c r="O38" i="10"/>
  <c r="O81" i="10"/>
  <c r="S81" i="10" s="1"/>
  <c r="O46" i="10"/>
  <c r="O63" i="10"/>
  <c r="O65" i="10"/>
  <c r="O17" i="10"/>
  <c r="O69" i="10"/>
  <c r="S69" i="10" s="1"/>
  <c r="O2" i="10"/>
  <c r="O68" i="10"/>
  <c r="O90" i="10"/>
  <c r="AQ143" i="9"/>
  <c r="AQ81" i="9"/>
  <c r="AQ264" i="9"/>
  <c r="AQ324" i="9"/>
  <c r="AQ612" i="9"/>
  <c r="AQ182" i="9"/>
  <c r="AQ660" i="9"/>
  <c r="AQ43" i="9"/>
  <c r="AQ230" i="9"/>
  <c r="AQ601" i="9"/>
  <c r="AQ624" i="9"/>
  <c r="AP111" i="10"/>
  <c r="AP83" i="10"/>
  <c r="AR27" i="10"/>
  <c r="AR99" i="10"/>
  <c r="AR98" i="10"/>
  <c r="AP86" i="10"/>
  <c r="AR68" i="10"/>
  <c r="R323" i="2"/>
  <c r="R327" i="2"/>
  <c r="O326" i="2"/>
  <c r="AR744" i="9"/>
  <c r="AR978" i="9"/>
  <c r="AR1010" i="9"/>
  <c r="AR1023" i="9"/>
  <c r="AR1013" i="9"/>
  <c r="AR859" i="9"/>
  <c r="AR963" i="9"/>
  <c r="AR974" i="9"/>
  <c r="AR1017" i="9"/>
  <c r="AR686" i="9"/>
  <c r="AR652" i="9"/>
  <c r="AR351" i="9"/>
  <c r="R329" i="2"/>
  <c r="AR38" i="10"/>
  <c r="AP107" i="10"/>
  <c r="AR59" i="10"/>
  <c r="AR77" i="10"/>
  <c r="AR94" i="10"/>
  <c r="AR37" i="10"/>
  <c r="C3" i="1"/>
  <c r="C32" i="1" s="1"/>
  <c r="AL96" i="20"/>
  <c r="L983" i="2"/>
  <c r="AR1007" i="9"/>
  <c r="AR910" i="9"/>
  <c r="AR495" i="9"/>
  <c r="AQ231" i="9"/>
  <c r="AS12" i="9"/>
  <c r="AS175" i="9"/>
  <c r="AS205" i="9"/>
  <c r="AS400" i="9"/>
  <c r="AS458" i="9"/>
  <c r="AS498" i="9"/>
  <c r="AS541" i="9"/>
  <c r="AS632" i="9"/>
  <c r="AS652" i="9"/>
  <c r="AS710" i="9"/>
  <c r="AS741" i="9"/>
  <c r="AS794" i="9"/>
  <c r="AS816" i="9"/>
  <c r="AS832" i="9"/>
  <c r="AS849" i="9"/>
  <c r="AS866" i="9"/>
  <c r="AS879" i="9"/>
  <c r="AS896" i="9"/>
  <c r="AS929" i="9"/>
  <c r="AS958" i="9"/>
  <c r="AS968" i="9"/>
  <c r="AS989" i="9"/>
  <c r="AS1000" i="9"/>
  <c r="AS1033" i="9"/>
  <c r="AS1041" i="9"/>
  <c r="AS1065" i="9"/>
  <c r="AS1076" i="9"/>
  <c r="AS187" i="9"/>
  <c r="AS294" i="9"/>
  <c r="AS94" i="9"/>
  <c r="AS270" i="9"/>
  <c r="AS326" i="9"/>
  <c r="AS362" i="9"/>
  <c r="AS401" i="9"/>
  <c r="AS460" i="9"/>
  <c r="AS542" i="9"/>
  <c r="AS593" i="9"/>
  <c r="AS633" i="9"/>
  <c r="AS676" i="9"/>
  <c r="AS688" i="9"/>
  <c r="AS711" i="9"/>
  <c r="AS731" i="9"/>
  <c r="AS742" i="9"/>
  <c r="AS764" i="9"/>
  <c r="AS781" i="9"/>
  <c r="AS800" i="9"/>
  <c r="AS835" i="9"/>
  <c r="AS852" i="9"/>
  <c r="AS867" i="9"/>
  <c r="AS882" i="9"/>
  <c r="AS897" i="9"/>
  <c r="AS913" i="9"/>
  <c r="AS932" i="9"/>
  <c r="AS947" i="9"/>
  <c r="AS959" i="9"/>
  <c r="AS969" i="9"/>
  <c r="AS980" i="9"/>
  <c r="AS990" i="9"/>
  <c r="AS1001" i="9"/>
  <c r="AS1010" i="9"/>
  <c r="AS1023" i="9"/>
  <c r="AS1034" i="9"/>
  <c r="AS1066" i="9"/>
  <c r="AS223" i="9"/>
  <c r="AS11" i="9"/>
  <c r="AS145" i="9"/>
  <c r="AS222" i="9"/>
  <c r="AS281" i="9"/>
  <c r="AS327" i="9"/>
  <c r="AS366" i="9"/>
  <c r="AS437" i="9"/>
  <c r="AS463" i="9"/>
  <c r="AS506" i="9"/>
  <c r="AS543" i="9"/>
  <c r="AS616" i="9"/>
  <c r="AS636" i="9"/>
  <c r="AS681" i="9"/>
  <c r="AS691" i="9"/>
  <c r="AS715" i="9"/>
  <c r="AS732" i="9"/>
  <c r="AS784" i="9"/>
  <c r="AS819" i="9"/>
  <c r="AS836" i="9"/>
  <c r="AS856" i="9"/>
  <c r="AS869" i="9"/>
  <c r="AS915" i="9"/>
  <c r="AS933" i="9"/>
  <c r="AS961" i="9"/>
  <c r="AS981" i="9"/>
  <c r="AS991" i="9"/>
  <c r="AS1003" i="9"/>
  <c r="AS1024" i="9"/>
  <c r="AS1035" i="9"/>
  <c r="AS1042" i="9"/>
  <c r="AS1050" i="9"/>
  <c r="AS1060" i="9"/>
  <c r="AS1067" i="9"/>
  <c r="AS1078" i="9"/>
  <c r="AS58" i="9"/>
  <c r="AS102" i="9"/>
  <c r="AS302" i="9"/>
  <c r="AS342" i="9"/>
  <c r="AS375" i="9"/>
  <c r="AS414" i="9"/>
  <c r="AS448" i="9"/>
  <c r="AS579" i="9"/>
  <c r="AS663" i="9"/>
  <c r="AS682" i="9"/>
  <c r="AS736" i="9"/>
  <c r="AS750" i="9"/>
  <c r="AS805" i="9"/>
  <c r="AS825" i="9"/>
  <c r="AS874" i="9"/>
  <c r="AS887" i="9"/>
  <c r="AS903" i="9"/>
  <c r="AS922" i="9"/>
  <c r="AS936" i="9"/>
  <c r="AS983" i="9"/>
  <c r="AS994" i="9"/>
  <c r="AS1004" i="9"/>
  <c r="AS1027" i="9"/>
  <c r="AS1036" i="9"/>
  <c r="AS1055" i="9"/>
  <c r="AS1061" i="9"/>
  <c r="AS1071" i="9"/>
  <c r="AS59" i="9"/>
  <c r="AP48" i="10"/>
  <c r="AP46" i="10"/>
  <c r="AP67" i="10"/>
  <c r="AP88" i="10"/>
  <c r="AP26" i="10"/>
  <c r="AP87" i="10"/>
  <c r="AP47" i="10"/>
  <c r="AP78" i="10"/>
  <c r="AP17" i="10"/>
  <c r="AP36" i="10"/>
  <c r="AP92" i="10"/>
  <c r="AP103" i="10"/>
  <c r="AP42" i="10"/>
  <c r="AP45" i="10"/>
  <c r="AP98" i="10"/>
  <c r="AP104" i="10"/>
  <c r="AP110" i="10"/>
  <c r="AP76" i="10"/>
  <c r="AP79" i="10"/>
  <c r="AP22" i="10"/>
  <c r="AP94" i="10"/>
  <c r="AP93" i="10"/>
  <c r="AP82" i="10"/>
  <c r="AP16" i="10"/>
  <c r="AR682" i="9"/>
  <c r="AR544" i="9"/>
  <c r="AR19" i="10"/>
  <c r="AP99" i="10"/>
  <c r="AP54" i="10"/>
  <c r="AP40" i="10"/>
  <c r="AP75" i="10"/>
  <c r="AP23" i="10"/>
  <c r="AP74" i="10"/>
  <c r="AP6" i="10"/>
  <c r="AP73" i="10"/>
  <c r="AP11" i="10"/>
  <c r="AP64" i="10"/>
  <c r="AP60" i="10"/>
  <c r="AP4" i="10"/>
  <c r="AP2" i="10"/>
  <c r="AP5" i="10"/>
  <c r="Z376" i="2"/>
  <c r="X376" i="2" s="1"/>
  <c r="AP34" i="10"/>
  <c r="AQ18" i="16"/>
  <c r="C40" i="17"/>
  <c r="AP24" i="10"/>
  <c r="AP57" i="10"/>
  <c r="AR96" i="10"/>
  <c r="M20" i="18"/>
  <c r="S68" i="2"/>
  <c r="AL77" i="2"/>
  <c r="Q377" i="2"/>
  <c r="AR1040" i="9"/>
  <c r="AR997" i="9"/>
  <c r="AR865" i="9"/>
  <c r="AQ708" i="9"/>
  <c r="AQ673" i="9"/>
  <c r="AR627" i="9"/>
  <c r="AR392" i="9"/>
  <c r="AR204" i="9"/>
  <c r="AR97" i="10"/>
  <c r="AR76" i="10"/>
  <c r="AR80" i="10"/>
  <c r="AR15" i="10"/>
  <c r="AR62" i="10"/>
  <c r="AR39" i="10"/>
  <c r="AR112" i="10"/>
  <c r="AR100" i="10"/>
  <c r="AR103" i="10"/>
  <c r="AR86" i="10"/>
  <c r="AR60" i="10"/>
  <c r="AR65" i="10"/>
  <c r="AR2" i="10"/>
  <c r="AR58" i="10"/>
  <c r="AR61" i="10"/>
  <c r="AR40" i="10"/>
  <c r="AR102" i="10"/>
  <c r="AR111" i="10"/>
  <c r="AR90" i="10"/>
  <c r="AR66" i="10"/>
  <c r="AR88" i="10"/>
  <c r="AR6" i="10"/>
  <c r="AR67" i="10"/>
  <c r="AR12" i="10"/>
  <c r="AR57" i="10"/>
  <c r="AR63" i="10"/>
  <c r="AR82" i="10"/>
  <c r="AR21" i="10"/>
  <c r="AR33" i="10"/>
  <c r="BA3" i="11"/>
  <c r="Z14" i="16"/>
  <c r="AC2" i="17"/>
  <c r="AC2" i="18"/>
  <c r="V1420" i="2"/>
  <c r="Q1421" i="2" s="1"/>
  <c r="AE1419" i="2" s="1"/>
  <c r="B1013" i="2"/>
  <c r="B363" i="2"/>
  <c r="G58" i="2"/>
  <c r="AR472" i="9"/>
  <c r="F1453" i="2"/>
  <c r="AG1045" i="2"/>
  <c r="AP25" i="10"/>
  <c r="P1681" i="2"/>
  <c r="AP44" i="10"/>
  <c r="U19" i="1"/>
  <c r="AP109" i="10"/>
  <c r="AP37" i="10"/>
  <c r="AR93" i="10"/>
  <c r="AP33" i="10"/>
  <c r="AR81" i="10"/>
  <c r="AR73" i="10"/>
  <c r="AP53" i="10"/>
  <c r="G60" i="2"/>
  <c r="B1015" i="2"/>
  <c r="AG85" i="2"/>
  <c r="AQ85" i="10"/>
  <c r="AQ65" i="10"/>
  <c r="AQ625" i="9"/>
  <c r="AQ385" i="9"/>
  <c r="K818" i="2"/>
  <c r="K754" i="2"/>
  <c r="D326" i="2"/>
  <c r="D749" i="2"/>
  <c r="Z375" i="2"/>
  <c r="X375" i="2" s="1"/>
  <c r="Z374" i="2"/>
  <c r="X374" i="2" s="1"/>
  <c r="AL87" i="2"/>
  <c r="S73" i="2" s="1"/>
  <c r="AG806" i="2"/>
  <c r="AR60" i="9"/>
  <c r="AR352" i="9"/>
  <c r="AR590" i="9"/>
  <c r="AR675" i="9"/>
  <c r="AR688" i="9"/>
  <c r="AR506" i="9"/>
  <c r="AR614" i="9"/>
  <c r="AR1042" i="9"/>
  <c r="AR95" i="9"/>
  <c r="AR410" i="9"/>
  <c r="AR568" i="9"/>
  <c r="AR518" i="9"/>
  <c r="AR640" i="9"/>
  <c r="AR722" i="9"/>
  <c r="AR13" i="10"/>
  <c r="AP18" i="10"/>
  <c r="AR79" i="10"/>
  <c r="AR45" i="10"/>
  <c r="AP27" i="10"/>
  <c r="B3" i="15"/>
  <c r="V30" i="13"/>
  <c r="AQ709" i="9"/>
  <c r="AR586" i="9"/>
  <c r="AQ456" i="9"/>
  <c r="AR399" i="9"/>
  <c r="AP12" i="10"/>
  <c r="F33" i="11"/>
  <c r="AP95" i="10"/>
  <c r="AP41" i="10"/>
  <c r="AR74" i="10"/>
  <c r="AR105" i="10"/>
  <c r="AR11" i="10"/>
  <c r="AP35" i="10"/>
  <c r="BI376" i="2"/>
  <c r="AR1036" i="9"/>
  <c r="AR971" i="9"/>
  <c r="AR862" i="9"/>
  <c r="AR579" i="9"/>
  <c r="AQ517" i="9"/>
  <c r="AS63" i="9"/>
  <c r="AQ952" i="9"/>
  <c r="AQ838" i="9"/>
  <c r="AQ789" i="9"/>
  <c r="AQ771" i="9"/>
  <c r="AQ694" i="9"/>
  <c r="AQ551" i="9"/>
  <c r="AQ479" i="9"/>
  <c r="AQ192" i="9"/>
  <c r="AQ971" i="9"/>
  <c r="AQ899" i="9"/>
  <c r="AQ885" i="9"/>
  <c r="AQ803" i="9"/>
  <c r="AQ818" i="9"/>
  <c r="AQ658" i="9"/>
  <c r="AQ563" i="9"/>
  <c r="AQ431" i="9"/>
  <c r="AQ218" i="9"/>
  <c r="AQ181" i="9"/>
  <c r="I11" i="18"/>
  <c r="L338" i="2"/>
  <c r="C731" i="2" s="1"/>
  <c r="AM435" i="2" s="1"/>
  <c r="AQ946" i="9"/>
  <c r="AQ912" i="9"/>
  <c r="AQ780" i="9"/>
  <c r="AQ562" i="9"/>
  <c r="AQ430" i="9"/>
  <c r="D752" i="2"/>
  <c r="Q37" i="20"/>
  <c r="R37" i="20" s="1"/>
  <c r="S37" i="20" s="1"/>
  <c r="T37" i="20" s="1"/>
  <c r="W37" i="20" s="1"/>
  <c r="Y37" i="20" s="1"/>
  <c r="AA37" i="20" s="1"/>
  <c r="AC37" i="20" s="1"/>
  <c r="AD37" i="20" s="1"/>
  <c r="AF37" i="20" s="1"/>
  <c r="AH37" i="20" s="1"/>
  <c r="AI37" i="20" s="1"/>
  <c r="AJ37" i="20" s="1"/>
  <c r="AK37" i="20" s="1"/>
  <c r="AL37" i="20" s="1"/>
  <c r="AM37" i="20" s="1"/>
  <c r="AQ747" i="9"/>
  <c r="AQ1001" i="9"/>
  <c r="AQ847" i="9"/>
  <c r="AQ1010" i="9"/>
  <c r="AQ913" i="9"/>
  <c r="O76" i="10"/>
  <c r="O64" i="10"/>
  <c r="O111" i="10"/>
  <c r="O82" i="10"/>
  <c r="O18" i="10"/>
  <c r="S18" i="10" s="1"/>
  <c r="O52" i="10"/>
  <c r="O7" i="10"/>
  <c r="O29" i="10"/>
  <c r="O19" i="10"/>
  <c r="O104" i="10"/>
  <c r="J325" i="2"/>
  <c r="J326" i="2"/>
  <c r="AQ1017" i="9"/>
  <c r="V1435" i="2"/>
  <c r="B770" i="2"/>
  <c r="AT769" i="2"/>
  <c r="AS769" i="2" s="1"/>
  <c r="F363" i="2"/>
  <c r="E361" i="2" s="1"/>
  <c r="AQ65" i="9"/>
  <c r="AQ476" i="9"/>
  <c r="AQ548" i="9"/>
  <c r="AQ572" i="9"/>
  <c r="AQ656" i="9"/>
  <c r="AQ668" i="9"/>
  <c r="AQ285" i="9"/>
  <c r="AQ513" i="9"/>
  <c r="AQ704" i="9"/>
  <c r="AQ717" i="9"/>
  <c r="AQ309" i="9"/>
  <c r="AQ260" i="9"/>
  <c r="AQ693" i="9"/>
  <c r="AQ644" i="9"/>
  <c r="AQ621" i="9"/>
  <c r="O20" i="10"/>
  <c r="O102" i="10"/>
  <c r="O31" i="10"/>
  <c r="S31" i="10" s="1"/>
  <c r="O54" i="10"/>
  <c r="O112" i="10"/>
  <c r="O61" i="10"/>
  <c r="O47" i="10"/>
  <c r="S47" i="10" s="1"/>
  <c r="AJ96" i="20"/>
  <c r="L985" i="2"/>
  <c r="AP81" i="10"/>
  <c r="AP65" i="10"/>
  <c r="AP43" i="10"/>
  <c r="AP85" i="10"/>
  <c r="AP15" i="10"/>
  <c r="AP20" i="10"/>
  <c r="AP58" i="10"/>
  <c r="AP39" i="10"/>
  <c r="AP62" i="10"/>
  <c r="AP96" i="10"/>
  <c r="AP100" i="10"/>
  <c r="AP61" i="10"/>
  <c r="AP38" i="10"/>
  <c r="AP63" i="10"/>
  <c r="AP77" i="10"/>
  <c r="AP97" i="10"/>
  <c r="AP108" i="10"/>
  <c r="AP106" i="10"/>
  <c r="AP105" i="10"/>
  <c r="AP21" i="10"/>
  <c r="AR107" i="10"/>
  <c r="AR101" i="10"/>
  <c r="AR28" i="10"/>
  <c r="AR54" i="10"/>
  <c r="AR104" i="10"/>
  <c r="AR108" i="10"/>
  <c r="AR26" i="10"/>
  <c r="AR18" i="10"/>
  <c r="AR20" i="10"/>
  <c r="AR89" i="10"/>
  <c r="AR92" i="10"/>
  <c r="AR43" i="10"/>
  <c r="AR83" i="10"/>
  <c r="AR34" i="10"/>
  <c r="AR75" i="10"/>
  <c r="AR46" i="10"/>
  <c r="AR110" i="10"/>
  <c r="AR44" i="10"/>
  <c r="AR47" i="10"/>
  <c r="AR36" i="10"/>
  <c r="AR5" i="10"/>
  <c r="AR95" i="10"/>
  <c r="AR53" i="10"/>
  <c r="AR78" i="10"/>
  <c r="AR87" i="10"/>
  <c r="AR4" i="10"/>
  <c r="AR48" i="10"/>
  <c r="AR55" i="10"/>
  <c r="AR41" i="10"/>
  <c r="AR14" i="10"/>
  <c r="AR106" i="10"/>
  <c r="AR3" i="10"/>
  <c r="AR17" i="10"/>
  <c r="AQ1054" i="9"/>
  <c r="AQ1048" i="9"/>
  <c r="AQ405" i="9"/>
  <c r="D984" i="2"/>
  <c r="D751" i="2"/>
  <c r="O89" i="10"/>
  <c r="S89" i="10" s="1"/>
  <c r="O5" i="10"/>
  <c r="O40" i="10"/>
  <c r="O95" i="10"/>
  <c r="O50" i="10"/>
  <c r="O51" i="10"/>
  <c r="O62" i="10"/>
  <c r="O15" i="10"/>
  <c r="O80" i="10"/>
  <c r="O44" i="10"/>
  <c r="S44" i="10" s="1"/>
  <c r="O27" i="10"/>
  <c r="O109" i="10"/>
  <c r="O34" i="10"/>
  <c r="O39" i="10"/>
  <c r="O48" i="10"/>
  <c r="O83" i="10"/>
  <c r="O106" i="10"/>
  <c r="O33" i="10"/>
  <c r="O57" i="10"/>
  <c r="O97" i="10"/>
  <c r="S97" i="10" s="1"/>
  <c r="O105" i="10"/>
  <c r="O22" i="10"/>
  <c r="O12" i="10"/>
  <c r="O36" i="10"/>
  <c r="O37" i="10"/>
  <c r="O58" i="10"/>
  <c r="O3" i="10"/>
  <c r="O100" i="10"/>
  <c r="O79" i="10"/>
  <c r="O66" i="10"/>
  <c r="O16" i="10"/>
  <c r="O28" i="10"/>
  <c r="O71" i="10"/>
  <c r="O99" i="10"/>
  <c r="O6" i="10"/>
  <c r="O14" i="10"/>
  <c r="O53" i="10"/>
  <c r="O42" i="10"/>
  <c r="O86" i="10"/>
  <c r="O56" i="10"/>
  <c r="O70" i="10"/>
  <c r="O72" i="10"/>
  <c r="O74" i="10"/>
  <c r="G49" i="2"/>
  <c r="D178" i="2"/>
  <c r="AR777" i="9"/>
  <c r="AR768" i="9"/>
  <c r="AR840" i="9"/>
  <c r="AR848" i="9"/>
  <c r="AR900" i="9"/>
  <c r="AR936" i="9"/>
  <c r="AR824" i="9"/>
  <c r="AR892" i="9"/>
  <c r="AR944" i="9"/>
  <c r="AR950" i="9"/>
  <c r="AR956" i="9"/>
  <c r="AR780" i="9"/>
  <c r="AR843" i="9"/>
  <c r="AR894" i="9"/>
  <c r="AR788" i="9"/>
  <c r="AR880" i="9"/>
  <c r="AR942" i="9"/>
  <c r="J20" i="18"/>
  <c r="AR795" i="9"/>
  <c r="AR933" i="9"/>
  <c r="AR957" i="9"/>
  <c r="AR785" i="9"/>
  <c r="AR844" i="9"/>
  <c r="AR904" i="9"/>
  <c r="AR947" i="9"/>
  <c r="AR830" i="9"/>
  <c r="AR886" i="9"/>
  <c r="AR941" i="9"/>
  <c r="AQ815" i="9"/>
  <c r="AQ1034" i="9"/>
  <c r="AQ1043" i="9"/>
  <c r="O8" i="10"/>
  <c r="O93" i="10"/>
  <c r="O75" i="10"/>
  <c r="O43" i="10"/>
  <c r="O96" i="10"/>
  <c r="O78" i="10"/>
  <c r="O23" i="10"/>
  <c r="O60" i="10"/>
  <c r="O9" i="10"/>
  <c r="O35" i="10"/>
  <c r="O88" i="10"/>
  <c r="O25" i="10"/>
  <c r="O32" i="10"/>
  <c r="M337" i="2"/>
  <c r="AJ28" i="16" s="1"/>
  <c r="B1004" i="2"/>
  <c r="A1002" i="2" s="1"/>
  <c r="O47" i="2"/>
  <c r="E337" i="2" s="1"/>
  <c r="K786" i="2"/>
  <c r="AR774" i="9"/>
  <c r="C1458" i="2"/>
  <c r="H794" i="2"/>
  <c r="G792" i="2" s="1"/>
  <c r="C11" i="18"/>
  <c r="AS51" i="9"/>
  <c r="P1353" i="2"/>
  <c r="AS1069" i="9"/>
  <c r="AS1062" i="9"/>
  <c r="AS1052" i="9"/>
  <c r="AS1037" i="9"/>
  <c r="AS1031" i="9"/>
  <c r="AR1025" i="9"/>
  <c r="AS1018" i="9"/>
  <c r="AS1011" i="9"/>
  <c r="AS1005" i="9"/>
  <c r="AR985" i="9"/>
  <c r="AS978" i="9"/>
  <c r="AS972" i="9"/>
  <c r="AR965" i="9"/>
  <c r="AR960" i="9"/>
  <c r="AS954" i="9"/>
  <c r="AS948" i="9"/>
  <c r="AS935" i="9"/>
  <c r="AR925" i="9"/>
  <c r="AS916" i="9"/>
  <c r="AS907" i="9"/>
  <c r="AS889" i="9"/>
  <c r="AS870" i="9"/>
  <c r="AS860" i="9"/>
  <c r="AS847" i="9"/>
  <c r="AS839" i="9"/>
  <c r="AS820" i="9"/>
  <c r="AS807" i="9"/>
  <c r="AS796" i="9"/>
  <c r="AS777" i="9"/>
  <c r="AS767" i="9"/>
  <c r="AS755" i="9"/>
  <c r="AS743" i="9"/>
  <c r="AR735" i="9"/>
  <c r="AS727" i="9"/>
  <c r="AS713" i="9"/>
  <c r="AS698" i="9"/>
  <c r="AS687" i="9"/>
  <c r="AS677" i="9"/>
  <c r="AS665" i="9"/>
  <c r="AS653" i="9"/>
  <c r="AS626" i="9"/>
  <c r="AS614" i="9"/>
  <c r="AS603" i="9"/>
  <c r="AS544" i="9"/>
  <c r="AQ529" i="9"/>
  <c r="AS499" i="9"/>
  <c r="AS475" i="9"/>
  <c r="AS451" i="9"/>
  <c r="AS427" i="9"/>
  <c r="AQ406" i="9"/>
  <c r="AR388" i="9"/>
  <c r="AS354" i="9"/>
  <c r="AS338" i="9"/>
  <c r="AQ276" i="9"/>
  <c r="AQ241" i="9"/>
  <c r="AS206" i="9"/>
  <c r="AS189" i="9"/>
  <c r="AS154" i="9"/>
  <c r="AS135" i="9"/>
  <c r="AS103" i="9"/>
  <c r="AS72" i="9"/>
  <c r="AS47" i="9"/>
  <c r="AS1072" i="9"/>
  <c r="AS1064" i="9"/>
  <c r="AS1059" i="9"/>
  <c r="AS1054" i="9"/>
  <c r="AS1049" i="9"/>
  <c r="AS1045" i="9"/>
  <c r="AS1026" i="9"/>
  <c r="AR1021" i="9"/>
  <c r="AS1013" i="9"/>
  <c r="AS1007" i="9"/>
  <c r="AS1002" i="9"/>
  <c r="AS995" i="9"/>
  <c r="AS988" i="9"/>
  <c r="AR981" i="9"/>
  <c r="AS974" i="9"/>
  <c r="AS967" i="9"/>
  <c r="AS962" i="9"/>
  <c r="AS956" i="9"/>
  <c r="AS950" i="9"/>
  <c r="AS944" i="9"/>
  <c r="AS937" i="9"/>
  <c r="AS930" i="9"/>
  <c r="AS921" i="9"/>
  <c r="AS910" i="9"/>
  <c r="AS902" i="9"/>
  <c r="AS875" i="9"/>
  <c r="AS851" i="9"/>
  <c r="AS834" i="9"/>
  <c r="AS824" i="9"/>
  <c r="AS801" i="9"/>
  <c r="AS791" i="9"/>
  <c r="AS759" i="9"/>
  <c r="AS747" i="9"/>
  <c r="AS729" i="9"/>
  <c r="AS689" i="9"/>
  <c r="AQ672" i="9"/>
  <c r="AS642" i="9"/>
  <c r="AS629" i="9"/>
  <c r="AS618" i="9"/>
  <c r="AS607" i="9"/>
  <c r="AS592" i="9"/>
  <c r="AS578" i="9"/>
  <c r="AS537" i="9"/>
  <c r="AQ480" i="9"/>
  <c r="AR458" i="9"/>
  <c r="AS436" i="9"/>
  <c r="AS411" i="9"/>
  <c r="AS395" i="9"/>
  <c r="AS364" i="9"/>
  <c r="AS343" i="9"/>
  <c r="AR256" i="9"/>
  <c r="AQ219" i="9"/>
  <c r="AS197" i="9"/>
  <c r="AQ171" i="9"/>
  <c r="AS150" i="9"/>
  <c r="AR120" i="9"/>
  <c r="AS52" i="9"/>
  <c r="AS2" i="9"/>
  <c r="O1350" i="2"/>
  <c r="Q1353" i="2"/>
  <c r="AS1077" i="9"/>
  <c r="AS1070" i="9"/>
  <c r="AS1058" i="9"/>
  <c r="AS1053" i="9"/>
  <c r="AS1048" i="9"/>
  <c r="AS1043" i="9"/>
  <c r="AS1038" i="9"/>
  <c r="AS1032" i="9"/>
  <c r="AS1025" i="9"/>
  <c r="AS1019" i="9"/>
  <c r="AS1012" i="9"/>
  <c r="AS1006" i="9"/>
  <c r="AR1001" i="9"/>
  <c r="AR994" i="9"/>
  <c r="AS985" i="9"/>
  <c r="AS979" i="9"/>
  <c r="AS973" i="9"/>
  <c r="AR966" i="9"/>
  <c r="AS960" i="9"/>
  <c r="AS955" i="9"/>
  <c r="AS949" i="9"/>
  <c r="AS943" i="9"/>
  <c r="AR929" i="9"/>
  <c r="AS917" i="9"/>
  <c r="AS908" i="9"/>
  <c r="AS890" i="9"/>
  <c r="AS881" i="9"/>
  <c r="AS861" i="9"/>
  <c r="AS823" i="9"/>
  <c r="AR811" i="9"/>
  <c r="AS797" i="9"/>
  <c r="AS778" i="9"/>
  <c r="AS756" i="9"/>
  <c r="AS744" i="9"/>
  <c r="AS735" i="9"/>
  <c r="AS728" i="9"/>
  <c r="AS714" i="9"/>
  <c r="AS701" i="9"/>
  <c r="AS680" i="9"/>
  <c r="AS666" i="9"/>
  <c r="AS655" i="9"/>
  <c r="AS640" i="9"/>
  <c r="AS615" i="9"/>
  <c r="AS604" i="9"/>
  <c r="AS589" i="9"/>
  <c r="AS570" i="9"/>
  <c r="AS530" i="9"/>
  <c r="AS391" i="9"/>
  <c r="AS355" i="9"/>
  <c r="AS339" i="9"/>
  <c r="AS316" i="9"/>
  <c r="AQ277" i="9"/>
  <c r="AS244" i="9"/>
  <c r="AS212" i="9"/>
  <c r="AS157" i="9"/>
  <c r="AS105" i="9"/>
  <c r="AS75" i="9"/>
  <c r="AS48" i="9"/>
  <c r="E336" i="2"/>
  <c r="AQ164" i="9"/>
  <c r="AQ149" i="9"/>
  <c r="O21" i="10"/>
  <c r="O92" i="10"/>
  <c r="O77" i="10"/>
  <c r="AS598" i="9"/>
  <c r="AS621" i="9"/>
  <c r="AS977" i="9"/>
  <c r="AS986" i="9"/>
  <c r="AS514" i="9"/>
  <c r="AS865" i="9"/>
  <c r="AS872" i="9"/>
  <c r="AS999" i="9"/>
  <c r="AS1015" i="9"/>
  <c r="AS195" i="9"/>
  <c r="AS226" i="9"/>
  <c r="AS285" i="9"/>
  <c r="AS382" i="9"/>
  <c r="AS609" i="9"/>
  <c r="AS623" i="9"/>
  <c r="AS670" i="9"/>
  <c r="AS697" i="9"/>
  <c r="AS737" i="9"/>
  <c r="AS779" i="9"/>
  <c r="AS965" i="9"/>
  <c r="AS1020" i="9"/>
  <c r="AS193" i="9"/>
  <c r="AS324" i="9"/>
  <c r="AS596" i="9"/>
  <c r="AS260" i="9"/>
  <c r="AS811" i="9"/>
  <c r="AS993" i="9"/>
  <c r="AS119" i="9"/>
  <c r="AS168" i="9"/>
  <c r="AS332" i="9"/>
  <c r="AS356" i="9"/>
  <c r="AS383" i="9"/>
  <c r="AS899" i="9"/>
  <c r="AS998" i="9"/>
  <c r="AS191" i="9"/>
  <c r="AS548" i="9"/>
  <c r="AS803" i="9"/>
  <c r="AS837" i="9"/>
  <c r="AS953" i="9"/>
  <c r="AS1009" i="9"/>
  <c r="AS192" i="9"/>
  <c r="AS649" i="9"/>
  <c r="AS657" i="9"/>
  <c r="AS692" i="9"/>
  <c r="AS971" i="9"/>
  <c r="AS453" i="9"/>
  <c r="AS717" i="9"/>
  <c r="AS817" i="9"/>
  <c r="AS181" i="9"/>
  <c r="AS938" i="9"/>
  <c r="AS925" i="9"/>
  <c r="AS1014" i="9"/>
  <c r="AS550" i="9"/>
  <c r="AS952" i="9"/>
  <c r="AS333" i="9"/>
  <c r="AS405" i="9"/>
  <c r="AQ5" i="9"/>
  <c r="AQ2" i="9"/>
  <c r="AQ44" i="9"/>
  <c r="AQ172" i="9"/>
  <c r="AQ187" i="9"/>
  <c r="AQ223" i="9"/>
  <c r="AQ243" i="9"/>
  <c r="AQ302" i="9"/>
  <c r="AQ362" i="9"/>
  <c r="AQ389" i="9"/>
  <c r="AQ458" i="9"/>
  <c r="AQ536" i="9"/>
  <c r="AQ590" i="9"/>
  <c r="AQ653" i="9"/>
  <c r="AQ713" i="9"/>
  <c r="AQ47" i="9"/>
  <c r="AQ58" i="9"/>
  <c r="AQ102" i="9"/>
  <c r="AQ111" i="9"/>
  <c r="AQ135" i="9"/>
  <c r="AQ145" i="9"/>
  <c r="AQ160" i="9"/>
  <c r="AQ175" i="9"/>
  <c r="AQ212" i="9"/>
  <c r="AQ257" i="9"/>
  <c r="AQ341" i="9"/>
  <c r="AQ377" i="9"/>
  <c r="AQ401" i="9"/>
  <c r="AQ425" i="9"/>
  <c r="AQ437" i="9"/>
  <c r="AQ449" i="9"/>
  <c r="AQ473" i="9"/>
  <c r="AQ488" i="9"/>
  <c r="AQ545" i="9"/>
  <c r="AQ569" i="9"/>
  <c r="AQ581" i="9"/>
  <c r="AQ629" i="9"/>
  <c r="AQ638" i="9"/>
  <c r="AQ662" i="9"/>
  <c r="AQ677" i="9"/>
  <c r="AQ683" i="9"/>
  <c r="AQ689" i="9"/>
  <c r="AQ204" i="9"/>
  <c r="AQ245" i="9"/>
  <c r="AQ305" i="9"/>
  <c r="AQ317" i="9"/>
  <c r="AQ329" i="9"/>
  <c r="AQ392" i="9"/>
  <c r="AQ491" i="9"/>
  <c r="AQ539" i="9"/>
  <c r="AQ557" i="9"/>
  <c r="AQ722" i="9"/>
  <c r="AQ11" i="9"/>
  <c r="AQ52" i="9"/>
  <c r="AQ97" i="9"/>
  <c r="AQ108" i="9"/>
  <c r="AQ157" i="9"/>
  <c r="AQ199" i="9"/>
  <c r="AQ207" i="9"/>
  <c r="AQ234" i="9"/>
  <c r="AQ266" i="9"/>
  <c r="AQ281" i="9"/>
  <c r="AQ296" i="9"/>
  <c r="AQ338" i="9"/>
  <c r="AQ347" i="9"/>
  <c r="AQ398" i="9"/>
  <c r="AQ482" i="9"/>
  <c r="AQ497" i="9"/>
  <c r="AQ509" i="9"/>
  <c r="AQ587" i="9"/>
  <c r="AQ635" i="9"/>
  <c r="AQ725" i="9"/>
  <c r="AQ344" i="9"/>
  <c r="AQ443" i="9"/>
  <c r="AQ518" i="9"/>
  <c r="AQ578" i="9"/>
  <c r="AQ602" i="9"/>
  <c r="AQ641" i="9"/>
  <c r="AQ674" i="9"/>
  <c r="AQ70" i="9"/>
  <c r="AQ221" i="9"/>
  <c r="AQ248" i="9"/>
  <c r="AQ290" i="9"/>
  <c r="AQ314" i="9"/>
  <c r="AQ533" i="9"/>
  <c r="AQ614" i="9"/>
  <c r="AQ632" i="9"/>
  <c r="AQ701" i="9"/>
  <c r="AQ20" i="9"/>
  <c r="AQ269" i="9"/>
  <c r="AQ293" i="9"/>
  <c r="AQ350" i="9"/>
  <c r="AQ446" i="9"/>
  <c r="AQ665" i="9"/>
  <c r="AQ254" i="9"/>
  <c r="AQ299" i="9"/>
  <c r="AQ365" i="9"/>
  <c r="AQ434" i="9"/>
  <c r="AQ461" i="9"/>
  <c r="AQ485" i="9"/>
  <c r="AQ542" i="9"/>
  <c r="AQ626" i="9"/>
  <c r="AQ686" i="9"/>
  <c r="AQ85" i="9"/>
  <c r="AQ105" i="9"/>
  <c r="AQ196" i="9"/>
  <c r="AQ232" i="9"/>
  <c r="AQ278" i="9"/>
  <c r="AQ326" i="9"/>
  <c r="AQ353" i="9"/>
  <c r="AQ422" i="9"/>
  <c r="AQ470" i="9"/>
  <c r="AQ494" i="9"/>
  <c r="AQ530" i="9"/>
  <c r="AQ617" i="9"/>
  <c r="AQ506" i="9"/>
  <c r="AQ154" i="9"/>
  <c r="AQ251" i="9"/>
  <c r="AQ386" i="9"/>
  <c r="AQ413" i="9"/>
  <c r="AQ605" i="9"/>
  <c r="AQ710" i="9"/>
  <c r="AQ593" i="9"/>
  <c r="AQ680" i="9"/>
  <c r="AQ698" i="9"/>
  <c r="AQ61" i="9"/>
  <c r="AQ163" i="9"/>
  <c r="AQ395" i="9"/>
  <c r="AQ410" i="9"/>
  <c r="AQ554" i="9"/>
  <c r="AQ650" i="9"/>
  <c r="AQ566" i="9"/>
  <c r="AQ374" i="9"/>
  <c r="AQ584" i="9"/>
  <c r="AQ148" i="9"/>
  <c r="AQ210" i="9"/>
  <c r="AQ440" i="9"/>
  <c r="AQ521" i="9"/>
  <c r="AQ184" i="9"/>
  <c r="AS576" i="9"/>
  <c r="AQ333" i="2"/>
  <c r="C1429" i="2"/>
  <c r="K785" i="2"/>
  <c r="F993" i="2"/>
  <c r="O321" i="2"/>
  <c r="R324" i="2"/>
  <c r="V1421" i="2"/>
  <c r="Q1426" i="2" s="1"/>
  <c r="AE1424" i="2" s="1"/>
  <c r="G59" i="2"/>
  <c r="B1014" i="2"/>
  <c r="B780" i="2"/>
  <c r="AQ1057" i="9"/>
  <c r="AQ1076" i="9"/>
  <c r="D1450" i="2"/>
  <c r="Q378" i="2"/>
  <c r="S69" i="2"/>
  <c r="AW328" i="2"/>
  <c r="AI357" i="2"/>
  <c r="AE40" i="16"/>
  <c r="O42" i="17"/>
  <c r="O41" i="18"/>
  <c r="AG87" i="2"/>
  <c r="AG83" i="2"/>
  <c r="AG79" i="2"/>
  <c r="E1450" i="2"/>
  <c r="AG1033" i="2"/>
  <c r="AG796" i="2"/>
  <c r="R320" i="2"/>
  <c r="O322" i="2"/>
  <c r="R325" i="2"/>
  <c r="R321" i="2"/>
  <c r="F1452" i="2"/>
  <c r="BI374" i="2"/>
  <c r="J320" i="2"/>
  <c r="J322" i="2"/>
  <c r="AQ772" i="9"/>
  <c r="AQ859" i="9"/>
  <c r="AQ886" i="9"/>
  <c r="AQ947" i="9"/>
  <c r="AQ995" i="9"/>
  <c r="AQ1011" i="9"/>
  <c r="AQ978" i="9"/>
  <c r="AQ860" i="9"/>
  <c r="AQ873" i="9"/>
  <c r="AQ988" i="9"/>
  <c r="AQ1000" i="9"/>
  <c r="AQ1016" i="9"/>
  <c r="AQ782" i="9"/>
  <c r="AQ791" i="9"/>
  <c r="AQ833" i="9"/>
  <c r="AQ839" i="9"/>
  <c r="AQ972" i="9"/>
  <c r="AQ819" i="9"/>
  <c r="AQ812" i="9"/>
  <c r="AQ994" i="9"/>
  <c r="AQ820" i="9"/>
  <c r="AQ867" i="9"/>
  <c r="AQ894" i="9"/>
  <c r="AQ900" i="9"/>
  <c r="AQ989" i="9"/>
  <c r="AQ887" i="9"/>
  <c r="AQ920" i="9"/>
  <c r="AQ966" i="9"/>
  <c r="AQ1022" i="9"/>
  <c r="AQ921" i="9"/>
  <c r="AQ928" i="9"/>
  <c r="AQ948" i="9"/>
  <c r="AQ1023" i="9"/>
  <c r="AQ734" i="9"/>
  <c r="AQ801" i="9"/>
  <c r="AQ828" i="9"/>
  <c r="AQ835" i="9"/>
  <c r="AQ923" i="9"/>
  <c r="AQ936" i="9"/>
  <c r="AQ969" i="9"/>
  <c r="AQ991" i="9"/>
  <c r="AQ1045" i="9"/>
  <c r="AQ1068" i="9"/>
  <c r="AQ822" i="9"/>
  <c r="AQ879" i="9"/>
  <c r="AQ903" i="9"/>
  <c r="AQ1028" i="9"/>
  <c r="AQ1033" i="9"/>
  <c r="AQ1037" i="9"/>
  <c r="AQ983" i="9"/>
  <c r="AQ1042" i="9"/>
  <c r="AQ1046" i="9"/>
  <c r="AQ760" i="9"/>
  <c r="AQ798" i="9"/>
  <c r="AQ889" i="9"/>
  <c r="AQ981" i="9"/>
  <c r="AQ1031" i="9"/>
  <c r="AQ1036" i="9"/>
  <c r="AQ1040" i="9"/>
  <c r="AQ1013" i="9"/>
  <c r="AQ1071" i="9"/>
  <c r="AQ876" i="9"/>
  <c r="AQ975" i="9"/>
  <c r="AQ1029" i="9"/>
  <c r="AQ1065" i="9"/>
  <c r="AQ775" i="9"/>
  <c r="AQ950" i="9"/>
  <c r="AQ1005" i="9"/>
  <c r="AQ777" i="9"/>
  <c r="AQ1026" i="9"/>
  <c r="AQ997" i="9"/>
  <c r="AQ1007" i="9"/>
  <c r="AQ1039" i="9"/>
  <c r="AS101" i="9"/>
  <c r="AS202" i="9"/>
  <c r="AS203" i="9"/>
  <c r="AS152" i="9"/>
  <c r="AQ802" i="9"/>
  <c r="AQ682" i="9"/>
  <c r="C27" i="17"/>
  <c r="C28" i="18"/>
  <c r="AS153" i="9"/>
  <c r="AS50" i="9"/>
  <c r="AR35" i="10"/>
  <c r="AR64" i="10"/>
  <c r="AQ30" i="9"/>
  <c r="AQ131" i="9"/>
  <c r="AQ144" i="9"/>
  <c r="AQ661" i="9"/>
  <c r="AQ696" i="9"/>
  <c r="AQ720" i="9"/>
  <c r="AQ195" i="9"/>
  <c r="AQ648" i="9"/>
  <c r="AQ697" i="9"/>
  <c r="AQ721" i="9"/>
  <c r="AQ119" i="9"/>
  <c r="AQ516" i="9"/>
  <c r="AQ528" i="9"/>
  <c r="AQ600" i="9"/>
  <c r="AQ649" i="9"/>
  <c r="AQ170" i="9"/>
  <c r="AQ183" i="9"/>
  <c r="AQ372" i="9"/>
  <c r="AQ408" i="9"/>
  <c r="AQ421" i="9"/>
  <c r="AQ433" i="9"/>
  <c r="AQ469" i="9"/>
  <c r="AQ552" i="9"/>
  <c r="AQ565" i="9"/>
  <c r="AQ613" i="9"/>
  <c r="AP84" i="10"/>
  <c r="AP13" i="10"/>
  <c r="AP55" i="10"/>
  <c r="AP80" i="10"/>
  <c r="AQ92" i="9"/>
  <c r="AQ514" i="9"/>
  <c r="AQ647" i="9"/>
  <c r="AQ872" i="9"/>
  <c r="AQ965" i="9"/>
  <c r="AQ999" i="9"/>
  <c r="AQ1015" i="9"/>
  <c r="AQ502" i="9"/>
  <c r="AQ527" i="9"/>
  <c r="AQ599" i="9"/>
  <c r="AQ622" i="9"/>
  <c r="AQ670" i="9"/>
  <c r="AQ706" i="9"/>
  <c r="AQ754" i="9"/>
  <c r="AQ779" i="9"/>
  <c r="AQ810" i="9"/>
  <c r="AQ830" i="9"/>
  <c r="AQ891" i="9"/>
  <c r="AQ918" i="9"/>
  <c r="AQ987" i="9"/>
  <c r="AQ1020" i="9"/>
  <c r="AQ91" i="9"/>
  <c r="AQ275" i="9"/>
  <c r="AQ503" i="9"/>
  <c r="AQ707" i="9"/>
  <c r="AQ746" i="9"/>
  <c r="AQ788" i="9"/>
  <c r="AQ811" i="9"/>
  <c r="AQ817" i="9"/>
  <c r="AQ892" i="9"/>
  <c r="AQ898" i="9"/>
  <c r="AQ911" i="9"/>
  <c r="AQ919" i="9"/>
  <c r="AQ970" i="9"/>
  <c r="AQ992" i="9"/>
  <c r="AQ1008" i="9"/>
  <c r="AQ66" i="9"/>
  <c r="AQ310" i="9"/>
  <c r="AQ455" i="9"/>
  <c r="AQ659" i="9"/>
  <c r="AQ718" i="9"/>
  <c r="AQ770" i="9"/>
  <c r="AQ845" i="9"/>
  <c r="AQ857" i="9"/>
  <c r="AQ864" i="9"/>
  <c r="AQ884" i="9"/>
  <c r="AQ926" i="9"/>
  <c r="AQ939" i="9"/>
  <c r="AQ945" i="9"/>
  <c r="AQ977" i="9"/>
  <c r="AQ998" i="9"/>
  <c r="AQ1014" i="9"/>
  <c r="AS444" i="9"/>
  <c r="AS387" i="9"/>
  <c r="AQ356" i="9"/>
  <c r="AS252" i="9"/>
  <c r="AR221" i="9"/>
  <c r="AS123" i="9"/>
  <c r="AS85" i="9"/>
  <c r="AQ88" i="9"/>
  <c r="AS36" i="9"/>
  <c r="AS13" i="9"/>
  <c r="AS314" i="9"/>
  <c r="AS282" i="9"/>
  <c r="AS269" i="9"/>
  <c r="AS211" i="9"/>
  <c r="AS159" i="9"/>
  <c r="AS110" i="9"/>
  <c r="AS70" i="9"/>
  <c r="AS54" i="9"/>
  <c r="AQ4" i="9"/>
  <c r="AQ10" i="9"/>
  <c r="AQ225" i="9"/>
  <c r="AQ271" i="9"/>
  <c r="AQ442" i="9"/>
  <c r="AQ532" i="9"/>
  <c r="AQ544" i="9"/>
  <c r="AQ122" i="9"/>
  <c r="AQ174" i="9"/>
  <c r="AQ186" i="9"/>
  <c r="AQ247" i="9"/>
  <c r="AQ301" i="9"/>
  <c r="AQ490" i="9"/>
  <c r="AQ520" i="9"/>
  <c r="AQ589" i="9"/>
  <c r="AQ201" i="9"/>
  <c r="AQ214" i="9"/>
  <c r="AQ403" i="9"/>
  <c r="AQ427" i="9"/>
  <c r="AQ439" i="9"/>
  <c r="AQ451" i="9"/>
  <c r="AQ13" i="9"/>
  <c r="AQ49" i="9"/>
  <c r="AQ54" i="9"/>
  <c r="AQ72" i="9"/>
  <c r="AQ316" i="9"/>
  <c r="AQ340" i="9"/>
  <c r="AQ364" i="9"/>
  <c r="AQ412" i="9"/>
  <c r="AQ445" i="9"/>
  <c r="AQ460" i="9"/>
  <c r="AQ496" i="9"/>
  <c r="AQ535" i="9"/>
  <c r="AQ580" i="9"/>
  <c r="AQ298" i="9"/>
  <c r="AQ424" i="9"/>
  <c r="AQ643" i="9"/>
  <c r="AQ712" i="9"/>
  <c r="AQ826" i="9"/>
  <c r="AQ850" i="9"/>
  <c r="AQ877" i="9"/>
  <c r="AQ897" i="9"/>
  <c r="AQ924" i="9"/>
  <c r="AQ250" i="9"/>
  <c r="AQ448" i="9"/>
  <c r="AQ511" i="9"/>
  <c r="AQ541" i="9"/>
  <c r="AQ559" i="9"/>
  <c r="AQ568" i="9"/>
  <c r="AQ592" i="9"/>
  <c r="AQ628" i="9"/>
  <c r="AQ640" i="9"/>
  <c r="AQ676" i="9"/>
  <c r="AQ727" i="9"/>
  <c r="AQ796" i="9"/>
  <c r="AQ823" i="9"/>
  <c r="AQ75" i="9"/>
  <c r="AQ125" i="9"/>
  <c r="AQ295" i="9"/>
  <c r="AQ523" i="9"/>
  <c r="AQ586" i="9"/>
  <c r="AQ616" i="9"/>
  <c r="AQ664" i="9"/>
  <c r="AQ715" i="9"/>
  <c r="AQ778" i="9"/>
  <c r="AQ880" i="9"/>
  <c r="AQ904" i="9"/>
  <c r="AQ87" i="9"/>
  <c r="AQ96" i="9"/>
  <c r="AQ343" i="9"/>
  <c r="AQ475" i="9"/>
  <c r="AQ487" i="9"/>
  <c r="AQ700" i="9"/>
  <c r="AQ843" i="9"/>
  <c r="AQ856" i="9"/>
  <c r="AQ910" i="9"/>
  <c r="AQ931" i="9"/>
  <c r="AQ1047" i="9"/>
  <c r="AQ436" i="9"/>
  <c r="AQ463" i="9"/>
  <c r="AQ547" i="9"/>
  <c r="AQ604" i="9"/>
  <c r="AQ634" i="9"/>
  <c r="AQ655" i="9"/>
  <c r="AQ728" i="9"/>
  <c r="AQ764" i="9"/>
  <c r="AQ769" i="9"/>
  <c r="AQ787" i="9"/>
  <c r="AQ799" i="9"/>
  <c r="AQ1066" i="9"/>
  <c r="AQ253" i="9"/>
  <c r="AQ292" i="9"/>
  <c r="AQ667" i="9"/>
  <c r="AQ685" i="9"/>
  <c r="AQ917" i="9"/>
  <c r="AQ1075" i="9"/>
  <c r="AQ134" i="9"/>
  <c r="AQ331" i="9"/>
  <c r="AQ400" i="9"/>
  <c r="AQ538" i="9"/>
  <c r="AQ583" i="9"/>
  <c r="AQ679" i="9"/>
  <c r="AQ688" i="9"/>
  <c r="AQ883" i="9"/>
  <c r="AQ951" i="9"/>
  <c r="AQ1069" i="9"/>
  <c r="AQ703" i="9"/>
  <c r="AQ836" i="9"/>
  <c r="AQ863" i="9"/>
  <c r="AQ934" i="9"/>
  <c r="AQ346" i="9"/>
  <c r="AQ499" i="9"/>
  <c r="AQ508" i="9"/>
  <c r="AQ556" i="9"/>
  <c r="AQ595" i="9"/>
  <c r="AQ652" i="9"/>
  <c r="AQ691" i="9"/>
  <c r="AQ870" i="9"/>
  <c r="AQ944" i="9"/>
  <c r="AQ177" i="9"/>
  <c r="AQ236" i="9"/>
  <c r="AQ304" i="9"/>
  <c r="AQ367" i="9"/>
  <c r="AQ493" i="9"/>
  <c r="AQ637" i="9"/>
  <c r="AQ1072" i="9"/>
  <c r="AQ7" i="9"/>
  <c r="AQ388" i="9"/>
  <c r="AQ415" i="9"/>
  <c r="AQ607" i="9"/>
  <c r="AQ724" i="9"/>
  <c r="AQ829" i="9"/>
  <c r="AQ853" i="9"/>
  <c r="AQ907" i="9"/>
  <c r="AQ937" i="9"/>
  <c r="AQ571" i="9"/>
  <c r="AQ809" i="9"/>
  <c r="AQ37" i="9"/>
  <c r="AQ890" i="9"/>
  <c r="AQ472" i="9"/>
  <c r="AQ484" i="9"/>
  <c r="AQ256" i="9"/>
  <c r="AQ319" i="9"/>
  <c r="AQ631" i="9"/>
  <c r="AQ619" i="9"/>
  <c r="AQ816" i="9"/>
  <c r="AQ958" i="9"/>
  <c r="AQ376" i="9"/>
  <c r="V1438" i="2"/>
  <c r="G52" i="2"/>
  <c r="B1007" i="2"/>
  <c r="B773" i="2"/>
  <c r="AT772" i="2"/>
  <c r="AQ3" i="9"/>
  <c r="AQ83" i="9"/>
  <c r="AQ95" i="9"/>
  <c r="AQ146" i="9"/>
  <c r="AQ155" i="9"/>
  <c r="AQ200" i="9"/>
  <c r="AQ213" i="9"/>
  <c r="AQ258" i="9"/>
  <c r="AQ402" i="9"/>
  <c r="AQ426" i="9"/>
  <c r="AQ438" i="9"/>
  <c r="AQ450" i="9"/>
  <c r="AQ540" i="9"/>
  <c r="AQ558" i="9"/>
  <c r="AQ585" i="9"/>
  <c r="AQ56" i="9"/>
  <c r="AQ74" i="9"/>
  <c r="AQ255" i="9"/>
  <c r="AQ267" i="9"/>
  <c r="AQ297" i="9"/>
  <c r="AQ330" i="9"/>
  <c r="AQ345" i="9"/>
  <c r="AQ378" i="9"/>
  <c r="AQ390" i="9"/>
  <c r="AQ399" i="9"/>
  <c r="AQ474" i="9"/>
  <c r="AQ486" i="9"/>
  <c r="AQ570" i="9"/>
  <c r="AQ6" i="9"/>
  <c r="AQ109" i="9"/>
  <c r="AQ161" i="9"/>
  <c r="AQ205" i="9"/>
  <c r="AQ222" i="9"/>
  <c r="AQ318" i="9"/>
  <c r="AQ342" i="9"/>
  <c r="AQ366" i="9"/>
  <c r="AQ387" i="9"/>
  <c r="AQ414" i="9"/>
  <c r="AQ423" i="9"/>
  <c r="AQ435" i="9"/>
  <c r="AQ447" i="9"/>
  <c r="AQ462" i="9"/>
  <c r="AQ471" i="9"/>
  <c r="AQ59" i="9"/>
  <c r="AQ103" i="9"/>
  <c r="AQ137" i="9"/>
  <c r="AQ224" i="9"/>
  <c r="AQ270" i="9"/>
  <c r="AQ441" i="9"/>
  <c r="AQ531" i="9"/>
  <c r="AQ543" i="9"/>
  <c r="AQ33" i="9"/>
  <c r="AQ98" i="9"/>
  <c r="AQ106" i="9"/>
  <c r="AQ249" i="9"/>
  <c r="AQ279" i="9"/>
  <c r="AQ315" i="9"/>
  <c r="AQ363" i="9"/>
  <c r="AQ483" i="9"/>
  <c r="AQ582" i="9"/>
  <c r="AQ606" i="9"/>
  <c r="AQ654" i="9"/>
  <c r="AQ690" i="9"/>
  <c r="AQ735" i="9"/>
  <c r="AQ751" i="9"/>
  <c r="AQ792" i="9"/>
  <c r="AQ814" i="9"/>
  <c r="AQ868" i="9"/>
  <c r="AQ36" i="9"/>
  <c r="AQ173" i="9"/>
  <c r="AQ197" i="9"/>
  <c r="AQ291" i="9"/>
  <c r="AQ306" i="9"/>
  <c r="AQ354" i="9"/>
  <c r="AQ519" i="9"/>
  <c r="AQ636" i="9"/>
  <c r="AQ651" i="9"/>
  <c r="AQ687" i="9"/>
  <c r="AQ723" i="9"/>
  <c r="AQ741" i="9"/>
  <c r="AQ759" i="9"/>
  <c r="AQ767" i="9"/>
  <c r="AQ776" i="9"/>
  <c r="AQ800" i="9"/>
  <c r="AQ834" i="9"/>
  <c r="AQ881" i="9"/>
  <c r="AQ48" i="9"/>
  <c r="AQ112" i="9"/>
  <c r="AQ158" i="9"/>
  <c r="AQ188" i="9"/>
  <c r="AQ303" i="9"/>
  <c r="AQ339" i="9"/>
  <c r="AQ411" i="9"/>
  <c r="AQ627" i="9"/>
  <c r="AQ642" i="9"/>
  <c r="AQ675" i="9"/>
  <c r="AQ711" i="9"/>
  <c r="AQ757" i="9"/>
  <c r="AQ888" i="9"/>
  <c r="AQ908" i="9"/>
  <c r="AQ935" i="9"/>
  <c r="AQ71" i="9"/>
  <c r="AQ121" i="9"/>
  <c r="AQ252" i="9"/>
  <c r="AQ300" i="9"/>
  <c r="AQ444" i="9"/>
  <c r="AQ495" i="9"/>
  <c r="AQ510" i="9"/>
  <c r="AQ546" i="9"/>
  <c r="AQ666" i="9"/>
  <c r="AQ684" i="9"/>
  <c r="AQ714" i="9"/>
  <c r="AQ762" i="9"/>
  <c r="AQ848" i="9"/>
  <c r="AQ861" i="9"/>
  <c r="AQ878" i="9"/>
  <c r="AQ956" i="9"/>
  <c r="AQ21" i="9"/>
  <c r="AQ185" i="9"/>
  <c r="AQ244" i="9"/>
  <c r="AQ351" i="9"/>
  <c r="AQ393" i="9"/>
  <c r="AQ555" i="9"/>
  <c r="AQ591" i="9"/>
  <c r="AQ932" i="9"/>
  <c r="AQ960" i="9"/>
  <c r="AQ1002" i="9"/>
  <c r="AQ1024" i="9"/>
  <c r="AQ1070" i="9"/>
  <c r="AQ24" i="9"/>
  <c r="AQ176" i="9"/>
  <c r="AQ208" i="9"/>
  <c r="AQ375" i="9"/>
  <c r="AQ567" i="9"/>
  <c r="AQ681" i="9"/>
  <c r="AQ733" i="9"/>
  <c r="AQ794" i="9"/>
  <c r="AQ824" i="9"/>
  <c r="AQ905" i="9"/>
  <c r="AQ922" i="9"/>
  <c r="AQ949" i="9"/>
  <c r="AQ968" i="9"/>
  <c r="AQ980" i="9"/>
  <c r="AQ1006" i="9"/>
  <c r="AQ86" i="9"/>
  <c r="AQ603" i="9"/>
  <c r="AQ615" i="9"/>
  <c r="AQ633" i="9"/>
  <c r="AQ639" i="9"/>
  <c r="AQ699" i="9"/>
  <c r="AQ726" i="9"/>
  <c r="AQ731" i="9"/>
  <c r="AQ821" i="9"/>
  <c r="AQ827" i="9"/>
  <c r="AQ854" i="9"/>
  <c r="AQ915" i="9"/>
  <c r="AQ959" i="9"/>
  <c r="AQ982" i="9"/>
  <c r="AQ990" i="9"/>
  <c r="AQ1012" i="9"/>
  <c r="AQ1073" i="9"/>
  <c r="AQ211" i="9"/>
  <c r="AQ507" i="9"/>
  <c r="AQ579" i="9"/>
  <c r="AQ594" i="9"/>
  <c r="AQ678" i="9"/>
  <c r="AQ774" i="9"/>
  <c r="AQ785" i="9"/>
  <c r="AQ841" i="9"/>
  <c r="AQ875" i="9"/>
  <c r="AQ62" i="9"/>
  <c r="AQ235" i="9"/>
  <c r="AQ492" i="9"/>
  <c r="AQ588" i="9"/>
  <c r="AQ929" i="9"/>
  <c r="AQ974" i="9"/>
  <c r="AQ807" i="9"/>
  <c r="AQ962" i="9"/>
  <c r="AQ1067" i="9"/>
  <c r="AQ282" i="9"/>
  <c r="AQ396" i="9"/>
  <c r="AQ702" i="9"/>
  <c r="AQ783" i="9"/>
  <c r="AQ797" i="9"/>
  <c r="AQ942" i="9"/>
  <c r="AQ459" i="9"/>
  <c r="AQ498" i="9"/>
  <c r="AQ765" i="9"/>
  <c r="AQ1018" i="9"/>
  <c r="AQ45" i="9"/>
  <c r="AQ53" i="9"/>
  <c r="AQ124" i="9"/>
  <c r="AQ348" i="9"/>
  <c r="AQ489" i="9"/>
  <c r="AQ895" i="9"/>
  <c r="AQ984" i="9"/>
  <c r="AQ294" i="9"/>
  <c r="AQ522" i="9"/>
  <c r="AQ534" i="9"/>
  <c r="AQ729" i="9"/>
  <c r="AQ743" i="9"/>
  <c r="AQ749" i="9"/>
  <c r="AQ996" i="9"/>
  <c r="AQ1004" i="9"/>
  <c r="AQ133" i="9"/>
  <c r="AQ663" i="9"/>
  <c r="AQ1064" i="9"/>
  <c r="AQ537" i="9"/>
  <c r="AQ327" i="9"/>
  <c r="AQ851" i="9"/>
  <c r="AQ233" i="9"/>
  <c r="AQ618" i="9"/>
  <c r="AQ630" i="9"/>
  <c r="AQ246" i="9"/>
  <c r="AQ902" i="9"/>
  <c r="M1025" i="2"/>
  <c r="B1204" i="2" s="1"/>
  <c r="B1005" i="2"/>
  <c r="B771" i="2"/>
  <c r="BI370" i="2"/>
  <c r="Q380" i="2"/>
  <c r="AL85" i="2"/>
  <c r="F1451" i="2"/>
  <c r="Q381" i="2"/>
  <c r="S72" i="2"/>
  <c r="AG1041" i="2"/>
  <c r="L751" i="2"/>
  <c r="Q1360" i="2"/>
  <c r="L984" i="2"/>
  <c r="L749" i="2"/>
  <c r="AE18" i="16"/>
  <c r="AQ202" i="9"/>
  <c r="N28" i="18"/>
  <c r="N27" i="17"/>
  <c r="V14" i="13"/>
  <c r="C2" i="16"/>
  <c r="D985" i="2"/>
  <c r="D748" i="2"/>
  <c r="D746" i="2" s="1"/>
  <c r="C19" i="18" s="1"/>
  <c r="D750" i="2"/>
  <c r="D327" i="2"/>
  <c r="D328" i="2" s="1"/>
  <c r="D329" i="2" s="1"/>
  <c r="C19" i="1"/>
  <c r="D321" i="2"/>
  <c r="D983" i="2"/>
  <c r="D325" i="2"/>
  <c r="Q1373" i="2"/>
  <c r="D323" i="2"/>
  <c r="D982" i="2"/>
  <c r="D980" i="2" s="1"/>
  <c r="C18" i="17" s="1"/>
  <c r="G50" i="2"/>
  <c r="D181" i="2"/>
  <c r="D1321" i="2"/>
  <c r="C41" i="1"/>
  <c r="Q40" i="16"/>
  <c r="C41" i="18"/>
  <c r="O41" i="1"/>
  <c r="V45" i="15"/>
  <c r="AA47" i="18"/>
  <c r="AA47" i="1"/>
  <c r="AO46" i="16"/>
  <c r="AR1026" i="9"/>
  <c r="AR1033" i="9"/>
  <c r="AR1030" i="9"/>
  <c r="AR56" i="10"/>
  <c r="AR84" i="10"/>
  <c r="AJ57" i="15"/>
  <c r="AD48" i="17"/>
  <c r="AD33" i="17" s="1"/>
  <c r="AS46" i="16"/>
  <c r="AS31" i="16" s="1"/>
  <c r="AQ92" i="10"/>
  <c r="AQ48" i="10"/>
  <c r="AK3" i="15"/>
  <c r="AR782" i="9"/>
  <c r="AR787" i="9"/>
  <c r="AR841" i="9"/>
  <c r="AR932" i="9"/>
  <c r="AR939" i="9"/>
  <c r="AR771" i="9"/>
  <c r="AR784" i="9"/>
  <c r="AR792" i="9"/>
  <c r="AR889" i="9"/>
  <c r="AR897" i="9"/>
  <c r="AR836" i="9"/>
  <c r="AR896" i="9"/>
  <c r="AQ1056" i="9"/>
  <c r="AR945" i="9"/>
  <c r="AR833" i="9"/>
  <c r="AR764" i="9"/>
  <c r="AS5" i="9"/>
  <c r="AS21" i="9"/>
  <c r="AS33" i="9"/>
  <c r="AS45" i="9"/>
  <c r="AS55" i="9"/>
  <c r="AS60" i="9"/>
  <c r="AS73" i="9"/>
  <c r="AS87" i="9"/>
  <c r="AS98" i="9"/>
  <c r="AS112" i="9"/>
  <c r="AS121" i="9"/>
  <c r="AS125" i="9"/>
  <c r="AS134" i="9"/>
  <c r="AS138" i="9"/>
  <c r="AS164" i="9"/>
  <c r="AS173" i="9"/>
  <c r="AS177" i="9"/>
  <c r="AS185" i="9"/>
  <c r="AS208" i="9"/>
  <c r="AS233" i="9"/>
  <c r="AS246" i="9"/>
  <c r="AS250" i="9"/>
  <c r="AS254" i="9"/>
  <c r="AS266" i="9"/>
  <c r="AS279" i="9"/>
  <c r="AS292" i="9"/>
  <c r="AS296" i="9"/>
  <c r="AS300" i="9"/>
  <c r="AS304" i="9"/>
  <c r="AS329" i="9"/>
  <c r="AS344" i="9"/>
  <c r="AS348" i="9"/>
  <c r="AS352" i="9"/>
  <c r="AS377" i="9"/>
  <c r="AS389" i="9"/>
  <c r="AS393" i="9"/>
  <c r="AS398" i="9"/>
  <c r="AS473" i="9"/>
  <c r="AS485" i="9"/>
  <c r="AS489" i="9"/>
  <c r="AS493" i="9"/>
  <c r="AS508" i="9"/>
  <c r="AS519" i="9"/>
  <c r="AS523" i="9"/>
  <c r="AS547" i="9"/>
  <c r="AS569" i="9"/>
  <c r="AS588" i="9"/>
  <c r="AS4" i="9"/>
  <c r="AS22" i="9"/>
  <c r="AS34" i="9"/>
  <c r="AS46" i="9"/>
  <c r="AS83" i="9"/>
  <c r="AS99" i="9"/>
  <c r="AS104" i="9"/>
  <c r="AS108" i="9"/>
  <c r="AS113" i="9"/>
  <c r="AS146" i="9"/>
  <c r="AS155" i="9"/>
  <c r="AS160" i="9"/>
  <c r="AS165" i="9"/>
  <c r="AS200" i="9"/>
  <c r="AS204" i="9"/>
  <c r="AS209" i="9"/>
  <c r="AS213" i="9"/>
  <c r="AS221" i="9"/>
  <c r="AS225" i="9"/>
  <c r="AS258" i="9"/>
  <c r="AS271" i="9"/>
  <c r="AS280" i="9"/>
  <c r="AS317" i="9"/>
  <c r="AS341" i="9"/>
  <c r="AS349" i="9"/>
  <c r="AS365" i="9"/>
  <c r="AS386" i="9"/>
  <c r="AS394" i="9"/>
  <c r="AS402" i="9"/>
  <c r="AS413" i="9"/>
  <c r="AS422" i="9"/>
  <c r="AS426" i="9"/>
  <c r="AS434" i="9"/>
  <c r="AS438" i="9"/>
  <c r="AS442" i="9"/>
  <c r="AS446" i="9"/>
  <c r="AS450" i="9"/>
  <c r="AS461" i="9"/>
  <c r="AS470" i="9"/>
  <c r="AS497" i="9"/>
  <c r="AS532" i="9"/>
  <c r="AS536" i="9"/>
  <c r="AS540" i="9"/>
  <c r="AS554" i="9"/>
  <c r="AS558" i="9"/>
  <c r="AS566" i="9"/>
  <c r="AS581" i="9"/>
  <c r="AS585" i="9"/>
  <c r="AS10" i="9"/>
  <c r="AS23" i="9"/>
  <c r="AS35" i="9"/>
  <c r="AS56" i="9"/>
  <c r="AS61" i="9"/>
  <c r="AS74" i="9"/>
  <c r="AS84" i="9"/>
  <c r="AS95" i="9"/>
  <c r="AS122" i="9"/>
  <c r="AS147" i="9"/>
  <c r="AS156" i="9"/>
  <c r="AS174" i="9"/>
  <c r="AS186" i="9"/>
  <c r="AS196" i="9"/>
  <c r="AS234" i="9"/>
  <c r="AS243" i="9"/>
  <c r="AS247" i="9"/>
  <c r="AS251" i="9"/>
  <c r="AS255" i="9"/>
  <c r="AS259" i="9"/>
  <c r="AS267" i="9"/>
  <c r="AS293" i="9"/>
  <c r="AS297" i="9"/>
  <c r="AS301" i="9"/>
  <c r="AS305" i="9"/>
  <c r="AS330" i="9"/>
  <c r="AS345" i="9"/>
  <c r="AS353" i="9"/>
  <c r="AS374" i="9"/>
  <c r="AS378" i="9"/>
  <c r="AS390" i="9"/>
  <c r="AS474" i="9"/>
  <c r="AS482" i="9"/>
  <c r="AS486" i="9"/>
  <c r="AS490" i="9"/>
  <c r="AS494" i="9"/>
  <c r="AS3" i="9"/>
  <c r="AS8" i="9"/>
  <c r="AS20" i="9"/>
  <c r="AS32" i="9"/>
  <c r="AS37" i="9"/>
  <c r="AS44" i="9"/>
  <c r="AS86" i="9"/>
  <c r="AS97" i="9"/>
  <c r="AS107" i="9"/>
  <c r="AS111" i="9"/>
  <c r="AS120" i="9"/>
  <c r="AS124" i="9"/>
  <c r="AS133" i="9"/>
  <c r="AS149" i="9"/>
  <c r="AS158" i="9"/>
  <c r="AS163" i="9"/>
  <c r="AS172" i="9"/>
  <c r="AS176" i="9"/>
  <c r="AS184" i="9"/>
  <c r="AS188" i="9"/>
  <c r="AS207" i="9"/>
  <c r="AS232" i="9"/>
  <c r="AS236" i="9"/>
  <c r="AS245" i="9"/>
  <c r="AS249" i="9"/>
  <c r="AS253" i="9"/>
  <c r="AS278" i="9"/>
  <c r="AS283" i="9"/>
  <c r="AS291" i="9"/>
  <c r="AS295" i="9"/>
  <c r="AS299" i="9"/>
  <c r="AS303" i="9"/>
  <c r="AS328" i="9"/>
  <c r="AS347" i="9"/>
  <c r="AS351" i="9"/>
  <c r="AS376" i="9"/>
  <c r="AS388" i="9"/>
  <c r="AS392" i="9"/>
  <c r="AS397" i="9"/>
  <c r="AS472" i="9"/>
  <c r="AS484" i="9"/>
  <c r="AS488" i="9"/>
  <c r="AS492" i="9"/>
  <c r="AS507" i="9"/>
  <c r="AS511" i="9"/>
  <c r="AS518" i="9"/>
  <c r="AS522" i="9"/>
  <c r="AS546" i="9"/>
  <c r="AS568" i="9"/>
  <c r="AS587" i="9"/>
  <c r="AS7" i="9"/>
  <c r="AS49" i="9"/>
  <c r="AS57" i="9"/>
  <c r="AS136" i="9"/>
  <c r="AS268" i="9"/>
  <c r="AS290" i="9"/>
  <c r="AS331" i="9"/>
  <c r="AS340" i="9"/>
  <c r="AS346" i="9"/>
  <c r="AS412" i="9"/>
  <c r="AS440" i="9"/>
  <c r="AS447" i="9"/>
  <c r="AS496" i="9"/>
  <c r="AS510" i="9"/>
  <c r="AS534" i="9"/>
  <c r="AS539" i="9"/>
  <c r="AS557" i="9"/>
  <c r="AS567" i="9"/>
  <c r="AS586" i="9"/>
  <c r="AS591" i="9"/>
  <c r="AS595" i="9"/>
  <c r="AS627" i="9"/>
  <c r="AS631" i="9"/>
  <c r="AS635" i="9"/>
  <c r="AS639" i="9"/>
  <c r="AS650" i="9"/>
  <c r="AS664" i="9"/>
  <c r="AS675" i="9"/>
  <c r="AS679" i="9"/>
  <c r="AS686" i="9"/>
  <c r="AS700" i="9"/>
  <c r="AS722" i="9"/>
  <c r="AS726" i="9"/>
  <c r="AS740" i="9"/>
  <c r="AS758" i="9"/>
  <c r="AS762" i="9"/>
  <c r="AS766" i="9"/>
  <c r="AS775" i="9"/>
  <c r="AS783" i="9"/>
  <c r="AS795" i="9"/>
  <c r="AS799" i="9"/>
  <c r="AS809" i="9"/>
  <c r="AS822" i="9"/>
  <c r="AS829" i="9"/>
  <c r="AS833" i="9"/>
  <c r="AS854" i="9"/>
  <c r="AS859" i="9"/>
  <c r="AS863" i="9"/>
  <c r="AS880" i="9"/>
  <c r="AS893" i="9"/>
  <c r="AS900" i="9"/>
  <c r="AS904" i="9"/>
  <c r="AS909" i="9"/>
  <c r="AS914" i="9"/>
  <c r="AS928" i="9"/>
  <c r="AS9" i="9"/>
  <c r="AS82" i="9"/>
  <c r="AS106" i="9"/>
  <c r="AS132" i="9"/>
  <c r="AS137" i="9"/>
  <c r="AS148" i="9"/>
  <c r="AS161" i="9"/>
  <c r="AS210" i="9"/>
  <c r="AS256" i="9"/>
  <c r="AS298" i="9"/>
  <c r="AS315" i="9"/>
  <c r="AS363" i="9"/>
  <c r="AS399" i="9"/>
  <c r="AS424" i="9"/>
  <c r="AS435" i="9"/>
  <c r="AS441" i="9"/>
  <c r="AS462" i="9"/>
  <c r="AS483" i="9"/>
  <c r="AS491" i="9"/>
  <c r="AS535" i="9"/>
  <c r="AS545" i="9"/>
  <c r="AS582" i="9"/>
  <c r="AS602" i="9"/>
  <c r="AS606" i="9"/>
  <c r="AS617" i="9"/>
  <c r="AS643" i="9"/>
  <c r="AS654" i="9"/>
  <c r="AS683" i="9"/>
  <c r="AS690" i="9"/>
  <c r="AS712" i="9"/>
  <c r="AS730" i="9"/>
  <c r="AS751" i="9"/>
  <c r="AS763" i="9"/>
  <c r="AS787" i="9"/>
  <c r="AS814" i="9"/>
  <c r="AS826" i="9"/>
  <c r="AS841" i="9"/>
  <c r="AS846" i="9"/>
  <c r="AS850" i="9"/>
  <c r="AS855" i="9"/>
  <c r="AS868" i="9"/>
  <c r="AS873" i="9"/>
  <c r="AS877" i="9"/>
  <c r="AS6" i="9"/>
  <c r="AS25" i="9"/>
  <c r="AS53" i="9"/>
  <c r="AS62" i="9"/>
  <c r="AS96" i="9"/>
  <c r="AS201" i="9"/>
  <c r="AS214" i="9"/>
  <c r="AS224" i="9"/>
  <c r="AS235" i="9"/>
  <c r="AS319" i="9"/>
  <c r="AS367" i="9"/>
  <c r="AS379" i="9"/>
  <c r="AS396" i="9"/>
  <c r="AS403" i="9"/>
  <c r="AS439" i="9"/>
  <c r="AS445" i="9"/>
  <c r="AS459" i="9"/>
  <c r="AS471" i="9"/>
  <c r="AS509" i="9"/>
  <c r="AS533" i="9"/>
  <c r="AS538" i="9"/>
  <c r="AS556" i="9"/>
  <c r="AS571" i="9"/>
  <c r="AS580" i="9"/>
  <c r="AS590" i="9"/>
  <c r="AS594" i="9"/>
  <c r="AS630" i="9"/>
  <c r="AS634" i="9"/>
  <c r="AS638" i="9"/>
  <c r="AS667" i="9"/>
  <c r="AS678" i="9"/>
  <c r="AS699" i="9"/>
  <c r="AS703" i="9"/>
  <c r="AS725" i="9"/>
  <c r="AS733" i="9"/>
  <c r="AS749" i="9"/>
  <c r="AS761" i="9"/>
  <c r="AS765" i="9"/>
  <c r="AS769" i="9"/>
  <c r="AS774" i="9"/>
  <c r="AS782" i="9"/>
  <c r="AS786" i="9"/>
  <c r="AS798" i="9"/>
  <c r="AS802" i="9"/>
  <c r="AS808" i="9"/>
  <c r="AS812" i="9"/>
  <c r="AS821" i="9"/>
  <c r="AS828" i="9"/>
  <c r="AS840" i="9"/>
  <c r="AS848" i="9"/>
  <c r="AS853" i="9"/>
  <c r="AS862" i="9"/>
  <c r="AS883" i="9"/>
  <c r="AS927" i="9"/>
  <c r="AS931" i="9"/>
  <c r="AS942" i="9"/>
  <c r="AQ1050" i="9"/>
  <c r="AR883" i="9"/>
  <c r="AR827" i="9"/>
  <c r="AQ795" i="9"/>
  <c r="AQ744" i="9"/>
  <c r="AQ18" i="9"/>
  <c r="AQ68" i="9"/>
  <c r="AQ242" i="9"/>
  <c r="AQ312" i="9"/>
  <c r="AQ336" i="9"/>
  <c r="AQ360" i="9"/>
  <c r="AQ373" i="9"/>
  <c r="AQ409" i="9"/>
  <c r="AQ457" i="9"/>
  <c r="AQ481" i="9"/>
  <c r="AQ504" i="9"/>
  <c r="AQ577" i="9"/>
  <c r="AQ69" i="9"/>
  <c r="AQ288" i="9"/>
  <c r="AQ313" i="9"/>
  <c r="AQ325" i="9"/>
  <c r="AQ337" i="9"/>
  <c r="AQ361" i="9"/>
  <c r="AQ505" i="9"/>
  <c r="AQ118" i="9"/>
  <c r="AQ130" i="9"/>
  <c r="AQ289" i="9"/>
  <c r="AQ93" i="9"/>
  <c r="AQ194" i="9"/>
  <c r="AQ220" i="9"/>
  <c r="AQ265" i="9"/>
  <c r="AQ384" i="9"/>
  <c r="AQ420" i="9"/>
  <c r="AQ432" i="9"/>
  <c r="AQ468" i="9"/>
  <c r="AQ553" i="9"/>
  <c r="AQ564" i="9"/>
  <c r="AQ576" i="9"/>
  <c r="AQ82" i="9"/>
  <c r="AQ64" i="9"/>
  <c r="AR10" i="9"/>
  <c r="AR108" i="9"/>
  <c r="AR104" i="9"/>
  <c r="AK96" i="20"/>
  <c r="AI96" i="20"/>
  <c r="AM96" i="20" s="1"/>
  <c r="C1460" i="2"/>
  <c r="B1460" i="2" s="1"/>
  <c r="B60" i="2"/>
  <c r="H796" i="2"/>
  <c r="J1017" i="2"/>
  <c r="J367" i="2"/>
  <c r="D319" i="2"/>
  <c r="D317" i="2" s="1"/>
  <c r="D320" i="2"/>
  <c r="V1437" i="2"/>
  <c r="B1006" i="2"/>
  <c r="G51" i="2"/>
  <c r="F365" i="2"/>
  <c r="AT771" i="2"/>
  <c r="K1320" i="2"/>
  <c r="M1320" i="2" s="1"/>
  <c r="J1320" i="2"/>
  <c r="O1320" i="2" s="1"/>
  <c r="S70" i="2"/>
  <c r="AG800" i="2"/>
  <c r="BI368" i="2"/>
  <c r="AG1037" i="2"/>
  <c r="Q379" i="2"/>
  <c r="D177" i="2"/>
  <c r="D1320" i="2"/>
  <c r="I363" i="2"/>
  <c r="N320" i="2"/>
  <c r="N321" i="2"/>
  <c r="N326" i="2"/>
  <c r="N322" i="2"/>
  <c r="AT770" i="2"/>
  <c r="V1436" i="2"/>
  <c r="F364" i="2"/>
  <c r="AG802" i="2"/>
  <c r="AL83" i="2"/>
  <c r="S71" i="2"/>
  <c r="J319" i="2"/>
  <c r="J317" i="2" s="1"/>
  <c r="X18" i="16" s="1"/>
  <c r="J327" i="2"/>
  <c r="J328" i="2" s="1"/>
  <c r="J329" i="2" s="1"/>
  <c r="N28" i="1"/>
  <c r="AB27" i="16"/>
  <c r="AA19" i="18"/>
  <c r="Q27" i="16"/>
  <c r="F366" i="2"/>
  <c r="V32" i="15"/>
  <c r="E1451" i="2"/>
  <c r="E1452" i="2" s="1"/>
  <c r="E1453" i="2" s="1"/>
  <c r="D322" i="2"/>
  <c r="AR1032" i="9"/>
  <c r="AR1027" i="9"/>
  <c r="AR1035" i="9"/>
  <c r="AR1029" i="9"/>
  <c r="AR1031" i="9"/>
  <c r="AR1028" i="9"/>
  <c r="AR1034" i="9"/>
  <c r="AQ1049" i="9"/>
  <c r="AQ1055" i="9"/>
  <c r="AR1047" i="9"/>
  <c r="AR1046" i="9"/>
  <c r="AR1020" i="9"/>
  <c r="AR991" i="9"/>
  <c r="AR988" i="9"/>
  <c r="AR926" i="9"/>
  <c r="AR923" i="9"/>
  <c r="AQ1078" i="9"/>
  <c r="AQ1059" i="9"/>
  <c r="AR870" i="9"/>
  <c r="AR737" i="9"/>
  <c r="AR742" i="9"/>
  <c r="AR750" i="9"/>
  <c r="AR758" i="9"/>
  <c r="AR729" i="9"/>
  <c r="AR734" i="9"/>
  <c r="AR739" i="9"/>
  <c r="AR747" i="9"/>
  <c r="AR755" i="9"/>
  <c r="AR730" i="9"/>
  <c r="AR733" i="9"/>
  <c r="AR736" i="9"/>
  <c r="AR752" i="9"/>
  <c r="AR802" i="9"/>
  <c r="AR810" i="9"/>
  <c r="AR818" i="9"/>
  <c r="AR858" i="9"/>
  <c r="AR866" i="9"/>
  <c r="AR874" i="9"/>
  <c r="AR906" i="9"/>
  <c r="AR914" i="9"/>
  <c r="AR922" i="9"/>
  <c r="AR930" i="9"/>
  <c r="AR962" i="9"/>
  <c r="AR970" i="9"/>
  <c r="AR743" i="9"/>
  <c r="AR746" i="9"/>
  <c r="AR749" i="9"/>
  <c r="AR759" i="9"/>
  <c r="AR797" i="9"/>
  <c r="AR805" i="9"/>
  <c r="AR813" i="9"/>
  <c r="AR821" i="9"/>
  <c r="AR853" i="9"/>
  <c r="AR861" i="9"/>
  <c r="AR869" i="9"/>
  <c r="AR877" i="9"/>
  <c r="AR799" i="9"/>
  <c r="AR807" i="9"/>
  <c r="AR815" i="9"/>
  <c r="AR823" i="9"/>
  <c r="AR855" i="9"/>
  <c r="AR863" i="9"/>
  <c r="AR871" i="9"/>
  <c r="AR911" i="9"/>
  <c r="AR919" i="9"/>
  <c r="AR927" i="9"/>
  <c r="AR967" i="9"/>
  <c r="AR975" i="9"/>
  <c r="AR754" i="9"/>
  <c r="AR809" i="9"/>
  <c r="AR816" i="9"/>
  <c r="AR875" i="9"/>
  <c r="AR905" i="9"/>
  <c r="AR912" i="9"/>
  <c r="AR918" i="9"/>
  <c r="AR961" i="9"/>
  <c r="AR964" i="9"/>
  <c r="AR979" i="9"/>
  <c r="AR987" i="9"/>
  <c r="AR995" i="9"/>
  <c r="AR1003" i="9"/>
  <c r="AR1011" i="9"/>
  <c r="AR1019" i="9"/>
  <c r="AR731" i="9"/>
  <c r="AR806" i="9"/>
  <c r="AR852" i="9"/>
  <c r="AR868" i="9"/>
  <c r="AR872" i="9"/>
  <c r="AR909" i="9"/>
  <c r="AR931" i="9"/>
  <c r="AR982" i="9"/>
  <c r="AR990" i="9"/>
  <c r="AR998" i="9"/>
  <c r="AR1006" i="9"/>
  <c r="AR1014" i="9"/>
  <c r="AR1022" i="9"/>
  <c r="AR732" i="9"/>
  <c r="AR740" i="9"/>
  <c r="AR756" i="9"/>
  <c r="AR800" i="9"/>
  <c r="AR803" i="9"/>
  <c r="AR814" i="9"/>
  <c r="AR817" i="9"/>
  <c r="AR741" i="9"/>
  <c r="AR745" i="9"/>
  <c r="AR757" i="9"/>
  <c r="AR798" i="9"/>
  <c r="AR801" i="9"/>
  <c r="AR804" i="9"/>
  <c r="AR851" i="9"/>
  <c r="AR854" i="9"/>
  <c r="AR857" i="9"/>
  <c r="AR867" i="9"/>
  <c r="AR738" i="9"/>
  <c r="AR812" i="9"/>
  <c r="AR819" i="9"/>
  <c r="AR822" i="9"/>
  <c r="AR864" i="9"/>
  <c r="AR908" i="9"/>
  <c r="AR915" i="9"/>
  <c r="AR921" i="9"/>
  <c r="AR924" i="9"/>
  <c r="AR973" i="9"/>
  <c r="AR976" i="9"/>
  <c r="AR984" i="9"/>
  <c r="AR992" i="9"/>
  <c r="AR1000" i="9"/>
  <c r="AR1008" i="9"/>
  <c r="AR1016" i="9"/>
  <c r="AR1024" i="9"/>
  <c r="AR820" i="9"/>
  <c r="AR856" i="9"/>
  <c r="AR860" i="9"/>
  <c r="AR928" i="9"/>
  <c r="AR972" i="9"/>
  <c r="AR986" i="9"/>
  <c r="AR993" i="9"/>
  <c r="AR996" i="9"/>
  <c r="AR999" i="9"/>
  <c r="AR1002" i="9"/>
  <c r="AR1009" i="9"/>
  <c r="AR1012" i="9"/>
  <c r="AR1015" i="9"/>
  <c r="AR1018" i="9"/>
  <c r="AR751" i="9"/>
  <c r="AR808" i="9"/>
  <c r="AR873" i="9"/>
  <c r="AR913" i="9"/>
  <c r="AR917" i="9"/>
  <c r="AR969" i="9"/>
  <c r="AR980" i="9"/>
  <c r="AR983" i="9"/>
  <c r="AR760" i="9"/>
  <c r="AR907" i="9"/>
  <c r="AR916" i="9"/>
  <c r="AR920" i="9"/>
  <c r="AR968" i="9"/>
  <c r="AR753" i="9"/>
  <c r="AR748" i="9"/>
  <c r="AS14" i="9"/>
  <c r="AS66" i="9"/>
  <c r="AS89" i="9"/>
  <c r="AS93" i="9"/>
  <c r="AS127" i="9"/>
  <c r="AS131" i="9"/>
  <c r="AS179" i="9"/>
  <c r="AS183" i="9"/>
  <c r="AS272" i="9"/>
  <c r="AS276" i="9"/>
  <c r="AS310" i="9"/>
  <c r="AS335" i="9"/>
  <c r="AS369" i="9"/>
  <c r="AS373" i="9"/>
  <c r="AS28" i="9"/>
  <c r="AS39" i="9"/>
  <c r="AS43" i="9"/>
  <c r="AS77" i="9"/>
  <c r="AS81" i="9"/>
  <c r="AS117" i="9"/>
  <c r="AS141" i="9"/>
  <c r="AS143" i="9"/>
  <c r="AS169" i="9"/>
  <c r="AS190" i="9"/>
  <c r="AS216" i="9"/>
  <c r="AS220" i="9"/>
  <c r="AS227" i="9"/>
  <c r="AS231" i="9"/>
  <c r="AS238" i="9"/>
  <c r="AS242" i="9"/>
  <c r="AS262" i="9"/>
  <c r="AS287" i="9"/>
  <c r="AS321" i="9"/>
  <c r="AS325" i="9"/>
  <c r="AS359" i="9"/>
  <c r="AS380" i="9"/>
  <c r="AS384" i="9"/>
  <c r="AS15" i="9"/>
  <c r="AS18" i="9"/>
  <c r="AS67" i="9"/>
  <c r="AS90" i="9"/>
  <c r="AS128" i="9"/>
  <c r="AS180" i="9"/>
  <c r="AS273" i="9"/>
  <c r="AS277" i="9"/>
  <c r="AS65" i="9"/>
  <c r="AS69" i="9"/>
  <c r="AS88" i="9"/>
  <c r="AS92" i="9"/>
  <c r="AS126" i="9"/>
  <c r="AS130" i="9"/>
  <c r="AS178" i="9"/>
  <c r="AS182" i="9"/>
  <c r="AS275" i="9"/>
  <c r="AS309" i="9"/>
  <c r="AS313" i="9"/>
  <c r="AS334" i="9"/>
  <c r="AS368" i="9"/>
  <c r="AS372" i="9"/>
  <c r="AS17" i="9"/>
  <c r="AS27" i="9"/>
  <c r="AS79" i="9"/>
  <c r="AS116" i="9"/>
  <c r="AS140" i="9"/>
  <c r="AS219" i="9"/>
  <c r="AS229" i="9"/>
  <c r="AS239" i="9"/>
  <c r="AS264" i="9"/>
  <c r="AS312" i="9"/>
  <c r="AS381" i="9"/>
  <c r="AS418" i="9"/>
  <c r="AS452" i="9"/>
  <c r="AS456" i="9"/>
  <c r="AS477" i="9"/>
  <c r="AS481" i="9"/>
  <c r="AS515" i="9"/>
  <c r="AS549" i="9"/>
  <c r="AS553" i="9"/>
  <c r="AS574" i="9"/>
  <c r="AS608" i="9"/>
  <c r="AS612" i="9"/>
  <c r="AS646" i="9"/>
  <c r="AS671" i="9"/>
  <c r="AS705" i="9"/>
  <c r="AS709" i="9"/>
  <c r="AS29" i="9"/>
  <c r="AS41" i="9"/>
  <c r="AS80" i="9"/>
  <c r="AS142" i="9"/>
  <c r="AS171" i="9"/>
  <c r="AS194" i="9"/>
  <c r="AS289" i="9"/>
  <c r="AS322" i="9"/>
  <c r="AS336" i="9"/>
  <c r="AS360" i="9"/>
  <c r="AS404" i="9"/>
  <c r="AS408" i="9"/>
  <c r="AS429" i="9"/>
  <c r="AS433" i="9"/>
  <c r="AS467" i="9"/>
  <c r="AS501" i="9"/>
  <c r="AS505" i="9"/>
  <c r="AS526" i="9"/>
  <c r="AS560" i="9"/>
  <c r="AS564" i="9"/>
  <c r="AS38" i="9"/>
  <c r="AS78" i="9"/>
  <c r="AS218" i="9"/>
  <c r="AS228" i="9"/>
  <c r="AS263" i="9"/>
  <c r="AS311" i="9"/>
  <c r="AS357" i="9"/>
  <c r="AS385" i="9"/>
  <c r="AS417" i="9"/>
  <c r="AS421" i="9"/>
  <c r="AS455" i="9"/>
  <c r="AS476" i="9"/>
  <c r="AS480" i="9"/>
  <c r="AS16" i="9"/>
  <c r="AS26" i="9"/>
  <c r="AS40" i="9"/>
  <c r="AS68" i="9"/>
  <c r="AS115" i="9"/>
  <c r="AS139" i="9"/>
  <c r="AS144" i="9"/>
  <c r="AS170" i="9"/>
  <c r="AS237" i="9"/>
  <c r="AS288" i="9"/>
  <c r="AS320" i="9"/>
  <c r="AS358" i="9"/>
  <c r="AS371" i="9"/>
  <c r="AS407" i="9"/>
  <c r="AS428" i="9"/>
  <c r="AS432" i="9"/>
  <c r="AS466" i="9"/>
  <c r="AS500" i="9"/>
  <c r="AS504" i="9"/>
  <c r="AS525" i="9"/>
  <c r="AS529" i="9"/>
  <c r="AS563" i="9"/>
  <c r="AS597" i="9"/>
  <c r="AS601" i="9"/>
  <c r="AS622" i="9"/>
  <c r="AS656" i="9"/>
  <c r="AS660" i="9"/>
  <c r="AS694" i="9"/>
  <c r="AS719" i="9"/>
  <c r="AS118" i="9"/>
  <c r="AS166" i="9"/>
  <c r="AS230" i="9"/>
  <c r="AS337" i="9"/>
  <c r="AS431" i="9"/>
  <c r="AS516" i="9"/>
  <c r="AS552" i="9"/>
  <c r="AS645" i="9"/>
  <c r="AS658" i="9"/>
  <c r="AS669" i="9"/>
  <c r="AS720" i="9"/>
  <c r="AS831" i="9"/>
  <c r="AS871" i="9"/>
  <c r="AS911" i="9"/>
  <c r="AS919" i="9"/>
  <c r="AS265" i="9"/>
  <c r="AS308" i="9"/>
  <c r="AS457" i="9"/>
  <c r="AS464" i="9"/>
  <c r="AS479" i="9"/>
  <c r="AS503" i="9"/>
  <c r="AS561" i="9"/>
  <c r="AS573" i="9"/>
  <c r="AS600" i="9"/>
  <c r="AS613" i="9"/>
  <c r="AS620" i="9"/>
  <c r="AS625" i="9"/>
  <c r="AS696" i="9"/>
  <c r="AS708" i="9"/>
  <c r="AS716" i="9"/>
  <c r="AS770" i="9"/>
  <c r="AS810" i="9"/>
  <c r="AS818" i="9"/>
  <c r="AS858" i="9"/>
  <c r="AS898" i="9"/>
  <c r="AS91" i="9"/>
  <c r="AS217" i="9"/>
  <c r="AS241" i="9"/>
  <c r="AS286" i="9"/>
  <c r="AS406" i="9"/>
  <c r="AS469" i="9"/>
  <c r="AS478" i="9"/>
  <c r="AS502" i="9"/>
  <c r="AS528" i="9"/>
  <c r="AS565" i="9"/>
  <c r="AS572" i="9"/>
  <c r="AS599" i="9"/>
  <c r="AS624" i="9"/>
  <c r="AS695" i="9"/>
  <c r="AS707" i="9"/>
  <c r="AS745" i="9"/>
  <c r="AS780" i="9"/>
  <c r="AS788" i="9"/>
  <c r="AS804" i="9"/>
  <c r="AS844" i="9"/>
  <c r="AS884" i="9"/>
  <c r="AS892" i="9"/>
  <c r="AS964" i="9"/>
  <c r="AS30" i="9"/>
  <c r="AS129" i="9"/>
  <c r="AS284" i="9"/>
  <c r="AS517" i="9"/>
  <c r="AS659" i="9"/>
  <c r="AS738" i="9"/>
  <c r="AS746" i="9"/>
  <c r="AS838" i="9"/>
  <c r="AS864" i="9"/>
  <c r="AS970" i="9"/>
  <c r="AS976" i="9"/>
  <c r="AS992" i="9"/>
  <c r="AS1008" i="9"/>
  <c r="AS31" i="9"/>
  <c r="AS42" i="9"/>
  <c r="AS274" i="9"/>
  <c r="AS409" i="9"/>
  <c r="AS419" i="9"/>
  <c r="AS465" i="9"/>
  <c r="AS512" i="9"/>
  <c r="AS527" i="9"/>
  <c r="AS562" i="9"/>
  <c r="AS611" i="9"/>
  <c r="AS647" i="9"/>
  <c r="AS673" i="9"/>
  <c r="AS704" i="9"/>
  <c r="AS754" i="9"/>
  <c r="AS885" i="9"/>
  <c r="AS891" i="9"/>
  <c r="AS912" i="9"/>
  <c r="AS918" i="9"/>
  <c r="AS946" i="9"/>
  <c r="AS987" i="9"/>
  <c r="AS167" i="9"/>
  <c r="AS240" i="9"/>
  <c r="AS261" i="9"/>
  <c r="AS323" i="9"/>
  <c r="AS420" i="9"/>
  <c r="AS430" i="9"/>
  <c r="AS468" i="9"/>
  <c r="AS513" i="9"/>
  <c r="AS575" i="9"/>
  <c r="AS648" i="9"/>
  <c r="AS661" i="9"/>
  <c r="AS668" i="9"/>
  <c r="AS706" i="9"/>
  <c r="AS721" i="9"/>
  <c r="AS19" i="9"/>
  <c r="AS64" i="9"/>
  <c r="AS215" i="9"/>
  <c r="AS370" i="9"/>
  <c r="AS524" i="9"/>
  <c r="AS693" i="9"/>
  <c r="AS753" i="9"/>
  <c r="AS771" i="9"/>
  <c r="AS926" i="9"/>
  <c r="AS76" i="9"/>
  <c r="AS114" i="9"/>
  <c r="AS361" i="9"/>
  <c r="AS416" i="9"/>
  <c r="AS454" i="9"/>
  <c r="AS551" i="9"/>
  <c r="AS577" i="9"/>
  <c r="AS610" i="9"/>
  <c r="AS644" i="9"/>
  <c r="AS672" i="9"/>
  <c r="AS718" i="9"/>
  <c r="AS789" i="9"/>
  <c r="AS845" i="9"/>
  <c r="AS857" i="9"/>
  <c r="AS939" i="9"/>
  <c r="AS945" i="9"/>
  <c r="AS1021" i="9"/>
  <c r="AQ1044" i="9"/>
  <c r="AQ1032" i="9"/>
  <c r="AQ1019" i="9"/>
  <c r="AQ1003" i="9"/>
  <c r="AQ979" i="9"/>
  <c r="AQ967" i="9"/>
  <c r="AQ961" i="9"/>
  <c r="AQ955" i="9"/>
  <c r="AQ927" i="9"/>
  <c r="AR884" i="9"/>
  <c r="AR838" i="9"/>
  <c r="AR835" i="9"/>
  <c r="AR832" i="9"/>
  <c r="AR828" i="9"/>
  <c r="AR825" i="9"/>
  <c r="AR663" i="9"/>
  <c r="AR633" i="9"/>
  <c r="AR531" i="9"/>
  <c r="AQ525" i="9"/>
  <c r="AQ500" i="9"/>
  <c r="AR496" i="9"/>
  <c r="AR489" i="9"/>
  <c r="AR441" i="9"/>
  <c r="AR298" i="9"/>
  <c r="AR154" i="9"/>
  <c r="AR109" i="9"/>
  <c r="AQ89" i="9"/>
  <c r="AR763" i="9"/>
  <c r="AR770" i="9"/>
  <c r="AR778" i="9"/>
  <c r="AR786" i="9"/>
  <c r="AR794" i="9"/>
  <c r="AR826" i="9"/>
  <c r="AR834" i="9"/>
  <c r="AR842" i="9"/>
  <c r="AR850" i="9"/>
  <c r="AR882" i="9"/>
  <c r="AR890" i="9"/>
  <c r="AR898" i="9"/>
  <c r="AR938" i="9"/>
  <c r="AR946" i="9"/>
  <c r="AR954" i="9"/>
  <c r="AR765" i="9"/>
  <c r="AR773" i="9"/>
  <c r="AR781" i="9"/>
  <c r="AR789" i="9"/>
  <c r="AR829" i="9"/>
  <c r="AR837" i="9"/>
  <c r="AR845" i="9"/>
  <c r="AR885" i="9"/>
  <c r="AR893" i="9"/>
  <c r="AR901" i="9"/>
  <c r="AR761" i="9"/>
  <c r="AR767" i="9"/>
  <c r="AR775" i="9"/>
  <c r="AR783" i="9"/>
  <c r="AR791" i="9"/>
  <c r="AR831" i="9"/>
  <c r="AR839" i="9"/>
  <c r="AR847" i="9"/>
  <c r="AR879" i="9"/>
  <c r="AR887" i="9"/>
  <c r="AR895" i="9"/>
  <c r="AR903" i="9"/>
  <c r="AR935" i="9"/>
  <c r="AR943" i="9"/>
  <c r="AR951" i="9"/>
  <c r="AR959" i="9"/>
  <c r="AQ732" i="9"/>
  <c r="AQ761" i="9"/>
  <c r="AQ742" i="9"/>
  <c r="AQ750" i="9"/>
  <c r="AQ758" i="9"/>
  <c r="AQ763" i="9"/>
  <c r="AQ869" i="9"/>
  <c r="AQ909" i="9"/>
  <c r="AQ933" i="9"/>
  <c r="AQ957" i="9"/>
  <c r="AQ768" i="9"/>
  <c r="AQ784" i="9"/>
  <c r="AQ808" i="9"/>
  <c r="AQ896" i="9"/>
  <c r="AQ730" i="9"/>
  <c r="AQ736" i="9"/>
  <c r="AQ752" i="9"/>
  <c r="AQ786" i="9"/>
  <c r="AQ842" i="9"/>
  <c r="AQ882" i="9"/>
  <c r="AQ906" i="9"/>
  <c r="AQ930" i="9"/>
  <c r="AR580" i="9"/>
  <c r="AR555" i="9"/>
  <c r="AR538" i="9"/>
  <c r="AR290" i="9"/>
  <c r="AR71" i="9"/>
  <c r="AQ203" i="9"/>
  <c r="AQ101" i="9"/>
  <c r="AQ153" i="9"/>
  <c r="AQ51" i="9"/>
  <c r="AR59" i="9"/>
  <c r="AR70" i="9"/>
  <c r="AR96" i="9"/>
  <c r="AR103" i="9"/>
  <c r="AR134" i="9"/>
  <c r="AR146" i="9"/>
  <c r="AR155" i="9"/>
  <c r="AR186" i="9"/>
  <c r="AR303" i="9"/>
  <c r="AR314" i="9"/>
  <c r="AR345" i="9"/>
  <c r="AR376" i="9"/>
  <c r="AR387" i="9"/>
  <c r="AR21" i="9"/>
  <c r="AR32" i="9"/>
  <c r="AR46" i="9"/>
  <c r="AR53" i="9"/>
  <c r="AR84" i="9"/>
  <c r="AR196" i="9"/>
  <c r="AR255" i="9"/>
  <c r="AR266" i="9"/>
  <c r="AR297" i="9"/>
  <c r="AR328" i="9"/>
  <c r="AR339" i="9"/>
  <c r="AR3" i="9"/>
  <c r="AR9" i="9"/>
  <c r="AR94" i="9"/>
  <c r="AR110" i="9"/>
  <c r="AR121" i="9"/>
  <c r="AR132" i="9"/>
  <c r="AR162" i="9"/>
  <c r="AR173" i="9"/>
  <c r="AR184" i="9"/>
  <c r="AR206" i="9"/>
  <c r="AR249" i="9"/>
  <c r="AR280" i="9"/>
  <c r="AR291" i="9"/>
  <c r="AR4" i="9"/>
  <c r="AR20" i="9"/>
  <c r="AR45" i="9"/>
  <c r="AR52" i="9"/>
  <c r="AR72" i="9"/>
  <c r="AR83" i="9"/>
  <c r="AR211" i="9"/>
  <c r="AR222" i="9"/>
  <c r="AR233" i="9"/>
  <c r="AR244" i="9"/>
  <c r="AR254" i="9"/>
  <c r="AR296" i="9"/>
  <c r="AR316" i="9"/>
  <c r="AR327" i="9"/>
  <c r="AR338" i="9"/>
  <c r="AR8" i="9"/>
  <c r="AR54" i="9"/>
  <c r="AR174" i="9"/>
  <c r="AR205" i="9"/>
  <c r="AR268" i="9"/>
  <c r="AR292" i="9"/>
  <c r="AR326" i="9"/>
  <c r="AR363" i="9"/>
  <c r="AR386" i="9"/>
  <c r="AR393" i="9"/>
  <c r="AR400" i="9"/>
  <c r="AR411" i="9"/>
  <c r="AR422" i="9"/>
  <c r="AR442" i="9"/>
  <c r="AR484" i="9"/>
  <c r="AR494" i="9"/>
  <c r="AR536" i="9"/>
  <c r="AR556" i="9"/>
  <c r="AR567" i="9"/>
  <c r="AR578" i="9"/>
  <c r="AR639" i="9"/>
  <c r="AR650" i="9"/>
  <c r="AR681" i="9"/>
  <c r="AR712" i="9"/>
  <c r="AR723" i="9"/>
  <c r="AR22" i="9"/>
  <c r="AR34" i="9"/>
  <c r="AR145" i="9"/>
  <c r="AR185" i="9"/>
  <c r="AR198" i="9"/>
  <c r="AR210" i="9"/>
  <c r="AR340" i="9"/>
  <c r="AR436" i="9"/>
  <c r="AR446" i="9"/>
  <c r="AR488" i="9"/>
  <c r="AR508" i="9"/>
  <c r="AR519" i="9"/>
  <c r="AR530" i="9"/>
  <c r="AR102" i="9"/>
  <c r="AR267" i="9"/>
  <c r="AR302" i="9"/>
  <c r="AR375" i="9"/>
  <c r="AR424" i="9"/>
  <c r="AR435" i="9"/>
  <c r="AR33" i="9"/>
  <c r="AR58" i="9"/>
  <c r="AR156" i="9"/>
  <c r="AR160" i="9"/>
  <c r="AR197" i="9"/>
  <c r="AR243" i="9"/>
  <c r="AR250" i="9"/>
  <c r="AR278" i="9"/>
  <c r="AR346" i="9"/>
  <c r="AR350" i="9"/>
  <c r="AR448" i="9"/>
  <c r="AR459" i="9"/>
  <c r="AR470" i="9"/>
  <c r="AR490" i="9"/>
  <c r="AR532" i="9"/>
  <c r="AR542" i="9"/>
  <c r="AR584" i="9"/>
  <c r="AR604" i="9"/>
  <c r="AR615" i="9"/>
  <c r="AR626" i="9"/>
  <c r="AR687" i="9"/>
  <c r="AR698" i="9"/>
  <c r="AR44" i="9"/>
  <c r="AR122" i="9"/>
  <c r="AR133" i="9"/>
  <c r="AR161" i="9"/>
  <c r="AR460" i="9"/>
  <c r="AR483" i="9"/>
  <c r="AR507" i="9"/>
  <c r="AR585" i="9"/>
  <c r="AR616" i="9"/>
  <c r="AR628" i="9"/>
  <c r="AR638" i="9"/>
  <c r="AR674" i="9"/>
  <c r="AR304" i="9"/>
  <c r="AR315" i="9"/>
  <c r="AR364" i="9"/>
  <c r="AR412" i="9"/>
  <c r="AR440" i="9"/>
  <c r="AR447" i="9"/>
  <c r="AR520" i="9"/>
  <c r="AR537" i="9"/>
  <c r="AR566" i="9"/>
  <c r="AR632" i="9"/>
  <c r="AR724" i="9"/>
  <c r="AR2" i="9"/>
  <c r="AR82" i="9"/>
  <c r="AR172" i="9"/>
  <c r="AR374" i="9"/>
  <c r="AR394" i="9"/>
  <c r="AR398" i="9"/>
  <c r="AR543" i="9"/>
  <c r="AR591" i="9"/>
  <c r="AR603" i="9"/>
  <c r="AR634" i="9"/>
  <c r="AR662" i="9"/>
  <c r="AR680" i="9"/>
  <c r="AR699" i="9"/>
  <c r="AR711" i="9"/>
  <c r="AQ1060" i="9"/>
  <c r="AR1038" i="9"/>
  <c r="AQ1030" i="9"/>
  <c r="AQ1025" i="9"/>
  <c r="AQ985" i="9"/>
  <c r="AR952" i="9"/>
  <c r="AR949" i="9"/>
  <c r="AR940" i="9"/>
  <c r="AR937" i="9"/>
  <c r="AR934" i="9"/>
  <c r="AQ916" i="9"/>
  <c r="AR899" i="9"/>
  <c r="AQ862" i="9"/>
  <c r="AR849" i="9"/>
  <c r="AR846" i="9"/>
  <c r="AR796" i="9"/>
  <c r="AR793" i="9"/>
  <c r="AR790" i="9"/>
  <c r="AR779" i="9"/>
  <c r="AR776" i="9"/>
  <c r="AR769" i="9"/>
  <c r="AQ766" i="9"/>
  <c r="AR762" i="9"/>
  <c r="AQ773" i="9"/>
  <c r="AQ781" i="9"/>
  <c r="AQ805" i="9"/>
  <c r="AQ813" i="9"/>
  <c r="AQ893" i="9"/>
  <c r="AQ901" i="9"/>
  <c r="AQ941" i="9"/>
  <c r="AQ973" i="9"/>
  <c r="AQ740" i="9"/>
  <c r="AQ756" i="9"/>
  <c r="AQ832" i="9"/>
  <c r="AQ840" i="9"/>
  <c r="AQ739" i="9"/>
  <c r="AQ755" i="9"/>
  <c r="AQ866" i="9"/>
  <c r="AQ874" i="9"/>
  <c r="AQ914" i="9"/>
  <c r="AQ954" i="9"/>
  <c r="AR651" i="9"/>
  <c r="AR602" i="9"/>
  <c r="AR592" i="9"/>
  <c r="AR362" i="9"/>
  <c r="AR248" i="9"/>
  <c r="AR232" i="9"/>
  <c r="AR147" i="9"/>
  <c r="AQ39" i="9"/>
  <c r="AQ77" i="9"/>
  <c r="AQ190" i="9"/>
  <c r="AQ216" i="9"/>
  <c r="AQ227" i="9"/>
  <c r="AQ238" i="9"/>
  <c r="AQ321" i="9"/>
  <c r="AQ380" i="9"/>
  <c r="AQ15" i="9"/>
  <c r="AQ273" i="9"/>
  <c r="AQ332" i="9"/>
  <c r="AQ114" i="9"/>
  <c r="AQ166" i="9"/>
  <c r="AQ191" i="9"/>
  <c r="AQ284" i="9"/>
  <c r="AQ14" i="9"/>
  <c r="AQ27" i="9"/>
  <c r="AQ38" i="9"/>
  <c r="AQ76" i="9"/>
  <c r="AQ140" i="9"/>
  <c r="AQ215" i="9"/>
  <c r="AQ226" i="9"/>
  <c r="AQ237" i="9"/>
  <c r="AQ261" i="9"/>
  <c r="AQ320" i="9"/>
  <c r="AQ178" i="9"/>
  <c r="AQ272" i="9"/>
  <c r="AQ404" i="9"/>
  <c r="AQ429" i="9"/>
  <c r="AQ501" i="9"/>
  <c r="AQ560" i="9"/>
  <c r="AQ657" i="9"/>
  <c r="AQ716" i="9"/>
  <c r="AQ179" i="9"/>
  <c r="AQ453" i="9"/>
  <c r="AQ512" i="9"/>
  <c r="AQ26" i="9"/>
  <c r="AQ115" i="9"/>
  <c r="AQ139" i="9"/>
  <c r="AQ428" i="9"/>
  <c r="AQ381" i="9"/>
  <c r="AQ452" i="9"/>
  <c r="AQ477" i="9"/>
  <c r="AQ549" i="9"/>
  <c r="AQ608" i="9"/>
  <c r="AQ705" i="9"/>
  <c r="AQ126" i="9"/>
  <c r="AQ308" i="9"/>
  <c r="AQ464" i="9"/>
  <c r="AQ561" i="9"/>
  <c r="AQ573" i="9"/>
  <c r="AQ620" i="9"/>
  <c r="AQ127" i="9"/>
  <c r="AQ167" i="9"/>
  <c r="AQ368" i="9"/>
  <c r="AQ416" i="9"/>
  <c r="AQ524" i="9"/>
  <c r="AQ609" i="9"/>
  <c r="AQ357" i="9"/>
  <c r="AQ645" i="9"/>
  <c r="AQ669" i="9"/>
  <c r="AQ1074" i="9"/>
  <c r="AR1044" i="9"/>
  <c r="AQ1041" i="9"/>
  <c r="AQ1038" i="9"/>
  <c r="AQ1035" i="9"/>
  <c r="AQ1027" i="9"/>
  <c r="AR958" i="9"/>
  <c r="AR955" i="9"/>
  <c r="AQ943" i="9"/>
  <c r="AQ940" i="9"/>
  <c r="AR902" i="9"/>
  <c r="AR891" i="9"/>
  <c r="AR888" i="9"/>
  <c r="AR881" i="9"/>
  <c r="AR878" i="9"/>
  <c r="AQ855" i="9"/>
  <c r="AQ852" i="9"/>
  <c r="AQ849" i="9"/>
  <c r="AQ846" i="9"/>
  <c r="AQ806" i="9"/>
  <c r="AQ793" i="9"/>
  <c r="AQ790" i="9"/>
  <c r="AR772" i="9"/>
  <c r="AR710" i="9"/>
  <c r="AR700" i="9"/>
  <c r="AR676" i="9"/>
  <c r="AR482" i="9"/>
  <c r="AR471" i="9"/>
  <c r="AQ465" i="9"/>
  <c r="AR434" i="9"/>
  <c r="AR423" i="9"/>
  <c r="AQ417" i="9"/>
  <c r="AR279" i="9"/>
  <c r="AQ28" i="9"/>
  <c r="AQ117" i="9"/>
  <c r="AQ141" i="9"/>
  <c r="AQ169" i="9"/>
  <c r="AQ262" i="9"/>
  <c r="AQ287" i="9"/>
  <c r="AQ359" i="9"/>
  <c r="AQ67" i="9"/>
  <c r="AQ90" i="9"/>
  <c r="AQ128" i="9"/>
  <c r="AQ180" i="9"/>
  <c r="AQ311" i="9"/>
  <c r="AQ370" i="9"/>
  <c r="AQ29" i="9"/>
  <c r="AQ40" i="9"/>
  <c r="AQ78" i="9"/>
  <c r="AQ142" i="9"/>
  <c r="AQ217" i="9"/>
  <c r="AQ228" i="9"/>
  <c r="AQ239" i="9"/>
  <c r="AQ263" i="9"/>
  <c r="AQ17" i="9"/>
  <c r="AQ116" i="9"/>
  <c r="AQ168" i="9"/>
  <c r="AQ193" i="9"/>
  <c r="AQ286" i="9"/>
  <c r="AQ358" i="9"/>
  <c r="AQ383" i="9"/>
  <c r="AQ41" i="9"/>
  <c r="AQ322" i="9"/>
  <c r="AQ467" i="9"/>
  <c r="AQ526" i="9"/>
  <c r="AQ598" i="9"/>
  <c r="AQ623" i="9"/>
  <c r="AQ695" i="9"/>
  <c r="AQ745" i="9"/>
  <c r="AQ753" i="9"/>
  <c r="AQ240" i="9"/>
  <c r="AQ274" i="9"/>
  <c r="AQ382" i="9"/>
  <c r="AQ419" i="9"/>
  <c r="AQ478" i="9"/>
  <c r="AQ550" i="9"/>
  <c r="AQ575" i="9"/>
  <c r="AQ16" i="9"/>
  <c r="AQ334" i="9"/>
  <c r="AQ371" i="9"/>
  <c r="AQ407" i="9"/>
  <c r="AQ466" i="9"/>
  <c r="AQ79" i="9"/>
  <c r="AQ229" i="9"/>
  <c r="AQ335" i="9"/>
  <c r="AQ418" i="9"/>
  <c r="AQ515" i="9"/>
  <c r="AQ574" i="9"/>
  <c r="AQ646" i="9"/>
  <c r="AQ671" i="9"/>
  <c r="AQ737" i="9"/>
  <c r="AQ46" i="9"/>
  <c r="AQ84" i="9"/>
  <c r="AQ113" i="9"/>
  <c r="AQ165" i="9"/>
  <c r="AQ209" i="9"/>
  <c r="AQ283" i="9"/>
  <c r="AQ328" i="9"/>
  <c r="AQ355" i="9"/>
  <c r="AQ397" i="9"/>
  <c r="AQ63" i="9"/>
  <c r="AQ107" i="9"/>
  <c r="AQ110" i="9"/>
  <c r="AQ150" i="9"/>
  <c r="AQ159" i="9"/>
  <c r="AQ162" i="9"/>
  <c r="AQ206" i="9"/>
  <c r="AQ280" i="9"/>
  <c r="AQ307" i="9"/>
  <c r="AQ349" i="9"/>
  <c r="AQ352" i="9"/>
  <c r="AQ391" i="9"/>
  <c r="AQ394" i="9"/>
  <c r="AQ25" i="9"/>
  <c r="AQ57" i="9"/>
  <c r="AQ60" i="9"/>
  <c r="AQ104" i="9"/>
  <c r="AQ138" i="9"/>
  <c r="AQ147" i="9"/>
  <c r="AQ156" i="9"/>
  <c r="AQ259" i="9"/>
  <c r="AQ34" i="9"/>
  <c r="AQ99" i="9"/>
  <c r="AQ189" i="9"/>
  <c r="AQ198" i="9"/>
  <c r="AQ268" i="9"/>
  <c r="AQ379" i="9"/>
  <c r="AQ100" i="9"/>
  <c r="AQ152" i="9"/>
  <c r="AQ50" i="9"/>
  <c r="AQ22" i="9"/>
  <c r="C98" i="20"/>
  <c r="C38" i="20"/>
  <c r="AQ136" i="9"/>
  <c r="AQ120" i="9"/>
  <c r="AQ80" i="9"/>
  <c r="AQ55" i="9"/>
  <c r="AQ42" i="9"/>
  <c r="AQ31" i="9"/>
  <c r="AQ23" i="9"/>
  <c r="AQ8" i="9"/>
  <c r="P1350" i="2"/>
  <c r="AQ132" i="9"/>
  <c r="AQ94" i="9"/>
  <c r="AQ35" i="9"/>
  <c r="AS24" i="9"/>
  <c r="AQ12" i="9"/>
  <c r="AQ9" i="9"/>
  <c r="AQ73" i="9"/>
  <c r="AQ32" i="9"/>
  <c r="S66" i="10" l="1"/>
  <c r="S52" i="10"/>
  <c r="K611" i="2"/>
  <c r="L611" i="2" s="1"/>
  <c r="M611" i="2" s="1"/>
  <c r="S99" i="10"/>
  <c r="G310" i="2"/>
  <c r="B1382" i="2" s="1"/>
  <c r="D1332" i="2" s="1"/>
  <c r="G271" i="2"/>
  <c r="B1343" i="2" s="1"/>
  <c r="H271" i="2"/>
  <c r="C1343" i="2" s="1"/>
  <c r="H272" i="2"/>
  <c r="C1344" i="2" s="1"/>
  <c r="H304" i="2"/>
  <c r="C1376" i="2" s="1"/>
  <c r="H273" i="2"/>
  <c r="C1345" i="2" s="1"/>
  <c r="H281" i="2"/>
  <c r="C1353" i="2" s="1"/>
  <c r="H289" i="2"/>
  <c r="C1361" i="2" s="1"/>
  <c r="H297" i="2"/>
  <c r="C1369" i="2" s="1"/>
  <c r="H305" i="2"/>
  <c r="C1377" i="2" s="1"/>
  <c r="H274" i="2"/>
  <c r="C1346" i="2" s="1"/>
  <c r="H282" i="2"/>
  <c r="K273" i="2" s="1"/>
  <c r="L273" i="2" s="1"/>
  <c r="L37" i="11" s="1"/>
  <c r="K288" i="2" s="1"/>
  <c r="J281" i="2" s="1"/>
  <c r="H290" i="2"/>
  <c r="C1362" i="2" s="1"/>
  <c r="H298" i="2"/>
  <c r="C1370" i="2" s="1"/>
  <c r="H306" i="2"/>
  <c r="C1378" i="2" s="1"/>
  <c r="H285" i="2"/>
  <c r="C1357" i="2" s="1"/>
  <c r="H301" i="2"/>
  <c r="C1373" i="2" s="1"/>
  <c r="H280" i="2"/>
  <c r="C1352" i="2" s="1"/>
  <c r="H296" i="2"/>
  <c r="C1368" i="2" s="1"/>
  <c r="H275" i="2"/>
  <c r="C1347" i="2" s="1"/>
  <c r="H283" i="2"/>
  <c r="C1355" i="2" s="1"/>
  <c r="H291" i="2"/>
  <c r="C1363" i="2" s="1"/>
  <c r="H299" i="2"/>
  <c r="C1371" i="2" s="1"/>
  <c r="H307" i="2"/>
  <c r="C1379" i="2" s="1"/>
  <c r="H276" i="2"/>
  <c r="C1348" i="2" s="1"/>
  <c r="H284" i="2"/>
  <c r="C1356" i="2" s="1"/>
  <c r="H292" i="2"/>
  <c r="C1364" i="2" s="1"/>
  <c r="H300" i="2"/>
  <c r="C1372" i="2" s="1"/>
  <c r="H308" i="2"/>
  <c r="C1380" i="2" s="1"/>
  <c r="H277" i="2"/>
  <c r="C1349" i="2" s="1"/>
  <c r="H293" i="2"/>
  <c r="C1365" i="2" s="1"/>
  <c r="H309" i="2"/>
  <c r="C1381" i="2" s="1"/>
  <c r="H288" i="2"/>
  <c r="C1360" i="2" s="1"/>
  <c r="H278" i="2"/>
  <c r="C1350" i="2" s="1"/>
  <c r="H286" i="2"/>
  <c r="C1358" i="2" s="1"/>
  <c r="H294" i="2"/>
  <c r="C1366" i="2" s="1"/>
  <c r="H302" i="2"/>
  <c r="C1374" i="2" s="1"/>
  <c r="H310" i="2"/>
  <c r="C1382" i="2" s="1"/>
  <c r="E1332" i="2" s="1"/>
  <c r="H279" i="2"/>
  <c r="C1351" i="2" s="1"/>
  <c r="H287" i="2"/>
  <c r="C1359" i="2" s="1"/>
  <c r="H295" i="2"/>
  <c r="C1367" i="2" s="1"/>
  <c r="H303" i="2"/>
  <c r="C1375" i="2" s="1"/>
  <c r="G272" i="2"/>
  <c r="B1344" i="2" s="1"/>
  <c r="G296" i="2"/>
  <c r="B1368" i="2" s="1"/>
  <c r="G281" i="2"/>
  <c r="B1353" i="2" s="1"/>
  <c r="G297" i="2"/>
  <c r="B1369" i="2" s="1"/>
  <c r="G283" i="2"/>
  <c r="B1355" i="2" s="1"/>
  <c r="G299" i="2"/>
  <c r="B1371" i="2" s="1"/>
  <c r="G284" i="2"/>
  <c r="B1356" i="2" s="1"/>
  <c r="G308" i="2"/>
  <c r="B1380" i="2" s="1"/>
  <c r="G293" i="2"/>
  <c r="B1365" i="2" s="1"/>
  <c r="G274" i="2"/>
  <c r="B1346" i="2" s="1"/>
  <c r="G282" i="2"/>
  <c r="B1354" i="2" s="1"/>
  <c r="G290" i="2"/>
  <c r="B1362" i="2" s="1"/>
  <c r="G298" i="2"/>
  <c r="B1370" i="2" s="1"/>
  <c r="G306" i="2"/>
  <c r="B1378" i="2" s="1"/>
  <c r="G275" i="2"/>
  <c r="B1347" i="2" s="1"/>
  <c r="G307" i="2"/>
  <c r="B1379" i="2" s="1"/>
  <c r="G292" i="2"/>
  <c r="B1364" i="2" s="1"/>
  <c r="G277" i="2"/>
  <c r="B1349" i="2" s="1"/>
  <c r="G309" i="2"/>
  <c r="B1381" i="2" s="1"/>
  <c r="G278" i="2"/>
  <c r="B1350" i="2" s="1"/>
  <c r="G286" i="2"/>
  <c r="B1358" i="2" s="1"/>
  <c r="G294" i="2"/>
  <c r="B1366" i="2" s="1"/>
  <c r="G302" i="2"/>
  <c r="B1374" i="2" s="1"/>
  <c r="G279" i="2"/>
  <c r="B1351" i="2" s="1"/>
  <c r="G287" i="2"/>
  <c r="B1359" i="2" s="1"/>
  <c r="G295" i="2"/>
  <c r="B1367" i="2" s="1"/>
  <c r="G303" i="2"/>
  <c r="B1375" i="2" s="1"/>
  <c r="G280" i="2"/>
  <c r="B1352" i="2" s="1"/>
  <c r="G288" i="2"/>
  <c r="B1360" i="2" s="1"/>
  <c r="G304" i="2"/>
  <c r="B1376" i="2" s="1"/>
  <c r="G273" i="2"/>
  <c r="B1345" i="2" s="1"/>
  <c r="G289" i="2"/>
  <c r="B1361" i="2" s="1"/>
  <c r="G305" i="2"/>
  <c r="B1377" i="2" s="1"/>
  <c r="G291" i="2"/>
  <c r="B1363" i="2" s="1"/>
  <c r="G276" i="2"/>
  <c r="B1348" i="2" s="1"/>
  <c r="G300" i="2"/>
  <c r="B1372" i="2" s="1"/>
  <c r="G285" i="2"/>
  <c r="B1357" i="2" s="1"/>
  <c r="G301" i="2"/>
  <c r="B1373" i="2" s="1"/>
  <c r="S73" i="10"/>
  <c r="S24" i="10"/>
  <c r="S60" i="10"/>
  <c r="S101" i="10"/>
  <c r="AR1424" i="2"/>
  <c r="AZ1424" i="2" s="1"/>
  <c r="BH1424" i="2" s="1"/>
  <c r="AJ1424" i="2"/>
  <c r="L1057" i="2"/>
  <c r="AF328" i="2"/>
  <c r="J435" i="2" s="1"/>
  <c r="H435" i="2" s="1"/>
  <c r="D351" i="2" s="1"/>
  <c r="C351" i="2" s="1"/>
  <c r="AG376" i="2"/>
  <c r="AE320" i="2"/>
  <c r="AD382" i="2"/>
  <c r="K434" i="2" s="1"/>
  <c r="Y321" i="2"/>
  <c r="AA323" i="2"/>
  <c r="Y324" i="2"/>
  <c r="AC322" i="2"/>
  <c r="Y320" i="2"/>
  <c r="Y326" i="2" s="1"/>
  <c r="X328" i="2" s="1"/>
  <c r="S319" i="2" s="1"/>
  <c r="S317" i="2" s="1"/>
  <c r="S315" i="2" s="1"/>
  <c r="Q26" i="16" s="1"/>
  <c r="AE323" i="2"/>
  <c r="AF382" i="2"/>
  <c r="K435" i="2" s="1"/>
  <c r="AA322" i="2"/>
  <c r="AG320" i="2"/>
  <c r="AC321" i="2"/>
  <c r="AG324" i="2"/>
  <c r="AA374" i="2"/>
  <c r="U376" i="2"/>
  <c r="AG321" i="2"/>
  <c r="AA375" i="2"/>
  <c r="AC323" i="2"/>
  <c r="W324" i="2"/>
  <c r="I319" i="2" s="1"/>
  <c r="I317" i="2" s="1"/>
  <c r="Q25" i="16" s="1"/>
  <c r="AH328" i="2"/>
  <c r="J436" i="2" s="1"/>
  <c r="H436" i="2" s="1"/>
  <c r="D352" i="2" s="1"/>
  <c r="C352" i="2" s="1"/>
  <c r="AE321" i="2"/>
  <c r="AC324" i="2"/>
  <c r="AI465" i="2"/>
  <c r="AC320" i="2"/>
  <c r="AA324" i="2"/>
  <c r="AC375" i="2"/>
  <c r="AB382" i="2"/>
  <c r="K433" i="2" s="1"/>
  <c r="AE322" i="2"/>
  <c r="Q21" i="16"/>
  <c r="AC454" i="2" s="1"/>
  <c r="E521" i="2" s="1"/>
  <c r="M521" i="2" s="1"/>
  <c r="C521" i="2" s="1"/>
  <c r="Y323" i="2"/>
  <c r="AC376" i="2"/>
  <c r="AG322" i="2"/>
  <c r="AB328" i="2"/>
  <c r="J433" i="2" s="1"/>
  <c r="H433" i="2" s="1"/>
  <c r="D349" i="2" s="1"/>
  <c r="C349" i="2" s="1"/>
  <c r="AG374" i="2"/>
  <c r="AE374" i="2"/>
  <c r="AC374" i="2"/>
  <c r="W376" i="2"/>
  <c r="H320" i="2" s="1"/>
  <c r="W320" i="2"/>
  <c r="H319" i="2" s="1"/>
  <c r="H317" i="2" s="1"/>
  <c r="Q20" i="16" s="1"/>
  <c r="AD328" i="2"/>
  <c r="J434" i="2" s="1"/>
  <c r="H434" i="2" s="1"/>
  <c r="D350" i="2" s="1"/>
  <c r="C350" i="2" s="1"/>
  <c r="AE324" i="2"/>
  <c r="AA321" i="2"/>
  <c r="AG375" i="2"/>
  <c r="AA320" i="2"/>
  <c r="AH382" i="2"/>
  <c r="K436" i="2" s="1"/>
  <c r="AG323" i="2"/>
  <c r="Y322" i="2"/>
  <c r="AE375" i="2"/>
  <c r="AA376" i="2"/>
  <c r="AE376" i="2"/>
  <c r="B1458" i="2"/>
  <c r="B1457" i="2" s="1"/>
  <c r="D347" i="2"/>
  <c r="A1451" i="2"/>
  <c r="A1452" i="2"/>
  <c r="B813" i="2"/>
  <c r="A1453" i="2"/>
  <c r="G366" i="2"/>
  <c r="L1055" i="2"/>
  <c r="L1054" i="2"/>
  <c r="L1059" i="2"/>
  <c r="M1059" i="2" s="1"/>
  <c r="Q995" i="2" s="1"/>
  <c r="R995" i="2" s="1"/>
  <c r="Y1056" i="2"/>
  <c r="I1477" i="2"/>
  <c r="B1043" i="2"/>
  <c r="L1056" i="2"/>
  <c r="L1065" i="2"/>
  <c r="M1065" i="2" s="1"/>
  <c r="Q1001" i="2" s="1"/>
  <c r="R1001" i="2" s="1"/>
  <c r="L1064" i="2"/>
  <c r="M1064" i="2" s="1"/>
  <c r="Q1000" i="2" s="1"/>
  <c r="R1000" i="2" s="1"/>
  <c r="L819" i="2"/>
  <c r="L833" i="2"/>
  <c r="M833" i="2" s="1"/>
  <c r="R773" i="2" s="1"/>
  <c r="S773" i="2" s="1"/>
  <c r="B1070" i="2"/>
  <c r="B1083" i="2"/>
  <c r="B1056" i="2"/>
  <c r="B1096" i="2"/>
  <c r="B1126" i="2"/>
  <c r="B1042" i="2"/>
  <c r="B1051" i="2"/>
  <c r="B1053" i="2"/>
  <c r="B1055" i="2"/>
  <c r="B1125" i="2"/>
  <c r="B1062" i="2"/>
  <c r="B1134" i="2"/>
  <c r="AI356" i="2"/>
  <c r="C1007" i="2"/>
  <c r="B1052" i="2"/>
  <c r="B1071" i="2"/>
  <c r="B1076" i="2"/>
  <c r="B1075" i="2"/>
  <c r="B1063" i="2"/>
  <c r="B1065" i="2"/>
  <c r="B1085" i="2"/>
  <c r="S20" i="10"/>
  <c r="B1137" i="2"/>
  <c r="B1136" i="2"/>
  <c r="G365" i="2"/>
  <c r="B1068" i="2"/>
  <c r="B1111" i="2"/>
  <c r="B1117" i="2"/>
  <c r="B1103" i="2"/>
  <c r="B1091" i="2"/>
  <c r="B1119" i="2"/>
  <c r="B1120" i="2"/>
  <c r="S13" i="10"/>
  <c r="B1059" i="2"/>
  <c r="B1069" i="2"/>
  <c r="B1072" i="2"/>
  <c r="B1128" i="2"/>
  <c r="B1081" i="2"/>
  <c r="B1084" i="2"/>
  <c r="S83" i="10"/>
  <c r="B1060" i="2"/>
  <c r="B1038" i="2"/>
  <c r="M985" i="2" s="1"/>
  <c r="M983" i="2" s="1"/>
  <c r="B1054" i="2"/>
  <c r="B1090" i="2"/>
  <c r="B1058" i="2"/>
  <c r="B1102" i="2"/>
  <c r="B1066" i="2"/>
  <c r="B1064" i="2"/>
  <c r="B1099" i="2"/>
  <c r="B1108" i="2"/>
  <c r="B1132" i="2"/>
  <c r="B1131" i="2"/>
  <c r="B1040" i="2"/>
  <c r="B1045" i="2"/>
  <c r="B1046" i="2"/>
  <c r="B1101" i="2"/>
  <c r="Q86" i="2"/>
  <c r="R86" i="2" s="1"/>
  <c r="N1441" i="2"/>
  <c r="AJ1439" i="2" s="1"/>
  <c r="AN1439" i="2" s="1"/>
  <c r="AR1439" i="2" s="1"/>
  <c r="AJ353" i="2"/>
  <c r="AH353" i="2" s="1"/>
  <c r="AQ332" i="2"/>
  <c r="E356" i="2" s="1"/>
  <c r="D356" i="2" s="1"/>
  <c r="C356" i="2" s="1"/>
  <c r="Q44" i="16" s="1"/>
  <c r="O1436" i="2"/>
  <c r="AJ1429" i="2"/>
  <c r="AR1429" i="2"/>
  <c r="AZ1429" i="2" s="1"/>
  <c r="BH1429" i="2" s="1"/>
  <c r="S50" i="10"/>
  <c r="B1094" i="2"/>
  <c r="B1121" i="2"/>
  <c r="B1100" i="2"/>
  <c r="B1106" i="2"/>
  <c r="B1050" i="2"/>
  <c r="B1097" i="2"/>
  <c r="B1107" i="2"/>
  <c r="B1082" i="2"/>
  <c r="B1105" i="2"/>
  <c r="B1135" i="2"/>
  <c r="S29" i="10"/>
  <c r="B1130" i="2"/>
  <c r="B1067" i="2"/>
  <c r="B1080" i="2"/>
  <c r="AV329" i="2"/>
  <c r="AL358" i="2" s="1"/>
  <c r="D384" i="2" s="1"/>
  <c r="B384" i="2" s="1"/>
  <c r="C384" i="2" s="1"/>
  <c r="AV322" i="2"/>
  <c r="AL351" i="2" s="1"/>
  <c r="D377" i="2" s="1"/>
  <c r="B377" i="2" s="1"/>
  <c r="C377" i="2" s="1"/>
  <c r="B1057" i="2"/>
  <c r="B1073" i="2"/>
  <c r="B1095" i="2"/>
  <c r="B1092" i="2"/>
  <c r="B1078" i="2"/>
  <c r="B1093" i="2"/>
  <c r="B1110" i="2"/>
  <c r="S56" i="10"/>
  <c r="S28" i="10"/>
  <c r="S36" i="10"/>
  <c r="S15" i="10"/>
  <c r="B1044" i="2"/>
  <c r="B1086" i="2"/>
  <c r="B1049" i="2"/>
  <c r="L1061" i="2"/>
  <c r="M1061" i="2" s="1"/>
  <c r="Q997" i="2" s="1"/>
  <c r="R997" i="2" s="1"/>
  <c r="L824" i="2"/>
  <c r="M824" i="2" s="1"/>
  <c r="R764" i="2" s="1"/>
  <c r="S764" i="2" s="1"/>
  <c r="L1067" i="2"/>
  <c r="M1067" i="2" s="1"/>
  <c r="Q1003" i="2" s="1"/>
  <c r="R1003" i="2" s="1"/>
  <c r="L1060" i="2"/>
  <c r="M1060" i="2" s="1"/>
  <c r="Q996" i="2" s="1"/>
  <c r="R996" i="2" s="1"/>
  <c r="B1047" i="2"/>
  <c r="B1115" i="2"/>
  <c r="B1129" i="2"/>
  <c r="B1116" i="2"/>
  <c r="B1104" i="2"/>
  <c r="S32" i="10"/>
  <c r="S96" i="10"/>
  <c r="B1118" i="2"/>
  <c r="B1114" i="2"/>
  <c r="B1122" i="2"/>
  <c r="B1123" i="2"/>
  <c r="S61" i="10"/>
  <c r="B1039" i="2"/>
  <c r="S111" i="10"/>
  <c r="S110" i="10"/>
  <c r="B1109" i="2"/>
  <c r="B1127" i="2"/>
  <c r="Y44" i="2"/>
  <c r="L549" i="2"/>
  <c r="M549" i="2" s="1"/>
  <c r="B1061" i="2"/>
  <c r="B1133" i="2"/>
  <c r="B1048" i="2"/>
  <c r="B1041" i="2"/>
  <c r="B1074" i="2"/>
  <c r="B1079" i="2"/>
  <c r="B1098" i="2"/>
  <c r="B1113" i="2"/>
  <c r="B1124" i="2"/>
  <c r="S85" i="10"/>
  <c r="B1112" i="2"/>
  <c r="B1077" i="2"/>
  <c r="L1336" i="2"/>
  <c r="K7" i="15" s="1"/>
  <c r="P1348" i="2"/>
  <c r="R1348" i="2"/>
  <c r="Q1348" i="2"/>
  <c r="O1348" i="2"/>
  <c r="AV328" i="2"/>
  <c r="AL357" i="2" s="1"/>
  <c r="D383" i="2" s="1"/>
  <c r="B383" i="2" s="1"/>
  <c r="C383" i="2" s="1"/>
  <c r="AV323" i="2"/>
  <c r="AL352" i="2" s="1"/>
  <c r="D378" i="2" s="1"/>
  <c r="B378" i="2" s="1"/>
  <c r="C378" i="2" s="1"/>
  <c r="S23" i="10"/>
  <c r="S26" i="10"/>
  <c r="L821" i="2"/>
  <c r="M821" i="2" s="1"/>
  <c r="R761" i="2" s="1"/>
  <c r="S761" i="2" s="1"/>
  <c r="L829" i="2"/>
  <c r="M829" i="2" s="1"/>
  <c r="R769" i="2" s="1"/>
  <c r="S769" i="2" s="1"/>
  <c r="L823" i="2"/>
  <c r="M823" i="2" s="1"/>
  <c r="R763" i="2" s="1"/>
  <c r="S763" i="2" s="1"/>
  <c r="L837" i="2"/>
  <c r="M837" i="2" s="1"/>
  <c r="R777" i="2" s="1"/>
  <c r="S777" i="2" s="1"/>
  <c r="L835" i="2"/>
  <c r="M835" i="2" s="1"/>
  <c r="R775" i="2" s="1"/>
  <c r="S775" i="2" s="1"/>
  <c r="S16" i="10"/>
  <c r="L827" i="2"/>
  <c r="M827" i="2" s="1"/>
  <c r="R767" i="2" s="1"/>
  <c r="S767" i="2" s="1"/>
  <c r="S76" i="10"/>
  <c r="S84" i="10"/>
  <c r="L828" i="2"/>
  <c r="M828" i="2" s="1"/>
  <c r="BD767" i="2" s="1"/>
  <c r="BE767" i="2" s="1"/>
  <c r="S93" i="10"/>
  <c r="AW329" i="2"/>
  <c r="S67" i="10"/>
  <c r="S92" i="10"/>
  <c r="S9" i="10"/>
  <c r="S6" i="10"/>
  <c r="S3" i="10"/>
  <c r="S102" i="10"/>
  <c r="AW322" i="2"/>
  <c r="CV1545" i="2" a="1"/>
  <c r="CV1545" i="2" s="1"/>
  <c r="CW1545" i="2" s="1"/>
  <c r="L830" i="2"/>
  <c r="M830" i="2" s="1"/>
  <c r="R770" i="2" s="1"/>
  <c r="S770" i="2" s="1"/>
  <c r="L836" i="2"/>
  <c r="M836" i="2" s="1"/>
  <c r="R776" i="2" s="1"/>
  <c r="S776" i="2" s="1"/>
  <c r="E335" i="2"/>
  <c r="D333" i="2" s="1"/>
  <c r="L324" i="2" s="1"/>
  <c r="C1006" i="2"/>
  <c r="D361" i="2"/>
  <c r="C361" i="2" s="1"/>
  <c r="Q28" i="16" s="1"/>
  <c r="L1058" i="2"/>
  <c r="L1062" i="2"/>
  <c r="M1062" i="2" s="1"/>
  <c r="Q998" i="2" s="1"/>
  <c r="R998" i="2" s="1"/>
  <c r="S106" i="10"/>
  <c r="S80" i="10"/>
  <c r="S7" i="10"/>
  <c r="S65" i="10"/>
  <c r="S45" i="10"/>
  <c r="S94" i="10"/>
  <c r="S55" i="10"/>
  <c r="AW326" i="2"/>
  <c r="L817" i="2"/>
  <c r="CV1534" i="2" a="1"/>
  <c r="CV1534" i="2" s="1"/>
  <c r="CW1534" i="2" s="1"/>
  <c r="S63" i="10"/>
  <c r="S107" i="10"/>
  <c r="C1005" i="2"/>
  <c r="S62" i="10"/>
  <c r="CV1508" i="2" a="1"/>
  <c r="CV1508" i="2" s="1"/>
  <c r="CW1508" i="2" s="1"/>
  <c r="Q336" i="2"/>
  <c r="Z90" i="2"/>
  <c r="M58" i="2" s="1"/>
  <c r="AA999" i="2"/>
  <c r="AA1005" i="2"/>
  <c r="AA1007" i="2" s="1"/>
  <c r="AA1009" i="2" s="1"/>
  <c r="S43" i="10"/>
  <c r="S42" i="10"/>
  <c r="S22" i="10"/>
  <c r="S51" i="10"/>
  <c r="AI354" i="2"/>
  <c r="L818" i="2"/>
  <c r="H60" i="2"/>
  <c r="D1011" i="2"/>
  <c r="C1011" i="2" s="1"/>
  <c r="C28" i="17" s="1"/>
  <c r="L820" i="2"/>
  <c r="B1205" i="2"/>
  <c r="I1286" i="2" s="1"/>
  <c r="J1286" i="2" s="1"/>
  <c r="C21" i="17"/>
  <c r="A1265" i="2" s="1"/>
  <c r="L831" i="2"/>
  <c r="M831" i="2" s="1"/>
  <c r="BH333" i="2"/>
  <c r="BI333" i="2" s="1"/>
  <c r="R337" i="2" s="1"/>
  <c r="Q337" i="2" s="1"/>
  <c r="BB336" i="2"/>
  <c r="L834" i="2"/>
  <c r="M834" i="2" s="1"/>
  <c r="R774" i="2" s="1"/>
  <c r="S774" i="2" s="1"/>
  <c r="S86" i="10"/>
  <c r="S12" i="10"/>
  <c r="H361" i="2"/>
  <c r="G361" i="2" s="1"/>
  <c r="AB28" i="16" s="1"/>
  <c r="G364" i="2"/>
  <c r="S88" i="10"/>
  <c r="S75" i="10"/>
  <c r="S105" i="10"/>
  <c r="S34" i="10"/>
  <c r="L1066" i="2"/>
  <c r="M1066" i="2" s="1"/>
  <c r="Q1002" i="2" s="1"/>
  <c r="R1002" i="2" s="1"/>
  <c r="L826" i="2"/>
  <c r="M826" i="2" s="1"/>
  <c r="R766" i="2" s="1"/>
  <c r="S766" i="2" s="1"/>
  <c r="Y1054" i="2"/>
  <c r="Y1058" i="2"/>
  <c r="L1063" i="2"/>
  <c r="M1063" i="2" s="1"/>
  <c r="Q999" i="2" s="1"/>
  <c r="R999" i="2" s="1"/>
  <c r="C365" i="2"/>
  <c r="S35" i="10"/>
  <c r="S104" i="10"/>
  <c r="S2" i="10"/>
  <c r="CV1521" i="2" a="1"/>
  <c r="CV1521" i="2" s="1"/>
  <c r="CW1521" i="2" s="1"/>
  <c r="S89" i="2"/>
  <c r="T89" i="2" s="1"/>
  <c r="L825" i="2"/>
  <c r="M825" i="2" s="1"/>
  <c r="R765" i="2" s="1"/>
  <c r="S765" i="2" s="1"/>
  <c r="L816" i="2"/>
  <c r="L832" i="2"/>
  <c r="M832" i="2" s="1"/>
  <c r="L822" i="2"/>
  <c r="M822" i="2" s="1"/>
  <c r="R762" i="2" s="1"/>
  <c r="S762" i="2" s="1"/>
  <c r="J283" i="2"/>
  <c r="B810" i="2"/>
  <c r="J285" i="2"/>
  <c r="U88" i="2"/>
  <c r="V88" i="2" s="1"/>
  <c r="S86" i="2"/>
  <c r="T86" i="2" s="1"/>
  <c r="Q89" i="2"/>
  <c r="R89" i="2" s="1"/>
  <c r="U89" i="2"/>
  <c r="V89" i="2" s="1"/>
  <c r="U86" i="2"/>
  <c r="V86" i="2" s="1"/>
  <c r="H59" i="2"/>
  <c r="Q88" i="2"/>
  <c r="R88" i="2" s="1"/>
  <c r="F70" i="2"/>
  <c r="K20" i="10" s="1"/>
  <c r="H70" i="2"/>
  <c r="L99" i="10" s="1"/>
  <c r="D70" i="2"/>
  <c r="J12" i="10" s="1"/>
  <c r="B70" i="2"/>
  <c r="I62" i="10" s="1"/>
  <c r="C1015" i="2"/>
  <c r="W88" i="2"/>
  <c r="X88" i="2" s="1"/>
  <c r="F1080" i="2" a="1"/>
  <c r="F1080" i="2" s="1"/>
  <c r="F1044" i="2" a="1"/>
  <c r="F1044" i="2" s="1"/>
  <c r="F1069" i="2" a="1"/>
  <c r="F1069" i="2" s="1"/>
  <c r="M1252" i="2" a="1"/>
  <c r="M1252" i="2" s="1"/>
  <c r="F1058" i="2" a="1"/>
  <c r="F1058" i="2" s="1"/>
  <c r="I40" i="10"/>
  <c r="U87" i="2"/>
  <c r="V87" i="2" s="1"/>
  <c r="Q87" i="2"/>
  <c r="R87" i="2" s="1"/>
  <c r="W87" i="2"/>
  <c r="X87" i="2" s="1"/>
  <c r="S87" i="2"/>
  <c r="T87" i="2" s="1"/>
  <c r="CV1555" i="2" a="1"/>
  <c r="CV1555" i="2" s="1"/>
  <c r="CW1555" i="2" s="1"/>
  <c r="CV1518" i="2" a="1"/>
  <c r="CV1518" i="2" s="1"/>
  <c r="CW1518" i="2" s="1"/>
  <c r="F1067" i="2" a="1"/>
  <c r="F1067" i="2" s="1"/>
  <c r="F1082" i="2" a="1"/>
  <c r="F1082" i="2" s="1"/>
  <c r="CV1542" i="2" a="1"/>
  <c r="CV1542" i="2" s="1"/>
  <c r="CW1542" i="2" s="1"/>
  <c r="CV1560" i="2" a="1"/>
  <c r="CV1560" i="2" s="1"/>
  <c r="CW1560" i="2" s="1"/>
  <c r="C757" i="2"/>
  <c r="D756" i="2"/>
  <c r="CV1533" i="2" a="1"/>
  <c r="CV1533" i="2" s="1"/>
  <c r="CW1533" i="2" s="1"/>
  <c r="CV1561" i="2" a="1"/>
  <c r="CV1561" i="2" s="1"/>
  <c r="CW1561" i="2" s="1"/>
  <c r="CV1547" i="2" a="1"/>
  <c r="CV1547" i="2" s="1"/>
  <c r="CW1547" i="2" s="1"/>
  <c r="CV1544" i="2" a="1"/>
  <c r="CV1544" i="2" s="1"/>
  <c r="CW1544" i="2" s="1"/>
  <c r="CV1549" i="2" a="1"/>
  <c r="CV1549" i="2" s="1"/>
  <c r="CW1549" i="2" s="1"/>
  <c r="CV1551" i="2" a="1"/>
  <c r="CV1551" i="2" s="1"/>
  <c r="CW1551" i="2" s="1"/>
  <c r="CV1516" i="2" a="1"/>
  <c r="CV1516" i="2" s="1"/>
  <c r="CW1516" i="2" s="1"/>
  <c r="CV1517" i="2" a="1"/>
  <c r="CV1517" i="2" s="1"/>
  <c r="CW1517" i="2" s="1"/>
  <c r="S14" i="10"/>
  <c r="S100" i="10"/>
  <c r="S109" i="10"/>
  <c r="S95" i="10"/>
  <c r="S112" i="10"/>
  <c r="S82" i="10"/>
  <c r="C1013" i="2"/>
  <c r="S68" i="10"/>
  <c r="S38" i="10"/>
  <c r="S30" i="10"/>
  <c r="AV327" i="2"/>
  <c r="AL356" i="2" s="1"/>
  <c r="D382" i="2" s="1"/>
  <c r="B382" i="2" s="1"/>
  <c r="C382" i="2" s="1"/>
  <c r="L113" i="2" a="1"/>
  <c r="L113" i="2" s="1"/>
  <c r="L72" i="2" a="1"/>
  <c r="L72" i="2" s="1"/>
  <c r="L79" i="2" a="1"/>
  <c r="L79" i="2" s="1"/>
  <c r="L87" i="2" a="1"/>
  <c r="L87" i="2" s="1"/>
  <c r="L95" i="2" a="1"/>
  <c r="L95" i="2" s="1"/>
  <c r="L103" i="2" a="1"/>
  <c r="L103" i="2" s="1"/>
  <c r="L111" i="2" a="1"/>
  <c r="L111" i="2" s="1"/>
  <c r="L80" i="2" a="1"/>
  <c r="L80" i="2" s="1"/>
  <c r="L114" i="2" a="1"/>
  <c r="L114" i="2" s="1"/>
  <c r="L73" i="2" a="1"/>
  <c r="L73" i="2" s="1"/>
  <c r="L81" i="2" a="1"/>
  <c r="L81" i="2" s="1"/>
  <c r="L89" i="2" a="1"/>
  <c r="L89" i="2" s="1"/>
  <c r="L97" i="2" a="1"/>
  <c r="L97" i="2" s="1"/>
  <c r="L105" i="2" a="1"/>
  <c r="L105" i="2" s="1"/>
  <c r="L74" i="2" a="1"/>
  <c r="L74" i="2" s="1"/>
  <c r="L82" i="2" a="1"/>
  <c r="L82" i="2" s="1"/>
  <c r="L90" i="2" a="1"/>
  <c r="L90" i="2" s="1"/>
  <c r="L98" i="2" a="1"/>
  <c r="L98" i="2" s="1"/>
  <c r="L106" i="2" a="1"/>
  <c r="L106" i="2" s="1"/>
  <c r="L78" i="2" a="1"/>
  <c r="L78" i="2" s="1"/>
  <c r="L93" i="2" a="1"/>
  <c r="L93" i="2" s="1"/>
  <c r="L107" i="2" a="1"/>
  <c r="L107" i="2" s="1"/>
  <c r="L83" i="2" a="1"/>
  <c r="L83" i="2" s="1"/>
  <c r="L94" i="2" a="1"/>
  <c r="L94" i="2" s="1"/>
  <c r="L108" i="2" a="1"/>
  <c r="L108" i="2" s="1"/>
  <c r="L84" i="2" a="1"/>
  <c r="L84" i="2" s="1"/>
  <c r="L100" i="2" a="1"/>
  <c r="L100" i="2" s="1"/>
  <c r="L85" i="2" a="1"/>
  <c r="L85" i="2" s="1"/>
  <c r="L101" i="2" a="1"/>
  <c r="L101" i="2" s="1"/>
  <c r="O1134" i="2" a="1"/>
  <c r="O1134" i="2" s="1"/>
  <c r="O1039" i="2" a="1"/>
  <c r="O1039" i="2" s="1"/>
  <c r="O893" i="2" a="1"/>
  <c r="O893" i="2" s="1"/>
  <c r="L86" i="2" a="1"/>
  <c r="L86" i="2" s="1"/>
  <c r="L102" i="2" a="1"/>
  <c r="L102" i="2" s="1"/>
  <c r="N1057" i="2" a="1"/>
  <c r="N1057" i="2" s="1"/>
  <c r="O897" i="2" a="1"/>
  <c r="O897" i="2" s="1"/>
  <c r="O131" i="2" a="1"/>
  <c r="O131" i="2" s="1"/>
  <c r="L71" i="2" a="1"/>
  <c r="L71" i="2" s="1"/>
  <c r="L88" i="2" a="1"/>
  <c r="L88" i="2" s="1"/>
  <c r="L104" i="2" a="1"/>
  <c r="L104" i="2" s="1"/>
  <c r="O1137" i="2" a="1"/>
  <c r="O1137" i="2" s="1"/>
  <c r="L109" i="2" a="1"/>
  <c r="L109" i="2" s="1"/>
  <c r="O136" i="2" a="1"/>
  <c r="O136" i="2" s="1"/>
  <c r="O120" i="2" a="1"/>
  <c r="O120" i="2" s="1"/>
  <c r="O121" i="2" a="1"/>
  <c r="O121" i="2" s="1"/>
  <c r="L75" i="2" a="1"/>
  <c r="L75" i="2" s="1"/>
  <c r="L110" i="2" a="1"/>
  <c r="L110" i="2" s="1"/>
  <c r="O1135" i="2" a="1"/>
  <c r="O1135" i="2" s="1"/>
  <c r="O896" i="2" a="1"/>
  <c r="O896" i="2" s="1"/>
  <c r="O126" i="2" a="1"/>
  <c r="O126" i="2" s="1"/>
  <c r="O169" i="2" a="1"/>
  <c r="O169" i="2" s="1"/>
  <c r="O128" i="2" a="1"/>
  <c r="O128" i="2" s="1"/>
  <c r="L96" i="2" a="1"/>
  <c r="L96" i="2" s="1"/>
  <c r="O894" i="2" a="1"/>
  <c r="O894" i="2" s="1"/>
  <c r="O122" i="2" a="1"/>
  <c r="O122" i="2" s="1"/>
  <c r="O129" i="2" a="1"/>
  <c r="O129" i="2" s="1"/>
  <c r="L99" i="2" a="1"/>
  <c r="L99" i="2" s="1"/>
  <c r="O1133" i="2" a="1"/>
  <c r="O1133" i="2" s="1"/>
  <c r="O125" i="2" a="1"/>
  <c r="O125" i="2" s="1"/>
  <c r="O119" i="2" a="1"/>
  <c r="O119" i="2" s="1"/>
  <c r="L112" i="2" a="1"/>
  <c r="L112" i="2" s="1"/>
  <c r="O799" i="2" a="1"/>
  <c r="O799" i="2" s="1"/>
  <c r="O166" i="2" a="1"/>
  <c r="O166" i="2" s="1"/>
  <c r="O134" i="2" a="1"/>
  <c r="O134" i="2" s="1"/>
  <c r="L92" i="2" a="1"/>
  <c r="L92" i="2" s="1"/>
  <c r="O135" i="2" a="1"/>
  <c r="O135" i="2" s="1"/>
  <c r="O170" i="2" a="1"/>
  <c r="O170" i="2" s="1"/>
  <c r="O1132" i="2" a="1"/>
  <c r="O1132" i="2" s="1"/>
  <c r="O168" i="2" a="1"/>
  <c r="O168" i="2" s="1"/>
  <c r="O167" i="2" a="1"/>
  <c r="O167" i="2" s="1"/>
  <c r="O123" i="2" a="1"/>
  <c r="O123" i="2" s="1"/>
  <c r="L76" i="2" a="1"/>
  <c r="L76" i="2" s="1"/>
  <c r="O892" i="2" a="1"/>
  <c r="O892" i="2" s="1"/>
  <c r="O124" i="2" a="1"/>
  <c r="O124" i="2" s="1"/>
  <c r="O132" i="2" a="1"/>
  <c r="O132" i="2" s="1"/>
  <c r="O165" i="2" a="1"/>
  <c r="O165" i="2" s="1"/>
  <c r="O133" i="2" a="1"/>
  <c r="O133" i="2" s="1"/>
  <c r="L77" i="2" a="1"/>
  <c r="L77" i="2" s="1"/>
  <c r="O1136" i="2" a="1"/>
  <c r="O1136" i="2" s="1"/>
  <c r="O895" i="2" a="1"/>
  <c r="O895" i="2" s="1"/>
  <c r="O127" i="2" a="1"/>
  <c r="O127" i="2" s="1"/>
  <c r="L91" i="2" a="1"/>
  <c r="L91" i="2" s="1"/>
  <c r="O130" i="2" a="1"/>
  <c r="O130" i="2" s="1"/>
  <c r="L81" i="10"/>
  <c r="L18" i="10"/>
  <c r="AG996" i="2"/>
  <c r="AH996" i="2" s="1"/>
  <c r="D991" i="2" s="1"/>
  <c r="M1245" i="2" a="1"/>
  <c r="M1245" i="2" s="1"/>
  <c r="F1065" i="2" a="1"/>
  <c r="F1065" i="2" s="1"/>
  <c r="F1076" i="2" a="1"/>
  <c r="F1076" i="2" s="1"/>
  <c r="AD53" i="2"/>
  <c r="AK52" i="2" s="1"/>
  <c r="AL52" i="2" s="1"/>
  <c r="Y49" i="2" s="1"/>
  <c r="X49" i="2" s="1"/>
  <c r="AK50" i="2"/>
  <c r="AL50" i="2" s="1"/>
  <c r="Y48" i="2" s="1"/>
  <c r="CV1536" i="2" a="1"/>
  <c r="CV1536" i="2" s="1"/>
  <c r="CW1536" i="2" s="1"/>
  <c r="CV1515" i="2" a="1"/>
  <c r="CV1515" i="2" s="1"/>
  <c r="CW1515" i="2" s="1"/>
  <c r="CV1543" i="2" a="1"/>
  <c r="CV1543" i="2" s="1"/>
  <c r="CW1543" i="2" s="1"/>
  <c r="CV1511" i="2" a="1"/>
  <c r="CV1511" i="2" s="1"/>
  <c r="CW1511" i="2" s="1"/>
  <c r="AB754" i="2"/>
  <c r="AF751" i="2"/>
  <c r="AG751" i="2" s="1"/>
  <c r="D759" i="2" s="1"/>
  <c r="C759" i="2" s="1"/>
  <c r="L51" i="10"/>
  <c r="CV1505" i="2" a="1"/>
  <c r="CV1505" i="2" s="1"/>
  <c r="CW1505" i="2" s="1"/>
  <c r="CV1553" i="2" a="1"/>
  <c r="CV1553" i="2" s="1"/>
  <c r="CW1553" i="2" s="1"/>
  <c r="CV1548" i="2" a="1"/>
  <c r="CV1548" i="2" s="1"/>
  <c r="CW1548" i="2" s="1"/>
  <c r="S25" i="10"/>
  <c r="F1047" i="2" a="1"/>
  <c r="F1047" i="2" s="1"/>
  <c r="F1063" i="2" a="1"/>
  <c r="F1063" i="2" s="1"/>
  <c r="F1081" i="2" a="1"/>
  <c r="F1081" i="2" s="1"/>
  <c r="F1048" i="2" a="1"/>
  <c r="F1048" i="2" s="1"/>
  <c r="F1064" i="2" a="1"/>
  <c r="F1064" i="2" s="1"/>
  <c r="F1083" i="2" a="1"/>
  <c r="F1083" i="2" s="1"/>
  <c r="F1049" i="2" a="1"/>
  <c r="F1049" i="2" s="1"/>
  <c r="F1070" i="2" a="1"/>
  <c r="F1070" i="2" s="1"/>
  <c r="F1040" i="2" a="1"/>
  <c r="F1040" i="2" s="1"/>
  <c r="F1062" i="2" a="1"/>
  <c r="F1062" i="2" s="1"/>
  <c r="M1240" i="2" a="1"/>
  <c r="M1240" i="2" s="1"/>
  <c r="M1233" i="2" a="1"/>
  <c r="M1233" i="2" s="1"/>
  <c r="M1250" i="2" a="1"/>
  <c r="M1250" i="2" s="1"/>
  <c r="M1238" i="2" a="1"/>
  <c r="M1238" i="2" s="1"/>
  <c r="M1217" i="2" a="1"/>
  <c r="M1217" i="2" s="1"/>
  <c r="F1071" i="2" a="1"/>
  <c r="F1071" i="2" s="1"/>
  <c r="M1216" i="2" a="1"/>
  <c r="M1216" i="2" s="1"/>
  <c r="M1246" i="2" a="1"/>
  <c r="M1246" i="2" s="1"/>
  <c r="M1253" i="2" a="1"/>
  <c r="M1253" i="2" s="1"/>
  <c r="M1255" i="2" a="1"/>
  <c r="M1255" i="2" s="1"/>
  <c r="F1046" i="2" a="1"/>
  <c r="F1046" i="2" s="1"/>
  <c r="F1078" i="2" a="1"/>
  <c r="F1078" i="2" s="1"/>
  <c r="M1226" i="2" a="1"/>
  <c r="M1226" i="2" s="1"/>
  <c r="M1258" i="2" a="1"/>
  <c r="M1258" i="2" s="1"/>
  <c r="F1051" i="2" a="1"/>
  <c r="F1051" i="2" s="1"/>
  <c r="M1259" i="2" a="1"/>
  <c r="M1259" i="2" s="1"/>
  <c r="M1244" i="2" a="1"/>
  <c r="M1244" i="2" s="1"/>
  <c r="M1225" i="2" a="1"/>
  <c r="M1225" i="2" s="1"/>
  <c r="M1235" i="2" a="1"/>
  <c r="M1235" i="2" s="1"/>
  <c r="F1056" i="2" a="1"/>
  <c r="F1056" i="2" s="1"/>
  <c r="M1222" i="2" a="1"/>
  <c r="M1222" i="2" s="1"/>
  <c r="M1231" i="2" a="1"/>
  <c r="M1231" i="2" s="1"/>
  <c r="F1057" i="2" a="1"/>
  <c r="F1057" i="2" s="1"/>
  <c r="F1059" i="2" a="1"/>
  <c r="F1059" i="2" s="1"/>
  <c r="M1237" i="2" a="1"/>
  <c r="M1237" i="2" s="1"/>
  <c r="M1257" i="2" a="1"/>
  <c r="M1257" i="2" s="1"/>
  <c r="M1251" i="2" a="1"/>
  <c r="M1251" i="2" s="1"/>
  <c r="F1072" i="2" a="1"/>
  <c r="F1072" i="2" s="1"/>
  <c r="M1236" i="2" a="1"/>
  <c r="M1236" i="2" s="1"/>
  <c r="M1242" i="2" a="1"/>
  <c r="M1242" i="2" s="1"/>
  <c r="M1243" i="2" a="1"/>
  <c r="M1243" i="2" s="1"/>
  <c r="M1239" i="2" a="1"/>
  <c r="M1239" i="2" s="1"/>
  <c r="M1227" i="2" a="1"/>
  <c r="M1227" i="2" s="1"/>
  <c r="F1073" i="2" a="1"/>
  <c r="F1073" i="2" s="1"/>
  <c r="M1221" i="2" a="1"/>
  <c r="M1221" i="2" s="1"/>
  <c r="M1218" i="2" a="1"/>
  <c r="M1218" i="2" s="1"/>
  <c r="M1254" i="2" a="1"/>
  <c r="M1254" i="2" s="1"/>
  <c r="F1043" i="2" a="1"/>
  <c r="F1043" i="2" s="1"/>
  <c r="M1256" i="2" a="1"/>
  <c r="M1256" i="2" s="1"/>
  <c r="M1248" i="2" a="1"/>
  <c r="M1248" i="2" s="1"/>
  <c r="M1223" i="2" a="1"/>
  <c r="M1223" i="2" s="1"/>
  <c r="M1247" i="2" a="1"/>
  <c r="M1247" i="2" s="1"/>
  <c r="M1224" i="2" a="1"/>
  <c r="M1224" i="2" s="1"/>
  <c r="F1075" i="2" a="1"/>
  <c r="F1075" i="2" s="1"/>
  <c r="F1061" i="2" a="1"/>
  <c r="F1061" i="2" s="1"/>
  <c r="CV1558" i="2" a="1"/>
  <c r="CV1558" i="2" s="1"/>
  <c r="CW1558" i="2" s="1"/>
  <c r="CV1507" i="2" a="1"/>
  <c r="CV1507" i="2" s="1"/>
  <c r="CW1507" i="2" s="1"/>
  <c r="S46" i="10"/>
  <c r="CV1535" i="2" a="1"/>
  <c r="CV1535" i="2" s="1"/>
  <c r="CW1535" i="2" s="1"/>
  <c r="CV1550" i="2" a="1"/>
  <c r="CV1550" i="2" s="1"/>
  <c r="CW1550" i="2" s="1"/>
  <c r="S79" i="10"/>
  <c r="S49" i="10"/>
  <c r="D1002" i="2"/>
  <c r="D1003" i="2"/>
  <c r="S77" i="10"/>
  <c r="S74" i="10"/>
  <c r="S57" i="10"/>
  <c r="S27" i="10"/>
  <c r="S40" i="10"/>
  <c r="S54" i="10"/>
  <c r="S10" i="10"/>
  <c r="S11" i="10"/>
  <c r="L49" i="10"/>
  <c r="M1229" i="2" a="1"/>
  <c r="M1229" i="2" s="1"/>
  <c r="M1234" i="2" a="1"/>
  <c r="M1234" i="2" s="1"/>
  <c r="F1054" i="2" a="1"/>
  <c r="F1054" i="2" s="1"/>
  <c r="F1068" i="2" a="1"/>
  <c r="F1068" i="2" s="1"/>
  <c r="F1050" i="2" a="1"/>
  <c r="F1050" i="2" s="1"/>
  <c r="AD65" i="2"/>
  <c r="AG56" i="2"/>
  <c r="AH56" i="2" s="1"/>
  <c r="I58" i="2" s="1"/>
  <c r="I56" i="2" s="1"/>
  <c r="H56" i="2" s="1"/>
  <c r="C31" i="1" s="1"/>
  <c r="CV1506" i="2" a="1"/>
  <c r="CV1506" i="2" s="1"/>
  <c r="CW1506" i="2" s="1"/>
  <c r="CV1532" i="2" a="1"/>
  <c r="CV1532" i="2" s="1"/>
  <c r="CW1532" i="2" s="1"/>
  <c r="CV1527" i="2" a="1"/>
  <c r="CV1527" i="2" s="1"/>
  <c r="CW1527" i="2" s="1"/>
  <c r="CV1559" i="2" a="1"/>
  <c r="CV1559" i="2" s="1"/>
  <c r="CW1559" i="2" s="1"/>
  <c r="CV1538" i="2" a="1"/>
  <c r="CV1538" i="2" s="1"/>
  <c r="CW1538" i="2" s="1"/>
  <c r="CV1520" i="2" a="1"/>
  <c r="CV1520" i="2" s="1"/>
  <c r="CW1520" i="2" s="1"/>
  <c r="CV1557" i="2" a="1"/>
  <c r="CV1557" i="2" s="1"/>
  <c r="CW1557" i="2" s="1"/>
  <c r="CV1530" i="2" a="1"/>
  <c r="CV1530" i="2" s="1"/>
  <c r="CW1530" i="2" s="1"/>
  <c r="F1055" i="2" a="1"/>
  <c r="F1055" i="2" s="1"/>
  <c r="F1074" i="2" a="1"/>
  <c r="F1074" i="2" s="1"/>
  <c r="CV1529" i="2" a="1"/>
  <c r="CV1529" i="2" s="1"/>
  <c r="CW1529" i="2" s="1"/>
  <c r="S53" i="10"/>
  <c r="F838" i="2" a="1"/>
  <c r="F838" i="2" s="1"/>
  <c r="F836" i="2" a="1"/>
  <c r="F836" i="2" s="1"/>
  <c r="F824" i="2" a="1"/>
  <c r="F824" i="2" s="1"/>
  <c r="F834" i="2" a="1"/>
  <c r="F834" i="2" s="1"/>
  <c r="F819" i="2" a="1"/>
  <c r="F819" i="2" s="1"/>
  <c r="F840" i="2" a="1"/>
  <c r="F840" i="2" s="1"/>
  <c r="F810" i="2" a="1"/>
  <c r="F810" i="2" s="1"/>
  <c r="F811" i="2" a="1"/>
  <c r="F811" i="2" s="1"/>
  <c r="F816" i="2" a="1"/>
  <c r="F816" i="2" s="1"/>
  <c r="F839" i="2" a="1"/>
  <c r="F839" i="2" s="1"/>
  <c r="F813" i="2" a="1"/>
  <c r="F813" i="2" s="1"/>
  <c r="F820" i="2" a="1"/>
  <c r="F820" i="2" s="1"/>
  <c r="F808" i="2" a="1"/>
  <c r="F808" i="2" s="1"/>
  <c r="F812" i="2" a="1"/>
  <c r="F812" i="2" s="1"/>
  <c r="F842" i="2" a="1"/>
  <c r="F842" i="2" s="1"/>
  <c r="F835" i="2" a="1"/>
  <c r="F835" i="2" s="1"/>
  <c r="F803" i="2" a="1"/>
  <c r="F803" i="2" s="1"/>
  <c r="F809" i="2" a="1"/>
  <c r="F809" i="2" s="1"/>
  <c r="F801" i="2" a="1"/>
  <c r="F801" i="2" s="1"/>
  <c r="F804" i="2" a="1"/>
  <c r="F804" i="2" s="1"/>
  <c r="F821" i="2" a="1"/>
  <c r="F821" i="2" s="1"/>
  <c r="F826" i="2" a="1"/>
  <c r="F826" i="2" s="1"/>
  <c r="F814" i="2" a="1"/>
  <c r="F814" i="2" s="1"/>
  <c r="F806" i="2" a="1"/>
  <c r="F806" i="2" s="1"/>
  <c r="F828" i="2" a="1"/>
  <c r="F828" i="2" s="1"/>
  <c r="F807" i="2" a="1"/>
  <c r="F807" i="2" s="1"/>
  <c r="F802" i="2" a="1"/>
  <c r="F802" i="2" s="1"/>
  <c r="F841" i="2" a="1"/>
  <c r="F841" i="2" s="1"/>
  <c r="F831" i="2" a="1"/>
  <c r="F831" i="2" s="1"/>
  <c r="F818" i="2" a="1"/>
  <c r="F818" i="2" s="1"/>
  <c r="F817" i="2" a="1"/>
  <c r="F817" i="2" s="1"/>
  <c r="F800" i="2" a="1"/>
  <c r="F800" i="2" s="1"/>
  <c r="F843" i="2" a="1"/>
  <c r="F843" i="2" s="1"/>
  <c r="F829" i="2" a="1"/>
  <c r="F829" i="2" s="1"/>
  <c r="F827" i="2" a="1"/>
  <c r="F827" i="2" s="1"/>
  <c r="F832" i="2" a="1"/>
  <c r="F832" i="2" s="1"/>
  <c r="F815" i="2" a="1"/>
  <c r="F815" i="2" s="1"/>
  <c r="F830" i="2" a="1"/>
  <c r="F830" i="2" s="1"/>
  <c r="F825" i="2" a="1"/>
  <c r="F825" i="2" s="1"/>
  <c r="F837" i="2" a="1"/>
  <c r="F837" i="2" s="1"/>
  <c r="F823" i="2" a="1"/>
  <c r="F823" i="2" s="1"/>
  <c r="F805" i="2" a="1"/>
  <c r="F805" i="2" s="1"/>
  <c r="F822" i="2" a="1"/>
  <c r="F822" i="2" s="1"/>
  <c r="F833" i="2" a="1"/>
  <c r="F833" i="2" s="1"/>
  <c r="L23" i="10"/>
  <c r="M1219" i="2" a="1"/>
  <c r="M1219" i="2" s="1"/>
  <c r="F1045" i="2" a="1"/>
  <c r="F1045" i="2" s="1"/>
  <c r="CV1546" i="2" a="1"/>
  <c r="CV1546" i="2" s="1"/>
  <c r="CW1546" i="2" s="1"/>
  <c r="S72" i="10"/>
  <c r="S58" i="10"/>
  <c r="S33" i="10"/>
  <c r="S5" i="10"/>
  <c r="S64" i="10"/>
  <c r="S59" i="10"/>
  <c r="S98" i="10"/>
  <c r="L66" i="10"/>
  <c r="CV1504" i="2" a="1"/>
  <c r="CV1504" i="2" s="1"/>
  <c r="CV1513" i="2" a="1"/>
  <c r="CV1513" i="2" s="1"/>
  <c r="CW1513" i="2" s="1"/>
  <c r="CV1554" i="2" a="1"/>
  <c r="CV1554" i="2" s="1"/>
  <c r="CW1554" i="2" s="1"/>
  <c r="CV1519" i="2" a="1"/>
  <c r="CV1519" i="2" s="1"/>
  <c r="CW1519" i="2" s="1"/>
  <c r="L68" i="10"/>
  <c r="M679" i="2"/>
  <c r="V682" i="2" s="1"/>
  <c r="G382" i="2" s="1"/>
  <c r="M677" i="2"/>
  <c r="V680" i="2" s="1"/>
  <c r="G380" i="2" s="1"/>
  <c r="M678" i="2"/>
  <c r="V681" i="2" s="1"/>
  <c r="G381" i="2" s="1"/>
  <c r="M680" i="2"/>
  <c r="V683" i="2" s="1"/>
  <c r="G383" i="2" s="1"/>
  <c r="M675" i="2"/>
  <c r="V678" i="2" s="1"/>
  <c r="G378" i="2" s="1"/>
  <c r="M674" i="2"/>
  <c r="V677" i="2" s="1"/>
  <c r="G377" i="2" s="1"/>
  <c r="M676" i="2"/>
  <c r="V679" i="2" s="1"/>
  <c r="G379" i="2" s="1"/>
  <c r="M681" i="2"/>
  <c r="V684" i="2" s="1"/>
  <c r="G384" i="2" s="1"/>
  <c r="M682" i="2"/>
  <c r="L29" i="10"/>
  <c r="R573" i="2" a="1"/>
  <c r="R573" i="2" s="1"/>
  <c r="O477" i="2" a="1"/>
  <c r="O477" i="2" s="1"/>
  <c r="R591" i="2" a="1"/>
  <c r="R591" i="2" s="1"/>
  <c r="O451" i="2" a="1"/>
  <c r="O451" i="2" s="1"/>
  <c r="R602" i="2" a="1"/>
  <c r="R602" i="2" s="1"/>
  <c r="R563" i="2" a="1"/>
  <c r="R563" i="2" s="1"/>
  <c r="R576" i="2" a="1"/>
  <c r="R576" i="2" s="1"/>
  <c r="O461" i="2" a="1"/>
  <c r="O461" i="2" s="1"/>
  <c r="R585" i="2" a="1"/>
  <c r="R585" i="2" s="1"/>
  <c r="R572" i="2" a="1"/>
  <c r="R572" i="2" s="1"/>
  <c r="O476" i="2" a="1"/>
  <c r="O476" i="2" s="1"/>
  <c r="O450" i="2" a="1"/>
  <c r="O450" i="2" s="1"/>
  <c r="R577" i="2" a="1"/>
  <c r="R577" i="2" s="1"/>
  <c r="R574" i="2" a="1"/>
  <c r="R574" i="2" s="1"/>
  <c r="O465" i="2" a="1"/>
  <c r="O465" i="2" s="1"/>
  <c r="O480" i="2" a="1"/>
  <c r="O480" i="2" s="1"/>
  <c r="O459" i="2" a="1"/>
  <c r="O459" i="2" s="1"/>
  <c r="R583" i="2" a="1"/>
  <c r="R583" i="2" s="1"/>
  <c r="O489" i="2" a="1"/>
  <c r="O489" i="2" s="1"/>
  <c r="O469" i="2" a="1"/>
  <c r="O469" i="2" s="1"/>
  <c r="O449" i="2" a="1"/>
  <c r="O449" i="2" s="1"/>
  <c r="R580" i="2" a="1"/>
  <c r="R580" i="2" s="1"/>
  <c r="O483" i="2" a="1"/>
  <c r="O483" i="2" s="1"/>
  <c r="O455" i="2" a="1"/>
  <c r="O455" i="2" s="1"/>
  <c r="R581" i="2" a="1"/>
  <c r="R581" i="2" s="1"/>
  <c r="O479" i="2" a="1"/>
  <c r="O479" i="2" s="1"/>
  <c r="R575" i="2" a="1"/>
  <c r="R575" i="2" s="1"/>
  <c r="R582" i="2" a="1"/>
  <c r="R582" i="2" s="1"/>
  <c r="O474" i="2" a="1"/>
  <c r="O474" i="2" s="1"/>
  <c r="R592" i="2" a="1"/>
  <c r="R592" i="2" s="1"/>
  <c r="R579" i="2" a="1"/>
  <c r="R579" i="2" s="1"/>
  <c r="R561" i="2" a="1"/>
  <c r="R561" i="2" s="1"/>
  <c r="R587" i="2" a="1"/>
  <c r="R587" i="2" s="1"/>
  <c r="O452" i="2" a="1"/>
  <c r="O452" i="2" s="1"/>
  <c r="O466" i="2" a="1"/>
  <c r="O466" i="2" s="1"/>
  <c r="R565" i="2" a="1"/>
  <c r="R565" i="2" s="1"/>
  <c r="O456" i="2" a="1"/>
  <c r="O456" i="2" s="1"/>
  <c r="R586" i="2" a="1"/>
  <c r="R586" i="2" s="1"/>
  <c r="O487" i="2" a="1"/>
  <c r="O487" i="2" s="1"/>
  <c r="R595" i="2" a="1"/>
  <c r="R595" i="2" s="1"/>
  <c r="R589" i="2" a="1"/>
  <c r="R589" i="2" s="1"/>
  <c r="R604" i="2" a="1"/>
  <c r="R604" i="2" s="1"/>
  <c r="O473" i="2" a="1"/>
  <c r="O473" i="2" s="1"/>
  <c r="O462" i="2" a="1"/>
  <c r="O462" i="2" s="1"/>
  <c r="R593" i="2" a="1"/>
  <c r="R593" i="2" s="1"/>
  <c r="O447" i="2" a="1"/>
  <c r="O447" i="2" s="1"/>
  <c r="O467" i="2" a="1"/>
  <c r="O467" i="2" s="1"/>
  <c r="R600" i="2" a="1"/>
  <c r="R600" i="2" s="1"/>
  <c r="R590" i="2" a="1"/>
  <c r="R590" i="2" s="1"/>
  <c r="O454" i="2" a="1"/>
  <c r="O454" i="2" s="1"/>
  <c r="O464" i="2" a="1"/>
  <c r="O464" i="2" s="1"/>
  <c r="O460" i="2" a="1"/>
  <c r="O460" i="2" s="1"/>
  <c r="O478" i="2" a="1"/>
  <c r="O478" i="2" s="1"/>
  <c r="R570" i="2" a="1"/>
  <c r="R570" i="2" s="1"/>
  <c r="O448" i="2" a="1"/>
  <c r="O448" i="2" s="1"/>
  <c r="O471" i="2" a="1"/>
  <c r="O471" i="2" s="1"/>
  <c r="O481" i="2" a="1"/>
  <c r="O481" i="2" s="1"/>
  <c r="O472" i="2" a="1"/>
  <c r="O472" i="2" s="1"/>
  <c r="R584" i="2" a="1"/>
  <c r="R584" i="2" s="1"/>
  <c r="R598" i="2" a="1"/>
  <c r="R598" i="2" s="1"/>
  <c r="R566" i="2" a="1"/>
  <c r="R566" i="2" s="1"/>
  <c r="O486" i="2" a="1"/>
  <c r="O486" i="2" s="1"/>
  <c r="O484" i="2" a="1"/>
  <c r="O484" i="2" s="1"/>
  <c r="R601" i="2" a="1"/>
  <c r="R601" i="2" s="1"/>
  <c r="R603" i="2" a="1"/>
  <c r="R603" i="2" s="1"/>
  <c r="O485" i="2" a="1"/>
  <c r="O485" i="2" s="1"/>
  <c r="O463" i="2" a="1"/>
  <c r="O463" i="2" s="1"/>
  <c r="R594" i="2" a="1"/>
  <c r="R594" i="2" s="1"/>
  <c r="R569" i="2" a="1"/>
  <c r="R569" i="2" s="1"/>
  <c r="R578" i="2" a="1"/>
  <c r="R578" i="2" s="1"/>
  <c r="O490" i="2" a="1"/>
  <c r="O490" i="2" s="1"/>
  <c r="R567" i="2" a="1"/>
  <c r="R567" i="2" s="1"/>
  <c r="R564" i="2" a="1"/>
  <c r="R564" i="2" s="1"/>
  <c r="O482" i="2" a="1"/>
  <c r="O482" i="2" s="1"/>
  <c r="R568" i="2" a="1"/>
  <c r="R568" i="2" s="1"/>
  <c r="O453" i="2" a="1"/>
  <c r="O453" i="2" s="1"/>
  <c r="R599" i="2" a="1"/>
  <c r="R599" i="2" s="1"/>
  <c r="R571" i="2" a="1"/>
  <c r="R571" i="2" s="1"/>
  <c r="O458" i="2" a="1"/>
  <c r="O458" i="2" s="1"/>
  <c r="O468" i="2" a="1"/>
  <c r="O468" i="2" s="1"/>
  <c r="O475" i="2" a="1"/>
  <c r="O475" i="2" s="1"/>
  <c r="R562" i="2" a="1"/>
  <c r="R562" i="2" s="1"/>
  <c r="R596" i="2" a="1"/>
  <c r="R596" i="2" s="1"/>
  <c r="O457" i="2" a="1"/>
  <c r="O457" i="2" s="1"/>
  <c r="R597" i="2" a="1"/>
  <c r="R597" i="2" s="1"/>
  <c r="R588" i="2" a="1"/>
  <c r="R588" i="2" s="1"/>
  <c r="O488" i="2" a="1"/>
  <c r="O488" i="2" s="1"/>
  <c r="O470" i="2" a="1"/>
  <c r="O470" i="2" s="1"/>
  <c r="M1249" i="2" a="1"/>
  <c r="M1249" i="2" s="1"/>
  <c r="M1232" i="2" a="1"/>
  <c r="M1232" i="2" s="1"/>
  <c r="F1041" i="2" a="1"/>
  <c r="F1041" i="2" s="1"/>
  <c r="F1060" i="2" a="1"/>
  <c r="F1060" i="2" s="1"/>
  <c r="F1042" i="2" a="1"/>
  <c r="F1042" i="2" s="1"/>
  <c r="S91" i="2"/>
  <c r="T91" i="2" s="1"/>
  <c r="W91" i="2"/>
  <c r="X91" i="2" s="1"/>
  <c r="Q91" i="2"/>
  <c r="R91" i="2" s="1"/>
  <c r="U91" i="2"/>
  <c r="V91" i="2" s="1"/>
  <c r="CV1526" i="2" a="1"/>
  <c r="CV1526" i="2" s="1"/>
  <c r="CW1526" i="2" s="1"/>
  <c r="CV1510" i="2" a="1"/>
  <c r="CV1510" i="2" s="1"/>
  <c r="CW1510" i="2" s="1"/>
  <c r="CV1523" i="2" a="1"/>
  <c r="CV1523" i="2" s="1"/>
  <c r="CW1523" i="2" s="1"/>
  <c r="CV1509" i="2" a="1"/>
  <c r="CV1509" i="2" s="1"/>
  <c r="CW1509" i="2" s="1"/>
  <c r="CV1539" i="2" a="1"/>
  <c r="CV1539" i="2" s="1"/>
  <c r="CW1539" i="2" s="1"/>
  <c r="CV1522" i="2" a="1"/>
  <c r="CV1522" i="2" s="1"/>
  <c r="CW1522" i="2" s="1"/>
  <c r="CV1525" i="2" a="1"/>
  <c r="CV1525" i="2" s="1"/>
  <c r="CW1525" i="2" s="1"/>
  <c r="CV1556" i="2" a="1"/>
  <c r="CV1556" i="2" s="1"/>
  <c r="CW1556" i="2" s="1"/>
  <c r="CV1514" i="2" a="1"/>
  <c r="CV1514" i="2" s="1"/>
  <c r="CW1514" i="2" s="1"/>
  <c r="S48" i="10"/>
  <c r="M1220" i="2" a="1"/>
  <c r="M1220" i="2" s="1"/>
  <c r="CV1528" i="2" a="1"/>
  <c r="CV1528" i="2" s="1"/>
  <c r="CW1528" i="2" s="1"/>
  <c r="S39" i="10"/>
  <c r="L16" i="10"/>
  <c r="M1228" i="2" a="1"/>
  <c r="M1228" i="2" s="1"/>
  <c r="F1053" i="2" a="1"/>
  <c r="F1053" i="2" s="1"/>
  <c r="S90" i="10"/>
  <c r="AV326" i="2"/>
  <c r="AL355" i="2" s="1"/>
  <c r="D381" i="2" s="1"/>
  <c r="B381" i="2" s="1"/>
  <c r="C381" i="2" s="1"/>
  <c r="L72" i="10"/>
  <c r="Z1005" i="2"/>
  <c r="Z999" i="2"/>
  <c r="AG1002" i="2"/>
  <c r="AH1002" i="2" s="1"/>
  <c r="D994" i="2" s="1"/>
  <c r="C994" i="2" s="1"/>
  <c r="F1079" i="2" a="1"/>
  <c r="F1079" i="2" s="1"/>
  <c r="F1066" i="2" a="1"/>
  <c r="F1066" i="2" s="1"/>
  <c r="AB999" i="2"/>
  <c r="AB1005" i="2"/>
  <c r="AB1007" i="2" s="1"/>
  <c r="AB1009" i="2" s="1"/>
  <c r="S78" i="10"/>
  <c r="S70" i="10"/>
  <c r="S71" i="10"/>
  <c r="S37" i="10"/>
  <c r="S19" i="10"/>
  <c r="S17" i="10"/>
  <c r="S103" i="10"/>
  <c r="S87" i="10"/>
  <c r="S41" i="10"/>
  <c r="L61" i="10"/>
  <c r="M721" i="2"/>
  <c r="V724" i="2" s="1"/>
  <c r="K378" i="2" s="1"/>
  <c r="M724" i="2"/>
  <c r="V727" i="2" s="1"/>
  <c r="K381" i="2" s="1"/>
  <c r="M703" i="2"/>
  <c r="V706" i="2" s="1"/>
  <c r="I383" i="2" s="1"/>
  <c r="M723" i="2"/>
  <c r="V726" i="2" s="1"/>
  <c r="K380" i="2" s="1"/>
  <c r="M728" i="2"/>
  <c r="M699" i="2"/>
  <c r="V702" i="2" s="1"/>
  <c r="I379" i="2" s="1"/>
  <c r="M704" i="2"/>
  <c r="V707" i="2" s="1"/>
  <c r="I384" i="2" s="1"/>
  <c r="M700" i="2"/>
  <c r="V703" i="2" s="1"/>
  <c r="I380" i="2" s="1"/>
  <c r="M698" i="2"/>
  <c r="V701" i="2" s="1"/>
  <c r="I378" i="2" s="1"/>
  <c r="M697" i="2"/>
  <c r="V700" i="2" s="1"/>
  <c r="I377" i="2" s="1"/>
  <c r="M725" i="2"/>
  <c r="V728" i="2" s="1"/>
  <c r="K382" i="2" s="1"/>
  <c r="M701" i="2"/>
  <c r="V704" i="2" s="1"/>
  <c r="I381" i="2" s="1"/>
  <c r="M726" i="2"/>
  <c r="V729" i="2" s="1"/>
  <c r="K383" i="2" s="1"/>
  <c r="M702" i="2"/>
  <c r="V705" i="2" s="1"/>
  <c r="I382" i="2" s="1"/>
  <c r="M705" i="2"/>
  <c r="M720" i="2"/>
  <c r="V723" i="2" s="1"/>
  <c r="K377" i="2" s="1"/>
  <c r="M722" i="2"/>
  <c r="V725" i="2" s="1"/>
  <c r="K379" i="2" s="1"/>
  <c r="M727" i="2"/>
  <c r="V730" i="2" s="1"/>
  <c r="K384" i="2" s="1"/>
  <c r="M1230" i="2" a="1"/>
  <c r="M1230" i="2" s="1"/>
  <c r="M1241" i="2" a="1"/>
  <c r="M1241" i="2" s="1"/>
  <c r="F1077" i="2" a="1"/>
  <c r="F1077" i="2" s="1"/>
  <c r="F1052" i="2" a="1"/>
  <c r="F1052" i="2" s="1"/>
  <c r="Y779" i="2"/>
  <c r="AB779" i="2" s="1"/>
  <c r="AC779" i="2" s="1"/>
  <c r="D781" i="2" s="1"/>
  <c r="C781" i="2" s="1"/>
  <c r="Y777" i="2"/>
  <c r="AB777" i="2" s="1"/>
  <c r="AC777" i="2" s="1"/>
  <c r="D780" i="2" s="1"/>
  <c r="Y775" i="2"/>
  <c r="CV1524" i="2" a="1"/>
  <c r="CV1524" i="2" s="1"/>
  <c r="CW1524" i="2" s="1"/>
  <c r="CV1540" i="2" a="1"/>
  <c r="CV1540" i="2" s="1"/>
  <c r="CW1540" i="2" s="1"/>
  <c r="CV1541" i="2" a="1"/>
  <c r="CV1541" i="2" s="1"/>
  <c r="CW1541" i="2" s="1"/>
  <c r="CV1552" i="2" a="1"/>
  <c r="CV1552" i="2" s="1"/>
  <c r="CW1552" i="2" s="1"/>
  <c r="CV1537" i="2" a="1"/>
  <c r="CV1537" i="2" s="1"/>
  <c r="CW1537" i="2" s="1"/>
  <c r="CV1512" i="2" a="1"/>
  <c r="CV1512" i="2" s="1"/>
  <c r="CW1512" i="2" s="1"/>
  <c r="CV1531" i="2" a="1"/>
  <c r="CV1531" i="2" s="1"/>
  <c r="CW1531" i="2" s="1"/>
  <c r="B826" i="2"/>
  <c r="B857" i="2"/>
  <c r="AO378" i="2"/>
  <c r="AP378" i="2" s="1"/>
  <c r="AP374" i="2" s="1"/>
  <c r="B815" i="2"/>
  <c r="B804" i="2"/>
  <c r="B820" i="2"/>
  <c r="B850" i="2"/>
  <c r="B890" i="2"/>
  <c r="M338" i="2"/>
  <c r="AK29" i="16" s="1"/>
  <c r="Z394" i="2"/>
  <c r="AA394" i="2" s="1"/>
  <c r="Q320" i="2" s="1"/>
  <c r="C708" i="2"/>
  <c r="G711" i="2" s="1"/>
  <c r="K324" i="2" s="1"/>
  <c r="U378" i="2"/>
  <c r="B869" i="2"/>
  <c r="B824" i="2"/>
  <c r="B872" i="2"/>
  <c r="B843" i="2"/>
  <c r="C685" i="2"/>
  <c r="G688" i="2" s="1"/>
  <c r="K322" i="2" s="1"/>
  <c r="B861" i="2"/>
  <c r="B884" i="2"/>
  <c r="B800" i="2"/>
  <c r="B889" i="2"/>
  <c r="B873" i="2"/>
  <c r="B809" i="2"/>
  <c r="B836" i="2"/>
  <c r="B842" i="2"/>
  <c r="B877" i="2"/>
  <c r="B805" i="2"/>
  <c r="B844" i="2"/>
  <c r="B864" i="2"/>
  <c r="G363" i="2"/>
  <c r="AL348" i="2"/>
  <c r="AM348" i="2" s="1"/>
  <c r="Q319" i="2" s="1"/>
  <c r="Q317" i="2" s="1"/>
  <c r="AQ29" i="16" s="1"/>
  <c r="B887" i="2"/>
  <c r="B829" i="2"/>
  <c r="B833" i="2"/>
  <c r="B827" i="2"/>
  <c r="B888" i="2"/>
  <c r="B855" i="2"/>
  <c r="B818" i="2"/>
  <c r="B834" i="2"/>
  <c r="B837" i="2"/>
  <c r="B845" i="2"/>
  <c r="B825" i="2"/>
  <c r="B798" i="2"/>
  <c r="M748" i="2" s="1"/>
  <c r="M746" i="2" s="1"/>
  <c r="V720" i="2"/>
  <c r="W720" i="2" s="1"/>
  <c r="Q326" i="2" s="1"/>
  <c r="V697" i="2"/>
  <c r="W697" i="2" s="1"/>
  <c r="Q324" i="2" s="1"/>
  <c r="B893" i="2"/>
  <c r="B840" i="2"/>
  <c r="B821" i="2"/>
  <c r="B885" i="2"/>
  <c r="B853" i="2"/>
  <c r="B894" i="2"/>
  <c r="B878" i="2"/>
  <c r="B897" i="2"/>
  <c r="B802" i="2"/>
  <c r="B871" i="2"/>
  <c r="B814" i="2"/>
  <c r="B881" i="2"/>
  <c r="B801" i="2"/>
  <c r="B823" i="2"/>
  <c r="B858" i="2"/>
  <c r="B875" i="2"/>
  <c r="B859" i="2"/>
  <c r="B895" i="2"/>
  <c r="B874" i="2"/>
  <c r="B891" i="2"/>
  <c r="B811" i="2"/>
  <c r="B870" i="2"/>
  <c r="B883" i="2"/>
  <c r="B851" i="2"/>
  <c r="B806" i="2"/>
  <c r="B807" i="2"/>
  <c r="B863" i="2"/>
  <c r="B839" i="2"/>
  <c r="B860" i="2"/>
  <c r="B866" i="2"/>
  <c r="B841" i="2"/>
  <c r="B808" i="2"/>
  <c r="B846" i="2"/>
  <c r="B854" i="2"/>
  <c r="B892" i="2"/>
  <c r="B816" i="2"/>
  <c r="B799" i="2"/>
  <c r="B835" i="2"/>
  <c r="B896" i="2"/>
  <c r="B886" i="2"/>
  <c r="B822" i="2"/>
  <c r="B867" i="2"/>
  <c r="B865" i="2"/>
  <c r="B803" i="2"/>
  <c r="B852" i="2"/>
  <c r="B812" i="2"/>
  <c r="B856" i="2"/>
  <c r="B830" i="2"/>
  <c r="B832" i="2"/>
  <c r="B862" i="2"/>
  <c r="B828" i="2"/>
  <c r="B831" i="2"/>
  <c r="B876" i="2"/>
  <c r="B838" i="2"/>
  <c r="B880" i="2"/>
  <c r="B819" i="2"/>
  <c r="B882" i="2"/>
  <c r="B879" i="2"/>
  <c r="B817" i="2"/>
  <c r="B868" i="2"/>
  <c r="BE372" i="2"/>
  <c r="BF372" i="2" s="1"/>
  <c r="BI387" i="2" s="1"/>
  <c r="U380" i="2"/>
  <c r="Y376" i="2"/>
  <c r="F56" i="2"/>
  <c r="V674" i="2"/>
  <c r="W674" i="2" s="1"/>
  <c r="Q322" i="2" s="1"/>
  <c r="Z506" i="2"/>
  <c r="AA506" i="2" s="1"/>
  <c r="Q321" i="2" s="1"/>
  <c r="C1004" i="2"/>
  <c r="U377" i="2"/>
  <c r="BE376" i="2"/>
  <c r="BF376" i="2" s="1"/>
  <c r="BH376" i="2" s="1"/>
  <c r="S368" i="2" s="1"/>
  <c r="A361" i="2"/>
  <c r="C363" i="2"/>
  <c r="Z382" i="2"/>
  <c r="K432" i="2" s="1"/>
  <c r="A768" i="2"/>
  <c r="W374" i="2"/>
  <c r="I320" i="2" s="1"/>
  <c r="Y374" i="2"/>
  <c r="Y375" i="2"/>
  <c r="F47" i="2"/>
  <c r="AM432" i="2"/>
  <c r="S8" i="10"/>
  <c r="BE382" i="2"/>
  <c r="BF382" i="2" s="1"/>
  <c r="O402" i="2" s="1"/>
  <c r="P401" i="2" s="1"/>
  <c r="BE396" i="2"/>
  <c r="BF396" i="2" s="1"/>
  <c r="G336" i="2" s="1"/>
  <c r="F336" i="2" s="1"/>
  <c r="BE394" i="2"/>
  <c r="BF394" i="2" s="1"/>
  <c r="G335" i="2" s="1"/>
  <c r="AQ769" i="2"/>
  <c r="AM434" i="2"/>
  <c r="AM433" i="2"/>
  <c r="G734" i="2"/>
  <c r="K326" i="2" s="1"/>
  <c r="C734" i="2"/>
  <c r="AM436" i="2"/>
  <c r="O113" i="10"/>
  <c r="AO769" i="2"/>
  <c r="AR769" i="2"/>
  <c r="AP769" i="2"/>
  <c r="C1456" i="2"/>
  <c r="AA47" i="15" s="1"/>
  <c r="A777" i="2"/>
  <c r="O327" i="2"/>
  <c r="O325" i="2"/>
  <c r="O323" i="2"/>
  <c r="O329" i="2"/>
  <c r="O328" i="2"/>
  <c r="BE386" i="2"/>
  <c r="BF386" i="2" s="1"/>
  <c r="O404" i="2" s="1"/>
  <c r="N404" i="2" s="1"/>
  <c r="AD106" i="2"/>
  <c r="C1014" i="2"/>
  <c r="A1011" i="2"/>
  <c r="S21" i="10"/>
  <c r="BE384" i="2"/>
  <c r="BF384" i="2" s="1"/>
  <c r="O403" i="2" s="1"/>
  <c r="N403" i="2" s="1"/>
  <c r="BE388" i="2"/>
  <c r="BF388" i="2" s="1"/>
  <c r="O405" i="2" s="1"/>
  <c r="N405" i="2" s="1"/>
  <c r="BE370" i="2"/>
  <c r="BF370" i="2" s="1"/>
  <c r="BH370" i="2" s="1"/>
  <c r="S365" i="2" s="1"/>
  <c r="BE366" i="2"/>
  <c r="BF366" i="2" s="1"/>
  <c r="A1450" i="2"/>
  <c r="B1448" i="2"/>
  <c r="BE374" i="2"/>
  <c r="BF374" i="2" s="1"/>
  <c r="BE368" i="2"/>
  <c r="BF368" i="2" s="1"/>
  <c r="BI385" i="2" s="1"/>
  <c r="BE390" i="2"/>
  <c r="BF390" i="2" s="1"/>
  <c r="O406" i="2" s="1"/>
  <c r="N406" i="2" s="1"/>
  <c r="BE400" i="2"/>
  <c r="BF400" i="2" s="1"/>
  <c r="G338" i="2" s="1"/>
  <c r="F338" i="2" s="1"/>
  <c r="BE398" i="2"/>
  <c r="BF398" i="2" s="1"/>
  <c r="G337" i="2" s="1"/>
  <c r="F337" i="2" s="1"/>
  <c r="BE364" i="2"/>
  <c r="BF364" i="2" s="1"/>
  <c r="AO770" i="2"/>
  <c r="AP770" i="2"/>
  <c r="Q18" i="16"/>
  <c r="L333" i="2"/>
  <c r="S1337" i="2"/>
  <c r="O1337" i="2"/>
  <c r="Q1337" i="2"/>
  <c r="P1337" i="2"/>
  <c r="R1337" i="2"/>
  <c r="N1337" i="2"/>
  <c r="AA17" i="15" s="1"/>
  <c r="N327" i="2"/>
  <c r="N325" i="2"/>
  <c r="N328" i="2"/>
  <c r="N323" i="2"/>
  <c r="N329" i="2"/>
  <c r="L38" i="20"/>
  <c r="J38" i="20"/>
  <c r="I38" i="20"/>
  <c r="L88" i="10" l="1"/>
  <c r="L94" i="10"/>
  <c r="J84" i="10"/>
  <c r="L46" i="10"/>
  <c r="L38" i="10"/>
  <c r="L76" i="10"/>
  <c r="L90" i="10"/>
  <c r="L21" i="10"/>
  <c r="J284" i="2"/>
  <c r="L69" i="10"/>
  <c r="L30" i="10"/>
  <c r="L5" i="10"/>
  <c r="L74" i="10"/>
  <c r="L64" i="10"/>
  <c r="J286" i="2"/>
  <c r="J280" i="2"/>
  <c r="J289" i="2" s="1"/>
  <c r="J290" i="2" s="1"/>
  <c r="Q37" i="11" s="1"/>
  <c r="J282" i="2"/>
  <c r="C1354" i="2"/>
  <c r="C7" i="15"/>
  <c r="N1446" i="2"/>
  <c r="I97" i="10"/>
  <c r="AG380" i="2"/>
  <c r="E502" i="2"/>
  <c r="M502" i="2" s="1"/>
  <c r="C502" i="2" s="1"/>
  <c r="D502" i="2" s="1"/>
  <c r="E507" i="2"/>
  <c r="M507" i="2" s="1"/>
  <c r="C507" i="2" s="1"/>
  <c r="D507" i="2" s="1"/>
  <c r="K97" i="10"/>
  <c r="K38" i="10"/>
  <c r="I61" i="10"/>
  <c r="AA326" i="2"/>
  <c r="E540" i="2"/>
  <c r="M540" i="2" s="1"/>
  <c r="C540" i="2" s="1"/>
  <c r="D540" i="2" s="1"/>
  <c r="E457" i="2"/>
  <c r="M457" i="2" s="1"/>
  <c r="C457" i="2" s="1"/>
  <c r="D457" i="2" s="1"/>
  <c r="E476" i="2"/>
  <c r="M476" i="2" s="1"/>
  <c r="C476" i="2" s="1"/>
  <c r="D476" i="2" s="1"/>
  <c r="E465" i="2"/>
  <c r="M465" i="2" s="1"/>
  <c r="C465" i="2" s="1"/>
  <c r="D465" i="2" s="1"/>
  <c r="E466" i="2"/>
  <c r="M466" i="2" s="1"/>
  <c r="C466" i="2" s="1"/>
  <c r="D466" i="2" s="1"/>
  <c r="E464" i="2"/>
  <c r="M464" i="2" s="1"/>
  <c r="C464" i="2" s="1"/>
  <c r="D464" i="2" s="1"/>
  <c r="E537" i="2"/>
  <c r="M537" i="2" s="1"/>
  <c r="C537" i="2" s="1"/>
  <c r="D537" i="2" s="1"/>
  <c r="Z436" i="2"/>
  <c r="AA436" i="2" s="1"/>
  <c r="AB436" i="2" s="1"/>
  <c r="L436" i="2" s="1"/>
  <c r="N436" i="2" s="1"/>
  <c r="E506" i="2"/>
  <c r="M506" i="2" s="1"/>
  <c r="C506" i="2" s="1"/>
  <c r="D506" i="2" s="1"/>
  <c r="E534" i="2"/>
  <c r="M534" i="2" s="1"/>
  <c r="C534" i="2" s="1"/>
  <c r="D534" i="2" s="1"/>
  <c r="E496" i="2"/>
  <c r="M496" i="2" s="1"/>
  <c r="C496" i="2" s="1"/>
  <c r="D496" i="2" s="1"/>
  <c r="E527" i="2"/>
  <c r="M527" i="2" s="1"/>
  <c r="C527" i="2" s="1"/>
  <c r="D527" i="2" s="1"/>
  <c r="AD562" i="2"/>
  <c r="E596" i="2" s="1"/>
  <c r="P596" i="2" s="1"/>
  <c r="C596" i="2" s="1"/>
  <c r="D596" i="2" s="1"/>
  <c r="E545" i="2"/>
  <c r="M545" i="2" s="1"/>
  <c r="C545" i="2" s="1"/>
  <c r="D545" i="2" s="1"/>
  <c r="E472" i="2"/>
  <c r="M472" i="2" s="1"/>
  <c r="C472" i="2" s="1"/>
  <c r="D472" i="2" s="1"/>
  <c r="E518" i="2"/>
  <c r="M518" i="2" s="1"/>
  <c r="C518" i="2" s="1"/>
  <c r="D518" i="2" s="1"/>
  <c r="E501" i="2"/>
  <c r="M501" i="2" s="1"/>
  <c r="C501" i="2" s="1"/>
  <c r="D501" i="2" s="1"/>
  <c r="E487" i="2"/>
  <c r="M487" i="2" s="1"/>
  <c r="C487" i="2" s="1"/>
  <c r="D487" i="2" s="1"/>
  <c r="E475" i="2"/>
  <c r="M475" i="2" s="1"/>
  <c r="C475" i="2" s="1"/>
  <c r="D475" i="2" s="1"/>
  <c r="E525" i="2"/>
  <c r="M525" i="2" s="1"/>
  <c r="C525" i="2" s="1"/>
  <c r="D525" i="2" s="1"/>
  <c r="E544" i="2"/>
  <c r="M544" i="2" s="1"/>
  <c r="C544" i="2" s="1"/>
  <c r="D544" i="2" s="1"/>
  <c r="E535" i="2"/>
  <c r="M535" i="2" s="1"/>
  <c r="C535" i="2" s="1"/>
  <c r="D535" i="2" s="1"/>
  <c r="E448" i="2"/>
  <c r="M448" i="2" s="1"/>
  <c r="C448" i="2" s="1"/>
  <c r="D448" i="2" s="1"/>
  <c r="E519" i="2"/>
  <c r="M519" i="2" s="1"/>
  <c r="C519" i="2" s="1"/>
  <c r="D519" i="2" s="1"/>
  <c r="E533" i="2"/>
  <c r="M533" i="2" s="1"/>
  <c r="C533" i="2" s="1"/>
  <c r="D533" i="2" s="1"/>
  <c r="E546" i="2"/>
  <c r="M546" i="2" s="1"/>
  <c r="C546" i="2" s="1"/>
  <c r="D546" i="2" s="1"/>
  <c r="E470" i="2"/>
  <c r="M470" i="2" s="1"/>
  <c r="C470" i="2" s="1"/>
  <c r="D470" i="2" s="1"/>
  <c r="E538" i="2"/>
  <c r="M538" i="2" s="1"/>
  <c r="C538" i="2" s="1"/>
  <c r="D538" i="2" s="1"/>
  <c r="E468" i="2"/>
  <c r="M468" i="2" s="1"/>
  <c r="C468" i="2" s="1"/>
  <c r="D468" i="2" s="1"/>
  <c r="I1225" i="2"/>
  <c r="J1225" i="2" s="1"/>
  <c r="E459" i="2"/>
  <c r="M459" i="2" s="1"/>
  <c r="C459" i="2" s="1"/>
  <c r="D459" i="2" s="1"/>
  <c r="E547" i="2"/>
  <c r="M547" i="2" s="1"/>
  <c r="C547" i="2" s="1"/>
  <c r="D547" i="2" s="1"/>
  <c r="E500" i="2"/>
  <c r="M500" i="2" s="1"/>
  <c r="C500" i="2" s="1"/>
  <c r="D500" i="2" s="1"/>
  <c r="E460" i="2"/>
  <c r="M460" i="2" s="1"/>
  <c r="C460" i="2" s="1"/>
  <c r="D460" i="2" s="1"/>
  <c r="E522" i="2"/>
  <c r="M522" i="2" s="1"/>
  <c r="C522" i="2" s="1"/>
  <c r="D522" i="2" s="1"/>
  <c r="E524" i="2"/>
  <c r="M524" i="2" s="1"/>
  <c r="C524" i="2" s="1"/>
  <c r="D524" i="2" s="1"/>
  <c r="E473" i="2"/>
  <c r="M473" i="2" s="1"/>
  <c r="C473" i="2" s="1"/>
  <c r="D473" i="2" s="1"/>
  <c r="E462" i="2"/>
  <c r="M462" i="2" s="1"/>
  <c r="C462" i="2" s="1"/>
  <c r="D462" i="2" s="1"/>
  <c r="E523" i="2"/>
  <c r="M523" i="2" s="1"/>
  <c r="C523" i="2" s="1"/>
  <c r="D523" i="2" s="1"/>
  <c r="AJ465" i="2"/>
  <c r="AJ467" i="2" s="1"/>
  <c r="AJ471" i="2" s="1"/>
  <c r="E456" i="2"/>
  <c r="M456" i="2" s="1"/>
  <c r="C456" i="2" s="1"/>
  <c r="D456" i="2" s="1"/>
  <c r="Z432" i="2"/>
  <c r="AA432" i="2" s="1"/>
  <c r="AB432" i="2" s="1"/>
  <c r="L432" i="2" s="1"/>
  <c r="N432" i="2" s="1"/>
  <c r="E513" i="2"/>
  <c r="M513" i="2" s="1"/>
  <c r="C513" i="2" s="1"/>
  <c r="D513" i="2" s="1"/>
  <c r="E483" i="2"/>
  <c r="M483" i="2" s="1"/>
  <c r="C483" i="2" s="1"/>
  <c r="D483" i="2" s="1"/>
  <c r="E477" i="2"/>
  <c r="M477" i="2" s="1"/>
  <c r="C477" i="2" s="1"/>
  <c r="D477" i="2" s="1"/>
  <c r="E520" i="2"/>
  <c r="M520" i="2" s="1"/>
  <c r="C520" i="2" s="1"/>
  <c r="D520" i="2" s="1"/>
  <c r="E478" i="2"/>
  <c r="M478" i="2" s="1"/>
  <c r="C478" i="2" s="1"/>
  <c r="D478" i="2" s="1"/>
  <c r="E455" i="2"/>
  <c r="M455" i="2" s="1"/>
  <c r="C455" i="2" s="1"/>
  <c r="D455" i="2" s="1"/>
  <c r="E504" i="2"/>
  <c r="M504" i="2" s="1"/>
  <c r="C504" i="2" s="1"/>
  <c r="D504" i="2" s="1"/>
  <c r="E510" i="2"/>
  <c r="M510" i="2" s="1"/>
  <c r="C510" i="2" s="1"/>
  <c r="D510" i="2" s="1"/>
  <c r="E461" i="2"/>
  <c r="M461" i="2" s="1"/>
  <c r="C461" i="2" s="1"/>
  <c r="D461" i="2" s="1"/>
  <c r="Z433" i="2"/>
  <c r="AA433" i="2" s="1"/>
  <c r="AB433" i="2" s="1"/>
  <c r="L433" i="2" s="1"/>
  <c r="P433" i="2" s="1"/>
  <c r="E482" i="2"/>
  <c r="M482" i="2" s="1"/>
  <c r="C482" i="2" s="1"/>
  <c r="D482" i="2" s="1"/>
  <c r="E488" i="2"/>
  <c r="M488" i="2" s="1"/>
  <c r="C488" i="2" s="1"/>
  <c r="D488" i="2" s="1"/>
  <c r="E463" i="2"/>
  <c r="M463" i="2" s="1"/>
  <c r="C463" i="2" s="1"/>
  <c r="D463" i="2" s="1"/>
  <c r="E494" i="2"/>
  <c r="M494" i="2" s="1"/>
  <c r="C494" i="2" s="1"/>
  <c r="D494" i="2" s="1"/>
  <c r="E481" i="2"/>
  <c r="M481" i="2" s="1"/>
  <c r="C481" i="2" s="1"/>
  <c r="D481" i="2" s="1"/>
  <c r="E485" i="2"/>
  <c r="M485" i="2" s="1"/>
  <c r="C485" i="2" s="1"/>
  <c r="D485" i="2" s="1"/>
  <c r="E491" i="2"/>
  <c r="M491" i="2" s="1"/>
  <c r="C491" i="2" s="1"/>
  <c r="D491" i="2" s="1"/>
  <c r="E511" i="2"/>
  <c r="M511" i="2" s="1"/>
  <c r="C511" i="2" s="1"/>
  <c r="D511" i="2" s="1"/>
  <c r="E451" i="2"/>
  <c r="M451" i="2" s="1"/>
  <c r="C451" i="2" s="1"/>
  <c r="D451" i="2" s="1"/>
  <c r="E543" i="2"/>
  <c r="M543" i="2" s="1"/>
  <c r="C543" i="2" s="1"/>
  <c r="D543" i="2" s="1"/>
  <c r="E517" i="2"/>
  <c r="M517" i="2" s="1"/>
  <c r="C517" i="2" s="1"/>
  <c r="D517" i="2" s="1"/>
  <c r="E489" i="2"/>
  <c r="M489" i="2" s="1"/>
  <c r="C489" i="2" s="1"/>
  <c r="D489" i="2" s="1"/>
  <c r="E508" i="2"/>
  <c r="M508" i="2" s="1"/>
  <c r="C508" i="2" s="1"/>
  <c r="D508" i="2" s="1"/>
  <c r="AE326" i="2"/>
  <c r="E486" i="2"/>
  <c r="M486" i="2" s="1"/>
  <c r="C486" i="2" s="1"/>
  <c r="D486" i="2" s="1"/>
  <c r="E479" i="2"/>
  <c r="M479" i="2" s="1"/>
  <c r="C479" i="2" s="1"/>
  <c r="D479" i="2" s="1"/>
  <c r="E530" i="2"/>
  <c r="M530" i="2" s="1"/>
  <c r="C530" i="2" s="1"/>
  <c r="D530" i="2" s="1"/>
  <c r="E450" i="2"/>
  <c r="M450" i="2" s="1"/>
  <c r="C450" i="2" s="1"/>
  <c r="D450" i="2" s="1"/>
  <c r="E454" i="2"/>
  <c r="M454" i="2" s="1"/>
  <c r="C454" i="2" s="1"/>
  <c r="D454" i="2" s="1"/>
  <c r="E490" i="2"/>
  <c r="M490" i="2" s="1"/>
  <c r="C490" i="2" s="1"/>
  <c r="D490" i="2" s="1"/>
  <c r="E539" i="2"/>
  <c r="M539" i="2" s="1"/>
  <c r="C539" i="2" s="1"/>
  <c r="D539" i="2" s="1"/>
  <c r="E532" i="2"/>
  <c r="M532" i="2" s="1"/>
  <c r="C532" i="2" s="1"/>
  <c r="D532" i="2" s="1"/>
  <c r="E474" i="2"/>
  <c r="M474" i="2" s="1"/>
  <c r="C474" i="2" s="1"/>
  <c r="D474" i="2" s="1"/>
  <c r="E515" i="2"/>
  <c r="M515" i="2" s="1"/>
  <c r="C515" i="2" s="1"/>
  <c r="D515" i="2" s="1"/>
  <c r="E536" i="2"/>
  <c r="M536" i="2" s="1"/>
  <c r="C536" i="2" s="1"/>
  <c r="D536" i="2" s="1"/>
  <c r="AC380" i="2"/>
  <c r="AE380" i="2"/>
  <c r="AG326" i="2"/>
  <c r="AC326" i="2"/>
  <c r="AA380" i="2"/>
  <c r="E347" i="2"/>
  <c r="D346" i="2" s="1"/>
  <c r="AE26" i="16" s="1"/>
  <c r="E480" i="2"/>
  <c r="M480" i="2" s="1"/>
  <c r="C480" i="2" s="1"/>
  <c r="D480" i="2" s="1"/>
  <c r="E458" i="2"/>
  <c r="M458" i="2" s="1"/>
  <c r="C458" i="2" s="1"/>
  <c r="D458" i="2" s="1"/>
  <c r="E471" i="2"/>
  <c r="M471" i="2" s="1"/>
  <c r="C471" i="2" s="1"/>
  <c r="D471" i="2" s="1"/>
  <c r="E495" i="2"/>
  <c r="M495" i="2" s="1"/>
  <c r="C495" i="2" s="1"/>
  <c r="D495" i="2" s="1"/>
  <c r="E453" i="2"/>
  <c r="M453" i="2" s="1"/>
  <c r="C453" i="2" s="1"/>
  <c r="D453" i="2" s="1"/>
  <c r="E469" i="2"/>
  <c r="M469" i="2" s="1"/>
  <c r="C469" i="2" s="1"/>
  <c r="D469" i="2" s="1"/>
  <c r="E449" i="2"/>
  <c r="M449" i="2" s="1"/>
  <c r="C449" i="2" s="1"/>
  <c r="D449" i="2" s="1"/>
  <c r="E503" i="2"/>
  <c r="M503" i="2" s="1"/>
  <c r="C503" i="2" s="1"/>
  <c r="D503" i="2" s="1"/>
  <c r="E529" i="2"/>
  <c r="M529" i="2" s="1"/>
  <c r="C529" i="2" s="1"/>
  <c r="D529" i="2" s="1"/>
  <c r="E509" i="2"/>
  <c r="M509" i="2" s="1"/>
  <c r="C509" i="2" s="1"/>
  <c r="D509" i="2" s="1"/>
  <c r="Z435" i="2"/>
  <c r="AA435" i="2" s="1"/>
  <c r="E531" i="2"/>
  <c r="M531" i="2" s="1"/>
  <c r="C531" i="2" s="1"/>
  <c r="D531" i="2" s="1"/>
  <c r="E528" i="2"/>
  <c r="M528" i="2" s="1"/>
  <c r="C528" i="2" s="1"/>
  <c r="D528" i="2" s="1"/>
  <c r="E548" i="2"/>
  <c r="M548" i="2" s="1"/>
  <c r="C548" i="2" s="1"/>
  <c r="D548" i="2" s="1"/>
  <c r="E484" i="2"/>
  <c r="M484" i="2" s="1"/>
  <c r="C484" i="2" s="1"/>
  <c r="D484" i="2" s="1"/>
  <c r="E542" i="2"/>
  <c r="M542" i="2" s="1"/>
  <c r="C542" i="2" s="1"/>
  <c r="D542" i="2" s="1"/>
  <c r="E493" i="2"/>
  <c r="M493" i="2" s="1"/>
  <c r="C493" i="2" s="1"/>
  <c r="D493" i="2" s="1"/>
  <c r="E512" i="2"/>
  <c r="M512" i="2" s="1"/>
  <c r="C512" i="2" s="1"/>
  <c r="D512" i="2" s="1"/>
  <c r="E467" i="2"/>
  <c r="M467" i="2" s="1"/>
  <c r="C467" i="2" s="1"/>
  <c r="D467" i="2" s="1"/>
  <c r="Z434" i="2"/>
  <c r="AA434" i="2" s="1"/>
  <c r="AB434" i="2" s="1"/>
  <c r="L434" i="2" s="1"/>
  <c r="P434" i="2" s="1"/>
  <c r="E541" i="2"/>
  <c r="M541" i="2" s="1"/>
  <c r="C541" i="2" s="1"/>
  <c r="D541" i="2" s="1"/>
  <c r="E492" i="2"/>
  <c r="M492" i="2" s="1"/>
  <c r="C492" i="2" s="1"/>
  <c r="D492" i="2" s="1"/>
  <c r="E452" i="2"/>
  <c r="M452" i="2" s="1"/>
  <c r="C452" i="2" s="1"/>
  <c r="D452" i="2" s="1"/>
  <c r="E514" i="2"/>
  <c r="M514" i="2" s="1"/>
  <c r="C514" i="2" s="1"/>
  <c r="D514" i="2" s="1"/>
  <c r="E447" i="2"/>
  <c r="M447" i="2" s="1"/>
  <c r="C447" i="2" s="1"/>
  <c r="D447" i="2" s="1"/>
  <c r="S325" i="2" s="1"/>
  <c r="E516" i="2"/>
  <c r="M516" i="2" s="1"/>
  <c r="C516" i="2" s="1"/>
  <c r="D516" i="2" s="1"/>
  <c r="E526" i="2"/>
  <c r="M526" i="2" s="1"/>
  <c r="C526" i="2" s="1"/>
  <c r="D526" i="2" s="1"/>
  <c r="E505" i="2"/>
  <c r="M505" i="2" s="1"/>
  <c r="C505" i="2" s="1"/>
  <c r="D505" i="2" s="1"/>
  <c r="C1246" i="2"/>
  <c r="D1246" i="2" s="1"/>
  <c r="E1282" i="2"/>
  <c r="F1282" i="2" s="1"/>
  <c r="G1275" i="2"/>
  <c r="H1275" i="2" s="1"/>
  <c r="E1286" i="2"/>
  <c r="F1286" i="2" s="1"/>
  <c r="E1289" i="2"/>
  <c r="F1289" i="2" s="1"/>
  <c r="G1235" i="2"/>
  <c r="H1235" i="2" s="1"/>
  <c r="E1213" i="2"/>
  <c r="F1213" i="2" s="1"/>
  <c r="G1303" i="2"/>
  <c r="H1303" i="2" s="1"/>
  <c r="E1222" i="2"/>
  <c r="F1222" i="2" s="1"/>
  <c r="C1285" i="2"/>
  <c r="D1285" i="2" s="1"/>
  <c r="E1245" i="2"/>
  <c r="F1245" i="2" s="1"/>
  <c r="G1223" i="2"/>
  <c r="H1223" i="2" s="1"/>
  <c r="C1292" i="2"/>
  <c r="D1292" i="2" s="1"/>
  <c r="G1237" i="2"/>
  <c r="H1237" i="2" s="1"/>
  <c r="C1237" i="2"/>
  <c r="D1237" i="2" s="1"/>
  <c r="C1229" i="2"/>
  <c r="D1229" i="2" s="1"/>
  <c r="I1259" i="2"/>
  <c r="J1259" i="2" s="1"/>
  <c r="C1241" i="2"/>
  <c r="D1241" i="2" s="1"/>
  <c r="I1270" i="2"/>
  <c r="J1270" i="2" s="1"/>
  <c r="E1260" i="2"/>
  <c r="F1260" i="2" s="1"/>
  <c r="C1245" i="2"/>
  <c r="D1245" i="2" s="1"/>
  <c r="E1255" i="2"/>
  <c r="F1255" i="2" s="1"/>
  <c r="I1303" i="2"/>
  <c r="J1303" i="2" s="1"/>
  <c r="G1236" i="2"/>
  <c r="H1236" i="2" s="1"/>
  <c r="E1302" i="2"/>
  <c r="F1302" i="2" s="1"/>
  <c r="G1301" i="2"/>
  <c r="H1301" i="2" s="1"/>
  <c r="E1298" i="2"/>
  <c r="F1298" i="2" s="1"/>
  <c r="E1251" i="2"/>
  <c r="F1251" i="2" s="1"/>
  <c r="C1214" i="2"/>
  <c r="D1214" i="2" s="1"/>
  <c r="BD772" i="2"/>
  <c r="BE772" i="2" s="1"/>
  <c r="C1269" i="2"/>
  <c r="D1269" i="2" s="1"/>
  <c r="E1259" i="2"/>
  <c r="F1259" i="2" s="1"/>
  <c r="C1254" i="2"/>
  <c r="D1254" i="2" s="1"/>
  <c r="G1289" i="2"/>
  <c r="H1289" i="2" s="1"/>
  <c r="C1272" i="2"/>
  <c r="D1272" i="2" s="1"/>
  <c r="C1306" i="2"/>
  <c r="D1306" i="2" s="1"/>
  <c r="G1272" i="2"/>
  <c r="H1272" i="2" s="1"/>
  <c r="G1217" i="2"/>
  <c r="H1217" i="2" s="1"/>
  <c r="G1255" i="2"/>
  <c r="H1255" i="2" s="1"/>
  <c r="C1216" i="2"/>
  <c r="D1216" i="2" s="1"/>
  <c r="I1221" i="2"/>
  <c r="J1221" i="2" s="1"/>
  <c r="E1283" i="2"/>
  <c r="F1283" i="2" s="1"/>
  <c r="E1228" i="2"/>
  <c r="F1228" i="2" s="1"/>
  <c r="E1257" i="2"/>
  <c r="F1257" i="2" s="1"/>
  <c r="C1297" i="2"/>
  <c r="D1297" i="2" s="1"/>
  <c r="I1283" i="2"/>
  <c r="J1283" i="2" s="1"/>
  <c r="G1214" i="2"/>
  <c r="H1214" i="2" s="1"/>
  <c r="C1294" i="2"/>
  <c r="D1294" i="2" s="1"/>
  <c r="E1236" i="2"/>
  <c r="F1236" i="2" s="1"/>
  <c r="I1214" i="2"/>
  <c r="J1214" i="2" s="1"/>
  <c r="E1254" i="2"/>
  <c r="F1254" i="2" s="1"/>
  <c r="C1290" i="2"/>
  <c r="D1290" i="2" s="1"/>
  <c r="I10" i="10"/>
  <c r="E1256" i="2"/>
  <c r="F1256" i="2" s="1"/>
  <c r="E1221" i="2"/>
  <c r="F1221" i="2" s="1"/>
  <c r="I1287" i="2"/>
  <c r="J1287" i="2" s="1"/>
  <c r="I1273" i="2"/>
  <c r="J1273" i="2" s="1"/>
  <c r="E1224" i="2"/>
  <c r="F1224" i="2" s="1"/>
  <c r="I1232" i="2"/>
  <c r="J1232" i="2" s="1"/>
  <c r="E1292" i="2"/>
  <c r="F1292" i="2" s="1"/>
  <c r="C1226" i="2"/>
  <c r="D1226" i="2" s="1"/>
  <c r="G1280" i="2"/>
  <c r="H1280" i="2" s="1"/>
  <c r="C1252" i="2"/>
  <c r="D1252" i="2" s="1"/>
  <c r="I1279" i="2"/>
  <c r="J1279" i="2" s="1"/>
  <c r="E1307" i="2"/>
  <c r="F1307" i="2" s="1"/>
  <c r="I1277" i="2"/>
  <c r="J1277" i="2" s="1"/>
  <c r="I1251" i="2"/>
  <c r="J1251" i="2" s="1"/>
  <c r="I1254" i="2"/>
  <c r="J1254" i="2" s="1"/>
  <c r="E1223" i="2"/>
  <c r="F1223" i="2" s="1"/>
  <c r="I1241" i="2"/>
  <c r="J1241" i="2" s="1"/>
  <c r="G1219" i="2"/>
  <c r="H1219" i="2" s="1"/>
  <c r="I1217" i="2"/>
  <c r="J1217" i="2" s="1"/>
  <c r="I1253" i="2"/>
  <c r="J1253" i="2" s="1"/>
  <c r="I1266" i="2"/>
  <c r="J1266" i="2" s="1"/>
  <c r="G1245" i="2"/>
  <c r="H1245" i="2" s="1"/>
  <c r="I1296" i="2"/>
  <c r="J1296" i="2" s="1"/>
  <c r="E1246" i="2"/>
  <c r="F1246" i="2" s="1"/>
  <c r="G1250" i="2"/>
  <c r="H1250" i="2" s="1"/>
  <c r="G1232" i="2"/>
  <c r="H1232" i="2" s="1"/>
  <c r="C1235" i="2"/>
  <c r="D1235" i="2" s="1"/>
  <c r="G1242" i="2"/>
  <c r="H1242" i="2" s="1"/>
  <c r="C1302" i="2"/>
  <c r="D1302" i="2" s="1"/>
  <c r="E1266" i="2"/>
  <c r="F1266" i="2" s="1"/>
  <c r="E1218" i="2"/>
  <c r="F1218" i="2" s="1"/>
  <c r="E1284" i="2"/>
  <c r="F1284" i="2" s="1"/>
  <c r="G1241" i="2"/>
  <c r="H1241" i="2" s="1"/>
  <c r="C1284" i="2"/>
  <c r="D1284" i="2" s="1"/>
  <c r="G1229" i="2"/>
  <c r="H1229" i="2" s="1"/>
  <c r="I1216" i="2"/>
  <c r="J1216" i="2" s="1"/>
  <c r="M982" i="2"/>
  <c r="M980" i="2" s="1"/>
  <c r="AC14" i="10" s="1"/>
  <c r="AI14" i="10" s="1"/>
  <c r="AJ14" i="10" s="1"/>
  <c r="I5" i="10"/>
  <c r="C1289" i="2"/>
  <c r="D1289" i="2" s="1"/>
  <c r="E1243" i="2"/>
  <c r="F1243" i="2" s="1"/>
  <c r="E1226" i="2"/>
  <c r="F1226" i="2" s="1"/>
  <c r="E1229" i="2"/>
  <c r="F1229" i="2" s="1"/>
  <c r="C1243" i="2"/>
  <c r="D1243" i="2" s="1"/>
  <c r="E1214" i="2"/>
  <c r="F1214" i="2" s="1"/>
  <c r="I1282" i="2"/>
  <c r="J1282" i="2" s="1"/>
  <c r="I1247" i="2"/>
  <c r="J1247" i="2" s="1"/>
  <c r="I1284" i="2"/>
  <c r="J1284" i="2" s="1"/>
  <c r="G1259" i="2"/>
  <c r="H1259" i="2" s="1"/>
  <c r="I1228" i="2"/>
  <c r="J1228" i="2" s="1"/>
  <c r="C1244" i="2"/>
  <c r="D1244" i="2" s="1"/>
  <c r="G1278" i="2"/>
  <c r="H1278" i="2" s="1"/>
  <c r="G1230" i="2"/>
  <c r="H1230" i="2" s="1"/>
  <c r="I1292" i="2"/>
  <c r="J1292" i="2" s="1"/>
  <c r="I90" i="10"/>
  <c r="G1274" i="2"/>
  <c r="H1274" i="2" s="1"/>
  <c r="I1310" i="2"/>
  <c r="J1310" i="2" s="1"/>
  <c r="G1277" i="2"/>
  <c r="H1277" i="2" s="1"/>
  <c r="G1227" i="2"/>
  <c r="H1227" i="2" s="1"/>
  <c r="G1286" i="2"/>
  <c r="H1286" i="2" s="1"/>
  <c r="I1244" i="2"/>
  <c r="J1244" i="2" s="1"/>
  <c r="C1283" i="2"/>
  <c r="D1283" i="2" s="1"/>
  <c r="I1220" i="2"/>
  <c r="J1220" i="2" s="1"/>
  <c r="I1236" i="2"/>
  <c r="J1236" i="2" s="1"/>
  <c r="E1306" i="2"/>
  <c r="F1306" i="2" s="1"/>
  <c r="C1223" i="2"/>
  <c r="D1223" i="2" s="1"/>
  <c r="G1256" i="2"/>
  <c r="H1256" i="2" s="1"/>
  <c r="C1266" i="2"/>
  <c r="D1266" i="2" s="1"/>
  <c r="I1248" i="2"/>
  <c r="J1248" i="2" s="1"/>
  <c r="E1248" i="2"/>
  <c r="F1248" i="2" s="1"/>
  <c r="C1271" i="2"/>
  <c r="D1271" i="2" s="1"/>
  <c r="E1249" i="2"/>
  <c r="F1249" i="2" s="1"/>
  <c r="I1278" i="2"/>
  <c r="J1278" i="2" s="1"/>
  <c r="I41" i="10"/>
  <c r="I11" i="10"/>
  <c r="I76" i="10"/>
  <c r="I91" i="10"/>
  <c r="I84" i="10"/>
  <c r="G1291" i="2"/>
  <c r="H1291" i="2" s="1"/>
  <c r="I1285" i="2"/>
  <c r="J1285" i="2" s="1"/>
  <c r="L37" i="10"/>
  <c r="L97" i="10"/>
  <c r="I68" i="10"/>
  <c r="L52" i="10"/>
  <c r="L11" i="10"/>
  <c r="L101" i="10"/>
  <c r="L91" i="10"/>
  <c r="L3" i="10"/>
  <c r="L35" i="10"/>
  <c r="J33" i="10"/>
  <c r="L12" i="10"/>
  <c r="E1235" i="2"/>
  <c r="F1235" i="2" s="1"/>
  <c r="C1239" i="2"/>
  <c r="D1239" i="2" s="1"/>
  <c r="E1241" i="2"/>
  <c r="F1241" i="2" s="1"/>
  <c r="E1212" i="2"/>
  <c r="Z88" i="10" s="1"/>
  <c r="C1230" i="2"/>
  <c r="D1230" i="2" s="1"/>
  <c r="G1248" i="2"/>
  <c r="H1248" i="2" s="1"/>
  <c r="G1240" i="2"/>
  <c r="H1240" i="2" s="1"/>
  <c r="E1303" i="2"/>
  <c r="F1303" i="2" s="1"/>
  <c r="I1229" i="2"/>
  <c r="J1229" i="2" s="1"/>
  <c r="C1273" i="2"/>
  <c r="D1273" i="2" s="1"/>
  <c r="I1240" i="2"/>
  <c r="J1240" i="2" s="1"/>
  <c r="C1238" i="2"/>
  <c r="D1238" i="2" s="1"/>
  <c r="C1259" i="2"/>
  <c r="D1259" i="2" s="1"/>
  <c r="G1297" i="2"/>
  <c r="H1297" i="2" s="1"/>
  <c r="I1299" i="2"/>
  <c r="J1299" i="2" s="1"/>
  <c r="C1219" i="2"/>
  <c r="D1219" i="2" s="1"/>
  <c r="I1300" i="2"/>
  <c r="J1300" i="2" s="1"/>
  <c r="G1264" i="2"/>
  <c r="H1264" i="2" s="1"/>
  <c r="C1274" i="2"/>
  <c r="D1274" i="2" s="1"/>
  <c r="C1249" i="2"/>
  <c r="D1249" i="2" s="1"/>
  <c r="E1277" i="2"/>
  <c r="F1277" i="2" s="1"/>
  <c r="C1277" i="2"/>
  <c r="D1277" i="2" s="1"/>
  <c r="I1213" i="2"/>
  <c r="J1213" i="2" s="1"/>
  <c r="I1264" i="2"/>
  <c r="J1264" i="2" s="1"/>
  <c r="G1243" i="2"/>
  <c r="H1243" i="2" s="1"/>
  <c r="I1291" i="2"/>
  <c r="J1291" i="2" s="1"/>
  <c r="G1258" i="2"/>
  <c r="H1258" i="2" s="1"/>
  <c r="C1268" i="2"/>
  <c r="D1268" i="2" s="1"/>
  <c r="I1246" i="2"/>
  <c r="J1246" i="2" s="1"/>
  <c r="C1258" i="2"/>
  <c r="D1258" i="2" s="1"/>
  <c r="I1306" i="2"/>
  <c r="J1306" i="2" s="1"/>
  <c r="G1253" i="2"/>
  <c r="H1253" i="2" s="1"/>
  <c r="I1307" i="2"/>
  <c r="J1307" i="2" s="1"/>
  <c r="G1292" i="2"/>
  <c r="H1292" i="2" s="1"/>
  <c r="C1278" i="2"/>
  <c r="D1278" i="2" s="1"/>
  <c r="B1206" i="2"/>
  <c r="C1242" i="2"/>
  <c r="D1242" i="2" s="1"/>
  <c r="E1264" i="2"/>
  <c r="F1264" i="2" s="1"/>
  <c r="C1279" i="2"/>
  <c r="D1279" i="2" s="1"/>
  <c r="C1281" i="2"/>
  <c r="D1281" i="2" s="1"/>
  <c r="C1300" i="2"/>
  <c r="D1300" i="2" s="1"/>
  <c r="I1269" i="2"/>
  <c r="J1269" i="2" s="1"/>
  <c r="G1298" i="2"/>
  <c r="H1298" i="2" s="1"/>
  <c r="G1293" i="2"/>
  <c r="H1293" i="2" s="1"/>
  <c r="C1303" i="2"/>
  <c r="D1303" i="2" s="1"/>
  <c r="C1228" i="2"/>
  <c r="D1228" i="2" s="1"/>
  <c r="G1285" i="2"/>
  <c r="H1285" i="2" s="1"/>
  <c r="I1239" i="2"/>
  <c r="J1239" i="2" s="1"/>
  <c r="I1280" i="2"/>
  <c r="J1280" i="2" s="1"/>
  <c r="G1260" i="2"/>
  <c r="H1260" i="2" s="1"/>
  <c r="C1232" i="2"/>
  <c r="D1232" i="2" s="1"/>
  <c r="L44" i="10"/>
  <c r="L85" i="10"/>
  <c r="I52" i="10"/>
  <c r="L20" i="10"/>
  <c r="I19" i="10"/>
  <c r="L59" i="10"/>
  <c r="L86" i="10"/>
  <c r="L33" i="10"/>
  <c r="C1227" i="2"/>
  <c r="D1227" i="2" s="1"/>
  <c r="E1310" i="2"/>
  <c r="F1310" i="2" s="1"/>
  <c r="G1300" i="2"/>
  <c r="H1300" i="2" s="1"/>
  <c r="I1242" i="2"/>
  <c r="J1242" i="2" s="1"/>
  <c r="E1216" i="2"/>
  <c r="F1216" i="2" s="1"/>
  <c r="G1269" i="2"/>
  <c r="H1269" i="2" s="1"/>
  <c r="I1301" i="2"/>
  <c r="J1301" i="2" s="1"/>
  <c r="C1233" i="2"/>
  <c r="D1233" i="2" s="1"/>
  <c r="G1295" i="2"/>
  <c r="H1295" i="2" s="1"/>
  <c r="I1245" i="2"/>
  <c r="J1245" i="2" s="1"/>
  <c r="E1301" i="2"/>
  <c r="F1301" i="2" s="1"/>
  <c r="G1311" i="2"/>
  <c r="H1311" i="2" s="1"/>
  <c r="I1252" i="2"/>
  <c r="J1252" i="2" s="1"/>
  <c r="C1255" i="2"/>
  <c r="D1255" i="2" s="1"/>
  <c r="I1275" i="2"/>
  <c r="J1275" i="2" s="1"/>
  <c r="E1268" i="2"/>
  <c r="F1268" i="2" s="1"/>
  <c r="E1258" i="2"/>
  <c r="F1258" i="2" s="1"/>
  <c r="C1231" i="2"/>
  <c r="D1231" i="2" s="1"/>
  <c r="C1311" i="2"/>
  <c r="D1311" i="2" s="1"/>
  <c r="I1297" i="2"/>
  <c r="J1297" i="2" s="1"/>
  <c r="E1253" i="2"/>
  <c r="F1253" i="2" s="1"/>
  <c r="E1239" i="2"/>
  <c r="F1239" i="2" s="1"/>
  <c r="I1234" i="2"/>
  <c r="J1234" i="2" s="1"/>
  <c r="C1309" i="2"/>
  <c r="D1309" i="2" s="1"/>
  <c r="E1280" i="2"/>
  <c r="F1280" i="2" s="1"/>
  <c r="E1278" i="2"/>
  <c r="F1278" i="2" s="1"/>
  <c r="I1235" i="2"/>
  <c r="J1235" i="2" s="1"/>
  <c r="E1238" i="2"/>
  <c r="F1238" i="2" s="1"/>
  <c r="I1223" i="2"/>
  <c r="J1223" i="2" s="1"/>
  <c r="C1280" i="2"/>
  <c r="D1280" i="2" s="1"/>
  <c r="G1224" i="2"/>
  <c r="H1224" i="2" s="1"/>
  <c r="E1232" i="2"/>
  <c r="F1232" i="2" s="1"/>
  <c r="G1302" i="2"/>
  <c r="H1302" i="2" s="1"/>
  <c r="I1260" i="2"/>
  <c r="J1260" i="2" s="1"/>
  <c r="G1218" i="2"/>
  <c r="H1218" i="2" s="1"/>
  <c r="I1271" i="2"/>
  <c r="J1271" i="2" s="1"/>
  <c r="I1249" i="2"/>
  <c r="J1249" i="2" s="1"/>
  <c r="I1258" i="2"/>
  <c r="J1258" i="2" s="1"/>
  <c r="G1226" i="2"/>
  <c r="H1226" i="2" s="1"/>
  <c r="C1248" i="2"/>
  <c r="D1248" i="2" s="1"/>
  <c r="C1224" i="2"/>
  <c r="D1224" i="2" s="1"/>
  <c r="I1265" i="2"/>
  <c r="J1265" i="2" s="1"/>
  <c r="C1236" i="2"/>
  <c r="D1236" i="2" s="1"/>
  <c r="C1275" i="2"/>
  <c r="D1275" i="2" s="1"/>
  <c r="E1219" i="2"/>
  <c r="F1219" i="2" s="1"/>
  <c r="J63" i="10"/>
  <c r="L19" i="10"/>
  <c r="I86" i="10"/>
  <c r="I95" i="10"/>
  <c r="L67" i="10"/>
  <c r="L1335" i="2"/>
  <c r="K13" i="15" s="1"/>
  <c r="I1230" i="2"/>
  <c r="J1230" i="2" s="1"/>
  <c r="G1246" i="2"/>
  <c r="H1246" i="2" s="1"/>
  <c r="E1295" i="2"/>
  <c r="F1295" i="2" s="1"/>
  <c r="E1275" i="2"/>
  <c r="F1275" i="2" s="1"/>
  <c r="G1215" i="2"/>
  <c r="H1215" i="2" s="1"/>
  <c r="E1265" i="2"/>
  <c r="F1265" i="2" s="1"/>
  <c r="G1212" i="2"/>
  <c r="AA107" i="10" s="1"/>
  <c r="I1288" i="2"/>
  <c r="J1288" i="2" s="1"/>
  <c r="C1260" i="2"/>
  <c r="D1260" i="2" s="1"/>
  <c r="G1287" i="2"/>
  <c r="H1287" i="2" s="1"/>
  <c r="E1273" i="2"/>
  <c r="F1273" i="2" s="1"/>
  <c r="G1288" i="2"/>
  <c r="H1288" i="2" s="1"/>
  <c r="C1308" i="2"/>
  <c r="D1308" i="2" s="1"/>
  <c r="E1288" i="2"/>
  <c r="F1288" i="2" s="1"/>
  <c r="I1311" i="2"/>
  <c r="J1311" i="2" s="1"/>
  <c r="I1222" i="2"/>
  <c r="J1222" i="2" s="1"/>
  <c r="E1227" i="2"/>
  <c r="F1227" i="2" s="1"/>
  <c r="I1256" i="2"/>
  <c r="J1256" i="2" s="1"/>
  <c r="C1221" i="2"/>
  <c r="D1221" i="2" s="1"/>
  <c r="E1272" i="2"/>
  <c r="F1272" i="2" s="1"/>
  <c r="I1224" i="2"/>
  <c r="J1224" i="2" s="1"/>
  <c r="E1281" i="2"/>
  <c r="F1281" i="2" s="1"/>
  <c r="G1307" i="2"/>
  <c r="H1307" i="2" s="1"/>
  <c r="G1221" i="2"/>
  <c r="H1221" i="2" s="1"/>
  <c r="G1305" i="2"/>
  <c r="H1305" i="2" s="1"/>
  <c r="G1299" i="2"/>
  <c r="H1299" i="2" s="1"/>
  <c r="G1239" i="2"/>
  <c r="H1239" i="2" s="1"/>
  <c r="G1283" i="2"/>
  <c r="H1283" i="2" s="1"/>
  <c r="I1215" i="2"/>
  <c r="J1215" i="2" s="1"/>
  <c r="I1231" i="2"/>
  <c r="J1231" i="2" s="1"/>
  <c r="I1295" i="2"/>
  <c r="J1295" i="2" s="1"/>
  <c r="G1294" i="2"/>
  <c r="H1294" i="2" s="1"/>
  <c r="G1213" i="2"/>
  <c r="H1213" i="2" s="1"/>
  <c r="C1305" i="2"/>
  <c r="D1305" i="2" s="1"/>
  <c r="E1290" i="2"/>
  <c r="F1290" i="2" s="1"/>
  <c r="I1298" i="2"/>
  <c r="J1298" i="2" s="1"/>
  <c r="C1267" i="2"/>
  <c r="D1267" i="2" s="1"/>
  <c r="I1302" i="2"/>
  <c r="J1302" i="2" s="1"/>
  <c r="E1242" i="2"/>
  <c r="F1242" i="2" s="1"/>
  <c r="G1290" i="2"/>
  <c r="H1290" i="2" s="1"/>
  <c r="C1301" i="2"/>
  <c r="D1301" i="2" s="1"/>
  <c r="E1309" i="2"/>
  <c r="F1309" i="2" s="1"/>
  <c r="C1286" i="2"/>
  <c r="D1286" i="2" s="1"/>
  <c r="C1256" i="2"/>
  <c r="D1256" i="2" s="1"/>
  <c r="G1270" i="2"/>
  <c r="H1270" i="2" s="1"/>
  <c r="C1298" i="2"/>
  <c r="D1298" i="2" s="1"/>
  <c r="I1281" i="2"/>
  <c r="J1281" i="2" s="1"/>
  <c r="C1304" i="2"/>
  <c r="D1304" i="2" s="1"/>
  <c r="C1250" i="2"/>
  <c r="D1250" i="2" s="1"/>
  <c r="E1294" i="2"/>
  <c r="F1294" i="2" s="1"/>
  <c r="E1231" i="2"/>
  <c r="F1231" i="2" s="1"/>
  <c r="E1296" i="2"/>
  <c r="F1296" i="2" s="1"/>
  <c r="C1287" i="2"/>
  <c r="D1287" i="2" s="1"/>
  <c r="I1219" i="2"/>
  <c r="J1219" i="2" s="1"/>
  <c r="C1310" i="2"/>
  <c r="D1310" i="2" s="1"/>
  <c r="G1268" i="2"/>
  <c r="H1268" i="2" s="1"/>
  <c r="C1215" i="2"/>
  <c r="D1215" i="2" s="1"/>
  <c r="E1276" i="2"/>
  <c r="F1276" i="2" s="1"/>
  <c r="I1304" i="2"/>
  <c r="J1304" i="2" s="1"/>
  <c r="E1217" i="2"/>
  <c r="F1217" i="2" s="1"/>
  <c r="G1279" i="2"/>
  <c r="H1279" i="2" s="1"/>
  <c r="G1266" i="2"/>
  <c r="H1266" i="2" s="1"/>
  <c r="L83" i="10"/>
  <c r="L15" i="10"/>
  <c r="L71" i="10"/>
  <c r="L36" i="10"/>
  <c r="E1299" i="2"/>
  <c r="F1299" i="2" s="1"/>
  <c r="I1257" i="2"/>
  <c r="J1257" i="2" s="1"/>
  <c r="E1230" i="2"/>
  <c r="F1230" i="2" s="1"/>
  <c r="E1237" i="2"/>
  <c r="F1237" i="2" s="1"/>
  <c r="C1253" i="2"/>
  <c r="D1253" i="2" s="1"/>
  <c r="G1234" i="2"/>
  <c r="H1234" i="2" s="1"/>
  <c r="E1291" i="2"/>
  <c r="F1291" i="2" s="1"/>
  <c r="C1222" i="2"/>
  <c r="D1222" i="2" s="1"/>
  <c r="G1252" i="2"/>
  <c r="H1252" i="2" s="1"/>
  <c r="C1251" i="2"/>
  <c r="D1251" i="2" s="1"/>
  <c r="C1282" i="2"/>
  <c r="D1282" i="2" s="1"/>
  <c r="E1279" i="2"/>
  <c r="F1279" i="2" s="1"/>
  <c r="G1309" i="2"/>
  <c r="H1309" i="2" s="1"/>
  <c r="E1305" i="2"/>
  <c r="F1305" i="2" s="1"/>
  <c r="I1294" i="2"/>
  <c r="J1294" i="2" s="1"/>
  <c r="I1250" i="2"/>
  <c r="J1250" i="2" s="1"/>
  <c r="G1284" i="2"/>
  <c r="H1284" i="2" s="1"/>
  <c r="G1233" i="2"/>
  <c r="H1233" i="2" s="1"/>
  <c r="E1293" i="2"/>
  <c r="F1293" i="2" s="1"/>
  <c r="C1296" i="2"/>
  <c r="D1296" i="2" s="1"/>
  <c r="C1247" i="2"/>
  <c r="D1247" i="2" s="1"/>
  <c r="I1276" i="2"/>
  <c r="J1276" i="2" s="1"/>
  <c r="G1238" i="2"/>
  <c r="H1238" i="2" s="1"/>
  <c r="I1267" i="2"/>
  <c r="J1267" i="2" s="1"/>
  <c r="I1293" i="2"/>
  <c r="J1293" i="2" s="1"/>
  <c r="E1304" i="2"/>
  <c r="F1304" i="2" s="1"/>
  <c r="G1231" i="2"/>
  <c r="H1231" i="2" s="1"/>
  <c r="I1237" i="2"/>
  <c r="J1237" i="2" s="1"/>
  <c r="I1274" i="2"/>
  <c r="J1274" i="2" s="1"/>
  <c r="C1291" i="2"/>
  <c r="D1291" i="2" s="1"/>
  <c r="C1225" i="2"/>
  <c r="D1225" i="2" s="1"/>
  <c r="I1289" i="2"/>
  <c r="J1289" i="2" s="1"/>
  <c r="I1226" i="2"/>
  <c r="J1226" i="2" s="1"/>
  <c r="C1257" i="2"/>
  <c r="D1257" i="2" s="1"/>
  <c r="C1264" i="2"/>
  <c r="D1264" i="2" s="1"/>
  <c r="E1269" i="2"/>
  <c r="F1269" i="2" s="1"/>
  <c r="G1273" i="2"/>
  <c r="H1273" i="2" s="1"/>
  <c r="G1276" i="2"/>
  <c r="H1276" i="2" s="1"/>
  <c r="E1267" i="2"/>
  <c r="F1267" i="2" s="1"/>
  <c r="C1293" i="2"/>
  <c r="D1293" i="2" s="1"/>
  <c r="L32" i="10"/>
  <c r="L78" i="10"/>
  <c r="I30" i="10"/>
  <c r="L41" i="10"/>
  <c r="I36" i="10"/>
  <c r="L42" i="10"/>
  <c r="L63" i="10"/>
  <c r="L79" i="10"/>
  <c r="L95" i="10"/>
  <c r="AK1434" i="2"/>
  <c r="AO1434" i="2" s="1"/>
  <c r="AS1434" i="2" s="1"/>
  <c r="O1441" i="2"/>
  <c r="F335" i="2"/>
  <c r="L1355" i="2"/>
  <c r="N1355" i="2" s="1"/>
  <c r="L1351" i="2"/>
  <c r="N1351" i="2" s="1"/>
  <c r="L1358" i="2"/>
  <c r="N1358" i="2" s="1"/>
  <c r="L1357" i="2"/>
  <c r="N1357" i="2" s="1"/>
  <c r="L1350" i="2"/>
  <c r="N1350" i="2" s="1"/>
  <c r="L1354" i="2"/>
  <c r="N1354" i="2" s="1"/>
  <c r="L1353" i="2"/>
  <c r="N1353" i="2" s="1"/>
  <c r="L1356" i="2"/>
  <c r="N1356" i="2" s="1"/>
  <c r="L1352" i="2"/>
  <c r="N1352" i="2" s="1"/>
  <c r="L321" i="2"/>
  <c r="L325" i="2" s="1"/>
  <c r="L320" i="2"/>
  <c r="L327" i="2"/>
  <c r="L328" i="2" s="1"/>
  <c r="L329" i="2" s="1"/>
  <c r="BD769" i="2"/>
  <c r="BE769" i="2" s="1"/>
  <c r="L319" i="2"/>
  <c r="L317" i="2" s="1"/>
  <c r="X20" i="16" s="1"/>
  <c r="L322" i="2"/>
  <c r="BD768" i="2"/>
  <c r="BE768" i="2" s="1"/>
  <c r="R768" i="2"/>
  <c r="S768" i="2" s="1"/>
  <c r="L326" i="2"/>
  <c r="J97" i="10"/>
  <c r="K29" i="10"/>
  <c r="J40" i="10"/>
  <c r="J21" i="10"/>
  <c r="J71" i="10"/>
  <c r="L7" i="10"/>
  <c r="I107" i="10"/>
  <c r="L47" i="10"/>
  <c r="L45" i="10"/>
  <c r="J78" i="10"/>
  <c r="J66" i="10"/>
  <c r="L43" i="10"/>
  <c r="L54" i="10"/>
  <c r="J47" i="10"/>
  <c r="L82" i="10"/>
  <c r="J19" i="10"/>
  <c r="K79" i="10"/>
  <c r="L92" i="10"/>
  <c r="J25" i="10"/>
  <c r="L28" i="10"/>
  <c r="J85" i="10"/>
  <c r="L104" i="10"/>
  <c r="L17" i="10"/>
  <c r="L57" i="10"/>
  <c r="K76" i="10"/>
  <c r="L48" i="10"/>
  <c r="L8" i="10"/>
  <c r="L93" i="10"/>
  <c r="J75" i="10"/>
  <c r="J83" i="10"/>
  <c r="J51" i="10"/>
  <c r="L84" i="10"/>
  <c r="L56" i="10"/>
  <c r="Z89" i="2"/>
  <c r="M57" i="2" s="1"/>
  <c r="I112" i="10"/>
  <c r="K104" i="10"/>
  <c r="K62" i="10"/>
  <c r="K67" i="10"/>
  <c r="K93" i="10"/>
  <c r="K25" i="10"/>
  <c r="K94" i="10"/>
  <c r="K51" i="10"/>
  <c r="K13" i="10"/>
  <c r="K11" i="10"/>
  <c r="K42" i="10"/>
  <c r="K83" i="10"/>
  <c r="K61" i="10"/>
  <c r="K37" i="10"/>
  <c r="K33" i="10"/>
  <c r="K46" i="10"/>
  <c r="K91" i="10"/>
  <c r="K52" i="10"/>
  <c r="K5" i="10"/>
  <c r="K58" i="10"/>
  <c r="K3" i="10"/>
  <c r="K59" i="10"/>
  <c r="K49" i="10"/>
  <c r="K19" i="10"/>
  <c r="K7" i="10"/>
  <c r="K71" i="10"/>
  <c r="K16" i="10"/>
  <c r="K72" i="10"/>
  <c r="K112" i="10"/>
  <c r="K107" i="10"/>
  <c r="K56" i="10"/>
  <c r="K35" i="10"/>
  <c r="K18" i="10"/>
  <c r="K21" i="10"/>
  <c r="K74" i="10"/>
  <c r="K66" i="10"/>
  <c r="K68" i="10"/>
  <c r="BD770" i="2"/>
  <c r="BE770" i="2" s="1"/>
  <c r="R771" i="2"/>
  <c r="S771" i="2" s="1"/>
  <c r="K78" i="10"/>
  <c r="K85" i="10"/>
  <c r="K10" i="10"/>
  <c r="K81" i="10"/>
  <c r="D778" i="2"/>
  <c r="C780" i="2"/>
  <c r="K88" i="10"/>
  <c r="K63" i="10"/>
  <c r="K69" i="10"/>
  <c r="K84" i="10"/>
  <c r="K28" i="10"/>
  <c r="Z88" i="2"/>
  <c r="M56" i="2" s="1"/>
  <c r="K75" i="10"/>
  <c r="R1211" i="2"/>
  <c r="S1211" i="2" s="1"/>
  <c r="T1211" i="2"/>
  <c r="U1211" i="2" s="1"/>
  <c r="V1211" i="2"/>
  <c r="W1211" i="2" s="1"/>
  <c r="X1211" i="2"/>
  <c r="Y1211" i="2" s="1"/>
  <c r="T1212" i="2"/>
  <c r="U1212" i="2" s="1"/>
  <c r="R1212" i="2"/>
  <c r="S1212" i="2" s="1"/>
  <c r="X1213" i="2"/>
  <c r="Y1213" i="2" s="1"/>
  <c r="T1214" i="2"/>
  <c r="U1214" i="2" s="1"/>
  <c r="R1213" i="2"/>
  <c r="S1213" i="2" s="1"/>
  <c r="V1214" i="2"/>
  <c r="W1214" i="2" s="1"/>
  <c r="X1214" i="2"/>
  <c r="Y1214" i="2" s="1"/>
  <c r="X1212" i="2"/>
  <c r="Y1212" i="2" s="1"/>
  <c r="R1214" i="2"/>
  <c r="S1214" i="2" s="1"/>
  <c r="T1213" i="2"/>
  <c r="U1213" i="2" s="1"/>
  <c r="V1212" i="2"/>
  <c r="W1212" i="2" s="1"/>
  <c r="V1213" i="2"/>
  <c r="W1213" i="2" s="1"/>
  <c r="I1305" i="2"/>
  <c r="J1305" i="2" s="1"/>
  <c r="E1252" i="2"/>
  <c r="F1252" i="2" s="1"/>
  <c r="C1276" i="2"/>
  <c r="D1276" i="2" s="1"/>
  <c r="I1308" i="2"/>
  <c r="J1308" i="2" s="1"/>
  <c r="E1247" i="2"/>
  <c r="F1247" i="2" s="1"/>
  <c r="C1217" i="2"/>
  <c r="D1217" i="2" s="1"/>
  <c r="E1274" i="2"/>
  <c r="F1274" i="2" s="1"/>
  <c r="G1257" i="2"/>
  <c r="H1257" i="2" s="1"/>
  <c r="C1240" i="2"/>
  <c r="D1240" i="2" s="1"/>
  <c r="G1216" i="2"/>
  <c r="H1216" i="2" s="1"/>
  <c r="C1270" i="2"/>
  <c r="D1270" i="2" s="1"/>
  <c r="E1240" i="2"/>
  <c r="F1240" i="2" s="1"/>
  <c r="E1250" i="2"/>
  <c r="F1250" i="2" s="1"/>
  <c r="G1265" i="2"/>
  <c r="H1265" i="2" s="1"/>
  <c r="C1288" i="2"/>
  <c r="D1288" i="2" s="1"/>
  <c r="E1215" i="2"/>
  <c r="F1215" i="2" s="1"/>
  <c r="E1285" i="2"/>
  <c r="F1285" i="2" s="1"/>
  <c r="G1304" i="2"/>
  <c r="H1304" i="2" s="1"/>
  <c r="E1311" i="2"/>
  <c r="F1311" i="2" s="1"/>
  <c r="E1300" i="2"/>
  <c r="F1300" i="2" s="1"/>
  <c r="I1212" i="2"/>
  <c r="AB46" i="10" s="1"/>
  <c r="C1212" i="2"/>
  <c r="Y46" i="10" s="1"/>
  <c r="I1238" i="2"/>
  <c r="J1238" i="2" s="1"/>
  <c r="E1220" i="2"/>
  <c r="F1220" i="2" s="1"/>
  <c r="G1249" i="2"/>
  <c r="H1249" i="2" s="1"/>
  <c r="C1295" i="2"/>
  <c r="D1295" i="2" s="1"/>
  <c r="E1287" i="2"/>
  <c r="F1287" i="2" s="1"/>
  <c r="I1255" i="2"/>
  <c r="J1255" i="2" s="1"/>
  <c r="C1234" i="2"/>
  <c r="D1234" i="2" s="1"/>
  <c r="G1306" i="2"/>
  <c r="H1306" i="2" s="1"/>
  <c r="I1227" i="2"/>
  <c r="J1227" i="2" s="1"/>
  <c r="C1299" i="2"/>
  <c r="D1299" i="2" s="1"/>
  <c r="G1222" i="2"/>
  <c r="H1222" i="2" s="1"/>
  <c r="E1233" i="2"/>
  <c r="F1233" i="2" s="1"/>
  <c r="E1297" i="2"/>
  <c r="F1297" i="2" s="1"/>
  <c r="E1234" i="2"/>
  <c r="F1234" i="2" s="1"/>
  <c r="G1244" i="2"/>
  <c r="H1244" i="2" s="1"/>
  <c r="I1290" i="2"/>
  <c r="J1290" i="2" s="1"/>
  <c r="E1225" i="2"/>
  <c r="F1225" i="2" s="1"/>
  <c r="E1270" i="2"/>
  <c r="F1270" i="2" s="1"/>
  <c r="G1254" i="2"/>
  <c r="H1254" i="2" s="1"/>
  <c r="I1268" i="2"/>
  <c r="J1268" i="2" s="1"/>
  <c r="G1225" i="2"/>
  <c r="H1225" i="2" s="1"/>
  <c r="C1213" i="2"/>
  <c r="D1213" i="2" s="1"/>
  <c r="C1218" i="2"/>
  <c r="D1218" i="2" s="1"/>
  <c r="G1251" i="2"/>
  <c r="H1251" i="2" s="1"/>
  <c r="E1244" i="2"/>
  <c r="F1244" i="2" s="1"/>
  <c r="G1282" i="2"/>
  <c r="H1282" i="2" s="1"/>
  <c r="G1308" i="2"/>
  <c r="H1308" i="2" s="1"/>
  <c r="I1309" i="2"/>
  <c r="J1309" i="2" s="1"/>
  <c r="G1271" i="2"/>
  <c r="H1271" i="2" s="1"/>
  <c r="G1220" i="2"/>
  <c r="H1220" i="2" s="1"/>
  <c r="G1247" i="2"/>
  <c r="H1247" i="2" s="1"/>
  <c r="C1220" i="2"/>
  <c r="D1220" i="2" s="1"/>
  <c r="C1265" i="2"/>
  <c r="D1265" i="2" s="1"/>
  <c r="E1308" i="2"/>
  <c r="F1308" i="2" s="1"/>
  <c r="C1307" i="2"/>
  <c r="D1307" i="2" s="1"/>
  <c r="G1228" i="2"/>
  <c r="H1228" i="2" s="1"/>
  <c r="G1267" i="2"/>
  <c r="H1267" i="2" s="1"/>
  <c r="G1296" i="2"/>
  <c r="H1296" i="2" s="1"/>
  <c r="I1243" i="2"/>
  <c r="J1243" i="2" s="1"/>
  <c r="I1218" i="2"/>
  <c r="J1218" i="2" s="1"/>
  <c r="G1281" i="2"/>
  <c r="H1281" i="2" s="1"/>
  <c r="I1233" i="2"/>
  <c r="J1233" i="2" s="1"/>
  <c r="E1271" i="2"/>
  <c r="F1271" i="2" s="1"/>
  <c r="I1272" i="2"/>
  <c r="J1272" i="2" s="1"/>
  <c r="G1310" i="2"/>
  <c r="H1310" i="2" s="1"/>
  <c r="AB435" i="2"/>
  <c r="L435" i="2" s="1"/>
  <c r="N435" i="2" s="1"/>
  <c r="K40" i="10"/>
  <c r="K95" i="10"/>
  <c r="K44" i="10"/>
  <c r="K36" i="10"/>
  <c r="C1057" i="2"/>
  <c r="K99" i="10"/>
  <c r="C1101" i="2"/>
  <c r="C1105" i="2"/>
  <c r="K43" i="10"/>
  <c r="K15" i="10"/>
  <c r="K101" i="10"/>
  <c r="K32" i="10"/>
  <c r="K41" i="10"/>
  <c r="K90" i="10"/>
  <c r="J48" i="10"/>
  <c r="J46" i="10"/>
  <c r="J69" i="10"/>
  <c r="J91" i="10"/>
  <c r="J42" i="10"/>
  <c r="J41" i="10"/>
  <c r="J13" i="10"/>
  <c r="J43" i="10"/>
  <c r="J57" i="10"/>
  <c r="J16" i="10"/>
  <c r="J93" i="10"/>
  <c r="J10" i="10"/>
  <c r="J95" i="10"/>
  <c r="J79" i="10"/>
  <c r="J49" i="10"/>
  <c r="K17" i="10"/>
  <c r="J86" i="10"/>
  <c r="K64" i="10"/>
  <c r="K92" i="10"/>
  <c r="K86" i="10"/>
  <c r="J17" i="10"/>
  <c r="I57" i="10"/>
  <c r="I92" i="10"/>
  <c r="L40" i="10"/>
  <c r="I25" i="10"/>
  <c r="I33" i="10"/>
  <c r="I47" i="10"/>
  <c r="L55" i="10"/>
  <c r="L75" i="10"/>
  <c r="L10" i="10"/>
  <c r="I48" i="10"/>
  <c r="L25" i="10"/>
  <c r="L58" i="10"/>
  <c r="I93" i="10"/>
  <c r="L53" i="10"/>
  <c r="L62" i="10"/>
  <c r="BB338" i="2"/>
  <c r="BH335" i="2"/>
  <c r="BI335" i="2" s="1"/>
  <c r="R338" i="2" s="1"/>
  <c r="I45" i="10"/>
  <c r="Z86" i="2"/>
  <c r="M54" i="2" s="1"/>
  <c r="BD771" i="2"/>
  <c r="BE771" i="2" s="1"/>
  <c r="R772" i="2"/>
  <c r="S772" i="2" s="1"/>
  <c r="K289" i="2"/>
  <c r="L39" i="11" s="1"/>
  <c r="C375" i="2"/>
  <c r="B375" i="2" s="1"/>
  <c r="AK19" i="16" s="1"/>
  <c r="G56" i="10"/>
  <c r="J106" i="10"/>
  <c r="J98" i="10"/>
  <c r="J60" i="10"/>
  <c r="J34" i="10"/>
  <c r="J65" i="10"/>
  <c r="J70" i="10"/>
  <c r="K180" i="2"/>
  <c r="J31" i="10"/>
  <c r="J108" i="10"/>
  <c r="J110" i="10"/>
  <c r="J105" i="10"/>
  <c r="J100" i="10"/>
  <c r="J102" i="10"/>
  <c r="J2" i="10"/>
  <c r="J4" i="10"/>
  <c r="J111" i="10"/>
  <c r="J104" i="10"/>
  <c r="J50" i="10"/>
  <c r="J22" i="10"/>
  <c r="J89" i="10"/>
  <c r="J81" i="10"/>
  <c r="J87" i="10"/>
  <c r="J77" i="10"/>
  <c r="J14" i="10"/>
  <c r="J6" i="10"/>
  <c r="J24" i="10"/>
  <c r="J96" i="10"/>
  <c r="J68" i="10"/>
  <c r="J39" i="10"/>
  <c r="J9" i="10"/>
  <c r="J80" i="10"/>
  <c r="J109" i="10"/>
  <c r="J107" i="10"/>
  <c r="J103" i="10"/>
  <c r="J26" i="10"/>
  <c r="J53" i="10"/>
  <c r="J59" i="10"/>
  <c r="J27" i="10"/>
  <c r="J3" i="10"/>
  <c r="J23" i="10"/>
  <c r="J32" i="10"/>
  <c r="J82" i="10"/>
  <c r="I53" i="10"/>
  <c r="J73" i="10"/>
  <c r="I17" i="10"/>
  <c r="J7" i="10"/>
  <c r="J112" i="10"/>
  <c r="J74" i="10"/>
  <c r="C876" i="2"/>
  <c r="J20" i="10"/>
  <c r="I101" i="10"/>
  <c r="I88" i="10"/>
  <c r="J15" i="10"/>
  <c r="I16" i="10"/>
  <c r="I20" i="10"/>
  <c r="I13" i="10"/>
  <c r="I74" i="10"/>
  <c r="I94" i="10"/>
  <c r="I69" i="10"/>
  <c r="I43" i="10"/>
  <c r="K48" i="10"/>
  <c r="J54" i="10"/>
  <c r="K8" i="10"/>
  <c r="J58" i="10"/>
  <c r="J28" i="10"/>
  <c r="J56" i="10"/>
  <c r="J67" i="10"/>
  <c r="J88" i="10"/>
  <c r="K178" i="2"/>
  <c r="L105" i="10"/>
  <c r="L34" i="10"/>
  <c r="L111" i="10"/>
  <c r="L6" i="10"/>
  <c r="L9" i="10"/>
  <c r="L106" i="10"/>
  <c r="L39" i="10"/>
  <c r="L87" i="10"/>
  <c r="L22" i="10"/>
  <c r="L24" i="10"/>
  <c r="L103" i="10"/>
  <c r="L109" i="10"/>
  <c r="L60" i="10"/>
  <c r="L14" i="10"/>
  <c r="L100" i="10"/>
  <c r="L96" i="10"/>
  <c r="L2" i="10"/>
  <c r="L108" i="10"/>
  <c r="L50" i="10"/>
  <c r="L65" i="10"/>
  <c r="L98" i="10"/>
  <c r="L102" i="10"/>
  <c r="L26" i="10"/>
  <c r="L89" i="10"/>
  <c r="L110" i="10"/>
  <c r="L77" i="10"/>
  <c r="L13" i="10"/>
  <c r="L4" i="10"/>
  <c r="L27" i="10"/>
  <c r="L107" i="10"/>
  <c r="L70" i="10"/>
  <c r="L80" i="10"/>
  <c r="L31" i="10"/>
  <c r="L73" i="10"/>
  <c r="J62" i="10"/>
  <c r="I75" i="10"/>
  <c r="L112" i="10"/>
  <c r="J11" i="10"/>
  <c r="C394" i="2" a="1"/>
  <c r="C394" i="2" s="1"/>
  <c r="C1079" i="2"/>
  <c r="C896" i="2"/>
  <c r="C869" i="2"/>
  <c r="C820" i="2"/>
  <c r="I32" i="10"/>
  <c r="I15" i="10"/>
  <c r="J38" i="10"/>
  <c r="I21" i="10"/>
  <c r="I99" i="10"/>
  <c r="I63" i="10"/>
  <c r="I7" i="10"/>
  <c r="I46" i="10"/>
  <c r="I59" i="10"/>
  <c r="I51" i="10"/>
  <c r="J18" i="10"/>
  <c r="I3" i="10"/>
  <c r="I35" i="10"/>
  <c r="J8" i="10"/>
  <c r="I58" i="10"/>
  <c r="I28" i="10"/>
  <c r="I56" i="10"/>
  <c r="I72" i="10"/>
  <c r="K9" i="10"/>
  <c r="K34" i="10"/>
  <c r="K24" i="10"/>
  <c r="K60" i="10"/>
  <c r="K31" i="10"/>
  <c r="K87" i="10"/>
  <c r="K103" i="10"/>
  <c r="K110" i="10"/>
  <c r="K50" i="10"/>
  <c r="K39" i="10"/>
  <c r="K111" i="10"/>
  <c r="K96" i="10"/>
  <c r="K77" i="10"/>
  <c r="K98" i="10"/>
  <c r="K14" i="10"/>
  <c r="K2" i="10"/>
  <c r="K27" i="10"/>
  <c r="K179" i="2"/>
  <c r="K100" i="10"/>
  <c r="K22" i="10"/>
  <c r="K106" i="10"/>
  <c r="K105" i="10"/>
  <c r="K70" i="10"/>
  <c r="K108" i="10"/>
  <c r="K89" i="10"/>
  <c r="K26" i="10"/>
  <c r="K109" i="10"/>
  <c r="K82" i="10"/>
  <c r="K4" i="10"/>
  <c r="K102" i="10"/>
  <c r="K80" i="10"/>
  <c r="K73" i="10"/>
  <c r="K65" i="10"/>
  <c r="K45" i="10"/>
  <c r="K6" i="10"/>
  <c r="K23" i="10"/>
  <c r="K53" i="10"/>
  <c r="J99" i="10"/>
  <c r="K12" i="10"/>
  <c r="J101" i="10"/>
  <c r="J37" i="10"/>
  <c r="C807" i="2"/>
  <c r="C874" i="2"/>
  <c r="C814" i="2"/>
  <c r="C821" i="2"/>
  <c r="C846" i="2"/>
  <c r="C856" i="2"/>
  <c r="I85" i="10"/>
  <c r="I42" i="10"/>
  <c r="I81" i="10"/>
  <c r="C844" i="2"/>
  <c r="C800" i="2"/>
  <c r="I37" i="10"/>
  <c r="I44" i="10"/>
  <c r="I83" i="10"/>
  <c r="J72" i="10"/>
  <c r="H58" i="2"/>
  <c r="I71" i="10"/>
  <c r="I38" i="10"/>
  <c r="AN435" i="2"/>
  <c r="Q435" i="2" s="1"/>
  <c r="J29" i="10"/>
  <c r="J76" i="10"/>
  <c r="I79" i="10"/>
  <c r="I64" i="10"/>
  <c r="J35" i="10"/>
  <c r="I54" i="10"/>
  <c r="I8" i="10"/>
  <c r="J90" i="10"/>
  <c r="K47" i="10"/>
  <c r="I104" i="10"/>
  <c r="J5" i="10"/>
  <c r="K55" i="10"/>
  <c r="I82" i="10"/>
  <c r="C1098" i="2"/>
  <c r="I2" i="10"/>
  <c r="G63" i="10"/>
  <c r="G54" i="10"/>
  <c r="G77" i="10"/>
  <c r="G85" i="10"/>
  <c r="G87" i="10"/>
  <c r="G43" i="10"/>
  <c r="G96" i="10"/>
  <c r="G58" i="10"/>
  <c r="G108" i="10"/>
  <c r="I27" i="10"/>
  <c r="G37" i="10"/>
  <c r="G68" i="10"/>
  <c r="G30" i="10"/>
  <c r="G98" i="10"/>
  <c r="I70" i="10"/>
  <c r="I96" i="10"/>
  <c r="I109" i="10"/>
  <c r="G69" i="10"/>
  <c r="G59" i="10"/>
  <c r="G5" i="10"/>
  <c r="I80" i="10"/>
  <c r="I6" i="10"/>
  <c r="G51" i="10"/>
  <c r="G93" i="10"/>
  <c r="G16" i="10"/>
  <c r="G64" i="10"/>
  <c r="I77" i="10"/>
  <c r="I24" i="10"/>
  <c r="G2" i="10"/>
  <c r="G33" i="10"/>
  <c r="K181" i="2"/>
  <c r="G106" i="10"/>
  <c r="G22" i="10"/>
  <c r="G73" i="10"/>
  <c r="G109" i="10"/>
  <c r="I106" i="10"/>
  <c r="G60" i="10"/>
  <c r="G111" i="10"/>
  <c r="G94" i="10"/>
  <c r="G35" i="10"/>
  <c r="G25" i="10"/>
  <c r="I87" i="10"/>
  <c r="I14" i="10"/>
  <c r="G48" i="10"/>
  <c r="G39" i="10"/>
  <c r="G49" i="10"/>
  <c r="I110" i="10"/>
  <c r="G9" i="10"/>
  <c r="G15" i="10"/>
  <c r="I103" i="10"/>
  <c r="G80" i="10"/>
  <c r="I39" i="10"/>
  <c r="G47" i="10"/>
  <c r="G13" i="10"/>
  <c r="I105" i="10"/>
  <c r="G12" i="10"/>
  <c r="I34" i="10"/>
  <c r="I60" i="10"/>
  <c r="G66" i="10"/>
  <c r="G97" i="10"/>
  <c r="I65" i="10"/>
  <c r="I31" i="10"/>
  <c r="G104" i="10"/>
  <c r="G71" i="10"/>
  <c r="G10" i="10"/>
  <c r="G4" i="10"/>
  <c r="G29" i="10"/>
  <c r="G107" i="10"/>
  <c r="G67" i="10"/>
  <c r="G89" i="10"/>
  <c r="G76" i="10"/>
  <c r="G99" i="10"/>
  <c r="G110" i="10"/>
  <c r="I108" i="10"/>
  <c r="I102" i="10"/>
  <c r="G36" i="10"/>
  <c r="G38" i="10"/>
  <c r="G14" i="10"/>
  <c r="G72" i="10"/>
  <c r="G61" i="10"/>
  <c r="I4" i="10"/>
  <c r="G18" i="10"/>
  <c r="G3" i="10"/>
  <c r="G55" i="10"/>
  <c r="G84" i="10"/>
  <c r="G75" i="10"/>
  <c r="G52" i="10"/>
  <c r="G28" i="10"/>
  <c r="G78" i="10"/>
  <c r="I29" i="10"/>
  <c r="I111" i="10"/>
  <c r="G91" i="10"/>
  <c r="G103" i="10"/>
  <c r="G88" i="10"/>
  <c r="G74" i="10"/>
  <c r="I50" i="10"/>
  <c r="G17" i="10"/>
  <c r="G81" i="10"/>
  <c r="G44" i="10"/>
  <c r="G24" i="10"/>
  <c r="I22" i="10"/>
  <c r="I26" i="10"/>
  <c r="G8" i="10"/>
  <c r="G42" i="10"/>
  <c r="G92" i="10"/>
  <c r="G46" i="10"/>
  <c r="I66" i="10"/>
  <c r="I89" i="10"/>
  <c r="G105" i="10"/>
  <c r="G102" i="10"/>
  <c r="G6" i="10"/>
  <c r="G100" i="10"/>
  <c r="G34" i="10"/>
  <c r="G19" i="10"/>
  <c r="G26" i="10"/>
  <c r="G41" i="10"/>
  <c r="I9" i="10"/>
  <c r="G32" i="10"/>
  <c r="G20" i="10"/>
  <c r="G40" i="10"/>
  <c r="I100" i="10"/>
  <c r="G21" i="10"/>
  <c r="G65" i="10"/>
  <c r="G57" i="10"/>
  <c r="G95" i="10"/>
  <c r="G70" i="10"/>
  <c r="G31" i="10"/>
  <c r="G90" i="10"/>
  <c r="G62" i="10"/>
  <c r="G101" i="10"/>
  <c r="G112" i="10"/>
  <c r="G86" i="10"/>
  <c r="I98" i="10"/>
  <c r="G83" i="10"/>
  <c r="G7" i="10"/>
  <c r="G82" i="10"/>
  <c r="G50" i="10"/>
  <c r="G27" i="10"/>
  <c r="G11" i="10"/>
  <c r="G23" i="10"/>
  <c r="G45" i="10"/>
  <c r="G79" i="10"/>
  <c r="G53" i="10"/>
  <c r="I73" i="10"/>
  <c r="C827" i="2"/>
  <c r="J92" i="10"/>
  <c r="J61" i="10"/>
  <c r="J44" i="10"/>
  <c r="I78" i="10"/>
  <c r="J30" i="10"/>
  <c r="J36" i="10"/>
  <c r="C1122" i="2"/>
  <c r="J52" i="10"/>
  <c r="I23" i="10"/>
  <c r="C813" i="2"/>
  <c r="J94" i="10"/>
  <c r="I49" i="10"/>
  <c r="C1095" i="2"/>
  <c r="I18" i="10"/>
  <c r="K54" i="10"/>
  <c r="I67" i="10"/>
  <c r="K30" i="10"/>
  <c r="J55" i="10"/>
  <c r="J45" i="10"/>
  <c r="I55" i="10"/>
  <c r="I12" i="10"/>
  <c r="K57" i="10"/>
  <c r="J64" i="10"/>
  <c r="C1132" i="2"/>
  <c r="Z1007" i="2"/>
  <c r="AG1004" i="2"/>
  <c r="AH1004" i="2" s="1"/>
  <c r="D995" i="2" s="1"/>
  <c r="C995" i="2" s="1"/>
  <c r="C1085" i="2"/>
  <c r="C1052" i="2"/>
  <c r="E624" i="2"/>
  <c r="P624" i="2" s="1"/>
  <c r="C624" i="2" s="1"/>
  <c r="D624" i="2" s="1"/>
  <c r="C1076" i="2"/>
  <c r="C1070" i="2"/>
  <c r="C852" i="2"/>
  <c r="C1059" i="2"/>
  <c r="C1103" i="2"/>
  <c r="C1084" i="2"/>
  <c r="C1049" i="2"/>
  <c r="C1044" i="2"/>
  <c r="C1082" i="2"/>
  <c r="C879" i="2"/>
  <c r="C803" i="2"/>
  <c r="C883" i="2"/>
  <c r="C875" i="2"/>
  <c r="C897" i="2"/>
  <c r="C837" i="2"/>
  <c r="C842" i="2"/>
  <c r="C815" i="2"/>
  <c r="M816" i="2"/>
  <c r="R756" i="2" s="1"/>
  <c r="M820" i="2"/>
  <c r="R760" i="2" s="1"/>
  <c r="S760" i="2" s="1"/>
  <c r="M817" i="2"/>
  <c r="R757" i="2" s="1"/>
  <c r="S757" i="2" s="1"/>
  <c r="C1086" i="2"/>
  <c r="C1107" i="2"/>
  <c r="AN433" i="2"/>
  <c r="Q433" i="2" s="1"/>
  <c r="C865" i="2"/>
  <c r="C1040" i="2"/>
  <c r="M1056" i="2"/>
  <c r="Q992" i="2" s="1"/>
  <c r="R992" i="2" s="1"/>
  <c r="C1041" i="2"/>
  <c r="C1073" i="2"/>
  <c r="C1083" i="2"/>
  <c r="C1045" i="2"/>
  <c r="M1057" i="2"/>
  <c r="Q993" i="2" s="1"/>
  <c r="R993" i="2" s="1"/>
  <c r="M1058" i="2"/>
  <c r="Q994" i="2" s="1"/>
  <c r="R994" i="2" s="1"/>
  <c r="C1047" i="2"/>
  <c r="C1093" i="2"/>
  <c r="C991" i="2"/>
  <c r="D990" i="2"/>
  <c r="C1090" i="2"/>
  <c r="C1056" i="2"/>
  <c r="Z87" i="2"/>
  <c r="M55" i="2" s="1"/>
  <c r="C1106" i="2"/>
  <c r="C1135" i="2"/>
  <c r="C831" i="2"/>
  <c r="C835" i="2"/>
  <c r="C895" i="2"/>
  <c r="C840" i="2"/>
  <c r="C833" i="2"/>
  <c r="C884" i="2"/>
  <c r="C1053" i="2"/>
  <c r="C1100" i="2"/>
  <c r="AB756" i="2"/>
  <c r="AF753" i="2"/>
  <c r="AG753" i="2" s="1"/>
  <c r="D760" i="2" s="1"/>
  <c r="C760" i="2" s="1"/>
  <c r="C1065" i="2"/>
  <c r="C1121" i="2"/>
  <c r="C1043" i="2"/>
  <c r="C1115" i="2"/>
  <c r="Y784" i="2"/>
  <c r="AB775" i="2"/>
  <c r="AC775" i="2" s="1"/>
  <c r="D779" i="2" s="1"/>
  <c r="M1055" i="2"/>
  <c r="Q991" i="2" s="1"/>
  <c r="R991" i="2" s="1"/>
  <c r="C1119" i="2"/>
  <c r="C1081" i="2"/>
  <c r="C1112" i="2"/>
  <c r="C1128" i="2"/>
  <c r="C1039" i="2"/>
  <c r="C1067" i="2"/>
  <c r="C882" i="2"/>
  <c r="C832" i="2"/>
  <c r="C860" i="2"/>
  <c r="C858" i="2"/>
  <c r="C834" i="2"/>
  <c r="C836" i="2"/>
  <c r="AN434" i="2"/>
  <c r="Q434" i="2" s="1"/>
  <c r="C819" i="2"/>
  <c r="C1038" i="2"/>
  <c r="P982" i="2" s="1"/>
  <c r="P980" i="2" s="1"/>
  <c r="C867" i="2"/>
  <c r="C816" i="2"/>
  <c r="C839" i="2"/>
  <c r="C870" i="2"/>
  <c r="C823" i="2"/>
  <c r="C894" i="2"/>
  <c r="C818" i="2"/>
  <c r="C809" i="2"/>
  <c r="C843" i="2"/>
  <c r="C890" i="2"/>
  <c r="C857" i="2"/>
  <c r="C1063" i="2"/>
  <c r="C1061" i="2"/>
  <c r="C1113" i="2"/>
  <c r="Z91" i="2"/>
  <c r="M59" i="2" s="1"/>
  <c r="C1072" i="2"/>
  <c r="C1055" i="2"/>
  <c r="N1451" i="2"/>
  <c r="AJ1444" i="2"/>
  <c r="AN1444" i="2" s="1"/>
  <c r="AR1444" i="2" s="1"/>
  <c r="C1127" i="2"/>
  <c r="C1102" i="2"/>
  <c r="C1099" i="2"/>
  <c r="D521" i="2"/>
  <c r="C1064" i="2"/>
  <c r="C1111" i="2"/>
  <c r="C1123" i="2"/>
  <c r="M818" i="2"/>
  <c r="R758" i="2" s="1"/>
  <c r="C1091" i="2"/>
  <c r="C1129" i="2"/>
  <c r="C1078" i="2"/>
  <c r="C868" i="2"/>
  <c r="C812" i="2"/>
  <c r="C808" i="2"/>
  <c r="C806" i="2"/>
  <c r="C871" i="2"/>
  <c r="C825" i="2"/>
  <c r="C805" i="2"/>
  <c r="C804" i="2"/>
  <c r="I1630" i="2"/>
  <c r="I1627" i="2"/>
  <c r="I1624" i="2"/>
  <c r="CW1504" i="2"/>
  <c r="I1625" i="2" s="1"/>
  <c r="I1626" i="2"/>
  <c r="I1623" i="2"/>
  <c r="I1628" i="2"/>
  <c r="I1629" i="2"/>
  <c r="I1619" i="2"/>
  <c r="C1108" i="2"/>
  <c r="G85" i="2"/>
  <c r="G114" i="2"/>
  <c r="I145" i="2"/>
  <c r="G166" i="2"/>
  <c r="C166" i="2"/>
  <c r="G163" i="2"/>
  <c r="C162" i="2"/>
  <c r="I161" i="2"/>
  <c r="E107" i="2"/>
  <c r="C70" i="2"/>
  <c r="G145" i="2"/>
  <c r="G112" i="2"/>
  <c r="X83" i="2"/>
  <c r="C107" i="2"/>
  <c r="C88" i="2"/>
  <c r="I152" i="2"/>
  <c r="G102" i="2"/>
  <c r="E72" i="2"/>
  <c r="I163" i="2"/>
  <c r="E115" i="2"/>
  <c r="C170" i="2"/>
  <c r="E170" i="2"/>
  <c r="C112" i="2"/>
  <c r="I165" i="2"/>
  <c r="T79" i="2"/>
  <c r="E104" i="2"/>
  <c r="C146" i="2"/>
  <c r="E146" i="2"/>
  <c r="C93" i="2"/>
  <c r="E114" i="2"/>
  <c r="I143" i="2"/>
  <c r="E163" i="2"/>
  <c r="E134" i="2"/>
  <c r="I98" i="2"/>
  <c r="I153" i="2"/>
  <c r="G108" i="2"/>
  <c r="I164" i="2"/>
  <c r="I132" i="2"/>
  <c r="E83" i="2"/>
  <c r="E156" i="2"/>
  <c r="C128" i="2"/>
  <c r="E76" i="2"/>
  <c r="I86" i="2"/>
  <c r="E92" i="2"/>
  <c r="C99" i="2"/>
  <c r="X82" i="2"/>
  <c r="C76" i="2"/>
  <c r="I77" i="2"/>
  <c r="I85" i="2"/>
  <c r="I97" i="2"/>
  <c r="R78" i="2"/>
  <c r="E78" i="2"/>
  <c r="E87" i="2"/>
  <c r="C94" i="2"/>
  <c r="I100" i="2"/>
  <c r="G107" i="2"/>
  <c r="C114" i="2"/>
  <c r="C133" i="2"/>
  <c r="E126" i="2"/>
  <c r="G137" i="2"/>
  <c r="I148" i="2"/>
  <c r="E158" i="2"/>
  <c r="G164" i="2"/>
  <c r="C73" i="2"/>
  <c r="E71" i="2"/>
  <c r="T85" i="2"/>
  <c r="I151" i="2"/>
  <c r="C157" i="2"/>
  <c r="C72" i="2"/>
  <c r="G162" i="2"/>
  <c r="G79" i="2"/>
  <c r="I79" i="2"/>
  <c r="I108" i="2"/>
  <c r="G70" i="2"/>
  <c r="B179" i="2" s="1"/>
  <c r="A179" i="2" s="1"/>
  <c r="E93" i="2"/>
  <c r="I91" i="2"/>
  <c r="C164" i="2"/>
  <c r="R77" i="2"/>
  <c r="E165" i="2"/>
  <c r="E117" i="2"/>
  <c r="C155" i="2"/>
  <c r="I133" i="2"/>
  <c r="G94" i="2"/>
  <c r="G139" i="2"/>
  <c r="V78" i="2"/>
  <c r="C75" i="2"/>
  <c r="C81" i="2"/>
  <c r="C102" i="2"/>
  <c r="E166" i="2"/>
  <c r="E152" i="2"/>
  <c r="E145" i="2"/>
  <c r="I75" i="2"/>
  <c r="E125" i="2"/>
  <c r="C136" i="2"/>
  <c r="G149" i="2"/>
  <c r="X81" i="2"/>
  <c r="X79" i="2"/>
  <c r="I150" i="2"/>
  <c r="C167" i="2"/>
  <c r="G95" i="2"/>
  <c r="E110" i="2"/>
  <c r="C124" i="2"/>
  <c r="I123" i="2"/>
  <c r="I90" i="2"/>
  <c r="E101" i="2"/>
  <c r="E157" i="2"/>
  <c r="I159" i="2"/>
  <c r="C113" i="2"/>
  <c r="G100" i="2"/>
  <c r="V83" i="2"/>
  <c r="C80" i="2"/>
  <c r="C91" i="2"/>
  <c r="I72" i="2"/>
  <c r="I93" i="2"/>
  <c r="C90" i="2"/>
  <c r="E103" i="2"/>
  <c r="C127" i="2"/>
  <c r="G152" i="2"/>
  <c r="G167" i="2"/>
  <c r="I138" i="2"/>
  <c r="I169" i="2"/>
  <c r="I105" i="2"/>
  <c r="I160" i="2"/>
  <c r="E79" i="2"/>
  <c r="I136" i="2"/>
  <c r="I78" i="2"/>
  <c r="E95" i="2"/>
  <c r="E160" i="2"/>
  <c r="I76" i="2"/>
  <c r="I131" i="2"/>
  <c r="E131" i="2"/>
  <c r="C115" i="2"/>
  <c r="C117" i="2"/>
  <c r="C153" i="2"/>
  <c r="I146" i="2"/>
  <c r="C134" i="2"/>
  <c r="V77" i="2"/>
  <c r="V82" i="2"/>
  <c r="C71" i="2"/>
  <c r="E128" i="2"/>
  <c r="I124" i="2"/>
  <c r="I114" i="2"/>
  <c r="I147" i="2"/>
  <c r="E100" i="2"/>
  <c r="G84" i="2"/>
  <c r="I102" i="2"/>
  <c r="G88" i="2"/>
  <c r="G169" i="2"/>
  <c r="E94" i="2"/>
  <c r="E153" i="2"/>
  <c r="G73" i="2"/>
  <c r="R83" i="2"/>
  <c r="G99" i="2"/>
  <c r="G124" i="2"/>
  <c r="R84" i="2"/>
  <c r="E111" i="2"/>
  <c r="C138" i="2"/>
  <c r="C163" i="2"/>
  <c r="C96" i="2"/>
  <c r="I80" i="2"/>
  <c r="G106" i="2"/>
  <c r="E90" i="2"/>
  <c r="C74" i="2"/>
  <c r="E88" i="2"/>
  <c r="C83" i="2"/>
  <c r="E99" i="2"/>
  <c r="E80" i="2"/>
  <c r="I109" i="2"/>
  <c r="C105" i="2"/>
  <c r="E149" i="2"/>
  <c r="G165" i="2"/>
  <c r="G105" i="2"/>
  <c r="R85" i="2"/>
  <c r="E141" i="2"/>
  <c r="G156" i="2"/>
  <c r="R80" i="2"/>
  <c r="I73" i="2"/>
  <c r="I84" i="2"/>
  <c r="I70" i="2"/>
  <c r="B178" i="2" s="1"/>
  <c r="A178" i="2" s="1"/>
  <c r="C148" i="2"/>
  <c r="C78" i="2"/>
  <c r="C158" i="2"/>
  <c r="T81" i="2"/>
  <c r="E84" i="2"/>
  <c r="I94" i="2"/>
  <c r="G161" i="2"/>
  <c r="C126" i="2"/>
  <c r="I127" i="2"/>
  <c r="V80" i="2"/>
  <c r="E113" i="2"/>
  <c r="C160" i="2"/>
  <c r="G116" i="2"/>
  <c r="C135" i="2"/>
  <c r="C168" i="2"/>
  <c r="G126" i="2"/>
  <c r="G131" i="2"/>
  <c r="C77" i="2"/>
  <c r="G140" i="2"/>
  <c r="I89" i="2"/>
  <c r="E70" i="2"/>
  <c r="B180" i="2" s="1"/>
  <c r="A180" i="2" s="1"/>
  <c r="T78" i="2"/>
  <c r="I113" i="2"/>
  <c r="C98" i="2"/>
  <c r="G158" i="2"/>
  <c r="I142" i="2"/>
  <c r="E143" i="2"/>
  <c r="I101" i="2"/>
  <c r="E137" i="2"/>
  <c r="E116" i="2"/>
  <c r="E147" i="2"/>
  <c r="I117" i="2"/>
  <c r="I103" i="2"/>
  <c r="X84" i="2"/>
  <c r="G123" i="2"/>
  <c r="G172" i="2" s="1"/>
  <c r="C103" i="2"/>
  <c r="G89" i="2"/>
  <c r="G80" i="2"/>
  <c r="E98" i="2"/>
  <c r="G150" i="2"/>
  <c r="G159" i="2"/>
  <c r="G93" i="2"/>
  <c r="G75" i="2"/>
  <c r="G77" i="2"/>
  <c r="I140" i="2"/>
  <c r="E168" i="2"/>
  <c r="G132" i="2"/>
  <c r="I107" i="2"/>
  <c r="C151" i="2"/>
  <c r="I141" i="2"/>
  <c r="C100" i="2"/>
  <c r="I83" i="2"/>
  <c r="C123" i="2"/>
  <c r="C172" i="2" s="1"/>
  <c r="E150" i="2"/>
  <c r="E118" i="2"/>
  <c r="I81" i="2"/>
  <c r="E133" i="2"/>
  <c r="V81" i="2"/>
  <c r="C142" i="2"/>
  <c r="C147" i="2"/>
  <c r="G117" i="2"/>
  <c r="E140" i="2"/>
  <c r="C109" i="2"/>
  <c r="G134" i="2"/>
  <c r="I157" i="2"/>
  <c r="G104" i="2"/>
  <c r="E123" i="2"/>
  <c r="G128" i="2"/>
  <c r="G78" i="2"/>
  <c r="R79" i="2"/>
  <c r="I126" i="2"/>
  <c r="G113" i="2"/>
  <c r="G157" i="2"/>
  <c r="E159" i="2"/>
  <c r="G87" i="2"/>
  <c r="G101" i="2"/>
  <c r="G71" i="2"/>
  <c r="I154" i="2"/>
  <c r="C106" i="2"/>
  <c r="C89" i="2"/>
  <c r="G138" i="2"/>
  <c r="E102" i="2"/>
  <c r="G143" i="2"/>
  <c r="I135" i="2"/>
  <c r="R81" i="2"/>
  <c r="C137" i="2"/>
  <c r="V79" i="2"/>
  <c r="G148" i="2"/>
  <c r="G136" i="2"/>
  <c r="E75" i="2"/>
  <c r="G76" i="2"/>
  <c r="V85" i="2"/>
  <c r="C92" i="2"/>
  <c r="E167" i="2"/>
  <c r="G96" i="2"/>
  <c r="C149" i="2"/>
  <c r="E144" i="2"/>
  <c r="E138" i="2"/>
  <c r="G130" i="2"/>
  <c r="E130" i="2"/>
  <c r="E135" i="2"/>
  <c r="E77" i="2"/>
  <c r="E129" i="2"/>
  <c r="G103" i="2"/>
  <c r="G86" i="2"/>
  <c r="X85" i="2"/>
  <c r="C84" i="2"/>
  <c r="C140" i="2"/>
  <c r="G155" i="2"/>
  <c r="I158" i="2"/>
  <c r="C125" i="2"/>
  <c r="I167" i="2"/>
  <c r="C111" i="2"/>
  <c r="E105" i="2"/>
  <c r="G111" i="2"/>
  <c r="C150" i="2"/>
  <c r="G74" i="2"/>
  <c r="E124" i="2"/>
  <c r="G142" i="2"/>
  <c r="C156" i="2"/>
  <c r="C152" i="2"/>
  <c r="I82" i="2"/>
  <c r="C130" i="2"/>
  <c r="E169" i="2"/>
  <c r="C129" i="2"/>
  <c r="G109" i="2"/>
  <c r="G90" i="2"/>
  <c r="G146" i="2"/>
  <c r="G115" i="2"/>
  <c r="E136" i="2"/>
  <c r="E162" i="2"/>
  <c r="I128" i="2"/>
  <c r="G170" i="2"/>
  <c r="G118" i="2"/>
  <c r="I95" i="2"/>
  <c r="E81" i="2"/>
  <c r="I137" i="2"/>
  <c r="E112" i="2"/>
  <c r="T77" i="2"/>
  <c r="C87" i="2"/>
  <c r="I88" i="2"/>
  <c r="G141" i="2"/>
  <c r="G98" i="2"/>
  <c r="G91" i="2"/>
  <c r="E97" i="2"/>
  <c r="C85" i="2"/>
  <c r="I149" i="2"/>
  <c r="I112" i="2"/>
  <c r="C97" i="2"/>
  <c r="C139" i="2"/>
  <c r="C131" i="2"/>
  <c r="E142" i="2"/>
  <c r="E154" i="2"/>
  <c r="T80" i="2"/>
  <c r="G151" i="2"/>
  <c r="I115" i="2"/>
  <c r="C144" i="2"/>
  <c r="E127" i="2"/>
  <c r="C161" i="2"/>
  <c r="I92" i="2"/>
  <c r="I106" i="2"/>
  <c r="C132" i="2"/>
  <c r="E73" i="2"/>
  <c r="I144" i="2"/>
  <c r="C159" i="2"/>
  <c r="G97" i="2"/>
  <c r="I87" i="2"/>
  <c r="I110" i="2"/>
  <c r="G147" i="2"/>
  <c r="C169" i="2"/>
  <c r="G82" i="2"/>
  <c r="X77" i="2"/>
  <c r="E82" i="2"/>
  <c r="R82" i="2"/>
  <c r="C108" i="2"/>
  <c r="I168" i="2"/>
  <c r="T84" i="2"/>
  <c r="G154" i="2"/>
  <c r="C110" i="2"/>
  <c r="G125" i="2"/>
  <c r="E86" i="2"/>
  <c r="C116" i="2"/>
  <c r="G144" i="2"/>
  <c r="C143" i="2"/>
  <c r="X78" i="2"/>
  <c r="I155" i="2"/>
  <c r="G81" i="2"/>
  <c r="T83" i="2"/>
  <c r="E164" i="2"/>
  <c r="T82" i="2"/>
  <c r="C145" i="2"/>
  <c r="I139" i="2"/>
  <c r="G135" i="2"/>
  <c r="G133" i="2"/>
  <c r="I134" i="2"/>
  <c r="E108" i="2"/>
  <c r="E109" i="2"/>
  <c r="I166" i="2"/>
  <c r="E106" i="2"/>
  <c r="E148" i="2"/>
  <c r="C141" i="2"/>
  <c r="C101" i="2"/>
  <c r="E91" i="2"/>
  <c r="G92" i="2"/>
  <c r="I111" i="2"/>
  <c r="C86" i="2"/>
  <c r="I96" i="2"/>
  <c r="I74" i="2"/>
  <c r="E151" i="2"/>
  <c r="G153" i="2"/>
  <c r="C79" i="2"/>
  <c r="E74" i="2"/>
  <c r="E161" i="2"/>
  <c r="I118" i="2"/>
  <c r="E96" i="2"/>
  <c r="G127" i="2"/>
  <c r="G72" i="2"/>
  <c r="C104" i="2"/>
  <c r="C165" i="2"/>
  <c r="I99" i="2"/>
  <c r="I162" i="2"/>
  <c r="E155" i="2"/>
  <c r="I71" i="2"/>
  <c r="C95" i="2"/>
  <c r="G83" i="2"/>
  <c r="I170" i="2"/>
  <c r="I130" i="2"/>
  <c r="G110" i="2"/>
  <c r="I116" i="2"/>
  <c r="G168" i="2"/>
  <c r="E85" i="2"/>
  <c r="I104" i="2"/>
  <c r="C154" i="2"/>
  <c r="C118" i="2"/>
  <c r="C82" i="2"/>
  <c r="I125" i="2"/>
  <c r="I129" i="2"/>
  <c r="E132" i="2"/>
  <c r="I156" i="2"/>
  <c r="V84" i="2"/>
  <c r="E89" i="2"/>
  <c r="G160" i="2"/>
  <c r="E139" i="2"/>
  <c r="G129" i="2"/>
  <c r="X80" i="2"/>
  <c r="C841" i="2"/>
  <c r="C1077" i="2"/>
  <c r="C1117" i="2"/>
  <c r="C1126" i="2"/>
  <c r="C1075" i="2"/>
  <c r="C1137" i="2"/>
  <c r="C1114" i="2"/>
  <c r="C1134" i="2"/>
  <c r="C1058" i="2"/>
  <c r="C1094" i="2"/>
  <c r="C1066" i="2"/>
  <c r="C878" i="2"/>
  <c r="BI389" i="2"/>
  <c r="C880" i="2"/>
  <c r="C822" i="2"/>
  <c r="C892" i="2"/>
  <c r="C811" i="2"/>
  <c r="C801" i="2"/>
  <c r="C853" i="2"/>
  <c r="C855" i="2"/>
  <c r="C873" i="2"/>
  <c r="C872" i="2"/>
  <c r="C850" i="2"/>
  <c r="C826" i="2"/>
  <c r="C1131" i="2"/>
  <c r="C1051" i="2"/>
  <c r="C1080" i="2"/>
  <c r="M819" i="2"/>
  <c r="R759" i="2" s="1"/>
  <c r="S759" i="2" s="1"/>
  <c r="C1096" i="2"/>
  <c r="C1097" i="2"/>
  <c r="C1109" i="2"/>
  <c r="C1002" i="2"/>
  <c r="N30" i="17" s="1"/>
  <c r="C1048" i="2"/>
  <c r="C1124" i="2"/>
  <c r="C1125" i="2"/>
  <c r="C1071" i="2"/>
  <c r="C1118" i="2"/>
  <c r="C1110" i="2"/>
  <c r="C1060" i="2"/>
  <c r="C1042" i="2"/>
  <c r="C1116" i="2"/>
  <c r="C817" i="2"/>
  <c r="C828" i="2"/>
  <c r="C799" i="2"/>
  <c r="C851" i="2"/>
  <c r="C859" i="2"/>
  <c r="C802" i="2"/>
  <c r="C893" i="2"/>
  <c r="C845" i="2"/>
  <c r="C829" i="2"/>
  <c r="C877" i="2"/>
  <c r="C861" i="2"/>
  <c r="C1046" i="2"/>
  <c r="AN432" i="2"/>
  <c r="Q432" i="2" s="1"/>
  <c r="C862" i="2"/>
  <c r="C866" i="2"/>
  <c r="C887" i="2"/>
  <c r="AD67" i="2"/>
  <c r="AG65" i="2"/>
  <c r="AH65" i="2" s="1"/>
  <c r="I49" i="2" s="1"/>
  <c r="C1120" i="2"/>
  <c r="AN436" i="2"/>
  <c r="Q436" i="2" s="1"/>
  <c r="C838" i="2"/>
  <c r="C830" i="2"/>
  <c r="C886" i="2"/>
  <c r="C854" i="2"/>
  <c r="C863" i="2"/>
  <c r="C891" i="2"/>
  <c r="C881" i="2"/>
  <c r="C885" i="2"/>
  <c r="C888" i="2"/>
  <c r="C864" i="2"/>
  <c r="C889" i="2"/>
  <c r="C824" i="2"/>
  <c r="C1054" i="2"/>
  <c r="AG998" i="2"/>
  <c r="AH998" i="2" s="1"/>
  <c r="D992" i="2" s="1"/>
  <c r="C992" i="2" s="1"/>
  <c r="C1136" i="2"/>
  <c r="C1104" i="2"/>
  <c r="C1130" i="2"/>
  <c r="C1062" i="2"/>
  <c r="C1069" i="2"/>
  <c r="C1133" i="2"/>
  <c r="M1054" i="2"/>
  <c r="Q990" i="2" s="1"/>
  <c r="C1050" i="2"/>
  <c r="C810" i="2"/>
  <c r="X48" i="2"/>
  <c r="Y43" i="2"/>
  <c r="X43" i="2" s="1"/>
  <c r="U20" i="1" s="1"/>
  <c r="C1068" i="2"/>
  <c r="C1074" i="2"/>
  <c r="C1092" i="2"/>
  <c r="K319" i="2"/>
  <c r="K317" i="2" s="1"/>
  <c r="X45" i="16" s="1"/>
  <c r="AG433" i="2"/>
  <c r="AH433" i="2" s="1"/>
  <c r="M433" i="2" s="1"/>
  <c r="C798" i="2"/>
  <c r="F390" i="2" a="1"/>
  <c r="F390" i="2" s="1"/>
  <c r="AG434" i="2"/>
  <c r="AH434" i="2" s="1"/>
  <c r="M434" i="2" s="1"/>
  <c r="AN381" i="2"/>
  <c r="AO381" i="2" s="1"/>
  <c r="AP381" i="2" s="1"/>
  <c r="H392" i="2" a="1"/>
  <c r="H392" i="2" s="1"/>
  <c r="I391" i="2" a="1"/>
  <c r="I391" i="2" s="1"/>
  <c r="C688" i="2"/>
  <c r="M322" i="2" s="1"/>
  <c r="BH372" i="2"/>
  <c r="S366" i="2" s="1"/>
  <c r="AG436" i="2"/>
  <c r="AH436" i="2" s="1"/>
  <c r="M436" i="2" s="1"/>
  <c r="AG432" i="2"/>
  <c r="AH432" i="2" s="1"/>
  <c r="M432" i="2" s="1"/>
  <c r="C711" i="2"/>
  <c r="M324" i="2" s="1"/>
  <c r="AG435" i="2"/>
  <c r="AH435" i="2" s="1"/>
  <c r="M435" i="2" s="1"/>
  <c r="N402" i="2"/>
  <c r="E387" i="2" a="1"/>
  <c r="E387" i="2" s="1"/>
  <c r="D395" i="2" a="1"/>
  <c r="D395" i="2" s="1"/>
  <c r="H389" i="2" a="1"/>
  <c r="H389" i="2" s="1"/>
  <c r="AJ435" i="2"/>
  <c r="AK435" i="2" s="1"/>
  <c r="O435" i="2" s="1"/>
  <c r="AJ432" i="2"/>
  <c r="AK432" i="2" s="1"/>
  <c r="O432" i="2" s="1"/>
  <c r="J393" i="2" a="1"/>
  <c r="J393" i="2" s="1"/>
  <c r="D397" i="2" a="1"/>
  <c r="D397" i="2" s="1"/>
  <c r="Y380" i="2"/>
  <c r="X382" i="2" s="1"/>
  <c r="K320" i="2" s="1"/>
  <c r="AJ433" i="2"/>
  <c r="AK433" i="2" s="1"/>
  <c r="O433" i="2" s="1"/>
  <c r="AJ436" i="2"/>
  <c r="AK436" i="2" s="1"/>
  <c r="O436" i="2" s="1"/>
  <c r="G389" i="2" a="1"/>
  <c r="G389" i="2" s="1"/>
  <c r="AJ434" i="2"/>
  <c r="AK434" i="2" s="1"/>
  <c r="O434" i="2" s="1"/>
  <c r="M750" i="2"/>
  <c r="M752" i="2"/>
  <c r="M751" i="2"/>
  <c r="J390" i="2" a="1"/>
  <c r="J390" i="2" s="1"/>
  <c r="Q329" i="2"/>
  <c r="Q327" i="2"/>
  <c r="Q323" i="2"/>
  <c r="Q325" i="2"/>
  <c r="Q328" i="2"/>
  <c r="H334" i="2"/>
  <c r="A396" i="2" a="1"/>
  <c r="A396" i="2" s="1"/>
  <c r="M326" i="2"/>
  <c r="O734" i="2"/>
  <c r="G334" i="2"/>
  <c r="L395" i="2" a="1"/>
  <c r="L395" i="2" s="1"/>
  <c r="A388" i="2" a="1"/>
  <c r="A388" i="2" s="1"/>
  <c r="C396" i="2" a="1"/>
  <c r="C396" i="2" s="1"/>
  <c r="F395" i="2" a="1"/>
  <c r="F395" i="2" s="1"/>
  <c r="L392" i="2" a="1"/>
  <c r="L392" i="2" s="1"/>
  <c r="E397" i="2" a="1"/>
  <c r="E397" i="2" s="1"/>
  <c r="C392" i="2" a="1"/>
  <c r="C392" i="2" s="1"/>
  <c r="J388" i="2" a="1"/>
  <c r="J388" i="2" s="1"/>
  <c r="I389" i="2" a="1"/>
  <c r="I389" i="2" s="1"/>
  <c r="B390" i="2" a="1"/>
  <c r="B390" i="2" s="1"/>
  <c r="B394" i="2" a="1"/>
  <c r="B394" i="2" s="1"/>
  <c r="E395" i="2" a="1"/>
  <c r="E395" i="2" s="1"/>
  <c r="B387" i="2" a="1"/>
  <c r="B387" i="2" s="1"/>
  <c r="K392" i="2" a="1"/>
  <c r="K392" i="2" s="1"/>
  <c r="H394" i="2" a="1"/>
  <c r="H394" i="2" s="1"/>
  <c r="E390" i="2" a="1"/>
  <c r="E390" i="2" s="1"/>
  <c r="K393" i="2" a="1"/>
  <c r="K393" i="2" s="1"/>
  <c r="E389" i="2" a="1"/>
  <c r="E389" i="2" s="1"/>
  <c r="G388" i="2" a="1"/>
  <c r="G388" i="2" s="1"/>
  <c r="BI388" i="2"/>
  <c r="BH374" i="2"/>
  <c r="S367" i="2" s="1"/>
  <c r="BL374" i="2"/>
  <c r="A397" i="2" a="1"/>
  <c r="A397" i="2" s="1"/>
  <c r="C388" i="2" a="1"/>
  <c r="C388" i="2" s="1"/>
  <c r="L394" i="2" a="1"/>
  <c r="L394" i="2" s="1"/>
  <c r="D388" i="2" a="1"/>
  <c r="D388" i="2" s="1"/>
  <c r="G391" i="2" a="1"/>
  <c r="G391" i="2" s="1"/>
  <c r="C395" i="2" a="1"/>
  <c r="C395" i="2" s="1"/>
  <c r="BH368" i="2"/>
  <c r="Q366" i="2" s="1"/>
  <c r="N366" i="2" s="1"/>
  <c r="F396" i="2" a="1"/>
  <c r="F396" i="2" s="1"/>
  <c r="A392" i="2" a="1"/>
  <c r="A392" i="2" s="1"/>
  <c r="L391" i="2" a="1"/>
  <c r="L391" i="2" s="1"/>
  <c r="H387" i="2" a="1"/>
  <c r="H387" i="2" s="1"/>
  <c r="G390" i="2" a="1"/>
  <c r="G390" i="2" s="1"/>
  <c r="G392" i="2" a="1"/>
  <c r="G392" i="2" s="1"/>
  <c r="B389" i="2" a="1"/>
  <c r="B389" i="2" s="1"/>
  <c r="B393" i="2" a="1"/>
  <c r="B393" i="2" s="1"/>
  <c r="I393" i="2" a="1"/>
  <c r="I393" i="2" s="1"/>
  <c r="J397" i="2" a="1"/>
  <c r="J397" i="2" s="1"/>
  <c r="E392" i="2" a="1"/>
  <c r="E392" i="2" s="1"/>
  <c r="E394" i="2" a="1"/>
  <c r="E394" i="2" s="1"/>
  <c r="C390" i="2" a="1"/>
  <c r="C390" i="2" s="1"/>
  <c r="H391" i="2" a="1"/>
  <c r="H391" i="2" s="1"/>
  <c r="G397" i="2" a="1"/>
  <c r="G397" i="2" s="1"/>
  <c r="BH364" i="2"/>
  <c r="R365" i="2" s="1"/>
  <c r="R366" i="2" s="1"/>
  <c r="R367" i="2" s="1"/>
  <c r="R368" i="2" s="1"/>
  <c r="BL364" i="2"/>
  <c r="BI383" i="2"/>
  <c r="F388" i="2" a="1"/>
  <c r="F388" i="2" s="1"/>
  <c r="D392" i="2" a="1"/>
  <c r="D392" i="2" s="1"/>
  <c r="A391" i="2" a="1"/>
  <c r="A391" i="2" s="1"/>
  <c r="J394" i="2" a="1"/>
  <c r="J394" i="2" s="1"/>
  <c r="I392" i="2" a="1"/>
  <c r="I392" i="2" s="1"/>
  <c r="G396" i="2" a="1"/>
  <c r="G396" i="2" s="1"/>
  <c r="J396" i="2" a="1"/>
  <c r="J396" i="2" s="1"/>
  <c r="D394" i="2" a="1"/>
  <c r="D394" i="2" s="1"/>
  <c r="BL366" i="2"/>
  <c r="L365" i="2" s="1"/>
  <c r="K365" i="2" s="1"/>
  <c r="BH366" i="2"/>
  <c r="Q365" i="2" s="1"/>
  <c r="BI384" i="2"/>
  <c r="BH381" i="2" s="1"/>
  <c r="C393" i="2" a="1"/>
  <c r="C393" i="2" s="1"/>
  <c r="B396" i="2" a="1"/>
  <c r="B396" i="2" s="1"/>
  <c r="H390" i="2" a="1"/>
  <c r="H390" i="2" s="1"/>
  <c r="K389" i="2" a="1"/>
  <c r="K389" i="2" s="1"/>
  <c r="B395" i="2" a="1"/>
  <c r="B395" i="2" s="1"/>
  <c r="D393" i="2" a="1"/>
  <c r="D393" i="2" s="1"/>
  <c r="J391" i="2" a="1"/>
  <c r="J391" i="2" s="1"/>
  <c r="F393" i="2" a="1"/>
  <c r="F393" i="2" s="1"/>
  <c r="C391" i="2" a="1"/>
  <c r="C391" i="2" s="1"/>
  <c r="H388" i="2" a="1"/>
  <c r="H388" i="2" s="1"/>
  <c r="E396" i="2" a="1"/>
  <c r="E396" i="2" s="1"/>
  <c r="F391" i="2" a="1"/>
  <c r="F391" i="2" s="1"/>
  <c r="G394" i="2" a="1"/>
  <c r="G394" i="2" s="1"/>
  <c r="K387" i="2" a="1"/>
  <c r="K387" i="2" s="1"/>
  <c r="J395" i="2" a="1"/>
  <c r="J395" i="2" s="1"/>
  <c r="B397" i="2" a="1"/>
  <c r="B397" i="2" s="1"/>
  <c r="K391" i="2" a="1"/>
  <c r="K391" i="2" s="1"/>
  <c r="F387" i="2" a="1"/>
  <c r="F387" i="2" s="1"/>
  <c r="L387" i="2" a="1"/>
  <c r="L387" i="2" s="1"/>
  <c r="K394" i="2" a="1"/>
  <c r="K394" i="2" s="1"/>
  <c r="G387" i="2" a="1"/>
  <c r="G387" i="2" s="1"/>
  <c r="H396" i="2" a="1"/>
  <c r="H396" i="2" s="1"/>
  <c r="L389" i="2" a="1"/>
  <c r="L389" i="2" s="1"/>
  <c r="J389" i="2" a="1"/>
  <c r="J389" i="2" s="1"/>
  <c r="K388" i="2" a="1"/>
  <c r="K388" i="2" s="1"/>
  <c r="E393" i="2" a="1"/>
  <c r="E393" i="2" s="1"/>
  <c r="K390" i="2" a="1"/>
  <c r="K390" i="2" s="1"/>
  <c r="A393" i="2" a="1"/>
  <c r="A393" i="2" s="1"/>
  <c r="B391" i="2" a="1"/>
  <c r="B391" i="2" s="1"/>
  <c r="A389" i="2" a="1"/>
  <c r="A389" i="2" s="1"/>
  <c r="C387" i="2" a="1"/>
  <c r="C387" i="2" s="1"/>
  <c r="D391" i="2" a="1"/>
  <c r="D391" i="2" s="1"/>
  <c r="L397" i="2" a="1"/>
  <c r="L397" i="2" s="1"/>
  <c r="C389" i="2" a="1"/>
  <c r="C389" i="2" s="1"/>
  <c r="H395" i="2" a="1"/>
  <c r="H395" i="2" s="1"/>
  <c r="L393" i="2" a="1"/>
  <c r="L393" i="2" s="1"/>
  <c r="F392" i="2" a="1"/>
  <c r="F392" i="2" s="1"/>
  <c r="A390" i="2" a="1"/>
  <c r="A390" i="2" s="1"/>
  <c r="J392" i="2" a="1"/>
  <c r="J392" i="2" s="1"/>
  <c r="D390" i="2" a="1"/>
  <c r="D390" i="2" s="1"/>
  <c r="F397" i="2" a="1"/>
  <c r="F397" i="2" s="1"/>
  <c r="H397" i="2" a="1"/>
  <c r="H397" i="2" s="1"/>
  <c r="D389" i="2" a="1"/>
  <c r="D389" i="2" s="1"/>
  <c r="A394" i="2" a="1"/>
  <c r="A394" i="2" s="1"/>
  <c r="L390" i="2" a="1"/>
  <c r="L390" i="2" s="1"/>
  <c r="E391" i="2" a="1"/>
  <c r="E391" i="2" s="1"/>
  <c r="B392" i="2" a="1"/>
  <c r="B392" i="2" s="1"/>
  <c r="L388" i="2" a="1"/>
  <c r="L388" i="2" s="1"/>
  <c r="H393" i="2" a="1"/>
  <c r="H393" i="2" s="1"/>
  <c r="J387" i="2" a="1"/>
  <c r="J387" i="2" s="1"/>
  <c r="A387" i="2" a="1"/>
  <c r="A387" i="2" s="1"/>
  <c r="I397" i="2" a="1"/>
  <c r="I397" i="2" s="1"/>
  <c r="K396" i="2" a="1"/>
  <c r="K396" i="2" s="1"/>
  <c r="S113" i="10"/>
  <c r="I395" i="2" a="1"/>
  <c r="I395" i="2" s="1"/>
  <c r="I388" i="2" a="1"/>
  <c r="I388" i="2" s="1"/>
  <c r="E388" i="2" a="1"/>
  <c r="E388" i="2" s="1"/>
  <c r="C397" i="2" a="1"/>
  <c r="C397" i="2" s="1"/>
  <c r="F389" i="2" a="1"/>
  <c r="F389" i="2" s="1"/>
  <c r="A395" i="2" a="1"/>
  <c r="A395" i="2" s="1"/>
  <c r="K397" i="2" a="1"/>
  <c r="K397" i="2" s="1"/>
  <c r="F394" i="2" a="1"/>
  <c r="F394" i="2" s="1"/>
  <c r="B388" i="2" a="1"/>
  <c r="B388" i="2" s="1"/>
  <c r="D387" i="2" a="1"/>
  <c r="D387" i="2" s="1"/>
  <c r="I396" i="2" a="1"/>
  <c r="I396" i="2" s="1"/>
  <c r="L396" i="2" a="1"/>
  <c r="L396" i="2" s="1"/>
  <c r="G395" i="2" a="1"/>
  <c r="G395" i="2" s="1"/>
  <c r="I387" i="2" a="1"/>
  <c r="I387" i="2" s="1"/>
  <c r="BL370" i="2"/>
  <c r="L367" i="2" s="1"/>
  <c r="K367" i="2" s="1"/>
  <c r="BI386" i="2"/>
  <c r="I390" i="2" a="1"/>
  <c r="I390" i="2" s="1"/>
  <c r="K395" i="2" a="1"/>
  <c r="K395" i="2" s="1"/>
  <c r="D396" i="2" a="1"/>
  <c r="D396" i="2" s="1"/>
  <c r="G393" i="2" a="1"/>
  <c r="G393" i="2" s="1"/>
  <c r="I394" i="2" a="1"/>
  <c r="I394" i="2" s="1"/>
  <c r="O401" i="2"/>
  <c r="O400" i="2" s="1"/>
  <c r="AF45" i="16" s="1"/>
  <c r="M320" i="2"/>
  <c r="AW374" i="2"/>
  <c r="T53" i="10"/>
  <c r="X53" i="10" s="1"/>
  <c r="T23" i="10"/>
  <c r="X23" i="10" s="1"/>
  <c r="T32" i="10"/>
  <c r="X32" i="10" s="1"/>
  <c r="T42" i="10"/>
  <c r="X42" i="10" s="1"/>
  <c r="T57" i="10"/>
  <c r="X57" i="10" s="1"/>
  <c r="T41" i="10"/>
  <c r="X41" i="10" s="1"/>
  <c r="T82" i="10"/>
  <c r="X82" i="10" s="1"/>
  <c r="T27" i="10"/>
  <c r="X27" i="10" s="1"/>
  <c r="T103" i="10"/>
  <c r="X103" i="10" s="1"/>
  <c r="T39" i="10"/>
  <c r="X39" i="10" s="1"/>
  <c r="T44" i="10"/>
  <c r="X44" i="10" s="1"/>
  <c r="T20" i="10"/>
  <c r="X20" i="10" s="1"/>
  <c r="T38" i="10"/>
  <c r="X38" i="10" s="1"/>
  <c r="T88" i="10"/>
  <c r="X88" i="10" s="1"/>
  <c r="T30" i="10"/>
  <c r="X30" i="10" s="1"/>
  <c r="T26" i="10"/>
  <c r="X26" i="10" s="1"/>
  <c r="T102" i="10"/>
  <c r="X102" i="10" s="1"/>
  <c r="T60" i="10"/>
  <c r="X60" i="10" s="1"/>
  <c r="T51" i="10"/>
  <c r="X51" i="10" s="1"/>
  <c r="T55" i="10"/>
  <c r="X55" i="10" s="1"/>
  <c r="T31" i="10"/>
  <c r="X31" i="10" s="1"/>
  <c r="T48" i="10"/>
  <c r="X48" i="10" s="1"/>
  <c r="T9" i="10"/>
  <c r="X9" i="10" s="1"/>
  <c r="T61" i="10"/>
  <c r="X61" i="10" s="1"/>
  <c r="T109" i="10"/>
  <c r="X109" i="10" s="1"/>
  <c r="T50" i="10"/>
  <c r="X50" i="10" s="1"/>
  <c r="T63" i="10"/>
  <c r="X63" i="10" s="1"/>
  <c r="T77" i="10"/>
  <c r="X77" i="10" s="1"/>
  <c r="T89" i="10"/>
  <c r="X89" i="10" s="1"/>
  <c r="T97" i="10"/>
  <c r="X97" i="10" s="1"/>
  <c r="T83" i="10"/>
  <c r="X83" i="10" s="1"/>
  <c r="T7" i="10"/>
  <c r="X7" i="10" s="1"/>
  <c r="T107" i="10"/>
  <c r="X107" i="10" s="1"/>
  <c r="T111" i="10"/>
  <c r="X111" i="10" s="1"/>
  <c r="T16" i="10"/>
  <c r="X16" i="10" s="1"/>
  <c r="T10" i="10"/>
  <c r="X10" i="10" s="1"/>
  <c r="T87" i="10"/>
  <c r="X87" i="10" s="1"/>
  <c r="T17" i="10"/>
  <c r="X17" i="10" s="1"/>
  <c r="T90" i="10"/>
  <c r="X90" i="10" s="1"/>
  <c r="T73" i="10"/>
  <c r="X73" i="10" s="1"/>
  <c r="T76" i="10"/>
  <c r="X76" i="10" s="1"/>
  <c r="T93" i="10"/>
  <c r="X93" i="10" s="1"/>
  <c r="T75" i="10"/>
  <c r="X75" i="10" s="1"/>
  <c r="T15" i="10"/>
  <c r="X15" i="10" s="1"/>
  <c r="T104" i="10"/>
  <c r="X104" i="10" s="1"/>
  <c r="T67" i="10"/>
  <c r="X67" i="10" s="1"/>
  <c r="T105" i="10"/>
  <c r="X105" i="10" s="1"/>
  <c r="T22" i="10"/>
  <c r="X22" i="10" s="1"/>
  <c r="T46" i="10"/>
  <c r="X46" i="10" s="1"/>
  <c r="T92" i="10"/>
  <c r="X92" i="10" s="1"/>
  <c r="T6" i="10"/>
  <c r="X6" i="10" s="1"/>
  <c r="T62" i="10"/>
  <c r="X62" i="10" s="1"/>
  <c r="T68" i="10"/>
  <c r="X68" i="10" s="1"/>
  <c r="T74" i="10"/>
  <c r="X74" i="10" s="1"/>
  <c r="T14" i="10"/>
  <c r="X14" i="10" s="1"/>
  <c r="T21" i="10"/>
  <c r="X21" i="10" s="1"/>
  <c r="T100" i="10"/>
  <c r="X100" i="10" s="1"/>
  <c r="T81" i="10"/>
  <c r="X81" i="10" s="1"/>
  <c r="T49" i="10"/>
  <c r="X49" i="10" s="1"/>
  <c r="T108" i="10"/>
  <c r="X108" i="10" s="1"/>
  <c r="T91" i="10"/>
  <c r="X91" i="10" s="1"/>
  <c r="T112" i="10"/>
  <c r="X112" i="10" s="1"/>
  <c r="T79" i="10"/>
  <c r="X79" i="10" s="1"/>
  <c r="T2" i="10"/>
  <c r="T54" i="10"/>
  <c r="X54" i="10" s="1"/>
  <c r="T3" i="10"/>
  <c r="X3" i="10" s="1"/>
  <c r="T58" i="10"/>
  <c r="X58" i="10" s="1"/>
  <c r="T4" i="10"/>
  <c r="X4" i="10" s="1"/>
  <c r="T85" i="10"/>
  <c r="X85" i="10" s="1"/>
  <c r="T56" i="10"/>
  <c r="X56" i="10" s="1"/>
  <c r="T12" i="10"/>
  <c r="X12" i="10" s="1"/>
  <c r="T29" i="10"/>
  <c r="X29" i="10" s="1"/>
  <c r="T28" i="10"/>
  <c r="X28" i="10" s="1"/>
  <c r="T78" i="10"/>
  <c r="X78" i="10" s="1"/>
  <c r="T64" i="10"/>
  <c r="X64" i="10" s="1"/>
  <c r="T43" i="10"/>
  <c r="X43" i="10" s="1"/>
  <c r="T72" i="10"/>
  <c r="X72" i="10" s="1"/>
  <c r="T101" i="10"/>
  <c r="X101" i="10" s="1"/>
  <c r="T94" i="10"/>
  <c r="X94" i="10" s="1"/>
  <c r="T95" i="10"/>
  <c r="X95" i="10" s="1"/>
  <c r="T8" i="10"/>
  <c r="X8" i="10" s="1"/>
  <c r="T66" i="10"/>
  <c r="X66" i="10" s="1"/>
  <c r="T71" i="10"/>
  <c r="X71" i="10" s="1"/>
  <c r="T70" i="10"/>
  <c r="X70" i="10" s="1"/>
  <c r="T11" i="10"/>
  <c r="X11" i="10" s="1"/>
  <c r="T40" i="10"/>
  <c r="X40" i="10" s="1"/>
  <c r="T52" i="10"/>
  <c r="X52" i="10" s="1"/>
  <c r="T110" i="10"/>
  <c r="X110" i="10" s="1"/>
  <c r="T18" i="10"/>
  <c r="X18" i="10" s="1"/>
  <c r="T33" i="10"/>
  <c r="X33" i="10" s="1"/>
  <c r="T24" i="10"/>
  <c r="X24" i="10" s="1"/>
  <c r="T25" i="10"/>
  <c r="X25" i="10" s="1"/>
  <c r="T84" i="10"/>
  <c r="X84" i="10" s="1"/>
  <c r="T13" i="10"/>
  <c r="X13" i="10" s="1"/>
  <c r="T65" i="10"/>
  <c r="X65" i="10" s="1"/>
  <c r="T5" i="10"/>
  <c r="X5" i="10" s="1"/>
  <c r="T34" i="10"/>
  <c r="X34" i="10" s="1"/>
  <c r="T69" i="10"/>
  <c r="X69" i="10" s="1"/>
  <c r="T37" i="10"/>
  <c r="X37" i="10" s="1"/>
  <c r="T45" i="10"/>
  <c r="X45" i="10" s="1"/>
  <c r="T19" i="10"/>
  <c r="X19" i="10" s="1"/>
  <c r="T36" i="10"/>
  <c r="X36" i="10" s="1"/>
  <c r="T96" i="10"/>
  <c r="X96" i="10" s="1"/>
  <c r="P805" i="2"/>
  <c r="T35" i="10"/>
  <c r="X35" i="10" s="1"/>
  <c r="T80" i="10"/>
  <c r="X80" i="10" s="1"/>
  <c r="T47" i="10"/>
  <c r="X47" i="10" s="1"/>
  <c r="T106" i="10"/>
  <c r="X106" i="10" s="1"/>
  <c r="T99" i="10"/>
  <c r="X99" i="10" s="1"/>
  <c r="T86" i="10"/>
  <c r="X86" i="10" s="1"/>
  <c r="T98" i="10"/>
  <c r="X98" i="10" s="1"/>
  <c r="T59" i="10"/>
  <c r="X59" i="10" s="1"/>
  <c r="U1337" i="2"/>
  <c r="E617" i="2" l="1"/>
  <c r="P617" i="2" s="1"/>
  <c r="C617" i="2" s="1"/>
  <c r="D617" i="2" s="1"/>
  <c r="E587" i="2"/>
  <c r="P587" i="2" s="1"/>
  <c r="C587" i="2" s="1"/>
  <c r="D587" i="2" s="1"/>
  <c r="E564" i="2"/>
  <c r="P564" i="2" s="1"/>
  <c r="C564" i="2" s="1"/>
  <c r="D564" i="2" s="1"/>
  <c r="E609" i="2"/>
  <c r="P609" i="2" s="1"/>
  <c r="C609" i="2" s="1"/>
  <c r="D609" i="2" s="1"/>
  <c r="E565" i="2"/>
  <c r="P565" i="2" s="1"/>
  <c r="C565" i="2" s="1"/>
  <c r="D565" i="2" s="1"/>
  <c r="E619" i="2"/>
  <c r="P619" i="2" s="1"/>
  <c r="C619" i="2" s="1"/>
  <c r="D619" i="2" s="1"/>
  <c r="E602" i="2"/>
  <c r="P602" i="2" s="1"/>
  <c r="C602" i="2" s="1"/>
  <c r="D602" i="2" s="1"/>
  <c r="E601" i="2"/>
  <c r="P601" i="2" s="1"/>
  <c r="C601" i="2" s="1"/>
  <c r="D601" i="2" s="1"/>
  <c r="E562" i="2"/>
  <c r="P562" i="2" s="1"/>
  <c r="C562" i="2" s="1"/>
  <c r="D562" i="2" s="1"/>
  <c r="E585" i="2"/>
  <c r="P585" i="2" s="1"/>
  <c r="C585" i="2" s="1"/>
  <c r="D585" i="2" s="1"/>
  <c r="E642" i="2"/>
  <c r="P642" i="2" s="1"/>
  <c r="C642" i="2" s="1"/>
  <c r="D642" i="2" s="1"/>
  <c r="E649" i="2"/>
  <c r="P649" i="2" s="1"/>
  <c r="C649" i="2" s="1"/>
  <c r="D649" i="2" s="1"/>
  <c r="E579" i="2"/>
  <c r="P579" i="2" s="1"/>
  <c r="C579" i="2" s="1"/>
  <c r="D579" i="2" s="1"/>
  <c r="E644" i="2"/>
  <c r="P644" i="2" s="1"/>
  <c r="C644" i="2" s="1"/>
  <c r="D644" i="2" s="1"/>
  <c r="E631" i="2"/>
  <c r="P631" i="2" s="1"/>
  <c r="C631" i="2" s="1"/>
  <c r="D631" i="2" s="1"/>
  <c r="E593" i="2"/>
  <c r="P593" i="2" s="1"/>
  <c r="C593" i="2" s="1"/>
  <c r="D593" i="2" s="1"/>
  <c r="E625" i="2"/>
  <c r="P625" i="2" s="1"/>
  <c r="C625" i="2" s="1"/>
  <c r="D625" i="2" s="1"/>
  <c r="E598" i="2"/>
  <c r="P598" i="2" s="1"/>
  <c r="C598" i="2" s="1"/>
  <c r="D598" i="2" s="1"/>
  <c r="E662" i="2"/>
  <c r="P662" i="2" s="1"/>
  <c r="C662" i="2" s="1"/>
  <c r="D662" i="2" s="1"/>
  <c r="E623" i="2"/>
  <c r="P623" i="2" s="1"/>
  <c r="C623" i="2" s="1"/>
  <c r="D623" i="2" s="1"/>
  <c r="AF564" i="2"/>
  <c r="AG564" i="2" s="1"/>
  <c r="AH562" i="2" s="1"/>
  <c r="AV561" i="2" s="1"/>
  <c r="E572" i="2"/>
  <c r="P572" i="2" s="1"/>
  <c r="C572" i="2" s="1"/>
  <c r="D572" i="2" s="1"/>
  <c r="E630" i="2"/>
  <c r="P630" i="2" s="1"/>
  <c r="C630" i="2" s="1"/>
  <c r="D630" i="2" s="1"/>
  <c r="E567" i="2"/>
  <c r="P567" i="2" s="1"/>
  <c r="C567" i="2" s="1"/>
  <c r="D567" i="2" s="1"/>
  <c r="E584" i="2"/>
  <c r="P584" i="2" s="1"/>
  <c r="C584" i="2" s="1"/>
  <c r="D584" i="2" s="1"/>
  <c r="E640" i="2"/>
  <c r="P640" i="2" s="1"/>
  <c r="C640" i="2" s="1"/>
  <c r="D640" i="2" s="1"/>
  <c r="E653" i="2"/>
  <c r="P653" i="2" s="1"/>
  <c r="C653" i="2" s="1"/>
  <c r="D653" i="2" s="1"/>
  <c r="E588" i="2"/>
  <c r="P588" i="2" s="1"/>
  <c r="C588" i="2" s="1"/>
  <c r="D588" i="2" s="1"/>
  <c r="E605" i="2"/>
  <c r="P605" i="2" s="1"/>
  <c r="C605" i="2" s="1"/>
  <c r="D605" i="2" s="1"/>
  <c r="E638" i="2"/>
  <c r="P638" i="2" s="1"/>
  <c r="C638" i="2" s="1"/>
  <c r="D638" i="2" s="1"/>
  <c r="E580" i="2"/>
  <c r="P580" i="2" s="1"/>
  <c r="C580" i="2" s="1"/>
  <c r="D580" i="2" s="1"/>
  <c r="E656" i="2"/>
  <c r="P656" i="2" s="1"/>
  <c r="C656" i="2" s="1"/>
  <c r="D656" i="2" s="1"/>
  <c r="E648" i="2"/>
  <c r="P648" i="2" s="1"/>
  <c r="C648" i="2" s="1"/>
  <c r="D648" i="2" s="1"/>
  <c r="E595" i="2"/>
  <c r="P595" i="2" s="1"/>
  <c r="C595" i="2" s="1"/>
  <c r="D595" i="2" s="1"/>
  <c r="E660" i="2"/>
  <c r="P660" i="2" s="1"/>
  <c r="C660" i="2" s="1"/>
  <c r="D660" i="2" s="1"/>
  <c r="E586" i="2"/>
  <c r="P586" i="2" s="1"/>
  <c r="C586" i="2" s="1"/>
  <c r="D586" i="2" s="1"/>
  <c r="E581" i="2"/>
  <c r="P581" i="2" s="1"/>
  <c r="C581" i="2" s="1"/>
  <c r="D581" i="2" s="1"/>
  <c r="E573" i="2"/>
  <c r="P573" i="2" s="1"/>
  <c r="C573" i="2" s="1"/>
  <c r="D573" i="2" s="1"/>
  <c r="E618" i="2"/>
  <c r="P618" i="2" s="1"/>
  <c r="C618" i="2" s="1"/>
  <c r="D618" i="2" s="1"/>
  <c r="E615" i="2"/>
  <c r="P615" i="2" s="1"/>
  <c r="C615" i="2" s="1"/>
  <c r="D615" i="2" s="1"/>
  <c r="E576" i="2"/>
  <c r="P576" i="2" s="1"/>
  <c r="C576" i="2" s="1"/>
  <c r="D576" i="2" s="1"/>
  <c r="E637" i="2"/>
  <c r="P637" i="2" s="1"/>
  <c r="C637" i="2" s="1"/>
  <c r="D637" i="2" s="1"/>
  <c r="E610" i="2"/>
  <c r="P610" i="2" s="1"/>
  <c r="C610" i="2" s="1"/>
  <c r="D610" i="2" s="1"/>
  <c r="E643" i="2"/>
  <c r="P643" i="2" s="1"/>
  <c r="C643" i="2" s="1"/>
  <c r="D643" i="2" s="1"/>
  <c r="E599" i="2"/>
  <c r="P599" i="2" s="1"/>
  <c r="C599" i="2" s="1"/>
  <c r="D599" i="2" s="1"/>
  <c r="E603" i="2"/>
  <c r="P603" i="2" s="1"/>
  <c r="C603" i="2" s="1"/>
  <c r="D603" i="2" s="1"/>
  <c r="E645" i="2"/>
  <c r="P645" i="2" s="1"/>
  <c r="C645" i="2" s="1"/>
  <c r="D645" i="2" s="1"/>
  <c r="E655" i="2"/>
  <c r="P655" i="2" s="1"/>
  <c r="C655" i="2" s="1"/>
  <c r="D655" i="2" s="1"/>
  <c r="E616" i="2"/>
  <c r="P616" i="2" s="1"/>
  <c r="C616" i="2" s="1"/>
  <c r="D616" i="2" s="1"/>
  <c r="E647" i="2"/>
  <c r="P647" i="2" s="1"/>
  <c r="C647" i="2" s="1"/>
  <c r="D647" i="2" s="1"/>
  <c r="E641" i="2"/>
  <c r="P641" i="2" s="1"/>
  <c r="C641" i="2" s="1"/>
  <c r="D641" i="2" s="1"/>
  <c r="E657" i="2"/>
  <c r="P657" i="2" s="1"/>
  <c r="C657" i="2" s="1"/>
  <c r="D657" i="2" s="1"/>
  <c r="E614" i="2"/>
  <c r="P614" i="2" s="1"/>
  <c r="C614" i="2" s="1"/>
  <c r="D614" i="2" s="1"/>
  <c r="E622" i="2"/>
  <c r="P622" i="2" s="1"/>
  <c r="C622" i="2" s="1"/>
  <c r="D622" i="2" s="1"/>
  <c r="E607" i="2"/>
  <c r="P607" i="2" s="1"/>
  <c r="C607" i="2" s="1"/>
  <c r="D607" i="2" s="1"/>
  <c r="E632" i="2"/>
  <c r="P632" i="2" s="1"/>
  <c r="C632" i="2" s="1"/>
  <c r="D632" i="2" s="1"/>
  <c r="E620" i="2"/>
  <c r="P620" i="2" s="1"/>
  <c r="C620" i="2" s="1"/>
  <c r="D620" i="2" s="1"/>
  <c r="E575" i="2"/>
  <c r="P575" i="2" s="1"/>
  <c r="C575" i="2" s="1"/>
  <c r="D575" i="2" s="1"/>
  <c r="E606" i="2"/>
  <c r="P606" i="2" s="1"/>
  <c r="C606" i="2" s="1"/>
  <c r="D606" i="2" s="1"/>
  <c r="E608" i="2"/>
  <c r="P608" i="2" s="1"/>
  <c r="C608" i="2" s="1"/>
  <c r="D608" i="2" s="1"/>
  <c r="E591" i="2"/>
  <c r="P591" i="2" s="1"/>
  <c r="C591" i="2" s="1"/>
  <c r="D591" i="2" s="1"/>
  <c r="E563" i="2"/>
  <c r="P563" i="2" s="1"/>
  <c r="C563" i="2" s="1"/>
  <c r="D563" i="2" s="1"/>
  <c r="E654" i="2"/>
  <c r="P654" i="2" s="1"/>
  <c r="C654" i="2" s="1"/>
  <c r="D654" i="2" s="1"/>
  <c r="E659" i="2"/>
  <c r="P659" i="2" s="1"/>
  <c r="C659" i="2" s="1"/>
  <c r="D659" i="2" s="1"/>
  <c r="E597" i="2"/>
  <c r="P597" i="2" s="1"/>
  <c r="C597" i="2" s="1"/>
  <c r="D597" i="2" s="1"/>
  <c r="E635" i="2"/>
  <c r="P635" i="2" s="1"/>
  <c r="C635" i="2" s="1"/>
  <c r="D635" i="2" s="1"/>
  <c r="E582" i="2"/>
  <c r="P582" i="2" s="1"/>
  <c r="C582" i="2" s="1"/>
  <c r="D582" i="2" s="1"/>
  <c r="AC432" i="2"/>
  <c r="AD432" i="2" s="1"/>
  <c r="AE432" i="2" s="1"/>
  <c r="R432" i="2" s="1"/>
  <c r="S432" i="2" s="1"/>
  <c r="E634" i="2"/>
  <c r="P634" i="2" s="1"/>
  <c r="C634" i="2" s="1"/>
  <c r="D634" i="2" s="1"/>
  <c r="AC433" i="2"/>
  <c r="AD433" i="2" s="1"/>
  <c r="AE433" i="2" s="1"/>
  <c r="R433" i="2" s="1"/>
  <c r="S433" i="2" s="1"/>
  <c r="E626" i="2"/>
  <c r="P626" i="2" s="1"/>
  <c r="C626" i="2" s="1"/>
  <c r="D626" i="2" s="1"/>
  <c r="E594" i="2"/>
  <c r="P594" i="2" s="1"/>
  <c r="C594" i="2" s="1"/>
  <c r="D594" i="2" s="1"/>
  <c r="E658" i="2"/>
  <c r="P658" i="2" s="1"/>
  <c r="C658" i="2" s="1"/>
  <c r="D658" i="2" s="1"/>
  <c r="E661" i="2"/>
  <c r="P661" i="2" s="1"/>
  <c r="C661" i="2" s="1"/>
  <c r="D661" i="2" s="1"/>
  <c r="E570" i="2"/>
  <c r="P570" i="2" s="1"/>
  <c r="C570" i="2" s="1"/>
  <c r="D570" i="2" s="1"/>
  <c r="E646" i="2"/>
  <c r="P646" i="2" s="1"/>
  <c r="C646" i="2" s="1"/>
  <c r="D646" i="2" s="1"/>
  <c r="E590" i="2"/>
  <c r="P590" i="2" s="1"/>
  <c r="C590" i="2" s="1"/>
  <c r="D590" i="2" s="1"/>
  <c r="E627" i="2"/>
  <c r="P627" i="2" s="1"/>
  <c r="C627" i="2" s="1"/>
  <c r="D627" i="2" s="1"/>
  <c r="E652" i="2"/>
  <c r="P652" i="2" s="1"/>
  <c r="C652" i="2" s="1"/>
  <c r="D652" i="2" s="1"/>
  <c r="E569" i="2"/>
  <c r="P569" i="2" s="1"/>
  <c r="C569" i="2" s="1"/>
  <c r="D569" i="2" s="1"/>
  <c r="E600" i="2"/>
  <c r="P600" i="2" s="1"/>
  <c r="C600" i="2" s="1"/>
  <c r="D600" i="2" s="1"/>
  <c r="E628" i="2"/>
  <c r="P628" i="2" s="1"/>
  <c r="C628" i="2" s="1"/>
  <c r="D628" i="2" s="1"/>
  <c r="AC436" i="2"/>
  <c r="AD436" i="2" s="1"/>
  <c r="AE436" i="2" s="1"/>
  <c r="R436" i="2" s="1"/>
  <c r="T436" i="2" s="1"/>
  <c r="E650" i="2"/>
  <c r="P650" i="2" s="1"/>
  <c r="C650" i="2" s="1"/>
  <c r="D650" i="2" s="1"/>
  <c r="E561" i="2"/>
  <c r="P561" i="2" s="1"/>
  <c r="C561" i="2" s="1"/>
  <c r="D561" i="2" s="1"/>
  <c r="S329" i="2" s="1"/>
  <c r="E629" i="2"/>
  <c r="P629" i="2" s="1"/>
  <c r="C629" i="2" s="1"/>
  <c r="D629" i="2" s="1"/>
  <c r="E592" i="2"/>
  <c r="P592" i="2" s="1"/>
  <c r="C592" i="2" s="1"/>
  <c r="D592" i="2" s="1"/>
  <c r="E566" i="2"/>
  <c r="P566" i="2" s="1"/>
  <c r="C566" i="2" s="1"/>
  <c r="D566" i="2" s="1"/>
  <c r="E633" i="2"/>
  <c r="P633" i="2" s="1"/>
  <c r="C633" i="2" s="1"/>
  <c r="D633" i="2" s="1"/>
  <c r="AC434" i="2"/>
  <c r="AD434" i="2" s="1"/>
  <c r="AE434" i="2" s="1"/>
  <c r="R434" i="2" s="1"/>
  <c r="T434" i="2" s="1"/>
  <c r="E639" i="2"/>
  <c r="P639" i="2" s="1"/>
  <c r="C639" i="2" s="1"/>
  <c r="D639" i="2" s="1"/>
  <c r="E578" i="2"/>
  <c r="P578" i="2" s="1"/>
  <c r="C578" i="2" s="1"/>
  <c r="D578" i="2" s="1"/>
  <c r="E636" i="2"/>
  <c r="P636" i="2" s="1"/>
  <c r="C636" i="2" s="1"/>
  <c r="D636" i="2" s="1"/>
  <c r="E604" i="2"/>
  <c r="P604" i="2" s="1"/>
  <c r="C604" i="2" s="1"/>
  <c r="D604" i="2" s="1"/>
  <c r="E583" i="2"/>
  <c r="P583" i="2" s="1"/>
  <c r="C583" i="2" s="1"/>
  <c r="D583" i="2" s="1"/>
  <c r="E589" i="2"/>
  <c r="P589" i="2" s="1"/>
  <c r="C589" i="2" s="1"/>
  <c r="D589" i="2" s="1"/>
  <c r="E651" i="2"/>
  <c r="P651" i="2" s="1"/>
  <c r="C651" i="2" s="1"/>
  <c r="D651" i="2" s="1"/>
  <c r="E568" i="2"/>
  <c r="P568" i="2" s="1"/>
  <c r="C568" i="2" s="1"/>
  <c r="D568" i="2" s="1"/>
  <c r="E577" i="2"/>
  <c r="P577" i="2" s="1"/>
  <c r="C577" i="2" s="1"/>
  <c r="D577" i="2" s="1"/>
  <c r="E621" i="2"/>
  <c r="P621" i="2" s="1"/>
  <c r="C621" i="2" s="1"/>
  <c r="D621" i="2" s="1"/>
  <c r="E571" i="2"/>
  <c r="P571" i="2" s="1"/>
  <c r="C571" i="2" s="1"/>
  <c r="D571" i="2" s="1"/>
  <c r="AC435" i="2"/>
  <c r="AD435" i="2" s="1"/>
  <c r="AE435" i="2" s="1"/>
  <c r="R435" i="2" s="1"/>
  <c r="T435" i="2" s="1"/>
  <c r="AH468" i="2"/>
  <c r="AH469" i="2"/>
  <c r="E574" i="2"/>
  <c r="P574" i="2" s="1"/>
  <c r="C574" i="2" s="1"/>
  <c r="D574" i="2" s="1"/>
  <c r="AK465" i="2"/>
  <c r="AM473" i="2" s="1"/>
  <c r="M321" i="2" s="1"/>
  <c r="M325" i="2" s="1"/>
  <c r="AJ468" i="2"/>
  <c r="T432" i="2"/>
  <c r="AC84" i="10"/>
  <c r="AI84" i="10" s="1"/>
  <c r="AJ84" i="10" s="1"/>
  <c r="P435" i="2"/>
  <c r="S323" i="2"/>
  <c r="AC105" i="10"/>
  <c r="AI105" i="10" s="1"/>
  <c r="AJ105" i="10" s="1"/>
  <c r="AC25" i="10"/>
  <c r="AI25" i="10" s="1"/>
  <c r="AJ25" i="10" s="1"/>
  <c r="AC4" i="10"/>
  <c r="AI4" i="10" s="1"/>
  <c r="AJ4" i="10" s="1"/>
  <c r="AC37" i="10"/>
  <c r="AI37" i="10" s="1"/>
  <c r="AJ37" i="10" s="1"/>
  <c r="AC111" i="10"/>
  <c r="AI111" i="10" s="1"/>
  <c r="AJ111" i="10" s="1"/>
  <c r="AC7" i="10"/>
  <c r="AI7" i="10" s="1"/>
  <c r="AJ7" i="10" s="1"/>
  <c r="AC110" i="10"/>
  <c r="AI110" i="10" s="1"/>
  <c r="AJ110" i="10" s="1"/>
  <c r="AC42" i="10"/>
  <c r="AI42" i="10" s="1"/>
  <c r="AJ42" i="10" s="1"/>
  <c r="AC61" i="10"/>
  <c r="AI61" i="10" s="1"/>
  <c r="AJ61" i="10" s="1"/>
  <c r="AC66" i="10"/>
  <c r="AI66" i="10" s="1"/>
  <c r="AJ66" i="10" s="1"/>
  <c r="AC99" i="10"/>
  <c r="AI99" i="10" s="1"/>
  <c r="AJ99" i="10" s="1"/>
  <c r="AC100" i="10"/>
  <c r="AI100" i="10" s="1"/>
  <c r="AJ100" i="10" s="1"/>
  <c r="AC86" i="10"/>
  <c r="AI86" i="10" s="1"/>
  <c r="AJ86" i="10" s="1"/>
  <c r="AC30" i="10"/>
  <c r="AI30" i="10" s="1"/>
  <c r="AJ30" i="10" s="1"/>
  <c r="AC94" i="10"/>
  <c r="AI94" i="10" s="1"/>
  <c r="AJ94" i="10" s="1"/>
  <c r="AC72" i="10"/>
  <c r="AI72" i="10" s="1"/>
  <c r="AJ72" i="10" s="1"/>
  <c r="AC17" i="10"/>
  <c r="AI17" i="10" s="1"/>
  <c r="AJ17" i="10" s="1"/>
  <c r="AC33" i="10"/>
  <c r="AI33" i="10" s="1"/>
  <c r="AJ33" i="10" s="1"/>
  <c r="AC58" i="10"/>
  <c r="AI58" i="10" s="1"/>
  <c r="AJ58" i="10" s="1"/>
  <c r="AC73" i="10"/>
  <c r="AI73" i="10" s="1"/>
  <c r="AJ73" i="10" s="1"/>
  <c r="AC82" i="10"/>
  <c r="AI82" i="10" s="1"/>
  <c r="AJ82" i="10" s="1"/>
  <c r="AC28" i="10"/>
  <c r="AI28" i="10" s="1"/>
  <c r="AJ28" i="10" s="1"/>
  <c r="AC88" i="10"/>
  <c r="AI88" i="10" s="1"/>
  <c r="AJ88" i="10" s="1"/>
  <c r="AC74" i="10"/>
  <c r="AI74" i="10" s="1"/>
  <c r="AJ74" i="10" s="1"/>
  <c r="AC80" i="10"/>
  <c r="AI80" i="10" s="1"/>
  <c r="AJ80" i="10" s="1"/>
  <c r="AC102" i="10"/>
  <c r="AI102" i="10" s="1"/>
  <c r="AJ102" i="10" s="1"/>
  <c r="AC93" i="10"/>
  <c r="AI93" i="10" s="1"/>
  <c r="AJ93" i="10" s="1"/>
  <c r="AC104" i="10"/>
  <c r="AI104" i="10" s="1"/>
  <c r="AJ104" i="10" s="1"/>
  <c r="AC31" i="10"/>
  <c r="AI31" i="10" s="1"/>
  <c r="AJ31" i="10" s="1"/>
  <c r="AC81" i="10"/>
  <c r="AI81" i="10" s="1"/>
  <c r="AJ81" i="10" s="1"/>
  <c r="AC40" i="10"/>
  <c r="AI40" i="10" s="1"/>
  <c r="AJ40" i="10" s="1"/>
  <c r="AC35" i="10"/>
  <c r="AI35" i="10" s="1"/>
  <c r="AJ35" i="10" s="1"/>
  <c r="AC48" i="10"/>
  <c r="AI48" i="10" s="1"/>
  <c r="AJ48" i="10" s="1"/>
  <c r="AC96" i="10"/>
  <c r="AI96" i="10" s="1"/>
  <c r="AJ96" i="10" s="1"/>
  <c r="AC112" i="10"/>
  <c r="AI112" i="10" s="1"/>
  <c r="AJ112" i="10" s="1"/>
  <c r="AC109" i="10"/>
  <c r="AI109" i="10" s="1"/>
  <c r="AJ109" i="10" s="1"/>
  <c r="AC2" i="10"/>
  <c r="AI2" i="10" s="1"/>
  <c r="AJ2" i="10" s="1"/>
  <c r="AC32" i="10"/>
  <c r="AI32" i="10" s="1"/>
  <c r="AJ32" i="10" s="1"/>
  <c r="AC27" i="10"/>
  <c r="AI27" i="10" s="1"/>
  <c r="AJ27" i="10" s="1"/>
  <c r="AC97" i="10"/>
  <c r="AI97" i="10" s="1"/>
  <c r="AJ97" i="10" s="1"/>
  <c r="AC53" i="10"/>
  <c r="AI53" i="10" s="1"/>
  <c r="AJ53" i="10" s="1"/>
  <c r="AC50" i="10"/>
  <c r="AI50" i="10" s="1"/>
  <c r="AJ50" i="10" s="1"/>
  <c r="AC5" i="10"/>
  <c r="AI5" i="10" s="1"/>
  <c r="AJ5" i="10" s="1"/>
  <c r="AC51" i="10"/>
  <c r="AI51" i="10" s="1"/>
  <c r="AJ51" i="10" s="1"/>
  <c r="AC9" i="10"/>
  <c r="AI9" i="10" s="1"/>
  <c r="AJ9" i="10" s="1"/>
  <c r="AC54" i="10"/>
  <c r="AI54" i="10" s="1"/>
  <c r="AJ54" i="10" s="1"/>
  <c r="AC64" i="10"/>
  <c r="AI64" i="10" s="1"/>
  <c r="AJ64" i="10" s="1"/>
  <c r="AC83" i="10"/>
  <c r="AI83" i="10" s="1"/>
  <c r="AJ83" i="10" s="1"/>
  <c r="AC26" i="10"/>
  <c r="AI26" i="10" s="1"/>
  <c r="AJ26" i="10" s="1"/>
  <c r="AC59" i="10"/>
  <c r="AI59" i="10" s="1"/>
  <c r="AJ59" i="10" s="1"/>
  <c r="AC68" i="10"/>
  <c r="AI68" i="10" s="1"/>
  <c r="AJ68" i="10" s="1"/>
  <c r="AC78" i="10"/>
  <c r="AI78" i="10" s="1"/>
  <c r="AJ78" i="10" s="1"/>
  <c r="AC24" i="10"/>
  <c r="AI24" i="10" s="1"/>
  <c r="AJ24" i="10" s="1"/>
  <c r="AC69" i="10"/>
  <c r="AI69" i="10" s="1"/>
  <c r="AJ69" i="10" s="1"/>
  <c r="AC89" i="10"/>
  <c r="AI89" i="10" s="1"/>
  <c r="AJ89" i="10" s="1"/>
  <c r="AC55" i="10"/>
  <c r="AI55" i="10" s="1"/>
  <c r="AJ55" i="10" s="1"/>
  <c r="AC76" i="10"/>
  <c r="AI76" i="10" s="1"/>
  <c r="AJ76" i="10" s="1"/>
  <c r="AC36" i="10"/>
  <c r="AI36" i="10" s="1"/>
  <c r="AJ36" i="10" s="1"/>
  <c r="AC16" i="10"/>
  <c r="AI16" i="10" s="1"/>
  <c r="AJ16" i="10" s="1"/>
  <c r="AC57" i="10"/>
  <c r="AI57" i="10" s="1"/>
  <c r="AJ57" i="10" s="1"/>
  <c r="AC47" i="10"/>
  <c r="AI47" i="10" s="1"/>
  <c r="AJ47" i="10" s="1"/>
  <c r="AC12" i="10"/>
  <c r="AI12" i="10" s="1"/>
  <c r="AJ12" i="10" s="1"/>
  <c r="AC44" i="10"/>
  <c r="AI44" i="10" s="1"/>
  <c r="AJ44" i="10" s="1"/>
  <c r="AC52" i="10"/>
  <c r="AI52" i="10" s="1"/>
  <c r="AJ52" i="10" s="1"/>
  <c r="AC65" i="10"/>
  <c r="AI65" i="10" s="1"/>
  <c r="AJ65" i="10" s="1"/>
  <c r="AC60" i="10"/>
  <c r="AI60" i="10" s="1"/>
  <c r="AJ60" i="10" s="1"/>
  <c r="AC62" i="10"/>
  <c r="AI62" i="10" s="1"/>
  <c r="AJ62" i="10" s="1"/>
  <c r="AC75" i="10"/>
  <c r="AI75" i="10" s="1"/>
  <c r="AJ75" i="10" s="1"/>
  <c r="AC41" i="10"/>
  <c r="AI41" i="10" s="1"/>
  <c r="AJ41" i="10" s="1"/>
  <c r="AC90" i="10"/>
  <c r="AI90" i="10" s="1"/>
  <c r="AJ90" i="10" s="1"/>
  <c r="AC63" i="10"/>
  <c r="AI63" i="10" s="1"/>
  <c r="AJ63" i="10" s="1"/>
  <c r="AC106" i="10"/>
  <c r="AI106" i="10" s="1"/>
  <c r="AJ106" i="10" s="1"/>
  <c r="P1041" i="2"/>
  <c r="J1041" i="2" s="1"/>
  <c r="O982" i="2" s="1"/>
  <c r="AC10" i="10"/>
  <c r="AI10" i="10" s="1"/>
  <c r="AJ10" i="10" s="1"/>
  <c r="AC45" i="10"/>
  <c r="AI45" i="10" s="1"/>
  <c r="AJ45" i="10" s="1"/>
  <c r="AC21" i="10"/>
  <c r="AI21" i="10" s="1"/>
  <c r="AJ21" i="10" s="1"/>
  <c r="AC38" i="10"/>
  <c r="AI38" i="10" s="1"/>
  <c r="AJ38" i="10" s="1"/>
  <c r="AC108" i="10"/>
  <c r="AI108" i="10" s="1"/>
  <c r="AJ108" i="10" s="1"/>
  <c r="AC3" i="10"/>
  <c r="AI3" i="10" s="1"/>
  <c r="AJ3" i="10" s="1"/>
  <c r="AC85" i="10"/>
  <c r="AI85" i="10" s="1"/>
  <c r="AJ85" i="10" s="1"/>
  <c r="AC15" i="10"/>
  <c r="AI15" i="10" s="1"/>
  <c r="AJ15" i="10" s="1"/>
  <c r="AC39" i="10"/>
  <c r="AI39" i="10" s="1"/>
  <c r="AJ39" i="10" s="1"/>
  <c r="AC18" i="10"/>
  <c r="AI18" i="10" s="1"/>
  <c r="AJ18" i="10" s="1"/>
  <c r="AC20" i="10"/>
  <c r="AI20" i="10" s="1"/>
  <c r="AJ20" i="10" s="1"/>
  <c r="AC49" i="10"/>
  <c r="AI49" i="10" s="1"/>
  <c r="AJ49" i="10" s="1"/>
  <c r="AC107" i="10"/>
  <c r="AI107" i="10" s="1"/>
  <c r="AJ107" i="10" s="1"/>
  <c r="AC11" i="10"/>
  <c r="AI11" i="10" s="1"/>
  <c r="AJ11" i="10" s="1"/>
  <c r="AC79" i="10"/>
  <c r="AI79" i="10" s="1"/>
  <c r="AJ79" i="10" s="1"/>
  <c r="AC43" i="10"/>
  <c r="AI43" i="10" s="1"/>
  <c r="AJ43" i="10" s="1"/>
  <c r="AC13" i="10"/>
  <c r="AI13" i="10" s="1"/>
  <c r="AJ13" i="10" s="1"/>
  <c r="AC71" i="10"/>
  <c r="AI71" i="10" s="1"/>
  <c r="AJ71" i="10" s="1"/>
  <c r="AC34" i="10"/>
  <c r="AI34" i="10" s="1"/>
  <c r="AJ34" i="10" s="1"/>
  <c r="AC91" i="10"/>
  <c r="AI91" i="10" s="1"/>
  <c r="AJ91" i="10" s="1"/>
  <c r="AC67" i="10"/>
  <c r="AI67" i="10" s="1"/>
  <c r="AJ67" i="10" s="1"/>
  <c r="AC98" i="10"/>
  <c r="AI98" i="10" s="1"/>
  <c r="AJ98" i="10" s="1"/>
  <c r="AC23" i="10"/>
  <c r="AI23" i="10" s="1"/>
  <c r="AJ23" i="10" s="1"/>
  <c r="AC22" i="10"/>
  <c r="AI22" i="10" s="1"/>
  <c r="AJ22" i="10" s="1"/>
  <c r="AC6" i="10"/>
  <c r="AI6" i="10" s="1"/>
  <c r="AJ6" i="10" s="1"/>
  <c r="AC101" i="10"/>
  <c r="AI101" i="10" s="1"/>
  <c r="AJ101" i="10" s="1"/>
  <c r="AC19" i="10"/>
  <c r="AI19" i="10" s="1"/>
  <c r="AJ19" i="10" s="1"/>
  <c r="AC95" i="10"/>
  <c r="AI95" i="10" s="1"/>
  <c r="AJ95" i="10" s="1"/>
  <c r="AC87" i="10"/>
  <c r="AI87" i="10" s="1"/>
  <c r="AJ87" i="10" s="1"/>
  <c r="AC8" i="10"/>
  <c r="AI8" i="10" s="1"/>
  <c r="AJ8" i="10" s="1"/>
  <c r="AC56" i="10"/>
  <c r="AI56" i="10" s="1"/>
  <c r="AJ56" i="10" s="1"/>
  <c r="AC70" i="10"/>
  <c r="AI70" i="10" s="1"/>
  <c r="AJ70" i="10" s="1"/>
  <c r="AC77" i="10"/>
  <c r="AI77" i="10" s="1"/>
  <c r="AJ77" i="10" s="1"/>
  <c r="AC46" i="10"/>
  <c r="AI46" i="10" s="1"/>
  <c r="AJ46" i="10" s="1"/>
  <c r="AC103" i="10"/>
  <c r="AI103" i="10" s="1"/>
  <c r="AJ103" i="10" s="1"/>
  <c r="AC29" i="10"/>
  <c r="AI29" i="10" s="1"/>
  <c r="AJ29" i="10" s="1"/>
  <c r="AC92" i="10"/>
  <c r="AI92" i="10" s="1"/>
  <c r="AJ92" i="10" s="1"/>
  <c r="Z90" i="10"/>
  <c r="Z64" i="10"/>
  <c r="Z57" i="10"/>
  <c r="Z106" i="10"/>
  <c r="Z17" i="10"/>
  <c r="N1207" i="2"/>
  <c r="Z6" i="10"/>
  <c r="Z7" i="10"/>
  <c r="Z13" i="10"/>
  <c r="Z22" i="10"/>
  <c r="AA70" i="10"/>
  <c r="Z56" i="10"/>
  <c r="Z19" i="10"/>
  <c r="Z62" i="10"/>
  <c r="Z66" i="10"/>
  <c r="Z58" i="10"/>
  <c r="Z71" i="10"/>
  <c r="Z33" i="10"/>
  <c r="Z86" i="10"/>
  <c r="Z103" i="10"/>
  <c r="Z54" i="10"/>
  <c r="Z74" i="10"/>
  <c r="Z34" i="10"/>
  <c r="Z24" i="10"/>
  <c r="Z26" i="10"/>
  <c r="Z73" i="10"/>
  <c r="AA59" i="10"/>
  <c r="Z48" i="10"/>
  <c r="Z108" i="10"/>
  <c r="Z67" i="10"/>
  <c r="Z110" i="10"/>
  <c r="AA40" i="10"/>
  <c r="Z85" i="10"/>
  <c r="Z20" i="10"/>
  <c r="Z68" i="10"/>
  <c r="AA16" i="10"/>
  <c r="Z69" i="10"/>
  <c r="Z16" i="10"/>
  <c r="Z29" i="10"/>
  <c r="Z82" i="10"/>
  <c r="Z98" i="10"/>
  <c r="AA62" i="10"/>
  <c r="Z93" i="10"/>
  <c r="Z39" i="10"/>
  <c r="Z75" i="10"/>
  <c r="Z31" i="10"/>
  <c r="Z102" i="10"/>
  <c r="AA81" i="10"/>
  <c r="AA88" i="10"/>
  <c r="AA2" i="10"/>
  <c r="AA95" i="10"/>
  <c r="AA8" i="10"/>
  <c r="I1471" i="2"/>
  <c r="AA71" i="10"/>
  <c r="AA50" i="10"/>
  <c r="AA6" i="10"/>
  <c r="AA110" i="10"/>
  <c r="AA52" i="10"/>
  <c r="AA67" i="10"/>
  <c r="AA25" i="10"/>
  <c r="AA99" i="10"/>
  <c r="AA91" i="10"/>
  <c r="AA39" i="10"/>
  <c r="AA63" i="10"/>
  <c r="AA78" i="10"/>
  <c r="AA60" i="10"/>
  <c r="AA29" i="10"/>
  <c r="AA44" i="10"/>
  <c r="AA112" i="10"/>
  <c r="AA18" i="10"/>
  <c r="AA49" i="10"/>
  <c r="Z59" i="10"/>
  <c r="Z65" i="10"/>
  <c r="Z81" i="10"/>
  <c r="Z63" i="10"/>
  <c r="Z30" i="10"/>
  <c r="Z23" i="10"/>
  <c r="Z107" i="10"/>
  <c r="Z49" i="10"/>
  <c r="Z111" i="10"/>
  <c r="Z35" i="10"/>
  <c r="Z60" i="10"/>
  <c r="Z36" i="10"/>
  <c r="Z84" i="10"/>
  <c r="Z44" i="10"/>
  <c r="AA26" i="10"/>
  <c r="AA5" i="10"/>
  <c r="AA65" i="10"/>
  <c r="AA51" i="10"/>
  <c r="AA31" i="10"/>
  <c r="AA80" i="10"/>
  <c r="AA69" i="10"/>
  <c r="AA58" i="10"/>
  <c r="AA85" i="10"/>
  <c r="AA3" i="10"/>
  <c r="AA27" i="10"/>
  <c r="AA48" i="10"/>
  <c r="AA54" i="10"/>
  <c r="AA77" i="10"/>
  <c r="AA24" i="10"/>
  <c r="AA76" i="10"/>
  <c r="AA96" i="10"/>
  <c r="AA87" i="10"/>
  <c r="AA15" i="10"/>
  <c r="AA75" i="10"/>
  <c r="AA73" i="10"/>
  <c r="AA38" i="10"/>
  <c r="AA22" i="10"/>
  <c r="AA93" i="10"/>
  <c r="AA28" i="10"/>
  <c r="AA4" i="10"/>
  <c r="AA30" i="10"/>
  <c r="AA55" i="10"/>
  <c r="O1446" i="2"/>
  <c r="AK1439" i="2"/>
  <c r="AO1439" i="2" s="1"/>
  <c r="AS1439" i="2" s="1"/>
  <c r="F1212" i="2"/>
  <c r="B1321" i="2" s="1"/>
  <c r="A1321" i="2" s="1"/>
  <c r="Z105" i="10"/>
  <c r="Z53" i="10"/>
  <c r="Z51" i="10"/>
  <c r="Z80" i="10"/>
  <c r="Z89" i="10"/>
  <c r="Z94" i="10"/>
  <c r="Z5" i="10"/>
  <c r="Z109" i="10"/>
  <c r="Z76" i="10"/>
  <c r="Z12" i="10"/>
  <c r="Z32" i="10"/>
  <c r="Z92" i="10"/>
  <c r="Z43" i="10"/>
  <c r="Z11" i="10"/>
  <c r="AA21" i="10"/>
  <c r="AA103" i="10"/>
  <c r="AA92" i="10"/>
  <c r="AA66" i="10"/>
  <c r="AA98" i="10"/>
  <c r="AA97" i="10"/>
  <c r="AA7" i="10"/>
  <c r="AA45" i="10"/>
  <c r="AA19" i="10"/>
  <c r="AA102" i="10"/>
  <c r="AA109" i="10"/>
  <c r="AA46" i="10"/>
  <c r="AA36" i="10"/>
  <c r="AA43" i="10"/>
  <c r="P436" i="2"/>
  <c r="Z50" i="10"/>
  <c r="Z15" i="10"/>
  <c r="Z70" i="10"/>
  <c r="Z3" i="10"/>
  <c r="Z52" i="10"/>
  <c r="Z79" i="10"/>
  <c r="Z4" i="10"/>
  <c r="AA104" i="10"/>
  <c r="Z72" i="10"/>
  <c r="Z46" i="10"/>
  <c r="Z47" i="10"/>
  <c r="Z77" i="10"/>
  <c r="Z91" i="10"/>
  <c r="Z2" i="10"/>
  <c r="Z95" i="10"/>
  <c r="Z112" i="10"/>
  <c r="Z87" i="10"/>
  <c r="Z38" i="10"/>
  <c r="Z41" i="10"/>
  <c r="Z104" i="10"/>
  <c r="Z42" i="10"/>
  <c r="Z99" i="10"/>
  <c r="AA12" i="10"/>
  <c r="AA61" i="10"/>
  <c r="AA56" i="10"/>
  <c r="AA106" i="10"/>
  <c r="AA35" i="10"/>
  <c r="AA41" i="10"/>
  <c r="AA86" i="10"/>
  <c r="AA9" i="10"/>
  <c r="AA83" i="10"/>
  <c r="AA53" i="10"/>
  <c r="AA47" i="10"/>
  <c r="AA72" i="10"/>
  <c r="AA79" i="10"/>
  <c r="AA34" i="10"/>
  <c r="AA13" i="10"/>
  <c r="P432" i="2"/>
  <c r="Z100" i="10"/>
  <c r="Z21" i="10"/>
  <c r="Z18" i="10"/>
  <c r="Z25" i="10"/>
  <c r="Z40" i="10"/>
  <c r="Z101" i="10"/>
  <c r="Z28" i="10"/>
  <c r="AA37" i="10"/>
  <c r="AA84" i="10"/>
  <c r="AA111" i="10"/>
  <c r="AA42" i="10"/>
  <c r="AA20" i="10"/>
  <c r="AA32" i="10"/>
  <c r="O1207" i="2"/>
  <c r="AA100" i="10"/>
  <c r="AA94" i="10"/>
  <c r="AA74" i="10"/>
  <c r="AA17" i="10"/>
  <c r="AA57" i="10"/>
  <c r="AA105" i="10"/>
  <c r="Z10" i="10"/>
  <c r="Z55" i="10"/>
  <c r="Z97" i="10"/>
  <c r="Z27" i="10"/>
  <c r="Z8" i="10"/>
  <c r="Z14" i="10"/>
  <c r="Z61" i="10"/>
  <c r="Z83" i="10"/>
  <c r="Z45" i="10"/>
  <c r="Z9" i="10"/>
  <c r="Z96" i="10"/>
  <c r="Z37" i="10"/>
  <c r="Z78" i="10"/>
  <c r="AA14" i="10"/>
  <c r="AA89" i="10"/>
  <c r="AA82" i="10"/>
  <c r="AA68" i="10"/>
  <c r="AA101" i="10"/>
  <c r="AA11" i="10"/>
  <c r="AA23" i="10"/>
  <c r="AA64" i="10"/>
  <c r="AA108" i="10"/>
  <c r="AA10" i="10"/>
  <c r="H1212" i="2"/>
  <c r="B1323" i="2" s="1"/>
  <c r="A1323" i="2" s="1"/>
  <c r="AA90" i="10"/>
  <c r="AA33" i="10"/>
  <c r="N1348" i="2"/>
  <c r="AB26" i="15" s="1"/>
  <c r="L1347" i="2"/>
  <c r="L323" i="2"/>
  <c r="Y98" i="10"/>
  <c r="I113" i="10"/>
  <c r="AA1213" i="2"/>
  <c r="P1029" i="2" s="1"/>
  <c r="O1029" i="2" s="1"/>
  <c r="D1313" i="2"/>
  <c r="AB24" i="10"/>
  <c r="AB55" i="10"/>
  <c r="F1262" i="2"/>
  <c r="AB62" i="10"/>
  <c r="AB74" i="10"/>
  <c r="AB98" i="10"/>
  <c r="AB4" i="10"/>
  <c r="AB6" i="10"/>
  <c r="AB95" i="10"/>
  <c r="AB17" i="10"/>
  <c r="AB12" i="10"/>
  <c r="AB20" i="10"/>
  <c r="P1207" i="2"/>
  <c r="AB63" i="10"/>
  <c r="AB2" i="10"/>
  <c r="AB102" i="10"/>
  <c r="AB87" i="10"/>
  <c r="AB57" i="10"/>
  <c r="AB47" i="10"/>
  <c r="AB28" i="10"/>
  <c r="AB50" i="10"/>
  <c r="AB96" i="10"/>
  <c r="AB99" i="10"/>
  <c r="F1313" i="2"/>
  <c r="AB90" i="10"/>
  <c r="AB41" i="10"/>
  <c r="AB8" i="10"/>
  <c r="AB70" i="10"/>
  <c r="AB58" i="10"/>
  <c r="AB9" i="10"/>
  <c r="AB16" i="10"/>
  <c r="AB37" i="10"/>
  <c r="J1262" i="2"/>
  <c r="Y39" i="10"/>
  <c r="AB107" i="10"/>
  <c r="AB15" i="10"/>
  <c r="AB40" i="10"/>
  <c r="AB52" i="10"/>
  <c r="AB69" i="10"/>
  <c r="AB19" i="10"/>
  <c r="AB21" i="10"/>
  <c r="AB10" i="10"/>
  <c r="AB73" i="10"/>
  <c r="AB14" i="10"/>
  <c r="AB89" i="10"/>
  <c r="AB66" i="10"/>
  <c r="AB110" i="10"/>
  <c r="AB13" i="10"/>
  <c r="AB67" i="10"/>
  <c r="AB42" i="10"/>
  <c r="Y96" i="10"/>
  <c r="Y95" i="10"/>
  <c r="AB81" i="10"/>
  <c r="AB5" i="10"/>
  <c r="AB64" i="10"/>
  <c r="AB60" i="10"/>
  <c r="AB27" i="10"/>
  <c r="AB22" i="10"/>
  <c r="AB85" i="10"/>
  <c r="AB65" i="10"/>
  <c r="Y15" i="10"/>
  <c r="D1262" i="2"/>
  <c r="Y75" i="10"/>
  <c r="AB84" i="10"/>
  <c r="J1212" i="2"/>
  <c r="B1324" i="2" s="1"/>
  <c r="A1324" i="2" s="1"/>
  <c r="AB25" i="10"/>
  <c r="AB97" i="10"/>
  <c r="AB77" i="10"/>
  <c r="AB61" i="10"/>
  <c r="AB11" i="10"/>
  <c r="AB92" i="10"/>
  <c r="Y17" i="10"/>
  <c r="H1313" i="2"/>
  <c r="Y38" i="10"/>
  <c r="Y93" i="10"/>
  <c r="Y42" i="10"/>
  <c r="Y31" i="10"/>
  <c r="AB100" i="10"/>
  <c r="AB51" i="10"/>
  <c r="AB93" i="10"/>
  <c r="AB31" i="10"/>
  <c r="AB53" i="10"/>
  <c r="AB29" i="10"/>
  <c r="AB23" i="10"/>
  <c r="AB36" i="10"/>
  <c r="AB111" i="10"/>
  <c r="Y60" i="10"/>
  <c r="Y54" i="10"/>
  <c r="Y18" i="10"/>
  <c r="Y77" i="10"/>
  <c r="Y9" i="10"/>
  <c r="Y40" i="10"/>
  <c r="Y82" i="10"/>
  <c r="J1313" i="2"/>
  <c r="Y104" i="10"/>
  <c r="Y3" i="10"/>
  <c r="Y69" i="10"/>
  <c r="Y11" i="10"/>
  <c r="Y33" i="10"/>
  <c r="Y65" i="10"/>
  <c r="Y20" i="10"/>
  <c r="P985" i="2"/>
  <c r="H1262" i="2"/>
  <c r="Y85" i="10"/>
  <c r="Y26" i="10"/>
  <c r="Y48" i="10"/>
  <c r="Y102" i="10"/>
  <c r="Y97" i="10"/>
  <c r="Y83" i="10"/>
  <c r="Y59" i="10"/>
  <c r="Y108" i="10"/>
  <c r="Y62" i="10"/>
  <c r="Y6" i="10"/>
  <c r="Y68" i="10"/>
  <c r="D1212" i="2"/>
  <c r="B1322" i="2" s="1"/>
  <c r="A1322" i="2" s="1"/>
  <c r="Y66" i="10"/>
  <c r="Y78" i="10"/>
  <c r="Y28" i="10"/>
  <c r="Y36" i="10"/>
  <c r="Y37" i="10"/>
  <c r="S321" i="2"/>
  <c r="AB26" i="10"/>
  <c r="AB44" i="10"/>
  <c r="AB83" i="10"/>
  <c r="AB49" i="10"/>
  <c r="AB112" i="10"/>
  <c r="AB68" i="10"/>
  <c r="AB79" i="10"/>
  <c r="AB103" i="10"/>
  <c r="AB59" i="10"/>
  <c r="AB80" i="10"/>
  <c r="AB54" i="10"/>
  <c r="AB39" i="10"/>
  <c r="AB71" i="10"/>
  <c r="AB34" i="10"/>
  <c r="Y81" i="10"/>
  <c r="Y99" i="10"/>
  <c r="Y80" i="10"/>
  <c r="Y51" i="10"/>
  <c r="Y84" i="10"/>
  <c r="Y110" i="10"/>
  <c r="Y107" i="10"/>
  <c r="Y23" i="10"/>
  <c r="Y25" i="10"/>
  <c r="Y63" i="10"/>
  <c r="Y53" i="10"/>
  <c r="Y14" i="10"/>
  <c r="Y67" i="10"/>
  <c r="Y73" i="10"/>
  <c r="Q338" i="2"/>
  <c r="Y21" i="10"/>
  <c r="Y90" i="10"/>
  <c r="Y64" i="10"/>
  <c r="M1207" i="2"/>
  <c r="K113" i="10"/>
  <c r="AB88" i="10"/>
  <c r="AB72" i="10"/>
  <c r="AB3" i="10"/>
  <c r="AB48" i="10"/>
  <c r="AB109" i="10"/>
  <c r="AB75" i="10"/>
  <c r="AB33" i="10"/>
  <c r="AB104" i="10"/>
  <c r="AB38" i="10"/>
  <c r="AB43" i="10"/>
  <c r="AB56" i="10"/>
  <c r="AB106" i="10"/>
  <c r="AB105" i="10"/>
  <c r="AB7" i="10"/>
  <c r="Y72" i="10"/>
  <c r="Y87" i="10"/>
  <c r="Y89" i="10"/>
  <c r="Y61" i="10"/>
  <c r="Y100" i="10"/>
  <c r="Y12" i="10"/>
  <c r="Y5" i="10"/>
  <c r="Y30" i="10"/>
  <c r="Y4" i="10"/>
  <c r="Y106" i="10"/>
  <c r="Y29" i="10"/>
  <c r="Y101" i="10"/>
  <c r="Y56" i="10"/>
  <c r="Y45" i="10"/>
  <c r="BB340" i="2"/>
  <c r="BH339" i="2" s="1"/>
  <c r="BI339" i="2" s="1"/>
  <c r="R340" i="2" s="1"/>
  <c r="Q340" i="2" s="1"/>
  <c r="BH337" i="2"/>
  <c r="BI337" i="2" s="1"/>
  <c r="R339" i="2" s="1"/>
  <c r="Q339" i="2" s="1"/>
  <c r="Y92" i="10"/>
  <c r="Y27" i="10"/>
  <c r="Y71" i="10"/>
  <c r="Y41" i="10"/>
  <c r="Y2" i="10"/>
  <c r="Y22" i="10"/>
  <c r="Y91" i="10"/>
  <c r="Y111" i="10"/>
  <c r="Y19" i="10"/>
  <c r="Y109" i="10"/>
  <c r="AH106" i="2"/>
  <c r="AI106" i="2" s="1"/>
  <c r="Q226" i="2" s="1"/>
  <c r="L113" i="10"/>
  <c r="Y7" i="10"/>
  <c r="Y55" i="10"/>
  <c r="Y50" i="10"/>
  <c r="Y24" i="10"/>
  <c r="Y49" i="10"/>
  <c r="Y112" i="10"/>
  <c r="Y103" i="10"/>
  <c r="Y74" i="10"/>
  <c r="Y58" i="10"/>
  <c r="Y10" i="10"/>
  <c r="Y43" i="10"/>
  <c r="Y70" i="10"/>
  <c r="Y32" i="10"/>
  <c r="Y8" i="10"/>
  <c r="AB91" i="10"/>
  <c r="AB35" i="10"/>
  <c r="AB101" i="10"/>
  <c r="AB30" i="10"/>
  <c r="AB32" i="10"/>
  <c r="AB45" i="10"/>
  <c r="AB82" i="10"/>
  <c r="AB78" i="10"/>
  <c r="AB86" i="10"/>
  <c r="AB18" i="10"/>
  <c r="AB76" i="10"/>
  <c r="AB94" i="10"/>
  <c r="AB108" i="10"/>
  <c r="Y79" i="10"/>
  <c r="Y88" i="10"/>
  <c r="Y94" i="10"/>
  <c r="Y35" i="10"/>
  <c r="Y13" i="10"/>
  <c r="Y76" i="10"/>
  <c r="Y44" i="10"/>
  <c r="Y47" i="10"/>
  <c r="Y16" i="10"/>
  <c r="Y52" i="10"/>
  <c r="Y105" i="10"/>
  <c r="Y34" i="10"/>
  <c r="Y86" i="10"/>
  <c r="Y57" i="10"/>
  <c r="P983" i="2"/>
  <c r="C848" i="2"/>
  <c r="I748" i="2" s="1"/>
  <c r="I751" i="2" s="1"/>
  <c r="C899" i="2"/>
  <c r="H748" i="2" s="1"/>
  <c r="H746" i="2" s="1"/>
  <c r="C21" i="18" s="1"/>
  <c r="O711" i="2"/>
  <c r="K711" i="2" s="1"/>
  <c r="J356" i="2" s="1"/>
  <c r="AH102" i="2"/>
  <c r="AI102" i="2" s="1"/>
  <c r="AH79" i="2"/>
  <c r="AI79" i="2" s="1"/>
  <c r="AH116" i="2"/>
  <c r="AH81" i="2"/>
  <c r="AI81" i="2" s="1"/>
  <c r="AH89" i="2"/>
  <c r="AI89" i="2" s="1"/>
  <c r="AH85" i="2"/>
  <c r="AI85" i="2" s="1"/>
  <c r="AH110" i="2"/>
  <c r="AH104" i="2"/>
  <c r="AI104" i="2" s="1"/>
  <c r="AH112" i="2"/>
  <c r="AH98" i="2"/>
  <c r="AI98" i="2" s="1"/>
  <c r="AH114" i="2"/>
  <c r="AH87" i="2"/>
  <c r="AI87" i="2" s="1"/>
  <c r="AH77" i="2"/>
  <c r="AI77" i="2" s="1"/>
  <c r="AH83" i="2"/>
  <c r="AI83" i="2" s="1"/>
  <c r="AH100" i="2"/>
  <c r="AI100" i="2" s="1"/>
  <c r="J113" i="10"/>
  <c r="N434" i="2"/>
  <c r="B498" i="2"/>
  <c r="I321" i="2" s="1"/>
  <c r="I323" i="2" s="1"/>
  <c r="I325" i="2" s="1"/>
  <c r="N433" i="2"/>
  <c r="Z78" i="2"/>
  <c r="M46" i="2" s="1"/>
  <c r="L46" i="2" s="1"/>
  <c r="B550" i="2"/>
  <c r="H321" i="2" s="1"/>
  <c r="H323" i="2" s="1"/>
  <c r="R754" i="2"/>
  <c r="S758" i="2"/>
  <c r="X22" i="16"/>
  <c r="O688" i="2"/>
  <c r="L688" i="2" s="1"/>
  <c r="Z79" i="2"/>
  <c r="M47" i="2" s="1"/>
  <c r="L47" i="2" s="1"/>
  <c r="E120" i="2"/>
  <c r="AA1211" i="2"/>
  <c r="P1027" i="2" s="1"/>
  <c r="O1027" i="2" s="1"/>
  <c r="Z80" i="2"/>
  <c r="M48" i="2" s="1"/>
  <c r="L48" i="2" s="1"/>
  <c r="G120" i="2"/>
  <c r="Z81" i="2"/>
  <c r="M49" i="2" s="1"/>
  <c r="C1139" i="2"/>
  <c r="H982" i="2" s="1"/>
  <c r="AB784" i="2"/>
  <c r="AC784" i="2" s="1"/>
  <c r="D770" i="2" s="1"/>
  <c r="Y786" i="2"/>
  <c r="C120" i="2"/>
  <c r="I120" i="2"/>
  <c r="N1456" i="2"/>
  <c r="AJ1449" i="2"/>
  <c r="AN1449" i="2" s="1"/>
  <c r="AR1449" i="2" s="1"/>
  <c r="Z77" i="2"/>
  <c r="M45" i="2" s="1"/>
  <c r="I172" i="2"/>
  <c r="AG67" i="2"/>
  <c r="AH67" i="2" s="1"/>
  <c r="I50" i="2" s="1"/>
  <c r="AD69" i="2"/>
  <c r="B181" i="2"/>
  <c r="A181" i="2" s="1"/>
  <c r="B177" i="2" s="1"/>
  <c r="A177" i="2" s="1"/>
  <c r="K67" i="2"/>
  <c r="E172" i="2"/>
  <c r="A172" i="2" s="1"/>
  <c r="C21" i="1" s="1"/>
  <c r="G186" i="2" s="1"/>
  <c r="Z82" i="2"/>
  <c r="M50" i="2" s="1"/>
  <c r="L50" i="2" s="1"/>
  <c r="AA1212" i="2"/>
  <c r="P1028" i="2" s="1"/>
  <c r="O1028" i="2" s="1"/>
  <c r="Z1009" i="2"/>
  <c r="AG1008" i="2" s="1"/>
  <c r="AH1008" i="2" s="1"/>
  <c r="D997" i="2" s="1"/>
  <c r="C997" i="2" s="1"/>
  <c r="AG1006" i="2"/>
  <c r="AH1006" i="2" s="1"/>
  <c r="D996" i="2" s="1"/>
  <c r="C996" i="2" s="1"/>
  <c r="R988" i="2"/>
  <c r="Q988" i="2"/>
  <c r="R990" i="2"/>
  <c r="AB758" i="2"/>
  <c r="AF755" i="2"/>
  <c r="AG755" i="2" s="1"/>
  <c r="D761" i="2" s="1"/>
  <c r="C761" i="2" s="1"/>
  <c r="H49" i="2"/>
  <c r="Z85" i="2"/>
  <c r="M53" i="2" s="1"/>
  <c r="L53" i="2" s="1"/>
  <c r="Z84" i="2"/>
  <c r="M52" i="2" s="1"/>
  <c r="L52" i="2" s="1"/>
  <c r="Z83" i="2"/>
  <c r="M51" i="2" s="1"/>
  <c r="L51" i="2" s="1"/>
  <c r="AA1214" i="2"/>
  <c r="P1030" i="2" s="1"/>
  <c r="O1030" i="2" s="1"/>
  <c r="C1088" i="2"/>
  <c r="I982" i="2" s="1"/>
  <c r="D777" i="2"/>
  <c r="C777" i="2" s="1"/>
  <c r="C29" i="18" s="1"/>
  <c r="C779" i="2"/>
  <c r="S756" i="2"/>
  <c r="S754" i="2"/>
  <c r="G333" i="2"/>
  <c r="P41" i="16" s="1"/>
  <c r="S320" i="2"/>
  <c r="L734" i="2"/>
  <c r="J734" i="2"/>
  <c r="K734" i="2"/>
  <c r="L356" i="2" s="1"/>
  <c r="E401" i="2" a="1"/>
  <c r="E401" i="2" s="1"/>
  <c r="M410" i="2" s="1"/>
  <c r="M417" i="2" s="1"/>
  <c r="AR47" i="16" s="1"/>
  <c r="E402" i="2" a="1"/>
  <c r="E402" i="2" s="1"/>
  <c r="M411" i="2" s="1"/>
  <c r="M418" i="2" s="1"/>
  <c r="AR48" i="16" s="1"/>
  <c r="B403" i="2" a="1"/>
  <c r="B403" i="2" s="1"/>
  <c r="J412" i="2" s="1"/>
  <c r="J419" i="2" s="1"/>
  <c r="Q49" i="16" s="1"/>
  <c r="G405" i="2" a="1"/>
  <c r="G405" i="2" s="1"/>
  <c r="O414" i="2" s="1"/>
  <c r="O421" i="2" s="1"/>
  <c r="AT51" i="16" s="1"/>
  <c r="A401" i="2" a="1"/>
  <c r="A401" i="2" s="1"/>
  <c r="I410" i="2" s="1"/>
  <c r="I417" i="2" s="1"/>
  <c r="X47" i="16" s="1"/>
  <c r="F404" i="2" a="1"/>
  <c r="F404" i="2" s="1"/>
  <c r="N413" i="2" s="1"/>
  <c r="N420" i="2" s="1"/>
  <c r="AS50" i="16" s="1"/>
  <c r="B405" i="2" a="1"/>
  <c r="B405" i="2" s="1"/>
  <c r="J414" i="2" s="1"/>
  <c r="J421" i="2" s="1"/>
  <c r="Q51" i="16" s="1"/>
  <c r="K402" i="2"/>
  <c r="D401" i="2" a="1"/>
  <c r="D401" i="2" s="1"/>
  <c r="L410" i="2" s="1"/>
  <c r="A403" i="2" a="1"/>
  <c r="A403" i="2" s="1"/>
  <c r="I412" i="2" s="1"/>
  <c r="I419" i="2" s="1"/>
  <c r="X49" i="16" s="1"/>
  <c r="D406" i="2" a="1"/>
  <c r="D406" i="2" s="1"/>
  <c r="L415" i="2" s="1"/>
  <c r="A402" i="2" a="1"/>
  <c r="A402" i="2" s="1"/>
  <c r="I411" i="2" s="1"/>
  <c r="I418" i="2" s="1"/>
  <c r="X48" i="16" s="1"/>
  <c r="C405" i="2" a="1"/>
  <c r="C405" i="2" s="1"/>
  <c r="K414" i="2" s="1"/>
  <c r="K421" i="2" s="1"/>
  <c r="AF51" i="16" s="1"/>
  <c r="A406" i="2" a="1"/>
  <c r="A406" i="2" s="1"/>
  <c r="I415" i="2" s="1"/>
  <c r="I422" i="2" s="1"/>
  <c r="C404" i="2" a="1"/>
  <c r="C404" i="2" s="1"/>
  <c r="K413" i="2" s="1"/>
  <c r="K420" i="2" s="1"/>
  <c r="AF50" i="16" s="1"/>
  <c r="B406" i="2" a="1"/>
  <c r="B406" i="2" s="1"/>
  <c r="J415" i="2" s="1"/>
  <c r="J422" i="2" s="1"/>
  <c r="G406" i="2" a="1"/>
  <c r="G406" i="2" s="1"/>
  <c r="O415" i="2" s="1"/>
  <c r="O422" i="2" s="1"/>
  <c r="D403" i="2" a="1"/>
  <c r="D403" i="2" s="1"/>
  <c r="L412" i="2" s="1"/>
  <c r="A405" i="2" a="1"/>
  <c r="A405" i="2" s="1"/>
  <c r="I414" i="2" s="1"/>
  <c r="I421" i="2" s="1"/>
  <c r="X51" i="16" s="1"/>
  <c r="G402" i="2" a="1"/>
  <c r="G402" i="2" s="1"/>
  <c r="O411" i="2" s="1"/>
  <c r="O418" i="2" s="1"/>
  <c r="AT48" i="16" s="1"/>
  <c r="C402" i="2" a="1"/>
  <c r="C402" i="2" s="1"/>
  <c r="K411" i="2" s="1"/>
  <c r="K418" i="2" s="1"/>
  <c r="AF48" i="16" s="1"/>
  <c r="F405" i="2" a="1"/>
  <c r="F405" i="2" s="1"/>
  <c r="N414" i="2" s="1"/>
  <c r="N421" i="2" s="1"/>
  <c r="AS51" i="16" s="1"/>
  <c r="C403" i="2" a="1"/>
  <c r="C403" i="2" s="1"/>
  <c r="K412" i="2" s="1"/>
  <c r="K419" i="2" s="1"/>
  <c r="AF49" i="16" s="1"/>
  <c r="G401" i="2" a="1"/>
  <c r="G401" i="2" s="1"/>
  <c r="O410" i="2" s="1"/>
  <c r="O417" i="2" s="1"/>
  <c r="AT47" i="16" s="1"/>
  <c r="C401" i="2" a="1"/>
  <c r="C401" i="2" s="1"/>
  <c r="K410" i="2" s="1"/>
  <c r="K417" i="2" s="1"/>
  <c r="AF47" i="16" s="1"/>
  <c r="D402" i="2" a="1"/>
  <c r="D402" i="2" s="1"/>
  <c r="L411" i="2" s="1"/>
  <c r="G403" i="2" a="1"/>
  <c r="G403" i="2" s="1"/>
  <c r="O412" i="2" s="1"/>
  <c r="O419" i="2" s="1"/>
  <c r="AT49" i="16" s="1"/>
  <c r="B402" i="2" a="1"/>
  <c r="B402" i="2" s="1"/>
  <c r="J411" i="2" s="1"/>
  <c r="J418" i="2" s="1"/>
  <c r="Q48" i="16" s="1"/>
  <c r="D405" i="2" a="1"/>
  <c r="D405" i="2" s="1"/>
  <c r="L414" i="2" s="1"/>
  <c r="C406" i="2" a="1"/>
  <c r="C406" i="2" s="1"/>
  <c r="K415" i="2" s="1"/>
  <c r="K422" i="2" s="1"/>
  <c r="B404" i="2" a="1"/>
  <c r="B404" i="2" s="1"/>
  <c r="J413" i="2" s="1"/>
  <c r="J420" i="2" s="1"/>
  <c r="Q50" i="16" s="1"/>
  <c r="A404" i="2" a="1"/>
  <c r="A404" i="2" s="1"/>
  <c r="I413" i="2" s="1"/>
  <c r="I420" i="2" s="1"/>
  <c r="X50" i="16" s="1"/>
  <c r="F402" i="2" a="1"/>
  <c r="F402" i="2" s="1"/>
  <c r="N411" i="2" s="1"/>
  <c r="N418" i="2" s="1"/>
  <c r="AS48" i="16" s="1"/>
  <c r="F406" i="2" a="1"/>
  <c r="F406" i="2" s="1"/>
  <c r="N415" i="2" s="1"/>
  <c r="N422" i="2" s="1"/>
  <c r="G404" i="2" a="1"/>
  <c r="G404" i="2" s="1"/>
  <c r="O413" i="2" s="1"/>
  <c r="O420" i="2" s="1"/>
  <c r="AT50" i="16" s="1"/>
  <c r="E405" i="2" a="1"/>
  <c r="E405" i="2" s="1"/>
  <c r="M414" i="2" s="1"/>
  <c r="M421" i="2" s="1"/>
  <c r="AR51" i="16" s="1"/>
  <c r="E403" i="2" a="1"/>
  <c r="E403" i="2" s="1"/>
  <c r="M412" i="2" s="1"/>
  <c r="M419" i="2" s="1"/>
  <c r="AR49" i="16" s="1"/>
  <c r="D404" i="2" a="1"/>
  <c r="D404" i="2" s="1"/>
  <c r="L413" i="2" s="1"/>
  <c r="E404" i="2" a="1"/>
  <c r="E404" i="2" s="1"/>
  <c r="M413" i="2" s="1"/>
  <c r="M420" i="2" s="1"/>
  <c r="AR50" i="16" s="1"/>
  <c r="E406" i="2" a="1"/>
  <c r="E406" i="2" s="1"/>
  <c r="M415" i="2" s="1"/>
  <c r="M422" i="2" s="1"/>
  <c r="F401" i="2" a="1"/>
  <c r="F401" i="2" s="1"/>
  <c r="N410" i="2" s="1"/>
  <c r="N417" i="2" s="1"/>
  <c r="AS47" i="16" s="1"/>
  <c r="F403" i="2" a="1"/>
  <c r="F403" i="2" s="1"/>
  <c r="N412" i="2" s="1"/>
  <c r="N419" i="2" s="1"/>
  <c r="AS49" i="16" s="1"/>
  <c r="AT374" i="2"/>
  <c r="AT378" i="2" s="1"/>
  <c r="AR374" i="2"/>
  <c r="AS374" i="2"/>
  <c r="AT377" i="2" s="1"/>
  <c r="F356" i="2" s="1"/>
  <c r="N365" i="2"/>
  <c r="O363" i="2"/>
  <c r="B401" i="2" a="1"/>
  <c r="B401" i="2" s="1"/>
  <c r="J410" i="2" s="1"/>
  <c r="J417" i="2" s="1"/>
  <c r="Q47" i="16" s="1"/>
  <c r="B436" i="2" a="1"/>
  <c r="B436" i="2" s="1"/>
  <c r="F433" i="2" a="1"/>
  <c r="F433" i="2" s="1"/>
  <c r="C438" i="2" a="1"/>
  <c r="C438" i="2" s="1"/>
  <c r="E438" i="2" a="1"/>
  <c r="E438" i="2" s="1"/>
  <c r="G437" i="2" a="1"/>
  <c r="G437" i="2" s="1"/>
  <c r="F437" i="2" a="1"/>
  <c r="F437" i="2" s="1"/>
  <c r="B435" i="2" a="1"/>
  <c r="B435" i="2" s="1"/>
  <c r="G435" i="2" a="1"/>
  <c r="G435" i="2" s="1"/>
  <c r="B438" i="2" a="1"/>
  <c r="B438" i="2" s="1"/>
  <c r="E437" i="2" a="1"/>
  <c r="E437" i="2" s="1"/>
  <c r="F434" i="2" a="1"/>
  <c r="F434" i="2" s="1"/>
  <c r="F438" i="2" a="1"/>
  <c r="F438" i="2" s="1"/>
  <c r="B434" i="2" a="1"/>
  <c r="B434" i="2" s="1"/>
  <c r="A434" i="2" a="1"/>
  <c r="A434" i="2" s="1"/>
  <c r="D433" i="2" a="1"/>
  <c r="D433" i="2" s="1"/>
  <c r="A436" i="2" a="1"/>
  <c r="A436" i="2" s="1"/>
  <c r="C437" i="2" a="1"/>
  <c r="C437" i="2" s="1"/>
  <c r="B433" i="2" a="1"/>
  <c r="B433" i="2" s="1"/>
  <c r="A435" i="2" a="1"/>
  <c r="A435" i="2" s="1"/>
  <c r="D436" i="2" a="1"/>
  <c r="D436" i="2" s="1"/>
  <c r="D435" i="2" a="1"/>
  <c r="D435" i="2" s="1"/>
  <c r="C435" i="2" a="1"/>
  <c r="C435" i="2" s="1"/>
  <c r="D437" i="2" a="1"/>
  <c r="D437" i="2" s="1"/>
  <c r="A438" i="2" a="1"/>
  <c r="A438" i="2" s="1"/>
  <c r="F435" i="2" a="1"/>
  <c r="F435" i="2" s="1"/>
  <c r="B437" i="2" a="1"/>
  <c r="B437" i="2" s="1"/>
  <c r="C436" i="2" a="1"/>
  <c r="C436" i="2" s="1"/>
  <c r="C433" i="2" a="1"/>
  <c r="C433" i="2" s="1"/>
  <c r="E433" i="2" a="1"/>
  <c r="E433" i="2" s="1"/>
  <c r="E435" i="2" a="1"/>
  <c r="E435" i="2" s="1"/>
  <c r="A437" i="2" a="1"/>
  <c r="A437" i="2" s="1"/>
  <c r="G434" i="2" a="1"/>
  <c r="G434" i="2" s="1"/>
  <c r="G436" i="2" a="1"/>
  <c r="G436" i="2" s="1"/>
  <c r="E434" i="2" a="1"/>
  <c r="E434" i="2" s="1"/>
  <c r="E436" i="2" a="1"/>
  <c r="E436" i="2" s="1"/>
  <c r="G438" i="2" a="1"/>
  <c r="G438" i="2" s="1"/>
  <c r="C434" i="2" a="1"/>
  <c r="C434" i="2" s="1"/>
  <c r="G433" i="2" a="1"/>
  <c r="G433" i="2" s="1"/>
  <c r="A433" i="2" a="1"/>
  <c r="A433" i="2" s="1"/>
  <c r="D438" i="2" a="1"/>
  <c r="D438" i="2" s="1"/>
  <c r="D434" i="2" a="1"/>
  <c r="D434" i="2" s="1"/>
  <c r="K406" i="2"/>
  <c r="F436" i="2" a="1"/>
  <c r="F436" i="2" s="1"/>
  <c r="B412" i="2" a="1"/>
  <c r="B412" i="2" s="1"/>
  <c r="D412" i="2" a="1"/>
  <c r="D412" i="2" s="1"/>
  <c r="F411" i="2" a="1"/>
  <c r="F411" i="2" s="1"/>
  <c r="C409" i="2" a="1"/>
  <c r="C409" i="2" s="1"/>
  <c r="G414" i="2" a="1"/>
  <c r="G414" i="2" s="1"/>
  <c r="G412" i="2" a="1"/>
  <c r="G412" i="2" s="1"/>
  <c r="E410" i="2" a="1"/>
  <c r="E410" i="2" s="1"/>
  <c r="D413" i="2" a="1"/>
  <c r="D413" i="2" s="1"/>
  <c r="C411" i="2" a="1"/>
  <c r="C411" i="2" s="1"/>
  <c r="B411" i="2" a="1"/>
  <c r="B411" i="2" s="1"/>
  <c r="E413" i="2" a="1"/>
  <c r="E413" i="2" s="1"/>
  <c r="G410" i="2" a="1"/>
  <c r="G410" i="2" s="1"/>
  <c r="F413" i="2" a="1"/>
  <c r="F413" i="2" s="1"/>
  <c r="G413" i="2" a="1"/>
  <c r="G413" i="2" s="1"/>
  <c r="G409" i="2" a="1"/>
  <c r="G409" i="2" s="1"/>
  <c r="K403" i="2"/>
  <c r="A412" i="2" a="1"/>
  <c r="A412" i="2" s="1"/>
  <c r="A410" i="2" a="1"/>
  <c r="A410" i="2" s="1"/>
  <c r="A414" i="2" a="1"/>
  <c r="A414" i="2" s="1"/>
  <c r="E414" i="2" a="1"/>
  <c r="E414" i="2" s="1"/>
  <c r="A409" i="2" a="1"/>
  <c r="A409" i="2" s="1"/>
  <c r="A413" i="2" a="1"/>
  <c r="A413" i="2" s="1"/>
  <c r="D410" i="2" a="1"/>
  <c r="D410" i="2" s="1"/>
  <c r="F410" i="2" a="1"/>
  <c r="F410" i="2" s="1"/>
  <c r="C413" i="2" a="1"/>
  <c r="C413" i="2" s="1"/>
  <c r="B409" i="2" a="1"/>
  <c r="B409" i="2" s="1"/>
  <c r="B413" i="2" a="1"/>
  <c r="B413" i="2" s="1"/>
  <c r="A411" i="2" a="1"/>
  <c r="A411" i="2" s="1"/>
  <c r="F414" i="2" a="1"/>
  <c r="F414" i="2" s="1"/>
  <c r="E411" i="2" a="1"/>
  <c r="E411" i="2" s="1"/>
  <c r="C410" i="2" a="1"/>
  <c r="C410" i="2" s="1"/>
  <c r="C412" i="2" a="1"/>
  <c r="C412" i="2" s="1"/>
  <c r="D409" i="2" a="1"/>
  <c r="D409" i="2" s="1"/>
  <c r="B414" i="2" a="1"/>
  <c r="B414" i="2" s="1"/>
  <c r="E412" i="2" a="1"/>
  <c r="E412" i="2" s="1"/>
  <c r="F409" i="2" a="1"/>
  <c r="F409" i="2" s="1"/>
  <c r="E409" i="2" a="1"/>
  <c r="E409" i="2" s="1"/>
  <c r="G411" i="2" a="1"/>
  <c r="G411" i="2" s="1"/>
  <c r="F412" i="2" a="1"/>
  <c r="F412" i="2" s="1"/>
  <c r="B410" i="2" a="1"/>
  <c r="B410" i="2" s="1"/>
  <c r="D414" i="2" a="1"/>
  <c r="D414" i="2" s="1"/>
  <c r="C414" i="2" a="1"/>
  <c r="C414" i="2" s="1"/>
  <c r="D411" i="2" a="1"/>
  <c r="D411" i="2" s="1"/>
  <c r="L366" i="2"/>
  <c r="K366" i="2" s="1"/>
  <c r="BL363" i="2"/>
  <c r="AJ43" i="16" s="1"/>
  <c r="G417" i="2" a="1"/>
  <c r="G417" i="2" s="1"/>
  <c r="A420" i="2" a="1"/>
  <c r="A420" i="2" s="1"/>
  <c r="A421" i="2" a="1"/>
  <c r="A421" i="2" s="1"/>
  <c r="B418" i="2" a="1"/>
  <c r="B418" i="2" s="1"/>
  <c r="A422" i="2" a="1"/>
  <c r="A422" i="2" s="1"/>
  <c r="C422" i="2" a="1"/>
  <c r="C422" i="2" s="1"/>
  <c r="G421" i="2" a="1"/>
  <c r="G421" i="2" s="1"/>
  <c r="A417" i="2" a="1"/>
  <c r="A417" i="2" s="1"/>
  <c r="F418" i="2" a="1"/>
  <c r="F418" i="2" s="1"/>
  <c r="G420" i="2" a="1"/>
  <c r="G420" i="2" s="1"/>
  <c r="G422" i="2" a="1"/>
  <c r="G422" i="2" s="1"/>
  <c r="E419" i="2" a="1"/>
  <c r="E419" i="2" s="1"/>
  <c r="B419" i="2" a="1"/>
  <c r="B419" i="2" s="1"/>
  <c r="B420" i="2" a="1"/>
  <c r="B420" i="2" s="1"/>
  <c r="A418" i="2" a="1"/>
  <c r="A418" i="2" s="1"/>
  <c r="F422" i="2" a="1"/>
  <c r="F422" i="2" s="1"/>
  <c r="B422" i="2" a="1"/>
  <c r="B422" i="2" s="1"/>
  <c r="E422" i="2" a="1"/>
  <c r="E422" i="2" s="1"/>
  <c r="G418" i="2" a="1"/>
  <c r="G418" i="2" s="1"/>
  <c r="D418" i="2" a="1"/>
  <c r="D418" i="2" s="1"/>
  <c r="B417" i="2" a="1"/>
  <c r="B417" i="2" s="1"/>
  <c r="C418" i="2" a="1"/>
  <c r="C418" i="2" s="1"/>
  <c r="F419" i="2" a="1"/>
  <c r="F419" i="2" s="1"/>
  <c r="F421" i="2" a="1"/>
  <c r="F421" i="2" s="1"/>
  <c r="E417" i="2" a="1"/>
  <c r="E417" i="2" s="1"/>
  <c r="B421" i="2" a="1"/>
  <c r="B421" i="2" s="1"/>
  <c r="G419" i="2" a="1"/>
  <c r="G419" i="2" s="1"/>
  <c r="D421" i="2" a="1"/>
  <c r="D421" i="2" s="1"/>
  <c r="A419" i="2" a="1"/>
  <c r="A419" i="2" s="1"/>
  <c r="E421" i="2" a="1"/>
  <c r="E421" i="2" s="1"/>
  <c r="F420" i="2" a="1"/>
  <c r="F420" i="2" s="1"/>
  <c r="F417" i="2" a="1"/>
  <c r="F417" i="2" s="1"/>
  <c r="C417" i="2" a="1"/>
  <c r="C417" i="2" s="1"/>
  <c r="D419" i="2" a="1"/>
  <c r="D419" i="2" s="1"/>
  <c r="K404" i="2"/>
  <c r="C420" i="2" a="1"/>
  <c r="C420" i="2" s="1"/>
  <c r="C421" i="2" a="1"/>
  <c r="C421" i="2" s="1"/>
  <c r="D417" i="2" a="1"/>
  <c r="D417" i="2" s="1"/>
  <c r="E418" i="2" a="1"/>
  <c r="E418" i="2" s="1"/>
  <c r="D422" i="2" a="1"/>
  <c r="D422" i="2" s="1"/>
  <c r="D420" i="2" a="1"/>
  <c r="D420" i="2" s="1"/>
  <c r="C419" i="2" a="1"/>
  <c r="C419" i="2" s="1"/>
  <c r="E420" i="2" a="1"/>
  <c r="E420" i="2" s="1"/>
  <c r="F426" i="2" a="1"/>
  <c r="F426" i="2" s="1"/>
  <c r="A430" i="2" a="1"/>
  <c r="A430" i="2" s="1"/>
  <c r="D425" i="2" a="1"/>
  <c r="D425" i="2" s="1"/>
  <c r="F428" i="2" a="1"/>
  <c r="F428" i="2" s="1"/>
  <c r="D430" i="2" a="1"/>
  <c r="D430" i="2" s="1"/>
  <c r="G428" i="2" a="1"/>
  <c r="G428" i="2" s="1"/>
  <c r="D428" i="2" a="1"/>
  <c r="D428" i="2" s="1"/>
  <c r="K405" i="2"/>
  <c r="G426" i="2" a="1"/>
  <c r="G426" i="2" s="1"/>
  <c r="C430" i="2" a="1"/>
  <c r="C430" i="2" s="1"/>
  <c r="B428" i="2"/>
  <c r="A426" i="2" a="1"/>
  <c r="A426" i="2" s="1"/>
  <c r="G427" i="2" a="1"/>
  <c r="G427" i="2" s="1"/>
  <c r="B430" i="2"/>
  <c r="E428" i="2" a="1"/>
  <c r="E428" i="2" s="1"/>
  <c r="D429" i="2" a="1"/>
  <c r="D429" i="2" s="1"/>
  <c r="D426" i="2" a="1"/>
  <c r="D426" i="2" s="1"/>
  <c r="B425" i="2" a="1"/>
  <c r="B425" i="2" s="1"/>
  <c r="E426" i="2" a="1"/>
  <c r="E426" i="2" s="1"/>
  <c r="C427" i="2" a="1"/>
  <c r="C427" i="2" s="1"/>
  <c r="B429" i="2"/>
  <c r="E425" i="2" a="1"/>
  <c r="E425" i="2" s="1"/>
  <c r="E430" i="2" a="1"/>
  <c r="E430" i="2" s="1"/>
  <c r="G429" i="2" a="1"/>
  <c r="G429" i="2" s="1"/>
  <c r="D427" i="2" a="1"/>
  <c r="D427" i="2" s="1"/>
  <c r="B427" i="2"/>
  <c r="E427" i="2" a="1"/>
  <c r="E427" i="2" s="1"/>
  <c r="G425" i="2" a="1"/>
  <c r="G425" i="2" s="1"/>
  <c r="C429" i="2" a="1"/>
  <c r="C429" i="2" s="1"/>
  <c r="A428" i="2" a="1"/>
  <c r="A428" i="2" s="1"/>
  <c r="F430" i="2" a="1"/>
  <c r="F430" i="2" s="1"/>
  <c r="E429" i="2" a="1"/>
  <c r="E429" i="2" s="1"/>
  <c r="C425" i="2" a="1"/>
  <c r="C425" i="2" s="1"/>
  <c r="F427" i="2" a="1"/>
  <c r="F427" i="2" s="1"/>
  <c r="C426" i="2" a="1"/>
  <c r="C426" i="2" s="1"/>
  <c r="B426" i="2"/>
  <c r="G430" i="2" a="1"/>
  <c r="G430" i="2" s="1"/>
  <c r="C428" i="2" a="1"/>
  <c r="C428" i="2" s="1"/>
  <c r="F425" i="2" a="1"/>
  <c r="F425" i="2" s="1"/>
  <c r="F429" i="2" a="1"/>
  <c r="F429" i="2" s="1"/>
  <c r="A425" i="2" a="1"/>
  <c r="A425" i="2" s="1"/>
  <c r="A427" i="2" a="1"/>
  <c r="A427" i="2" s="1"/>
  <c r="A429" i="2" a="1"/>
  <c r="A429" i="2" s="1"/>
  <c r="H1362" i="2"/>
  <c r="G1362" i="2" s="1"/>
  <c r="H1363" i="2"/>
  <c r="G1363" i="2" s="1"/>
  <c r="H1361" i="2"/>
  <c r="G1361" i="2" s="1"/>
  <c r="H1364" i="2"/>
  <c r="G1364" i="2" s="1"/>
  <c r="K805" i="2"/>
  <c r="P808" i="2"/>
  <c r="J805" i="2"/>
  <c r="O748" i="2" s="1"/>
  <c r="I805" i="2"/>
  <c r="AC808" i="2"/>
  <c r="AD808" i="2" s="1"/>
  <c r="AC796" i="2"/>
  <c r="AD796" i="2" s="1"/>
  <c r="AC817" i="2"/>
  <c r="AD817" i="2" s="1"/>
  <c r="O925" i="2" s="1"/>
  <c r="K925" i="2" s="1"/>
  <c r="AC806" i="2"/>
  <c r="AD806" i="2" s="1"/>
  <c r="AC825" i="2"/>
  <c r="AC829" i="2"/>
  <c r="AC831" i="2"/>
  <c r="AC800" i="2"/>
  <c r="AD800" i="2" s="1"/>
  <c r="AC813" i="2"/>
  <c r="AD813" i="2" s="1"/>
  <c r="O923" i="2" s="1"/>
  <c r="AC819" i="2"/>
  <c r="AD819" i="2" s="1"/>
  <c r="O926" i="2" s="1"/>
  <c r="K926" i="2" s="1"/>
  <c r="AC798" i="2"/>
  <c r="AD798" i="2" s="1"/>
  <c r="AC802" i="2"/>
  <c r="AD802" i="2" s="1"/>
  <c r="AC827" i="2"/>
  <c r="X2" i="10"/>
  <c r="AC821" i="2"/>
  <c r="AD821" i="2" s="1"/>
  <c r="O927" i="2" s="1"/>
  <c r="K927" i="2" s="1"/>
  <c r="AC815" i="2"/>
  <c r="AD815" i="2" s="1"/>
  <c r="O924" i="2" s="1"/>
  <c r="K924" i="2" s="1"/>
  <c r="AC804" i="2"/>
  <c r="AD804" i="2" s="1"/>
  <c r="M327" i="2" l="1"/>
  <c r="M328" i="2" s="1"/>
  <c r="M329" i="2" s="1"/>
  <c r="AH570" i="2"/>
  <c r="AH566" i="2" s="1"/>
  <c r="AH567" i="2" s="1"/>
  <c r="AH568" i="2" s="1"/>
  <c r="AI568" i="2" s="1"/>
  <c r="Y576" i="2"/>
  <c r="Y578" i="2" s="1"/>
  <c r="K327" i="2" s="1"/>
  <c r="K328" i="2" s="1"/>
  <c r="K329" i="2" s="1"/>
  <c r="AJ455" i="2"/>
  <c r="AJ454" i="2" s="1"/>
  <c r="AJ456" i="2" s="1"/>
  <c r="K321" i="2" s="1"/>
  <c r="K323" i="2" s="1"/>
  <c r="K325" i="2" s="1"/>
  <c r="M323" i="2"/>
  <c r="AV455" i="2"/>
  <c r="AR455" i="2" s="1"/>
  <c r="S436" i="2"/>
  <c r="B612" i="2"/>
  <c r="I327" i="2" s="1"/>
  <c r="I328" i="2" s="1"/>
  <c r="I329" i="2" s="1"/>
  <c r="S434" i="2"/>
  <c r="B664" i="2"/>
  <c r="H327" i="2" s="1"/>
  <c r="H328" i="2" s="1"/>
  <c r="H329" i="2" s="1"/>
  <c r="S327" i="2"/>
  <c r="S328" i="2"/>
  <c r="AJ469" i="2"/>
  <c r="AJ477" i="2" s="1"/>
  <c r="S435" i="2"/>
  <c r="T433" i="2"/>
  <c r="P1044" i="2"/>
  <c r="M1041" i="2" s="1"/>
  <c r="I1041" i="2"/>
  <c r="AC1037" i="2"/>
  <c r="AD1037" i="2" s="1"/>
  <c r="AG1053" i="2" s="1"/>
  <c r="AC1062" i="2"/>
  <c r="J992" i="2" s="1"/>
  <c r="AC1066" i="2"/>
  <c r="J994" i="2" s="1"/>
  <c r="AC1041" i="2"/>
  <c r="AD1041" i="2" s="1"/>
  <c r="AF1041" i="2" s="1"/>
  <c r="S1016" i="2" s="1"/>
  <c r="AC1054" i="2"/>
  <c r="AD1054" i="2" s="1"/>
  <c r="O1165" i="2" s="1"/>
  <c r="K1165" i="2" s="1"/>
  <c r="AC1058" i="2"/>
  <c r="AD1058" i="2" s="1"/>
  <c r="O1167" i="2" s="1"/>
  <c r="K1167" i="2" s="1"/>
  <c r="K1041" i="2"/>
  <c r="AC1050" i="2"/>
  <c r="AD1050" i="2" s="1"/>
  <c r="O1163" i="2" s="1"/>
  <c r="AC1056" i="2"/>
  <c r="AD1056" i="2" s="1"/>
  <c r="O1166" i="2" s="1"/>
  <c r="K1166" i="2" s="1"/>
  <c r="AC1039" i="2"/>
  <c r="AD1039" i="2" s="1"/>
  <c r="AG1054" i="2" s="1"/>
  <c r="AC1068" i="2"/>
  <c r="J995" i="2" s="1"/>
  <c r="AC1064" i="2"/>
  <c r="J993" i="2" s="1"/>
  <c r="AC1043" i="2"/>
  <c r="AD1043" i="2" s="1"/>
  <c r="AF1043" i="2" s="1"/>
  <c r="S1017" i="2" s="1"/>
  <c r="AC1045" i="2"/>
  <c r="AD1045" i="2" s="1"/>
  <c r="AC1035" i="2"/>
  <c r="AD1035" i="2" s="1"/>
  <c r="AC1033" i="2"/>
  <c r="AD1033" i="2" s="1"/>
  <c r="AF1033" i="2" s="1"/>
  <c r="AC1052" i="2"/>
  <c r="AD1052" i="2" s="1"/>
  <c r="O1164" i="2" s="1"/>
  <c r="K1164" i="2" s="1"/>
  <c r="K688" i="2"/>
  <c r="H356" i="2" s="1"/>
  <c r="AI1454" i="2"/>
  <c r="AQ1454" i="2"/>
  <c r="AY1454" i="2" s="1"/>
  <c r="BG1454" i="2" s="1"/>
  <c r="J688" i="2"/>
  <c r="AK1444" i="2"/>
  <c r="AO1444" i="2" s="1"/>
  <c r="AS1444" i="2" s="1"/>
  <c r="O1451" i="2"/>
  <c r="Q4" i="20"/>
  <c r="Q14" i="20"/>
  <c r="Q9" i="20"/>
  <c r="R11" i="20"/>
  <c r="Q31" i="20"/>
  <c r="Q17" i="20"/>
  <c r="R15" i="20"/>
  <c r="Q23" i="20"/>
  <c r="Q36" i="20"/>
  <c r="R23" i="20"/>
  <c r="Q11" i="20"/>
  <c r="R19" i="20"/>
  <c r="R8" i="20"/>
  <c r="Q25" i="20"/>
  <c r="Q20" i="20"/>
  <c r="Q12" i="20"/>
  <c r="Q24" i="20"/>
  <c r="R28" i="20"/>
  <c r="K1347" i="2"/>
  <c r="Q16" i="20"/>
  <c r="Q21" i="20"/>
  <c r="R34" i="20"/>
  <c r="R4" i="20"/>
  <c r="R5" i="20"/>
  <c r="R9" i="20"/>
  <c r="Q15" i="20"/>
  <c r="R16" i="20"/>
  <c r="Q30" i="20"/>
  <c r="Q28" i="20"/>
  <c r="R10" i="20"/>
  <c r="R36" i="20"/>
  <c r="R12" i="20"/>
  <c r="R33" i="20"/>
  <c r="Q22" i="20"/>
  <c r="Q6" i="20"/>
  <c r="Q34" i="20"/>
  <c r="Q29" i="20"/>
  <c r="R18" i="20"/>
  <c r="R35" i="20"/>
  <c r="R27" i="20"/>
  <c r="K17" i="15"/>
  <c r="R7" i="20"/>
  <c r="R24" i="20"/>
  <c r="Q5" i="20"/>
  <c r="Q19" i="20"/>
  <c r="R13" i="20"/>
  <c r="R17" i="20"/>
  <c r="Q33" i="20"/>
  <c r="R30" i="20"/>
  <c r="Q7" i="20"/>
  <c r="R22" i="20"/>
  <c r="Q8" i="20"/>
  <c r="Q35" i="20"/>
  <c r="Q10" i="20"/>
  <c r="R25" i="20"/>
  <c r="Q27" i="20"/>
  <c r="R32" i="20"/>
  <c r="R14" i="20"/>
  <c r="Q13" i="20"/>
  <c r="R6" i="20"/>
  <c r="Q18" i="20"/>
  <c r="R20" i="20"/>
  <c r="Q26" i="20"/>
  <c r="R29" i="20"/>
  <c r="R26" i="20"/>
  <c r="Q32" i="20"/>
  <c r="R31" i="20"/>
  <c r="R21" i="20"/>
  <c r="L711" i="2"/>
  <c r="B1262" i="2"/>
  <c r="I984" i="2" s="1"/>
  <c r="B1313" i="2"/>
  <c r="H984" i="2" s="1"/>
  <c r="B1320" i="2"/>
  <c r="A1320" i="2" s="1"/>
  <c r="G1323" i="2" s="1" a="1"/>
  <c r="G1323" i="2" s="1"/>
  <c r="H1323" i="2" s="1"/>
  <c r="I750" i="2"/>
  <c r="R226" i="2"/>
  <c r="N226" i="2" s="1"/>
  <c r="P984" i="2"/>
  <c r="H325" i="2"/>
  <c r="R334" i="2"/>
  <c r="Q334" i="2" s="1"/>
  <c r="AQ26" i="16" s="1"/>
  <c r="I746" i="2"/>
  <c r="C26" i="18" s="1"/>
  <c r="I752" i="2"/>
  <c r="H752" i="2"/>
  <c r="H751" i="2"/>
  <c r="H750" i="2"/>
  <c r="Q754" i="2"/>
  <c r="S20" i="18" s="1"/>
  <c r="AN100" i="2"/>
  <c r="AM97" i="2" s="1"/>
  <c r="AK79" i="2"/>
  <c r="S58" i="2" s="1"/>
  <c r="AO79" i="2"/>
  <c r="D58" i="2" s="1"/>
  <c r="C58" i="2" s="1"/>
  <c r="R225" i="2"/>
  <c r="N225" i="2" s="1"/>
  <c r="Q225" i="2"/>
  <c r="Q223" i="2"/>
  <c r="R223" i="2"/>
  <c r="N223" i="2" s="1"/>
  <c r="AI110" i="2"/>
  <c r="Q45" i="2" s="1"/>
  <c r="S45" i="2"/>
  <c r="AI114" i="2"/>
  <c r="Q47" i="2" s="1"/>
  <c r="S47" i="2"/>
  <c r="AI116" i="2"/>
  <c r="Q48" i="2" s="1"/>
  <c r="S48" i="2"/>
  <c r="AK83" i="2"/>
  <c r="U58" i="2" s="1"/>
  <c r="AO83" i="2"/>
  <c r="D60" i="2" s="1"/>
  <c r="C60" i="2" s="1"/>
  <c r="AN102" i="2"/>
  <c r="AN103" i="2"/>
  <c r="AK85" i="2"/>
  <c r="U59" i="2" s="1"/>
  <c r="AI112" i="2"/>
  <c r="Q46" i="2" s="1"/>
  <c r="S46" i="2"/>
  <c r="J711" i="2"/>
  <c r="AN99" i="2"/>
  <c r="AK77" i="2"/>
  <c r="AO77" i="2"/>
  <c r="AN105" i="2"/>
  <c r="AK89" i="2"/>
  <c r="U61" i="2" s="1"/>
  <c r="Q222" i="2"/>
  <c r="R222" i="2"/>
  <c r="R224" i="2"/>
  <c r="N224" i="2" s="1"/>
  <c r="Q224" i="2"/>
  <c r="AK87" i="2"/>
  <c r="U60" i="2" s="1"/>
  <c r="AN104" i="2"/>
  <c r="AO87" i="2"/>
  <c r="AN101" i="2"/>
  <c r="AK81" i="2"/>
  <c r="S59" i="2" s="1"/>
  <c r="P59" i="2" s="1"/>
  <c r="H980" i="2"/>
  <c r="C20" i="17" s="1"/>
  <c r="H985" i="2"/>
  <c r="H983" i="2" s="1"/>
  <c r="F180" i="2" a="1"/>
  <c r="F180" i="2" s="1"/>
  <c r="G180" i="2" a="1"/>
  <c r="G180" i="2" s="1"/>
  <c r="H180" i="2" s="1"/>
  <c r="G177" i="2" a="1"/>
  <c r="G177" i="2" s="1"/>
  <c r="F177" i="2" a="1"/>
  <c r="F177" i="2" s="1"/>
  <c r="G178" i="2" a="1"/>
  <c r="G178" i="2" s="1"/>
  <c r="H178" i="2" s="1"/>
  <c r="F181" i="2" a="1"/>
  <c r="F181" i="2" s="1"/>
  <c r="F178" i="2" a="1"/>
  <c r="F178" i="2" s="1"/>
  <c r="F179" i="2" a="1"/>
  <c r="F179" i="2" s="1"/>
  <c r="G179" i="2" a="1"/>
  <c r="G179" i="2" s="1"/>
  <c r="H179" i="2" s="1"/>
  <c r="G181" i="2" a="1"/>
  <c r="G181" i="2" s="1"/>
  <c r="H181" i="2" s="1"/>
  <c r="AD71" i="2"/>
  <c r="AG71" i="2" s="1"/>
  <c r="AH71" i="2" s="1"/>
  <c r="I52" i="2" s="1"/>
  <c r="H52" i="2" s="1"/>
  <c r="AG69" i="2"/>
  <c r="AH69" i="2" s="1"/>
  <c r="I51" i="2" s="1"/>
  <c r="H51" i="2" s="1"/>
  <c r="H186" i="2"/>
  <c r="I980" i="2"/>
  <c r="C25" i="17" s="1"/>
  <c r="I985" i="2"/>
  <c r="I983" i="2" s="1"/>
  <c r="L44" i="2"/>
  <c r="L49" i="2"/>
  <c r="AB760" i="2"/>
  <c r="AF759" i="2" s="1"/>
  <c r="AG759" i="2" s="1"/>
  <c r="D763" i="2" s="1"/>
  <c r="C763" i="2" s="1"/>
  <c r="AF757" i="2"/>
  <c r="AG757" i="2" s="1"/>
  <c r="D762" i="2" s="1"/>
  <c r="C762" i="2" s="1"/>
  <c r="N1461" i="2"/>
  <c r="I48" i="2"/>
  <c r="H50" i="2"/>
  <c r="Q987" i="2"/>
  <c r="S19" i="17" s="1"/>
  <c r="D989" i="2"/>
  <c r="C989" i="2" s="1"/>
  <c r="AA26" i="17" s="1"/>
  <c r="A120" i="2"/>
  <c r="C26" i="1" s="1"/>
  <c r="G187" i="2" s="1"/>
  <c r="H187" i="2" s="1"/>
  <c r="AB786" i="2"/>
  <c r="AC786" i="2" s="1"/>
  <c r="D771" i="2" s="1"/>
  <c r="Y788" i="2"/>
  <c r="L45" i="2"/>
  <c r="M44" i="2"/>
  <c r="D769" i="2"/>
  <c r="C770" i="2"/>
  <c r="O424" i="2"/>
  <c r="K14" i="9" s="1"/>
  <c r="O14" i="9" s="1"/>
  <c r="Q414" i="2"/>
  <c r="L421" i="2"/>
  <c r="AN51" i="16" s="1"/>
  <c r="Q413" i="2"/>
  <c r="L420" i="2"/>
  <c r="AN50" i="16" s="1"/>
  <c r="Q415" i="2"/>
  <c r="L422" i="2"/>
  <c r="Q411" i="2"/>
  <c r="L418" i="2"/>
  <c r="AN48" i="16" s="1"/>
  <c r="Q412" i="2"/>
  <c r="L419" i="2"/>
  <c r="AN49" i="16" s="1"/>
  <c r="Q410" i="2"/>
  <c r="L417" i="2"/>
  <c r="AN47" i="16" s="1"/>
  <c r="G1158" i="2" a="1"/>
  <c r="G1158" i="2" s="1"/>
  <c r="E1153" i="2" a="1"/>
  <c r="E1153" i="2" s="1"/>
  <c r="L1155" i="2" a="1"/>
  <c r="L1155" i="2" s="1"/>
  <c r="B1154" i="2" a="1"/>
  <c r="B1154" i="2" s="1"/>
  <c r="B1153" i="2" a="1"/>
  <c r="B1153" i="2" s="1"/>
  <c r="C1150" i="2" a="1"/>
  <c r="C1150" i="2" s="1"/>
  <c r="D1152" i="2" a="1"/>
  <c r="D1152" i="2" s="1"/>
  <c r="F1155" i="2" a="1"/>
  <c r="F1155" i="2" s="1"/>
  <c r="A1152" i="2" a="1"/>
  <c r="A1152" i="2" s="1"/>
  <c r="G1148" i="2" a="1"/>
  <c r="G1148" i="2" s="1"/>
  <c r="H1153" i="2" a="1"/>
  <c r="H1153" i="2" s="1"/>
  <c r="F1157" i="2" a="1"/>
  <c r="F1157" i="2" s="1"/>
  <c r="K1155" i="2" a="1"/>
  <c r="K1155" i="2" s="1"/>
  <c r="A1154" i="2" a="1"/>
  <c r="A1154" i="2" s="1"/>
  <c r="E1151" i="2" a="1"/>
  <c r="E1151" i="2" s="1"/>
  <c r="J1149" i="2" a="1"/>
  <c r="J1149" i="2" s="1"/>
  <c r="L1154" i="2" a="1"/>
  <c r="L1154" i="2" s="1"/>
  <c r="E1155" i="2" a="1"/>
  <c r="E1155" i="2" s="1"/>
  <c r="J1151" i="2" a="1"/>
  <c r="J1151" i="2" s="1"/>
  <c r="A1156" i="2" a="1"/>
  <c r="A1156" i="2" s="1"/>
  <c r="E1157" i="2" a="1"/>
  <c r="E1157" i="2" s="1"/>
  <c r="B1157" i="2" a="1"/>
  <c r="B1157" i="2" s="1"/>
  <c r="H1151" i="2" a="1"/>
  <c r="H1151" i="2" s="1"/>
  <c r="C1153" i="2" a="1"/>
  <c r="C1153" i="2" s="1"/>
  <c r="I1158" i="2" a="1"/>
  <c r="I1158" i="2" s="1"/>
  <c r="F1150" i="2" a="1"/>
  <c r="F1150" i="2" s="1"/>
  <c r="J1150" i="2" a="1"/>
  <c r="J1150" i="2" s="1"/>
  <c r="K1153" i="2" a="1"/>
  <c r="K1153" i="2" s="1"/>
  <c r="B1152" i="2" a="1"/>
  <c r="B1152" i="2" s="1"/>
  <c r="E1148" i="2" a="1"/>
  <c r="E1148" i="2" s="1"/>
  <c r="G1154" i="2" a="1"/>
  <c r="G1154" i="2" s="1"/>
  <c r="H1158" i="2" a="1"/>
  <c r="H1158" i="2" s="1"/>
  <c r="C1148" i="2" a="1"/>
  <c r="C1148" i="2" s="1"/>
  <c r="D1158" i="2" a="1"/>
  <c r="D1158" i="2" s="1"/>
  <c r="K1156" i="2" a="1"/>
  <c r="K1156" i="2" s="1"/>
  <c r="B1151" i="2" a="1"/>
  <c r="B1151" i="2" s="1"/>
  <c r="I1149" i="2" a="1"/>
  <c r="I1149" i="2" s="1"/>
  <c r="E1156" i="2" a="1"/>
  <c r="E1156" i="2" s="1"/>
  <c r="H1156" i="2" a="1"/>
  <c r="H1156" i="2" s="1"/>
  <c r="I1152" i="2" a="1"/>
  <c r="I1152" i="2" s="1"/>
  <c r="H1157" i="2" a="1"/>
  <c r="H1157" i="2" s="1"/>
  <c r="J1148" i="2" a="1"/>
  <c r="J1148" i="2" s="1"/>
  <c r="H1148" i="2" a="1"/>
  <c r="H1148" i="2" s="1"/>
  <c r="K1154" i="2" a="1"/>
  <c r="K1154" i="2" s="1"/>
  <c r="J1154" i="2" a="1"/>
  <c r="J1154" i="2" s="1"/>
  <c r="I1151" i="2" a="1"/>
  <c r="I1151" i="2" s="1"/>
  <c r="H1152" i="2" a="1"/>
  <c r="H1152" i="2" s="1"/>
  <c r="G1157" i="2" a="1"/>
  <c r="G1157" i="2" s="1"/>
  <c r="K1157" i="2" a="1"/>
  <c r="K1157" i="2" s="1"/>
  <c r="J1155" i="2" a="1"/>
  <c r="J1155" i="2" s="1"/>
  <c r="G1150" i="2" a="1"/>
  <c r="G1150" i="2" s="1"/>
  <c r="A1153" i="2" a="1"/>
  <c r="A1153" i="2" s="1"/>
  <c r="D1155" i="2" a="1"/>
  <c r="D1155" i="2" s="1"/>
  <c r="L1156" i="2" a="1"/>
  <c r="L1156" i="2" s="1"/>
  <c r="F1154" i="2" a="1"/>
  <c r="F1154" i="2" s="1"/>
  <c r="F1149" i="2" a="1"/>
  <c r="F1149" i="2" s="1"/>
  <c r="C1155" i="2" a="1"/>
  <c r="C1155" i="2" s="1"/>
  <c r="C1154" i="2" a="1"/>
  <c r="C1154" i="2" s="1"/>
  <c r="H1150" i="2" a="1"/>
  <c r="H1150" i="2" s="1"/>
  <c r="A1157" i="2" a="1"/>
  <c r="A1157" i="2" s="1"/>
  <c r="A1151" i="2" a="1"/>
  <c r="A1151" i="2" s="1"/>
  <c r="E1154" i="2" a="1"/>
  <c r="E1154" i="2" s="1"/>
  <c r="E1149" i="2" a="1"/>
  <c r="E1149" i="2" s="1"/>
  <c r="D1149" i="2" a="1"/>
  <c r="D1149" i="2" s="1"/>
  <c r="L1152" i="2" a="1"/>
  <c r="L1152" i="2" s="1"/>
  <c r="A1148" i="2" a="1"/>
  <c r="A1148" i="2" s="1"/>
  <c r="H1154" i="2" a="1"/>
  <c r="H1154" i="2" s="1"/>
  <c r="G1152" i="2" a="1"/>
  <c r="G1152" i="2" s="1"/>
  <c r="F1148" i="2" a="1"/>
  <c r="F1148" i="2" s="1"/>
  <c r="J1153" i="2" a="1"/>
  <c r="J1153" i="2" s="1"/>
  <c r="D1154" i="2" a="1"/>
  <c r="D1154" i="2" s="1"/>
  <c r="J1157" i="2" a="1"/>
  <c r="J1157" i="2" s="1"/>
  <c r="I1153" i="2" a="1"/>
  <c r="I1153" i="2" s="1"/>
  <c r="L1149" i="2" a="1"/>
  <c r="L1149" i="2" s="1"/>
  <c r="J1158" i="2" a="1"/>
  <c r="J1158" i="2" s="1"/>
  <c r="E1158" i="2" a="1"/>
  <c r="E1158" i="2" s="1"/>
  <c r="L1150" i="2" a="1"/>
  <c r="L1150" i="2" s="1"/>
  <c r="F1151" i="2" a="1"/>
  <c r="F1151" i="2" s="1"/>
  <c r="D1156" i="2" a="1"/>
  <c r="D1156" i="2" s="1"/>
  <c r="L1153" i="2" a="1"/>
  <c r="L1153" i="2" s="1"/>
  <c r="K1151" i="2" a="1"/>
  <c r="K1151" i="2" s="1"/>
  <c r="B1158" i="2" a="1"/>
  <c r="B1158" i="2" s="1"/>
  <c r="I1155" i="2" a="1"/>
  <c r="I1155" i="2" s="1"/>
  <c r="A1158" i="2" a="1"/>
  <c r="A1158" i="2" s="1"/>
  <c r="B1155" i="2" a="1"/>
  <c r="B1155" i="2" s="1"/>
  <c r="L1148" i="2" a="1"/>
  <c r="L1148" i="2" s="1"/>
  <c r="I1148" i="2" a="1"/>
  <c r="I1148" i="2" s="1"/>
  <c r="C1158" i="2" a="1"/>
  <c r="C1158" i="2" s="1"/>
  <c r="F1158" i="2" a="1"/>
  <c r="F1158" i="2" s="1"/>
  <c r="G1153" i="2" a="1"/>
  <c r="G1153" i="2" s="1"/>
  <c r="G1151" i="2" a="1"/>
  <c r="G1151" i="2" s="1"/>
  <c r="D1151" i="2" a="1"/>
  <c r="D1151" i="2" s="1"/>
  <c r="F1152" i="2" a="1"/>
  <c r="F1152" i="2" s="1"/>
  <c r="G1149" i="2" a="1"/>
  <c r="G1149" i="2" s="1"/>
  <c r="I1156" i="2" a="1"/>
  <c r="I1156" i="2" s="1"/>
  <c r="A1155" i="2" a="1"/>
  <c r="A1155" i="2" s="1"/>
  <c r="I1154" i="2" a="1"/>
  <c r="I1154" i="2" s="1"/>
  <c r="C1151" i="2" a="1"/>
  <c r="C1151" i="2" s="1"/>
  <c r="K1158" i="2" a="1"/>
  <c r="K1158" i="2" s="1"/>
  <c r="H1149" i="2" a="1"/>
  <c r="H1149" i="2" s="1"/>
  <c r="L1157" i="2" a="1"/>
  <c r="L1157" i="2" s="1"/>
  <c r="L1158" i="2" a="1"/>
  <c r="L1158" i="2" s="1"/>
  <c r="B1156" i="2" a="1"/>
  <c r="B1156" i="2" s="1"/>
  <c r="B1149" i="2" a="1"/>
  <c r="B1149" i="2" s="1"/>
  <c r="K1150" i="2" a="1"/>
  <c r="K1150" i="2" s="1"/>
  <c r="L1151" i="2" a="1"/>
  <c r="L1151" i="2" s="1"/>
  <c r="A1149" i="2" a="1"/>
  <c r="A1149" i="2" s="1"/>
  <c r="D1157" i="2" a="1"/>
  <c r="D1157" i="2" s="1"/>
  <c r="F1153" i="2" a="1"/>
  <c r="F1153" i="2" s="1"/>
  <c r="D1153" i="2" a="1"/>
  <c r="D1153" i="2" s="1"/>
  <c r="F1156" i="2" a="1"/>
  <c r="F1156" i="2" s="1"/>
  <c r="I1157" i="2" a="1"/>
  <c r="I1157" i="2" s="1"/>
  <c r="D1148" i="2" a="1"/>
  <c r="D1148" i="2" s="1"/>
  <c r="D1150" i="2" a="1"/>
  <c r="D1150" i="2" s="1"/>
  <c r="C1157" i="2" a="1"/>
  <c r="C1157" i="2" s="1"/>
  <c r="A1150" i="2" a="1"/>
  <c r="A1150" i="2" s="1"/>
  <c r="J1156" i="2" a="1"/>
  <c r="J1156" i="2" s="1"/>
  <c r="I1150" i="2" a="1"/>
  <c r="I1150" i="2" s="1"/>
  <c r="G1155" i="2" a="1"/>
  <c r="G1155" i="2" s="1"/>
  <c r="K1152" i="2" a="1"/>
  <c r="K1152" i="2" s="1"/>
  <c r="C1149" i="2" a="1"/>
  <c r="C1149" i="2" s="1"/>
  <c r="B1148" i="2" a="1"/>
  <c r="B1148" i="2" s="1"/>
  <c r="K1149" i="2" a="1"/>
  <c r="K1149" i="2" s="1"/>
  <c r="E1152" i="2" a="1"/>
  <c r="E1152" i="2" s="1"/>
  <c r="B1150" i="2" a="1"/>
  <c r="B1150" i="2" s="1"/>
  <c r="H1155" i="2" a="1"/>
  <c r="H1155" i="2" s="1"/>
  <c r="C1152" i="2" a="1"/>
  <c r="C1152" i="2" s="1"/>
  <c r="K1148" i="2" a="1"/>
  <c r="K1148" i="2" s="1"/>
  <c r="E1150" i="2" a="1"/>
  <c r="E1150" i="2" s="1"/>
  <c r="J1152" i="2" a="1"/>
  <c r="J1152" i="2" s="1"/>
  <c r="G1156" i="2" a="1"/>
  <c r="G1156" i="2" s="1"/>
  <c r="C1156" i="2" a="1"/>
  <c r="C1156" i="2" s="1"/>
  <c r="O984" i="2"/>
  <c r="O980" i="2"/>
  <c r="O985" i="2"/>
  <c r="O983" i="2" s="1"/>
  <c r="AQ561" i="2"/>
  <c r="M356" i="2" s="1"/>
  <c r="N356" i="2" s="1"/>
  <c r="O356" i="2" s="1"/>
  <c r="AP561" i="2"/>
  <c r="AR561" i="2"/>
  <c r="AF804" i="2"/>
  <c r="S795" i="2" s="1"/>
  <c r="AI818" i="2"/>
  <c r="N921" i="2"/>
  <c r="J921" i="2"/>
  <c r="K923" i="2"/>
  <c r="AF808" i="2"/>
  <c r="S797" i="2" s="1"/>
  <c r="AI820" i="2"/>
  <c r="I1364" i="2"/>
  <c r="M1364" i="2"/>
  <c r="K1364" i="2"/>
  <c r="J1364" i="2"/>
  <c r="K1673" i="2"/>
  <c r="O1699" i="2"/>
  <c r="L1364" i="2"/>
  <c r="N1364" i="2" s="1"/>
  <c r="AI816" i="2"/>
  <c r="AF800" i="2"/>
  <c r="Q795" i="2" s="1"/>
  <c r="N795" i="2" s="1"/>
  <c r="I1361" i="2"/>
  <c r="M1361" i="2"/>
  <c r="J1361" i="2"/>
  <c r="L1361" i="2"/>
  <c r="N1361" i="2" s="1"/>
  <c r="K1361" i="2"/>
  <c r="K1664" i="2"/>
  <c r="O1696" i="2"/>
  <c r="O746" i="2"/>
  <c r="O744" i="2" s="1"/>
  <c r="C18" i="18" s="1"/>
  <c r="O752" i="2"/>
  <c r="O750" i="2"/>
  <c r="O751" i="2"/>
  <c r="O749" i="2"/>
  <c r="O787" i="2"/>
  <c r="AD831" i="2"/>
  <c r="M787" i="2" s="1"/>
  <c r="M1363" i="2"/>
  <c r="J1363" i="2"/>
  <c r="K1363" i="2"/>
  <c r="L1363" i="2"/>
  <c r="N1363" i="2" s="1"/>
  <c r="O1698" i="2"/>
  <c r="K1670" i="2"/>
  <c r="I1363" i="2"/>
  <c r="I908" i="2" a="1"/>
  <c r="I908" i="2" s="1"/>
  <c r="G917" i="2" a="1"/>
  <c r="G917" i="2" s="1"/>
  <c r="A917" i="2" a="1"/>
  <c r="A917" i="2" s="1"/>
  <c r="F918" i="2" a="1"/>
  <c r="F918" i="2" s="1"/>
  <c r="F911" i="2" a="1"/>
  <c r="F911" i="2" s="1"/>
  <c r="H912" i="2" a="1"/>
  <c r="H912" i="2" s="1"/>
  <c r="A913" i="2" a="1"/>
  <c r="A913" i="2" s="1"/>
  <c r="C909" i="2" a="1"/>
  <c r="C909" i="2" s="1"/>
  <c r="H909" i="2" a="1"/>
  <c r="H909" i="2" s="1"/>
  <c r="C915" i="2" a="1"/>
  <c r="C915" i="2" s="1"/>
  <c r="I910" i="2" a="1"/>
  <c r="I910" i="2" s="1"/>
  <c r="F910" i="2" a="1"/>
  <c r="F910" i="2" s="1"/>
  <c r="F916" i="2" a="1"/>
  <c r="F916" i="2" s="1"/>
  <c r="I918" i="2" a="1"/>
  <c r="I918" i="2" s="1"/>
  <c r="B911" i="2" a="1"/>
  <c r="B911" i="2" s="1"/>
  <c r="F909" i="2" a="1"/>
  <c r="F909" i="2" s="1"/>
  <c r="F908" i="2" a="1"/>
  <c r="F908" i="2" s="1"/>
  <c r="B918" i="2" a="1"/>
  <c r="B918" i="2" s="1"/>
  <c r="C910" i="2" a="1"/>
  <c r="C910" i="2" s="1"/>
  <c r="J911" i="2" a="1"/>
  <c r="J911" i="2" s="1"/>
  <c r="A914" i="2" a="1"/>
  <c r="A914" i="2" s="1"/>
  <c r="B914" i="2" a="1"/>
  <c r="B914" i="2" s="1"/>
  <c r="C913" i="2" a="1"/>
  <c r="C913" i="2" s="1"/>
  <c r="B909" i="2" a="1"/>
  <c r="B909" i="2" s="1"/>
  <c r="B912" i="2" a="1"/>
  <c r="B912" i="2" s="1"/>
  <c r="K909" i="2" a="1"/>
  <c r="K909" i="2" s="1"/>
  <c r="G913" i="2" a="1"/>
  <c r="G913" i="2" s="1"/>
  <c r="K914" i="2" a="1"/>
  <c r="K914" i="2" s="1"/>
  <c r="K918" i="2" a="1"/>
  <c r="K918" i="2" s="1"/>
  <c r="F915" i="2" a="1"/>
  <c r="F915" i="2" s="1"/>
  <c r="J914" i="2" a="1"/>
  <c r="J914" i="2" s="1"/>
  <c r="D910" i="2" a="1"/>
  <c r="D910" i="2" s="1"/>
  <c r="B913" i="2" a="1"/>
  <c r="B913" i="2" s="1"/>
  <c r="L910" i="2" a="1"/>
  <c r="L910" i="2" s="1"/>
  <c r="D918" i="2" a="1"/>
  <c r="D918" i="2" s="1"/>
  <c r="C908" i="2" a="1"/>
  <c r="C908" i="2" s="1"/>
  <c r="I911" i="2" a="1"/>
  <c r="I911" i="2" s="1"/>
  <c r="K908" i="2" a="1"/>
  <c r="K908" i="2" s="1"/>
  <c r="L915" i="2" a="1"/>
  <c r="L915" i="2" s="1"/>
  <c r="D917" i="2" a="1"/>
  <c r="D917" i="2" s="1"/>
  <c r="H910" i="2" a="1"/>
  <c r="H910" i="2" s="1"/>
  <c r="D912" i="2" a="1"/>
  <c r="D912" i="2" s="1"/>
  <c r="K915" i="2" a="1"/>
  <c r="K915" i="2" s="1"/>
  <c r="D916" i="2" a="1"/>
  <c r="D916" i="2" s="1"/>
  <c r="K910" i="2" a="1"/>
  <c r="K910" i="2" s="1"/>
  <c r="I915" i="2" a="1"/>
  <c r="I915" i="2" s="1"/>
  <c r="J910" i="2" a="1"/>
  <c r="J910" i="2" s="1"/>
  <c r="F914" i="2" a="1"/>
  <c r="F914" i="2" s="1"/>
  <c r="D914" i="2" a="1"/>
  <c r="D914" i="2" s="1"/>
  <c r="E909" i="2" a="1"/>
  <c r="E909" i="2" s="1"/>
  <c r="H915" i="2" a="1"/>
  <c r="H915" i="2" s="1"/>
  <c r="G909" i="2" a="1"/>
  <c r="G909" i="2" s="1"/>
  <c r="E912" i="2" a="1"/>
  <c r="E912" i="2" s="1"/>
  <c r="A916" i="2" a="1"/>
  <c r="A916" i="2" s="1"/>
  <c r="E917" i="2" a="1"/>
  <c r="E917" i="2" s="1"/>
  <c r="L909" i="2" a="1"/>
  <c r="L909" i="2" s="1"/>
  <c r="G915" i="2" a="1"/>
  <c r="G915" i="2" s="1"/>
  <c r="C912" i="2" a="1"/>
  <c r="C912" i="2" s="1"/>
  <c r="J915" i="2" a="1"/>
  <c r="J915" i="2" s="1"/>
  <c r="A915" i="2" a="1"/>
  <c r="A915" i="2" s="1"/>
  <c r="A912" i="2" a="1"/>
  <c r="A912" i="2" s="1"/>
  <c r="L911" i="2" a="1"/>
  <c r="L911" i="2" s="1"/>
  <c r="L918" i="2" a="1"/>
  <c r="L918" i="2" s="1"/>
  <c r="G916" i="2" a="1"/>
  <c r="G916" i="2" s="1"/>
  <c r="G914" i="2" a="1"/>
  <c r="G914" i="2" s="1"/>
  <c r="G911" i="2" a="1"/>
  <c r="G911" i="2" s="1"/>
  <c r="A908" i="2" a="1"/>
  <c r="A908" i="2" s="1"/>
  <c r="E915" i="2" a="1"/>
  <c r="E915" i="2" s="1"/>
  <c r="E911" i="2" a="1"/>
  <c r="E911" i="2" s="1"/>
  <c r="F912" i="2" a="1"/>
  <c r="F912" i="2" s="1"/>
  <c r="D913" i="2" a="1"/>
  <c r="D913" i="2" s="1"/>
  <c r="F917" i="2" a="1"/>
  <c r="F917" i="2" s="1"/>
  <c r="E918" i="2" a="1"/>
  <c r="E918" i="2" s="1"/>
  <c r="A911" i="2" a="1"/>
  <c r="A911" i="2" s="1"/>
  <c r="G908" i="2" a="1"/>
  <c r="G908" i="2" s="1"/>
  <c r="H911" i="2" a="1"/>
  <c r="H911" i="2" s="1"/>
  <c r="K912" i="2" a="1"/>
  <c r="K912" i="2" s="1"/>
  <c r="E908" i="2" a="1"/>
  <c r="E908" i="2" s="1"/>
  <c r="H918" i="2" a="1"/>
  <c r="H918" i="2" s="1"/>
  <c r="A909" i="2" a="1"/>
  <c r="A909" i="2" s="1"/>
  <c r="A918" i="2" a="1"/>
  <c r="A918" i="2" s="1"/>
  <c r="G918" i="2" a="1"/>
  <c r="G918" i="2" s="1"/>
  <c r="B908" i="2" a="1"/>
  <c r="B908" i="2" s="1"/>
  <c r="C914" i="2" a="1"/>
  <c r="C914" i="2" s="1"/>
  <c r="H917" i="2" a="1"/>
  <c r="H917" i="2" s="1"/>
  <c r="G912" i="2" a="1"/>
  <c r="G912" i="2" s="1"/>
  <c r="H914" i="2" a="1"/>
  <c r="H914" i="2" s="1"/>
  <c r="J908" i="2" a="1"/>
  <c r="J908" i="2" s="1"/>
  <c r="E910" i="2" a="1"/>
  <c r="E910" i="2" s="1"/>
  <c r="C916" i="2" a="1"/>
  <c r="C916" i="2" s="1"/>
  <c r="L917" i="2" a="1"/>
  <c r="L917" i="2" s="1"/>
  <c r="C918" i="2" a="1"/>
  <c r="C918" i="2" s="1"/>
  <c r="B917" i="2" a="1"/>
  <c r="B917" i="2" s="1"/>
  <c r="L914" i="2" a="1"/>
  <c r="L914" i="2" s="1"/>
  <c r="I909" i="2" a="1"/>
  <c r="I909" i="2" s="1"/>
  <c r="K911" i="2" a="1"/>
  <c r="K911" i="2" s="1"/>
  <c r="D911" i="2" a="1"/>
  <c r="D911" i="2" s="1"/>
  <c r="J912" i="2" a="1"/>
  <c r="J912" i="2" s="1"/>
  <c r="J909" i="2" a="1"/>
  <c r="J909" i="2" s="1"/>
  <c r="B915" i="2" a="1"/>
  <c r="B915" i="2" s="1"/>
  <c r="B910" i="2" a="1"/>
  <c r="B910" i="2" s="1"/>
  <c r="I913" i="2" a="1"/>
  <c r="I913" i="2" s="1"/>
  <c r="K913" i="2" a="1"/>
  <c r="K913" i="2" s="1"/>
  <c r="K916" i="2" a="1"/>
  <c r="K916" i="2" s="1"/>
  <c r="B916" i="2" a="1"/>
  <c r="B916" i="2" s="1"/>
  <c r="H916" i="2" a="1"/>
  <c r="H916" i="2" s="1"/>
  <c r="K917" i="2" a="1"/>
  <c r="K917" i="2" s="1"/>
  <c r="L916" i="2" a="1"/>
  <c r="L916" i="2" s="1"/>
  <c r="I916" i="2" a="1"/>
  <c r="I916" i="2" s="1"/>
  <c r="E916" i="2" a="1"/>
  <c r="E916" i="2" s="1"/>
  <c r="F913" i="2" a="1"/>
  <c r="F913" i="2" s="1"/>
  <c r="C917" i="2" a="1"/>
  <c r="C917" i="2" s="1"/>
  <c r="E913" i="2" a="1"/>
  <c r="E913" i="2" s="1"/>
  <c r="I914" i="2" a="1"/>
  <c r="I914" i="2" s="1"/>
  <c r="J916" i="2" a="1"/>
  <c r="J916" i="2" s="1"/>
  <c r="D908" i="2" a="1"/>
  <c r="D908" i="2" s="1"/>
  <c r="J913" i="2" a="1"/>
  <c r="J913" i="2" s="1"/>
  <c r="E914" i="2" a="1"/>
  <c r="E914" i="2" s="1"/>
  <c r="C911" i="2" a="1"/>
  <c r="C911" i="2" s="1"/>
  <c r="L908" i="2" a="1"/>
  <c r="L908" i="2" s="1"/>
  <c r="D909" i="2" a="1"/>
  <c r="D909" i="2" s="1"/>
  <c r="L913" i="2" a="1"/>
  <c r="L913" i="2" s="1"/>
  <c r="G910" i="2" a="1"/>
  <c r="G910" i="2" s="1"/>
  <c r="A910" i="2" a="1"/>
  <c r="A910" i="2" s="1"/>
  <c r="I917" i="2" a="1"/>
  <c r="I917" i="2" s="1"/>
  <c r="L912" i="2" a="1"/>
  <c r="L912" i="2" s="1"/>
  <c r="I912" i="2" a="1"/>
  <c r="I912" i="2" s="1"/>
  <c r="H913" i="2" a="1"/>
  <c r="H913" i="2" s="1"/>
  <c r="J917" i="2" a="1"/>
  <c r="J917" i="2" s="1"/>
  <c r="J918" i="2" a="1"/>
  <c r="J918" i="2" s="1"/>
  <c r="H908" i="2" a="1"/>
  <c r="H908" i="2" s="1"/>
  <c r="D915" i="2" a="1"/>
  <c r="D915" i="2" s="1"/>
  <c r="AD827" i="2"/>
  <c r="M785" i="2" s="1"/>
  <c r="O785" i="2"/>
  <c r="AD829" i="2"/>
  <c r="M786" i="2" s="1"/>
  <c r="O786" i="2"/>
  <c r="AI817" i="2"/>
  <c r="AJ802" i="2"/>
  <c r="J796" i="2" s="1"/>
  <c r="I796" i="2" s="1"/>
  <c r="AF802" i="2"/>
  <c r="S794" i="2" s="1"/>
  <c r="AF806" i="2"/>
  <c r="S796" i="2" s="1"/>
  <c r="AI819" i="2"/>
  <c r="M805" i="2"/>
  <c r="L805" i="2"/>
  <c r="AD825" i="2"/>
  <c r="M784" i="2" s="1"/>
  <c r="O784" i="2"/>
  <c r="AJ798" i="2"/>
  <c r="J794" i="2" s="1"/>
  <c r="I794" i="2" s="1"/>
  <c r="AI815" i="2"/>
  <c r="AH812" i="2" s="1"/>
  <c r="AF798" i="2"/>
  <c r="Q794" i="2" s="1"/>
  <c r="M1362" i="2"/>
  <c r="J1362" i="2"/>
  <c r="I1362" i="2"/>
  <c r="K1362" i="2"/>
  <c r="L1362" i="2"/>
  <c r="N1362" i="2" s="1"/>
  <c r="O1697" i="2"/>
  <c r="K1667" i="2"/>
  <c r="AI814" i="2"/>
  <c r="AJ796" i="2"/>
  <c r="AF796" i="2"/>
  <c r="Y577" i="2" l="1"/>
  <c r="AI570" i="2"/>
  <c r="AL453" i="2"/>
  <c r="X46" i="16" s="1"/>
  <c r="AP455" i="2"/>
  <c r="AI473" i="2"/>
  <c r="AJ475" i="2" s="1"/>
  <c r="AM475" i="2" s="1"/>
  <c r="AQ455" i="2"/>
  <c r="G356" i="2" s="1"/>
  <c r="K356" i="2" s="1"/>
  <c r="AJ568" i="2"/>
  <c r="AH569" i="2" s="1"/>
  <c r="AI569" i="2" s="1"/>
  <c r="AC478" i="2"/>
  <c r="L1041" i="2"/>
  <c r="AG1051" i="2"/>
  <c r="AD1062" i="2"/>
  <c r="H992" i="2" s="1"/>
  <c r="G992" i="2" s="1"/>
  <c r="AF1037" i="2"/>
  <c r="Q1016" i="2" s="1"/>
  <c r="N1016" i="2" s="1"/>
  <c r="AG1055" i="2"/>
  <c r="AJ1035" i="2"/>
  <c r="L1015" i="2" s="1"/>
  <c r="K1015" i="2" s="1"/>
  <c r="AF1039" i="2"/>
  <c r="S1015" i="2" s="1"/>
  <c r="AD1066" i="2"/>
  <c r="H994" i="2" s="1"/>
  <c r="G994" i="2" s="1"/>
  <c r="AJ1043" i="2"/>
  <c r="AD1068" i="2"/>
  <c r="H995" i="2" s="1"/>
  <c r="G995" i="2" s="1"/>
  <c r="AJ1039" i="2"/>
  <c r="L1017" i="2" s="1"/>
  <c r="K1017" i="2" s="1"/>
  <c r="AG1056" i="2"/>
  <c r="AD1064" i="2"/>
  <c r="H993" i="2" s="1"/>
  <c r="AF1035" i="2"/>
  <c r="Q1015" i="2" s="1"/>
  <c r="N1015" i="2" s="1"/>
  <c r="N1161" i="2"/>
  <c r="J1161" i="2"/>
  <c r="AG1052" i="2"/>
  <c r="AF1049" i="2" s="1"/>
  <c r="AG1057" i="2"/>
  <c r="AJ1033" i="2"/>
  <c r="AF1045" i="2"/>
  <c r="S1018" i="2" s="1"/>
  <c r="K1163" i="2"/>
  <c r="O1456" i="2"/>
  <c r="AK1449" i="2"/>
  <c r="AO1449" i="2" s="1"/>
  <c r="AS1449" i="2" s="1"/>
  <c r="AI1459" i="2"/>
  <c r="AQ1459" i="2"/>
  <c r="AY1459" i="2" s="1"/>
  <c r="BG1459" i="2" s="1"/>
  <c r="I1472" i="2"/>
  <c r="K16" i="15"/>
  <c r="A1268" i="2"/>
  <c r="F1320" i="2" a="1"/>
  <c r="F1320" i="2" s="1"/>
  <c r="L1320" i="2" s="1"/>
  <c r="G1320" i="2" a="1"/>
  <c r="G1320" i="2" s="1"/>
  <c r="F1326" i="2" s="1"/>
  <c r="G1321" i="2" a="1"/>
  <c r="G1321" i="2" s="1"/>
  <c r="H1321" i="2" s="1"/>
  <c r="F1324" i="2" a="1"/>
  <c r="F1324" i="2" s="1"/>
  <c r="L1324" i="2" s="1"/>
  <c r="F1321" i="2" a="1"/>
  <c r="F1321" i="2" s="1"/>
  <c r="L1321" i="2" s="1"/>
  <c r="G1324" i="2" a="1"/>
  <c r="G1324" i="2" s="1"/>
  <c r="H1324" i="2" s="1"/>
  <c r="F1323" i="2" a="1"/>
  <c r="F1323" i="2" s="1"/>
  <c r="L1323" i="2" s="1"/>
  <c r="F1322" i="2" a="1"/>
  <c r="F1322" i="2" s="1"/>
  <c r="L1322" i="2" s="1"/>
  <c r="G1322" i="2" a="1"/>
  <c r="G1322" i="2" s="1"/>
  <c r="H1322" i="2" s="1"/>
  <c r="P47" i="2"/>
  <c r="K859" i="9"/>
  <c r="O859" i="9" s="1"/>
  <c r="K828" i="9"/>
  <c r="O828" i="9" s="1"/>
  <c r="K1078" i="9"/>
  <c r="O1078" i="9" s="1"/>
  <c r="K349" i="9"/>
  <c r="O349" i="9" s="1"/>
  <c r="K195" i="9"/>
  <c r="O195" i="9" s="1"/>
  <c r="K315" i="9"/>
  <c r="O315" i="9" s="1"/>
  <c r="K890" i="9"/>
  <c r="O890" i="9" s="1"/>
  <c r="K720" i="9"/>
  <c r="O720" i="9" s="1"/>
  <c r="K38" i="9"/>
  <c r="O38" i="9" s="1"/>
  <c r="K678" i="9"/>
  <c r="O678" i="9" s="1"/>
  <c r="K359" i="9"/>
  <c r="O359" i="9" s="1"/>
  <c r="K210" i="9"/>
  <c r="O210" i="9" s="1"/>
  <c r="K419" i="9"/>
  <c r="O419" i="9" s="1"/>
  <c r="K650" i="9"/>
  <c r="O650" i="9" s="1"/>
  <c r="K394" i="9"/>
  <c r="O394" i="9" s="1"/>
  <c r="K707" i="9"/>
  <c r="O707" i="9" s="1"/>
  <c r="K150" i="9"/>
  <c r="O150" i="9" s="1"/>
  <c r="K5" i="9"/>
  <c r="O5" i="9" s="1"/>
  <c r="K709" i="9"/>
  <c r="O709" i="9" s="1"/>
  <c r="K480" i="9"/>
  <c r="O480" i="9" s="1"/>
  <c r="K893" i="9"/>
  <c r="O893" i="9" s="1"/>
  <c r="K571" i="9"/>
  <c r="O571" i="9" s="1"/>
  <c r="K497" i="9"/>
  <c r="O497" i="9" s="1"/>
  <c r="K1013" i="9"/>
  <c r="O1013" i="9" s="1"/>
  <c r="K339" i="9"/>
  <c r="O339" i="9" s="1"/>
  <c r="K697" i="9"/>
  <c r="O697" i="9" s="1"/>
  <c r="K60" i="9"/>
  <c r="O60" i="9" s="1"/>
  <c r="K134" i="9"/>
  <c r="O134" i="9" s="1"/>
  <c r="K669" i="9"/>
  <c r="O669" i="9" s="1"/>
  <c r="K986" i="9"/>
  <c r="O986" i="9" s="1"/>
  <c r="K350" i="9"/>
  <c r="O350" i="9" s="1"/>
  <c r="K573" i="9"/>
  <c r="O573" i="9" s="1"/>
  <c r="K255" i="9"/>
  <c r="O255" i="9" s="1"/>
  <c r="K192" i="9"/>
  <c r="O192" i="9" s="1"/>
  <c r="K960" i="9"/>
  <c r="O960" i="9" s="1"/>
  <c r="K1027" i="9"/>
  <c r="O1027" i="9" s="1"/>
  <c r="K848" i="9"/>
  <c r="O848" i="9" s="1"/>
  <c r="K130" i="9"/>
  <c r="O130" i="9" s="1"/>
  <c r="K428" i="9"/>
  <c r="O428" i="9" s="1"/>
  <c r="K96" i="9"/>
  <c r="O96" i="9" s="1"/>
  <c r="K988" i="9"/>
  <c r="O988" i="9" s="1"/>
  <c r="K898" i="9"/>
  <c r="O898" i="9" s="1"/>
  <c r="K817" i="9"/>
  <c r="O817" i="9" s="1"/>
  <c r="K517" i="9"/>
  <c r="O517" i="9" s="1"/>
  <c r="K312" i="9"/>
  <c r="O312" i="9" s="1"/>
  <c r="K874" i="9"/>
  <c r="O874" i="9" s="1"/>
  <c r="K934" i="9"/>
  <c r="O934" i="9" s="1"/>
  <c r="K997" i="9"/>
  <c r="O997" i="9" s="1"/>
  <c r="K646" i="9"/>
  <c r="O646" i="9" s="1"/>
  <c r="K675" i="9"/>
  <c r="O675" i="9" s="1"/>
  <c r="K695" i="9"/>
  <c r="O695" i="9" s="1"/>
  <c r="K311" i="9"/>
  <c r="O311" i="9" s="1"/>
  <c r="K801" i="9"/>
  <c r="O801" i="9" s="1"/>
  <c r="K634" i="9"/>
  <c r="O634" i="9" s="1"/>
  <c r="K632" i="9"/>
  <c r="O632" i="9" s="1"/>
  <c r="K560" i="9"/>
  <c r="O560" i="9" s="1"/>
  <c r="K335" i="9"/>
  <c r="O335" i="9" s="1"/>
  <c r="K432" i="9"/>
  <c r="O432" i="9" s="1"/>
  <c r="K61" i="9"/>
  <c r="O61" i="9" s="1"/>
  <c r="K176" i="9"/>
  <c r="O176" i="9" s="1"/>
  <c r="K623" i="9"/>
  <c r="O623" i="9" s="1"/>
  <c r="K980" i="9"/>
  <c r="O980" i="9" s="1"/>
  <c r="K382" i="9"/>
  <c r="O382" i="9" s="1"/>
  <c r="K1019" i="9"/>
  <c r="O1019" i="9" s="1"/>
  <c r="K286" i="9"/>
  <c r="O286" i="9" s="1"/>
  <c r="K820" i="9"/>
  <c r="O820" i="9" s="1"/>
  <c r="K712" i="9"/>
  <c r="O712" i="9" s="1"/>
  <c r="K307" i="9"/>
  <c r="O307" i="9" s="1"/>
  <c r="K566" i="9"/>
  <c r="O566" i="9" s="1"/>
  <c r="K485" i="9"/>
  <c r="O485" i="9" s="1"/>
  <c r="K489" i="9"/>
  <c r="O489" i="9" s="1"/>
  <c r="K420" i="9"/>
  <c r="O420" i="9" s="1"/>
  <c r="K66" i="9"/>
  <c r="O66" i="9" s="1"/>
  <c r="K204" i="9"/>
  <c r="O204" i="9" s="1"/>
  <c r="K1070" i="9"/>
  <c r="O1070" i="9" s="1"/>
  <c r="K964" i="9"/>
  <c r="O964" i="9" s="1"/>
  <c r="K1065" i="9"/>
  <c r="O1065" i="9" s="1"/>
  <c r="K1003" i="9"/>
  <c r="O1003" i="9" s="1"/>
  <c r="K804" i="9"/>
  <c r="O804" i="9" s="1"/>
  <c r="K696" i="9"/>
  <c r="O696" i="9" s="1"/>
  <c r="K279" i="9"/>
  <c r="O279" i="9" s="1"/>
  <c r="K557" i="9"/>
  <c r="O557" i="9" s="1"/>
  <c r="K469" i="9"/>
  <c r="O469" i="9" s="1"/>
  <c r="K594" i="9"/>
  <c r="O594" i="9" s="1"/>
  <c r="K364" i="9"/>
  <c r="O364" i="9" s="1"/>
  <c r="K51" i="9"/>
  <c r="O51" i="9" s="1"/>
  <c r="K107" i="9"/>
  <c r="O107" i="9" s="1"/>
  <c r="K34" i="9"/>
  <c r="O34" i="9" s="1"/>
  <c r="K866" i="9"/>
  <c r="O866" i="9" s="1"/>
  <c r="K717" i="9"/>
  <c r="O717" i="9" s="1"/>
  <c r="K961" i="9"/>
  <c r="O961" i="9" s="1"/>
  <c r="K871" i="9"/>
  <c r="O871" i="9" s="1"/>
  <c r="K798" i="9"/>
  <c r="O798" i="9" s="1"/>
  <c r="K700" i="9"/>
  <c r="O700" i="9" s="1"/>
  <c r="K439" i="9"/>
  <c r="O439" i="9" s="1"/>
  <c r="K786" i="9"/>
  <c r="O786" i="9" s="1"/>
  <c r="K486" i="9"/>
  <c r="O486" i="9" s="1"/>
  <c r="K612" i="9"/>
  <c r="O612" i="9" s="1"/>
  <c r="K474" i="9"/>
  <c r="O474" i="9" s="1"/>
  <c r="K284" i="9"/>
  <c r="O284" i="9" s="1"/>
  <c r="K393" i="9"/>
  <c r="O393" i="9" s="1"/>
  <c r="K31" i="9"/>
  <c r="O31" i="9" s="1"/>
  <c r="K119" i="9"/>
  <c r="O119" i="9" s="1"/>
  <c r="K939" i="9"/>
  <c r="O939" i="9" s="1"/>
  <c r="K991" i="9"/>
  <c r="O991" i="9" s="1"/>
  <c r="K1021" i="9"/>
  <c r="O1021" i="9" s="1"/>
  <c r="K683" i="9"/>
  <c r="O683" i="9" s="1"/>
  <c r="K723" i="9"/>
  <c r="O723" i="9" s="1"/>
  <c r="K711" i="9"/>
  <c r="O711" i="9" s="1"/>
  <c r="K366" i="9"/>
  <c r="O366" i="9" s="1"/>
  <c r="K825" i="9"/>
  <c r="O825" i="9" s="1"/>
  <c r="K658" i="9"/>
  <c r="O658" i="9" s="1"/>
  <c r="K139" i="9"/>
  <c r="O139" i="9" s="1"/>
  <c r="K114" i="9"/>
  <c r="O114" i="9" s="1"/>
  <c r="K381" i="9"/>
  <c r="O381" i="9" s="1"/>
  <c r="K45" i="9"/>
  <c r="O45" i="9" s="1"/>
  <c r="K209" i="9"/>
  <c r="O209" i="9" s="1"/>
  <c r="K58" i="9"/>
  <c r="O58" i="9" s="1"/>
  <c r="K922" i="9"/>
  <c r="O922" i="9" s="1"/>
  <c r="K407" i="9"/>
  <c r="O407" i="9" s="1"/>
  <c r="K958" i="9"/>
  <c r="O958" i="9" s="1"/>
  <c r="K972" i="9"/>
  <c r="O972" i="9" s="1"/>
  <c r="K1005" i="9"/>
  <c r="O1005" i="9" s="1"/>
  <c r="K1073" i="9"/>
  <c r="O1073" i="9" s="1"/>
  <c r="K651" i="9"/>
  <c r="O651" i="9" s="1"/>
  <c r="K1011" i="9"/>
  <c r="O1011" i="9" s="1"/>
  <c r="K691" i="9"/>
  <c r="O691" i="9" s="1"/>
  <c r="K215" i="9"/>
  <c r="O215" i="9" s="1"/>
  <c r="K702" i="9"/>
  <c r="O702" i="9" s="1"/>
  <c r="K812" i="9"/>
  <c r="O812" i="9" s="1"/>
  <c r="K331" i="9"/>
  <c r="O331" i="9" s="1"/>
  <c r="K704" i="9"/>
  <c r="O704" i="9" s="1"/>
  <c r="K809" i="9"/>
  <c r="O809" i="9" s="1"/>
  <c r="K299" i="9"/>
  <c r="O299" i="9" s="1"/>
  <c r="K642" i="9"/>
  <c r="O642" i="9" s="1"/>
  <c r="K559" i="9"/>
  <c r="O559" i="9" s="1"/>
  <c r="K121" i="9"/>
  <c r="O121" i="9" s="1"/>
  <c r="K478" i="9"/>
  <c r="O478" i="9" s="1"/>
  <c r="K608" i="9"/>
  <c r="O608" i="9" s="1"/>
  <c r="K602" i="9"/>
  <c r="O602" i="9" s="1"/>
  <c r="K342" i="9"/>
  <c r="O342" i="9" s="1"/>
  <c r="K412" i="9"/>
  <c r="O412" i="9" s="1"/>
  <c r="K440" i="9"/>
  <c r="O440" i="9" s="1"/>
  <c r="K54" i="9"/>
  <c r="O54" i="9" s="1"/>
  <c r="K189" i="9"/>
  <c r="O189" i="9" s="1"/>
  <c r="K138" i="9"/>
  <c r="O138" i="9" s="1"/>
  <c r="K184" i="9"/>
  <c r="O184" i="9" s="1"/>
  <c r="K80" i="9"/>
  <c r="O80" i="9" s="1"/>
  <c r="K1072" i="9"/>
  <c r="O1072" i="9" s="1"/>
  <c r="K978" i="9"/>
  <c r="O978" i="9" s="1"/>
  <c r="K840" i="9"/>
  <c r="O840" i="9" s="1"/>
  <c r="K42" i="9"/>
  <c r="O42" i="9" s="1"/>
  <c r="K236" i="9"/>
  <c r="O236" i="9" s="1"/>
  <c r="K22" i="9"/>
  <c r="O22" i="9" s="1"/>
  <c r="K73" i="9"/>
  <c r="O73" i="9" s="1"/>
  <c r="K854" i="9"/>
  <c r="O854" i="9" s="1"/>
  <c r="K355" i="9"/>
  <c r="O355" i="9" s="1"/>
  <c r="K949" i="9"/>
  <c r="O949" i="9" s="1"/>
  <c r="K1064" i="9"/>
  <c r="O1064" i="9" s="1"/>
  <c r="K637" i="9"/>
  <c r="O637" i="9" s="1"/>
  <c r="K685" i="9"/>
  <c r="O685" i="9" s="1"/>
  <c r="K827" i="9"/>
  <c r="O827" i="9" s="1"/>
  <c r="K950" i="9"/>
  <c r="O950" i="9" s="1"/>
  <c r="K970" i="9"/>
  <c r="O970" i="9" s="1"/>
  <c r="K943" i="9"/>
  <c r="O943" i="9" s="1"/>
  <c r="K861" i="9"/>
  <c r="O861" i="9" s="1"/>
  <c r="K789" i="9"/>
  <c r="O789" i="9" s="1"/>
  <c r="K414" i="9"/>
  <c r="O414" i="9" s="1"/>
  <c r="K684" i="9"/>
  <c r="O684" i="9" s="1"/>
  <c r="K832" i="9"/>
  <c r="O832" i="9" s="1"/>
  <c r="K363" i="9"/>
  <c r="O363" i="9" s="1"/>
  <c r="K681" i="9"/>
  <c r="O681" i="9" s="1"/>
  <c r="K770" i="9"/>
  <c r="O770" i="9" s="1"/>
  <c r="K302" i="9"/>
  <c r="O302" i="9" s="1"/>
  <c r="K477" i="9"/>
  <c r="O477" i="9" s="1"/>
  <c r="K599" i="9"/>
  <c r="O599" i="9" s="1"/>
  <c r="K556" i="9"/>
  <c r="O556" i="9" s="1"/>
  <c r="K106" i="9"/>
  <c r="O106" i="9" s="1"/>
  <c r="K463" i="9"/>
  <c r="O463" i="9" s="1"/>
  <c r="K221" i="9"/>
  <c r="O221" i="9" s="1"/>
  <c r="K228" i="9"/>
  <c r="O228" i="9" s="1"/>
  <c r="K296" i="9"/>
  <c r="O296" i="9" s="1"/>
  <c r="K337" i="9"/>
  <c r="O337" i="9" s="1"/>
  <c r="K338" i="9"/>
  <c r="O338" i="9" s="1"/>
  <c r="K18" i="9"/>
  <c r="O18" i="9" s="1"/>
  <c r="K24" i="9"/>
  <c r="O24" i="9" s="1"/>
  <c r="K65" i="9"/>
  <c r="O65" i="9" s="1"/>
  <c r="K829" i="9"/>
  <c r="O829" i="9" s="1"/>
  <c r="K687" i="9"/>
  <c r="O687" i="9" s="1"/>
  <c r="K703" i="9"/>
  <c r="O703" i="9" s="1"/>
  <c r="K954" i="9"/>
  <c r="O954" i="9" s="1"/>
  <c r="K951" i="9"/>
  <c r="O951" i="9" s="1"/>
  <c r="K894" i="9"/>
  <c r="O894" i="9" s="1"/>
  <c r="K791" i="9"/>
  <c r="O791" i="9" s="1"/>
  <c r="K515" i="9"/>
  <c r="O515" i="9" s="1"/>
  <c r="K692" i="9"/>
  <c r="O692" i="9" s="1"/>
  <c r="K403" i="9"/>
  <c r="O403" i="9" s="1"/>
  <c r="K689" i="9"/>
  <c r="O689" i="9" s="1"/>
  <c r="K778" i="9"/>
  <c r="O778" i="9" s="1"/>
  <c r="K479" i="9"/>
  <c r="O479" i="9" s="1"/>
  <c r="K604" i="9"/>
  <c r="O604" i="9" s="1"/>
  <c r="K116" i="9"/>
  <c r="O116" i="9" s="1"/>
  <c r="K470" i="9"/>
  <c r="O470" i="9" s="1"/>
  <c r="K253" i="9"/>
  <c r="O253" i="9" s="1"/>
  <c r="K304" i="9"/>
  <c r="O304" i="9" s="1"/>
  <c r="K385" i="9"/>
  <c r="O385" i="9" s="1"/>
  <c r="K346" i="9"/>
  <c r="O346" i="9" s="1"/>
  <c r="K91" i="9"/>
  <c r="O91" i="9" s="1"/>
  <c r="K1014" i="9"/>
  <c r="O1014" i="9" s="1"/>
  <c r="K1062" i="9"/>
  <c r="O1062" i="9" s="1"/>
  <c r="K607" i="9"/>
  <c r="O607" i="9" s="1"/>
  <c r="K671" i="9"/>
  <c r="O671" i="9" s="1"/>
  <c r="K822" i="9"/>
  <c r="O822" i="9" s="1"/>
  <c r="K930" i="9"/>
  <c r="O930" i="9" s="1"/>
  <c r="K962" i="9"/>
  <c r="O962" i="9" s="1"/>
  <c r="K935" i="9"/>
  <c r="O935" i="9" s="1"/>
  <c r="K627" i="9"/>
  <c r="O627" i="9" s="1"/>
  <c r="K782" i="9"/>
  <c r="O782" i="9" s="1"/>
  <c r="K295" i="9"/>
  <c r="O295" i="9" s="1"/>
  <c r="K676" i="9"/>
  <c r="O676" i="9" s="1"/>
  <c r="K824" i="9"/>
  <c r="O824" i="9" s="1"/>
  <c r="K325" i="9"/>
  <c r="O325" i="9" s="1"/>
  <c r="K673" i="9"/>
  <c r="O673" i="9" s="1"/>
  <c r="K762" i="9"/>
  <c r="O762" i="9" s="1"/>
  <c r="K251" i="9"/>
  <c r="O251" i="9" s="1"/>
  <c r="K462" i="9"/>
  <c r="O462" i="9" s="1"/>
  <c r="K567" i="9"/>
  <c r="O567" i="9" s="1"/>
  <c r="K548" i="9"/>
  <c r="O548" i="9" s="1"/>
  <c r="K102" i="9"/>
  <c r="O102" i="9" s="1"/>
  <c r="K431" i="9"/>
  <c r="O431" i="9" s="1"/>
  <c r="K214" i="9"/>
  <c r="O214" i="9" s="1"/>
  <c r="K220" i="9"/>
  <c r="O220" i="9" s="1"/>
  <c r="K248" i="9"/>
  <c r="O248" i="9" s="1"/>
  <c r="K329" i="9"/>
  <c r="O329" i="9" s="1"/>
  <c r="K330" i="9"/>
  <c r="O330" i="9" s="1"/>
  <c r="K133" i="9"/>
  <c r="O133" i="9" s="1"/>
  <c r="K57" i="9"/>
  <c r="O57" i="9" s="1"/>
  <c r="K182" i="9"/>
  <c r="O182" i="9" s="1"/>
  <c r="K499" i="9"/>
  <c r="O499" i="9" s="1"/>
  <c r="K976" i="9"/>
  <c r="O976" i="9" s="1"/>
  <c r="K999" i="9"/>
  <c r="O999" i="9" s="1"/>
  <c r="K751" i="9"/>
  <c r="O751" i="9" s="1"/>
  <c r="K1015" i="9"/>
  <c r="O1015" i="9" s="1"/>
  <c r="K1028" i="9"/>
  <c r="O1028" i="9" s="1"/>
  <c r="K799" i="9"/>
  <c r="O799" i="9" s="1"/>
  <c r="K1061" i="9"/>
  <c r="O1061" i="9" s="1"/>
  <c r="K918" i="9"/>
  <c r="O918" i="9" s="1"/>
  <c r="K694" i="9"/>
  <c r="O694" i="9" s="1"/>
  <c r="K1001" i="9"/>
  <c r="O1001" i="9" s="1"/>
  <c r="K774" i="9"/>
  <c r="O774" i="9" s="1"/>
  <c r="K1026" i="9"/>
  <c r="O1026" i="9" s="1"/>
  <c r="K1067" i="9"/>
  <c r="O1067" i="9" s="1"/>
  <c r="K937" i="9"/>
  <c r="O937" i="9" s="1"/>
  <c r="K803" i="9"/>
  <c r="O803" i="9" s="1"/>
  <c r="K928" i="9"/>
  <c r="O928" i="9" s="1"/>
  <c r="K909" i="9"/>
  <c r="O909" i="9" s="1"/>
  <c r="K823" i="9"/>
  <c r="O823" i="9" s="1"/>
  <c r="K741" i="9"/>
  <c r="O741" i="9" s="1"/>
  <c r="K654" i="9"/>
  <c r="O654" i="9" s="1"/>
  <c r="K868" i="9"/>
  <c r="O868" i="9" s="1"/>
  <c r="K740" i="9"/>
  <c r="O740" i="9" s="1"/>
  <c r="K616" i="9"/>
  <c r="O616" i="9" s="1"/>
  <c r="K888" i="9"/>
  <c r="O888" i="9" s="1"/>
  <c r="K760" i="9"/>
  <c r="O760" i="9" s="1"/>
  <c r="K629" i="9"/>
  <c r="O629" i="9" s="1"/>
  <c r="K865" i="9"/>
  <c r="O865" i="9" s="1"/>
  <c r="K737" i="9"/>
  <c r="O737" i="9" s="1"/>
  <c r="K547" i="9"/>
  <c r="O547" i="9" s="1"/>
  <c r="K826" i="9"/>
  <c r="O826" i="9" s="1"/>
  <c r="K698" i="9"/>
  <c r="O698" i="9" s="1"/>
  <c r="K94" i="9"/>
  <c r="O94" i="9" s="1"/>
  <c r="K598" i="9"/>
  <c r="O598" i="9" s="1"/>
  <c r="K511" i="9"/>
  <c r="O511" i="9" s="1"/>
  <c r="K263" i="9"/>
  <c r="O263" i="9" s="1"/>
  <c r="K318" i="9"/>
  <c r="O318" i="9" s="1"/>
  <c r="K519" i="9"/>
  <c r="O519" i="9" s="1"/>
  <c r="K620" i="9"/>
  <c r="O620" i="9" s="1"/>
  <c r="K476" i="9"/>
  <c r="O476" i="9" s="1"/>
  <c r="K488" i="9"/>
  <c r="O488" i="9" s="1"/>
  <c r="K505" i="9"/>
  <c r="O505" i="9" s="1"/>
  <c r="K522" i="9"/>
  <c r="O522" i="9" s="1"/>
  <c r="K383" i="9"/>
  <c r="O383" i="9" s="1"/>
  <c r="K262" i="9"/>
  <c r="O262" i="9" s="1"/>
  <c r="K123" i="9"/>
  <c r="O123" i="9" s="1"/>
  <c r="K292" i="9"/>
  <c r="O292" i="9" s="1"/>
  <c r="K52" i="9"/>
  <c r="O52" i="9" s="1"/>
  <c r="K360" i="9"/>
  <c r="O360" i="9" s="1"/>
  <c r="K145" i="9"/>
  <c r="O145" i="9" s="1"/>
  <c r="K401" i="9"/>
  <c r="O401" i="9" s="1"/>
  <c r="K257" i="9"/>
  <c r="O257" i="9" s="1"/>
  <c r="K402" i="9"/>
  <c r="O402" i="9" s="1"/>
  <c r="K218" i="9"/>
  <c r="O218" i="9" s="1"/>
  <c r="K132" i="9"/>
  <c r="O132" i="9" s="1"/>
  <c r="K70" i="9"/>
  <c r="O70" i="9" s="1"/>
  <c r="K10" i="9"/>
  <c r="O10" i="9" s="1"/>
  <c r="K63" i="9"/>
  <c r="O63" i="9" s="1"/>
  <c r="K127" i="9"/>
  <c r="O127" i="9" s="1"/>
  <c r="K932" i="9"/>
  <c r="O932" i="9" s="1"/>
  <c r="K1039" i="9"/>
  <c r="O1039" i="9" s="1"/>
  <c r="K1063" i="9"/>
  <c r="O1063" i="9" s="1"/>
  <c r="K952" i="9"/>
  <c r="O952" i="9" s="1"/>
  <c r="K435" i="9"/>
  <c r="O435" i="9" s="1"/>
  <c r="K1052" i="9"/>
  <c r="O1052" i="9" s="1"/>
  <c r="K845" i="9"/>
  <c r="O845" i="9" s="1"/>
  <c r="K423" i="9"/>
  <c r="O423" i="9" s="1"/>
  <c r="K957" i="9"/>
  <c r="O957" i="9" s="1"/>
  <c r="K731" i="9"/>
  <c r="O731" i="9" s="1"/>
  <c r="K1025" i="9"/>
  <c r="O1025" i="9" s="1"/>
  <c r="K811" i="9"/>
  <c r="O811" i="9" s="1"/>
  <c r="K1050" i="9"/>
  <c r="O1050" i="9" s="1"/>
  <c r="K619" i="9"/>
  <c r="O619" i="9" s="1"/>
  <c r="K963" i="9"/>
  <c r="O963" i="9" s="1"/>
  <c r="K851" i="9"/>
  <c r="O851" i="9" s="1"/>
  <c r="K293" i="9"/>
  <c r="O293" i="9" s="1"/>
  <c r="K941" i="9"/>
  <c r="O941" i="9" s="1"/>
  <c r="K839" i="9"/>
  <c r="O839" i="9" s="1"/>
  <c r="K757" i="9"/>
  <c r="O757" i="9" s="1"/>
  <c r="K670" i="9"/>
  <c r="O670" i="9" s="1"/>
  <c r="K892" i="9"/>
  <c r="O892" i="9" s="1"/>
  <c r="K764" i="9"/>
  <c r="O764" i="9" s="1"/>
  <c r="K636" i="9"/>
  <c r="O636" i="9" s="1"/>
  <c r="K912" i="9"/>
  <c r="O912" i="9" s="1"/>
  <c r="K784" i="9"/>
  <c r="O784" i="9" s="1"/>
  <c r="K656" i="9"/>
  <c r="O656" i="9" s="1"/>
  <c r="K889" i="9"/>
  <c r="O889" i="9" s="1"/>
  <c r="K761" i="9"/>
  <c r="O761" i="9" s="1"/>
  <c r="K633" i="9"/>
  <c r="O633" i="9" s="1"/>
  <c r="K850" i="9"/>
  <c r="O850" i="9" s="1"/>
  <c r="K722" i="9"/>
  <c r="O722" i="9" s="1"/>
  <c r="K437" i="9"/>
  <c r="O437" i="9" s="1"/>
  <c r="K193" i="9"/>
  <c r="O193" i="9" s="1"/>
  <c r="K527" i="9"/>
  <c r="O527" i="9" s="1"/>
  <c r="K334" i="9"/>
  <c r="O334" i="9" s="1"/>
  <c r="K389" i="9"/>
  <c r="O389" i="9" s="1"/>
  <c r="K565" i="9"/>
  <c r="O565" i="9" s="1"/>
  <c r="K327" i="9"/>
  <c r="O327" i="9" s="1"/>
  <c r="K540" i="9"/>
  <c r="O540" i="9" s="1"/>
  <c r="K552" i="9"/>
  <c r="O552" i="9" s="1"/>
  <c r="K569" i="9"/>
  <c r="O569" i="9" s="1"/>
  <c r="K586" i="9"/>
  <c r="O586" i="9" s="1"/>
  <c r="K429" i="9"/>
  <c r="O429" i="9" s="1"/>
  <c r="K303" i="9"/>
  <c r="O303" i="9" s="1"/>
  <c r="K207" i="9"/>
  <c r="O207" i="9" s="1"/>
  <c r="K356" i="9"/>
  <c r="O356" i="9" s="1"/>
  <c r="K163" i="9"/>
  <c r="O163" i="9" s="1"/>
  <c r="K424" i="9"/>
  <c r="O424" i="9" s="1"/>
  <c r="K240" i="9"/>
  <c r="O240" i="9" s="1"/>
  <c r="K465" i="9"/>
  <c r="O465" i="9" s="1"/>
  <c r="K321" i="9"/>
  <c r="O321" i="9" s="1"/>
  <c r="K466" i="9"/>
  <c r="O466" i="9" s="1"/>
  <c r="K282" i="9"/>
  <c r="O282" i="9" s="1"/>
  <c r="K4" i="9"/>
  <c r="O4" i="9" s="1"/>
  <c r="K136" i="9"/>
  <c r="O136" i="9" s="1"/>
  <c r="K108" i="9"/>
  <c r="O108" i="9" s="1"/>
  <c r="K125" i="9"/>
  <c r="O125" i="9" s="1"/>
  <c r="K26" i="9"/>
  <c r="O26" i="9" s="1"/>
  <c r="K9" i="9"/>
  <c r="O9" i="9" s="1"/>
  <c r="K1054" i="9"/>
  <c r="O1054" i="9" s="1"/>
  <c r="K783" i="9"/>
  <c r="O783" i="9" s="1"/>
  <c r="K990" i="9"/>
  <c r="O990" i="9" s="1"/>
  <c r="K1032" i="9"/>
  <c r="O1032" i="9" s="1"/>
  <c r="K879" i="9"/>
  <c r="O879" i="9" s="1"/>
  <c r="K1048" i="9"/>
  <c r="O1048" i="9" s="1"/>
  <c r="K1044" i="9"/>
  <c r="O1044" i="9" s="1"/>
  <c r="K831" i="9"/>
  <c r="O831" i="9" s="1"/>
  <c r="K1077" i="9"/>
  <c r="O1077" i="9" s="1"/>
  <c r="K948" i="9"/>
  <c r="O948" i="9" s="1"/>
  <c r="K726" i="9"/>
  <c r="O726" i="9" s="1"/>
  <c r="K1017" i="9"/>
  <c r="O1017" i="9" s="1"/>
  <c r="K806" i="9"/>
  <c r="O806" i="9" s="1"/>
  <c r="K1042" i="9"/>
  <c r="O1042" i="9" s="1"/>
  <c r="K613" i="9"/>
  <c r="O613" i="9" s="1"/>
  <c r="K947" i="9"/>
  <c r="O947" i="9" s="1"/>
  <c r="K835" i="9"/>
  <c r="O835" i="9" s="1"/>
  <c r="K944" i="9"/>
  <c r="O944" i="9" s="1"/>
  <c r="K933" i="9"/>
  <c r="O933" i="9" s="1"/>
  <c r="K837" i="9"/>
  <c r="O837" i="9" s="1"/>
  <c r="K750" i="9"/>
  <c r="O750" i="9" s="1"/>
  <c r="K663" i="9"/>
  <c r="O663" i="9" s="1"/>
  <c r="K884" i="9"/>
  <c r="O884" i="9" s="1"/>
  <c r="K756" i="9"/>
  <c r="O756" i="9" s="1"/>
  <c r="K631" i="9"/>
  <c r="O631" i="9" s="1"/>
  <c r="K904" i="9"/>
  <c r="O904" i="9" s="1"/>
  <c r="K776" i="9"/>
  <c r="O776" i="9" s="1"/>
  <c r="K648" i="9"/>
  <c r="O648" i="9" s="1"/>
  <c r="K881" i="9"/>
  <c r="O881" i="9" s="1"/>
  <c r="K753" i="9"/>
  <c r="O753" i="9" s="1"/>
  <c r="K622" i="9"/>
  <c r="O622" i="9" s="1"/>
  <c r="K842" i="9"/>
  <c r="O842" i="9" s="1"/>
  <c r="K714" i="9"/>
  <c r="O714" i="9" s="1"/>
  <c r="K254" i="9"/>
  <c r="O254" i="9" s="1"/>
  <c r="K8" i="9"/>
  <c r="O8" i="9" s="1"/>
  <c r="K525" i="9"/>
  <c r="O525" i="9" s="1"/>
  <c r="K283" i="9"/>
  <c r="O283" i="9" s="1"/>
  <c r="K375" i="9"/>
  <c r="O375" i="9" s="1"/>
  <c r="K558" i="9"/>
  <c r="O558" i="9" s="1"/>
  <c r="K323" i="9"/>
  <c r="O323" i="9" s="1"/>
  <c r="K492" i="9"/>
  <c r="O492" i="9" s="1"/>
  <c r="K544" i="9"/>
  <c r="O544" i="9" s="1"/>
  <c r="K561" i="9"/>
  <c r="O561" i="9" s="1"/>
  <c r="K538" i="9"/>
  <c r="O538" i="9" s="1"/>
  <c r="K422" i="9"/>
  <c r="O422" i="9" s="1"/>
  <c r="K301" i="9"/>
  <c r="O301" i="9" s="1"/>
  <c r="K148" i="9"/>
  <c r="O148" i="9" s="1"/>
  <c r="K348" i="9"/>
  <c r="O348" i="9" s="1"/>
  <c r="K112" i="9"/>
  <c r="O112" i="9" s="1"/>
  <c r="K376" i="9"/>
  <c r="O376" i="9" s="1"/>
  <c r="K232" i="9"/>
  <c r="O232" i="9" s="1"/>
  <c r="K457" i="9"/>
  <c r="O457" i="9" s="1"/>
  <c r="K273" i="9"/>
  <c r="O273" i="9" s="1"/>
  <c r="K458" i="9"/>
  <c r="O458" i="9" s="1"/>
  <c r="K274" i="9"/>
  <c r="O274" i="9" s="1"/>
  <c r="K144" i="9"/>
  <c r="O144" i="9" s="1"/>
  <c r="K131" i="9"/>
  <c r="O131" i="9" s="1"/>
  <c r="K83" i="9"/>
  <c r="O83" i="9" s="1"/>
  <c r="K79" i="9"/>
  <c r="O79" i="9" s="1"/>
  <c r="K20" i="9"/>
  <c r="O20" i="9" s="1"/>
  <c r="K3" i="9"/>
  <c r="O3" i="9" s="1"/>
  <c r="K974" i="9"/>
  <c r="O974" i="9" s="1"/>
  <c r="K733" i="9"/>
  <c r="O733" i="9" s="1"/>
  <c r="K983" i="9"/>
  <c r="O983" i="9" s="1"/>
  <c r="K1030" i="9"/>
  <c r="O1030" i="9" s="1"/>
  <c r="K870" i="9"/>
  <c r="O870" i="9" s="1"/>
  <c r="K1046" i="9"/>
  <c r="O1046" i="9" s="1"/>
  <c r="K1036" i="9"/>
  <c r="O1036" i="9" s="1"/>
  <c r="K813" i="9"/>
  <c r="O813" i="9" s="1"/>
  <c r="K1069" i="9"/>
  <c r="O1069" i="9" s="1"/>
  <c r="K925" i="9"/>
  <c r="O925" i="9" s="1"/>
  <c r="K699" i="9"/>
  <c r="O699" i="9" s="1"/>
  <c r="K1009" i="9"/>
  <c r="O1009" i="9" s="1"/>
  <c r="K779" i="9"/>
  <c r="O779" i="9" s="1"/>
  <c r="K1034" i="9"/>
  <c r="O1034" i="9" s="1"/>
  <c r="K1075" i="9"/>
  <c r="O1075" i="9" s="1"/>
  <c r="K940" i="9"/>
  <c r="O940" i="9" s="1"/>
  <c r="K819" i="9"/>
  <c r="O819" i="9" s="1"/>
  <c r="K936" i="9"/>
  <c r="O936" i="9" s="1"/>
  <c r="K915" i="9"/>
  <c r="O915" i="9" s="1"/>
  <c r="K830" i="9"/>
  <c r="O830" i="9" s="1"/>
  <c r="K743" i="9"/>
  <c r="O743" i="9" s="1"/>
  <c r="K661" i="9"/>
  <c r="O661" i="9" s="1"/>
  <c r="K876" i="9"/>
  <c r="O876" i="9" s="1"/>
  <c r="K748" i="9"/>
  <c r="O748" i="9" s="1"/>
  <c r="K626" i="9"/>
  <c r="O626" i="9" s="1"/>
  <c r="K896" i="9"/>
  <c r="O896" i="9" s="1"/>
  <c r="K768" i="9"/>
  <c r="O768" i="9" s="1"/>
  <c r="K640" i="9"/>
  <c r="O640" i="9" s="1"/>
  <c r="K873" i="9"/>
  <c r="O873" i="9" s="1"/>
  <c r="K745" i="9"/>
  <c r="O745" i="9" s="1"/>
  <c r="K606" i="9"/>
  <c r="O606" i="9" s="1"/>
  <c r="K834" i="9"/>
  <c r="O834" i="9" s="1"/>
  <c r="K706" i="9"/>
  <c r="O706" i="9" s="1"/>
  <c r="K173" i="9"/>
  <c r="O173" i="9" s="1"/>
  <c r="K605" i="9"/>
  <c r="O605" i="9" s="1"/>
  <c r="K518" i="9"/>
  <c r="O518" i="9" s="1"/>
  <c r="K277" i="9"/>
  <c r="O277" i="9" s="1"/>
  <c r="K371" i="9"/>
  <c r="O371" i="9" s="1"/>
  <c r="K526" i="9"/>
  <c r="O526" i="9" s="1"/>
  <c r="K270" i="9"/>
  <c r="O270" i="9" s="1"/>
  <c r="K484" i="9"/>
  <c r="O484" i="9" s="1"/>
  <c r="K496" i="9"/>
  <c r="O496" i="9" s="1"/>
  <c r="K553" i="9"/>
  <c r="O553" i="9" s="1"/>
  <c r="K530" i="9"/>
  <c r="O530" i="9" s="1"/>
  <c r="K390" i="9"/>
  <c r="O390" i="9" s="1"/>
  <c r="K294" i="9"/>
  <c r="O294" i="9" s="1"/>
  <c r="K137" i="9"/>
  <c r="O137" i="9" s="1"/>
  <c r="K300" i="9"/>
  <c r="O300" i="9" s="1"/>
  <c r="K105" i="9"/>
  <c r="O105" i="9" s="1"/>
  <c r="K368" i="9"/>
  <c r="O368" i="9" s="1"/>
  <c r="K158" i="9"/>
  <c r="O158" i="9" s="1"/>
  <c r="K449" i="9"/>
  <c r="O449" i="9" s="1"/>
  <c r="K265" i="9"/>
  <c r="O265" i="9" s="1"/>
  <c r="K410" i="9"/>
  <c r="O410" i="9" s="1"/>
  <c r="K266" i="9"/>
  <c r="O266" i="9" s="1"/>
  <c r="K142" i="9"/>
  <c r="O142" i="9" s="1"/>
  <c r="K90" i="9"/>
  <c r="O90" i="9" s="1"/>
  <c r="K77" i="9"/>
  <c r="O77" i="9" s="1"/>
  <c r="K71" i="9"/>
  <c r="O71" i="9" s="1"/>
  <c r="K135" i="9"/>
  <c r="O135" i="9" s="1"/>
  <c r="D59" i="2"/>
  <c r="C59" i="2" s="1"/>
  <c r="AO74" i="2"/>
  <c r="S44" i="1" s="1"/>
  <c r="P221" i="2"/>
  <c r="Q221" i="2"/>
  <c r="N222" i="2"/>
  <c r="P46" i="2"/>
  <c r="P48" i="2"/>
  <c r="Q44" i="2"/>
  <c r="R44" i="2"/>
  <c r="P45" i="2"/>
  <c r="P58" i="2"/>
  <c r="Q56" i="2"/>
  <c r="T58" i="2"/>
  <c r="T59" i="2"/>
  <c r="T60" i="2" s="1"/>
  <c r="T61" i="2" s="1"/>
  <c r="H177" i="2"/>
  <c r="H183" i="2" s="1"/>
  <c r="J183" i="2" s="1"/>
  <c r="C20" i="1" s="1"/>
  <c r="F183" i="2"/>
  <c r="I47" i="2"/>
  <c r="H47" i="2" s="1"/>
  <c r="N31" i="1" s="1"/>
  <c r="Y790" i="2"/>
  <c r="AB790" i="2" s="1"/>
  <c r="AC790" i="2" s="1"/>
  <c r="D773" i="2" s="1"/>
  <c r="C773" i="2" s="1"/>
  <c r="AB788" i="2"/>
  <c r="AC788" i="2" s="1"/>
  <c r="D772" i="2" s="1"/>
  <c r="C772" i="2" s="1"/>
  <c r="C771" i="2"/>
  <c r="N1466" i="2"/>
  <c r="K27" i="9"/>
  <c r="O27" i="9" s="1"/>
  <c r="K149" i="9"/>
  <c r="O149" i="9" s="1"/>
  <c r="K48" i="9"/>
  <c r="O48" i="9" s="1"/>
  <c r="K33" i="9"/>
  <c r="O33" i="9" s="1"/>
  <c r="K93" i="9"/>
  <c r="O93" i="9" s="1"/>
  <c r="K53" i="9"/>
  <c r="O53" i="9" s="1"/>
  <c r="K21" i="9"/>
  <c r="O21" i="9" s="1"/>
  <c r="K151" i="9"/>
  <c r="O151" i="9" s="1"/>
  <c r="K13" i="9"/>
  <c r="O13" i="9" s="1"/>
  <c r="K104" i="9"/>
  <c r="O104" i="9" s="1"/>
  <c r="K159" i="9"/>
  <c r="O159" i="9" s="1"/>
  <c r="K50" i="9"/>
  <c r="O50" i="9" s="1"/>
  <c r="K162" i="9"/>
  <c r="O162" i="9" s="1"/>
  <c r="K155" i="9"/>
  <c r="O155" i="9" s="1"/>
  <c r="K234" i="9"/>
  <c r="O234" i="9" s="1"/>
  <c r="K298" i="9"/>
  <c r="O298" i="9" s="1"/>
  <c r="K362" i="9"/>
  <c r="O362" i="9" s="1"/>
  <c r="K426" i="9"/>
  <c r="O426" i="9" s="1"/>
  <c r="K124" i="9"/>
  <c r="O124" i="9" s="1"/>
  <c r="K225" i="9"/>
  <c r="O225" i="9" s="1"/>
  <c r="K289" i="9"/>
  <c r="O289" i="9" s="1"/>
  <c r="K353" i="9"/>
  <c r="O353" i="9" s="1"/>
  <c r="K417" i="9"/>
  <c r="O417" i="9" s="1"/>
  <c r="K19" i="9"/>
  <c r="O19" i="9" s="1"/>
  <c r="K76" i="9"/>
  <c r="O76" i="9" s="1"/>
  <c r="K203" i="9"/>
  <c r="O203" i="9" s="1"/>
  <c r="K264" i="9"/>
  <c r="O264" i="9" s="1"/>
  <c r="K328" i="9"/>
  <c r="O328" i="9" s="1"/>
  <c r="K392" i="9"/>
  <c r="O392" i="9" s="1"/>
  <c r="K456" i="9"/>
  <c r="O456" i="9" s="1"/>
  <c r="K78" i="9"/>
  <c r="O78" i="9" s="1"/>
  <c r="K181" i="9"/>
  <c r="O181" i="9" s="1"/>
  <c r="K252" i="9"/>
  <c r="O252" i="9" s="1"/>
  <c r="K316" i="9"/>
  <c r="O316" i="9" s="1"/>
  <c r="K380" i="9"/>
  <c r="O380" i="9" s="1"/>
  <c r="K444" i="9"/>
  <c r="O444" i="9" s="1"/>
  <c r="K164" i="9"/>
  <c r="O164" i="9" s="1"/>
  <c r="K230" i="9"/>
  <c r="O230" i="9" s="1"/>
  <c r="K271" i="9"/>
  <c r="O271" i="9" s="1"/>
  <c r="K317" i="9"/>
  <c r="O317" i="9" s="1"/>
  <c r="K358" i="9"/>
  <c r="O358" i="9" s="1"/>
  <c r="K399" i="9"/>
  <c r="O399" i="9" s="1"/>
  <c r="K445" i="9"/>
  <c r="O445" i="9" s="1"/>
  <c r="K490" i="9"/>
  <c r="O490" i="9" s="1"/>
  <c r="K554" i="9"/>
  <c r="O554" i="9" s="1"/>
  <c r="K97" i="9"/>
  <c r="O97" i="9" s="1"/>
  <c r="K521" i="9"/>
  <c r="O521" i="9" s="1"/>
  <c r="K585" i="9"/>
  <c r="O585" i="9" s="1"/>
  <c r="K187" i="9"/>
  <c r="O187" i="9" s="1"/>
  <c r="K512" i="9"/>
  <c r="O512" i="9" s="1"/>
  <c r="K576" i="9"/>
  <c r="O576" i="9" s="1"/>
  <c r="K154" i="9"/>
  <c r="O154" i="9" s="1"/>
  <c r="K508" i="9"/>
  <c r="O508" i="9" s="1"/>
  <c r="K572" i="9"/>
  <c r="O572" i="9" s="1"/>
  <c r="K29" i="9"/>
  <c r="O29" i="9" s="1"/>
  <c r="K347" i="9"/>
  <c r="O347" i="9" s="1"/>
  <c r="K494" i="9"/>
  <c r="O494" i="9" s="1"/>
  <c r="K535" i="9"/>
  <c r="O535" i="9" s="1"/>
  <c r="K581" i="9"/>
  <c r="O581" i="9" s="1"/>
  <c r="K247" i="9"/>
  <c r="O247" i="9" s="1"/>
  <c r="K446" i="9"/>
  <c r="O446" i="9" s="1"/>
  <c r="K185" i="9"/>
  <c r="O185" i="9" s="1"/>
  <c r="K391" i="9"/>
  <c r="O391" i="9" s="1"/>
  <c r="K495" i="9"/>
  <c r="O495" i="9" s="1"/>
  <c r="K541" i="9"/>
  <c r="O541" i="9" s="1"/>
  <c r="K582" i="9"/>
  <c r="O582" i="9" s="1"/>
  <c r="K227" i="9"/>
  <c r="O227" i="9" s="1"/>
  <c r="K379" i="9"/>
  <c r="O379" i="9" s="1"/>
  <c r="K563" i="9"/>
  <c r="O563" i="9" s="1"/>
  <c r="K674" i="9"/>
  <c r="O674" i="9" s="1"/>
  <c r="K738" i="9"/>
  <c r="O738" i="9" s="1"/>
  <c r="K802" i="9"/>
  <c r="O802" i="9" s="1"/>
  <c r="K75" i="9"/>
  <c r="O75" i="9" s="1"/>
  <c r="K421" i="9"/>
  <c r="O421" i="9" s="1"/>
  <c r="K649" i="9"/>
  <c r="O649" i="9" s="1"/>
  <c r="K713" i="9"/>
  <c r="O713" i="9" s="1"/>
  <c r="K777" i="9"/>
  <c r="O777" i="9" s="1"/>
  <c r="K841" i="9"/>
  <c r="O841" i="9" s="1"/>
  <c r="K905" i="9"/>
  <c r="O905" i="9" s="1"/>
  <c r="K475" i="9"/>
  <c r="O475" i="9" s="1"/>
  <c r="K672" i="9"/>
  <c r="O672" i="9" s="1"/>
  <c r="K736" i="9"/>
  <c r="O736" i="9" s="1"/>
  <c r="K800" i="9"/>
  <c r="O800" i="9" s="1"/>
  <c r="K864" i="9"/>
  <c r="O864" i="9" s="1"/>
  <c r="K89" i="9"/>
  <c r="O89" i="9" s="1"/>
  <c r="K539" i="9"/>
  <c r="O539" i="9" s="1"/>
  <c r="K652" i="9"/>
  <c r="O652" i="9" s="1"/>
  <c r="K716" i="9"/>
  <c r="O716" i="9" s="1"/>
  <c r="K780" i="9"/>
  <c r="O780" i="9" s="1"/>
  <c r="K844" i="9"/>
  <c r="O844" i="9" s="1"/>
  <c r="K908" i="9"/>
  <c r="O908" i="9" s="1"/>
  <c r="K638" i="9"/>
  <c r="O638" i="9" s="1"/>
  <c r="K679" i="9"/>
  <c r="O679" i="9" s="1"/>
  <c r="K725" i="9"/>
  <c r="O725" i="9" s="1"/>
  <c r="K766" i="9"/>
  <c r="O766" i="9" s="1"/>
  <c r="K807" i="9"/>
  <c r="O807" i="9" s="1"/>
  <c r="K853" i="9"/>
  <c r="O853" i="9" s="1"/>
  <c r="K869" i="9"/>
  <c r="O869" i="9" s="1"/>
  <c r="K523" i="9"/>
  <c r="O523" i="9" s="1"/>
  <c r="K910" i="9"/>
  <c r="O910" i="9" s="1"/>
  <c r="K443" i="9"/>
  <c r="O443" i="9" s="1"/>
  <c r="K755" i="9"/>
  <c r="O755" i="9" s="1"/>
  <c r="K867" i="9"/>
  <c r="O867" i="9" s="1"/>
  <c r="K921" i="9"/>
  <c r="O921" i="9" s="1"/>
  <c r="K979" i="9"/>
  <c r="O979" i="9" s="1"/>
  <c r="K1043" i="9"/>
  <c r="O1043" i="9" s="1"/>
  <c r="K914" i="9"/>
  <c r="O914" i="9" s="1"/>
  <c r="K1002" i="9"/>
  <c r="O1002" i="9" s="1"/>
  <c r="K1066" i="9"/>
  <c r="O1066" i="9" s="1"/>
  <c r="K715" i="9"/>
  <c r="O715" i="9" s="1"/>
  <c r="K843" i="9"/>
  <c r="O843" i="9" s="1"/>
  <c r="K977" i="9"/>
  <c r="O977" i="9" s="1"/>
  <c r="K1041" i="9"/>
  <c r="O1041" i="9" s="1"/>
  <c r="K635" i="9"/>
  <c r="O635" i="9" s="1"/>
  <c r="K763" i="9"/>
  <c r="O763" i="9" s="1"/>
  <c r="K891" i="9"/>
  <c r="O891" i="9" s="1"/>
  <c r="K973" i="9"/>
  <c r="O973" i="9" s="1"/>
  <c r="K1037" i="9"/>
  <c r="O1037" i="9" s="1"/>
  <c r="K579" i="9"/>
  <c r="O579" i="9" s="1"/>
  <c r="K749" i="9"/>
  <c r="O749" i="9" s="1"/>
  <c r="K883" i="9"/>
  <c r="O883" i="9" s="1"/>
  <c r="K1004" i="9"/>
  <c r="O1004" i="9" s="1"/>
  <c r="K1068" i="9"/>
  <c r="O1068" i="9" s="1"/>
  <c r="K929" i="9"/>
  <c r="O929" i="9" s="1"/>
  <c r="K797" i="9"/>
  <c r="O797" i="9" s="1"/>
  <c r="K1024" i="9"/>
  <c r="O1024" i="9" s="1"/>
  <c r="K998" i="9"/>
  <c r="O998" i="9" s="1"/>
  <c r="K953" i="9"/>
  <c r="O953" i="9" s="1"/>
  <c r="K765" i="9"/>
  <c r="O765" i="9" s="1"/>
  <c r="K927" i="9"/>
  <c r="O927" i="9" s="1"/>
  <c r="K887" i="9"/>
  <c r="O887" i="9" s="1"/>
  <c r="K1006" i="9"/>
  <c r="O1006" i="9" s="1"/>
  <c r="K1016" i="9"/>
  <c r="O1016" i="9" s="1"/>
  <c r="K1038" i="9"/>
  <c r="O1038" i="9" s="1"/>
  <c r="K199" i="9"/>
  <c r="O199" i="9" s="1"/>
  <c r="K441" i="9"/>
  <c r="O441" i="9" s="1"/>
  <c r="K416" i="9"/>
  <c r="O416" i="9" s="1"/>
  <c r="K276" i="9"/>
  <c r="O276" i="9" s="1"/>
  <c r="K246" i="9"/>
  <c r="O246" i="9" s="1"/>
  <c r="K415" i="9"/>
  <c r="O415" i="9" s="1"/>
  <c r="K481" i="9"/>
  <c r="O481" i="9" s="1"/>
  <c r="K536" i="9"/>
  <c r="O536" i="9" s="1"/>
  <c r="K596" i="9"/>
  <c r="O596" i="9" s="1"/>
  <c r="K551" i="9"/>
  <c r="O551" i="9" s="1"/>
  <c r="K7" i="9"/>
  <c r="O7" i="9" s="1"/>
  <c r="K35" i="9"/>
  <c r="O35" i="9" s="1"/>
  <c r="K95" i="9"/>
  <c r="O95" i="9" s="1"/>
  <c r="K157" i="9"/>
  <c r="O157" i="9" s="1"/>
  <c r="K56" i="9"/>
  <c r="O56" i="9" s="1"/>
  <c r="K39" i="9"/>
  <c r="O39" i="9" s="1"/>
  <c r="K101" i="9"/>
  <c r="O101" i="9" s="1"/>
  <c r="K59" i="9"/>
  <c r="O59" i="9" s="1"/>
  <c r="K36" i="9"/>
  <c r="O36" i="9" s="1"/>
  <c r="K156" i="9"/>
  <c r="O156" i="9" s="1"/>
  <c r="K30" i="9"/>
  <c r="O30" i="9" s="1"/>
  <c r="K110" i="9"/>
  <c r="O110" i="9" s="1"/>
  <c r="K167" i="9"/>
  <c r="O167" i="9" s="1"/>
  <c r="K62" i="9"/>
  <c r="O62" i="9" s="1"/>
  <c r="K170" i="9"/>
  <c r="O170" i="9" s="1"/>
  <c r="K165" i="9"/>
  <c r="O165" i="9" s="1"/>
  <c r="K242" i="9"/>
  <c r="O242" i="9" s="1"/>
  <c r="K306" i="9"/>
  <c r="O306" i="9" s="1"/>
  <c r="K370" i="9"/>
  <c r="O370" i="9" s="1"/>
  <c r="K434" i="9"/>
  <c r="O434" i="9" s="1"/>
  <c r="K140" i="9"/>
  <c r="O140" i="9" s="1"/>
  <c r="K233" i="9"/>
  <c r="O233" i="9" s="1"/>
  <c r="K297" i="9"/>
  <c r="O297" i="9" s="1"/>
  <c r="K361" i="9"/>
  <c r="O361" i="9" s="1"/>
  <c r="K425" i="9"/>
  <c r="O425" i="9" s="1"/>
  <c r="K23" i="9"/>
  <c r="O23" i="9" s="1"/>
  <c r="K92" i="9"/>
  <c r="O92" i="9" s="1"/>
  <c r="K208" i="9"/>
  <c r="O208" i="9" s="1"/>
  <c r="K272" i="9"/>
  <c r="O272" i="9" s="1"/>
  <c r="K336" i="9"/>
  <c r="O336" i="9" s="1"/>
  <c r="K400" i="9"/>
  <c r="O400" i="9" s="1"/>
  <c r="K464" i="9"/>
  <c r="O464" i="9" s="1"/>
  <c r="K82" i="9"/>
  <c r="O82" i="9" s="1"/>
  <c r="K200" i="9"/>
  <c r="O200" i="9" s="1"/>
  <c r="K260" i="9"/>
  <c r="O260" i="9" s="1"/>
  <c r="K324" i="9"/>
  <c r="O324" i="9" s="1"/>
  <c r="K388" i="9"/>
  <c r="O388" i="9" s="1"/>
  <c r="K452" i="9"/>
  <c r="O452" i="9" s="1"/>
  <c r="K179" i="9"/>
  <c r="O179" i="9" s="1"/>
  <c r="K237" i="9"/>
  <c r="O237" i="9" s="1"/>
  <c r="K278" i="9"/>
  <c r="O278" i="9" s="1"/>
  <c r="K319" i="9"/>
  <c r="O319" i="9" s="1"/>
  <c r="K365" i="9"/>
  <c r="O365" i="9" s="1"/>
  <c r="K406" i="9"/>
  <c r="O406" i="9" s="1"/>
  <c r="K447" i="9"/>
  <c r="O447" i="9" s="1"/>
  <c r="K498" i="9"/>
  <c r="O498" i="9" s="1"/>
  <c r="K562" i="9"/>
  <c r="O562" i="9" s="1"/>
  <c r="K128" i="9"/>
  <c r="O128" i="9" s="1"/>
  <c r="K529" i="9"/>
  <c r="O529" i="9" s="1"/>
  <c r="K593" i="9"/>
  <c r="O593" i="9" s="1"/>
  <c r="K190" i="9"/>
  <c r="O190" i="9" s="1"/>
  <c r="K520" i="9"/>
  <c r="O520" i="9" s="1"/>
  <c r="K584" i="9"/>
  <c r="O584" i="9" s="1"/>
  <c r="K188" i="9"/>
  <c r="O188" i="9" s="1"/>
  <c r="K516" i="9"/>
  <c r="O516" i="9" s="1"/>
  <c r="K580" i="9"/>
  <c r="O580" i="9" s="1"/>
  <c r="K126" i="9"/>
  <c r="O126" i="9" s="1"/>
  <c r="K398" i="9"/>
  <c r="O398" i="9" s="1"/>
  <c r="K501" i="9"/>
  <c r="O501" i="9" s="1"/>
  <c r="K542" i="9"/>
  <c r="O542" i="9" s="1"/>
  <c r="K583" i="9"/>
  <c r="O583" i="9" s="1"/>
  <c r="K261" i="9"/>
  <c r="O261" i="9" s="1"/>
  <c r="K615" i="9"/>
  <c r="O615" i="9" s="1"/>
  <c r="K206" i="9"/>
  <c r="O206" i="9" s="1"/>
  <c r="K405" i="9"/>
  <c r="O405" i="9" s="1"/>
  <c r="K502" i="9"/>
  <c r="O502" i="9" s="1"/>
  <c r="K543" i="9"/>
  <c r="O543" i="9" s="1"/>
  <c r="K589" i="9"/>
  <c r="O589" i="9" s="1"/>
  <c r="K231" i="9"/>
  <c r="O231" i="9" s="1"/>
  <c r="K430" i="9"/>
  <c r="O430" i="9" s="1"/>
  <c r="K625" i="9"/>
  <c r="O625" i="9" s="1"/>
  <c r="K682" i="9"/>
  <c r="O682" i="9" s="1"/>
  <c r="K746" i="9"/>
  <c r="O746" i="9" s="1"/>
  <c r="K810" i="9"/>
  <c r="O810" i="9" s="1"/>
  <c r="K211" i="9"/>
  <c r="O211" i="9" s="1"/>
  <c r="K467" i="9"/>
  <c r="O467" i="9" s="1"/>
  <c r="K657" i="9"/>
  <c r="O657" i="9" s="1"/>
  <c r="K721" i="9"/>
  <c r="O721" i="9" s="1"/>
  <c r="K785" i="9"/>
  <c r="O785" i="9" s="1"/>
  <c r="K849" i="9"/>
  <c r="O849" i="9" s="1"/>
  <c r="K222" i="9"/>
  <c r="O222" i="9" s="1"/>
  <c r="K531" i="9"/>
  <c r="O531" i="9" s="1"/>
  <c r="K680" i="9"/>
  <c r="O680" i="9" s="1"/>
  <c r="K744" i="9"/>
  <c r="O744" i="9" s="1"/>
  <c r="K808" i="9"/>
  <c r="O808" i="9" s="1"/>
  <c r="K872" i="9"/>
  <c r="O872" i="9" s="1"/>
  <c r="K235" i="9"/>
  <c r="O235" i="9" s="1"/>
  <c r="K595" i="9"/>
  <c r="O595" i="9" s="1"/>
  <c r="K660" i="9"/>
  <c r="O660" i="9" s="1"/>
  <c r="K724" i="9"/>
  <c r="O724" i="9" s="1"/>
  <c r="K788" i="9"/>
  <c r="O788" i="9" s="1"/>
  <c r="K852" i="9"/>
  <c r="O852" i="9" s="1"/>
  <c r="K916" i="9"/>
  <c r="O916" i="9" s="1"/>
  <c r="K645" i="9"/>
  <c r="O645" i="9" s="1"/>
  <c r="K686" i="9"/>
  <c r="O686" i="9" s="1"/>
  <c r="K727" i="9"/>
  <c r="O727" i="9" s="1"/>
  <c r="K773" i="9"/>
  <c r="O773" i="9" s="1"/>
  <c r="K814" i="9"/>
  <c r="O814" i="9" s="1"/>
  <c r="K855" i="9"/>
  <c r="O855" i="9" s="1"/>
  <c r="K902" i="9"/>
  <c r="O902" i="9" s="1"/>
  <c r="K618" i="9"/>
  <c r="O618" i="9" s="1"/>
  <c r="K913" i="9"/>
  <c r="O913" i="9" s="1"/>
  <c r="K643" i="9"/>
  <c r="O643" i="9" s="1"/>
  <c r="K771" i="9"/>
  <c r="O771" i="9" s="1"/>
  <c r="K885" i="9"/>
  <c r="O885" i="9" s="1"/>
  <c r="K923" i="9"/>
  <c r="O923" i="9" s="1"/>
  <c r="K987" i="9"/>
  <c r="O987" i="9" s="1"/>
  <c r="K1051" i="9"/>
  <c r="O1051" i="9" s="1"/>
  <c r="K946" i="9"/>
  <c r="O946" i="9" s="1"/>
  <c r="K1010" i="9"/>
  <c r="O1010" i="9" s="1"/>
  <c r="K1074" i="9"/>
  <c r="O1074" i="9" s="1"/>
  <c r="K742" i="9"/>
  <c r="O742" i="9" s="1"/>
  <c r="K878" i="9"/>
  <c r="O878" i="9" s="1"/>
  <c r="K985" i="9"/>
  <c r="O985" i="9" s="1"/>
  <c r="K1049" i="9"/>
  <c r="O1049" i="9" s="1"/>
  <c r="K662" i="9"/>
  <c r="O662" i="9" s="1"/>
  <c r="K790" i="9"/>
  <c r="O790" i="9" s="1"/>
  <c r="K899" i="9"/>
  <c r="O899" i="9" s="1"/>
  <c r="K981" i="9"/>
  <c r="O981" i="9" s="1"/>
  <c r="K1045" i="9"/>
  <c r="O1045" i="9" s="1"/>
  <c r="K639" i="9"/>
  <c r="O639" i="9" s="1"/>
  <c r="K767" i="9"/>
  <c r="O767" i="9" s="1"/>
  <c r="K942" i="9"/>
  <c r="O942" i="9" s="1"/>
  <c r="K1012" i="9"/>
  <c r="O1012" i="9" s="1"/>
  <c r="K1076" i="9"/>
  <c r="O1076" i="9" s="1"/>
  <c r="K982" i="9"/>
  <c r="O982" i="9" s="1"/>
  <c r="K847" i="9"/>
  <c r="O847" i="9" s="1"/>
  <c r="K1055" i="9"/>
  <c r="O1055" i="9" s="1"/>
  <c r="K1000" i="9"/>
  <c r="O1000" i="9" s="1"/>
  <c r="K966" i="9"/>
  <c r="O966" i="9" s="1"/>
  <c r="K815" i="9"/>
  <c r="O815" i="9" s="1"/>
  <c r="K938" i="9"/>
  <c r="O938" i="9" s="1"/>
  <c r="K945" i="9"/>
  <c r="O945" i="9" s="1"/>
  <c r="K1040" i="9"/>
  <c r="O1040" i="9" s="1"/>
  <c r="K1071" i="9"/>
  <c r="O1071" i="9" s="1"/>
  <c r="K587" i="9"/>
  <c r="O587" i="9" s="1"/>
  <c r="K100" i="9"/>
  <c r="O100" i="9" s="1"/>
  <c r="K377" i="9"/>
  <c r="O377" i="9" s="1"/>
  <c r="K352" i="9"/>
  <c r="O352" i="9" s="1"/>
  <c r="K404" i="9"/>
  <c r="O404" i="9" s="1"/>
  <c r="K287" i="9"/>
  <c r="O287" i="9" s="1"/>
  <c r="K461" i="9"/>
  <c r="O461" i="9" s="1"/>
  <c r="K545" i="9"/>
  <c r="O545" i="9" s="1"/>
  <c r="K600" i="9"/>
  <c r="O600" i="9" s="1"/>
  <c r="K219" i="9"/>
  <c r="O219" i="9" s="1"/>
  <c r="K597" i="9"/>
  <c r="O597" i="9" s="1"/>
  <c r="K15" i="9"/>
  <c r="O15" i="9" s="1"/>
  <c r="K41" i="9"/>
  <c r="O41" i="9" s="1"/>
  <c r="K103" i="9"/>
  <c r="O103" i="9" s="1"/>
  <c r="K2" i="9"/>
  <c r="O2" i="9" s="1"/>
  <c r="K64" i="9"/>
  <c r="O64" i="9" s="1"/>
  <c r="K47" i="9"/>
  <c r="O47" i="9" s="1"/>
  <c r="K109" i="9"/>
  <c r="O109" i="9" s="1"/>
  <c r="K74" i="9"/>
  <c r="O74" i="9" s="1"/>
  <c r="K46" i="9"/>
  <c r="O46" i="9" s="1"/>
  <c r="K160" i="9"/>
  <c r="O160" i="9" s="1"/>
  <c r="K113" i="9"/>
  <c r="O113" i="9" s="1"/>
  <c r="K175" i="9"/>
  <c r="O175" i="9" s="1"/>
  <c r="K84" i="9"/>
  <c r="O84" i="9" s="1"/>
  <c r="K178" i="9"/>
  <c r="O178" i="9" s="1"/>
  <c r="K174" i="9"/>
  <c r="O174" i="9" s="1"/>
  <c r="K250" i="9"/>
  <c r="O250" i="9" s="1"/>
  <c r="K314" i="9"/>
  <c r="O314" i="9" s="1"/>
  <c r="K378" i="9"/>
  <c r="O378" i="9" s="1"/>
  <c r="K442" i="9"/>
  <c r="O442" i="9" s="1"/>
  <c r="K171" i="9"/>
  <c r="O171" i="9" s="1"/>
  <c r="K241" i="9"/>
  <c r="O241" i="9" s="1"/>
  <c r="K305" i="9"/>
  <c r="O305" i="9" s="1"/>
  <c r="K369" i="9"/>
  <c r="O369" i="9" s="1"/>
  <c r="K433" i="9"/>
  <c r="O433" i="9" s="1"/>
  <c r="K28" i="9"/>
  <c r="O28" i="9" s="1"/>
  <c r="K120" i="9"/>
  <c r="O120" i="9" s="1"/>
  <c r="K216" i="9"/>
  <c r="O216" i="9" s="1"/>
  <c r="K280" i="9"/>
  <c r="O280" i="9" s="1"/>
  <c r="K344" i="9"/>
  <c r="O344" i="9" s="1"/>
  <c r="K408" i="9"/>
  <c r="O408" i="9" s="1"/>
  <c r="K472" i="9"/>
  <c r="O472" i="9" s="1"/>
  <c r="K85" i="9"/>
  <c r="O85" i="9" s="1"/>
  <c r="K205" i="9"/>
  <c r="O205" i="9" s="1"/>
  <c r="K268" i="9"/>
  <c r="O268" i="9" s="1"/>
  <c r="K332" i="9"/>
  <c r="O332" i="9" s="1"/>
  <c r="K396" i="9"/>
  <c r="O396" i="9" s="1"/>
  <c r="K460" i="9"/>
  <c r="O460" i="9" s="1"/>
  <c r="K239" i="9"/>
  <c r="O239" i="9" s="1"/>
  <c r="K285" i="9"/>
  <c r="O285" i="9" s="1"/>
  <c r="K326" i="9"/>
  <c r="O326" i="9" s="1"/>
  <c r="K367" i="9"/>
  <c r="O367" i="9" s="1"/>
  <c r="K413" i="9"/>
  <c r="O413" i="9" s="1"/>
  <c r="K454" i="9"/>
  <c r="O454" i="9" s="1"/>
  <c r="K506" i="9"/>
  <c r="O506" i="9" s="1"/>
  <c r="K570" i="9"/>
  <c r="O570" i="9" s="1"/>
  <c r="K152" i="9"/>
  <c r="O152" i="9" s="1"/>
  <c r="K537" i="9"/>
  <c r="O537" i="9" s="1"/>
  <c r="K601" i="9"/>
  <c r="O601" i="9" s="1"/>
  <c r="K197" i="9"/>
  <c r="O197" i="9" s="1"/>
  <c r="K528" i="9"/>
  <c r="O528" i="9" s="1"/>
  <c r="K592" i="9"/>
  <c r="O592" i="9" s="1"/>
  <c r="K191" i="9"/>
  <c r="O191" i="9" s="1"/>
  <c r="K524" i="9"/>
  <c r="O524" i="9" s="1"/>
  <c r="K588" i="9"/>
  <c r="O588" i="9" s="1"/>
  <c r="K213" i="9"/>
  <c r="O213" i="9" s="1"/>
  <c r="K451" i="9"/>
  <c r="O451" i="9" s="1"/>
  <c r="K503" i="9"/>
  <c r="O503" i="9" s="1"/>
  <c r="K549" i="9"/>
  <c r="O549" i="9" s="1"/>
  <c r="K590" i="9"/>
  <c r="O590" i="9" s="1"/>
  <c r="K267" i="9"/>
  <c r="O267" i="9" s="1"/>
  <c r="K624" i="9"/>
  <c r="O624" i="9" s="1"/>
  <c r="K259" i="9"/>
  <c r="O259" i="9" s="1"/>
  <c r="K411" i="9"/>
  <c r="O411" i="9" s="1"/>
  <c r="K509" i="9"/>
  <c r="O509" i="9" s="1"/>
  <c r="K550" i="9"/>
  <c r="O550" i="9" s="1"/>
  <c r="K591" i="9"/>
  <c r="O591" i="9" s="1"/>
  <c r="K245" i="9"/>
  <c r="O245" i="9" s="1"/>
  <c r="K617" i="9"/>
  <c r="O617" i="9" s="1"/>
  <c r="K630" i="9"/>
  <c r="O630" i="9" s="1"/>
  <c r="K690" i="9"/>
  <c r="O690" i="9" s="1"/>
  <c r="K754" i="9"/>
  <c r="O754" i="9" s="1"/>
  <c r="K818" i="9"/>
  <c r="O818" i="9" s="1"/>
  <c r="K229" i="9"/>
  <c r="O229" i="9" s="1"/>
  <c r="K491" i="9"/>
  <c r="O491" i="9" s="1"/>
  <c r="K665" i="9"/>
  <c r="O665" i="9" s="1"/>
  <c r="K729" i="9"/>
  <c r="O729" i="9" s="1"/>
  <c r="K793" i="9"/>
  <c r="O793" i="9" s="1"/>
  <c r="K857" i="9"/>
  <c r="O857" i="9" s="1"/>
  <c r="K238" i="9"/>
  <c r="O238" i="9" s="1"/>
  <c r="K603" i="9"/>
  <c r="O603" i="9" s="1"/>
  <c r="K688" i="9"/>
  <c r="O688" i="9" s="1"/>
  <c r="K752" i="9"/>
  <c r="O752" i="9" s="1"/>
  <c r="K816" i="9"/>
  <c r="O816" i="9" s="1"/>
  <c r="K880" i="9"/>
  <c r="O880" i="9" s="1"/>
  <c r="K275" i="9"/>
  <c r="O275" i="9" s="1"/>
  <c r="K614" i="9"/>
  <c r="O614" i="9" s="1"/>
  <c r="K668" i="9"/>
  <c r="O668" i="9" s="1"/>
  <c r="K732" i="9"/>
  <c r="O732" i="9" s="1"/>
  <c r="K796" i="9"/>
  <c r="O796" i="9" s="1"/>
  <c r="K860" i="9"/>
  <c r="O860" i="9" s="1"/>
  <c r="K924" i="9"/>
  <c r="O924" i="9" s="1"/>
  <c r="K647" i="9"/>
  <c r="O647" i="9" s="1"/>
  <c r="K693" i="9"/>
  <c r="O693" i="9" s="1"/>
  <c r="K734" i="9"/>
  <c r="O734" i="9" s="1"/>
  <c r="K775" i="9"/>
  <c r="O775" i="9" s="1"/>
  <c r="K821" i="9"/>
  <c r="O821" i="9" s="1"/>
  <c r="K166" i="9"/>
  <c r="O166" i="9" s="1"/>
  <c r="K906" i="9"/>
  <c r="O906" i="9" s="1"/>
  <c r="K621" i="9"/>
  <c r="O621" i="9" s="1"/>
  <c r="K919" i="9"/>
  <c r="O919" i="9" s="1"/>
  <c r="K659" i="9"/>
  <c r="O659" i="9" s="1"/>
  <c r="K787" i="9"/>
  <c r="O787" i="9" s="1"/>
  <c r="K907" i="9"/>
  <c r="O907" i="9" s="1"/>
  <c r="K931" i="9"/>
  <c r="O931" i="9" s="1"/>
  <c r="K995" i="9"/>
  <c r="O995" i="9" s="1"/>
  <c r="K1059" i="9"/>
  <c r="O1059" i="9" s="1"/>
  <c r="K955" i="9"/>
  <c r="O955" i="9" s="1"/>
  <c r="K1018" i="9"/>
  <c r="O1018" i="9" s="1"/>
  <c r="K471" i="9"/>
  <c r="O471" i="9" s="1"/>
  <c r="K747" i="9"/>
  <c r="O747" i="9" s="1"/>
  <c r="K926" i="9"/>
  <c r="O926" i="9" s="1"/>
  <c r="K993" i="9"/>
  <c r="O993" i="9" s="1"/>
  <c r="K1057" i="9"/>
  <c r="O1057" i="9" s="1"/>
  <c r="K667" i="9"/>
  <c r="O667" i="9" s="1"/>
  <c r="K795" i="9"/>
  <c r="O795" i="9" s="1"/>
  <c r="K911" i="9"/>
  <c r="O911" i="9" s="1"/>
  <c r="K989" i="9"/>
  <c r="O989" i="9" s="1"/>
  <c r="K1053" i="9"/>
  <c r="O1053" i="9" s="1"/>
  <c r="K653" i="9"/>
  <c r="O653" i="9" s="1"/>
  <c r="K781" i="9"/>
  <c r="O781" i="9" s="1"/>
  <c r="K956" i="9"/>
  <c r="O956" i="9" s="1"/>
  <c r="K1020" i="9"/>
  <c r="O1020" i="9" s="1"/>
  <c r="K98" i="9"/>
  <c r="O98" i="9" s="1"/>
  <c r="K984" i="9"/>
  <c r="O984" i="9" s="1"/>
  <c r="K917" i="9"/>
  <c r="O917" i="9" s="1"/>
  <c r="K701" i="9"/>
  <c r="O701" i="9" s="1"/>
  <c r="K1031" i="9"/>
  <c r="O1031" i="9" s="1"/>
  <c r="K968" i="9"/>
  <c r="O968" i="9" s="1"/>
  <c r="K1007" i="9"/>
  <c r="O1007" i="9" s="1"/>
  <c r="K959" i="9"/>
  <c r="O959" i="9" s="1"/>
  <c r="K1008" i="9"/>
  <c r="O1008" i="9" s="1"/>
  <c r="K291" i="9"/>
  <c r="O291" i="9" s="1"/>
  <c r="K655" i="9"/>
  <c r="O655" i="9" s="1"/>
  <c r="K1047" i="9"/>
  <c r="O1047" i="9" s="1"/>
  <c r="K43" i="9"/>
  <c r="O43" i="9" s="1"/>
  <c r="K180" i="9"/>
  <c r="O180" i="9" s="1"/>
  <c r="K129" i="9"/>
  <c r="O129" i="9" s="1"/>
  <c r="K32" i="9"/>
  <c r="O32" i="9" s="1"/>
  <c r="K212" i="9"/>
  <c r="O212" i="9" s="1"/>
  <c r="K468" i="9"/>
  <c r="O468" i="9" s="1"/>
  <c r="K374" i="9"/>
  <c r="O374" i="9" s="1"/>
  <c r="K578" i="9"/>
  <c r="O578" i="9" s="1"/>
  <c r="K202" i="9"/>
  <c r="O202" i="9" s="1"/>
  <c r="K532" i="9"/>
  <c r="O532" i="9" s="1"/>
  <c r="K510" i="9"/>
  <c r="O510" i="9" s="1"/>
  <c r="K17" i="9"/>
  <c r="O17" i="9" s="1"/>
  <c r="K81" i="9"/>
  <c r="O81" i="9" s="1"/>
  <c r="K40" i="9"/>
  <c r="O40" i="9" s="1"/>
  <c r="K25" i="9"/>
  <c r="O25" i="9" s="1"/>
  <c r="K87" i="9"/>
  <c r="O87" i="9" s="1"/>
  <c r="K44" i="9"/>
  <c r="O44" i="9" s="1"/>
  <c r="K16" i="9"/>
  <c r="O16" i="9" s="1"/>
  <c r="K141" i="9"/>
  <c r="O141" i="9" s="1"/>
  <c r="K198" i="9"/>
  <c r="O198" i="9" s="1"/>
  <c r="K99" i="9"/>
  <c r="O99" i="9" s="1"/>
  <c r="K147" i="9"/>
  <c r="O147" i="9" s="1"/>
  <c r="K37" i="9"/>
  <c r="O37" i="9" s="1"/>
  <c r="K153" i="9"/>
  <c r="O153" i="9" s="1"/>
  <c r="K143" i="9"/>
  <c r="O143" i="9" s="1"/>
  <c r="K226" i="9"/>
  <c r="O226" i="9" s="1"/>
  <c r="K290" i="9"/>
  <c r="O290" i="9" s="1"/>
  <c r="K354" i="9"/>
  <c r="O354" i="9" s="1"/>
  <c r="K418" i="9"/>
  <c r="O418" i="9" s="1"/>
  <c r="K115" i="9"/>
  <c r="O115" i="9" s="1"/>
  <c r="K217" i="9"/>
  <c r="O217" i="9" s="1"/>
  <c r="K281" i="9"/>
  <c r="O281" i="9" s="1"/>
  <c r="K345" i="9"/>
  <c r="O345" i="9" s="1"/>
  <c r="K409" i="9"/>
  <c r="O409" i="9" s="1"/>
  <c r="K473" i="9"/>
  <c r="O473" i="9" s="1"/>
  <c r="K69" i="9"/>
  <c r="O69" i="9" s="1"/>
  <c r="K177" i="9"/>
  <c r="O177" i="9" s="1"/>
  <c r="K256" i="9"/>
  <c r="O256" i="9" s="1"/>
  <c r="K320" i="9"/>
  <c r="O320" i="9" s="1"/>
  <c r="K384" i="9"/>
  <c r="O384" i="9" s="1"/>
  <c r="K448" i="9"/>
  <c r="O448" i="9" s="1"/>
  <c r="K67" i="9"/>
  <c r="O67" i="9" s="1"/>
  <c r="K172" i="9"/>
  <c r="O172" i="9" s="1"/>
  <c r="K244" i="9"/>
  <c r="O244" i="9" s="1"/>
  <c r="K308" i="9"/>
  <c r="O308" i="9" s="1"/>
  <c r="K372" i="9"/>
  <c r="O372" i="9" s="1"/>
  <c r="K436" i="9"/>
  <c r="O436" i="9" s="1"/>
  <c r="K161" i="9"/>
  <c r="O161" i="9" s="1"/>
  <c r="K223" i="9"/>
  <c r="O223" i="9" s="1"/>
  <c r="K269" i="9"/>
  <c r="O269" i="9" s="1"/>
  <c r="K310" i="9"/>
  <c r="O310" i="9" s="1"/>
  <c r="K351" i="9"/>
  <c r="O351" i="9" s="1"/>
  <c r="K397" i="9"/>
  <c r="O397" i="9" s="1"/>
  <c r="K438" i="9"/>
  <c r="O438" i="9" s="1"/>
  <c r="K482" i="9"/>
  <c r="O482" i="9" s="1"/>
  <c r="K546" i="9"/>
  <c r="O546" i="9" s="1"/>
  <c r="K610" i="9"/>
  <c r="O610" i="9" s="1"/>
  <c r="K513" i="9"/>
  <c r="O513" i="9" s="1"/>
  <c r="K577" i="9"/>
  <c r="O577" i="9" s="1"/>
  <c r="K169" i="9"/>
  <c r="O169" i="9" s="1"/>
  <c r="K504" i="9"/>
  <c r="O504" i="9" s="1"/>
  <c r="K568" i="9"/>
  <c r="O568" i="9" s="1"/>
  <c r="K118" i="9"/>
  <c r="O118" i="9" s="1"/>
  <c r="K500" i="9"/>
  <c r="O500" i="9" s="1"/>
  <c r="K564" i="9"/>
  <c r="O564" i="9" s="1"/>
  <c r="K12" i="9"/>
  <c r="O12" i="9" s="1"/>
  <c r="K341" i="9"/>
  <c r="O341" i="9" s="1"/>
  <c r="K487" i="9"/>
  <c r="O487" i="9" s="1"/>
  <c r="K533" i="9"/>
  <c r="O533" i="9" s="1"/>
  <c r="K574" i="9"/>
  <c r="O574" i="9" s="1"/>
  <c r="K243" i="9"/>
  <c r="O243" i="9" s="1"/>
  <c r="K395" i="9"/>
  <c r="O395" i="9" s="1"/>
  <c r="K146" i="9"/>
  <c r="O146" i="9" s="1"/>
  <c r="K387" i="9"/>
  <c r="O387" i="9" s="1"/>
  <c r="K493" i="9"/>
  <c r="O493" i="9" s="1"/>
  <c r="K534" i="9"/>
  <c r="O534" i="9" s="1"/>
  <c r="K575" i="9"/>
  <c r="O575" i="9" s="1"/>
  <c r="K196" i="9"/>
  <c r="O196" i="9" s="1"/>
  <c r="K373" i="9"/>
  <c r="O373" i="9" s="1"/>
  <c r="K507" i="9"/>
  <c r="O507" i="9" s="1"/>
  <c r="K666" i="9"/>
  <c r="O666" i="9" s="1"/>
  <c r="K730" i="9"/>
  <c r="O730" i="9" s="1"/>
  <c r="K794" i="9"/>
  <c r="O794" i="9" s="1"/>
  <c r="K858" i="9"/>
  <c r="O858" i="9" s="1"/>
  <c r="K343" i="9"/>
  <c r="O343" i="9" s="1"/>
  <c r="K641" i="9"/>
  <c r="O641" i="9" s="1"/>
  <c r="K705" i="9"/>
  <c r="O705" i="9" s="1"/>
  <c r="K769" i="9"/>
  <c r="O769" i="9" s="1"/>
  <c r="K833" i="9"/>
  <c r="O833" i="9" s="1"/>
  <c r="K897" i="9"/>
  <c r="O897" i="9" s="1"/>
  <c r="K459" i="9"/>
  <c r="O459" i="9" s="1"/>
  <c r="K664" i="9"/>
  <c r="O664" i="9" s="1"/>
  <c r="K728" i="9"/>
  <c r="O728" i="9" s="1"/>
  <c r="K792" i="9"/>
  <c r="O792" i="9" s="1"/>
  <c r="K856" i="9"/>
  <c r="O856" i="9" s="1"/>
  <c r="K920" i="9"/>
  <c r="O920" i="9" s="1"/>
  <c r="K453" i="9"/>
  <c r="O453" i="9" s="1"/>
  <c r="K644" i="9"/>
  <c r="O644" i="9" s="1"/>
  <c r="K708" i="9"/>
  <c r="O708" i="9" s="1"/>
  <c r="K772" i="9"/>
  <c r="O772" i="9" s="1"/>
  <c r="K836" i="9"/>
  <c r="O836" i="9" s="1"/>
  <c r="K900" i="9"/>
  <c r="O900" i="9" s="1"/>
  <c r="K611" i="9"/>
  <c r="O611" i="9" s="1"/>
  <c r="K677" i="9"/>
  <c r="O677" i="9" s="1"/>
  <c r="K718" i="9"/>
  <c r="O718" i="9" s="1"/>
  <c r="K759" i="9"/>
  <c r="O759" i="9" s="1"/>
  <c r="K805" i="9"/>
  <c r="O805" i="9" s="1"/>
  <c r="K846" i="9"/>
  <c r="O846" i="9" s="1"/>
  <c r="K357" i="9"/>
  <c r="O357" i="9" s="1"/>
  <c r="K309" i="9"/>
  <c r="O309" i="9" s="1"/>
  <c r="K903" i="9"/>
  <c r="O903" i="9" s="1"/>
  <c r="K427" i="9"/>
  <c r="O427" i="9" s="1"/>
  <c r="K739" i="9"/>
  <c r="O739" i="9" s="1"/>
  <c r="K863" i="9"/>
  <c r="O863" i="9" s="1"/>
  <c r="K886" i="9"/>
  <c r="O886" i="9" s="1"/>
  <c r="K971" i="9"/>
  <c r="O971" i="9" s="1"/>
  <c r="K1035" i="9"/>
  <c r="O1035" i="9" s="1"/>
  <c r="K875" i="9"/>
  <c r="O875" i="9" s="1"/>
  <c r="K994" i="9"/>
  <c r="O994" i="9" s="1"/>
  <c r="K1058" i="9"/>
  <c r="O1058" i="9" s="1"/>
  <c r="K710" i="9"/>
  <c r="O710" i="9" s="1"/>
  <c r="K838" i="9"/>
  <c r="O838" i="9" s="1"/>
  <c r="K969" i="9"/>
  <c r="O969" i="9" s="1"/>
  <c r="K1033" i="9"/>
  <c r="O1033" i="9" s="1"/>
  <c r="K483" i="9"/>
  <c r="O483" i="9" s="1"/>
  <c r="K758" i="9"/>
  <c r="O758" i="9" s="1"/>
  <c r="K862" i="9"/>
  <c r="O862" i="9" s="1"/>
  <c r="K965" i="9"/>
  <c r="O965" i="9" s="1"/>
  <c r="K1029" i="9"/>
  <c r="O1029" i="9" s="1"/>
  <c r="K555" i="9"/>
  <c r="O555" i="9" s="1"/>
  <c r="K735" i="9"/>
  <c r="O735" i="9" s="1"/>
  <c r="K877" i="9"/>
  <c r="O877" i="9" s="1"/>
  <c r="K996" i="9"/>
  <c r="O996" i="9" s="1"/>
  <c r="K1060" i="9"/>
  <c r="O1060" i="9" s="1"/>
  <c r="K895" i="9"/>
  <c r="O895" i="9" s="1"/>
  <c r="K628" i="9"/>
  <c r="O628" i="9" s="1"/>
  <c r="K1022" i="9"/>
  <c r="O1022" i="9" s="1"/>
  <c r="K967" i="9"/>
  <c r="O967" i="9" s="1"/>
  <c r="K882" i="9"/>
  <c r="O882" i="9" s="1"/>
  <c r="K719" i="9"/>
  <c r="O719" i="9" s="1"/>
  <c r="K901" i="9"/>
  <c r="O901" i="9" s="1"/>
  <c r="K1056" i="9"/>
  <c r="O1056" i="9" s="1"/>
  <c r="K992" i="9"/>
  <c r="O992" i="9" s="1"/>
  <c r="K975" i="9"/>
  <c r="O975" i="9" s="1"/>
  <c r="K1023" i="9"/>
  <c r="O1023" i="9" s="1"/>
  <c r="K6" i="9"/>
  <c r="O6" i="9" s="1"/>
  <c r="K49" i="9"/>
  <c r="O49" i="9" s="1"/>
  <c r="K111" i="9"/>
  <c r="O111" i="9" s="1"/>
  <c r="K11" i="9"/>
  <c r="O11" i="9" s="1"/>
  <c r="K72" i="9"/>
  <c r="O72" i="9" s="1"/>
  <c r="K55" i="9"/>
  <c r="O55" i="9" s="1"/>
  <c r="K117" i="9"/>
  <c r="O117" i="9" s="1"/>
  <c r="K86" i="9"/>
  <c r="O86" i="9" s="1"/>
  <c r="K68" i="9"/>
  <c r="O68" i="9" s="1"/>
  <c r="K168" i="9"/>
  <c r="O168" i="9" s="1"/>
  <c r="K122" i="9"/>
  <c r="O122" i="9" s="1"/>
  <c r="K183" i="9"/>
  <c r="O183" i="9" s="1"/>
  <c r="K186" i="9"/>
  <c r="O186" i="9" s="1"/>
  <c r="K258" i="9"/>
  <c r="O258" i="9" s="1"/>
  <c r="K322" i="9"/>
  <c r="O322" i="9" s="1"/>
  <c r="K386" i="9"/>
  <c r="O386" i="9" s="1"/>
  <c r="K450" i="9"/>
  <c r="O450" i="9" s="1"/>
  <c r="K249" i="9"/>
  <c r="O249" i="9" s="1"/>
  <c r="K313" i="9"/>
  <c r="O313" i="9" s="1"/>
  <c r="K224" i="9"/>
  <c r="O224" i="9" s="1"/>
  <c r="K288" i="9"/>
  <c r="O288" i="9" s="1"/>
  <c r="K88" i="9"/>
  <c r="O88" i="9" s="1"/>
  <c r="K340" i="9"/>
  <c r="O340" i="9" s="1"/>
  <c r="K194" i="9"/>
  <c r="O194" i="9" s="1"/>
  <c r="K333" i="9"/>
  <c r="O333" i="9" s="1"/>
  <c r="K514" i="9"/>
  <c r="O514" i="9" s="1"/>
  <c r="K609" i="9"/>
  <c r="O609" i="9" s="1"/>
  <c r="K201" i="9"/>
  <c r="O201" i="9" s="1"/>
  <c r="K455" i="9"/>
  <c r="O455" i="9" s="1"/>
  <c r="J186" i="2"/>
  <c r="Q409" i="2"/>
  <c r="R409" i="2" s="1"/>
  <c r="Q52" i="16" s="1"/>
  <c r="D755" i="2"/>
  <c r="C755" i="2" s="1"/>
  <c r="AA27" i="18" s="1"/>
  <c r="L43" i="2"/>
  <c r="P27" i="1" s="1"/>
  <c r="J187" i="2"/>
  <c r="D1187" i="2" a="1"/>
  <c r="D1187" i="2" s="1"/>
  <c r="G1186" i="2" a="1"/>
  <c r="G1186" i="2" s="1"/>
  <c r="D1190" i="2" a="1"/>
  <c r="D1190" i="2" s="1"/>
  <c r="A1191" i="2" a="1"/>
  <c r="A1191" i="2" s="1"/>
  <c r="B1189" i="2" a="1"/>
  <c r="B1189" i="2" s="1"/>
  <c r="F1189" i="2" a="1"/>
  <c r="F1189" i="2" s="1"/>
  <c r="C1186" i="2" a="1"/>
  <c r="C1186" i="2" s="1"/>
  <c r="C1187" i="2" a="1"/>
  <c r="C1187" i="2" s="1"/>
  <c r="E1189" i="2" a="1"/>
  <c r="E1189" i="2" s="1"/>
  <c r="F1188" i="2" a="1"/>
  <c r="F1188" i="2" s="1"/>
  <c r="B1186" i="2" a="1"/>
  <c r="B1186" i="2" s="1"/>
  <c r="B1190" i="2" a="1"/>
  <c r="B1190" i="2" s="1"/>
  <c r="F1191" i="2" a="1"/>
  <c r="F1191" i="2" s="1"/>
  <c r="D1189" i="2" a="1"/>
  <c r="D1189" i="2" s="1"/>
  <c r="G1189" i="2" a="1"/>
  <c r="G1189" i="2" s="1"/>
  <c r="A1187" i="2" a="1"/>
  <c r="A1187" i="2" s="1"/>
  <c r="G1188" i="2" a="1"/>
  <c r="G1188" i="2" s="1"/>
  <c r="C1190" i="2" a="1"/>
  <c r="C1190" i="2" s="1"/>
  <c r="F1190" i="2" a="1"/>
  <c r="F1190" i="2" s="1"/>
  <c r="B1188" i="2" a="1"/>
  <c r="B1188" i="2" s="1"/>
  <c r="G1187" i="2" a="1"/>
  <c r="G1187" i="2" s="1"/>
  <c r="D1186" i="2" a="1"/>
  <c r="D1186" i="2" s="1"/>
  <c r="A1189" i="2" a="1"/>
  <c r="A1189" i="2" s="1"/>
  <c r="E1187" i="2" a="1"/>
  <c r="E1187" i="2" s="1"/>
  <c r="A1190" i="2" a="1"/>
  <c r="A1190" i="2" s="1"/>
  <c r="G1190" i="2" a="1"/>
  <c r="G1190" i="2" s="1"/>
  <c r="C1188" i="2" a="1"/>
  <c r="C1188" i="2" s="1"/>
  <c r="E1191" i="2" a="1"/>
  <c r="E1191" i="2" s="1"/>
  <c r="B1191" i="2" a="1"/>
  <c r="B1191" i="2" s="1"/>
  <c r="B1187" i="2" a="1"/>
  <c r="B1187" i="2" s="1"/>
  <c r="C1189" i="2" a="1"/>
  <c r="C1189" i="2" s="1"/>
  <c r="E1190" i="2" a="1"/>
  <c r="E1190" i="2" s="1"/>
  <c r="D1188" i="2" a="1"/>
  <c r="D1188" i="2" s="1"/>
  <c r="A1186" i="2" a="1"/>
  <c r="A1186" i="2" s="1"/>
  <c r="E1186" i="2" a="1"/>
  <c r="E1186" i="2" s="1"/>
  <c r="D1191" i="2" a="1"/>
  <c r="D1191" i="2" s="1"/>
  <c r="A1188" i="2" a="1"/>
  <c r="A1188" i="2" s="1"/>
  <c r="N1166" i="2"/>
  <c r="C1191" i="2" a="1"/>
  <c r="C1191" i="2" s="1"/>
  <c r="F1187" i="2" a="1"/>
  <c r="F1187" i="2" s="1"/>
  <c r="G1191" i="2" a="1"/>
  <c r="G1191" i="2" s="1"/>
  <c r="F1186" i="2" a="1"/>
  <c r="F1186" i="2" s="1"/>
  <c r="E1188" i="2" a="1"/>
  <c r="E1188" i="2" s="1"/>
  <c r="B1167" i="2" a="1"/>
  <c r="B1167" i="2" s="1"/>
  <c r="J1176" i="2" s="1"/>
  <c r="D1162" i="2" a="1"/>
  <c r="D1162" i="2" s="1"/>
  <c r="L1171" i="2" s="1"/>
  <c r="Q1171" i="2" s="1"/>
  <c r="A1166" i="2" a="1"/>
  <c r="A1166" i="2" s="1"/>
  <c r="I1175" i="2" s="1"/>
  <c r="A1163" i="2" a="1"/>
  <c r="A1163" i="2" s="1"/>
  <c r="I1172" i="2" s="1"/>
  <c r="D1164" i="2" a="1"/>
  <c r="D1164" i="2" s="1"/>
  <c r="L1173" i="2" s="1"/>
  <c r="Q1173" i="2" s="1"/>
  <c r="G1165" i="2" a="1"/>
  <c r="G1165" i="2" s="1"/>
  <c r="O1174" i="2" s="1"/>
  <c r="G1162" i="2" a="1"/>
  <c r="G1162" i="2" s="1"/>
  <c r="O1171" i="2" s="1"/>
  <c r="B1162" i="2" a="1"/>
  <c r="B1162" i="2" s="1"/>
  <c r="J1171" i="2" s="1"/>
  <c r="C1166" i="2" a="1"/>
  <c r="C1166" i="2" s="1"/>
  <c r="K1175" i="2" s="1"/>
  <c r="D1163" i="2" a="1"/>
  <c r="D1163" i="2" s="1"/>
  <c r="L1172" i="2" s="1"/>
  <c r="Q1172" i="2" s="1"/>
  <c r="F1166" i="2" a="1"/>
  <c r="F1166" i="2" s="1"/>
  <c r="N1175" i="2" s="1"/>
  <c r="C1167" i="2" a="1"/>
  <c r="C1167" i="2" s="1"/>
  <c r="K1176" i="2" s="1"/>
  <c r="E1163" i="2" a="1"/>
  <c r="E1163" i="2" s="1"/>
  <c r="M1172" i="2" s="1"/>
  <c r="F1165" i="2" a="1"/>
  <c r="F1165" i="2" s="1"/>
  <c r="N1174" i="2" s="1"/>
  <c r="A1164" i="2" a="1"/>
  <c r="A1164" i="2" s="1"/>
  <c r="I1173" i="2" s="1"/>
  <c r="F1162" i="2" a="1"/>
  <c r="F1162" i="2" s="1"/>
  <c r="N1171" i="2" s="1"/>
  <c r="B1163" i="2" a="1"/>
  <c r="B1163" i="2" s="1"/>
  <c r="J1172" i="2" s="1"/>
  <c r="D1166" i="2" a="1"/>
  <c r="D1166" i="2" s="1"/>
  <c r="L1175" i="2" s="1"/>
  <c r="Q1175" i="2" s="1"/>
  <c r="G1164" i="2" a="1"/>
  <c r="G1164" i="2" s="1"/>
  <c r="O1173" i="2" s="1"/>
  <c r="C1162" i="2" a="1"/>
  <c r="C1162" i="2" s="1"/>
  <c r="K1171" i="2" s="1"/>
  <c r="N1163" i="2"/>
  <c r="E1166" i="2" a="1"/>
  <c r="E1166" i="2" s="1"/>
  <c r="M1175" i="2" s="1"/>
  <c r="D1165" i="2" a="1"/>
  <c r="D1165" i="2" s="1"/>
  <c r="L1174" i="2" s="1"/>
  <c r="Q1174" i="2" s="1"/>
  <c r="E1167" i="2" a="1"/>
  <c r="E1167" i="2" s="1"/>
  <c r="M1176" i="2" s="1"/>
  <c r="G1167" i="2" a="1"/>
  <c r="G1167" i="2" s="1"/>
  <c r="O1176" i="2" s="1"/>
  <c r="C1163" i="2" a="1"/>
  <c r="C1163" i="2" s="1"/>
  <c r="K1172" i="2" s="1"/>
  <c r="C1164" i="2" a="1"/>
  <c r="C1164" i="2" s="1"/>
  <c r="K1173" i="2" s="1"/>
  <c r="C1165" i="2" a="1"/>
  <c r="C1165" i="2" s="1"/>
  <c r="K1174" i="2" s="1"/>
  <c r="A1167" i="2" a="1"/>
  <c r="A1167" i="2" s="1"/>
  <c r="I1176" i="2" s="1"/>
  <c r="A1162" i="2" a="1"/>
  <c r="A1162" i="2" s="1"/>
  <c r="I1171" i="2" s="1"/>
  <c r="F1167" i="2" a="1"/>
  <c r="F1167" i="2" s="1"/>
  <c r="N1176" i="2" s="1"/>
  <c r="B1164" i="2" a="1"/>
  <c r="B1164" i="2" s="1"/>
  <c r="J1173" i="2" s="1"/>
  <c r="G1166" i="2" a="1"/>
  <c r="G1166" i="2" s="1"/>
  <c r="O1175" i="2" s="1"/>
  <c r="E1162" i="2" a="1"/>
  <c r="E1162" i="2" s="1"/>
  <c r="M1171" i="2" s="1"/>
  <c r="D1167" i="2" a="1"/>
  <c r="D1167" i="2" s="1"/>
  <c r="L1176" i="2" s="1"/>
  <c r="Q1176" i="2" s="1"/>
  <c r="F1164" i="2" a="1"/>
  <c r="F1164" i="2" s="1"/>
  <c r="N1173" i="2" s="1"/>
  <c r="B1165" i="2" a="1"/>
  <c r="B1165" i="2" s="1"/>
  <c r="J1174" i="2" s="1"/>
  <c r="A1165" i="2" a="1"/>
  <c r="A1165" i="2" s="1"/>
  <c r="I1174" i="2" s="1"/>
  <c r="G1163" i="2" a="1"/>
  <c r="G1163" i="2" s="1"/>
  <c r="O1172" i="2" s="1"/>
  <c r="B1166" i="2" a="1"/>
  <c r="B1166" i="2" s="1"/>
  <c r="J1175" i="2" s="1"/>
  <c r="F1163" i="2" a="1"/>
  <c r="F1163" i="2" s="1"/>
  <c r="N1172" i="2" s="1"/>
  <c r="E1164" i="2" a="1"/>
  <c r="E1164" i="2" s="1"/>
  <c r="M1173" i="2" s="1"/>
  <c r="E1165" i="2" a="1"/>
  <c r="E1165" i="2" s="1"/>
  <c r="M1174" i="2" s="1"/>
  <c r="R1016" i="2"/>
  <c r="R1017" i="2" s="1"/>
  <c r="R1018" i="2" s="1"/>
  <c r="R1015" i="2"/>
  <c r="C1174" i="2" a="1"/>
  <c r="C1174" i="2" s="1"/>
  <c r="F1170" i="2" a="1"/>
  <c r="F1170" i="2" s="1"/>
  <c r="B1173" i="2" a="1"/>
  <c r="B1173" i="2" s="1"/>
  <c r="A1174" i="2" a="1"/>
  <c r="A1174" i="2" s="1"/>
  <c r="F1173" i="2" a="1"/>
  <c r="F1173" i="2" s="1"/>
  <c r="B1170" i="2" a="1"/>
  <c r="B1170" i="2" s="1"/>
  <c r="F1172" i="2" a="1"/>
  <c r="F1172" i="2" s="1"/>
  <c r="G1172" i="2" a="1"/>
  <c r="G1172" i="2" s="1"/>
  <c r="D1173" i="2" a="1"/>
  <c r="D1173" i="2" s="1"/>
  <c r="A1170" i="2" a="1"/>
  <c r="A1170" i="2" s="1"/>
  <c r="C1172" i="2" a="1"/>
  <c r="C1172" i="2" s="1"/>
  <c r="A1171" i="2" a="1"/>
  <c r="A1171" i="2" s="1"/>
  <c r="E1173" i="2" a="1"/>
  <c r="E1173" i="2" s="1"/>
  <c r="B1175" i="2" a="1"/>
  <c r="B1175" i="2" s="1"/>
  <c r="B1174" i="2" a="1"/>
  <c r="B1174" i="2" s="1"/>
  <c r="E1174" i="2" a="1"/>
  <c r="E1174" i="2" s="1"/>
  <c r="C1175" i="2" a="1"/>
  <c r="C1175" i="2" s="1"/>
  <c r="E1170" i="2" a="1"/>
  <c r="E1170" i="2" s="1"/>
  <c r="C1170" i="2" a="1"/>
  <c r="C1170" i="2" s="1"/>
  <c r="D1174" i="2" a="1"/>
  <c r="D1174" i="2" s="1"/>
  <c r="E1175" i="2" a="1"/>
  <c r="E1175" i="2" s="1"/>
  <c r="N1164" i="2"/>
  <c r="B1171" i="2" a="1"/>
  <c r="B1171" i="2" s="1"/>
  <c r="D1175" i="2" a="1"/>
  <c r="D1175" i="2" s="1"/>
  <c r="D1170" i="2" a="1"/>
  <c r="D1170" i="2" s="1"/>
  <c r="G1173" i="2" a="1"/>
  <c r="G1173" i="2" s="1"/>
  <c r="D1171" i="2" a="1"/>
  <c r="D1171" i="2" s="1"/>
  <c r="E1172" i="2" a="1"/>
  <c r="E1172" i="2" s="1"/>
  <c r="G1170" i="2" a="1"/>
  <c r="G1170" i="2" s="1"/>
  <c r="A1172" i="2" a="1"/>
  <c r="A1172" i="2" s="1"/>
  <c r="E1171" i="2" a="1"/>
  <c r="E1171" i="2" s="1"/>
  <c r="A1175" i="2" a="1"/>
  <c r="A1175" i="2" s="1"/>
  <c r="F1175" i="2" a="1"/>
  <c r="F1175" i="2" s="1"/>
  <c r="C1173" i="2" a="1"/>
  <c r="C1173" i="2" s="1"/>
  <c r="C1171" i="2" a="1"/>
  <c r="C1171" i="2" s="1"/>
  <c r="B1172" i="2" a="1"/>
  <c r="B1172" i="2" s="1"/>
  <c r="G1175" i="2" a="1"/>
  <c r="G1175" i="2" s="1"/>
  <c r="D1172" i="2" a="1"/>
  <c r="D1172" i="2" s="1"/>
  <c r="F1174" i="2" a="1"/>
  <c r="F1174" i="2" s="1"/>
  <c r="F1171" i="2" a="1"/>
  <c r="F1171" i="2" s="1"/>
  <c r="G1171" i="2" a="1"/>
  <c r="G1171" i="2" s="1"/>
  <c r="G1174" i="2" a="1"/>
  <c r="G1174" i="2" s="1"/>
  <c r="A1173" i="2" a="1"/>
  <c r="A1173" i="2" s="1"/>
  <c r="C1195" i="2" a="1"/>
  <c r="C1195" i="2" s="1"/>
  <c r="C1197" i="2" a="1"/>
  <c r="C1197" i="2" s="1"/>
  <c r="G1194" i="2" a="1"/>
  <c r="G1194" i="2" s="1"/>
  <c r="C1194" i="2" a="1"/>
  <c r="C1194" i="2" s="1"/>
  <c r="B1197" i="2" a="1"/>
  <c r="B1197" i="2" s="1"/>
  <c r="F1199" i="2" a="1"/>
  <c r="F1199" i="2" s="1"/>
  <c r="D1194" i="2" a="1"/>
  <c r="D1194" i="2" s="1"/>
  <c r="E1194" i="2" a="1"/>
  <c r="E1194" i="2" s="1"/>
  <c r="F1197" i="2" a="1"/>
  <c r="F1197" i="2" s="1"/>
  <c r="B1195" i="2" a="1"/>
  <c r="B1195" i="2" s="1"/>
  <c r="E1197" i="2" a="1"/>
  <c r="E1197" i="2" s="1"/>
  <c r="F1194" i="2" a="1"/>
  <c r="F1194" i="2" s="1"/>
  <c r="D1197" i="2" a="1"/>
  <c r="D1197" i="2" s="1"/>
  <c r="D1198" i="2" a="1"/>
  <c r="D1198" i="2" s="1"/>
  <c r="E1196" i="2" a="1"/>
  <c r="E1196" i="2" s="1"/>
  <c r="G1195" i="2" a="1"/>
  <c r="G1195" i="2" s="1"/>
  <c r="G1199" i="2" a="1"/>
  <c r="G1199" i="2" s="1"/>
  <c r="A1198" i="2" a="1"/>
  <c r="A1198" i="2" s="1"/>
  <c r="A1194" i="2" a="1"/>
  <c r="A1194" i="2" s="1"/>
  <c r="C1198" i="2" a="1"/>
  <c r="C1198" i="2" s="1"/>
  <c r="G1196" i="2" a="1"/>
  <c r="G1196" i="2" s="1"/>
  <c r="A1199" i="2" a="1"/>
  <c r="A1199" i="2" s="1"/>
  <c r="F1198" i="2" a="1"/>
  <c r="F1198" i="2" s="1"/>
  <c r="E1198" i="2" a="1"/>
  <c r="E1198" i="2" s="1"/>
  <c r="A1196" i="2" a="1"/>
  <c r="A1196" i="2" s="1"/>
  <c r="C1199" i="2" a="1"/>
  <c r="C1199" i="2" s="1"/>
  <c r="B1199" i="2" a="1"/>
  <c r="B1199" i="2" s="1"/>
  <c r="B1196" i="2" a="1"/>
  <c r="B1196" i="2" s="1"/>
  <c r="E1199" i="2" a="1"/>
  <c r="E1199" i="2" s="1"/>
  <c r="B1198" i="2" a="1"/>
  <c r="B1198" i="2" s="1"/>
  <c r="G1197" i="2" a="1"/>
  <c r="G1197" i="2" s="1"/>
  <c r="E1195" i="2" a="1"/>
  <c r="E1195" i="2" s="1"/>
  <c r="F1196" i="2" a="1"/>
  <c r="F1196" i="2" s="1"/>
  <c r="C1196" i="2" a="1"/>
  <c r="C1196" i="2" s="1"/>
  <c r="B1194" i="2" a="1"/>
  <c r="B1194" i="2" s="1"/>
  <c r="D1196" i="2" a="1"/>
  <c r="D1196" i="2" s="1"/>
  <c r="D1199" i="2" a="1"/>
  <c r="D1199" i="2" s="1"/>
  <c r="G1198" i="2" a="1"/>
  <c r="G1198" i="2" s="1"/>
  <c r="A1195" i="2" a="1"/>
  <c r="A1195" i="2" s="1"/>
  <c r="F1195" i="2" a="1"/>
  <c r="F1195" i="2" s="1"/>
  <c r="D1195" i="2" a="1"/>
  <c r="D1195" i="2" s="1"/>
  <c r="N1167" i="2"/>
  <c r="A1197" i="2" a="1"/>
  <c r="A1197" i="2" s="1"/>
  <c r="G1179" i="2" a="1"/>
  <c r="G1179" i="2" s="1"/>
  <c r="D1178" i="2" a="1"/>
  <c r="D1178" i="2" s="1"/>
  <c r="C1183" i="2" a="1"/>
  <c r="C1183" i="2" s="1"/>
  <c r="B1182" i="2" a="1"/>
  <c r="B1182" i="2" s="1"/>
  <c r="G1181" i="2" a="1"/>
  <c r="G1181" i="2" s="1"/>
  <c r="D1179" i="2" a="1"/>
  <c r="D1179" i="2" s="1"/>
  <c r="E1178" i="2" a="1"/>
  <c r="E1178" i="2" s="1"/>
  <c r="F1182" i="2" a="1"/>
  <c r="F1182" i="2" s="1"/>
  <c r="A1181" i="2" a="1"/>
  <c r="A1181" i="2" s="1"/>
  <c r="B1178" i="2" a="1"/>
  <c r="B1178" i="2" s="1"/>
  <c r="B1179" i="2" a="1"/>
  <c r="B1179" i="2" s="1"/>
  <c r="F1183" i="2" a="1"/>
  <c r="F1183" i="2" s="1"/>
  <c r="B1183" i="2" a="1"/>
  <c r="B1183" i="2" s="1"/>
  <c r="D1181" i="2" a="1"/>
  <c r="D1181" i="2" s="1"/>
  <c r="C1181" i="2" a="1"/>
  <c r="C1181" i="2" s="1"/>
  <c r="G1180" i="2" a="1"/>
  <c r="G1180" i="2" s="1"/>
  <c r="A1182" i="2" a="1"/>
  <c r="A1182" i="2" s="1"/>
  <c r="D1182" i="2" a="1"/>
  <c r="D1182" i="2" s="1"/>
  <c r="E1183" i="2" a="1"/>
  <c r="E1183" i="2" s="1"/>
  <c r="C1178" i="2" a="1"/>
  <c r="C1178" i="2" s="1"/>
  <c r="F1181" i="2" a="1"/>
  <c r="F1181" i="2" s="1"/>
  <c r="A1179" i="2" a="1"/>
  <c r="A1179" i="2" s="1"/>
  <c r="E1180" i="2" a="1"/>
  <c r="E1180" i="2" s="1"/>
  <c r="E1181" i="2" a="1"/>
  <c r="E1181" i="2" s="1"/>
  <c r="B1180" i="2" a="1"/>
  <c r="B1180" i="2" s="1"/>
  <c r="D1180" i="2" a="1"/>
  <c r="D1180" i="2" s="1"/>
  <c r="A1178" i="2" a="1"/>
  <c r="A1178" i="2" s="1"/>
  <c r="C1179" i="2" a="1"/>
  <c r="C1179" i="2" s="1"/>
  <c r="B1181" i="2" a="1"/>
  <c r="B1181" i="2" s="1"/>
  <c r="D1183" i="2" a="1"/>
  <c r="D1183" i="2" s="1"/>
  <c r="F1180" i="2" a="1"/>
  <c r="F1180" i="2" s="1"/>
  <c r="G1178" i="2" a="1"/>
  <c r="G1178" i="2" s="1"/>
  <c r="G1182" i="2" a="1"/>
  <c r="G1182" i="2" s="1"/>
  <c r="E1182" i="2" a="1"/>
  <c r="E1182" i="2" s="1"/>
  <c r="A1183" i="2" a="1"/>
  <c r="A1183" i="2" s="1"/>
  <c r="F1179" i="2" a="1"/>
  <c r="F1179" i="2" s="1"/>
  <c r="A1180" i="2" a="1"/>
  <c r="A1180" i="2" s="1"/>
  <c r="G1183" i="2" a="1"/>
  <c r="G1183" i="2" s="1"/>
  <c r="C1182" i="2" a="1"/>
  <c r="C1182" i="2" s="1"/>
  <c r="C1180" i="2" a="1"/>
  <c r="C1180" i="2" s="1"/>
  <c r="F1178" i="2" a="1"/>
  <c r="F1178" i="2" s="1"/>
  <c r="N1165" i="2"/>
  <c r="E1179" i="2" a="1"/>
  <c r="E1179" i="2" s="1"/>
  <c r="L786" i="2"/>
  <c r="AJ793" i="2"/>
  <c r="S44" i="18" s="1"/>
  <c r="J795" i="2"/>
  <c r="I795" i="2" s="1"/>
  <c r="G23" i="20"/>
  <c r="G29" i="20"/>
  <c r="G28" i="20"/>
  <c r="G21" i="20"/>
  <c r="G31" i="20"/>
  <c r="G14" i="20"/>
  <c r="G18" i="20"/>
  <c r="G5" i="20"/>
  <c r="G6" i="20"/>
  <c r="G27" i="20"/>
  <c r="G33" i="20"/>
  <c r="G30" i="20"/>
  <c r="G11" i="20"/>
  <c r="G16" i="20"/>
  <c r="G34" i="20"/>
  <c r="G10" i="20"/>
  <c r="G19" i="20"/>
  <c r="G20" i="20"/>
  <c r="G8" i="20"/>
  <c r="G25" i="20"/>
  <c r="G22" i="20"/>
  <c r="G24" i="20"/>
  <c r="G4" i="20"/>
  <c r="G32" i="20"/>
  <c r="G15" i="20"/>
  <c r="G13" i="20"/>
  <c r="G35" i="20"/>
  <c r="G26" i="20"/>
  <c r="G9" i="20"/>
  <c r="G17" i="20"/>
  <c r="G7" i="20"/>
  <c r="G36" i="20"/>
  <c r="G12" i="20"/>
  <c r="M783" i="2"/>
  <c r="N783" i="2"/>
  <c r="L784" i="2"/>
  <c r="G939" i="2" a="1"/>
  <c r="G939" i="2" s="1"/>
  <c r="F938" i="2" a="1"/>
  <c r="F938" i="2" s="1"/>
  <c r="D943" i="2" a="1"/>
  <c r="D943" i="2" s="1"/>
  <c r="E939" i="2" a="1"/>
  <c r="E939" i="2" s="1"/>
  <c r="B940" i="2" a="1"/>
  <c r="B940" i="2" s="1"/>
  <c r="B939" i="2" a="1"/>
  <c r="B939" i="2" s="1"/>
  <c r="D938" i="2" a="1"/>
  <c r="D938" i="2" s="1"/>
  <c r="C940" i="2" a="1"/>
  <c r="C940" i="2" s="1"/>
  <c r="C943" i="2" a="1"/>
  <c r="C943" i="2" s="1"/>
  <c r="F943" i="2" a="1"/>
  <c r="F943" i="2" s="1"/>
  <c r="C939" i="2" a="1"/>
  <c r="C939" i="2" s="1"/>
  <c r="C942" i="2" a="1"/>
  <c r="C942" i="2" s="1"/>
  <c r="E942" i="2" a="1"/>
  <c r="E942" i="2" s="1"/>
  <c r="E941" i="2" a="1"/>
  <c r="E941" i="2" s="1"/>
  <c r="B942" i="2" a="1"/>
  <c r="B942" i="2" s="1"/>
  <c r="D941" i="2" a="1"/>
  <c r="D941" i="2" s="1"/>
  <c r="F939" i="2" a="1"/>
  <c r="F939" i="2" s="1"/>
  <c r="A943" i="2" a="1"/>
  <c r="A943" i="2" s="1"/>
  <c r="G942" i="2" a="1"/>
  <c r="G942" i="2" s="1"/>
  <c r="F941" i="2" a="1"/>
  <c r="F941" i="2" s="1"/>
  <c r="E938" i="2" a="1"/>
  <c r="E938" i="2" s="1"/>
  <c r="A939" i="2" a="1"/>
  <c r="A939" i="2" s="1"/>
  <c r="A938" i="2" a="1"/>
  <c r="A938" i="2" s="1"/>
  <c r="B943" i="2" a="1"/>
  <c r="B943" i="2" s="1"/>
  <c r="G940" i="2" a="1"/>
  <c r="G940" i="2" s="1"/>
  <c r="D940" i="2" a="1"/>
  <c r="D940" i="2" s="1"/>
  <c r="G938" i="2" a="1"/>
  <c r="G938" i="2" s="1"/>
  <c r="A942" i="2" a="1"/>
  <c r="A942" i="2" s="1"/>
  <c r="B938" i="2" a="1"/>
  <c r="B938" i="2" s="1"/>
  <c r="F942" i="2" a="1"/>
  <c r="F942" i="2" s="1"/>
  <c r="C938" i="2" a="1"/>
  <c r="C938" i="2" s="1"/>
  <c r="D939" i="2" a="1"/>
  <c r="D939" i="2" s="1"/>
  <c r="A940" i="2" a="1"/>
  <c r="A940" i="2" s="1"/>
  <c r="E943" i="2" a="1"/>
  <c r="E943" i="2" s="1"/>
  <c r="B941" i="2" a="1"/>
  <c r="B941" i="2" s="1"/>
  <c r="D942" i="2" a="1"/>
  <c r="D942" i="2" s="1"/>
  <c r="N925" i="2"/>
  <c r="G941" i="2" a="1"/>
  <c r="G941" i="2" s="1"/>
  <c r="C941" i="2" a="1"/>
  <c r="C941" i="2" s="1"/>
  <c r="A941" i="2" a="1"/>
  <c r="A941" i="2" s="1"/>
  <c r="E940" i="2" a="1"/>
  <c r="E940" i="2" s="1"/>
  <c r="G943" i="2" a="1"/>
  <c r="G943" i="2" s="1"/>
  <c r="F940" i="2" a="1"/>
  <c r="F940" i="2" s="1"/>
  <c r="F23" i="20"/>
  <c r="F29" i="20"/>
  <c r="F21" i="20"/>
  <c r="F28" i="20"/>
  <c r="F32" i="20"/>
  <c r="F7" i="20"/>
  <c r="F30" i="20"/>
  <c r="F20" i="20"/>
  <c r="F13" i="20"/>
  <c r="F6" i="20"/>
  <c r="F18" i="20"/>
  <c r="F5" i="20"/>
  <c r="F35" i="20"/>
  <c r="F36" i="20"/>
  <c r="F34" i="20"/>
  <c r="F33" i="20"/>
  <c r="F15" i="20"/>
  <c r="F19" i="20"/>
  <c r="F4" i="20"/>
  <c r="F17" i="20"/>
  <c r="F14" i="20"/>
  <c r="F24" i="20"/>
  <c r="F27" i="20"/>
  <c r="F8" i="20"/>
  <c r="F9" i="20"/>
  <c r="F16" i="20"/>
  <c r="F26" i="20"/>
  <c r="F25" i="20"/>
  <c r="F31" i="20"/>
  <c r="F22" i="20"/>
  <c r="F12" i="20"/>
  <c r="F10" i="20"/>
  <c r="F11" i="20"/>
  <c r="R794" i="2"/>
  <c r="R795" i="2"/>
  <c r="R796" i="2" s="1"/>
  <c r="R797" i="2" s="1"/>
  <c r="A949" i="2" a="1"/>
  <c r="A949" i="2" s="1"/>
  <c r="G948" i="2" a="1"/>
  <c r="G948" i="2" s="1"/>
  <c r="D946" i="2" a="1"/>
  <c r="D946" i="2" s="1"/>
  <c r="A946" i="2" a="1"/>
  <c r="A946" i="2" s="1"/>
  <c r="D951" i="2" a="1"/>
  <c r="D951" i="2" s="1"/>
  <c r="B949" i="2" a="1"/>
  <c r="B949" i="2" s="1"/>
  <c r="F946" i="2" a="1"/>
  <c r="F946" i="2" s="1"/>
  <c r="A951" i="2" a="1"/>
  <c r="A951" i="2" s="1"/>
  <c r="F950" i="2" a="1"/>
  <c r="F950" i="2" s="1"/>
  <c r="F948" i="2" a="1"/>
  <c r="F948" i="2" s="1"/>
  <c r="A948" i="2" a="1"/>
  <c r="A948" i="2" s="1"/>
  <c r="A947" i="2" a="1"/>
  <c r="A947" i="2" s="1"/>
  <c r="B950" i="2" a="1"/>
  <c r="B950" i="2" s="1"/>
  <c r="C946" i="2" a="1"/>
  <c r="C946" i="2" s="1"/>
  <c r="F949" i="2" a="1"/>
  <c r="F949" i="2" s="1"/>
  <c r="B951" i="2" a="1"/>
  <c r="B951" i="2" s="1"/>
  <c r="D950" i="2" a="1"/>
  <c r="D950" i="2" s="1"/>
  <c r="E948" i="2" a="1"/>
  <c r="E948" i="2" s="1"/>
  <c r="C949" i="2" a="1"/>
  <c r="C949" i="2" s="1"/>
  <c r="G949" i="2" a="1"/>
  <c r="G949" i="2" s="1"/>
  <c r="F947" i="2" a="1"/>
  <c r="F947" i="2" s="1"/>
  <c r="N926" i="2"/>
  <c r="B948" i="2" a="1"/>
  <c r="B948" i="2" s="1"/>
  <c r="D947" i="2" a="1"/>
  <c r="D947" i="2" s="1"/>
  <c r="A950" i="2" a="1"/>
  <c r="A950" i="2" s="1"/>
  <c r="G951" i="2" a="1"/>
  <c r="G951" i="2" s="1"/>
  <c r="D949" i="2" a="1"/>
  <c r="D949" i="2" s="1"/>
  <c r="E949" i="2" a="1"/>
  <c r="E949" i="2" s="1"/>
  <c r="D948" i="2" a="1"/>
  <c r="D948" i="2" s="1"/>
  <c r="F951" i="2" a="1"/>
  <c r="F951" i="2" s="1"/>
  <c r="G947" i="2" a="1"/>
  <c r="G947" i="2" s="1"/>
  <c r="G946" i="2" a="1"/>
  <c r="G946" i="2" s="1"/>
  <c r="E950" i="2" a="1"/>
  <c r="E950" i="2" s="1"/>
  <c r="E947" i="2" a="1"/>
  <c r="E947" i="2" s="1"/>
  <c r="B946" i="2" a="1"/>
  <c r="B946" i="2" s="1"/>
  <c r="C950" i="2" a="1"/>
  <c r="C950" i="2" s="1"/>
  <c r="B947" i="2" a="1"/>
  <c r="B947" i="2" s="1"/>
  <c r="G950" i="2" a="1"/>
  <c r="G950" i="2" s="1"/>
  <c r="C948" i="2" a="1"/>
  <c r="C948" i="2" s="1"/>
  <c r="C947" i="2" a="1"/>
  <c r="C947" i="2" s="1"/>
  <c r="C951" i="2" a="1"/>
  <c r="C951" i="2" s="1"/>
  <c r="E951" i="2" a="1"/>
  <c r="E951" i="2" s="1"/>
  <c r="E946" i="2" a="1"/>
  <c r="E946" i="2" s="1"/>
  <c r="L787" i="2"/>
  <c r="E954" i="2" a="1"/>
  <c r="E954" i="2" s="1"/>
  <c r="D957" i="2" a="1"/>
  <c r="D957" i="2" s="1"/>
  <c r="D955" i="2" a="1"/>
  <c r="D955" i="2" s="1"/>
  <c r="B954" i="2" a="1"/>
  <c r="B954" i="2" s="1"/>
  <c r="G959" i="2" a="1"/>
  <c r="G959" i="2" s="1"/>
  <c r="D954" i="2" a="1"/>
  <c r="D954" i="2" s="1"/>
  <c r="G955" i="2" a="1"/>
  <c r="G955" i="2" s="1"/>
  <c r="E958" i="2" a="1"/>
  <c r="E958" i="2" s="1"/>
  <c r="A959" i="2" a="1"/>
  <c r="A959" i="2" s="1"/>
  <c r="C956" i="2" a="1"/>
  <c r="C956" i="2" s="1"/>
  <c r="N927" i="2"/>
  <c r="E956" i="2" a="1"/>
  <c r="E956" i="2" s="1"/>
  <c r="G957" i="2" a="1"/>
  <c r="G957" i="2" s="1"/>
  <c r="B958" i="2" a="1"/>
  <c r="B958" i="2" s="1"/>
  <c r="A955" i="2" a="1"/>
  <c r="A955" i="2" s="1"/>
  <c r="C959" i="2" a="1"/>
  <c r="C959" i="2" s="1"/>
  <c r="F957" i="2" a="1"/>
  <c r="F957" i="2" s="1"/>
  <c r="B957" i="2" a="1"/>
  <c r="B957" i="2" s="1"/>
  <c r="D959" i="2" a="1"/>
  <c r="D959" i="2" s="1"/>
  <c r="D958" i="2" a="1"/>
  <c r="D958" i="2" s="1"/>
  <c r="A954" i="2" a="1"/>
  <c r="A954" i="2" s="1"/>
  <c r="B955" i="2" a="1"/>
  <c r="B955" i="2" s="1"/>
  <c r="D956" i="2" a="1"/>
  <c r="D956" i="2" s="1"/>
  <c r="G954" i="2" a="1"/>
  <c r="G954" i="2" s="1"/>
  <c r="E957" i="2" a="1"/>
  <c r="E957" i="2" s="1"/>
  <c r="B959" i="2" a="1"/>
  <c r="B959" i="2" s="1"/>
  <c r="F959" i="2" a="1"/>
  <c r="F959" i="2" s="1"/>
  <c r="F954" i="2" a="1"/>
  <c r="F954" i="2" s="1"/>
  <c r="A957" i="2" a="1"/>
  <c r="A957" i="2" s="1"/>
  <c r="A958" i="2" a="1"/>
  <c r="A958" i="2" s="1"/>
  <c r="C954" i="2" a="1"/>
  <c r="C954" i="2" s="1"/>
  <c r="G956" i="2" a="1"/>
  <c r="G956" i="2" s="1"/>
  <c r="F955" i="2" a="1"/>
  <c r="F955" i="2" s="1"/>
  <c r="C957" i="2" a="1"/>
  <c r="C957" i="2" s="1"/>
  <c r="F958" i="2" a="1"/>
  <c r="F958" i="2" s="1"/>
  <c r="B956" i="2" a="1"/>
  <c r="B956" i="2" s="1"/>
  <c r="A956" i="2" a="1"/>
  <c r="A956" i="2" s="1"/>
  <c r="F956" i="2" a="1"/>
  <c r="F956" i="2" s="1"/>
  <c r="C958" i="2" a="1"/>
  <c r="C958" i="2" s="1"/>
  <c r="G958" i="2" a="1"/>
  <c r="G958" i="2" s="1"/>
  <c r="C955" i="2" a="1"/>
  <c r="C955" i="2" s="1"/>
  <c r="E955" i="2" a="1"/>
  <c r="E955" i="2" s="1"/>
  <c r="E959" i="2" a="1"/>
  <c r="E959" i="2" s="1"/>
  <c r="O792" i="2"/>
  <c r="N794" i="2"/>
  <c r="L785" i="2"/>
  <c r="K921" i="2"/>
  <c r="O46" i="18" s="1"/>
  <c r="E23" i="20"/>
  <c r="E29" i="20"/>
  <c r="E28" i="20"/>
  <c r="E21" i="20"/>
  <c r="E4" i="20"/>
  <c r="E17" i="20"/>
  <c r="E10" i="20"/>
  <c r="E19" i="20"/>
  <c r="E20" i="20"/>
  <c r="E32" i="20"/>
  <c r="E9" i="20"/>
  <c r="E35" i="20"/>
  <c r="E5" i="20"/>
  <c r="E27" i="20"/>
  <c r="E6" i="20"/>
  <c r="E26" i="20"/>
  <c r="E16" i="20"/>
  <c r="E12" i="20"/>
  <c r="E7" i="20"/>
  <c r="E25" i="20"/>
  <c r="E18" i="20"/>
  <c r="E30" i="20"/>
  <c r="E14" i="20"/>
  <c r="E8" i="20"/>
  <c r="E22" i="20"/>
  <c r="E36" i="20"/>
  <c r="E11" i="20"/>
  <c r="E34" i="20"/>
  <c r="E24" i="20"/>
  <c r="E13" i="20"/>
  <c r="E33" i="20"/>
  <c r="E15" i="20"/>
  <c r="E31" i="20"/>
  <c r="B931" i="2" a="1"/>
  <c r="B931" i="2" s="1"/>
  <c r="B934" i="2" a="1"/>
  <c r="B934" i="2" s="1"/>
  <c r="B933" i="2" a="1"/>
  <c r="B933" i="2" s="1"/>
  <c r="F932" i="2" a="1"/>
  <c r="F932" i="2" s="1"/>
  <c r="C931" i="2" a="1"/>
  <c r="C931" i="2" s="1"/>
  <c r="E931" i="2" a="1"/>
  <c r="E931" i="2" s="1"/>
  <c r="D931" i="2" a="1"/>
  <c r="D931" i="2" s="1"/>
  <c r="E932" i="2" a="1"/>
  <c r="E932" i="2" s="1"/>
  <c r="C932" i="2" a="1"/>
  <c r="C932" i="2" s="1"/>
  <c r="F931" i="2" a="1"/>
  <c r="F931" i="2" s="1"/>
  <c r="N924" i="2"/>
  <c r="G931" i="2" a="1"/>
  <c r="G931" i="2" s="1"/>
  <c r="D930" i="2" a="1"/>
  <c r="D930" i="2" s="1"/>
  <c r="A930" i="2" a="1"/>
  <c r="A930" i="2" s="1"/>
  <c r="D932" i="2" a="1"/>
  <c r="D932" i="2" s="1"/>
  <c r="B932" i="2" a="1"/>
  <c r="B932" i="2" s="1"/>
  <c r="G935" i="2" a="1"/>
  <c r="G935" i="2" s="1"/>
  <c r="G933" i="2" a="1"/>
  <c r="G933" i="2" s="1"/>
  <c r="E930" i="2" a="1"/>
  <c r="E930" i="2" s="1"/>
  <c r="C930" i="2" a="1"/>
  <c r="C930" i="2" s="1"/>
  <c r="A935" i="2" a="1"/>
  <c r="A935" i="2" s="1"/>
  <c r="G934" i="2" a="1"/>
  <c r="G934" i="2" s="1"/>
  <c r="C933" i="2" a="1"/>
  <c r="C933" i="2" s="1"/>
  <c r="B930" i="2" a="1"/>
  <c r="B930" i="2" s="1"/>
  <c r="B935" i="2" a="1"/>
  <c r="B935" i="2" s="1"/>
  <c r="E934" i="2" a="1"/>
  <c r="E934" i="2" s="1"/>
  <c r="A931" i="2" a="1"/>
  <c r="A931" i="2" s="1"/>
  <c r="C934" i="2" a="1"/>
  <c r="C934" i="2" s="1"/>
  <c r="E933" i="2" a="1"/>
  <c r="E933" i="2" s="1"/>
  <c r="F935" i="2" a="1"/>
  <c r="F935" i="2" s="1"/>
  <c r="G932" i="2" a="1"/>
  <c r="G932" i="2" s="1"/>
  <c r="D934" i="2" a="1"/>
  <c r="D934" i="2" s="1"/>
  <c r="G930" i="2" a="1"/>
  <c r="G930" i="2" s="1"/>
  <c r="D935" i="2" a="1"/>
  <c r="D935" i="2" s="1"/>
  <c r="A933" i="2" a="1"/>
  <c r="A933" i="2" s="1"/>
  <c r="F930" i="2" a="1"/>
  <c r="F930" i="2" s="1"/>
  <c r="C935" i="2" a="1"/>
  <c r="C935" i="2" s="1"/>
  <c r="A932" i="2" a="1"/>
  <c r="A932" i="2" s="1"/>
  <c r="F933" i="2" a="1"/>
  <c r="F933" i="2" s="1"/>
  <c r="E935" i="2" a="1"/>
  <c r="E935" i="2" s="1"/>
  <c r="A934" i="2" a="1"/>
  <c r="A934" i="2" s="1"/>
  <c r="D933" i="2" a="1"/>
  <c r="D933" i="2" s="1"/>
  <c r="F934" i="2" a="1"/>
  <c r="F934" i="2" s="1"/>
  <c r="C923" i="2" a="1"/>
  <c r="C923" i="2" s="1"/>
  <c r="K932" i="2" s="1"/>
  <c r="K939" i="2" s="1"/>
  <c r="S49" i="18" s="1"/>
  <c r="D923" i="2" a="1"/>
  <c r="D923" i="2" s="1"/>
  <c r="L932" i="2" s="1"/>
  <c r="F927" i="2" a="1"/>
  <c r="F927" i="2" s="1"/>
  <c r="N936" i="2" s="1"/>
  <c r="N943" i="2" s="1"/>
  <c r="E925" i="2" a="1"/>
  <c r="E925" i="2" s="1"/>
  <c r="M934" i="2" s="1"/>
  <c r="M941" i="2" s="1"/>
  <c r="AC51" i="18" s="1"/>
  <c r="C926" i="2" a="1"/>
  <c r="C926" i="2" s="1"/>
  <c r="K935" i="2" s="1"/>
  <c r="K942" i="2" s="1"/>
  <c r="S52" i="18" s="1"/>
  <c r="F924" i="2" a="1"/>
  <c r="F924" i="2" s="1"/>
  <c r="N933" i="2" s="1"/>
  <c r="N940" i="2" s="1"/>
  <c r="AD50" i="18" s="1"/>
  <c r="B923" i="2" a="1"/>
  <c r="B923" i="2" s="1"/>
  <c r="J932" i="2" s="1"/>
  <c r="J939" i="2" s="1"/>
  <c r="C49" i="18" s="1"/>
  <c r="C925" i="2" a="1"/>
  <c r="C925" i="2" s="1"/>
  <c r="K934" i="2" s="1"/>
  <c r="K941" i="2" s="1"/>
  <c r="S51" i="18" s="1"/>
  <c r="B924" i="2" a="1"/>
  <c r="B924" i="2" s="1"/>
  <c r="J933" i="2" s="1"/>
  <c r="J940" i="2" s="1"/>
  <c r="C50" i="18" s="1"/>
  <c r="C924" i="2" a="1"/>
  <c r="C924" i="2" s="1"/>
  <c r="K933" i="2" s="1"/>
  <c r="K940" i="2" s="1"/>
  <c r="S50" i="18" s="1"/>
  <c r="A927" i="2" a="1"/>
  <c r="A927" i="2" s="1"/>
  <c r="I936" i="2" s="1"/>
  <c r="I943" i="2" s="1"/>
  <c r="A922" i="2" a="1"/>
  <c r="A922" i="2" s="1"/>
  <c r="I931" i="2" s="1"/>
  <c r="I938" i="2" s="1"/>
  <c r="J48" i="18" s="1"/>
  <c r="F925" i="2" a="1"/>
  <c r="F925" i="2" s="1"/>
  <c r="N934" i="2" s="1"/>
  <c r="N941" i="2" s="1"/>
  <c r="AD51" i="18" s="1"/>
  <c r="E923" i="2" a="1"/>
  <c r="E923" i="2" s="1"/>
  <c r="M932" i="2" s="1"/>
  <c r="M939" i="2" s="1"/>
  <c r="AC49" i="18" s="1"/>
  <c r="A925" i="2" a="1"/>
  <c r="A925" i="2" s="1"/>
  <c r="I934" i="2" s="1"/>
  <c r="I941" i="2" s="1"/>
  <c r="J51" i="18" s="1"/>
  <c r="A924" i="2" a="1"/>
  <c r="A924" i="2" s="1"/>
  <c r="I933" i="2" s="1"/>
  <c r="I940" i="2" s="1"/>
  <c r="J50" i="18" s="1"/>
  <c r="C922" i="2" a="1"/>
  <c r="C922" i="2" s="1"/>
  <c r="K931" i="2" s="1"/>
  <c r="K938" i="2" s="1"/>
  <c r="S48" i="18" s="1"/>
  <c r="A923" i="2" a="1"/>
  <c r="A923" i="2" s="1"/>
  <c r="I932" i="2" s="1"/>
  <c r="I939" i="2" s="1"/>
  <c r="J49" i="18" s="1"/>
  <c r="E927" i="2" a="1"/>
  <c r="E927" i="2" s="1"/>
  <c r="M936" i="2" s="1"/>
  <c r="M943" i="2" s="1"/>
  <c r="F922" i="2" a="1"/>
  <c r="F922" i="2" s="1"/>
  <c r="N931" i="2" s="1"/>
  <c r="N938" i="2" s="1"/>
  <c r="AD48" i="18" s="1"/>
  <c r="A926" i="2" a="1"/>
  <c r="A926" i="2" s="1"/>
  <c r="I935" i="2" s="1"/>
  <c r="I942" i="2" s="1"/>
  <c r="J52" i="18" s="1"/>
  <c r="G924" i="2" a="1"/>
  <c r="G924" i="2" s="1"/>
  <c r="O933" i="2" s="1"/>
  <c r="O940" i="2" s="1"/>
  <c r="AE50" i="18" s="1"/>
  <c r="C927" i="2" a="1"/>
  <c r="C927" i="2" s="1"/>
  <c r="K936" i="2" s="1"/>
  <c r="K943" i="2" s="1"/>
  <c r="G923" i="2" a="1"/>
  <c r="G923" i="2" s="1"/>
  <c r="O932" i="2" s="1"/>
  <c r="O939" i="2" s="1"/>
  <c r="AE49" i="18" s="1"/>
  <c r="F926" i="2" a="1"/>
  <c r="F926" i="2" s="1"/>
  <c r="N935" i="2" s="1"/>
  <c r="N942" i="2" s="1"/>
  <c r="AD52" i="18" s="1"/>
  <c r="D922" i="2" a="1"/>
  <c r="D922" i="2" s="1"/>
  <c r="L931" i="2" s="1"/>
  <c r="E922" i="2" a="1"/>
  <c r="E922" i="2" s="1"/>
  <c r="M931" i="2" s="1"/>
  <c r="M938" i="2" s="1"/>
  <c r="AC48" i="18" s="1"/>
  <c r="N923" i="2"/>
  <c r="E924" i="2" a="1"/>
  <c r="E924" i="2" s="1"/>
  <c r="M933" i="2" s="1"/>
  <c r="M940" i="2" s="1"/>
  <c r="AC50" i="18" s="1"/>
  <c r="B922" i="2" a="1"/>
  <c r="B922" i="2" s="1"/>
  <c r="J931" i="2" s="1"/>
  <c r="J938" i="2" s="1"/>
  <c r="C48" i="18" s="1"/>
  <c r="G926" i="2" a="1"/>
  <c r="G926" i="2" s="1"/>
  <c r="O935" i="2" s="1"/>
  <c r="O942" i="2" s="1"/>
  <c r="AE52" i="18" s="1"/>
  <c r="B926" i="2" a="1"/>
  <c r="B926" i="2" s="1"/>
  <c r="J935" i="2" s="1"/>
  <c r="J942" i="2" s="1"/>
  <c r="C52" i="18" s="1"/>
  <c r="D926" i="2" a="1"/>
  <c r="D926" i="2" s="1"/>
  <c r="L935" i="2" s="1"/>
  <c r="G925" i="2" a="1"/>
  <c r="G925" i="2" s="1"/>
  <c r="O934" i="2" s="1"/>
  <c r="O941" i="2" s="1"/>
  <c r="AE51" i="18" s="1"/>
  <c r="D924" i="2" a="1"/>
  <c r="D924" i="2" s="1"/>
  <c r="L933" i="2" s="1"/>
  <c r="E926" i="2" a="1"/>
  <c r="E926" i="2" s="1"/>
  <c r="M935" i="2" s="1"/>
  <c r="M942" i="2" s="1"/>
  <c r="AC52" i="18" s="1"/>
  <c r="B927" i="2" a="1"/>
  <c r="B927" i="2" s="1"/>
  <c r="J936" i="2" s="1"/>
  <c r="J943" i="2" s="1"/>
  <c r="D925" i="2" a="1"/>
  <c r="D925" i="2" s="1"/>
  <c r="L934" i="2" s="1"/>
  <c r="D927" i="2" a="1"/>
  <c r="D927" i="2" s="1"/>
  <c r="L936" i="2" s="1"/>
  <c r="G922" i="2" a="1"/>
  <c r="G922" i="2" s="1"/>
  <c r="O931" i="2" s="1"/>
  <c r="O938" i="2" s="1"/>
  <c r="F923" i="2" a="1"/>
  <c r="F923" i="2" s="1"/>
  <c r="N932" i="2" s="1"/>
  <c r="N939" i="2" s="1"/>
  <c r="AD49" i="18" s="1"/>
  <c r="G927" i="2" a="1"/>
  <c r="G927" i="2" s="1"/>
  <c r="O936" i="2" s="1"/>
  <c r="O943" i="2" s="1"/>
  <c r="B925" i="2" a="1"/>
  <c r="B925" i="2" s="1"/>
  <c r="J934" i="2" s="1"/>
  <c r="J941" i="2" s="1"/>
  <c r="C51" i="18" s="1"/>
  <c r="D29" i="20"/>
  <c r="D23" i="20"/>
  <c r="D28" i="20"/>
  <c r="D21" i="20"/>
  <c r="D11" i="20"/>
  <c r="D15" i="20"/>
  <c r="D18" i="20"/>
  <c r="D33" i="20"/>
  <c r="D20" i="20"/>
  <c r="D35" i="20"/>
  <c r="D30" i="20"/>
  <c r="D22" i="20"/>
  <c r="D24" i="20"/>
  <c r="D12" i="20"/>
  <c r="D17" i="20"/>
  <c r="D32" i="20"/>
  <c r="D36" i="20"/>
  <c r="D26" i="20"/>
  <c r="D6" i="20"/>
  <c r="D4" i="20"/>
  <c r="D25" i="20"/>
  <c r="D13" i="20"/>
  <c r="D27" i="20"/>
  <c r="D14" i="20"/>
  <c r="D31" i="20"/>
  <c r="D9" i="20"/>
  <c r="D19" i="20"/>
  <c r="D34" i="20"/>
  <c r="D16" i="20"/>
  <c r="D10" i="20"/>
  <c r="D7" i="20"/>
  <c r="D5" i="20"/>
  <c r="D8" i="20"/>
  <c r="H991" i="2" l="1"/>
  <c r="AL570" i="2"/>
  <c r="I356" i="2"/>
  <c r="AJ1032" i="2"/>
  <c r="S45" i="17" s="1"/>
  <c r="I991" i="2"/>
  <c r="G993" i="2"/>
  <c r="O1013" i="2"/>
  <c r="K1161" i="2"/>
  <c r="O47" i="17" s="1"/>
  <c r="L1016" i="2"/>
  <c r="K1016" i="2" s="1"/>
  <c r="AI1464" i="2"/>
  <c r="AQ1464" i="2"/>
  <c r="AY1464" i="2" s="1"/>
  <c r="BG1464" i="2" s="1"/>
  <c r="AR1454" i="2"/>
  <c r="AZ1454" i="2" s="1"/>
  <c r="BH1454" i="2" s="1"/>
  <c r="AJ1454" i="2"/>
  <c r="O1461" i="2"/>
  <c r="H1320" i="2"/>
  <c r="H1326" i="2" s="1"/>
  <c r="D768" i="2"/>
  <c r="C768" i="2" s="1"/>
  <c r="N29" i="18" s="1"/>
  <c r="Q43" i="2"/>
  <c r="C44" i="1" s="1"/>
  <c r="B374" i="2" a="1"/>
  <c r="B374" i="2" s="1"/>
  <c r="AS36" i="16" s="1"/>
  <c r="F371" i="2" a="1"/>
  <c r="F371" i="2" s="1"/>
  <c r="Q33" i="16" s="1"/>
  <c r="P220" i="2"/>
  <c r="O47" i="1" s="1"/>
  <c r="C373" i="2" a="1"/>
  <c r="C373" i="2" s="1"/>
  <c r="AT35" i="16" s="1"/>
  <c r="C374" i="2" a="1"/>
  <c r="C374" i="2" s="1"/>
  <c r="AT36" i="16" s="1"/>
  <c r="E372" i="2" a="1"/>
  <c r="E372" i="2" s="1"/>
  <c r="AH34" i="16" s="1"/>
  <c r="D374" i="2" a="1"/>
  <c r="D374" i="2" s="1"/>
  <c r="Y36" i="16" s="1"/>
  <c r="F374" i="2" a="1"/>
  <c r="F374" i="2" s="1"/>
  <c r="Q36" i="16" s="1"/>
  <c r="A372" i="2" a="1"/>
  <c r="A372" i="2" s="1"/>
  <c r="AR34" i="16" s="1"/>
  <c r="D370" i="2" a="1"/>
  <c r="D370" i="2" s="1"/>
  <c r="Y32" i="16" s="1"/>
  <c r="A371" i="2" a="1"/>
  <c r="A371" i="2" s="1"/>
  <c r="AR33" i="16" s="1"/>
  <c r="A370" i="2" a="1"/>
  <c r="A370" i="2" s="1"/>
  <c r="AR32" i="16" s="1"/>
  <c r="A374" i="2" a="1"/>
  <c r="A374" i="2" s="1"/>
  <c r="AR36" i="16" s="1"/>
  <c r="B370" i="2" a="1"/>
  <c r="B370" i="2" s="1"/>
  <c r="AS32" i="16" s="1"/>
  <c r="C372" i="2" a="1"/>
  <c r="C372" i="2" s="1"/>
  <c r="AT34" i="16" s="1"/>
  <c r="F373" i="2" a="1"/>
  <c r="F373" i="2" s="1"/>
  <c r="Q35" i="16" s="1"/>
  <c r="E371" i="2" a="1"/>
  <c r="E371" i="2" s="1"/>
  <c r="AH33" i="16" s="1"/>
  <c r="E373" i="2" a="1"/>
  <c r="E373" i="2" s="1"/>
  <c r="AH35" i="16" s="1"/>
  <c r="J188" i="2"/>
  <c r="N1471" i="2"/>
  <c r="E370" i="2" a="1"/>
  <c r="E370" i="2" s="1"/>
  <c r="AH32" i="16" s="1"/>
  <c r="B371" i="2" a="1"/>
  <c r="B371" i="2" s="1"/>
  <c r="AS33" i="16" s="1"/>
  <c r="C371" i="2" a="1"/>
  <c r="C371" i="2" s="1"/>
  <c r="AT33" i="16" s="1"/>
  <c r="F370" i="2" a="1"/>
  <c r="F370" i="2" s="1"/>
  <c r="Q32" i="16" s="1"/>
  <c r="B373" i="2" a="1"/>
  <c r="B373" i="2" s="1"/>
  <c r="AS35" i="16" s="1"/>
  <c r="F372" i="2" a="1"/>
  <c r="F372" i="2" s="1"/>
  <c r="Q34" i="16" s="1"/>
  <c r="D372" i="2" a="1"/>
  <c r="D372" i="2" s="1"/>
  <c r="Y34" i="16" s="1"/>
  <c r="E1026" i="9"/>
  <c r="I1026" i="9" s="1"/>
  <c r="E962" i="9"/>
  <c r="I962" i="9" s="1"/>
  <c r="E898" i="9"/>
  <c r="I898" i="9" s="1"/>
  <c r="E834" i="9"/>
  <c r="I834" i="9" s="1"/>
  <c r="E770" i="9"/>
  <c r="I770" i="9" s="1"/>
  <c r="M8" i="10"/>
  <c r="N8" i="10" s="1"/>
  <c r="M40" i="10"/>
  <c r="N40" i="10" s="1"/>
  <c r="M72" i="10"/>
  <c r="N72" i="10" s="1"/>
  <c r="M104" i="10"/>
  <c r="N104" i="10" s="1"/>
  <c r="E1035" i="9"/>
  <c r="I1035" i="9" s="1"/>
  <c r="E971" i="9"/>
  <c r="I971" i="9" s="1"/>
  <c r="E907" i="9"/>
  <c r="I907" i="9" s="1"/>
  <c r="E843" i="9"/>
  <c r="I843" i="9" s="1"/>
  <c r="E779" i="9"/>
  <c r="I779" i="9" s="1"/>
  <c r="E715" i="9"/>
  <c r="I715" i="9" s="1"/>
  <c r="E1052" i="9"/>
  <c r="I1052" i="9" s="1"/>
  <c r="E988" i="9"/>
  <c r="I988" i="9" s="1"/>
  <c r="E924" i="9"/>
  <c r="I924" i="9" s="1"/>
  <c r="E860" i="9"/>
  <c r="I860" i="9" s="1"/>
  <c r="E796" i="9"/>
  <c r="I796" i="9" s="1"/>
  <c r="E732" i="9"/>
  <c r="I732" i="9" s="1"/>
  <c r="E1024" i="9"/>
  <c r="I1024" i="9" s="1"/>
  <c r="E960" i="9"/>
  <c r="I960" i="9" s="1"/>
  <c r="E896" i="9"/>
  <c r="I896" i="9" s="1"/>
  <c r="E832" i="9"/>
  <c r="I832" i="9" s="1"/>
  <c r="M9" i="10"/>
  <c r="N9" i="10" s="1"/>
  <c r="M73" i="10"/>
  <c r="N73" i="10" s="1"/>
  <c r="E1021" i="9"/>
  <c r="I1021" i="9" s="1"/>
  <c r="E893" i="9"/>
  <c r="I893" i="9" s="1"/>
  <c r="E761" i="9"/>
  <c r="I761" i="9" s="1"/>
  <c r="E692" i="9"/>
  <c r="I692" i="9" s="1"/>
  <c r="E624" i="9"/>
  <c r="I624" i="9" s="1"/>
  <c r="E560" i="9"/>
  <c r="I560" i="9" s="1"/>
  <c r="E496" i="9"/>
  <c r="I496" i="9" s="1"/>
  <c r="E432" i="9"/>
  <c r="I432" i="9" s="1"/>
  <c r="E368" i="9"/>
  <c r="I368" i="9" s="1"/>
  <c r="E304" i="9"/>
  <c r="I304" i="9" s="1"/>
  <c r="E240" i="9"/>
  <c r="I240" i="9" s="1"/>
  <c r="E178" i="9"/>
  <c r="I178" i="9" s="1"/>
  <c r="E116" i="9"/>
  <c r="I116" i="9" s="1"/>
  <c r="E54" i="9"/>
  <c r="I54" i="9" s="1"/>
  <c r="E1062" i="9"/>
  <c r="I1062" i="9" s="1"/>
  <c r="E934" i="9"/>
  <c r="I934" i="9" s="1"/>
  <c r="E806" i="9"/>
  <c r="I806" i="9" s="1"/>
  <c r="E705" i="9"/>
  <c r="I705" i="9" s="1"/>
  <c r="E641" i="9"/>
  <c r="I641" i="9" s="1"/>
  <c r="E577" i="9"/>
  <c r="I577" i="9" s="1"/>
  <c r="E513" i="9"/>
  <c r="I513" i="9" s="1"/>
  <c r="E449" i="9"/>
  <c r="I449" i="9" s="1"/>
  <c r="E385" i="9"/>
  <c r="I385" i="9" s="1"/>
  <c r="E321" i="9"/>
  <c r="I321" i="9" s="1"/>
  <c r="E257" i="9"/>
  <c r="I257" i="9" s="1"/>
  <c r="E133" i="9"/>
  <c r="I133" i="9" s="1"/>
  <c r="E71" i="9"/>
  <c r="I71" i="9" s="1"/>
  <c r="E9" i="9"/>
  <c r="I9" i="9" s="1"/>
  <c r="M58" i="10"/>
  <c r="N58" i="10" s="1"/>
  <c r="E1055" i="9"/>
  <c r="I1055" i="9" s="1"/>
  <c r="E927" i="9"/>
  <c r="I927" i="9" s="1"/>
  <c r="E799" i="9"/>
  <c r="I799" i="9" s="1"/>
  <c r="E680" i="9"/>
  <c r="I680" i="9" s="1"/>
  <c r="E618" i="9"/>
  <c r="I618" i="9" s="1"/>
  <c r="E554" i="9"/>
  <c r="I554" i="9" s="1"/>
  <c r="E490" i="9"/>
  <c r="I490" i="9" s="1"/>
  <c r="E426" i="9"/>
  <c r="I426" i="9" s="1"/>
  <c r="E362" i="9"/>
  <c r="I362" i="9" s="1"/>
  <c r="E298" i="9"/>
  <c r="I298" i="9" s="1"/>
  <c r="E234" i="9"/>
  <c r="I234" i="9" s="1"/>
  <c r="E172" i="9"/>
  <c r="I172" i="9" s="1"/>
  <c r="E110" i="9"/>
  <c r="I110" i="9" s="1"/>
  <c r="E48" i="9"/>
  <c r="I48" i="9" s="1"/>
  <c r="M14" i="10"/>
  <c r="N14" i="10" s="1"/>
  <c r="M78" i="10"/>
  <c r="N78" i="10" s="1"/>
  <c r="E1015" i="9"/>
  <c r="I1015" i="9" s="1"/>
  <c r="E887" i="9"/>
  <c r="I887" i="9" s="1"/>
  <c r="E745" i="9"/>
  <c r="I745" i="9" s="1"/>
  <c r="E670" i="9"/>
  <c r="I670" i="9" s="1"/>
  <c r="E606" i="9"/>
  <c r="I606" i="9" s="1"/>
  <c r="E542" i="9"/>
  <c r="I542" i="9" s="1"/>
  <c r="E478" i="9"/>
  <c r="I478" i="9" s="1"/>
  <c r="E414" i="9"/>
  <c r="I414" i="9" s="1"/>
  <c r="E350" i="9"/>
  <c r="I350" i="9" s="1"/>
  <c r="E286" i="9"/>
  <c r="I286" i="9" s="1"/>
  <c r="E222" i="9"/>
  <c r="I222" i="9" s="1"/>
  <c r="E160" i="9"/>
  <c r="I160" i="9" s="1"/>
  <c r="E98" i="9"/>
  <c r="I98" i="9" s="1"/>
  <c r="M51" i="10"/>
  <c r="N51" i="10" s="1"/>
  <c r="E929" i="9"/>
  <c r="I929" i="9" s="1"/>
  <c r="E689" i="9"/>
  <c r="I689" i="9" s="1"/>
  <c r="E555" i="9"/>
  <c r="I555" i="9" s="1"/>
  <c r="E427" i="9"/>
  <c r="I427" i="9" s="1"/>
  <c r="E299" i="9"/>
  <c r="I299" i="9" s="1"/>
  <c r="E173" i="9"/>
  <c r="I173" i="9" s="1"/>
  <c r="E49" i="9"/>
  <c r="I49" i="9" s="1"/>
  <c r="M69" i="10"/>
  <c r="N69" i="10" s="1"/>
  <c r="E901" i="9"/>
  <c r="I901" i="9" s="1"/>
  <c r="E694" i="9"/>
  <c r="I694" i="9" s="1"/>
  <c r="E580" i="9"/>
  <c r="I580" i="9" s="1"/>
  <c r="E452" i="9"/>
  <c r="I452" i="9" s="1"/>
  <c r="E324" i="9"/>
  <c r="I324" i="9" s="1"/>
  <c r="E196" i="9"/>
  <c r="I196" i="9" s="1"/>
  <c r="E74" i="9"/>
  <c r="I74" i="9" s="1"/>
  <c r="E958" i="9"/>
  <c r="I958" i="9" s="1"/>
  <c r="E716" i="9"/>
  <c r="I716" i="9" s="1"/>
  <c r="E597" i="9"/>
  <c r="I597" i="9" s="1"/>
  <c r="E469" i="9"/>
  <c r="I469" i="9" s="1"/>
  <c r="E341" i="9"/>
  <c r="I341" i="9" s="1"/>
  <c r="E213" i="9"/>
  <c r="I213" i="9" s="1"/>
  <c r="E89" i="9"/>
  <c r="I89" i="9" s="1"/>
  <c r="M47" i="10"/>
  <c r="N47" i="10" s="1"/>
  <c r="E953" i="9"/>
  <c r="I953" i="9" s="1"/>
  <c r="E700" i="9"/>
  <c r="I700" i="9" s="1"/>
  <c r="E567" i="9"/>
  <c r="I567" i="9" s="1"/>
  <c r="E439" i="9"/>
  <c r="I439" i="9" s="1"/>
  <c r="E311" i="9"/>
  <c r="I311" i="9" s="1"/>
  <c r="E185" i="9"/>
  <c r="I185" i="9" s="1"/>
  <c r="E61" i="9"/>
  <c r="I61" i="9" s="1"/>
  <c r="E977" i="9"/>
  <c r="I977" i="9" s="1"/>
  <c r="E643" i="9"/>
  <c r="I643" i="9" s="1"/>
  <c r="E387" i="9"/>
  <c r="I387" i="9" s="1"/>
  <c r="E135" i="9"/>
  <c r="I135" i="9" s="1"/>
  <c r="E1077" i="9"/>
  <c r="I1077" i="9" s="1"/>
  <c r="E364" i="9"/>
  <c r="I364" i="9" s="1"/>
  <c r="E974" i="9"/>
  <c r="I974" i="9" s="1"/>
  <c r="E605" i="9"/>
  <c r="I605" i="9" s="1"/>
  <c r="E349" i="9"/>
  <c r="I349" i="9" s="1"/>
  <c r="E97" i="9"/>
  <c r="I97" i="9" s="1"/>
  <c r="E1065" i="9"/>
  <c r="I1065" i="9" s="1"/>
  <c r="E655" i="9"/>
  <c r="I655" i="9" s="1"/>
  <c r="E399" i="9"/>
  <c r="I399" i="9" s="1"/>
  <c r="E145" i="9"/>
  <c r="I145" i="9" s="1"/>
  <c r="E119" i="9"/>
  <c r="I119" i="9" s="1"/>
  <c r="E686" i="9"/>
  <c r="I686" i="9" s="1"/>
  <c r="E429" i="9"/>
  <c r="I429" i="9" s="1"/>
  <c r="E175" i="9"/>
  <c r="I175" i="9" s="1"/>
  <c r="E492" i="9"/>
  <c r="I492" i="9" s="1"/>
  <c r="E499" i="9"/>
  <c r="I499" i="9" s="1"/>
  <c r="E1033" i="9"/>
  <c r="I1033" i="9" s="1"/>
  <c r="E607" i="9"/>
  <c r="I607" i="9" s="1"/>
  <c r="E351" i="9"/>
  <c r="I351" i="9" s="1"/>
  <c r="E99" i="9"/>
  <c r="I99" i="9" s="1"/>
  <c r="E332" i="9"/>
  <c r="I332" i="9" s="1"/>
  <c r="E945" i="9"/>
  <c r="I945" i="9" s="1"/>
  <c r="E403" i="9"/>
  <c r="I403" i="9" s="1"/>
  <c r="E348" i="9"/>
  <c r="I348" i="9" s="1"/>
  <c r="E917" i="9"/>
  <c r="I917" i="9" s="1"/>
  <c r="E476" i="9"/>
  <c r="I476" i="9" s="1"/>
  <c r="M13" i="10"/>
  <c r="N13" i="10" s="1"/>
  <c r="E1066" i="9"/>
  <c r="I1066" i="9" s="1"/>
  <c r="E938" i="9"/>
  <c r="I938" i="9" s="1"/>
  <c r="E874" i="9"/>
  <c r="I874" i="9" s="1"/>
  <c r="E746" i="9"/>
  <c r="I746" i="9" s="1"/>
  <c r="M20" i="10"/>
  <c r="N20" i="10" s="1"/>
  <c r="M52" i="10"/>
  <c r="N52" i="10" s="1"/>
  <c r="E1075" i="9"/>
  <c r="I1075" i="9" s="1"/>
  <c r="E1011" i="9"/>
  <c r="I1011" i="9" s="1"/>
  <c r="E947" i="9"/>
  <c r="I947" i="9" s="1"/>
  <c r="E755" i="9"/>
  <c r="I755" i="9" s="1"/>
  <c r="E691" i="9"/>
  <c r="I691" i="9" s="1"/>
  <c r="E964" i="9"/>
  <c r="I964" i="9" s="1"/>
  <c r="E900" i="9"/>
  <c r="I900" i="9" s="1"/>
  <c r="E772" i="9"/>
  <c r="I772" i="9" s="1"/>
  <c r="E1000" i="9"/>
  <c r="I1000" i="9" s="1"/>
  <c r="E872" i="9"/>
  <c r="I872" i="9" s="1"/>
  <c r="M33" i="10"/>
  <c r="N33" i="10" s="1"/>
  <c r="E845" i="9"/>
  <c r="I845" i="9" s="1"/>
  <c r="E664" i="9"/>
  <c r="I664" i="9" s="1"/>
  <c r="E472" i="9"/>
  <c r="I472" i="9" s="1"/>
  <c r="E344" i="9"/>
  <c r="I344" i="9" s="1"/>
  <c r="E154" i="9"/>
  <c r="I154" i="9" s="1"/>
  <c r="E32" i="9"/>
  <c r="I32" i="9" s="1"/>
  <c r="E886" i="9"/>
  <c r="I886" i="9" s="1"/>
  <c r="E617" i="9"/>
  <c r="I617" i="9" s="1"/>
  <c r="E489" i="9"/>
  <c r="I489" i="9" s="1"/>
  <c r="E361" i="9"/>
  <c r="I361" i="9" s="1"/>
  <c r="E233" i="9"/>
  <c r="I233" i="9" s="1"/>
  <c r="E109" i="9"/>
  <c r="I109" i="9" s="1"/>
  <c r="M82" i="10"/>
  <c r="N82" i="10" s="1"/>
  <c r="E879" i="9"/>
  <c r="I879" i="9" s="1"/>
  <c r="E658" i="9"/>
  <c r="I658" i="9" s="1"/>
  <c r="E466" i="9"/>
  <c r="I466" i="9" s="1"/>
  <c r="E338" i="9"/>
  <c r="I338" i="9" s="1"/>
  <c r="E210" i="9"/>
  <c r="I210" i="9" s="1"/>
  <c r="M102" i="10"/>
  <c r="N102" i="10" s="1"/>
  <c r="E839" i="9"/>
  <c r="I839" i="9" s="1"/>
  <c r="E646" i="9"/>
  <c r="I646" i="9" s="1"/>
  <c r="E390" i="9"/>
  <c r="I390" i="9" s="1"/>
  <c r="E262" i="9"/>
  <c r="I262" i="9" s="1"/>
  <c r="E138" i="9"/>
  <c r="I138" i="9" s="1"/>
  <c r="M99" i="10"/>
  <c r="N99" i="10" s="1"/>
  <c r="E635" i="9"/>
  <c r="I635" i="9" s="1"/>
  <c r="E251" i="9"/>
  <c r="I251" i="9" s="1"/>
  <c r="E1061" i="9"/>
  <c r="I1061" i="9" s="1"/>
  <c r="E532" i="9"/>
  <c r="I532" i="9" s="1"/>
  <c r="E276" i="9"/>
  <c r="I276" i="9" s="1"/>
  <c r="E862" i="9"/>
  <c r="I862" i="9" s="1"/>
  <c r="E549" i="9"/>
  <c r="I549" i="9" s="1"/>
  <c r="E1018" i="9"/>
  <c r="I1018" i="9" s="1"/>
  <c r="E954" i="9"/>
  <c r="I954" i="9" s="1"/>
  <c r="E890" i="9"/>
  <c r="I890" i="9" s="1"/>
  <c r="E826" i="9"/>
  <c r="I826" i="9" s="1"/>
  <c r="E762" i="9"/>
  <c r="I762" i="9" s="1"/>
  <c r="M12" i="10"/>
  <c r="N12" i="10" s="1"/>
  <c r="M44" i="10"/>
  <c r="N44" i="10" s="1"/>
  <c r="M76" i="10"/>
  <c r="N76" i="10" s="1"/>
  <c r="M108" i="10"/>
  <c r="N108" i="10" s="1"/>
  <c r="E1027" i="9"/>
  <c r="I1027" i="9" s="1"/>
  <c r="E963" i="9"/>
  <c r="I963" i="9" s="1"/>
  <c r="E899" i="9"/>
  <c r="I899" i="9" s="1"/>
  <c r="E835" i="9"/>
  <c r="I835" i="9" s="1"/>
  <c r="E771" i="9"/>
  <c r="I771" i="9" s="1"/>
  <c r="E707" i="9"/>
  <c r="I707" i="9" s="1"/>
  <c r="E1044" i="9"/>
  <c r="I1044" i="9" s="1"/>
  <c r="E980" i="9"/>
  <c r="I980" i="9" s="1"/>
  <c r="E916" i="9"/>
  <c r="I916" i="9" s="1"/>
  <c r="E852" i="9"/>
  <c r="I852" i="9" s="1"/>
  <c r="E788" i="9"/>
  <c r="I788" i="9" s="1"/>
  <c r="E724" i="9"/>
  <c r="I724" i="9" s="1"/>
  <c r="E1016" i="9"/>
  <c r="I1016" i="9" s="1"/>
  <c r="E952" i="9"/>
  <c r="I952" i="9" s="1"/>
  <c r="E888" i="9"/>
  <c r="I888" i="9" s="1"/>
  <c r="E824" i="9"/>
  <c r="I824" i="9" s="1"/>
  <c r="M17" i="10"/>
  <c r="N17" i="10" s="1"/>
  <c r="M81" i="10"/>
  <c r="N81" i="10" s="1"/>
  <c r="E1005" i="9"/>
  <c r="I1005" i="9" s="1"/>
  <c r="E877" i="9"/>
  <c r="I877" i="9" s="1"/>
  <c r="E759" i="9"/>
  <c r="I759" i="9" s="1"/>
  <c r="E679" i="9"/>
  <c r="I679" i="9" s="1"/>
  <c r="E616" i="9"/>
  <c r="I616" i="9" s="1"/>
  <c r="E552" i="9"/>
  <c r="I552" i="9" s="1"/>
  <c r="E488" i="9"/>
  <c r="I488" i="9" s="1"/>
  <c r="E424" i="9"/>
  <c r="I424" i="9" s="1"/>
  <c r="E360" i="9"/>
  <c r="I360" i="9" s="1"/>
  <c r="E296" i="9"/>
  <c r="I296" i="9" s="1"/>
  <c r="E232" i="9"/>
  <c r="I232" i="9" s="1"/>
  <c r="E170" i="9"/>
  <c r="I170" i="9" s="1"/>
  <c r="E108" i="9"/>
  <c r="I108" i="9" s="1"/>
  <c r="E46" i="9"/>
  <c r="I46" i="9" s="1"/>
  <c r="E1046" i="9"/>
  <c r="I1046" i="9" s="1"/>
  <c r="E918" i="9"/>
  <c r="I918" i="9" s="1"/>
  <c r="E790" i="9"/>
  <c r="I790" i="9" s="1"/>
  <c r="E701" i="9"/>
  <c r="I701" i="9" s="1"/>
  <c r="E633" i="9"/>
  <c r="I633" i="9" s="1"/>
  <c r="E569" i="9"/>
  <c r="I569" i="9" s="1"/>
  <c r="E505" i="9"/>
  <c r="I505" i="9" s="1"/>
  <c r="E441" i="9"/>
  <c r="I441" i="9" s="1"/>
  <c r="E377" i="9"/>
  <c r="I377" i="9" s="1"/>
  <c r="E313" i="9"/>
  <c r="I313" i="9" s="1"/>
  <c r="E249" i="9"/>
  <c r="I249" i="9" s="1"/>
  <c r="E187" i="9"/>
  <c r="I187" i="9" s="1"/>
  <c r="E125" i="9"/>
  <c r="I125" i="9" s="1"/>
  <c r="E63" i="9"/>
  <c r="I63" i="9" s="1"/>
  <c r="M2" i="10"/>
  <c r="M66" i="10"/>
  <c r="N66" i="10" s="1"/>
  <c r="E1039" i="9"/>
  <c r="I1039" i="9" s="1"/>
  <c r="E911" i="9"/>
  <c r="I911" i="9" s="1"/>
  <c r="E783" i="9"/>
  <c r="I783" i="9" s="1"/>
  <c r="E674" i="9"/>
  <c r="I674" i="9" s="1"/>
  <c r="E610" i="9"/>
  <c r="I610" i="9" s="1"/>
  <c r="E546" i="9"/>
  <c r="I546" i="9" s="1"/>
  <c r="E482" i="9"/>
  <c r="I482" i="9" s="1"/>
  <c r="E418" i="9"/>
  <c r="I418" i="9" s="1"/>
  <c r="E354" i="9"/>
  <c r="I354" i="9" s="1"/>
  <c r="E290" i="9"/>
  <c r="I290" i="9" s="1"/>
  <c r="E226" i="9"/>
  <c r="I226" i="9" s="1"/>
  <c r="E164" i="9"/>
  <c r="I164" i="9" s="1"/>
  <c r="E102" i="9"/>
  <c r="I102" i="9" s="1"/>
  <c r="E40" i="9"/>
  <c r="I40" i="9" s="1"/>
  <c r="M22" i="10"/>
  <c r="N22" i="10" s="1"/>
  <c r="M86" i="10"/>
  <c r="N86" i="10" s="1"/>
  <c r="E999" i="9"/>
  <c r="I999" i="9" s="1"/>
  <c r="E871" i="9"/>
  <c r="I871" i="9" s="1"/>
  <c r="E743" i="9"/>
  <c r="I743" i="9" s="1"/>
  <c r="E662" i="9"/>
  <c r="I662" i="9" s="1"/>
  <c r="E598" i="9"/>
  <c r="I598" i="9" s="1"/>
  <c r="E534" i="9"/>
  <c r="I534" i="9" s="1"/>
  <c r="E470" i="9"/>
  <c r="I470" i="9" s="1"/>
  <c r="E406" i="9"/>
  <c r="I406" i="9" s="1"/>
  <c r="E342" i="9"/>
  <c r="I342" i="9" s="1"/>
  <c r="E278" i="9"/>
  <c r="I278" i="9" s="1"/>
  <c r="E214" i="9"/>
  <c r="I214" i="9" s="1"/>
  <c r="E152" i="9"/>
  <c r="I152" i="9" s="1"/>
  <c r="E90" i="9"/>
  <c r="I90" i="9" s="1"/>
  <c r="E30" i="9"/>
  <c r="I30" i="9" s="1"/>
  <c r="M67" i="10"/>
  <c r="N67" i="10" s="1"/>
  <c r="E897" i="9"/>
  <c r="I897" i="9" s="1"/>
  <c r="E667" i="9"/>
  <c r="I667" i="9" s="1"/>
  <c r="E539" i="9"/>
  <c r="I539" i="9" s="1"/>
  <c r="E411" i="9"/>
  <c r="I411" i="9" s="1"/>
  <c r="E283" i="9"/>
  <c r="I283" i="9" s="1"/>
  <c r="E157" i="9"/>
  <c r="I157" i="9" s="1"/>
  <c r="E35" i="9"/>
  <c r="I35" i="9" s="1"/>
  <c r="M85" i="10"/>
  <c r="N85" i="10" s="1"/>
  <c r="E869" i="9"/>
  <c r="I869" i="9" s="1"/>
  <c r="E681" i="9"/>
  <c r="I681" i="9" s="1"/>
  <c r="E564" i="9"/>
  <c r="I564" i="9" s="1"/>
  <c r="E436" i="9"/>
  <c r="I436" i="9" s="1"/>
  <c r="E308" i="9"/>
  <c r="I308" i="9" s="1"/>
  <c r="E182" i="9"/>
  <c r="I182" i="9" s="1"/>
  <c r="E58" i="9"/>
  <c r="I58" i="9" s="1"/>
  <c r="E926" i="9"/>
  <c r="I926" i="9" s="1"/>
  <c r="E703" i="9"/>
  <c r="I703" i="9" s="1"/>
  <c r="E581" i="9"/>
  <c r="I581" i="9" s="1"/>
  <c r="E453" i="9"/>
  <c r="I453" i="9" s="1"/>
  <c r="E325" i="9"/>
  <c r="I325" i="9" s="1"/>
  <c r="E197" i="9"/>
  <c r="I197" i="9" s="1"/>
  <c r="E75" i="9"/>
  <c r="I75" i="9" s="1"/>
  <c r="M63" i="10"/>
  <c r="N63" i="10" s="1"/>
  <c r="E921" i="9"/>
  <c r="I921" i="9" s="1"/>
  <c r="E687" i="9"/>
  <c r="I687" i="9" s="1"/>
  <c r="E551" i="9"/>
  <c r="I551" i="9" s="1"/>
  <c r="E423" i="9"/>
  <c r="I423" i="9" s="1"/>
  <c r="E295" i="9"/>
  <c r="I295" i="9" s="1"/>
  <c r="E169" i="9"/>
  <c r="I169" i="9" s="1"/>
  <c r="E45" i="9"/>
  <c r="I45" i="9" s="1"/>
  <c r="E913" i="9"/>
  <c r="I913" i="9" s="1"/>
  <c r="E611" i="9"/>
  <c r="I611" i="9" s="1"/>
  <c r="E355" i="9"/>
  <c r="I355" i="9" s="1"/>
  <c r="E103" i="9"/>
  <c r="I103" i="9" s="1"/>
  <c r="E1013" i="9"/>
  <c r="I1013" i="9" s="1"/>
  <c r="E204" i="9"/>
  <c r="I204" i="9" s="1"/>
  <c r="E910" i="9"/>
  <c r="I910" i="9" s="1"/>
  <c r="E573" i="9"/>
  <c r="I573" i="9" s="1"/>
  <c r="E317" i="9"/>
  <c r="I317" i="9" s="1"/>
  <c r="E67" i="9"/>
  <c r="I67" i="9" s="1"/>
  <c r="E1001" i="9"/>
  <c r="I1001" i="9" s="1"/>
  <c r="E623" i="9"/>
  <c r="I623" i="9" s="1"/>
  <c r="E367" i="9"/>
  <c r="I367" i="9" s="1"/>
  <c r="E115" i="9"/>
  <c r="I115" i="9" s="1"/>
  <c r="E57" i="9"/>
  <c r="I57" i="9" s="1"/>
  <c r="E653" i="9"/>
  <c r="I653" i="9" s="1"/>
  <c r="E397" i="9"/>
  <c r="I397" i="9" s="1"/>
  <c r="E143" i="9"/>
  <c r="I143" i="9" s="1"/>
  <c r="E396" i="9"/>
  <c r="I396" i="9" s="1"/>
  <c r="E339" i="9"/>
  <c r="I339" i="9" s="1"/>
  <c r="E969" i="9"/>
  <c r="I969" i="9" s="1"/>
  <c r="E575" i="9"/>
  <c r="I575" i="9" s="1"/>
  <c r="E319" i="9"/>
  <c r="I319" i="9" s="1"/>
  <c r="E69" i="9"/>
  <c r="I69" i="9" s="1"/>
  <c r="E300" i="9"/>
  <c r="I300" i="9" s="1"/>
  <c r="E749" i="9"/>
  <c r="I749" i="9" s="1"/>
  <c r="E275" i="9"/>
  <c r="I275" i="9" s="1"/>
  <c r="E96" i="9"/>
  <c r="I96" i="9" s="1"/>
  <c r="E636" i="9"/>
  <c r="I636" i="9" s="1"/>
  <c r="E220" i="9"/>
  <c r="I220" i="9" s="1"/>
  <c r="E789" i="9"/>
  <c r="I789" i="9" s="1"/>
  <c r="E1074" i="9"/>
  <c r="I1074" i="9" s="1"/>
  <c r="E1010" i="9"/>
  <c r="I1010" i="9" s="1"/>
  <c r="E946" i="9"/>
  <c r="I946" i="9" s="1"/>
  <c r="E882" i="9"/>
  <c r="I882" i="9" s="1"/>
  <c r="E818" i="9"/>
  <c r="I818" i="9" s="1"/>
  <c r="E754" i="9"/>
  <c r="I754" i="9" s="1"/>
  <c r="M16" i="10"/>
  <c r="N16" i="10" s="1"/>
  <c r="M48" i="10"/>
  <c r="N48" i="10" s="1"/>
  <c r="M80" i="10"/>
  <c r="N80" i="10" s="1"/>
  <c r="M112" i="10"/>
  <c r="N112" i="10" s="1"/>
  <c r="E1019" i="9"/>
  <c r="I1019" i="9" s="1"/>
  <c r="E955" i="9"/>
  <c r="I955" i="9" s="1"/>
  <c r="E891" i="9"/>
  <c r="I891" i="9" s="1"/>
  <c r="E827" i="9"/>
  <c r="I827" i="9" s="1"/>
  <c r="E763" i="9"/>
  <c r="I763" i="9" s="1"/>
  <c r="E699" i="9"/>
  <c r="I699" i="9" s="1"/>
  <c r="E1036" i="9"/>
  <c r="I1036" i="9" s="1"/>
  <c r="E972" i="9"/>
  <c r="I972" i="9" s="1"/>
  <c r="E908" i="9"/>
  <c r="I908" i="9" s="1"/>
  <c r="E844" i="9"/>
  <c r="I844" i="9" s="1"/>
  <c r="E780" i="9"/>
  <c r="I780" i="9" s="1"/>
  <c r="E1072" i="9"/>
  <c r="I1072" i="9" s="1"/>
  <c r="E1008" i="9"/>
  <c r="I1008" i="9" s="1"/>
  <c r="E944" i="9"/>
  <c r="I944" i="9" s="1"/>
  <c r="E880" i="9"/>
  <c r="I880" i="9" s="1"/>
  <c r="E816" i="9"/>
  <c r="I816" i="9" s="1"/>
  <c r="M25" i="10"/>
  <c r="N25" i="10" s="1"/>
  <c r="M89" i="10"/>
  <c r="N89" i="10" s="1"/>
  <c r="E989" i="9"/>
  <c r="I989" i="9" s="1"/>
  <c r="E861" i="9"/>
  <c r="I861" i="9" s="1"/>
  <c r="E757" i="9"/>
  <c r="I757" i="9" s="1"/>
  <c r="E672" i="9"/>
  <c r="I672" i="9" s="1"/>
  <c r="E608" i="9"/>
  <c r="I608" i="9" s="1"/>
  <c r="E544" i="9"/>
  <c r="I544" i="9" s="1"/>
  <c r="E480" i="9"/>
  <c r="I480" i="9" s="1"/>
  <c r="E416" i="9"/>
  <c r="I416" i="9" s="1"/>
  <c r="E352" i="9"/>
  <c r="I352" i="9" s="1"/>
  <c r="E288" i="9"/>
  <c r="I288" i="9" s="1"/>
  <c r="E224" i="9"/>
  <c r="I224" i="9" s="1"/>
  <c r="E162" i="9"/>
  <c r="I162" i="9" s="1"/>
  <c r="E100" i="9"/>
  <c r="I100" i="9" s="1"/>
  <c r="E38" i="9"/>
  <c r="I38" i="9" s="1"/>
  <c r="E1030" i="9"/>
  <c r="I1030" i="9" s="1"/>
  <c r="E902" i="9"/>
  <c r="I902" i="9" s="1"/>
  <c r="E774" i="9"/>
  <c r="I774" i="9" s="1"/>
  <c r="E688" i="9"/>
  <c r="I688" i="9" s="1"/>
  <c r="E625" i="9"/>
  <c r="I625" i="9" s="1"/>
  <c r="E561" i="9"/>
  <c r="I561" i="9" s="1"/>
  <c r="E497" i="9"/>
  <c r="I497" i="9" s="1"/>
  <c r="E433" i="9"/>
  <c r="I433" i="9" s="1"/>
  <c r="E369" i="9"/>
  <c r="I369" i="9" s="1"/>
  <c r="E305" i="9"/>
  <c r="I305" i="9" s="1"/>
  <c r="E241" i="9"/>
  <c r="I241" i="9" s="1"/>
  <c r="E179" i="9"/>
  <c r="I179" i="9" s="1"/>
  <c r="E117" i="9"/>
  <c r="I117" i="9" s="1"/>
  <c r="E55" i="9"/>
  <c r="I55" i="9" s="1"/>
  <c r="M10" i="10"/>
  <c r="N10" i="10" s="1"/>
  <c r="M74" i="10"/>
  <c r="N74" i="10" s="1"/>
  <c r="E1023" i="9"/>
  <c r="I1023" i="9" s="1"/>
  <c r="E895" i="9"/>
  <c r="I895" i="9" s="1"/>
  <c r="E744" i="9"/>
  <c r="I744" i="9" s="1"/>
  <c r="E666" i="9"/>
  <c r="I666" i="9" s="1"/>
  <c r="E602" i="9"/>
  <c r="I602" i="9" s="1"/>
  <c r="E538" i="9"/>
  <c r="I538" i="9" s="1"/>
  <c r="E474" i="9"/>
  <c r="I474" i="9" s="1"/>
  <c r="E410" i="9"/>
  <c r="I410" i="9" s="1"/>
  <c r="E346" i="9"/>
  <c r="I346" i="9" s="1"/>
  <c r="E282" i="9"/>
  <c r="I282" i="9" s="1"/>
  <c r="E218" i="9"/>
  <c r="I218" i="9" s="1"/>
  <c r="E156" i="9"/>
  <c r="I156" i="9" s="1"/>
  <c r="E94" i="9"/>
  <c r="I94" i="9" s="1"/>
  <c r="E34" i="9"/>
  <c r="I34" i="9" s="1"/>
  <c r="M30" i="10"/>
  <c r="N30" i="10" s="1"/>
  <c r="M94" i="10"/>
  <c r="N94" i="10" s="1"/>
  <c r="E983" i="9"/>
  <c r="I983" i="9" s="1"/>
  <c r="E855" i="9"/>
  <c r="I855" i="9" s="1"/>
  <c r="E741" i="9"/>
  <c r="I741" i="9" s="1"/>
  <c r="E654" i="9"/>
  <c r="I654" i="9" s="1"/>
  <c r="E590" i="9"/>
  <c r="I590" i="9" s="1"/>
  <c r="E526" i="9"/>
  <c r="I526" i="9" s="1"/>
  <c r="E462" i="9"/>
  <c r="I462" i="9" s="1"/>
  <c r="E398" i="9"/>
  <c r="I398" i="9" s="1"/>
  <c r="E334" i="9"/>
  <c r="I334" i="9" s="1"/>
  <c r="E270" i="9"/>
  <c r="I270" i="9" s="1"/>
  <c r="E206" i="9"/>
  <c r="I206" i="9" s="1"/>
  <c r="E144" i="9"/>
  <c r="I144" i="9" s="1"/>
  <c r="E84" i="9"/>
  <c r="I84" i="9" s="1"/>
  <c r="E22" i="9"/>
  <c r="I22" i="9" s="1"/>
  <c r="M83" i="10"/>
  <c r="N83" i="10" s="1"/>
  <c r="E865" i="9"/>
  <c r="I865" i="9" s="1"/>
  <c r="E651" i="9"/>
  <c r="I651" i="9" s="1"/>
  <c r="E523" i="9"/>
  <c r="I523" i="9" s="1"/>
  <c r="E395" i="9"/>
  <c r="I395" i="9" s="1"/>
  <c r="E267" i="9"/>
  <c r="I267" i="9" s="1"/>
  <c r="E19" i="9"/>
  <c r="I19" i="9" s="1"/>
  <c r="M101" i="10"/>
  <c r="N101" i="10" s="1"/>
  <c r="E837" i="9"/>
  <c r="I837" i="9" s="1"/>
  <c r="E676" i="9"/>
  <c r="I676" i="9" s="1"/>
  <c r="E548" i="9"/>
  <c r="I548" i="9" s="1"/>
  <c r="E420" i="9"/>
  <c r="I420" i="9" s="1"/>
  <c r="E292" i="9"/>
  <c r="I292" i="9" s="1"/>
  <c r="E166" i="9"/>
  <c r="I166" i="9" s="1"/>
  <c r="E42" i="9"/>
  <c r="I42" i="9" s="1"/>
  <c r="E894" i="9"/>
  <c r="I894" i="9" s="1"/>
  <c r="E690" i="9"/>
  <c r="I690" i="9" s="1"/>
  <c r="E565" i="9"/>
  <c r="I565" i="9" s="1"/>
  <c r="E437" i="9"/>
  <c r="I437" i="9" s="1"/>
  <c r="E309" i="9"/>
  <c r="I309" i="9" s="1"/>
  <c r="E183" i="9"/>
  <c r="I183" i="9" s="1"/>
  <c r="E59" i="9"/>
  <c r="I59" i="9" s="1"/>
  <c r="M79" i="10"/>
  <c r="N79" i="10" s="1"/>
  <c r="E889" i="9"/>
  <c r="I889" i="9" s="1"/>
  <c r="E663" i="9"/>
  <c r="I663" i="9" s="1"/>
  <c r="E535" i="9"/>
  <c r="I535" i="9" s="1"/>
  <c r="E407" i="9"/>
  <c r="I407" i="9" s="1"/>
  <c r="E279" i="9"/>
  <c r="I279" i="9" s="1"/>
  <c r="E153" i="9"/>
  <c r="I153" i="9" s="1"/>
  <c r="E31" i="9"/>
  <c r="I31" i="9" s="1"/>
  <c r="E849" i="9"/>
  <c r="I849" i="9" s="1"/>
  <c r="E579" i="9"/>
  <c r="I579" i="9" s="1"/>
  <c r="E323" i="9"/>
  <c r="I323" i="9" s="1"/>
  <c r="E73" i="9"/>
  <c r="I73" i="9" s="1"/>
  <c r="E949" i="9"/>
  <c r="I949" i="9" s="1"/>
  <c r="E846" i="9"/>
  <c r="I846" i="9" s="1"/>
  <c r="E541" i="9"/>
  <c r="I541" i="9" s="1"/>
  <c r="E285" i="9"/>
  <c r="I285" i="9" s="1"/>
  <c r="E37" i="9"/>
  <c r="I37" i="9" s="1"/>
  <c r="E937" i="9"/>
  <c r="I937" i="9" s="1"/>
  <c r="E591" i="9"/>
  <c r="I591" i="9" s="1"/>
  <c r="E335" i="9"/>
  <c r="I335" i="9" s="1"/>
  <c r="E85" i="9"/>
  <c r="I85" i="9" s="1"/>
  <c r="E1070" i="9"/>
  <c r="I1070" i="9" s="1"/>
  <c r="E621" i="9"/>
  <c r="I621" i="9" s="1"/>
  <c r="E365" i="9"/>
  <c r="I365" i="9" s="1"/>
  <c r="E113" i="9"/>
  <c r="I113" i="9" s="1"/>
  <c r="E112" i="9"/>
  <c r="I112" i="9" s="1"/>
  <c r="E243" i="9"/>
  <c r="I243" i="9" s="1"/>
  <c r="E905" i="9"/>
  <c r="I905" i="9" s="1"/>
  <c r="E543" i="9"/>
  <c r="I543" i="9" s="1"/>
  <c r="E287" i="9"/>
  <c r="I287" i="9" s="1"/>
  <c r="E268" i="9"/>
  <c r="I268" i="9" s="1"/>
  <c r="E720" i="9"/>
  <c r="I720" i="9" s="1"/>
  <c r="E181" i="9"/>
  <c r="I181" i="9" s="1"/>
  <c r="M109" i="10"/>
  <c r="N109" i="10" s="1"/>
  <c r="E380" i="9"/>
  <c r="I380" i="9" s="1"/>
  <c r="E508" i="9"/>
  <c r="I508" i="9" s="1"/>
  <c r="E727" i="9"/>
  <c r="I727" i="9" s="1"/>
  <c r="E819" i="9"/>
  <c r="I819" i="9" s="1"/>
  <c r="E1064" i="9"/>
  <c r="I1064" i="9" s="1"/>
  <c r="E808" i="9"/>
  <c r="I808" i="9" s="1"/>
  <c r="E973" i="9"/>
  <c r="I973" i="9" s="1"/>
  <c r="E728" i="9"/>
  <c r="I728" i="9" s="1"/>
  <c r="E536" i="9"/>
  <c r="I536" i="9" s="1"/>
  <c r="E408" i="9"/>
  <c r="I408" i="9" s="1"/>
  <c r="E280" i="9"/>
  <c r="I280" i="9" s="1"/>
  <c r="E92" i="9"/>
  <c r="I92" i="9" s="1"/>
  <c r="E1014" i="9"/>
  <c r="I1014" i="9" s="1"/>
  <c r="E768" i="9"/>
  <c r="I768" i="9" s="1"/>
  <c r="E553" i="9"/>
  <c r="I553" i="9" s="1"/>
  <c r="E425" i="9"/>
  <c r="I425" i="9" s="1"/>
  <c r="E297" i="9"/>
  <c r="I297" i="9" s="1"/>
  <c r="E171" i="9"/>
  <c r="I171" i="9" s="1"/>
  <c r="M18" i="10"/>
  <c r="N18" i="10" s="1"/>
  <c r="E1007" i="9"/>
  <c r="I1007" i="9" s="1"/>
  <c r="E742" i="9"/>
  <c r="I742" i="9" s="1"/>
  <c r="E594" i="9"/>
  <c r="I594" i="9" s="1"/>
  <c r="E402" i="9"/>
  <c r="I402" i="9" s="1"/>
  <c r="E274" i="9"/>
  <c r="I274" i="9" s="1"/>
  <c r="E148" i="9"/>
  <c r="I148" i="9" s="1"/>
  <c r="E26" i="9"/>
  <c r="I26" i="9" s="1"/>
  <c r="E967" i="9"/>
  <c r="I967" i="9" s="1"/>
  <c r="E712" i="9"/>
  <c r="I712" i="9" s="1"/>
  <c r="E582" i="9"/>
  <c r="I582" i="9" s="1"/>
  <c r="E454" i="9"/>
  <c r="I454" i="9" s="1"/>
  <c r="E326" i="9"/>
  <c r="I326" i="9" s="1"/>
  <c r="E198" i="9"/>
  <c r="I198" i="9" s="1"/>
  <c r="E76" i="9"/>
  <c r="I76" i="9" s="1"/>
  <c r="E833" i="9"/>
  <c r="I833" i="9" s="1"/>
  <c r="E507" i="9"/>
  <c r="I507" i="9" s="1"/>
  <c r="E379" i="9"/>
  <c r="I379" i="9" s="1"/>
  <c r="E127" i="9"/>
  <c r="I127" i="9" s="1"/>
  <c r="E805" i="9"/>
  <c r="I805" i="9" s="1"/>
  <c r="E660" i="9"/>
  <c r="I660" i="9" s="1"/>
  <c r="E404" i="9"/>
  <c r="I404" i="9" s="1"/>
  <c r="E150" i="9"/>
  <c r="I150" i="9" s="1"/>
  <c r="E677" i="9"/>
  <c r="I677" i="9" s="1"/>
  <c r="E1002" i="9"/>
  <c r="I1002" i="9" s="1"/>
  <c r="E810" i="9"/>
  <c r="I810" i="9" s="1"/>
  <c r="M84" i="10"/>
  <c r="N84" i="10" s="1"/>
  <c r="E883" i="9"/>
  <c r="I883" i="9" s="1"/>
  <c r="E1028" i="9"/>
  <c r="I1028" i="9" s="1"/>
  <c r="E836" i="9"/>
  <c r="I836" i="9" s="1"/>
  <c r="E936" i="9"/>
  <c r="I936" i="9" s="1"/>
  <c r="M97" i="10"/>
  <c r="N97" i="10" s="1"/>
  <c r="E600" i="9"/>
  <c r="I600" i="9" s="1"/>
  <c r="E216" i="9"/>
  <c r="I216" i="9" s="1"/>
  <c r="E684" i="9"/>
  <c r="I684" i="9" s="1"/>
  <c r="E47" i="9"/>
  <c r="I47" i="9" s="1"/>
  <c r="E530" i="9"/>
  <c r="I530" i="9" s="1"/>
  <c r="M38" i="10"/>
  <c r="N38" i="10" s="1"/>
  <c r="E518" i="9"/>
  <c r="I518" i="9" s="1"/>
  <c r="E14" i="9"/>
  <c r="I14" i="9" s="1"/>
  <c r="E3" i="9"/>
  <c r="I3" i="9" s="1"/>
  <c r="E1050" i="9"/>
  <c r="I1050" i="9" s="1"/>
  <c r="E986" i="9"/>
  <c r="I986" i="9" s="1"/>
  <c r="E922" i="9"/>
  <c r="I922" i="9" s="1"/>
  <c r="E858" i="9"/>
  <c r="I858" i="9" s="1"/>
  <c r="E794" i="9"/>
  <c r="I794" i="9" s="1"/>
  <c r="E730" i="9"/>
  <c r="I730" i="9" s="1"/>
  <c r="M28" i="10"/>
  <c r="N28" i="10" s="1"/>
  <c r="M60" i="10"/>
  <c r="N60" i="10" s="1"/>
  <c r="M92" i="10"/>
  <c r="N92" i="10" s="1"/>
  <c r="E1059" i="9"/>
  <c r="I1059" i="9" s="1"/>
  <c r="E995" i="9"/>
  <c r="I995" i="9" s="1"/>
  <c r="E931" i="9"/>
  <c r="I931" i="9" s="1"/>
  <c r="E867" i="9"/>
  <c r="I867" i="9" s="1"/>
  <c r="E803" i="9"/>
  <c r="I803" i="9" s="1"/>
  <c r="E739" i="9"/>
  <c r="I739" i="9" s="1"/>
  <c r="E1076" i="9"/>
  <c r="I1076" i="9" s="1"/>
  <c r="E1012" i="9"/>
  <c r="I1012" i="9" s="1"/>
  <c r="E948" i="9"/>
  <c r="I948" i="9" s="1"/>
  <c r="E884" i="9"/>
  <c r="I884" i="9" s="1"/>
  <c r="E820" i="9"/>
  <c r="I820" i="9" s="1"/>
  <c r="E756" i="9"/>
  <c r="I756" i="9" s="1"/>
  <c r="E1048" i="9"/>
  <c r="I1048" i="9" s="1"/>
  <c r="E984" i="9"/>
  <c r="I984" i="9" s="1"/>
  <c r="E920" i="9"/>
  <c r="I920" i="9" s="1"/>
  <c r="E856" i="9"/>
  <c r="I856" i="9" s="1"/>
  <c r="E792" i="9"/>
  <c r="I792" i="9" s="1"/>
  <c r="M49" i="10"/>
  <c r="N49" i="10" s="1"/>
  <c r="E1069" i="9"/>
  <c r="I1069" i="9" s="1"/>
  <c r="E941" i="9"/>
  <c r="I941" i="9" s="1"/>
  <c r="E813" i="9"/>
  <c r="I813" i="9" s="1"/>
  <c r="E713" i="9"/>
  <c r="I713" i="9" s="1"/>
  <c r="E648" i="9"/>
  <c r="I648" i="9" s="1"/>
  <c r="E584" i="9"/>
  <c r="I584" i="9" s="1"/>
  <c r="E520" i="9"/>
  <c r="I520" i="9" s="1"/>
  <c r="E456" i="9"/>
  <c r="I456" i="9" s="1"/>
  <c r="E392" i="9"/>
  <c r="I392" i="9" s="1"/>
  <c r="E328" i="9"/>
  <c r="I328" i="9" s="1"/>
  <c r="E264" i="9"/>
  <c r="I264" i="9" s="1"/>
  <c r="E200" i="9"/>
  <c r="I200" i="9" s="1"/>
  <c r="E140" i="9"/>
  <c r="I140" i="9" s="1"/>
  <c r="E78" i="9"/>
  <c r="I78" i="9" s="1"/>
  <c r="E16" i="9"/>
  <c r="I16" i="9" s="1"/>
  <c r="E982" i="9"/>
  <c r="I982" i="9" s="1"/>
  <c r="E854" i="9"/>
  <c r="I854" i="9" s="1"/>
  <c r="E737" i="9"/>
  <c r="I737" i="9" s="1"/>
  <c r="E665" i="9"/>
  <c r="I665" i="9" s="1"/>
  <c r="E601" i="9"/>
  <c r="I601" i="9" s="1"/>
  <c r="E537" i="9"/>
  <c r="I537" i="9" s="1"/>
  <c r="E473" i="9"/>
  <c r="I473" i="9" s="1"/>
  <c r="E409" i="9"/>
  <c r="I409" i="9" s="1"/>
  <c r="E345" i="9"/>
  <c r="I345" i="9" s="1"/>
  <c r="E281" i="9"/>
  <c r="I281" i="9" s="1"/>
  <c r="E217" i="9"/>
  <c r="I217" i="9" s="1"/>
  <c r="E155" i="9"/>
  <c r="I155" i="9" s="1"/>
  <c r="E93" i="9"/>
  <c r="I93" i="9" s="1"/>
  <c r="E33" i="9"/>
  <c r="I33" i="9" s="1"/>
  <c r="M34" i="10"/>
  <c r="N34" i="10" s="1"/>
  <c r="M98" i="10"/>
  <c r="N98" i="10" s="1"/>
  <c r="E975" i="9"/>
  <c r="I975" i="9" s="1"/>
  <c r="E847" i="9"/>
  <c r="I847" i="9" s="1"/>
  <c r="E710" i="9"/>
  <c r="I710" i="9" s="1"/>
  <c r="E642" i="9"/>
  <c r="I642" i="9" s="1"/>
  <c r="E578" i="9"/>
  <c r="I578" i="9" s="1"/>
  <c r="E514" i="9"/>
  <c r="I514" i="9" s="1"/>
  <c r="E450" i="9"/>
  <c r="I450" i="9" s="1"/>
  <c r="E386" i="9"/>
  <c r="I386" i="9" s="1"/>
  <c r="E322" i="9"/>
  <c r="I322" i="9" s="1"/>
  <c r="E258" i="9"/>
  <c r="I258" i="9" s="1"/>
  <c r="E194" i="9"/>
  <c r="I194" i="9" s="1"/>
  <c r="E134" i="9"/>
  <c r="I134" i="9" s="1"/>
  <c r="E72" i="9"/>
  <c r="I72" i="9" s="1"/>
  <c r="E10" i="9"/>
  <c r="I10" i="9" s="1"/>
  <c r="M54" i="10"/>
  <c r="N54" i="10" s="1"/>
  <c r="E1063" i="9"/>
  <c r="I1063" i="9" s="1"/>
  <c r="E935" i="9"/>
  <c r="I935" i="9" s="1"/>
  <c r="E807" i="9"/>
  <c r="I807" i="9" s="1"/>
  <c r="E695" i="9"/>
  <c r="I695" i="9" s="1"/>
  <c r="E630" i="9"/>
  <c r="I630" i="9" s="1"/>
  <c r="E566" i="9"/>
  <c r="I566" i="9" s="1"/>
  <c r="E502" i="9"/>
  <c r="I502" i="9" s="1"/>
  <c r="E438" i="9"/>
  <c r="I438" i="9" s="1"/>
  <c r="E374" i="9"/>
  <c r="I374" i="9" s="1"/>
  <c r="E310" i="9"/>
  <c r="I310" i="9" s="1"/>
  <c r="E246" i="9"/>
  <c r="I246" i="9" s="1"/>
  <c r="E184" i="9"/>
  <c r="I184" i="9" s="1"/>
  <c r="E122" i="9"/>
  <c r="I122" i="9" s="1"/>
  <c r="E60" i="9"/>
  <c r="I60" i="9" s="1"/>
  <c r="M3" i="10"/>
  <c r="N3" i="10" s="1"/>
  <c r="E1025" i="9"/>
  <c r="I1025" i="9" s="1"/>
  <c r="E751" i="9"/>
  <c r="I751" i="9" s="1"/>
  <c r="E603" i="9"/>
  <c r="I603" i="9" s="1"/>
  <c r="E475" i="9"/>
  <c r="I475" i="9" s="1"/>
  <c r="E347" i="9"/>
  <c r="I347" i="9" s="1"/>
  <c r="E219" i="9"/>
  <c r="I219" i="9" s="1"/>
  <c r="E95" i="9"/>
  <c r="I95" i="9" s="1"/>
  <c r="M21" i="10"/>
  <c r="N21" i="10" s="1"/>
  <c r="E997" i="9"/>
  <c r="I997" i="9" s="1"/>
  <c r="E758" i="9"/>
  <c r="I758" i="9" s="1"/>
  <c r="E628" i="9"/>
  <c r="I628" i="9" s="1"/>
  <c r="E500" i="9"/>
  <c r="I500" i="9" s="1"/>
  <c r="E372" i="9"/>
  <c r="I372" i="9" s="1"/>
  <c r="E244" i="9"/>
  <c r="I244" i="9" s="1"/>
  <c r="E120" i="9"/>
  <c r="I120" i="9" s="1"/>
  <c r="E1054" i="9"/>
  <c r="I1054" i="9" s="1"/>
  <c r="E798" i="9"/>
  <c r="I798" i="9" s="1"/>
  <c r="E645" i="9"/>
  <c r="I645" i="9" s="1"/>
  <c r="E517" i="9"/>
  <c r="I517" i="9" s="1"/>
  <c r="E389" i="9"/>
  <c r="I389" i="9" s="1"/>
  <c r="E261" i="9"/>
  <c r="I261" i="9" s="1"/>
  <c r="E137" i="9"/>
  <c r="I137" i="9" s="1"/>
  <c r="E13" i="9"/>
  <c r="I13" i="9" s="1"/>
  <c r="E1049" i="9"/>
  <c r="I1049" i="9" s="1"/>
  <c r="E793" i="9"/>
  <c r="I793" i="9" s="1"/>
  <c r="E615" i="9"/>
  <c r="I615" i="9" s="1"/>
  <c r="E487" i="9"/>
  <c r="I487" i="9" s="1"/>
  <c r="E359" i="9"/>
  <c r="I359" i="9" s="1"/>
  <c r="E231" i="9"/>
  <c r="I231" i="9" s="1"/>
  <c r="E107" i="9"/>
  <c r="I107" i="9" s="1"/>
  <c r="M59" i="10"/>
  <c r="N59" i="10" s="1"/>
  <c r="E706" i="9"/>
  <c r="I706" i="9" s="1"/>
  <c r="E483" i="9"/>
  <c r="I483" i="9" s="1"/>
  <c r="E227" i="9"/>
  <c r="I227" i="9" s="1"/>
  <c r="M29" i="10"/>
  <c r="N29" i="10" s="1"/>
  <c r="E711" i="9"/>
  <c r="I711" i="9" s="1"/>
  <c r="E371" i="9"/>
  <c r="I371" i="9" s="1"/>
  <c r="E736" i="9"/>
  <c r="I736" i="9" s="1"/>
  <c r="E445" i="9"/>
  <c r="I445" i="9" s="1"/>
  <c r="E191" i="9"/>
  <c r="I191" i="9" s="1"/>
  <c r="M39" i="10"/>
  <c r="N39" i="10" s="1"/>
  <c r="E750" i="9"/>
  <c r="I750" i="9" s="1"/>
  <c r="E495" i="9"/>
  <c r="I495" i="9" s="1"/>
  <c r="E239" i="9"/>
  <c r="I239" i="9" s="1"/>
  <c r="M11" i="10"/>
  <c r="N11" i="10" s="1"/>
  <c r="E878" i="9"/>
  <c r="I878" i="9" s="1"/>
  <c r="E525" i="9"/>
  <c r="I525" i="9" s="1"/>
  <c r="E269" i="9"/>
  <c r="I269" i="9" s="1"/>
  <c r="E21" i="9"/>
  <c r="I21" i="9" s="1"/>
  <c r="M75" i="10"/>
  <c r="N75" i="10" s="1"/>
  <c r="M23" i="10"/>
  <c r="N23" i="10" s="1"/>
  <c r="E717" i="9"/>
  <c r="I717" i="9" s="1"/>
  <c r="E447" i="9"/>
  <c r="I447" i="9" s="1"/>
  <c r="E193" i="9"/>
  <c r="I193" i="9" s="1"/>
  <c r="E652" i="9"/>
  <c r="I652" i="9" s="1"/>
  <c r="E82" i="9"/>
  <c r="I82" i="9" s="1"/>
  <c r="E531" i="9"/>
  <c r="I531" i="9" s="1"/>
  <c r="M45" i="10"/>
  <c r="N45" i="10" s="1"/>
  <c r="E412" i="9"/>
  <c r="I412" i="9" s="1"/>
  <c r="E1045" i="9"/>
  <c r="I1045" i="9" s="1"/>
  <c r="E540" i="9"/>
  <c r="I540" i="9" s="1"/>
  <c r="E66" i="9"/>
  <c r="I66" i="9" s="1"/>
  <c r="E970" i="9"/>
  <c r="I970" i="9" s="1"/>
  <c r="E786" i="9"/>
  <c r="I786" i="9" s="1"/>
  <c r="M56" i="10"/>
  <c r="N56" i="10" s="1"/>
  <c r="E1043" i="9"/>
  <c r="I1043" i="9" s="1"/>
  <c r="E859" i="9"/>
  <c r="I859" i="9" s="1"/>
  <c r="E683" i="9"/>
  <c r="I683" i="9" s="1"/>
  <c r="E932" i="9"/>
  <c r="I932" i="9" s="1"/>
  <c r="E748" i="9"/>
  <c r="I748" i="9" s="1"/>
  <c r="E928" i="9"/>
  <c r="I928" i="9" s="1"/>
  <c r="E776" i="9"/>
  <c r="I776" i="9" s="1"/>
  <c r="E925" i="9"/>
  <c r="I925" i="9" s="1"/>
  <c r="E656" i="9"/>
  <c r="I656" i="9" s="1"/>
  <c r="E504" i="9"/>
  <c r="I504" i="9" s="1"/>
  <c r="E320" i="9"/>
  <c r="I320" i="9" s="1"/>
  <c r="E146" i="9"/>
  <c r="I146" i="9" s="1"/>
  <c r="E1078" i="9"/>
  <c r="I1078" i="9" s="1"/>
  <c r="E735" i="9"/>
  <c r="I735" i="9" s="1"/>
  <c r="E545" i="9"/>
  <c r="I545" i="9" s="1"/>
  <c r="E393" i="9"/>
  <c r="I393" i="9" s="1"/>
  <c r="E209" i="9"/>
  <c r="I209" i="9" s="1"/>
  <c r="E39" i="9"/>
  <c r="I39" i="9" s="1"/>
  <c r="E1071" i="9"/>
  <c r="I1071" i="9" s="1"/>
  <c r="E697" i="9"/>
  <c r="I697" i="9" s="1"/>
  <c r="E522" i="9"/>
  <c r="I522" i="9" s="1"/>
  <c r="E370" i="9"/>
  <c r="I370" i="9" s="1"/>
  <c r="E188" i="9"/>
  <c r="I188" i="9" s="1"/>
  <c r="E18" i="9"/>
  <c r="I18" i="9" s="1"/>
  <c r="E1031" i="9"/>
  <c r="I1031" i="9" s="1"/>
  <c r="E682" i="9"/>
  <c r="I682" i="9" s="1"/>
  <c r="E510" i="9"/>
  <c r="I510" i="9" s="1"/>
  <c r="E358" i="9"/>
  <c r="I358" i="9" s="1"/>
  <c r="E176" i="9"/>
  <c r="I176" i="9" s="1"/>
  <c r="E6" i="9"/>
  <c r="I6" i="9" s="1"/>
  <c r="E702" i="9"/>
  <c r="I702" i="9" s="1"/>
  <c r="E331" i="9"/>
  <c r="I331" i="9" s="1"/>
  <c r="M5" i="10"/>
  <c r="N5" i="10" s="1"/>
  <c r="E725" i="9"/>
  <c r="I725" i="9" s="1"/>
  <c r="E356" i="9"/>
  <c r="I356" i="9" s="1"/>
  <c r="E28" i="9"/>
  <c r="I28" i="9" s="1"/>
  <c r="E629" i="9"/>
  <c r="I629" i="9" s="1"/>
  <c r="E357" i="9"/>
  <c r="I357" i="9" s="1"/>
  <c r="E105" i="9"/>
  <c r="I105" i="9" s="1"/>
  <c r="E985" i="9"/>
  <c r="I985" i="9" s="1"/>
  <c r="E583" i="9"/>
  <c r="I583" i="9" s="1"/>
  <c r="E327" i="9"/>
  <c r="I327" i="9" s="1"/>
  <c r="E77" i="9"/>
  <c r="I77" i="9" s="1"/>
  <c r="E675" i="9"/>
  <c r="I675" i="9" s="1"/>
  <c r="E165" i="9"/>
  <c r="I165" i="9" s="1"/>
  <c r="E428" i="9"/>
  <c r="I428" i="9" s="1"/>
  <c r="E637" i="9"/>
  <c r="I637" i="9" s="1"/>
  <c r="E129" i="9"/>
  <c r="I129" i="9" s="1"/>
  <c r="E704" i="9"/>
  <c r="I704" i="9" s="1"/>
  <c r="E177" i="9"/>
  <c r="I177" i="9" s="1"/>
  <c r="E769" i="9"/>
  <c r="I769" i="9" s="1"/>
  <c r="E205" i="9"/>
  <c r="I205" i="9" s="1"/>
  <c r="E595" i="9"/>
  <c r="I595" i="9" s="1"/>
  <c r="E639" i="9"/>
  <c r="I639" i="9" s="1"/>
  <c r="E131" i="9"/>
  <c r="I131" i="9" s="1"/>
  <c r="E1009" i="9"/>
  <c r="I1009" i="9" s="1"/>
  <c r="E604" i="9"/>
  <c r="I604" i="9" s="1"/>
  <c r="E698" i="9"/>
  <c r="I698" i="9" s="1"/>
  <c r="E930" i="9"/>
  <c r="I930" i="9" s="1"/>
  <c r="E778" i="9"/>
  <c r="I778" i="9" s="1"/>
  <c r="M64" i="10"/>
  <c r="N64" i="10" s="1"/>
  <c r="E1003" i="9"/>
  <c r="I1003" i="9" s="1"/>
  <c r="E1068" i="9"/>
  <c r="I1068" i="9" s="1"/>
  <c r="E892" i="9"/>
  <c r="I892" i="9" s="1"/>
  <c r="E740" i="9"/>
  <c r="I740" i="9" s="1"/>
  <c r="E912" i="9"/>
  <c r="I912" i="9" s="1"/>
  <c r="M41" i="10"/>
  <c r="N41" i="10" s="1"/>
  <c r="E909" i="9"/>
  <c r="I909" i="9" s="1"/>
  <c r="E640" i="9"/>
  <c r="I640" i="9" s="1"/>
  <c r="E464" i="9"/>
  <c r="I464" i="9" s="1"/>
  <c r="E312" i="9"/>
  <c r="I312" i="9" s="1"/>
  <c r="E998" i="9"/>
  <c r="I998" i="9" s="1"/>
  <c r="E733" i="9"/>
  <c r="I733" i="9" s="1"/>
  <c r="E529" i="9"/>
  <c r="I529" i="9" s="1"/>
  <c r="E353" i="9"/>
  <c r="I353" i="9" s="1"/>
  <c r="E201" i="9"/>
  <c r="I201" i="9" s="1"/>
  <c r="E25" i="9"/>
  <c r="I25" i="9" s="1"/>
  <c r="E991" i="9"/>
  <c r="I991" i="9" s="1"/>
  <c r="E506" i="9"/>
  <c r="I506" i="9" s="1"/>
  <c r="E330" i="9"/>
  <c r="I330" i="9" s="1"/>
  <c r="E180" i="9"/>
  <c r="I180" i="9" s="1"/>
  <c r="E2" i="9"/>
  <c r="I2" i="9" s="1"/>
  <c r="E951" i="9"/>
  <c r="I951" i="9" s="1"/>
  <c r="E494" i="9"/>
  <c r="I494" i="9" s="1"/>
  <c r="E318" i="9"/>
  <c r="I318" i="9" s="1"/>
  <c r="E168" i="9"/>
  <c r="I168" i="9" s="1"/>
  <c r="M19" i="10"/>
  <c r="N19" i="10" s="1"/>
  <c r="E315" i="9"/>
  <c r="I315" i="9" s="1"/>
  <c r="M37" i="10"/>
  <c r="N37" i="10" s="1"/>
  <c r="E644" i="9"/>
  <c r="I644" i="9" s="1"/>
  <c r="E12" i="9"/>
  <c r="I12" i="9" s="1"/>
  <c r="E613" i="9"/>
  <c r="I613" i="9" s="1"/>
  <c r="E43" i="9"/>
  <c r="I43" i="9" s="1"/>
  <c r="E857" i="9"/>
  <c r="I857" i="9" s="1"/>
  <c r="E263" i="9"/>
  <c r="I263" i="9" s="1"/>
  <c r="E15" i="9"/>
  <c r="I15" i="9" s="1"/>
  <c r="E41" i="9"/>
  <c r="I41" i="9" s="1"/>
  <c r="M43" i="10"/>
  <c r="N43" i="10" s="1"/>
  <c r="E5" i="9"/>
  <c r="I5" i="9" s="1"/>
  <c r="E53" i="9"/>
  <c r="I53" i="9" s="1"/>
  <c r="E589" i="9"/>
  <c r="I589" i="9" s="1"/>
  <c r="E211" i="9"/>
  <c r="I211" i="9" s="1"/>
  <c r="E7" i="9"/>
  <c r="I7" i="9" s="1"/>
  <c r="E627" i="9"/>
  <c r="I627" i="9" s="1"/>
  <c r="E252" i="9"/>
  <c r="I252" i="9" s="1"/>
  <c r="E1067" i="9"/>
  <c r="I1067" i="9" s="1"/>
  <c r="E1037" i="9"/>
  <c r="I1037" i="9" s="1"/>
  <c r="E822" i="9"/>
  <c r="I822" i="9" s="1"/>
  <c r="M90" i="10"/>
  <c r="N90" i="10" s="1"/>
  <c r="E64" i="9"/>
  <c r="I64" i="9" s="1"/>
  <c r="E558" i="9"/>
  <c r="I558" i="9" s="1"/>
  <c r="E801" i="9"/>
  <c r="I801" i="9" s="1"/>
  <c r="E773" i="9"/>
  <c r="I773" i="9" s="1"/>
  <c r="E734" i="9"/>
  <c r="I734" i="9" s="1"/>
  <c r="M111" i="10"/>
  <c r="N111" i="10" s="1"/>
  <c r="E123" i="9"/>
  <c r="I123" i="9" s="1"/>
  <c r="E760" i="9"/>
  <c r="I760" i="9" s="1"/>
  <c r="E271" i="9"/>
  <c r="I271" i="9" s="1"/>
  <c r="E20" i="9"/>
  <c r="I20" i="9" s="1"/>
  <c r="E174" i="9"/>
  <c r="I174" i="9" s="1"/>
  <c r="E316" i="9"/>
  <c r="I316" i="9" s="1"/>
  <c r="E1051" i="9"/>
  <c r="I1051" i="9" s="1"/>
  <c r="E512" i="9"/>
  <c r="I512" i="9" s="1"/>
  <c r="E585" i="9"/>
  <c r="I585" i="9" s="1"/>
  <c r="E562" i="9"/>
  <c r="I562" i="9" s="1"/>
  <c r="E1047" i="9"/>
  <c r="I1047" i="9" s="1"/>
  <c r="E44" i="9"/>
  <c r="I44" i="9" s="1"/>
  <c r="E729" i="9"/>
  <c r="I729" i="9" s="1"/>
  <c r="E121" i="9"/>
  <c r="I121" i="9" s="1"/>
  <c r="E685" i="9"/>
  <c r="I685" i="9" s="1"/>
  <c r="E721" i="9"/>
  <c r="I721" i="9" s="1"/>
  <c r="E659" i="9"/>
  <c r="I659" i="9" s="1"/>
  <c r="M107" i="10"/>
  <c r="N107" i="10" s="1"/>
  <c r="E851" i="9"/>
  <c r="I851" i="9" s="1"/>
  <c r="E132" i="9"/>
  <c r="I132" i="9" s="1"/>
  <c r="E693" i="9"/>
  <c r="I693" i="9" s="1"/>
  <c r="E678" i="9"/>
  <c r="I678" i="9" s="1"/>
  <c r="E619" i="9"/>
  <c r="I619" i="9" s="1"/>
  <c r="E340" i="9"/>
  <c r="I340" i="9" s="1"/>
  <c r="E293" i="9"/>
  <c r="I293" i="9" s="1"/>
  <c r="E519" i="9"/>
  <c r="I519" i="9" s="1"/>
  <c r="E547" i="9"/>
  <c r="I547" i="9" s="1"/>
  <c r="E509" i="9"/>
  <c r="I509" i="9" s="1"/>
  <c r="E559" i="9"/>
  <c r="I559" i="9" s="1"/>
  <c r="E83" i="9"/>
  <c r="I83" i="9" s="1"/>
  <c r="E511" i="9"/>
  <c r="I511" i="9" s="1"/>
  <c r="E981" i="9"/>
  <c r="I981" i="9" s="1"/>
  <c r="E994" i="9"/>
  <c r="I994" i="9" s="1"/>
  <c r="M32" i="10"/>
  <c r="N32" i="10" s="1"/>
  <c r="E915" i="9"/>
  <c r="I915" i="9" s="1"/>
  <c r="E956" i="9"/>
  <c r="I956" i="9" s="1"/>
  <c r="E804" i="9"/>
  <c r="I804" i="9" s="1"/>
  <c r="E800" i="9"/>
  <c r="I800" i="9" s="1"/>
  <c r="E528" i="9"/>
  <c r="I528" i="9" s="1"/>
  <c r="E593" i="9"/>
  <c r="I593" i="9" s="1"/>
  <c r="E265" i="9"/>
  <c r="I265" i="9" s="1"/>
  <c r="E815" i="9"/>
  <c r="I815" i="9" s="1"/>
  <c r="E394" i="9"/>
  <c r="I394" i="9" s="1"/>
  <c r="M110" i="10"/>
  <c r="N110" i="10" s="1"/>
  <c r="E230" i="9"/>
  <c r="I230" i="9" s="1"/>
  <c r="E443" i="9"/>
  <c r="I443" i="9" s="1"/>
  <c r="E468" i="9"/>
  <c r="I468" i="9" s="1"/>
  <c r="E405" i="9"/>
  <c r="I405" i="9" s="1"/>
  <c r="E631" i="9"/>
  <c r="I631" i="9" s="1"/>
  <c r="E753" i="9"/>
  <c r="I753" i="9" s="1"/>
  <c r="E765" i="9"/>
  <c r="I765" i="9" s="1"/>
  <c r="E809" i="9"/>
  <c r="I809" i="9" s="1"/>
  <c r="E301" i="9"/>
  <c r="I301" i="9" s="1"/>
  <c r="E223" i="9"/>
  <c r="I223" i="9" s="1"/>
  <c r="E158" i="9"/>
  <c r="I158" i="9" s="1"/>
  <c r="E784" i="9"/>
  <c r="I784" i="9" s="1"/>
  <c r="E766" i="9"/>
  <c r="I766" i="9" s="1"/>
  <c r="M106" i="10"/>
  <c r="N106" i="10" s="1"/>
  <c r="E56" i="9"/>
  <c r="I56" i="9" s="1"/>
  <c r="E366" i="9"/>
  <c r="I366" i="9" s="1"/>
  <c r="E363" i="9"/>
  <c r="I363" i="9" s="1"/>
  <c r="E388" i="9"/>
  <c r="I388" i="9" s="1"/>
  <c r="E373" i="9"/>
  <c r="I373" i="9" s="1"/>
  <c r="E343" i="9"/>
  <c r="I343" i="9" s="1"/>
  <c r="E195" i="9"/>
  <c r="I195" i="9" s="1"/>
  <c r="E159" i="9"/>
  <c r="I159" i="9" s="1"/>
  <c r="E207" i="9"/>
  <c r="I207" i="9" s="1"/>
  <c r="E671" i="9"/>
  <c r="I671" i="9" s="1"/>
  <c r="E853" i="9"/>
  <c r="I853" i="9" s="1"/>
  <c r="E914" i="9"/>
  <c r="I914" i="9" s="1"/>
  <c r="E738" i="9"/>
  <c r="I738" i="9" s="1"/>
  <c r="M68" i="10"/>
  <c r="N68" i="10" s="1"/>
  <c r="E987" i="9"/>
  <c r="I987" i="9" s="1"/>
  <c r="E811" i="9"/>
  <c r="I811" i="9" s="1"/>
  <c r="E1060" i="9"/>
  <c r="I1060" i="9" s="1"/>
  <c r="E876" i="9"/>
  <c r="I876" i="9" s="1"/>
  <c r="E1056" i="9"/>
  <c r="I1056" i="9" s="1"/>
  <c r="E904" i="9"/>
  <c r="I904" i="9" s="1"/>
  <c r="M57" i="10"/>
  <c r="N57" i="10" s="1"/>
  <c r="E829" i="9"/>
  <c r="I829" i="9" s="1"/>
  <c r="E632" i="9"/>
  <c r="I632" i="9" s="1"/>
  <c r="E448" i="9"/>
  <c r="I448" i="9" s="1"/>
  <c r="E272" i="9"/>
  <c r="I272" i="9" s="1"/>
  <c r="E124" i="9"/>
  <c r="I124" i="9" s="1"/>
  <c r="E966" i="9"/>
  <c r="I966" i="9" s="1"/>
  <c r="E673" i="9"/>
  <c r="I673" i="9" s="1"/>
  <c r="E521" i="9"/>
  <c r="I521" i="9" s="1"/>
  <c r="E337" i="9"/>
  <c r="I337" i="9" s="1"/>
  <c r="E163" i="9"/>
  <c r="I163" i="9" s="1"/>
  <c r="E17" i="9"/>
  <c r="I17" i="9" s="1"/>
  <c r="E959" i="9"/>
  <c r="I959" i="9" s="1"/>
  <c r="E650" i="9"/>
  <c r="I650" i="9" s="1"/>
  <c r="E498" i="9"/>
  <c r="I498" i="9" s="1"/>
  <c r="E314" i="9"/>
  <c r="I314" i="9" s="1"/>
  <c r="E142" i="9"/>
  <c r="I142" i="9" s="1"/>
  <c r="M6" i="10"/>
  <c r="N6" i="10" s="1"/>
  <c r="E919" i="9"/>
  <c r="I919" i="9" s="1"/>
  <c r="E638" i="9"/>
  <c r="I638" i="9" s="1"/>
  <c r="E486" i="9"/>
  <c r="I486" i="9" s="1"/>
  <c r="E302" i="9"/>
  <c r="I302" i="9" s="1"/>
  <c r="E130" i="9"/>
  <c r="I130" i="9" s="1"/>
  <c r="M35" i="10"/>
  <c r="N35" i="10" s="1"/>
  <c r="E587" i="9"/>
  <c r="I587" i="9" s="1"/>
  <c r="E235" i="9"/>
  <c r="I235" i="9" s="1"/>
  <c r="M53" i="10"/>
  <c r="N53" i="10" s="1"/>
  <c r="E612" i="9"/>
  <c r="I612" i="9" s="1"/>
  <c r="E260" i="9"/>
  <c r="I260" i="9" s="1"/>
  <c r="E1022" i="9"/>
  <c r="I1022" i="9" s="1"/>
  <c r="E533" i="9"/>
  <c r="I533" i="9" s="1"/>
  <c r="E277" i="9"/>
  <c r="I277" i="9" s="1"/>
  <c r="E29" i="9"/>
  <c r="I29" i="9" s="1"/>
  <c r="E825" i="9"/>
  <c r="I825" i="9" s="1"/>
  <c r="E503" i="9"/>
  <c r="I503" i="9" s="1"/>
  <c r="E247" i="9"/>
  <c r="I247" i="9" s="1"/>
  <c r="M27" i="10"/>
  <c r="N27" i="10" s="1"/>
  <c r="E515" i="9"/>
  <c r="I515" i="9" s="1"/>
  <c r="E11" i="9"/>
  <c r="I11" i="9" s="1"/>
  <c r="E1073" i="9"/>
  <c r="I1073" i="9" s="1"/>
  <c r="E477" i="9"/>
  <c r="I477" i="9" s="1"/>
  <c r="M7" i="10"/>
  <c r="N7" i="10" s="1"/>
  <c r="E527" i="9"/>
  <c r="I527" i="9" s="1"/>
  <c r="E23" i="9"/>
  <c r="I23" i="9" s="1"/>
  <c r="E557" i="9"/>
  <c r="I557" i="9" s="1"/>
  <c r="E51" i="9"/>
  <c r="I51" i="9" s="1"/>
  <c r="E27" i="9"/>
  <c r="I27" i="9" s="1"/>
  <c r="E479" i="9"/>
  <c r="I479" i="9" s="1"/>
  <c r="E885" i="9"/>
  <c r="I885" i="9" s="1"/>
  <c r="E563" i="9"/>
  <c r="I563" i="9" s="1"/>
  <c r="E668" i="9"/>
  <c r="I668" i="9" s="1"/>
  <c r="E4" i="9"/>
  <c r="I4" i="9" s="1"/>
  <c r="E1034" i="9"/>
  <c r="I1034" i="9" s="1"/>
  <c r="E812" i="9"/>
  <c r="I812" i="9" s="1"/>
  <c r="E840" i="9"/>
  <c r="I840" i="9" s="1"/>
  <c r="E726" i="9"/>
  <c r="I726" i="9" s="1"/>
  <c r="E384" i="9"/>
  <c r="I384" i="9" s="1"/>
  <c r="E62" i="9"/>
  <c r="I62" i="9" s="1"/>
  <c r="E609" i="9"/>
  <c r="I609" i="9" s="1"/>
  <c r="E457" i="9"/>
  <c r="I457" i="9" s="1"/>
  <c r="E101" i="9"/>
  <c r="I101" i="9" s="1"/>
  <c r="M50" i="10"/>
  <c r="N50" i="10" s="1"/>
  <c r="E586" i="9"/>
  <c r="I586" i="9" s="1"/>
  <c r="E250" i="9"/>
  <c r="I250" i="9" s="1"/>
  <c r="M70" i="10"/>
  <c r="N70" i="10" s="1"/>
  <c r="E574" i="9"/>
  <c r="I574" i="9" s="1"/>
  <c r="E238" i="9"/>
  <c r="I238" i="9" s="1"/>
  <c r="E961" i="9"/>
  <c r="I961" i="9" s="1"/>
  <c r="E111" i="9"/>
  <c r="I111" i="9" s="1"/>
  <c r="E933" i="9"/>
  <c r="I933" i="9" s="1"/>
  <c r="E136" i="9"/>
  <c r="I136" i="9" s="1"/>
  <c r="E421" i="9"/>
  <c r="I421" i="9" s="1"/>
  <c r="M95" i="10"/>
  <c r="N95" i="10" s="1"/>
  <c r="E391" i="9"/>
  <c r="I391" i="9" s="1"/>
  <c r="E139" i="9"/>
  <c r="I139" i="9" s="1"/>
  <c r="E291" i="9"/>
  <c r="I291" i="9" s="1"/>
  <c r="E782" i="9"/>
  <c r="I782" i="9" s="1"/>
  <c r="E873" i="9"/>
  <c r="I873" i="9" s="1"/>
  <c r="E1006" i="9"/>
  <c r="I1006" i="9" s="1"/>
  <c r="E50" i="9"/>
  <c r="I50" i="9" s="1"/>
  <c r="E255" i="9"/>
  <c r="I255" i="9" s="1"/>
  <c r="E236" i="9"/>
  <c r="I236" i="9" s="1"/>
  <c r="E128" i="9"/>
  <c r="I128" i="9" s="1"/>
  <c r="E842" i="9"/>
  <c r="I842" i="9" s="1"/>
  <c r="E731" i="9"/>
  <c r="I731" i="9" s="1"/>
  <c r="E976" i="9"/>
  <c r="I976" i="9" s="1"/>
  <c r="E709" i="9"/>
  <c r="I709" i="9" s="1"/>
  <c r="E376" i="9"/>
  <c r="I376" i="9" s="1"/>
  <c r="E24" i="9"/>
  <c r="I24" i="9" s="1"/>
  <c r="E417" i="9"/>
  <c r="I417" i="9" s="1"/>
  <c r="E87" i="9"/>
  <c r="I87" i="9" s="1"/>
  <c r="E570" i="9"/>
  <c r="I570" i="9" s="1"/>
  <c r="E242" i="9"/>
  <c r="I242" i="9" s="1"/>
  <c r="E775" i="9"/>
  <c r="I775" i="9" s="1"/>
  <c r="E382" i="9"/>
  <c r="I382" i="9" s="1"/>
  <c r="E52" i="9"/>
  <c r="I52" i="9" s="1"/>
  <c r="E81" i="9"/>
  <c r="I81" i="9" s="1"/>
  <c r="E104" i="9"/>
  <c r="I104" i="9" s="1"/>
  <c r="E151" i="9"/>
  <c r="I151" i="9" s="1"/>
  <c r="E375" i="9"/>
  <c r="I375" i="9" s="1"/>
  <c r="E259" i="9"/>
  <c r="I259" i="9" s="1"/>
  <c r="E221" i="9"/>
  <c r="I221" i="9" s="1"/>
  <c r="E942" i="9"/>
  <c r="I942" i="9" s="1"/>
  <c r="E777" i="9"/>
  <c r="I777" i="9" s="1"/>
  <c r="E723" i="9"/>
  <c r="I723" i="9" s="1"/>
  <c r="E957" i="9"/>
  <c r="I957" i="9" s="1"/>
  <c r="E186" i="9"/>
  <c r="I186" i="9" s="1"/>
  <c r="E401" i="9"/>
  <c r="I401" i="9" s="1"/>
  <c r="E79" i="9"/>
  <c r="I79" i="9" s="1"/>
  <c r="E378" i="9"/>
  <c r="I378" i="9" s="1"/>
  <c r="E550" i="9"/>
  <c r="I550" i="9" s="1"/>
  <c r="E718" i="9"/>
  <c r="I718" i="9" s="1"/>
  <c r="E88" i="9"/>
  <c r="I88" i="9" s="1"/>
  <c r="E599" i="9"/>
  <c r="I599" i="9" s="1"/>
  <c r="E460" i="9"/>
  <c r="I460" i="9" s="1"/>
  <c r="E237" i="9"/>
  <c r="I237" i="9" s="1"/>
  <c r="E444" i="9"/>
  <c r="I444" i="9" s="1"/>
  <c r="E1058" i="9"/>
  <c r="I1058" i="9" s="1"/>
  <c r="E906" i="9"/>
  <c r="I906" i="9" s="1"/>
  <c r="E722" i="9"/>
  <c r="I722" i="9" s="1"/>
  <c r="M88" i="10"/>
  <c r="N88" i="10" s="1"/>
  <c r="E979" i="9"/>
  <c r="I979" i="9" s="1"/>
  <c r="E795" i="9"/>
  <c r="I795" i="9" s="1"/>
  <c r="E1020" i="9"/>
  <c r="I1020" i="9" s="1"/>
  <c r="E868" i="9"/>
  <c r="I868" i="9" s="1"/>
  <c r="E1040" i="9"/>
  <c r="I1040" i="9" s="1"/>
  <c r="E864" i="9"/>
  <c r="I864" i="9" s="1"/>
  <c r="M65" i="10"/>
  <c r="N65" i="10" s="1"/>
  <c r="E797" i="9"/>
  <c r="I797" i="9" s="1"/>
  <c r="E592" i="9"/>
  <c r="I592" i="9" s="1"/>
  <c r="E440" i="9"/>
  <c r="I440" i="9" s="1"/>
  <c r="E256" i="9"/>
  <c r="I256" i="9" s="1"/>
  <c r="E86" i="9"/>
  <c r="I86" i="9" s="1"/>
  <c r="E950" i="9"/>
  <c r="I950" i="9" s="1"/>
  <c r="E657" i="9"/>
  <c r="I657" i="9" s="1"/>
  <c r="E481" i="9"/>
  <c r="I481" i="9" s="1"/>
  <c r="E329" i="9"/>
  <c r="I329" i="9" s="1"/>
  <c r="E147" i="9"/>
  <c r="I147" i="9" s="1"/>
  <c r="M26" i="10"/>
  <c r="N26" i="10" s="1"/>
  <c r="E943" i="9"/>
  <c r="I943" i="9" s="1"/>
  <c r="E634" i="9"/>
  <c r="I634" i="9" s="1"/>
  <c r="E458" i="9"/>
  <c r="I458" i="9" s="1"/>
  <c r="E306" i="9"/>
  <c r="I306" i="9" s="1"/>
  <c r="E126" i="9"/>
  <c r="I126" i="9" s="1"/>
  <c r="M46" i="10"/>
  <c r="N46" i="10" s="1"/>
  <c r="E903" i="9"/>
  <c r="I903" i="9" s="1"/>
  <c r="E622" i="9"/>
  <c r="I622" i="9" s="1"/>
  <c r="E446" i="9"/>
  <c r="I446" i="9" s="1"/>
  <c r="E294" i="9"/>
  <c r="I294" i="9" s="1"/>
  <c r="E114" i="9"/>
  <c r="I114" i="9" s="1"/>
  <c r="E1057" i="9"/>
  <c r="I1057" i="9" s="1"/>
  <c r="E571" i="9"/>
  <c r="I571" i="9" s="1"/>
  <c r="E203" i="9"/>
  <c r="I203" i="9" s="1"/>
  <c r="E1029" i="9"/>
  <c r="I1029" i="9" s="1"/>
  <c r="E596" i="9"/>
  <c r="I596" i="9" s="1"/>
  <c r="E228" i="9"/>
  <c r="I228" i="9" s="1"/>
  <c r="E990" i="9"/>
  <c r="I990" i="9" s="1"/>
  <c r="E501" i="9"/>
  <c r="I501" i="9" s="1"/>
  <c r="E245" i="9"/>
  <c r="I245" i="9" s="1"/>
  <c r="M15" i="10"/>
  <c r="N15" i="10" s="1"/>
  <c r="E752" i="9"/>
  <c r="I752" i="9" s="1"/>
  <c r="E471" i="9"/>
  <c r="I471" i="9" s="1"/>
  <c r="E215" i="9"/>
  <c r="I215" i="9" s="1"/>
  <c r="M91" i="10"/>
  <c r="N91" i="10" s="1"/>
  <c r="E451" i="9"/>
  <c r="I451" i="9" s="1"/>
  <c r="M61" i="10"/>
  <c r="N61" i="10" s="1"/>
  <c r="E307" i="9"/>
  <c r="I307" i="9" s="1"/>
  <c r="E413" i="9"/>
  <c r="I413" i="9" s="1"/>
  <c r="M71" i="10"/>
  <c r="N71" i="10" s="1"/>
  <c r="E463" i="9"/>
  <c r="I463" i="9" s="1"/>
  <c r="E881" i="9"/>
  <c r="I881" i="9" s="1"/>
  <c r="E493" i="9"/>
  <c r="I493" i="9" s="1"/>
  <c r="E620" i="9"/>
  <c r="I620" i="9" s="1"/>
  <c r="M55" i="10"/>
  <c r="N55" i="10" s="1"/>
  <c r="E415" i="9"/>
  <c r="I415" i="9" s="1"/>
  <c r="E588" i="9"/>
  <c r="I588" i="9" s="1"/>
  <c r="E467" i="9"/>
  <c r="I467" i="9" s="1"/>
  <c r="E190" i="9"/>
  <c r="I190" i="9" s="1"/>
  <c r="E284" i="9"/>
  <c r="I284" i="9" s="1"/>
  <c r="E1042" i="9"/>
  <c r="I1042" i="9" s="1"/>
  <c r="E866" i="9"/>
  <c r="I866" i="9" s="1"/>
  <c r="M4" i="10"/>
  <c r="N4" i="10" s="1"/>
  <c r="M96" i="10"/>
  <c r="N96" i="10" s="1"/>
  <c r="E939" i="9"/>
  <c r="I939" i="9" s="1"/>
  <c r="E787" i="9"/>
  <c r="I787" i="9" s="1"/>
  <c r="E1004" i="9"/>
  <c r="I1004" i="9" s="1"/>
  <c r="E828" i="9"/>
  <c r="I828" i="9" s="1"/>
  <c r="E1032" i="9"/>
  <c r="I1032" i="9" s="1"/>
  <c r="E848" i="9"/>
  <c r="I848" i="9" s="1"/>
  <c r="M105" i="10"/>
  <c r="N105" i="10" s="1"/>
  <c r="E781" i="9"/>
  <c r="I781" i="9" s="1"/>
  <c r="E576" i="9"/>
  <c r="I576" i="9" s="1"/>
  <c r="E400" i="9"/>
  <c r="I400" i="9" s="1"/>
  <c r="E248" i="9"/>
  <c r="I248" i="9" s="1"/>
  <c r="E70" i="9"/>
  <c r="I70" i="9" s="1"/>
  <c r="E870" i="9"/>
  <c r="I870" i="9" s="1"/>
  <c r="E649" i="9"/>
  <c r="I649" i="9" s="1"/>
  <c r="E465" i="9"/>
  <c r="I465" i="9" s="1"/>
  <c r="E289" i="9"/>
  <c r="I289" i="9" s="1"/>
  <c r="E141" i="9"/>
  <c r="I141" i="9" s="1"/>
  <c r="M42" i="10"/>
  <c r="N42" i="10" s="1"/>
  <c r="E863" i="9"/>
  <c r="I863" i="9" s="1"/>
  <c r="E626" i="9"/>
  <c r="I626" i="9" s="1"/>
  <c r="E442" i="9"/>
  <c r="I442" i="9" s="1"/>
  <c r="E266" i="9"/>
  <c r="I266" i="9" s="1"/>
  <c r="E118" i="9"/>
  <c r="I118" i="9" s="1"/>
  <c r="M62" i="10"/>
  <c r="N62" i="10" s="1"/>
  <c r="E823" i="9"/>
  <c r="I823" i="9" s="1"/>
  <c r="E614" i="9"/>
  <c r="I614" i="9" s="1"/>
  <c r="E430" i="9"/>
  <c r="I430" i="9" s="1"/>
  <c r="E254" i="9"/>
  <c r="I254" i="9" s="1"/>
  <c r="E106" i="9"/>
  <c r="I106" i="9" s="1"/>
  <c r="E993" i="9"/>
  <c r="I993" i="9" s="1"/>
  <c r="E491" i="9"/>
  <c r="I491" i="9" s="1"/>
  <c r="E189" i="9"/>
  <c r="I189" i="9" s="1"/>
  <c r="E965" i="9"/>
  <c r="I965" i="9" s="1"/>
  <c r="E516" i="9"/>
  <c r="I516" i="9" s="1"/>
  <c r="E212" i="9"/>
  <c r="I212" i="9" s="1"/>
  <c r="E830" i="9"/>
  <c r="I830" i="9" s="1"/>
  <c r="E485" i="9"/>
  <c r="I485" i="9" s="1"/>
  <c r="E229" i="9"/>
  <c r="I229" i="9" s="1"/>
  <c r="M31" i="10"/>
  <c r="N31" i="10" s="1"/>
  <c r="E719" i="9"/>
  <c r="I719" i="9" s="1"/>
  <c r="E455" i="9"/>
  <c r="I455" i="9" s="1"/>
  <c r="E199" i="9"/>
  <c r="I199" i="9" s="1"/>
  <c r="E1041" i="9"/>
  <c r="I1041" i="9" s="1"/>
  <c r="E419" i="9"/>
  <c r="I419" i="9" s="1"/>
  <c r="M93" i="10"/>
  <c r="N93" i="10" s="1"/>
  <c r="E1038" i="9"/>
  <c r="I1038" i="9" s="1"/>
  <c r="E381" i="9"/>
  <c r="I381" i="9" s="1"/>
  <c r="M103" i="10"/>
  <c r="N103" i="10" s="1"/>
  <c r="E431" i="9"/>
  <c r="I431" i="9" s="1"/>
  <c r="E817" i="9"/>
  <c r="I817" i="9" s="1"/>
  <c r="E461" i="9"/>
  <c r="I461" i="9" s="1"/>
  <c r="E556" i="9"/>
  <c r="I556" i="9" s="1"/>
  <c r="M87" i="10"/>
  <c r="N87" i="10" s="1"/>
  <c r="E383" i="9"/>
  <c r="I383" i="9" s="1"/>
  <c r="E524" i="9"/>
  <c r="I524" i="9" s="1"/>
  <c r="E435" i="9"/>
  <c r="I435" i="9" s="1"/>
  <c r="M77" i="10"/>
  <c r="N77" i="10" s="1"/>
  <c r="E36" i="9"/>
  <c r="I36" i="9" s="1"/>
  <c r="E850" i="9"/>
  <c r="I850" i="9" s="1"/>
  <c r="M24" i="10"/>
  <c r="N24" i="10" s="1"/>
  <c r="M100" i="10"/>
  <c r="N100" i="10" s="1"/>
  <c r="E923" i="9"/>
  <c r="I923" i="9" s="1"/>
  <c r="E747" i="9"/>
  <c r="I747" i="9" s="1"/>
  <c r="E996" i="9"/>
  <c r="I996" i="9" s="1"/>
  <c r="E992" i="9"/>
  <c r="I992" i="9" s="1"/>
  <c r="E1053" i="9"/>
  <c r="I1053" i="9" s="1"/>
  <c r="E568" i="9"/>
  <c r="I568" i="9" s="1"/>
  <c r="E208" i="9"/>
  <c r="I208" i="9" s="1"/>
  <c r="E838" i="9"/>
  <c r="I838" i="9" s="1"/>
  <c r="E273" i="9"/>
  <c r="I273" i="9" s="1"/>
  <c r="E831" i="9"/>
  <c r="I831" i="9" s="1"/>
  <c r="E434" i="9"/>
  <c r="I434" i="9" s="1"/>
  <c r="E80" i="9"/>
  <c r="I80" i="9" s="1"/>
  <c r="E791" i="9"/>
  <c r="I791" i="9" s="1"/>
  <c r="E422" i="9"/>
  <c r="I422" i="9" s="1"/>
  <c r="E68" i="9"/>
  <c r="I68" i="9" s="1"/>
  <c r="E459" i="9"/>
  <c r="I459" i="9" s="1"/>
  <c r="E484" i="9"/>
  <c r="I484" i="9" s="1"/>
  <c r="E767" i="9"/>
  <c r="I767" i="9" s="1"/>
  <c r="E167" i="9"/>
  <c r="I167" i="9" s="1"/>
  <c r="E647" i="9"/>
  <c r="I647" i="9" s="1"/>
  <c r="E785" i="9"/>
  <c r="I785" i="9" s="1"/>
  <c r="E821" i="9"/>
  <c r="I821" i="9" s="1"/>
  <c r="E253" i="9"/>
  <c r="I253" i="9" s="1"/>
  <c r="E303" i="9"/>
  <c r="I303" i="9" s="1"/>
  <c r="E333" i="9"/>
  <c r="I333" i="9" s="1"/>
  <c r="E841" i="9"/>
  <c r="I841" i="9" s="1"/>
  <c r="E149" i="9"/>
  <c r="I149" i="9" s="1"/>
  <c r="E572" i="9"/>
  <c r="I572" i="9" s="1"/>
  <c r="E978" i="9"/>
  <c r="I978" i="9" s="1"/>
  <c r="E802" i="9"/>
  <c r="I802" i="9" s="1"/>
  <c r="M36" i="10"/>
  <c r="N36" i="10" s="1"/>
  <c r="E875" i="9"/>
  <c r="I875" i="9" s="1"/>
  <c r="E940" i="9"/>
  <c r="I940" i="9" s="1"/>
  <c r="E764" i="9"/>
  <c r="I764" i="9" s="1"/>
  <c r="E968" i="9"/>
  <c r="I968" i="9" s="1"/>
  <c r="E696" i="9"/>
  <c r="I696" i="9" s="1"/>
  <c r="E336" i="9"/>
  <c r="I336" i="9" s="1"/>
  <c r="E8" i="9"/>
  <c r="I8" i="9" s="1"/>
  <c r="E225" i="9"/>
  <c r="I225" i="9" s="1"/>
  <c r="E714" i="9"/>
  <c r="I714" i="9" s="1"/>
  <c r="E202" i="9"/>
  <c r="I202" i="9" s="1"/>
  <c r="E708" i="9"/>
  <c r="I708" i="9" s="1"/>
  <c r="E192" i="9"/>
  <c r="I192" i="9" s="1"/>
  <c r="E65" i="9"/>
  <c r="I65" i="9" s="1"/>
  <c r="E661" i="9"/>
  <c r="I661" i="9" s="1"/>
  <c r="E1017" i="9"/>
  <c r="I1017" i="9" s="1"/>
  <c r="E91" i="9"/>
  <c r="I91" i="9" s="1"/>
  <c r="E669" i="9"/>
  <c r="I669" i="9" s="1"/>
  <c r="E814" i="9"/>
  <c r="I814" i="9" s="1"/>
  <c r="E161" i="9"/>
  <c r="I161" i="9" s="1"/>
  <c r="B372" i="2" a="1"/>
  <c r="B372" i="2" s="1"/>
  <c r="AS34" i="16" s="1"/>
  <c r="E374" i="2" a="1"/>
  <c r="E374" i="2" s="1"/>
  <c r="AH36" i="16" s="1"/>
  <c r="D371" i="2" a="1"/>
  <c r="D371" i="2" s="1"/>
  <c r="Y33" i="16" s="1"/>
  <c r="D373" i="2" a="1"/>
  <c r="D373" i="2" s="1"/>
  <c r="Y35" i="16" s="1"/>
  <c r="A373" i="2" a="1"/>
  <c r="A373" i="2" s="1"/>
  <c r="AR35" i="16" s="1"/>
  <c r="C370" i="2" a="1"/>
  <c r="C370" i="2" s="1"/>
  <c r="AT32" i="16" s="1"/>
  <c r="Q1170" i="2"/>
  <c r="R1170" i="2" s="1"/>
  <c r="C54" i="17" s="1"/>
  <c r="P6" i="20"/>
  <c r="B6" i="20" s="1"/>
  <c r="C1392" i="2" s="1"/>
  <c r="G1578" i="2" s="1"/>
  <c r="P19" i="20"/>
  <c r="B19" i="20" s="1"/>
  <c r="C1405" i="2" s="1"/>
  <c r="G1591" i="2" s="1"/>
  <c r="P9" i="20"/>
  <c r="B9" i="20" s="1"/>
  <c r="C1395" i="2" s="1"/>
  <c r="G1581" i="2" s="1"/>
  <c r="P20" i="20"/>
  <c r="B20" i="20" s="1"/>
  <c r="C1406" i="2" s="1"/>
  <c r="G1592" i="2" s="1"/>
  <c r="P16" i="20"/>
  <c r="B16" i="20" s="1"/>
  <c r="C1402" i="2" s="1"/>
  <c r="G1588" i="2" s="1"/>
  <c r="P11" i="20"/>
  <c r="B11" i="20" s="1"/>
  <c r="C1397" i="2" s="1"/>
  <c r="G1583" i="2" s="1"/>
  <c r="M782" i="2"/>
  <c r="C44" i="18" s="1"/>
  <c r="P23" i="20"/>
  <c r="B23" i="20" s="1"/>
  <c r="C1409" i="2" s="1"/>
  <c r="G1595" i="2" s="1"/>
  <c r="P36" i="20"/>
  <c r="B36" i="20" s="1"/>
  <c r="C1422" i="2" s="1"/>
  <c r="G1608" i="2" s="1"/>
  <c r="AG96" i="10"/>
  <c r="AH96" i="10" s="1"/>
  <c r="AG10" i="10"/>
  <c r="AH10" i="10" s="1"/>
  <c r="AG20" i="10"/>
  <c r="AH20" i="10" s="1"/>
  <c r="AG86" i="10"/>
  <c r="AH86" i="10" s="1"/>
  <c r="AA1036" i="9"/>
  <c r="AA972" i="9"/>
  <c r="AA908" i="9"/>
  <c r="AA844" i="9"/>
  <c r="AA780" i="9"/>
  <c r="AA1077" i="9"/>
  <c r="AA1013" i="9"/>
  <c r="AA949" i="9"/>
  <c r="AA885" i="9"/>
  <c r="AA821" i="9"/>
  <c r="AA757" i="9"/>
  <c r="AA693" i="9"/>
  <c r="AG60" i="10"/>
  <c r="AH60" i="10" s="1"/>
  <c r="AG48" i="10"/>
  <c r="AH48" i="10" s="1"/>
  <c r="AG53" i="10"/>
  <c r="AH53" i="10" s="1"/>
  <c r="AA1062" i="9"/>
  <c r="AA998" i="9"/>
  <c r="AA934" i="9"/>
  <c r="AA870" i="9"/>
  <c r="AA806" i="9"/>
  <c r="AA742" i="9"/>
  <c r="AG17" i="10"/>
  <c r="AH17" i="10" s="1"/>
  <c r="AG112" i="10"/>
  <c r="AH112" i="10" s="1"/>
  <c r="AG101" i="10"/>
  <c r="AH101" i="10" s="1"/>
  <c r="AA1074" i="9"/>
  <c r="AA1010" i="9"/>
  <c r="AA946" i="9"/>
  <c r="AA882" i="9"/>
  <c r="AA818" i="9"/>
  <c r="AA1039" i="9"/>
  <c r="AA911" i="9"/>
  <c r="AA783" i="9"/>
  <c r="AA674" i="9"/>
  <c r="AA610" i="9"/>
  <c r="AA546" i="9"/>
  <c r="AA482" i="9"/>
  <c r="AA418" i="9"/>
  <c r="AA354" i="9"/>
  <c r="AA290" i="9"/>
  <c r="AA226" i="9"/>
  <c r="AA164" i="9"/>
  <c r="AA102" i="9"/>
  <c r="AA40" i="9"/>
  <c r="AG51" i="10"/>
  <c r="AH51" i="10" s="1"/>
  <c r="AG77" i="10"/>
  <c r="AH77" i="10" s="1"/>
  <c r="AA1000" i="9"/>
  <c r="AA872" i="9"/>
  <c r="AA753" i="9"/>
  <c r="AA667" i="9"/>
  <c r="AA603" i="9"/>
  <c r="AA539" i="9"/>
  <c r="AA475" i="9"/>
  <c r="AA411" i="9"/>
  <c r="AA347" i="9"/>
  <c r="AA283" i="9"/>
  <c r="AA219" i="9"/>
  <c r="AA157" i="9"/>
  <c r="AA95" i="9"/>
  <c r="AA35" i="9"/>
  <c r="AA1025" i="9"/>
  <c r="AA897" i="9"/>
  <c r="AA762" i="9"/>
  <c r="AA694" i="9"/>
  <c r="AA628" i="9"/>
  <c r="AA564" i="9"/>
  <c r="AA500" i="9"/>
  <c r="AA436" i="9"/>
  <c r="AA372" i="9"/>
  <c r="AA308" i="9"/>
  <c r="AA244" i="9"/>
  <c r="AA182" i="9"/>
  <c r="AA120" i="9"/>
  <c r="AA58" i="9"/>
  <c r="AA1065" i="9"/>
  <c r="AA937" i="9"/>
  <c r="AA809" i="9"/>
  <c r="AA713" i="9"/>
  <c r="AA648" i="9"/>
  <c r="AA584" i="9"/>
  <c r="AA520" i="9"/>
  <c r="AA456" i="9"/>
  <c r="AA392" i="9"/>
  <c r="AA328" i="9"/>
  <c r="AA264" i="9"/>
  <c r="AA200" i="9"/>
  <c r="AA140" i="9"/>
  <c r="AA78" i="9"/>
  <c r="AA16" i="9"/>
  <c r="AA883" i="9"/>
  <c r="AA669" i="9"/>
  <c r="AA541" i="9"/>
  <c r="AA413" i="9"/>
  <c r="AA285" i="9"/>
  <c r="AA159" i="9"/>
  <c r="AA37" i="9"/>
  <c r="AA887" i="9"/>
  <c r="AA678" i="9"/>
  <c r="AA550" i="9"/>
  <c r="AA422" i="9"/>
  <c r="AA294" i="9"/>
  <c r="AA168" i="9"/>
  <c r="AA44" i="9"/>
  <c r="AG45" i="10"/>
  <c r="AH45" i="10" s="1"/>
  <c r="AA880" i="9"/>
  <c r="AA687" i="9"/>
  <c r="AA551" i="9"/>
  <c r="AA423" i="9"/>
  <c r="AA295" i="9"/>
  <c r="AA169" i="9"/>
  <c r="AA45" i="9"/>
  <c r="AA939" i="9"/>
  <c r="AA705" i="9"/>
  <c r="AA569" i="9"/>
  <c r="AA441" i="9"/>
  <c r="AA313" i="9"/>
  <c r="AA187" i="9"/>
  <c r="AA63" i="9"/>
  <c r="AA803" i="9"/>
  <c r="AA533" i="9"/>
  <c r="AA277" i="9"/>
  <c r="AA29" i="9"/>
  <c r="AA98" i="9"/>
  <c r="AA13" i="9"/>
  <c r="AA864" i="9"/>
  <c r="AA527" i="9"/>
  <c r="AA271" i="9"/>
  <c r="AA23" i="9"/>
  <c r="AA641" i="9"/>
  <c r="AA385" i="9"/>
  <c r="AA133" i="9"/>
  <c r="AA421" i="9"/>
  <c r="AA896" i="9"/>
  <c r="AA543" i="9"/>
  <c r="AA287" i="9"/>
  <c r="AA160" i="9"/>
  <c r="AA261" i="9"/>
  <c r="AA768" i="9"/>
  <c r="AA465" i="9"/>
  <c r="AA209" i="9"/>
  <c r="AA839" i="9"/>
  <c r="AA382" i="9"/>
  <c r="AA485" i="9"/>
  <c r="AA84" i="9"/>
  <c r="AA366" i="9"/>
  <c r="AA176" i="9"/>
  <c r="AG8" i="10"/>
  <c r="AH8" i="10" s="1"/>
  <c r="AG104" i="10"/>
  <c r="AH104" i="10" s="1"/>
  <c r="AG22" i="10"/>
  <c r="AH22" i="10" s="1"/>
  <c r="AA1020" i="9"/>
  <c r="AA956" i="9"/>
  <c r="AA892" i="9"/>
  <c r="AA764" i="9"/>
  <c r="AA997" i="9"/>
  <c r="AA933" i="9"/>
  <c r="AA805" i="9"/>
  <c r="AG83" i="10"/>
  <c r="AH83" i="10" s="1"/>
  <c r="AG52" i="10"/>
  <c r="AH52" i="10" s="1"/>
  <c r="AA1046" i="9"/>
  <c r="AA918" i="9"/>
  <c r="AA790" i="9"/>
  <c r="AG31" i="10"/>
  <c r="AH31" i="10" s="1"/>
  <c r="AA994" i="9"/>
  <c r="AA802" i="9"/>
  <c r="AA879" i="9"/>
  <c r="AA594" i="9"/>
  <c r="AG100" i="10"/>
  <c r="AH100" i="10" s="1"/>
  <c r="AG74" i="10"/>
  <c r="AH74" i="10" s="1"/>
  <c r="AG88" i="10"/>
  <c r="AH88" i="10" s="1"/>
  <c r="AG54" i="10"/>
  <c r="AH54" i="10" s="1"/>
  <c r="AA1028" i="9"/>
  <c r="AA964" i="9"/>
  <c r="AA900" i="9"/>
  <c r="AA836" i="9"/>
  <c r="AA772" i="9"/>
  <c r="AA1069" i="9"/>
  <c r="AA1005" i="9"/>
  <c r="AA941" i="9"/>
  <c r="AA877" i="9"/>
  <c r="AA813" i="9"/>
  <c r="AA749" i="9"/>
  <c r="AA685" i="9"/>
  <c r="AG26" i="10"/>
  <c r="AH26" i="10" s="1"/>
  <c r="AG99" i="10"/>
  <c r="AH99" i="10" s="1"/>
  <c r="AG21" i="10"/>
  <c r="AH21" i="10" s="1"/>
  <c r="AA1054" i="9"/>
  <c r="AA990" i="9"/>
  <c r="AA926" i="9"/>
  <c r="AA862" i="9"/>
  <c r="AA798" i="9"/>
  <c r="AA734" i="9"/>
  <c r="AG34" i="10"/>
  <c r="AH34" i="10" s="1"/>
  <c r="AG65" i="10"/>
  <c r="AH65" i="10" s="1"/>
  <c r="AG69" i="10"/>
  <c r="AH69" i="10" s="1"/>
  <c r="AA1066" i="9"/>
  <c r="AA1002" i="9"/>
  <c r="AA938" i="9"/>
  <c r="AA874" i="9"/>
  <c r="AA810" i="9"/>
  <c r="AA1023" i="9"/>
  <c r="AA895" i="9"/>
  <c r="AA746" i="9"/>
  <c r="AA666" i="9"/>
  <c r="AA602" i="9"/>
  <c r="AA538" i="9"/>
  <c r="AA474" i="9"/>
  <c r="AA410" i="9"/>
  <c r="AA346" i="9"/>
  <c r="AA282" i="9"/>
  <c r="AA218" i="9"/>
  <c r="AA156" i="9"/>
  <c r="AA94" i="9"/>
  <c r="AA34" i="9"/>
  <c r="AG23" i="10"/>
  <c r="AH23" i="10" s="1"/>
  <c r="AG13" i="10"/>
  <c r="AH13" i="10" s="1"/>
  <c r="AA984" i="9"/>
  <c r="AA856" i="9"/>
  <c r="AA751" i="9"/>
  <c r="AA659" i="9"/>
  <c r="AA595" i="9"/>
  <c r="AA531" i="9"/>
  <c r="AA467" i="9"/>
  <c r="AA403" i="9"/>
  <c r="AA339" i="9"/>
  <c r="AA275" i="9"/>
  <c r="AA211" i="9"/>
  <c r="AA149" i="9"/>
  <c r="AA27" i="9"/>
  <c r="AA1009" i="9"/>
  <c r="AA881" i="9"/>
  <c r="AA760" i="9"/>
  <c r="AA681" i="9"/>
  <c r="AA620" i="9"/>
  <c r="AA556" i="9"/>
  <c r="AA492" i="9"/>
  <c r="AA428" i="9"/>
  <c r="AA364" i="9"/>
  <c r="AA300" i="9"/>
  <c r="AA236" i="9"/>
  <c r="AA174" i="9"/>
  <c r="AA112" i="9"/>
  <c r="AA50" i="9"/>
  <c r="AA1049" i="9"/>
  <c r="AA921" i="9"/>
  <c r="AA793" i="9"/>
  <c r="AA700" i="9"/>
  <c r="AA640" i="9"/>
  <c r="AA576" i="9"/>
  <c r="AA512" i="9"/>
  <c r="AA448" i="9"/>
  <c r="AA384" i="9"/>
  <c r="AA320" i="9"/>
  <c r="AA256" i="9"/>
  <c r="AA132" i="9"/>
  <c r="AA70" i="9"/>
  <c r="AA8" i="9"/>
  <c r="AA851" i="9"/>
  <c r="AA653" i="9"/>
  <c r="AA525" i="9"/>
  <c r="AA397" i="9"/>
  <c r="AA269" i="9"/>
  <c r="AA143" i="9"/>
  <c r="AA21" i="9"/>
  <c r="AA855" i="9"/>
  <c r="AA662" i="9"/>
  <c r="AA534" i="9"/>
  <c r="AA406" i="9"/>
  <c r="AA278" i="9"/>
  <c r="AA152" i="9"/>
  <c r="AA30" i="9"/>
  <c r="AG38" i="10"/>
  <c r="AH38" i="10" s="1"/>
  <c r="AA848" i="9"/>
  <c r="AA663" i="9"/>
  <c r="AA535" i="9"/>
  <c r="AA407" i="9"/>
  <c r="AA279" i="9"/>
  <c r="AA153" i="9"/>
  <c r="AA31" i="9"/>
  <c r="AA907" i="9"/>
  <c r="AA692" i="9"/>
  <c r="AA553" i="9"/>
  <c r="AA425" i="9"/>
  <c r="AA297" i="9"/>
  <c r="AA171" i="9"/>
  <c r="AA47" i="9"/>
  <c r="AA767" i="9"/>
  <c r="AA501" i="9"/>
  <c r="AA245" i="9"/>
  <c r="AA1031" i="9"/>
  <c r="AA6" i="9"/>
  <c r="AG28" i="10"/>
  <c r="AH28" i="10" s="1"/>
  <c r="AA800" i="9"/>
  <c r="AA495" i="9"/>
  <c r="AA239" i="9"/>
  <c r="AA1019" i="9"/>
  <c r="AA609" i="9"/>
  <c r="AA353" i="9"/>
  <c r="AA101" i="9"/>
  <c r="AA105" i="9"/>
  <c r="AA832" i="9"/>
  <c r="AA511" i="9"/>
  <c r="AA255" i="9"/>
  <c r="AA7" i="9"/>
  <c r="AA68" i="9"/>
  <c r="AA197" i="9"/>
  <c r="AA739" i="9"/>
  <c r="AA433" i="9"/>
  <c r="AA179" i="9"/>
  <c r="AA775" i="9"/>
  <c r="AA350" i="9"/>
  <c r="AA75" i="9"/>
  <c r="AA1063" i="9"/>
  <c r="AA114" i="9"/>
  <c r="AA935" i="9"/>
  <c r="AA741" i="9"/>
  <c r="AA1058" i="9"/>
  <c r="AG40" i="10"/>
  <c r="AH40" i="10" s="1"/>
  <c r="AG16" i="10"/>
  <c r="AH16" i="10" s="1"/>
  <c r="AG29" i="10"/>
  <c r="AH29" i="10" s="1"/>
  <c r="AA1052" i="9"/>
  <c r="AA988" i="9"/>
  <c r="AA924" i="9"/>
  <c r="AA860" i="9"/>
  <c r="AA796" i="9"/>
  <c r="AA732" i="9"/>
  <c r="AA1029" i="9"/>
  <c r="AA965" i="9"/>
  <c r="AA901" i="9"/>
  <c r="AA837" i="9"/>
  <c r="AA773" i="9"/>
  <c r="AA709" i="9"/>
  <c r="AG58" i="10"/>
  <c r="AH58" i="10" s="1"/>
  <c r="AG15" i="10"/>
  <c r="AH15" i="10" s="1"/>
  <c r="AG2" i="10"/>
  <c r="AH2" i="10" s="1"/>
  <c r="AA1078" i="9"/>
  <c r="AA1014" i="9"/>
  <c r="AA950" i="9"/>
  <c r="AA886" i="9"/>
  <c r="AA822" i="9"/>
  <c r="AA758" i="9"/>
  <c r="AG79" i="10"/>
  <c r="AH79" i="10" s="1"/>
  <c r="AG107" i="10"/>
  <c r="AH107" i="10" s="1"/>
  <c r="AG56" i="10"/>
  <c r="AH56" i="10" s="1"/>
  <c r="AG30" i="10"/>
  <c r="AH30" i="10" s="1"/>
  <c r="AA1026" i="9"/>
  <c r="AA962" i="9"/>
  <c r="AA898" i="9"/>
  <c r="AA834" i="9"/>
  <c r="AA1071" i="9"/>
  <c r="AA943" i="9"/>
  <c r="AA815" i="9"/>
  <c r="AA684" i="9"/>
  <c r="AA626" i="9"/>
  <c r="AA562" i="9"/>
  <c r="AA498" i="9"/>
  <c r="AA434" i="9"/>
  <c r="AA370" i="9"/>
  <c r="AA306" i="9"/>
  <c r="AA242" i="9"/>
  <c r="AA180" i="9"/>
  <c r="AA118" i="9"/>
  <c r="AA56" i="9"/>
  <c r="AG25" i="10"/>
  <c r="AH25" i="10" s="1"/>
  <c r="AG105" i="10"/>
  <c r="AH105" i="10" s="1"/>
  <c r="AA1032" i="9"/>
  <c r="AA904" i="9"/>
  <c r="AA776" i="9"/>
  <c r="AA689" i="9"/>
  <c r="AA619" i="9"/>
  <c r="AA555" i="9"/>
  <c r="AA491" i="9"/>
  <c r="AA427" i="9"/>
  <c r="AA363" i="9"/>
  <c r="AA299" i="9"/>
  <c r="AA235" i="9"/>
  <c r="AA173" i="9"/>
  <c r="AA111" i="9"/>
  <c r="AA49" i="9"/>
  <c r="AA1057" i="9"/>
  <c r="AA929" i="9"/>
  <c r="AA801" i="9"/>
  <c r="AA711" i="9"/>
  <c r="AA644" i="9"/>
  <c r="AA580" i="9"/>
  <c r="AA516" i="9"/>
  <c r="AA452" i="9"/>
  <c r="AA388" i="9"/>
  <c r="AA324" i="9"/>
  <c r="AA260" i="9"/>
  <c r="AA196" i="9"/>
  <c r="AA136" i="9"/>
  <c r="AA74" i="9"/>
  <c r="AA12" i="9"/>
  <c r="AA969" i="9"/>
  <c r="AA841" i="9"/>
  <c r="AA730" i="9"/>
  <c r="AA664" i="9"/>
  <c r="AA600" i="9"/>
  <c r="AA536" i="9"/>
  <c r="AA472" i="9"/>
  <c r="AA408" i="9"/>
  <c r="AA344" i="9"/>
  <c r="AA280" i="9"/>
  <c r="AA216" i="9"/>
  <c r="AA154" i="9"/>
  <c r="AA92" i="9"/>
  <c r="AA32" i="9"/>
  <c r="AA947" i="9"/>
  <c r="AA707" i="9"/>
  <c r="AA573" i="9"/>
  <c r="AA445" i="9"/>
  <c r="AA317" i="9"/>
  <c r="AA191" i="9"/>
  <c r="AA67" i="9"/>
  <c r="AA951" i="9"/>
  <c r="AA712" i="9"/>
  <c r="AA582" i="9"/>
  <c r="AA454" i="9"/>
  <c r="AA326" i="9"/>
  <c r="AA198" i="9"/>
  <c r="AA76" i="9"/>
  <c r="AG33" i="10"/>
  <c r="AH33" i="10" s="1"/>
  <c r="AA944" i="9"/>
  <c r="AA719" i="9"/>
  <c r="AA583" i="9"/>
  <c r="AA455" i="9"/>
  <c r="AA327" i="9"/>
  <c r="AA199" i="9"/>
  <c r="AA77" i="9"/>
  <c r="AA1003" i="9"/>
  <c r="AA770" i="9"/>
  <c r="AA601" i="9"/>
  <c r="AA473" i="9"/>
  <c r="AA345" i="9"/>
  <c r="AA217" i="9"/>
  <c r="AA93" i="9"/>
  <c r="AA931" i="9"/>
  <c r="AA597" i="9"/>
  <c r="AA341" i="9"/>
  <c r="AA89" i="9"/>
  <c r="AA254" i="9"/>
  <c r="AA229" i="9"/>
  <c r="AA992" i="9"/>
  <c r="AA591" i="9"/>
  <c r="AA335" i="9"/>
  <c r="AA85" i="9"/>
  <c r="AA688" i="9"/>
  <c r="AA449" i="9"/>
  <c r="AA899" i="9"/>
  <c r="AA1024" i="9"/>
  <c r="AA607" i="9"/>
  <c r="AA351" i="9"/>
  <c r="AA99" i="9"/>
  <c r="AA286" i="9"/>
  <c r="AA389" i="9"/>
  <c r="AA859" i="9"/>
  <c r="AA529" i="9"/>
  <c r="AA273" i="9"/>
  <c r="AA25" i="9"/>
  <c r="AA510" i="9"/>
  <c r="AA771" i="9"/>
  <c r="AA52" i="9"/>
  <c r="AA590" i="9"/>
  <c r="AA871" i="9"/>
  <c r="AG41" i="10"/>
  <c r="AH41" i="10" s="1"/>
  <c r="AA828" i="9"/>
  <c r="AA869" i="9"/>
  <c r="AG47" i="10"/>
  <c r="AH47" i="10" s="1"/>
  <c r="AA982" i="9"/>
  <c r="AA854" i="9"/>
  <c r="AA726" i="9"/>
  <c r="AG37" i="10"/>
  <c r="AH37" i="10" s="1"/>
  <c r="AA930" i="9"/>
  <c r="AA1007" i="9"/>
  <c r="AA658" i="9"/>
  <c r="AA466" i="9"/>
  <c r="AG59" i="10"/>
  <c r="AH59" i="10" s="1"/>
  <c r="AG64" i="10"/>
  <c r="AH64" i="10" s="1"/>
  <c r="AG67" i="10"/>
  <c r="AH67" i="10" s="1"/>
  <c r="AG3" i="10"/>
  <c r="AH3" i="10" s="1"/>
  <c r="AA1044" i="9"/>
  <c r="AA980" i="9"/>
  <c r="AA916" i="9"/>
  <c r="AA852" i="9"/>
  <c r="AA788" i="9"/>
  <c r="AA724" i="9"/>
  <c r="AA1021" i="9"/>
  <c r="AA957" i="9"/>
  <c r="AA893" i="9"/>
  <c r="AA829" i="9"/>
  <c r="AA765" i="9"/>
  <c r="AA701" i="9"/>
  <c r="AG68" i="10"/>
  <c r="AH68" i="10" s="1"/>
  <c r="AG95" i="10"/>
  <c r="AH95" i="10" s="1"/>
  <c r="AG85" i="10"/>
  <c r="AH85" i="10" s="1"/>
  <c r="AA1070" i="9"/>
  <c r="AA1006" i="9"/>
  <c r="AA942" i="9"/>
  <c r="AA878" i="9"/>
  <c r="AA814" i="9"/>
  <c r="AA750" i="9"/>
  <c r="AG75" i="10"/>
  <c r="AH75" i="10" s="1"/>
  <c r="AG49" i="10"/>
  <c r="AH49" i="10" s="1"/>
  <c r="AG9" i="10"/>
  <c r="AH9" i="10" s="1"/>
  <c r="O1205" i="2"/>
  <c r="M984" i="2" s="1"/>
  <c r="AA1018" i="9"/>
  <c r="AA954" i="9"/>
  <c r="AA890" i="9"/>
  <c r="AA826" i="9"/>
  <c r="AA1055" i="9"/>
  <c r="AA927" i="9"/>
  <c r="AA799" i="9"/>
  <c r="AA680" i="9"/>
  <c r="AA618" i="9"/>
  <c r="AA554" i="9"/>
  <c r="AA490" i="9"/>
  <c r="AA426" i="9"/>
  <c r="AA362" i="9"/>
  <c r="AA298" i="9"/>
  <c r="AA234" i="9"/>
  <c r="AA172" i="9"/>
  <c r="AA110" i="9"/>
  <c r="AA48" i="9"/>
  <c r="AG89" i="10"/>
  <c r="AH89" i="10" s="1"/>
  <c r="AG24" i="10"/>
  <c r="AH24" i="10" s="1"/>
  <c r="AA1016" i="9"/>
  <c r="AA888" i="9"/>
  <c r="AA755" i="9"/>
  <c r="AA675" i="9"/>
  <c r="AA611" i="9"/>
  <c r="AA547" i="9"/>
  <c r="AA483" i="9"/>
  <c r="AA419" i="9"/>
  <c r="AA355" i="9"/>
  <c r="AA291" i="9"/>
  <c r="AA227" i="9"/>
  <c r="AA165" i="9"/>
  <c r="AA103" i="9"/>
  <c r="AA41" i="9"/>
  <c r="AA1041" i="9"/>
  <c r="AA913" i="9"/>
  <c r="AA785" i="9"/>
  <c r="AA698" i="9"/>
  <c r="AA636" i="9"/>
  <c r="AA572" i="9"/>
  <c r="AA508" i="9"/>
  <c r="AA444" i="9"/>
  <c r="AA380" i="9"/>
  <c r="AA316" i="9"/>
  <c r="AA252" i="9"/>
  <c r="AA190" i="9"/>
  <c r="AA128" i="9"/>
  <c r="AA66" i="9"/>
  <c r="AA4" i="9"/>
  <c r="AA953" i="9"/>
  <c r="AA825" i="9"/>
  <c r="AA728" i="9"/>
  <c r="AA656" i="9"/>
  <c r="AA592" i="9"/>
  <c r="AA528" i="9"/>
  <c r="AA464" i="9"/>
  <c r="AA400" i="9"/>
  <c r="AA336" i="9"/>
  <c r="AA272" i="9"/>
  <c r="AA208" i="9"/>
  <c r="AA146" i="9"/>
  <c r="AA86" i="9"/>
  <c r="AA24" i="9"/>
  <c r="AA915" i="9"/>
  <c r="AA686" i="9"/>
  <c r="AA557" i="9"/>
  <c r="AA429" i="9"/>
  <c r="AA301" i="9"/>
  <c r="AA175" i="9"/>
  <c r="AA51" i="9"/>
  <c r="AA919" i="9"/>
  <c r="AA699" i="9"/>
  <c r="AA566" i="9"/>
  <c r="AA438" i="9"/>
  <c r="AA310" i="9"/>
  <c r="AA184" i="9"/>
  <c r="AA60" i="9"/>
  <c r="AG71" i="10"/>
  <c r="AH71" i="10" s="1"/>
  <c r="AA912" i="9"/>
  <c r="AA708" i="9"/>
  <c r="AA567" i="9"/>
  <c r="AA439" i="9"/>
  <c r="AA311" i="9"/>
  <c r="AA185" i="9"/>
  <c r="AA61" i="9"/>
  <c r="AA971" i="9"/>
  <c r="AA737" i="9"/>
  <c r="AA585" i="9"/>
  <c r="AA457" i="9"/>
  <c r="AA329" i="9"/>
  <c r="AA201" i="9"/>
  <c r="AA79" i="9"/>
  <c r="AA867" i="9"/>
  <c r="AA565" i="9"/>
  <c r="AA309" i="9"/>
  <c r="AA59" i="9"/>
  <c r="AA192" i="9"/>
  <c r="AA137" i="9"/>
  <c r="AA928" i="9"/>
  <c r="AA559" i="9"/>
  <c r="AA303" i="9"/>
  <c r="AA53" i="9"/>
  <c r="AA673" i="9"/>
  <c r="AA417" i="9"/>
  <c r="AA163" i="9"/>
  <c r="AA453" i="9"/>
  <c r="AA960" i="9"/>
  <c r="AA575" i="9"/>
  <c r="AA319" i="9"/>
  <c r="AA69" i="9"/>
  <c r="AA222" i="9"/>
  <c r="AA325" i="9"/>
  <c r="AA795" i="9"/>
  <c r="AA497" i="9"/>
  <c r="AA241" i="9"/>
  <c r="AA967" i="9"/>
  <c r="AA414" i="9"/>
  <c r="AA677" i="9"/>
  <c r="AA334" i="9"/>
  <c r="AA622" i="9"/>
  <c r="AA430" i="9"/>
  <c r="AA1061" i="9"/>
  <c r="AG110" i="10"/>
  <c r="AH110" i="10" s="1"/>
  <c r="AG43" i="10"/>
  <c r="AH43" i="10" s="1"/>
  <c r="AA866" i="9"/>
  <c r="AA744" i="9"/>
  <c r="AG106" i="10"/>
  <c r="AH106" i="10" s="1"/>
  <c r="AA1076" i="9"/>
  <c r="AA932" i="9"/>
  <c r="AA748" i="9"/>
  <c r="AA925" i="9"/>
  <c r="AA781" i="9"/>
  <c r="AG36" i="10"/>
  <c r="AH36" i="10" s="1"/>
  <c r="AA1038" i="9"/>
  <c r="AA894" i="9"/>
  <c r="AG76" i="10"/>
  <c r="AH76" i="10" s="1"/>
  <c r="AG5" i="10"/>
  <c r="AH5" i="10" s="1"/>
  <c r="AA970" i="9"/>
  <c r="AA786" i="9"/>
  <c r="AA714" i="9"/>
  <c r="AA570" i="9"/>
  <c r="AA402" i="9"/>
  <c r="AA274" i="9"/>
  <c r="AA148" i="9"/>
  <c r="AA26" i="9"/>
  <c r="AG70" i="10"/>
  <c r="AH70" i="10" s="1"/>
  <c r="AA840" i="9"/>
  <c r="AA651" i="9"/>
  <c r="AA523" i="9"/>
  <c r="AA395" i="9"/>
  <c r="AA267" i="9"/>
  <c r="AA19" i="9"/>
  <c r="AA865" i="9"/>
  <c r="AA676" i="9"/>
  <c r="AA548" i="9"/>
  <c r="AA420" i="9"/>
  <c r="AA292" i="9"/>
  <c r="AA166" i="9"/>
  <c r="AA42" i="9"/>
  <c r="AA905" i="9"/>
  <c r="AA696" i="9"/>
  <c r="AA568" i="9"/>
  <c r="AA440" i="9"/>
  <c r="AA312" i="9"/>
  <c r="AA186" i="9"/>
  <c r="AA62" i="9"/>
  <c r="AA819" i="9"/>
  <c r="AA509" i="9"/>
  <c r="AA253" i="9"/>
  <c r="AA5" i="9"/>
  <c r="AA646" i="9"/>
  <c r="AA390" i="9"/>
  <c r="AA138" i="9"/>
  <c r="AA1072" i="9"/>
  <c r="AA647" i="9"/>
  <c r="AA391" i="9"/>
  <c r="AA139" i="9"/>
  <c r="AA875" i="9"/>
  <c r="AA537" i="9"/>
  <c r="AA281" i="9"/>
  <c r="AA33" i="9"/>
  <c r="AA469" i="9"/>
  <c r="AA903" i="9"/>
  <c r="AG44" i="10"/>
  <c r="AH44" i="10" s="1"/>
  <c r="AA463" i="9"/>
  <c r="AA955" i="9"/>
  <c r="AA321" i="9"/>
  <c r="AA43" i="9"/>
  <c r="AA479" i="9"/>
  <c r="AA606" i="9"/>
  <c r="AA167" i="9"/>
  <c r="AA401" i="9"/>
  <c r="AA745" i="9"/>
  <c r="AA999" i="9"/>
  <c r="AA807" i="9"/>
  <c r="AA635" i="9"/>
  <c r="AA1015" i="9"/>
  <c r="AA249" i="9"/>
  <c r="AA399" i="9"/>
  <c r="AG12" i="10"/>
  <c r="AH12" i="10" s="1"/>
  <c r="AA987" i="9"/>
  <c r="AA695" i="9"/>
  <c r="AA398" i="9"/>
  <c r="AG97" i="10"/>
  <c r="AH97" i="10" s="1"/>
  <c r="AA1012" i="9"/>
  <c r="AA868" i="9"/>
  <c r="AA1045" i="9"/>
  <c r="AA861" i="9"/>
  <c r="AG73" i="10"/>
  <c r="AH73" i="10" s="1"/>
  <c r="AA830" i="9"/>
  <c r="AA1050" i="9"/>
  <c r="AA906" i="9"/>
  <c r="AA514" i="9"/>
  <c r="AA378" i="9"/>
  <c r="AA2" i="9"/>
  <c r="AA627" i="9"/>
  <c r="AA371" i="9"/>
  <c r="AA119" i="9"/>
  <c r="AA524" i="9"/>
  <c r="AA20" i="9"/>
  <c r="AA416" i="9"/>
  <c r="AA736" i="9"/>
  <c r="AA598" i="9"/>
  <c r="AA599" i="9"/>
  <c r="AA489" i="9"/>
  <c r="AA478" i="9"/>
  <c r="AA225" i="9"/>
  <c r="AA923" i="9"/>
  <c r="AA144" i="9"/>
  <c r="AA1042" i="9"/>
  <c r="AA587" i="9"/>
  <c r="AA228" i="9"/>
  <c r="AA248" i="9"/>
  <c r="AA518" i="9"/>
  <c r="AA15" i="9"/>
  <c r="AA213" i="9"/>
  <c r="AA71" i="9"/>
  <c r="AA657" i="9"/>
  <c r="AA682" i="9"/>
  <c r="AG7" i="10"/>
  <c r="AH7" i="10" s="1"/>
  <c r="AA996" i="9"/>
  <c r="AA812" i="9"/>
  <c r="AA845" i="9"/>
  <c r="AG78" i="10"/>
  <c r="AH78" i="10" s="1"/>
  <c r="AA958" i="9"/>
  <c r="AG82" i="10"/>
  <c r="AH82" i="10" s="1"/>
  <c r="AA863" i="9"/>
  <c r="AA458" i="9"/>
  <c r="AA202" i="9"/>
  <c r="AA952" i="9"/>
  <c r="AA451" i="9"/>
  <c r="AA73" i="9"/>
  <c r="AA476" i="9"/>
  <c r="AA96" i="9"/>
  <c r="AA496" i="9"/>
  <c r="AG98" i="10"/>
  <c r="AH98" i="10" s="1"/>
  <c r="AA1068" i="9"/>
  <c r="AA884" i="9"/>
  <c r="AA740" i="9"/>
  <c r="AA917" i="9"/>
  <c r="AA733" i="9"/>
  <c r="AG90" i="10"/>
  <c r="AH90" i="10" s="1"/>
  <c r="AA1030" i="9"/>
  <c r="AA846" i="9"/>
  <c r="AG11" i="10"/>
  <c r="AH11" i="10" s="1"/>
  <c r="AG94" i="10"/>
  <c r="AH94" i="10" s="1"/>
  <c r="AA922" i="9"/>
  <c r="AA778" i="9"/>
  <c r="AA710" i="9"/>
  <c r="AA530" i="9"/>
  <c r="AA394" i="9"/>
  <c r="AA266" i="9"/>
  <c r="AA142" i="9"/>
  <c r="AA18" i="9"/>
  <c r="AG6" i="10"/>
  <c r="AH6" i="10" s="1"/>
  <c r="AA824" i="9"/>
  <c r="AA643" i="9"/>
  <c r="AA515" i="9"/>
  <c r="AA387" i="9"/>
  <c r="AA259" i="9"/>
  <c r="AA135" i="9"/>
  <c r="AA11" i="9"/>
  <c r="AA849" i="9"/>
  <c r="AA668" i="9"/>
  <c r="AA540" i="9"/>
  <c r="AA412" i="9"/>
  <c r="AA284" i="9"/>
  <c r="AA158" i="9"/>
  <c r="AA36" i="9"/>
  <c r="AA889" i="9"/>
  <c r="AA683" i="9"/>
  <c r="AA560" i="9"/>
  <c r="AA432" i="9"/>
  <c r="AA304" i="9"/>
  <c r="AA178" i="9"/>
  <c r="AA54" i="9"/>
  <c r="AA787" i="9"/>
  <c r="AA493" i="9"/>
  <c r="AA237" i="9"/>
  <c r="AA1047" i="9"/>
  <c r="AA630" i="9"/>
  <c r="AA374" i="9"/>
  <c r="AA122" i="9"/>
  <c r="AA1040" i="9"/>
  <c r="AA631" i="9"/>
  <c r="AA375" i="9"/>
  <c r="AA123" i="9"/>
  <c r="AA843" i="9"/>
  <c r="AA521" i="9"/>
  <c r="AA265" i="9"/>
  <c r="AA17" i="9"/>
  <c r="AA437" i="9"/>
  <c r="AA670" i="9"/>
  <c r="AG50" i="10"/>
  <c r="AH50" i="10" s="1"/>
  <c r="AA431" i="9"/>
  <c r="AA891" i="9"/>
  <c r="AA289" i="9"/>
  <c r="AG55" i="10"/>
  <c r="AH55" i="10" s="1"/>
  <c r="AA447" i="9"/>
  <c r="AA542" i="9"/>
  <c r="AA1051" i="9"/>
  <c r="AA369" i="9"/>
  <c r="AA716" i="9"/>
  <c r="AA494" i="9"/>
  <c r="AA654" i="9"/>
  <c r="AG32" i="10"/>
  <c r="AH32" i="10" s="1"/>
  <c r="AA1060" i="9"/>
  <c r="AA876" i="9"/>
  <c r="AA1053" i="9"/>
  <c r="AA909" i="9"/>
  <c r="AA725" i="9"/>
  <c r="AG18" i="10"/>
  <c r="AH18" i="10" s="1"/>
  <c r="AA1022" i="9"/>
  <c r="AA838" i="9"/>
  <c r="AG81" i="10"/>
  <c r="AH81" i="10" s="1"/>
  <c r="AG62" i="10"/>
  <c r="AH62" i="10" s="1"/>
  <c r="AA914" i="9"/>
  <c r="AA991" i="9"/>
  <c r="AA697" i="9"/>
  <c r="AA522" i="9"/>
  <c r="AA386" i="9"/>
  <c r="AA258" i="9"/>
  <c r="AA134" i="9"/>
  <c r="AA10" i="9"/>
  <c r="AA1064" i="9"/>
  <c r="AA808" i="9"/>
  <c r="AA507" i="9"/>
  <c r="AA379" i="9"/>
  <c r="AA251" i="9"/>
  <c r="AA127" i="9"/>
  <c r="AA3" i="9"/>
  <c r="AA833" i="9"/>
  <c r="AA660" i="9"/>
  <c r="AA532" i="9"/>
  <c r="AA404" i="9"/>
  <c r="AA276" i="9"/>
  <c r="AA150" i="9"/>
  <c r="AA28" i="9"/>
  <c r="AA873" i="9"/>
  <c r="AA679" i="9"/>
  <c r="AA552" i="9"/>
  <c r="AA424" i="9"/>
  <c r="AA296" i="9"/>
  <c r="AA170" i="9"/>
  <c r="AA46" i="9"/>
  <c r="AA769" i="9"/>
  <c r="AA477" i="9"/>
  <c r="AA221" i="9"/>
  <c r="AA614" i="9"/>
  <c r="AA358" i="9"/>
  <c r="AA106" i="9"/>
  <c r="AA1008" i="9"/>
  <c r="AA615" i="9"/>
  <c r="AA359" i="9"/>
  <c r="AA107" i="9"/>
  <c r="AA811" i="9"/>
  <c r="AA505" i="9"/>
  <c r="AA1059" i="9"/>
  <c r="AA405" i="9"/>
  <c r="AA574" i="9"/>
  <c r="AG102" i="10"/>
  <c r="AH102" i="10" s="1"/>
  <c r="AA827" i="9"/>
  <c r="AA257" i="9"/>
  <c r="AA415" i="9"/>
  <c r="AA446" i="9"/>
  <c r="AA337" i="9"/>
  <c r="AA238" i="9"/>
  <c r="AA717" i="9"/>
  <c r="AA975" i="9"/>
  <c r="AA126" i="9"/>
  <c r="AA499" i="9"/>
  <c r="AA817" i="9"/>
  <c r="AA544" i="9"/>
  <c r="AA38" i="9"/>
  <c r="AA983" i="9"/>
  <c r="AA976" i="9"/>
  <c r="AA779" i="9"/>
  <c r="AA373" i="9"/>
  <c r="AA735" i="9"/>
  <c r="AA318" i="9"/>
  <c r="AA558" i="9"/>
  <c r="AA1037" i="9"/>
  <c r="AA966" i="9"/>
  <c r="AA642" i="9"/>
  <c r="AA210" i="9"/>
  <c r="AA968" i="9"/>
  <c r="AA331" i="9"/>
  <c r="AA993" i="9"/>
  <c r="AA484" i="9"/>
  <c r="AA1033" i="9"/>
  <c r="AA632" i="9"/>
  <c r="AA124" i="9"/>
  <c r="AA381" i="9"/>
  <c r="AA262" i="9"/>
  <c r="AA519" i="9"/>
  <c r="AA409" i="9"/>
  <c r="AA613" i="9"/>
  <c r="AA577" i="9"/>
  <c r="AA703" i="9"/>
  <c r="AA526" i="9"/>
  <c r="AA774" i="9"/>
  <c r="AG87" i="10"/>
  <c r="AH87" i="10" s="1"/>
  <c r="AA977" i="9"/>
  <c r="AA1017" i="9"/>
  <c r="AG93" i="10"/>
  <c r="AH93" i="10" s="1"/>
  <c r="AA948" i="9"/>
  <c r="AA804" i="9"/>
  <c r="AA981" i="9"/>
  <c r="AA797" i="9"/>
  <c r="AG92" i="10"/>
  <c r="AH92" i="10" s="1"/>
  <c r="AG46" i="10"/>
  <c r="AH46" i="10" s="1"/>
  <c r="AA910" i="9"/>
  <c r="AA766" i="9"/>
  <c r="AG35" i="10"/>
  <c r="AH35" i="10" s="1"/>
  <c r="AA986" i="9"/>
  <c r="AA842" i="9"/>
  <c r="AA847" i="9"/>
  <c r="AA586" i="9"/>
  <c r="AA450" i="9"/>
  <c r="AA322" i="9"/>
  <c r="AA194" i="9"/>
  <c r="AA72" i="9"/>
  <c r="AG80" i="10"/>
  <c r="AH80" i="10" s="1"/>
  <c r="AA936" i="9"/>
  <c r="AA706" i="9"/>
  <c r="AA571" i="9"/>
  <c r="AA443" i="9"/>
  <c r="AA315" i="9"/>
  <c r="AA189" i="9"/>
  <c r="AA65" i="9"/>
  <c r="AA961" i="9"/>
  <c r="AA727" i="9"/>
  <c r="AA596" i="9"/>
  <c r="AA468" i="9"/>
  <c r="AA340" i="9"/>
  <c r="AA212" i="9"/>
  <c r="AA88" i="9"/>
  <c r="AA1001" i="9"/>
  <c r="AA761" i="9"/>
  <c r="AA616" i="9"/>
  <c r="AA488" i="9"/>
  <c r="AA360" i="9"/>
  <c r="AA232" i="9"/>
  <c r="AA108" i="9"/>
  <c r="AA1011" i="9"/>
  <c r="AA605" i="9"/>
  <c r="AA349" i="9"/>
  <c r="AA97" i="9"/>
  <c r="AA747" i="9"/>
  <c r="AA486" i="9"/>
  <c r="AA230" i="9"/>
  <c r="AG57" i="10"/>
  <c r="AH57" i="10" s="1"/>
  <c r="AA752" i="9"/>
  <c r="AA487" i="9"/>
  <c r="AA231" i="9"/>
  <c r="AA1067" i="9"/>
  <c r="AA633" i="9"/>
  <c r="AA377" i="9"/>
  <c r="AA125" i="9"/>
  <c r="AA661" i="9"/>
  <c r="AA151" i="9"/>
  <c r="AA357" i="9"/>
  <c r="AA655" i="9"/>
  <c r="AA145" i="9"/>
  <c r="AA513" i="9"/>
  <c r="AA9" i="9"/>
  <c r="AA671" i="9"/>
  <c r="AA161" i="9"/>
  <c r="AA549" i="9"/>
  <c r="AA593" i="9"/>
  <c r="AA87" i="9"/>
  <c r="AA963" i="9"/>
  <c r="AA22" i="9"/>
  <c r="AA206" i="9"/>
  <c r="AG27" i="10"/>
  <c r="AH27" i="10" s="1"/>
  <c r="AA1048" i="9"/>
  <c r="AA1073" i="9"/>
  <c r="AA268" i="9"/>
  <c r="AA672" i="9"/>
  <c r="AA162" i="9"/>
  <c r="AA205" i="9"/>
  <c r="AA90" i="9"/>
  <c r="AA91" i="9"/>
  <c r="AA995" i="9"/>
  <c r="AA367" i="9"/>
  <c r="AA383" i="9"/>
  <c r="AA638" i="9"/>
  <c r="AG63" i="10"/>
  <c r="AH63" i="10" s="1"/>
  <c r="AA820" i="9"/>
  <c r="AA853" i="9"/>
  <c r="AG39" i="10"/>
  <c r="AH39" i="10" s="1"/>
  <c r="AG91" i="10"/>
  <c r="AH91" i="10" s="1"/>
  <c r="AA959" i="9"/>
  <c r="AA506" i="9"/>
  <c r="AA722" i="9"/>
  <c r="AA203" i="9"/>
  <c r="AA731" i="9"/>
  <c r="AA356" i="9"/>
  <c r="AA777" i="9"/>
  <c r="AA376" i="9"/>
  <c r="AA637" i="9"/>
  <c r="AA823" i="9"/>
  <c r="AA816" i="9"/>
  <c r="AA665" i="9"/>
  <c r="AA738" i="9"/>
  <c r="AA207" i="9"/>
  <c r="AA223" i="9"/>
  <c r="AA130" i="9"/>
  <c r="AA989" i="9"/>
  <c r="AA850" i="9"/>
  <c r="AA330" i="9"/>
  <c r="AA720" i="9"/>
  <c r="AA323" i="9"/>
  <c r="AA729" i="9"/>
  <c r="AA348" i="9"/>
  <c r="AA763" i="9"/>
  <c r="AA368" i="9"/>
  <c r="AG72" i="10"/>
  <c r="AH72" i="10" s="1"/>
  <c r="AG61" i="10"/>
  <c r="AH61" i="10" s="1"/>
  <c r="AA940" i="9"/>
  <c r="AA756" i="9"/>
  <c r="AA973" i="9"/>
  <c r="AA789" i="9"/>
  <c r="AG111" i="10"/>
  <c r="AH111" i="10" s="1"/>
  <c r="AG14" i="10"/>
  <c r="AH14" i="10" s="1"/>
  <c r="AA902" i="9"/>
  <c r="AA718" i="9"/>
  <c r="AG103" i="10"/>
  <c r="AH103" i="10" s="1"/>
  <c r="AA978" i="9"/>
  <c r="AA794" i="9"/>
  <c r="AA831" i="9"/>
  <c r="AA578" i="9"/>
  <c r="AA442" i="9"/>
  <c r="AA314" i="9"/>
  <c r="AA188" i="9"/>
  <c r="AA64" i="9"/>
  <c r="AG84" i="10"/>
  <c r="AH84" i="10" s="1"/>
  <c r="AA920" i="9"/>
  <c r="AA702" i="9"/>
  <c r="AA563" i="9"/>
  <c r="AA435" i="9"/>
  <c r="AA307" i="9"/>
  <c r="AA181" i="9"/>
  <c r="AA57" i="9"/>
  <c r="AA945" i="9"/>
  <c r="AA715" i="9"/>
  <c r="AA588" i="9"/>
  <c r="AA460" i="9"/>
  <c r="AA332" i="9"/>
  <c r="AA204" i="9"/>
  <c r="AA82" i="9"/>
  <c r="AA985" i="9"/>
  <c r="AA759" i="9"/>
  <c r="AA608" i="9"/>
  <c r="AA480" i="9"/>
  <c r="AA352" i="9"/>
  <c r="AA224" i="9"/>
  <c r="AA100" i="9"/>
  <c r="AA979" i="9"/>
  <c r="AA589" i="9"/>
  <c r="AA333" i="9"/>
  <c r="AA83" i="9"/>
  <c r="AA743" i="9"/>
  <c r="AA470" i="9"/>
  <c r="AA214" i="9"/>
  <c r="AG19" i="10"/>
  <c r="AH19" i="10" s="1"/>
  <c r="AA723" i="9"/>
  <c r="AA471" i="9"/>
  <c r="AA215" i="9"/>
  <c r="AA1035" i="9"/>
  <c r="AA617" i="9"/>
  <c r="AA361" i="9"/>
  <c r="AA109" i="9"/>
  <c r="AA629" i="9"/>
  <c r="AA121" i="9"/>
  <c r="AA293" i="9"/>
  <c r="AA623" i="9"/>
  <c r="AA115" i="9"/>
  <c r="AA481" i="9"/>
  <c r="AA1027" i="9"/>
  <c r="AA639" i="9"/>
  <c r="AA131" i="9"/>
  <c r="AA517" i="9"/>
  <c r="AA561" i="9"/>
  <c r="AA55" i="9"/>
  <c r="AA835" i="9"/>
  <c r="AA302" i="9"/>
  <c r="AA974" i="9"/>
  <c r="AA650" i="9"/>
  <c r="AA250" i="9"/>
  <c r="AA792" i="9"/>
  <c r="AA243" i="9"/>
  <c r="AA652" i="9"/>
  <c r="AA396" i="9"/>
  <c r="AA857" i="9"/>
  <c r="AA288" i="9"/>
  <c r="AA461" i="9"/>
  <c r="AA342" i="9"/>
  <c r="AA343" i="9"/>
  <c r="AA233" i="9"/>
  <c r="AA1056" i="9"/>
  <c r="AG109" i="10"/>
  <c r="AH109" i="10" s="1"/>
  <c r="AA305" i="9"/>
  <c r="AA1004" i="9"/>
  <c r="AG66" i="10"/>
  <c r="AH66" i="10" s="1"/>
  <c r="AA782" i="9"/>
  <c r="AA858" i="9"/>
  <c r="AA338" i="9"/>
  <c r="AG108" i="10"/>
  <c r="AH108" i="10" s="1"/>
  <c r="AA459" i="9"/>
  <c r="AA81" i="9"/>
  <c r="AA612" i="9"/>
  <c r="AA104" i="9"/>
  <c r="AA504" i="9"/>
  <c r="AA1075" i="9"/>
  <c r="AA129" i="9"/>
  <c r="AA14" i="9"/>
  <c r="AA263" i="9"/>
  <c r="AA155" i="9"/>
  <c r="AA721" i="9"/>
  <c r="AA754" i="9"/>
  <c r="AA147" i="9"/>
  <c r="AG4" i="10"/>
  <c r="AH4" i="10" s="1"/>
  <c r="AA1034" i="9"/>
  <c r="AA634" i="9"/>
  <c r="AA80" i="9"/>
  <c r="AA579" i="9"/>
  <c r="AA195" i="9"/>
  <c r="AA604" i="9"/>
  <c r="AA220" i="9"/>
  <c r="AA624" i="9"/>
  <c r="AA116" i="9"/>
  <c r="AA502" i="9"/>
  <c r="AA393" i="9"/>
  <c r="AA39" i="9"/>
  <c r="AA462" i="9"/>
  <c r="AA621" i="9"/>
  <c r="AA503" i="9"/>
  <c r="AA581" i="9"/>
  <c r="AA625" i="9"/>
  <c r="AA246" i="9"/>
  <c r="AA141" i="9"/>
  <c r="AA691" i="9"/>
  <c r="AA690" i="9"/>
  <c r="AA193" i="9"/>
  <c r="AA1043" i="9"/>
  <c r="AA183" i="9"/>
  <c r="AA365" i="9"/>
  <c r="AA704" i="9"/>
  <c r="AA113" i="9"/>
  <c r="AA177" i="9"/>
  <c r="AA791" i="9"/>
  <c r="AA545" i="9"/>
  <c r="AA240" i="9"/>
  <c r="AG42" i="10"/>
  <c r="AH42" i="10" s="1"/>
  <c r="AA784" i="9"/>
  <c r="AA645" i="9"/>
  <c r="AA247" i="9"/>
  <c r="AA117" i="9"/>
  <c r="F1318" i="2"/>
  <c r="AA649" i="9"/>
  <c r="AA270" i="9"/>
  <c r="P29" i="20"/>
  <c r="B29" i="20" s="1"/>
  <c r="C1415" i="2" s="1"/>
  <c r="G1601" i="2" s="1"/>
  <c r="P7" i="20"/>
  <c r="B7" i="20" s="1"/>
  <c r="C1393" i="2" s="1"/>
  <c r="G1579" i="2" s="1"/>
  <c r="P27" i="20"/>
  <c r="B27" i="20" s="1"/>
  <c r="C1413" i="2" s="1"/>
  <c r="G1599" i="2" s="1"/>
  <c r="P10" i="20"/>
  <c r="B10" i="20" s="1"/>
  <c r="C1396" i="2" s="1"/>
  <c r="G1582" i="2" s="1"/>
  <c r="P13" i="20"/>
  <c r="B13" i="20" s="1"/>
  <c r="C1399" i="2" s="1"/>
  <c r="G1585" i="2" s="1"/>
  <c r="P12" i="20"/>
  <c r="B12" i="20" s="1"/>
  <c r="C1398" i="2" s="1"/>
  <c r="G1584" i="2" s="1"/>
  <c r="P15" i="20"/>
  <c r="B15" i="20" s="1"/>
  <c r="C1401" i="2" s="1"/>
  <c r="G1587" i="2" s="1"/>
  <c r="P5" i="20"/>
  <c r="B5" i="20" s="1"/>
  <c r="C1391" i="2" s="1"/>
  <c r="P14" i="20"/>
  <c r="B14" i="20" s="1"/>
  <c r="C1400" i="2" s="1"/>
  <c r="P32" i="20"/>
  <c r="B32" i="20" s="1"/>
  <c r="C1418" i="2" s="1"/>
  <c r="P33" i="20"/>
  <c r="B33" i="20" s="1"/>
  <c r="C1419" i="2" s="1"/>
  <c r="R933" i="2"/>
  <c r="L940" i="2"/>
  <c r="Z50" i="18" s="1"/>
  <c r="P25" i="20"/>
  <c r="B25" i="20" s="1"/>
  <c r="C1411" i="2" s="1"/>
  <c r="P17" i="20"/>
  <c r="B17" i="20" s="1"/>
  <c r="C1403" i="2" s="1"/>
  <c r="P18" i="20"/>
  <c r="B18" i="20" s="1"/>
  <c r="C1404" i="2" s="1"/>
  <c r="L938" i="2"/>
  <c r="Z48" i="18" s="1"/>
  <c r="R931" i="2"/>
  <c r="L939" i="2"/>
  <c r="Z49" i="18" s="1"/>
  <c r="R932" i="2"/>
  <c r="P24" i="20"/>
  <c r="B24" i="20" s="1"/>
  <c r="C1410" i="2" s="1"/>
  <c r="O945" i="2"/>
  <c r="AE48" i="18"/>
  <c r="P34" i="20"/>
  <c r="B34" i="20" s="1"/>
  <c r="C1420" i="2" s="1"/>
  <c r="P4" i="20"/>
  <c r="P22" i="20"/>
  <c r="B22" i="20" s="1"/>
  <c r="C1408" i="2" s="1"/>
  <c r="P21" i="20"/>
  <c r="B21" i="20" s="1"/>
  <c r="C1407" i="2" s="1"/>
  <c r="L943" i="2"/>
  <c r="R936" i="2"/>
  <c r="P30" i="20"/>
  <c r="B30" i="20" s="1"/>
  <c r="C1416" i="2" s="1"/>
  <c r="P28" i="20"/>
  <c r="B28" i="20" s="1"/>
  <c r="C1414" i="2" s="1"/>
  <c r="R934" i="2"/>
  <c r="L941" i="2"/>
  <c r="Z51" i="18" s="1"/>
  <c r="P26" i="20"/>
  <c r="B26" i="20" s="1"/>
  <c r="C1412" i="2" s="1"/>
  <c r="P35" i="20"/>
  <c r="B35" i="20" s="1"/>
  <c r="C1421" i="2" s="1"/>
  <c r="L942" i="2"/>
  <c r="Z52" i="18" s="1"/>
  <c r="R935" i="2"/>
  <c r="P8" i="20"/>
  <c r="B8" i="20" s="1"/>
  <c r="C1394" i="2" s="1"/>
  <c r="P31" i="20"/>
  <c r="B31" i="20" s="1"/>
  <c r="C1417" i="2" s="1"/>
  <c r="H990" i="2" l="1"/>
  <c r="C45" i="17" s="1"/>
  <c r="AI1469" i="2"/>
  <c r="AQ1469" i="2"/>
  <c r="AY1469" i="2" s="1"/>
  <c r="BG1469" i="2" s="1"/>
  <c r="AJ1459" i="2"/>
  <c r="AR1459" i="2"/>
  <c r="AZ1459" i="2" s="1"/>
  <c r="BH1459" i="2" s="1"/>
  <c r="O1466" i="2"/>
  <c r="D215" i="2" a="1"/>
  <c r="D215" i="2" s="1"/>
  <c r="K36" i="1" s="1"/>
  <c r="A213" i="2" a="1"/>
  <c r="A213" i="2" s="1"/>
  <c r="AC34" i="1" s="1"/>
  <c r="E213" i="2" a="1"/>
  <c r="E213" i="2" s="1"/>
  <c r="U34" i="1" s="1"/>
  <c r="B215" i="2" a="1"/>
  <c r="B215" i="2" s="1"/>
  <c r="AD36" i="1" s="1"/>
  <c r="F216" i="2" a="1"/>
  <c r="F216" i="2" s="1"/>
  <c r="C37" i="1" s="1"/>
  <c r="F212" i="2" a="1"/>
  <c r="F212" i="2" s="1"/>
  <c r="C33" i="1" s="1"/>
  <c r="A216" i="2" a="1"/>
  <c r="A216" i="2" s="1"/>
  <c r="AC37" i="1" s="1"/>
  <c r="D216" i="2" a="1"/>
  <c r="D216" i="2" s="1"/>
  <c r="K37" i="1" s="1"/>
  <c r="C215" i="2" a="1"/>
  <c r="C215" i="2" s="1"/>
  <c r="AE36" i="1" s="1"/>
  <c r="B216" i="2" a="1"/>
  <c r="B216" i="2" s="1"/>
  <c r="AD37" i="1" s="1"/>
  <c r="F215" i="2" a="1"/>
  <c r="F215" i="2" s="1"/>
  <c r="C36" i="1" s="1"/>
  <c r="B213" i="2" a="1"/>
  <c r="B213" i="2" s="1"/>
  <c r="AD34" i="1" s="1"/>
  <c r="F214" i="2" a="1"/>
  <c r="F214" i="2" s="1"/>
  <c r="C35" i="1" s="1"/>
  <c r="E214" i="2" a="1"/>
  <c r="E214" i="2" s="1"/>
  <c r="U35" i="1" s="1"/>
  <c r="C213" i="2" a="1"/>
  <c r="C213" i="2" s="1"/>
  <c r="AE34" i="1" s="1"/>
  <c r="E212" i="2" a="1"/>
  <c r="E212" i="2" s="1"/>
  <c r="U33" i="1" s="1"/>
  <c r="F213" i="2" a="1"/>
  <c r="F213" i="2" s="1"/>
  <c r="C34" i="1" s="1"/>
  <c r="A212" i="2" a="1"/>
  <c r="A212" i="2" s="1"/>
  <c r="AC33" i="1" s="1"/>
  <c r="D213" i="2" a="1"/>
  <c r="D213" i="2" s="1"/>
  <c r="K34" i="1" s="1"/>
  <c r="A214" i="2" a="1"/>
  <c r="A214" i="2" s="1"/>
  <c r="AC35" i="1" s="1"/>
  <c r="A215" i="2" a="1"/>
  <c r="A215" i="2" s="1"/>
  <c r="AC36" i="1" s="1"/>
  <c r="C214" i="2" a="1"/>
  <c r="C214" i="2" s="1"/>
  <c r="AE35" i="1" s="1"/>
  <c r="B212" i="2" a="1"/>
  <c r="B212" i="2" s="1"/>
  <c r="AD33" i="1" s="1"/>
  <c r="D212" i="2" a="1"/>
  <c r="D212" i="2" s="1"/>
  <c r="K33" i="1" s="1"/>
  <c r="C216" i="2" a="1"/>
  <c r="C216" i="2" s="1"/>
  <c r="AE37" i="1" s="1"/>
  <c r="E215" i="2" a="1"/>
  <c r="E215" i="2" s="1"/>
  <c r="U36" i="1" s="1"/>
  <c r="B214" i="2" a="1"/>
  <c r="B214" i="2" s="1"/>
  <c r="AD35" i="1" s="1"/>
  <c r="C212" i="2" a="1"/>
  <c r="C212" i="2" s="1"/>
  <c r="AE33" i="1" s="1"/>
  <c r="E216" i="2" a="1"/>
  <c r="E216" i="2" s="1"/>
  <c r="U37" i="1" s="1"/>
  <c r="D214" i="2" a="1"/>
  <c r="D214" i="2" s="1"/>
  <c r="K35" i="1" s="1"/>
  <c r="M113" i="10"/>
  <c r="N2" i="10"/>
  <c r="N1476" i="2"/>
  <c r="R930" i="2"/>
  <c r="S930" i="2" s="1"/>
  <c r="C53" i="18" s="1"/>
  <c r="B1388" i="2"/>
  <c r="D3" i="20" s="1"/>
  <c r="J982" i="2"/>
  <c r="O978" i="2"/>
  <c r="C19" i="17" s="1"/>
  <c r="AA32" i="17"/>
  <c r="G1593" i="2"/>
  <c r="B4" i="20"/>
  <c r="C1390" i="2" s="1"/>
  <c r="C1424" i="2" a="1"/>
  <c r="C1424" i="2" s="1"/>
  <c r="G1590" i="2"/>
  <c r="G1603" i="2"/>
  <c r="G1607" i="2"/>
  <c r="G1600" i="2"/>
  <c r="G1580" i="2"/>
  <c r="G1596" i="2"/>
  <c r="G1598" i="2"/>
  <c r="G1602" i="2"/>
  <c r="G1594" i="2"/>
  <c r="G1605" i="2"/>
  <c r="G1606" i="2"/>
  <c r="G1589" i="2"/>
  <c r="G1604" i="2"/>
  <c r="G1586" i="2"/>
  <c r="Q2" i="9"/>
  <c r="U2" i="9" s="1"/>
  <c r="Q6" i="9"/>
  <c r="U6" i="9" s="1"/>
  <c r="Q10" i="9"/>
  <c r="U10" i="9" s="1"/>
  <c r="Q14" i="9"/>
  <c r="U14" i="9" s="1"/>
  <c r="Q18" i="9"/>
  <c r="U18" i="9" s="1"/>
  <c r="Q22" i="9"/>
  <c r="U22" i="9" s="1"/>
  <c r="Q26" i="9"/>
  <c r="U26" i="9" s="1"/>
  <c r="Q30" i="9"/>
  <c r="U30" i="9" s="1"/>
  <c r="Q34" i="9"/>
  <c r="U34" i="9" s="1"/>
  <c r="Q40" i="9"/>
  <c r="U40" i="9" s="1"/>
  <c r="Q44" i="9"/>
  <c r="U44" i="9" s="1"/>
  <c r="Q48" i="9"/>
  <c r="U48" i="9" s="1"/>
  <c r="Q52" i="9"/>
  <c r="U52" i="9" s="1"/>
  <c r="Q56" i="9"/>
  <c r="U56" i="9" s="1"/>
  <c r="Q60" i="9"/>
  <c r="U60" i="9" s="1"/>
  <c r="Q64" i="9"/>
  <c r="U64" i="9" s="1"/>
  <c r="Q68" i="9"/>
  <c r="U68" i="9" s="1"/>
  <c r="Q72" i="9"/>
  <c r="U72" i="9" s="1"/>
  <c r="Q76" i="9"/>
  <c r="U76" i="9" s="1"/>
  <c r="Q80" i="9"/>
  <c r="U80" i="9" s="1"/>
  <c r="Q84" i="9"/>
  <c r="U84" i="9" s="1"/>
  <c r="Q90" i="9"/>
  <c r="U90" i="9" s="1"/>
  <c r="Q94" i="9"/>
  <c r="U94" i="9" s="1"/>
  <c r="Q98" i="9"/>
  <c r="U98" i="9" s="1"/>
  <c r="Q102" i="9"/>
  <c r="U102" i="9" s="1"/>
  <c r="Q106" i="9"/>
  <c r="U106" i="9" s="1"/>
  <c r="Q110" i="9"/>
  <c r="U110" i="9" s="1"/>
  <c r="Q114" i="9"/>
  <c r="U114" i="9" s="1"/>
  <c r="Q118" i="9"/>
  <c r="U118" i="9" s="1"/>
  <c r="Q122" i="9"/>
  <c r="U122" i="9" s="1"/>
  <c r="Q126" i="9"/>
  <c r="U126" i="9" s="1"/>
  <c r="Q130" i="9"/>
  <c r="U130" i="9" s="1"/>
  <c r="Q134" i="9"/>
  <c r="U134" i="9" s="1"/>
  <c r="Q138" i="9"/>
  <c r="U138" i="9" s="1"/>
  <c r="Q142" i="9"/>
  <c r="U142" i="9" s="1"/>
  <c r="Q144" i="9"/>
  <c r="U144" i="9" s="1"/>
  <c r="Q148" i="9"/>
  <c r="U148" i="9" s="1"/>
  <c r="Q152" i="9"/>
  <c r="U152" i="9" s="1"/>
  <c r="Q156" i="9"/>
  <c r="U156" i="9" s="1"/>
  <c r="Q160" i="9"/>
  <c r="U160" i="9" s="1"/>
  <c r="Q164" i="9"/>
  <c r="U164" i="9" s="1"/>
  <c r="Q168" i="9"/>
  <c r="U168" i="9" s="1"/>
  <c r="Q172" i="9"/>
  <c r="U172" i="9" s="1"/>
  <c r="Q176" i="9"/>
  <c r="U176" i="9" s="1"/>
  <c r="Q180" i="9"/>
  <c r="U180" i="9" s="1"/>
  <c r="Q184" i="9"/>
  <c r="U184" i="9" s="1"/>
  <c r="Q188" i="9"/>
  <c r="U188" i="9" s="1"/>
  <c r="Q192" i="9"/>
  <c r="U192" i="9" s="1"/>
  <c r="Q194" i="9"/>
  <c r="U194" i="9" s="1"/>
  <c r="Q198" i="9"/>
  <c r="U198" i="9" s="1"/>
  <c r="Q202" i="9"/>
  <c r="U202" i="9" s="1"/>
  <c r="Q206" i="9"/>
  <c r="U206" i="9" s="1"/>
  <c r="Q210" i="9"/>
  <c r="U210" i="9" s="1"/>
  <c r="Q214" i="9"/>
  <c r="U214" i="9" s="1"/>
  <c r="Q218" i="9"/>
  <c r="U218" i="9" s="1"/>
  <c r="Q222" i="9"/>
  <c r="U222" i="9" s="1"/>
  <c r="Q226" i="9"/>
  <c r="U226" i="9" s="1"/>
  <c r="Q230" i="9"/>
  <c r="U230" i="9" s="1"/>
  <c r="Q234" i="9"/>
  <c r="U234" i="9" s="1"/>
  <c r="Q238" i="9"/>
  <c r="U238" i="9" s="1"/>
  <c r="Q242" i="9"/>
  <c r="U242" i="9" s="1"/>
  <c r="Q246" i="9"/>
  <c r="U246" i="9" s="1"/>
  <c r="Q250" i="9"/>
  <c r="U250" i="9" s="1"/>
  <c r="Q254" i="9"/>
  <c r="U254" i="9" s="1"/>
  <c r="Q258" i="9"/>
  <c r="U258" i="9" s="1"/>
  <c r="Q262" i="9"/>
  <c r="U262" i="9" s="1"/>
  <c r="Q266" i="9"/>
  <c r="U266" i="9" s="1"/>
  <c r="Q270" i="9"/>
  <c r="U270" i="9" s="1"/>
  <c r="Q274" i="9"/>
  <c r="U274" i="9" s="1"/>
  <c r="Q278" i="9"/>
  <c r="U278" i="9" s="1"/>
  <c r="Q282" i="9"/>
  <c r="U282" i="9" s="1"/>
  <c r="Q286" i="9"/>
  <c r="U286" i="9" s="1"/>
  <c r="Q290" i="9"/>
  <c r="U290" i="9" s="1"/>
  <c r="Q294" i="9"/>
  <c r="U294" i="9" s="1"/>
  <c r="Q298" i="9"/>
  <c r="U298" i="9" s="1"/>
  <c r="Q302" i="9"/>
  <c r="U302" i="9" s="1"/>
  <c r="Q306" i="9"/>
  <c r="U306" i="9" s="1"/>
  <c r="Q310" i="9"/>
  <c r="U310" i="9" s="1"/>
  <c r="Q314" i="9"/>
  <c r="U314" i="9" s="1"/>
  <c r="Q318" i="9"/>
  <c r="U318" i="9" s="1"/>
  <c r="Q322" i="9"/>
  <c r="U322" i="9" s="1"/>
  <c r="Q326" i="9"/>
  <c r="U326" i="9" s="1"/>
  <c r="Q330" i="9"/>
  <c r="U330" i="9" s="1"/>
  <c r="Q334" i="9"/>
  <c r="U334" i="9" s="1"/>
  <c r="Q338" i="9"/>
  <c r="U338" i="9" s="1"/>
  <c r="Q342" i="9"/>
  <c r="U342" i="9" s="1"/>
  <c r="Q346" i="9"/>
  <c r="U346" i="9" s="1"/>
  <c r="Q350" i="9"/>
  <c r="U350" i="9" s="1"/>
  <c r="Q354" i="9"/>
  <c r="U354" i="9" s="1"/>
  <c r="Q358" i="9"/>
  <c r="U358" i="9" s="1"/>
  <c r="Q362" i="9"/>
  <c r="U362" i="9" s="1"/>
  <c r="Q366" i="9"/>
  <c r="U366" i="9" s="1"/>
  <c r="Q370" i="9"/>
  <c r="U370" i="9" s="1"/>
  <c r="Q374" i="9"/>
  <c r="U374" i="9" s="1"/>
  <c r="Q378" i="9"/>
  <c r="U378" i="9" s="1"/>
  <c r="Q382" i="9"/>
  <c r="U382" i="9" s="1"/>
  <c r="Q386" i="9"/>
  <c r="U386" i="9" s="1"/>
  <c r="Q390" i="9"/>
  <c r="U390" i="9" s="1"/>
  <c r="Q394" i="9"/>
  <c r="U394" i="9" s="1"/>
  <c r="Q398" i="9"/>
  <c r="U398" i="9" s="1"/>
  <c r="Q402" i="9"/>
  <c r="U402" i="9" s="1"/>
  <c r="Q406" i="9"/>
  <c r="U406" i="9" s="1"/>
  <c r="Q410" i="9"/>
  <c r="U410" i="9" s="1"/>
  <c r="Q414" i="9"/>
  <c r="U414" i="9" s="1"/>
  <c r="Q418" i="9"/>
  <c r="U418" i="9" s="1"/>
  <c r="Q422" i="9"/>
  <c r="U422" i="9" s="1"/>
  <c r="Q426" i="9"/>
  <c r="U426" i="9" s="1"/>
  <c r="Q3" i="9"/>
  <c r="U3" i="9" s="1"/>
  <c r="Q7" i="9"/>
  <c r="U7" i="9" s="1"/>
  <c r="Q11" i="9"/>
  <c r="U11" i="9" s="1"/>
  <c r="Q15" i="9"/>
  <c r="U15" i="9" s="1"/>
  <c r="Q19" i="9"/>
  <c r="U19" i="9" s="1"/>
  <c r="Q23" i="9"/>
  <c r="U23" i="9" s="1"/>
  <c r="Q27" i="9"/>
  <c r="U27" i="9" s="1"/>
  <c r="Q31" i="9"/>
  <c r="U31" i="9" s="1"/>
  <c r="Q35" i="9"/>
  <c r="U35" i="9" s="1"/>
  <c r="Q41" i="9"/>
  <c r="U41" i="9" s="1"/>
  <c r="Q45" i="9"/>
  <c r="U45" i="9" s="1"/>
  <c r="Q49" i="9"/>
  <c r="U49" i="9" s="1"/>
  <c r="Q53" i="9"/>
  <c r="U53" i="9" s="1"/>
  <c r="Q57" i="9"/>
  <c r="U57" i="9" s="1"/>
  <c r="Q61" i="9"/>
  <c r="U61" i="9" s="1"/>
  <c r="Q65" i="9"/>
  <c r="U65" i="9" s="1"/>
  <c r="Q69" i="9"/>
  <c r="U69" i="9" s="1"/>
  <c r="Q73" i="9"/>
  <c r="U73" i="9" s="1"/>
  <c r="Q77" i="9"/>
  <c r="U77" i="9" s="1"/>
  <c r="Q81" i="9"/>
  <c r="U81" i="9" s="1"/>
  <c r="Q85" i="9"/>
  <c r="U85" i="9" s="1"/>
  <c r="Q91" i="9"/>
  <c r="U91" i="9" s="1"/>
  <c r="Q95" i="9"/>
  <c r="U95" i="9" s="1"/>
  <c r="Q99" i="9"/>
  <c r="U99" i="9" s="1"/>
  <c r="Q103" i="9"/>
  <c r="U103" i="9" s="1"/>
  <c r="Q107" i="9"/>
  <c r="U107" i="9" s="1"/>
  <c r="Q111" i="9"/>
  <c r="U111" i="9" s="1"/>
  <c r="Q115" i="9"/>
  <c r="U115" i="9" s="1"/>
  <c r="Q119" i="9"/>
  <c r="U119" i="9" s="1"/>
  <c r="Q123" i="9"/>
  <c r="U123" i="9" s="1"/>
  <c r="Q127" i="9"/>
  <c r="U127" i="9" s="1"/>
  <c r="Q131" i="9"/>
  <c r="U131" i="9" s="1"/>
  <c r="Q135" i="9"/>
  <c r="U135" i="9" s="1"/>
  <c r="Q139" i="9"/>
  <c r="U139" i="9" s="1"/>
  <c r="Q145" i="9"/>
  <c r="U145" i="9" s="1"/>
  <c r="Q149" i="9"/>
  <c r="U149" i="9" s="1"/>
  <c r="Q153" i="9"/>
  <c r="U153" i="9" s="1"/>
  <c r="Q157" i="9"/>
  <c r="U157" i="9" s="1"/>
  <c r="Q161" i="9"/>
  <c r="U161" i="9" s="1"/>
  <c r="Q165" i="9"/>
  <c r="U165" i="9" s="1"/>
  <c r="Q169" i="9"/>
  <c r="U169" i="9" s="1"/>
  <c r="Q173" i="9"/>
  <c r="U173" i="9" s="1"/>
  <c r="Q177" i="9"/>
  <c r="U177" i="9" s="1"/>
  <c r="Q181" i="9"/>
  <c r="U181" i="9" s="1"/>
  <c r="Q185" i="9"/>
  <c r="U185" i="9" s="1"/>
  <c r="Q189" i="9"/>
  <c r="U189" i="9" s="1"/>
  <c r="Q193" i="9"/>
  <c r="U193" i="9" s="1"/>
  <c r="Q195" i="9"/>
  <c r="U195" i="9" s="1"/>
  <c r="Q199" i="9"/>
  <c r="U199" i="9" s="1"/>
  <c r="Q203" i="9"/>
  <c r="U203" i="9" s="1"/>
  <c r="Q207" i="9"/>
  <c r="U207" i="9" s="1"/>
  <c r="Q211" i="9"/>
  <c r="U211" i="9" s="1"/>
  <c r="Q215" i="9"/>
  <c r="U215" i="9" s="1"/>
  <c r="Q219" i="9"/>
  <c r="U219" i="9" s="1"/>
  <c r="Q223" i="9"/>
  <c r="U223" i="9" s="1"/>
  <c r="Q227" i="9"/>
  <c r="U227" i="9" s="1"/>
  <c r="Q231" i="9"/>
  <c r="U231" i="9" s="1"/>
  <c r="Q235" i="9"/>
  <c r="U235" i="9" s="1"/>
  <c r="Q239" i="9"/>
  <c r="U239" i="9" s="1"/>
  <c r="Q243" i="9"/>
  <c r="U243" i="9" s="1"/>
  <c r="Q247" i="9"/>
  <c r="U247" i="9" s="1"/>
  <c r="Q251" i="9"/>
  <c r="U251" i="9" s="1"/>
  <c r="Q255" i="9"/>
  <c r="U255" i="9" s="1"/>
  <c r="Q259" i="9"/>
  <c r="U259" i="9" s="1"/>
  <c r="Q263" i="9"/>
  <c r="U263" i="9" s="1"/>
  <c r="Q267" i="9"/>
  <c r="U267" i="9" s="1"/>
  <c r="Q271" i="9"/>
  <c r="U271" i="9" s="1"/>
  <c r="Q275" i="9"/>
  <c r="U275" i="9" s="1"/>
  <c r="Q279" i="9"/>
  <c r="U279" i="9" s="1"/>
  <c r="Q283" i="9"/>
  <c r="U283" i="9" s="1"/>
  <c r="Q287" i="9"/>
  <c r="U287" i="9" s="1"/>
  <c r="Q291" i="9"/>
  <c r="U291" i="9" s="1"/>
  <c r="Q295" i="9"/>
  <c r="U295" i="9" s="1"/>
  <c r="Q299" i="9"/>
  <c r="U299" i="9" s="1"/>
  <c r="Q303" i="9"/>
  <c r="U303" i="9" s="1"/>
  <c r="Q307" i="9"/>
  <c r="U307" i="9" s="1"/>
  <c r="Q311" i="9"/>
  <c r="U311" i="9" s="1"/>
  <c r="Q315" i="9"/>
  <c r="U315" i="9" s="1"/>
  <c r="Q319" i="9"/>
  <c r="U319" i="9" s="1"/>
  <c r="Q323" i="9"/>
  <c r="U323" i="9" s="1"/>
  <c r="Q327" i="9"/>
  <c r="U327" i="9" s="1"/>
  <c r="Q331" i="9"/>
  <c r="U331" i="9" s="1"/>
  <c r="Q335" i="9"/>
  <c r="U335" i="9" s="1"/>
  <c r="Q339" i="9"/>
  <c r="U339" i="9" s="1"/>
  <c r="Q343" i="9"/>
  <c r="U343" i="9" s="1"/>
  <c r="Q347" i="9"/>
  <c r="U347" i="9" s="1"/>
  <c r="Q351" i="9"/>
  <c r="U351" i="9" s="1"/>
  <c r="Q355" i="9"/>
  <c r="U355" i="9" s="1"/>
  <c r="Q359" i="9"/>
  <c r="U359" i="9" s="1"/>
  <c r="Q363" i="9"/>
  <c r="U363" i="9" s="1"/>
  <c r="Q367" i="9"/>
  <c r="U367" i="9" s="1"/>
  <c r="Q371" i="9"/>
  <c r="U371" i="9" s="1"/>
  <c r="Q375" i="9"/>
  <c r="U375" i="9" s="1"/>
  <c r="Q379" i="9"/>
  <c r="U379" i="9" s="1"/>
  <c r="Q383" i="9"/>
  <c r="U383" i="9" s="1"/>
  <c r="Q387" i="9"/>
  <c r="U387" i="9" s="1"/>
  <c r="Q391" i="9"/>
  <c r="U391" i="9" s="1"/>
  <c r="Q395" i="9"/>
  <c r="U395" i="9" s="1"/>
  <c r="Q399" i="9"/>
  <c r="U399" i="9" s="1"/>
  <c r="Q403" i="9"/>
  <c r="U403" i="9" s="1"/>
  <c r="Q407" i="9"/>
  <c r="U407" i="9" s="1"/>
  <c r="Q411" i="9"/>
  <c r="U411" i="9" s="1"/>
  <c r="Q415" i="9"/>
  <c r="U415" i="9" s="1"/>
  <c r="Q419" i="9"/>
  <c r="U419" i="9" s="1"/>
  <c r="Q423" i="9"/>
  <c r="U423" i="9" s="1"/>
  <c r="Q427" i="9"/>
  <c r="U427" i="9" s="1"/>
  <c r="Q431" i="9"/>
  <c r="U431" i="9" s="1"/>
  <c r="Q435" i="9"/>
  <c r="U435" i="9" s="1"/>
  <c r="Q439" i="9"/>
  <c r="U439" i="9" s="1"/>
  <c r="Q443" i="9"/>
  <c r="U443" i="9" s="1"/>
  <c r="Q447" i="9"/>
  <c r="U447" i="9" s="1"/>
  <c r="Q451" i="9"/>
  <c r="U451" i="9" s="1"/>
  <c r="Q455" i="9"/>
  <c r="U455" i="9" s="1"/>
  <c r="Q459" i="9"/>
  <c r="U459" i="9" s="1"/>
  <c r="Q463" i="9"/>
  <c r="U463" i="9" s="1"/>
  <c r="Q467" i="9"/>
  <c r="U467" i="9" s="1"/>
  <c r="Q471" i="9"/>
  <c r="U471" i="9" s="1"/>
  <c r="Q475" i="9"/>
  <c r="U475" i="9" s="1"/>
  <c r="Q479" i="9"/>
  <c r="U479" i="9" s="1"/>
  <c r="Q483" i="9"/>
  <c r="U483" i="9" s="1"/>
  <c r="Q487" i="9"/>
  <c r="U487" i="9" s="1"/>
  <c r="Q491" i="9"/>
  <c r="U491" i="9" s="1"/>
  <c r="Q495" i="9"/>
  <c r="U495" i="9" s="1"/>
  <c r="Q499" i="9"/>
  <c r="U499" i="9" s="1"/>
  <c r="Q503" i="9"/>
  <c r="U503" i="9" s="1"/>
  <c r="Q507" i="9"/>
  <c r="U507" i="9" s="1"/>
  <c r="Q511" i="9"/>
  <c r="U511" i="9" s="1"/>
  <c r="Q515" i="9"/>
  <c r="U515" i="9" s="1"/>
  <c r="Q519" i="9"/>
  <c r="U519" i="9" s="1"/>
  <c r="Q523" i="9"/>
  <c r="U523" i="9" s="1"/>
  <c r="Q527" i="9"/>
  <c r="U527" i="9" s="1"/>
  <c r="Q531" i="9"/>
  <c r="U531" i="9" s="1"/>
  <c r="Q535" i="9"/>
  <c r="U535" i="9" s="1"/>
  <c r="Q539" i="9"/>
  <c r="U539" i="9" s="1"/>
  <c r="Q543" i="9"/>
  <c r="U543" i="9" s="1"/>
  <c r="Q547" i="9"/>
  <c r="U547" i="9" s="1"/>
  <c r="Q551" i="9"/>
  <c r="U551" i="9" s="1"/>
  <c r="Q555" i="9"/>
  <c r="U555" i="9" s="1"/>
  <c r="Q559" i="9"/>
  <c r="U559" i="9" s="1"/>
  <c r="Q563" i="9"/>
  <c r="U563" i="9" s="1"/>
  <c r="Q567" i="9"/>
  <c r="U567" i="9" s="1"/>
  <c r="Q571" i="9"/>
  <c r="U571" i="9" s="1"/>
  <c r="Q575" i="9"/>
  <c r="U575" i="9" s="1"/>
  <c r="Q579" i="9"/>
  <c r="U579" i="9" s="1"/>
  <c r="Q583" i="9"/>
  <c r="U583" i="9" s="1"/>
  <c r="Q587" i="9"/>
  <c r="U587" i="9" s="1"/>
  <c r="Q591" i="9"/>
  <c r="U591" i="9" s="1"/>
  <c r="Q595" i="9"/>
  <c r="U595" i="9" s="1"/>
  <c r="Q599" i="9"/>
  <c r="U599" i="9" s="1"/>
  <c r="Q603" i="9"/>
  <c r="U603" i="9" s="1"/>
  <c r="Q607" i="9"/>
  <c r="U607" i="9" s="1"/>
  <c r="Q611" i="9"/>
  <c r="U611" i="9" s="1"/>
  <c r="Q615" i="9"/>
  <c r="U615" i="9" s="1"/>
  <c r="Q619" i="9"/>
  <c r="U619" i="9" s="1"/>
  <c r="Q623" i="9"/>
  <c r="U623" i="9" s="1"/>
  <c r="Q627" i="9"/>
  <c r="U627" i="9" s="1"/>
  <c r="Q631" i="9"/>
  <c r="U631" i="9" s="1"/>
  <c r="Q635" i="9"/>
  <c r="U635" i="9" s="1"/>
  <c r="Q639" i="9"/>
  <c r="U639" i="9" s="1"/>
  <c r="Q643" i="9"/>
  <c r="U643" i="9" s="1"/>
  <c r="Q647" i="9"/>
  <c r="U647" i="9" s="1"/>
  <c r="Q651" i="9"/>
  <c r="U651" i="9" s="1"/>
  <c r="Q655" i="9"/>
  <c r="U655" i="9" s="1"/>
  <c r="Q659" i="9"/>
  <c r="U659" i="9" s="1"/>
  <c r="Q663" i="9"/>
  <c r="U663" i="9" s="1"/>
  <c r="Q667" i="9"/>
  <c r="U667" i="9" s="1"/>
  <c r="Q671" i="9"/>
  <c r="U671" i="9" s="1"/>
  <c r="Q675" i="9"/>
  <c r="U675" i="9" s="1"/>
  <c r="Q679" i="9"/>
  <c r="U679" i="9" s="1"/>
  <c r="Q683" i="9"/>
  <c r="U683" i="9" s="1"/>
  <c r="Q687" i="9"/>
  <c r="U687" i="9" s="1"/>
  <c r="Q691" i="9"/>
  <c r="U691" i="9" s="1"/>
  <c r="Q695" i="9"/>
  <c r="U695" i="9" s="1"/>
  <c r="Q699" i="9"/>
  <c r="U699" i="9" s="1"/>
  <c r="Q703" i="9"/>
  <c r="U703" i="9" s="1"/>
  <c r="Q707" i="9"/>
  <c r="U707" i="9" s="1"/>
  <c r="Q711" i="9"/>
  <c r="U711" i="9" s="1"/>
  <c r="Q715" i="9"/>
  <c r="U715" i="9" s="1"/>
  <c r="Q719" i="9"/>
  <c r="U719" i="9" s="1"/>
  <c r="Q723" i="9"/>
  <c r="U723" i="9" s="1"/>
  <c r="Q727" i="9"/>
  <c r="U727" i="9" s="1"/>
  <c r="Q731" i="9"/>
  <c r="U731" i="9" s="1"/>
  <c r="Q735" i="9"/>
  <c r="U735" i="9" s="1"/>
  <c r="Q739" i="9"/>
  <c r="U739" i="9" s="1"/>
  <c r="Q743" i="9"/>
  <c r="U743" i="9" s="1"/>
  <c r="Q747" i="9"/>
  <c r="U747" i="9" s="1"/>
  <c r="Q751" i="9"/>
  <c r="U751" i="9" s="1"/>
  <c r="Q755" i="9"/>
  <c r="U755" i="9" s="1"/>
  <c r="Q759" i="9"/>
  <c r="U759" i="9" s="1"/>
  <c r="Q763" i="9"/>
  <c r="U763" i="9" s="1"/>
  <c r="Q767" i="9"/>
  <c r="U767" i="9" s="1"/>
  <c r="Q771" i="9"/>
  <c r="U771" i="9" s="1"/>
  <c r="Q775" i="9"/>
  <c r="U775" i="9" s="1"/>
  <c r="Q779" i="9"/>
  <c r="U779" i="9" s="1"/>
  <c r="Q784" i="9"/>
  <c r="U784" i="9" s="1"/>
  <c r="Q788" i="9"/>
  <c r="U788" i="9" s="1"/>
  <c r="Q792" i="9"/>
  <c r="U792" i="9" s="1"/>
  <c r="Q796" i="9"/>
  <c r="U796" i="9" s="1"/>
  <c r="Q800" i="9"/>
  <c r="U800" i="9" s="1"/>
  <c r="Q804" i="9"/>
  <c r="U804" i="9" s="1"/>
  <c r="Q808" i="9"/>
  <c r="U808" i="9" s="1"/>
  <c r="Q812" i="9"/>
  <c r="U812" i="9" s="1"/>
  <c r="Q816" i="9"/>
  <c r="U816" i="9" s="1"/>
  <c r="Q820" i="9"/>
  <c r="U820" i="9" s="1"/>
  <c r="Q824" i="9"/>
  <c r="U824" i="9" s="1"/>
  <c r="Q828" i="9"/>
  <c r="U828" i="9" s="1"/>
  <c r="Q832" i="9"/>
  <c r="U832" i="9" s="1"/>
  <c r="Q836" i="9"/>
  <c r="U836" i="9" s="1"/>
  <c r="Q840" i="9"/>
  <c r="U840" i="9" s="1"/>
  <c r="Q844" i="9"/>
  <c r="U844" i="9" s="1"/>
  <c r="Q848" i="9"/>
  <c r="U848" i="9" s="1"/>
  <c r="Q852" i="9"/>
  <c r="U852" i="9" s="1"/>
  <c r="Q856" i="9"/>
  <c r="U856" i="9" s="1"/>
  <c r="Q860" i="9"/>
  <c r="U860" i="9" s="1"/>
  <c r="Q864" i="9"/>
  <c r="U864" i="9" s="1"/>
  <c r="Q868" i="9"/>
  <c r="U868" i="9" s="1"/>
  <c r="Q872" i="9"/>
  <c r="U872" i="9" s="1"/>
  <c r="Q876" i="9"/>
  <c r="U876" i="9" s="1"/>
  <c r="Q880" i="9"/>
  <c r="U880" i="9" s="1"/>
  <c r="Q884" i="9"/>
  <c r="U884" i="9" s="1"/>
  <c r="Q888" i="9"/>
  <c r="U888" i="9" s="1"/>
  <c r="Q892" i="9"/>
  <c r="U892" i="9" s="1"/>
  <c r="Q896" i="9"/>
  <c r="U896" i="9" s="1"/>
  <c r="Q900" i="9"/>
  <c r="U900" i="9" s="1"/>
  <c r="Q904" i="9"/>
  <c r="U904" i="9" s="1"/>
  <c r="Q908" i="9"/>
  <c r="U908" i="9" s="1"/>
  <c r="Q912" i="9"/>
  <c r="U912" i="9" s="1"/>
  <c r="Q916" i="9"/>
  <c r="U916" i="9" s="1"/>
  <c r="Q920" i="9"/>
  <c r="U920" i="9" s="1"/>
  <c r="Q924" i="9"/>
  <c r="U924" i="9" s="1"/>
  <c r="Q928" i="9"/>
  <c r="U928" i="9" s="1"/>
  <c r="Q932" i="9"/>
  <c r="U932" i="9" s="1"/>
  <c r="Q936" i="9"/>
  <c r="U936" i="9" s="1"/>
  <c r="Q940" i="9"/>
  <c r="U940" i="9" s="1"/>
  <c r="Q944" i="9"/>
  <c r="U944" i="9" s="1"/>
  <c r="Q948" i="9"/>
  <c r="U948" i="9" s="1"/>
  <c r="Q952" i="9"/>
  <c r="U952" i="9" s="1"/>
  <c r="Q956" i="9"/>
  <c r="U956" i="9" s="1"/>
  <c r="Q960" i="9"/>
  <c r="U960" i="9" s="1"/>
  <c r="Q964" i="9"/>
  <c r="U964" i="9" s="1"/>
  <c r="Q968" i="9"/>
  <c r="U968" i="9" s="1"/>
  <c r="Q972" i="9"/>
  <c r="U972" i="9" s="1"/>
  <c r="Q976" i="9"/>
  <c r="U976" i="9" s="1"/>
  <c r="Q980" i="9"/>
  <c r="U980" i="9" s="1"/>
  <c r="Q984" i="9"/>
  <c r="U984" i="9" s="1"/>
  <c r="Q988" i="9"/>
  <c r="U988" i="9" s="1"/>
  <c r="Q992" i="9"/>
  <c r="U992" i="9" s="1"/>
  <c r="Q996" i="9"/>
  <c r="U996" i="9" s="1"/>
  <c r="Q1000" i="9"/>
  <c r="U1000" i="9" s="1"/>
  <c r="Q1004" i="9"/>
  <c r="U1004" i="9" s="1"/>
  <c r="Q1008" i="9"/>
  <c r="U1008" i="9" s="1"/>
  <c r="Q1012" i="9"/>
  <c r="U1012" i="9" s="1"/>
  <c r="Q1016" i="9"/>
  <c r="U1016" i="9" s="1"/>
  <c r="Q1020" i="9"/>
  <c r="U1020" i="9" s="1"/>
  <c r="Q1024" i="9"/>
  <c r="U1024" i="9" s="1"/>
  <c r="Q1028" i="9"/>
  <c r="U1028" i="9" s="1"/>
  <c r="Q1032" i="9"/>
  <c r="U1032" i="9" s="1"/>
  <c r="Q781" i="9"/>
  <c r="U781" i="9" s="1"/>
  <c r="Q5" i="9"/>
  <c r="U5" i="9" s="1"/>
  <c r="Q9" i="9"/>
  <c r="U9" i="9" s="1"/>
  <c r="Q13" i="9"/>
  <c r="U13" i="9" s="1"/>
  <c r="Q17" i="9"/>
  <c r="U17" i="9" s="1"/>
  <c r="Q21" i="9"/>
  <c r="U21" i="9" s="1"/>
  <c r="Q25" i="9"/>
  <c r="U25" i="9" s="1"/>
  <c r="Q29" i="9"/>
  <c r="U29" i="9" s="1"/>
  <c r="Q33" i="9"/>
  <c r="U33" i="9" s="1"/>
  <c r="Q37" i="9"/>
  <c r="U37" i="9" s="1"/>
  <c r="Q39" i="9"/>
  <c r="U39" i="9" s="1"/>
  <c r="Q43" i="9"/>
  <c r="U43" i="9" s="1"/>
  <c r="Q47" i="9"/>
  <c r="U47" i="9" s="1"/>
  <c r="Q51" i="9"/>
  <c r="U51" i="9" s="1"/>
  <c r="Q55" i="9"/>
  <c r="U55" i="9" s="1"/>
  <c r="Q59" i="9"/>
  <c r="U59" i="9" s="1"/>
  <c r="Q63" i="9"/>
  <c r="U63" i="9" s="1"/>
  <c r="Q67" i="9"/>
  <c r="U67" i="9" s="1"/>
  <c r="Q71" i="9"/>
  <c r="U71" i="9" s="1"/>
  <c r="Q75" i="9"/>
  <c r="U75" i="9" s="1"/>
  <c r="Q79" i="9"/>
  <c r="U79" i="9" s="1"/>
  <c r="Q83" i="9"/>
  <c r="U83" i="9" s="1"/>
  <c r="Q87" i="9"/>
  <c r="U87" i="9" s="1"/>
  <c r="Q89" i="9"/>
  <c r="U89" i="9" s="1"/>
  <c r="Q93" i="9"/>
  <c r="U93" i="9" s="1"/>
  <c r="Q97" i="9"/>
  <c r="U97" i="9" s="1"/>
  <c r="Q101" i="9"/>
  <c r="U101" i="9" s="1"/>
  <c r="Q105" i="9"/>
  <c r="U105" i="9" s="1"/>
  <c r="Q109" i="9"/>
  <c r="U109" i="9" s="1"/>
  <c r="Q113" i="9"/>
  <c r="U113" i="9" s="1"/>
  <c r="Q117" i="9"/>
  <c r="U117" i="9" s="1"/>
  <c r="Q121" i="9"/>
  <c r="U121" i="9" s="1"/>
  <c r="Q125" i="9"/>
  <c r="U125" i="9" s="1"/>
  <c r="Q129" i="9"/>
  <c r="U129" i="9" s="1"/>
  <c r="Q133" i="9"/>
  <c r="U133" i="9" s="1"/>
  <c r="Q137" i="9"/>
  <c r="U137" i="9" s="1"/>
  <c r="Q141" i="9"/>
  <c r="U141" i="9" s="1"/>
  <c r="Q143" i="9"/>
  <c r="U143" i="9" s="1"/>
  <c r="Q147" i="9"/>
  <c r="U147" i="9" s="1"/>
  <c r="Q151" i="9"/>
  <c r="U151" i="9" s="1"/>
  <c r="Q155" i="9"/>
  <c r="U155" i="9" s="1"/>
  <c r="Q159" i="9"/>
  <c r="U159" i="9" s="1"/>
  <c r="Q163" i="9"/>
  <c r="U163" i="9" s="1"/>
  <c r="Q167" i="9"/>
  <c r="U167" i="9" s="1"/>
  <c r="Q171" i="9"/>
  <c r="U171" i="9" s="1"/>
  <c r="Q175" i="9"/>
  <c r="U175" i="9" s="1"/>
  <c r="Q179" i="9"/>
  <c r="U179" i="9" s="1"/>
  <c r="Q183" i="9"/>
  <c r="U183" i="9" s="1"/>
  <c r="Q187" i="9"/>
  <c r="U187" i="9" s="1"/>
  <c r="Q191" i="9"/>
  <c r="U191" i="9" s="1"/>
  <c r="Q197" i="9"/>
  <c r="U197" i="9" s="1"/>
  <c r="Q201" i="9"/>
  <c r="U201" i="9" s="1"/>
  <c r="Q205" i="9"/>
  <c r="U205" i="9" s="1"/>
  <c r="Q209" i="9"/>
  <c r="U209" i="9" s="1"/>
  <c r="Q213" i="9"/>
  <c r="U213" i="9" s="1"/>
  <c r="Q217" i="9"/>
  <c r="U217" i="9" s="1"/>
  <c r="Q221" i="9"/>
  <c r="U221" i="9" s="1"/>
  <c r="Q225" i="9"/>
  <c r="U225" i="9" s="1"/>
  <c r="Q229" i="9"/>
  <c r="U229" i="9" s="1"/>
  <c r="Q233" i="9"/>
  <c r="U233" i="9" s="1"/>
  <c r="Q237" i="9"/>
  <c r="U237" i="9" s="1"/>
  <c r="Q241" i="9"/>
  <c r="U241" i="9" s="1"/>
  <c r="Q245" i="9"/>
  <c r="U245" i="9" s="1"/>
  <c r="Q249" i="9"/>
  <c r="U249" i="9" s="1"/>
  <c r="Q253" i="9"/>
  <c r="U253" i="9" s="1"/>
  <c r="Q257" i="9"/>
  <c r="U257" i="9" s="1"/>
  <c r="Q261" i="9"/>
  <c r="U261" i="9" s="1"/>
  <c r="Q265" i="9"/>
  <c r="U265" i="9" s="1"/>
  <c r="Q269" i="9"/>
  <c r="U269" i="9" s="1"/>
  <c r="Q273" i="9"/>
  <c r="U273" i="9" s="1"/>
  <c r="Q277" i="9"/>
  <c r="U277" i="9" s="1"/>
  <c r="Q281" i="9"/>
  <c r="U281" i="9" s="1"/>
  <c r="Q285" i="9"/>
  <c r="U285" i="9" s="1"/>
  <c r="Q289" i="9"/>
  <c r="U289" i="9" s="1"/>
  <c r="Q293" i="9"/>
  <c r="U293" i="9" s="1"/>
  <c r="Q297" i="9"/>
  <c r="U297" i="9" s="1"/>
  <c r="Q301" i="9"/>
  <c r="U301" i="9" s="1"/>
  <c r="Q305" i="9"/>
  <c r="U305" i="9" s="1"/>
  <c r="Q309" i="9"/>
  <c r="U309" i="9" s="1"/>
  <c r="Q313" i="9"/>
  <c r="U313" i="9" s="1"/>
  <c r="Q317" i="9"/>
  <c r="U317" i="9" s="1"/>
  <c r="Q321" i="9"/>
  <c r="U321" i="9" s="1"/>
  <c r="Q325" i="9"/>
  <c r="U325" i="9" s="1"/>
  <c r="Q329" i="9"/>
  <c r="U329" i="9" s="1"/>
  <c r="Q333" i="9"/>
  <c r="U333" i="9" s="1"/>
  <c r="Q337" i="9"/>
  <c r="U337" i="9" s="1"/>
  <c r="Q341" i="9"/>
  <c r="U341" i="9" s="1"/>
  <c r="Q345" i="9"/>
  <c r="U345" i="9" s="1"/>
  <c r="Q349" i="9"/>
  <c r="U349" i="9" s="1"/>
  <c r="Q353" i="9"/>
  <c r="U353" i="9" s="1"/>
  <c r="Q357" i="9"/>
  <c r="U357" i="9" s="1"/>
  <c r="Q361" i="9"/>
  <c r="U361" i="9" s="1"/>
  <c r="Q365" i="9"/>
  <c r="U365" i="9" s="1"/>
  <c r="Q369" i="9"/>
  <c r="U369" i="9" s="1"/>
  <c r="Q373" i="9"/>
  <c r="U373" i="9" s="1"/>
  <c r="Q377" i="9"/>
  <c r="U377" i="9" s="1"/>
  <c r="Q381" i="9"/>
  <c r="U381" i="9" s="1"/>
  <c r="Q385" i="9"/>
  <c r="U385" i="9" s="1"/>
  <c r="Q389" i="9"/>
  <c r="U389" i="9" s="1"/>
  <c r="Q393" i="9"/>
  <c r="U393" i="9" s="1"/>
  <c r="Q397" i="9"/>
  <c r="U397" i="9" s="1"/>
  <c r="Q401" i="9"/>
  <c r="U401" i="9" s="1"/>
  <c r="Q405" i="9"/>
  <c r="U405" i="9" s="1"/>
  <c r="Q409" i="9"/>
  <c r="U409" i="9" s="1"/>
  <c r="Q413" i="9"/>
  <c r="U413" i="9" s="1"/>
  <c r="Q417" i="9"/>
  <c r="U417" i="9" s="1"/>
  <c r="Q421" i="9"/>
  <c r="U421" i="9" s="1"/>
  <c r="Q425" i="9"/>
  <c r="U425" i="9" s="1"/>
  <c r="Q429" i="9"/>
  <c r="U429" i="9" s="1"/>
  <c r="Q433" i="9"/>
  <c r="U433" i="9" s="1"/>
  <c r="Q437" i="9"/>
  <c r="U437" i="9" s="1"/>
  <c r="Q441" i="9"/>
  <c r="U441" i="9" s="1"/>
  <c r="Q445" i="9"/>
  <c r="U445" i="9" s="1"/>
  <c r="Q449" i="9"/>
  <c r="U449" i="9" s="1"/>
  <c r="Q453" i="9"/>
  <c r="U453" i="9" s="1"/>
  <c r="Q457" i="9"/>
  <c r="U457" i="9" s="1"/>
  <c r="Q461" i="9"/>
  <c r="U461" i="9" s="1"/>
  <c r="Q465" i="9"/>
  <c r="U465" i="9" s="1"/>
  <c r="Q469" i="9"/>
  <c r="U469" i="9" s="1"/>
  <c r="Q473" i="9"/>
  <c r="U473" i="9" s="1"/>
  <c r="Q477" i="9"/>
  <c r="U477" i="9" s="1"/>
  <c r="Q481" i="9"/>
  <c r="U481" i="9" s="1"/>
  <c r="Q485" i="9"/>
  <c r="U485" i="9" s="1"/>
  <c r="Q489" i="9"/>
  <c r="U489" i="9" s="1"/>
  <c r="Q493" i="9"/>
  <c r="U493" i="9" s="1"/>
  <c r="Q497" i="9"/>
  <c r="U497" i="9" s="1"/>
  <c r="Q501" i="9"/>
  <c r="U501" i="9" s="1"/>
  <c r="Q505" i="9"/>
  <c r="U505" i="9" s="1"/>
  <c r="Q509" i="9"/>
  <c r="U509" i="9" s="1"/>
  <c r="Q513" i="9"/>
  <c r="U513" i="9" s="1"/>
  <c r="Q517" i="9"/>
  <c r="U517" i="9" s="1"/>
  <c r="Q521" i="9"/>
  <c r="U521" i="9" s="1"/>
  <c r="Q525" i="9"/>
  <c r="U525" i="9" s="1"/>
  <c r="Q529" i="9"/>
  <c r="U529" i="9" s="1"/>
  <c r="Q533" i="9"/>
  <c r="U533" i="9" s="1"/>
  <c r="Q537" i="9"/>
  <c r="U537" i="9" s="1"/>
  <c r="Q541" i="9"/>
  <c r="U541" i="9" s="1"/>
  <c r="Q545" i="9"/>
  <c r="U545" i="9" s="1"/>
  <c r="Q549" i="9"/>
  <c r="U549" i="9" s="1"/>
  <c r="Q553" i="9"/>
  <c r="U553" i="9" s="1"/>
  <c r="Q557" i="9"/>
  <c r="U557" i="9" s="1"/>
  <c r="Q561" i="9"/>
  <c r="U561" i="9" s="1"/>
  <c r="Q565" i="9"/>
  <c r="U565" i="9" s="1"/>
  <c r="Q569" i="9"/>
  <c r="U569" i="9" s="1"/>
  <c r="Q573" i="9"/>
  <c r="U573" i="9" s="1"/>
  <c r="Q577" i="9"/>
  <c r="U577" i="9" s="1"/>
  <c r="Q581" i="9"/>
  <c r="U581" i="9" s="1"/>
  <c r="Q585" i="9"/>
  <c r="U585" i="9" s="1"/>
  <c r="Q589" i="9"/>
  <c r="U589" i="9" s="1"/>
  <c r="Q593" i="9"/>
  <c r="U593" i="9" s="1"/>
  <c r="Q597" i="9"/>
  <c r="U597" i="9" s="1"/>
  <c r="Q601" i="9"/>
  <c r="U601" i="9" s="1"/>
  <c r="Q605" i="9"/>
  <c r="U605" i="9" s="1"/>
  <c r="Q609" i="9"/>
  <c r="U609" i="9" s="1"/>
  <c r="Q613" i="9"/>
  <c r="U613" i="9" s="1"/>
  <c r="Q617" i="9"/>
  <c r="U617" i="9" s="1"/>
  <c r="Q621" i="9"/>
  <c r="U621" i="9" s="1"/>
  <c r="Q625" i="9"/>
  <c r="U625" i="9" s="1"/>
  <c r="Q629" i="9"/>
  <c r="U629" i="9" s="1"/>
  <c r="Q633" i="9"/>
  <c r="U633" i="9" s="1"/>
  <c r="Q637" i="9"/>
  <c r="U637" i="9" s="1"/>
  <c r="Q641" i="9"/>
  <c r="U641" i="9" s="1"/>
  <c r="Q645" i="9"/>
  <c r="U645" i="9" s="1"/>
  <c r="Q649" i="9"/>
  <c r="U649" i="9" s="1"/>
  <c r="Q653" i="9"/>
  <c r="U653" i="9" s="1"/>
  <c r="Q657" i="9"/>
  <c r="U657" i="9" s="1"/>
  <c r="Q661" i="9"/>
  <c r="U661" i="9" s="1"/>
  <c r="Q665" i="9"/>
  <c r="U665" i="9" s="1"/>
  <c r="Q669" i="9"/>
  <c r="U669" i="9" s="1"/>
  <c r="Q673" i="9"/>
  <c r="U673" i="9" s="1"/>
  <c r="Q677" i="9"/>
  <c r="U677" i="9" s="1"/>
  <c r="Q681" i="9"/>
  <c r="U681" i="9" s="1"/>
  <c r="Q685" i="9"/>
  <c r="U685" i="9" s="1"/>
  <c r="Q689" i="9"/>
  <c r="U689" i="9" s="1"/>
  <c r="Q693" i="9"/>
  <c r="U693" i="9" s="1"/>
  <c r="Q697" i="9"/>
  <c r="U697" i="9" s="1"/>
  <c r="Q701" i="9"/>
  <c r="U701" i="9" s="1"/>
  <c r="Q705" i="9"/>
  <c r="U705" i="9" s="1"/>
  <c r="Q709" i="9"/>
  <c r="U709" i="9" s="1"/>
  <c r="Q713" i="9"/>
  <c r="U713" i="9" s="1"/>
  <c r="Q717" i="9"/>
  <c r="U717" i="9" s="1"/>
  <c r="Q721" i="9"/>
  <c r="U721" i="9" s="1"/>
  <c r="Q725" i="9"/>
  <c r="U725" i="9" s="1"/>
  <c r="Q729" i="9"/>
  <c r="U729" i="9" s="1"/>
  <c r="Q733" i="9"/>
  <c r="U733" i="9" s="1"/>
  <c r="Q737" i="9"/>
  <c r="U737" i="9" s="1"/>
  <c r="Q741" i="9"/>
  <c r="U741" i="9" s="1"/>
  <c r="Q745" i="9"/>
  <c r="U745" i="9" s="1"/>
  <c r="Q749" i="9"/>
  <c r="U749" i="9" s="1"/>
  <c r="Q753" i="9"/>
  <c r="U753" i="9" s="1"/>
  <c r="Q757" i="9"/>
  <c r="U757" i="9" s="1"/>
  <c r="Q761" i="9"/>
  <c r="U761" i="9" s="1"/>
  <c r="Q765" i="9"/>
  <c r="U765" i="9" s="1"/>
  <c r="Q769" i="9"/>
  <c r="U769" i="9" s="1"/>
  <c r="Q773" i="9"/>
  <c r="U773" i="9" s="1"/>
  <c r="Q777" i="9"/>
  <c r="U777" i="9" s="1"/>
  <c r="Q782" i="9"/>
  <c r="U782" i="9" s="1"/>
  <c r="Q786" i="9"/>
  <c r="U786" i="9" s="1"/>
  <c r="Q790" i="9"/>
  <c r="U790" i="9" s="1"/>
  <c r="Q794" i="9"/>
  <c r="U794" i="9" s="1"/>
  <c r="Q798" i="9"/>
  <c r="U798" i="9" s="1"/>
  <c r="Q802" i="9"/>
  <c r="U802" i="9" s="1"/>
  <c r="Q806" i="9"/>
  <c r="U806" i="9" s="1"/>
  <c r="Q810" i="9"/>
  <c r="U810" i="9" s="1"/>
  <c r="Q814" i="9"/>
  <c r="U814" i="9" s="1"/>
  <c r="Q818" i="9"/>
  <c r="U818" i="9" s="1"/>
  <c r="Q822" i="9"/>
  <c r="U822" i="9" s="1"/>
  <c r="Q826" i="9"/>
  <c r="U826" i="9" s="1"/>
  <c r="Q830" i="9"/>
  <c r="U830" i="9" s="1"/>
  <c r="Q834" i="9"/>
  <c r="U834" i="9" s="1"/>
  <c r="Q838" i="9"/>
  <c r="U838" i="9" s="1"/>
  <c r="Q842" i="9"/>
  <c r="U842" i="9" s="1"/>
  <c r="Q846" i="9"/>
  <c r="U846" i="9" s="1"/>
  <c r="Q850" i="9"/>
  <c r="U850" i="9" s="1"/>
  <c r="Q854" i="9"/>
  <c r="U854" i="9" s="1"/>
  <c r="Q858" i="9"/>
  <c r="U858" i="9" s="1"/>
  <c r="Q862" i="9"/>
  <c r="U862" i="9" s="1"/>
  <c r="Q866" i="9"/>
  <c r="U866" i="9" s="1"/>
  <c r="Q870" i="9"/>
  <c r="U870" i="9" s="1"/>
  <c r="Q874" i="9"/>
  <c r="U874" i="9" s="1"/>
  <c r="Q878" i="9"/>
  <c r="U878" i="9" s="1"/>
  <c r="Q882" i="9"/>
  <c r="U882" i="9" s="1"/>
  <c r="Q886" i="9"/>
  <c r="U886" i="9" s="1"/>
  <c r="Q890" i="9"/>
  <c r="U890" i="9" s="1"/>
  <c r="Q894" i="9"/>
  <c r="U894" i="9" s="1"/>
  <c r="Q898" i="9"/>
  <c r="U898" i="9" s="1"/>
  <c r="Q902" i="9"/>
  <c r="U902" i="9" s="1"/>
  <c r="Q906" i="9"/>
  <c r="U906" i="9" s="1"/>
  <c r="Q910" i="9"/>
  <c r="U910" i="9" s="1"/>
  <c r="Q914" i="9"/>
  <c r="U914" i="9" s="1"/>
  <c r="Q918" i="9"/>
  <c r="U918" i="9" s="1"/>
  <c r="Q922" i="9"/>
  <c r="U922" i="9" s="1"/>
  <c r="Q926" i="9"/>
  <c r="U926" i="9" s="1"/>
  <c r="Q930" i="9"/>
  <c r="U930" i="9" s="1"/>
  <c r="Q934" i="9"/>
  <c r="U934" i="9" s="1"/>
  <c r="Q938" i="9"/>
  <c r="U938" i="9" s="1"/>
  <c r="Q942" i="9"/>
  <c r="U942" i="9" s="1"/>
  <c r="Q946" i="9"/>
  <c r="U946" i="9" s="1"/>
  <c r="Q950" i="9"/>
  <c r="U950" i="9" s="1"/>
  <c r="Q954" i="9"/>
  <c r="U954" i="9" s="1"/>
  <c r="Q958" i="9"/>
  <c r="U958" i="9" s="1"/>
  <c r="Q962" i="9"/>
  <c r="U962" i="9" s="1"/>
  <c r="Q966" i="9"/>
  <c r="U966" i="9" s="1"/>
  <c r="Q970" i="9"/>
  <c r="U970" i="9" s="1"/>
  <c r="Q974" i="9"/>
  <c r="U974" i="9" s="1"/>
  <c r="Q978" i="9"/>
  <c r="U978" i="9" s="1"/>
  <c r="Q982" i="9"/>
  <c r="U982" i="9" s="1"/>
  <c r="Q986" i="9"/>
  <c r="U986" i="9" s="1"/>
  <c r="Q990" i="9"/>
  <c r="U990" i="9" s="1"/>
  <c r="Q994" i="9"/>
  <c r="U994" i="9" s="1"/>
  <c r="Q998" i="9"/>
  <c r="U998" i="9" s="1"/>
  <c r="Q1002" i="9"/>
  <c r="U1002" i="9" s="1"/>
  <c r="Q1006" i="9"/>
  <c r="U1006" i="9" s="1"/>
  <c r="Q1010" i="9"/>
  <c r="U1010" i="9" s="1"/>
  <c r="Q1014" i="9"/>
  <c r="U1014" i="9" s="1"/>
  <c r="Q1018" i="9"/>
  <c r="U1018" i="9" s="1"/>
  <c r="Q1022" i="9"/>
  <c r="U1022" i="9" s="1"/>
  <c r="Q1026" i="9"/>
  <c r="U1026" i="9" s="1"/>
  <c r="Q1030" i="9"/>
  <c r="U1030" i="9" s="1"/>
  <c r="Q1034" i="9"/>
  <c r="U1034" i="9" s="1"/>
  <c r="Q120" i="9"/>
  <c r="U120" i="9" s="1"/>
  <c r="Q150" i="9"/>
  <c r="U150" i="9" s="1"/>
  <c r="Q182" i="9"/>
  <c r="U182" i="9" s="1"/>
  <c r="Q212" i="9"/>
  <c r="U212" i="9" s="1"/>
  <c r="Q244" i="9"/>
  <c r="U244" i="9" s="1"/>
  <c r="Q276" i="9"/>
  <c r="U276" i="9" s="1"/>
  <c r="Q8" i="9"/>
  <c r="U8" i="9" s="1"/>
  <c r="Q36" i="9"/>
  <c r="U36" i="9" s="1"/>
  <c r="Q70" i="9"/>
  <c r="U70" i="9" s="1"/>
  <c r="Q96" i="9"/>
  <c r="U96" i="9" s="1"/>
  <c r="Q132" i="9"/>
  <c r="U132" i="9" s="1"/>
  <c r="Q140" i="9"/>
  <c r="U140" i="9" s="1"/>
  <c r="Q174" i="9"/>
  <c r="U174" i="9" s="1"/>
  <c r="Q216" i="9"/>
  <c r="U216" i="9" s="1"/>
  <c r="Q260" i="9"/>
  <c r="U260" i="9" s="1"/>
  <c r="Q316" i="9"/>
  <c r="U316" i="9" s="1"/>
  <c r="Q348" i="9"/>
  <c r="U348" i="9" s="1"/>
  <c r="Q28" i="9"/>
  <c r="U28" i="9" s="1"/>
  <c r="Q62" i="9"/>
  <c r="U62" i="9" s="1"/>
  <c r="Q88" i="9"/>
  <c r="U88" i="9" s="1"/>
  <c r="Q104" i="9"/>
  <c r="U104" i="9" s="1"/>
  <c r="Q146" i="9"/>
  <c r="U146" i="9" s="1"/>
  <c r="Q4" i="9"/>
  <c r="U4" i="9" s="1"/>
  <c r="Q38" i="9"/>
  <c r="U38" i="9" s="1"/>
  <c r="Q66" i="9"/>
  <c r="U66" i="9" s="1"/>
  <c r="Q12" i="9"/>
  <c r="U12" i="9" s="1"/>
  <c r="Q54" i="9"/>
  <c r="U54" i="9" s="1"/>
  <c r="Q116" i="9"/>
  <c r="U116" i="9" s="1"/>
  <c r="Q136" i="9"/>
  <c r="U136" i="9" s="1"/>
  <c r="Q154" i="9"/>
  <c r="U154" i="9" s="1"/>
  <c r="Q162" i="9"/>
  <c r="U162" i="9" s="1"/>
  <c r="Q252" i="9"/>
  <c r="U252" i="9" s="1"/>
  <c r="Q324" i="9"/>
  <c r="U324" i="9" s="1"/>
  <c r="Q360" i="9"/>
  <c r="U360" i="9" s="1"/>
  <c r="Q368" i="9"/>
  <c r="U368" i="9" s="1"/>
  <c r="Q388" i="9"/>
  <c r="U388" i="9" s="1"/>
  <c r="Q420" i="9"/>
  <c r="U420" i="9" s="1"/>
  <c r="Q432" i="9"/>
  <c r="U432" i="9" s="1"/>
  <c r="Q448" i="9"/>
  <c r="U448" i="9" s="1"/>
  <c r="Q464" i="9"/>
  <c r="U464" i="9" s="1"/>
  <c r="Q480" i="9"/>
  <c r="U480" i="9" s="1"/>
  <c r="Q496" i="9"/>
  <c r="U496" i="9" s="1"/>
  <c r="Q512" i="9"/>
  <c r="U512" i="9" s="1"/>
  <c r="Q528" i="9"/>
  <c r="U528" i="9" s="1"/>
  <c r="Q544" i="9"/>
  <c r="U544" i="9" s="1"/>
  <c r="Q560" i="9"/>
  <c r="U560" i="9" s="1"/>
  <c r="Q576" i="9"/>
  <c r="U576" i="9" s="1"/>
  <c r="Q592" i="9"/>
  <c r="U592" i="9" s="1"/>
  <c r="Q608" i="9"/>
  <c r="U608" i="9" s="1"/>
  <c r="Q624" i="9"/>
  <c r="U624" i="9" s="1"/>
  <c r="Q640" i="9"/>
  <c r="U640" i="9" s="1"/>
  <c r="Q656" i="9"/>
  <c r="U656" i="9" s="1"/>
  <c r="Q672" i="9"/>
  <c r="U672" i="9" s="1"/>
  <c r="Q688" i="9"/>
  <c r="U688" i="9" s="1"/>
  <c r="Q704" i="9"/>
  <c r="U704" i="9" s="1"/>
  <c r="Q720" i="9"/>
  <c r="U720" i="9" s="1"/>
  <c r="Q736" i="9"/>
  <c r="U736" i="9" s="1"/>
  <c r="Q752" i="9"/>
  <c r="U752" i="9" s="1"/>
  <c r="Q768" i="9"/>
  <c r="U768" i="9" s="1"/>
  <c r="Q785" i="9"/>
  <c r="U785" i="9" s="1"/>
  <c r="Q801" i="9"/>
  <c r="U801" i="9" s="1"/>
  <c r="Q817" i="9"/>
  <c r="U817" i="9" s="1"/>
  <c r="Q833" i="9"/>
  <c r="U833" i="9" s="1"/>
  <c r="Q849" i="9"/>
  <c r="U849" i="9" s="1"/>
  <c r="Q865" i="9"/>
  <c r="U865" i="9" s="1"/>
  <c r="Q881" i="9"/>
  <c r="U881" i="9" s="1"/>
  <c r="Q897" i="9"/>
  <c r="U897" i="9" s="1"/>
  <c r="Q913" i="9"/>
  <c r="U913" i="9" s="1"/>
  <c r="Q929" i="9"/>
  <c r="U929" i="9" s="1"/>
  <c r="Q945" i="9"/>
  <c r="U945" i="9" s="1"/>
  <c r="Q961" i="9"/>
  <c r="U961" i="9" s="1"/>
  <c r="Q977" i="9"/>
  <c r="U977" i="9" s="1"/>
  <c r="Q993" i="9"/>
  <c r="U993" i="9" s="1"/>
  <c r="Q1009" i="9"/>
  <c r="U1009" i="9" s="1"/>
  <c r="Q1025" i="9"/>
  <c r="U1025" i="9" s="1"/>
  <c r="Q108" i="9"/>
  <c r="U108" i="9" s="1"/>
  <c r="Q128" i="9"/>
  <c r="U128" i="9" s="1"/>
  <c r="Q220" i="9"/>
  <c r="U220" i="9" s="1"/>
  <c r="Q228" i="9"/>
  <c r="U228" i="9" s="1"/>
  <c r="Q236" i="9"/>
  <c r="U236" i="9" s="1"/>
  <c r="Q332" i="9"/>
  <c r="U332" i="9" s="1"/>
  <c r="Q376" i="9"/>
  <c r="U376" i="9" s="1"/>
  <c r="Q408" i="9"/>
  <c r="U408" i="9" s="1"/>
  <c r="Q438" i="9"/>
  <c r="U438" i="9" s="1"/>
  <c r="Q454" i="9"/>
  <c r="U454" i="9" s="1"/>
  <c r="Q470" i="9"/>
  <c r="U470" i="9" s="1"/>
  <c r="Q486" i="9"/>
  <c r="U486" i="9" s="1"/>
  <c r="Q502" i="9"/>
  <c r="U502" i="9" s="1"/>
  <c r="Q518" i="9"/>
  <c r="U518" i="9" s="1"/>
  <c r="Q534" i="9"/>
  <c r="U534" i="9" s="1"/>
  <c r="Q550" i="9"/>
  <c r="U550" i="9" s="1"/>
  <c r="Q566" i="9"/>
  <c r="U566" i="9" s="1"/>
  <c r="Q582" i="9"/>
  <c r="U582" i="9" s="1"/>
  <c r="Q598" i="9"/>
  <c r="U598" i="9" s="1"/>
  <c r="Q614" i="9"/>
  <c r="U614" i="9" s="1"/>
  <c r="Q630" i="9"/>
  <c r="U630" i="9" s="1"/>
  <c r="Q646" i="9"/>
  <c r="U646" i="9" s="1"/>
  <c r="Q662" i="9"/>
  <c r="U662" i="9" s="1"/>
  <c r="Q678" i="9"/>
  <c r="U678" i="9" s="1"/>
  <c r="Q694" i="9"/>
  <c r="U694" i="9" s="1"/>
  <c r="Q710" i="9"/>
  <c r="U710" i="9" s="1"/>
  <c r="Q726" i="9"/>
  <c r="U726" i="9" s="1"/>
  <c r="Q742" i="9"/>
  <c r="U742" i="9" s="1"/>
  <c r="Q758" i="9"/>
  <c r="U758" i="9" s="1"/>
  <c r="Q774" i="9"/>
  <c r="U774" i="9" s="1"/>
  <c r="Q791" i="9"/>
  <c r="U791" i="9" s="1"/>
  <c r="Q807" i="9"/>
  <c r="U807" i="9" s="1"/>
  <c r="Q823" i="9"/>
  <c r="U823" i="9" s="1"/>
  <c r="Q839" i="9"/>
  <c r="U839" i="9" s="1"/>
  <c r="Q855" i="9"/>
  <c r="U855" i="9" s="1"/>
  <c r="Q871" i="9"/>
  <c r="U871" i="9" s="1"/>
  <c r="Q887" i="9"/>
  <c r="U887" i="9" s="1"/>
  <c r="Q903" i="9"/>
  <c r="U903" i="9" s="1"/>
  <c r="Q919" i="9"/>
  <c r="U919" i="9" s="1"/>
  <c r="Q935" i="9"/>
  <c r="U935" i="9" s="1"/>
  <c r="Q951" i="9"/>
  <c r="U951" i="9" s="1"/>
  <c r="Q967" i="9"/>
  <c r="U967" i="9" s="1"/>
  <c r="Q983" i="9"/>
  <c r="U983" i="9" s="1"/>
  <c r="Q999" i="9"/>
  <c r="U999" i="9" s="1"/>
  <c r="Q1015" i="9"/>
  <c r="U1015" i="9" s="1"/>
  <c r="Q1031" i="9"/>
  <c r="U1031" i="9" s="1"/>
  <c r="Q1036" i="9"/>
  <c r="U1036" i="9" s="1"/>
  <c r="Q1040" i="9"/>
  <c r="U1040" i="9" s="1"/>
  <c r="Q1044" i="9"/>
  <c r="U1044" i="9" s="1"/>
  <c r="Q1048" i="9"/>
  <c r="U1048" i="9" s="1"/>
  <c r="Q1052" i="9"/>
  <c r="U1052" i="9" s="1"/>
  <c r="Q1056" i="9"/>
  <c r="U1056" i="9" s="1"/>
  <c r="Q1060" i="9"/>
  <c r="U1060" i="9" s="1"/>
  <c r="Q1064" i="9"/>
  <c r="U1064" i="9" s="1"/>
  <c r="Q1068" i="9"/>
  <c r="U1068" i="9" s="1"/>
  <c r="Q1072" i="9"/>
  <c r="U1072" i="9" s="1"/>
  <c r="Q1076" i="9"/>
  <c r="U1076" i="9" s="1"/>
  <c r="Q42" i="9"/>
  <c r="U42" i="9" s="1"/>
  <c r="Q58" i="9"/>
  <c r="U58" i="9" s="1"/>
  <c r="Q86" i="9"/>
  <c r="U86" i="9" s="1"/>
  <c r="Q190" i="9"/>
  <c r="U190" i="9" s="1"/>
  <c r="Q196" i="9"/>
  <c r="U196" i="9" s="1"/>
  <c r="Q204" i="9"/>
  <c r="U204" i="9" s="1"/>
  <c r="Q296" i="9"/>
  <c r="U296" i="9" s="1"/>
  <c r="Q304" i="9"/>
  <c r="U304" i="9" s="1"/>
  <c r="Q340" i="9"/>
  <c r="U340" i="9" s="1"/>
  <c r="Q396" i="9"/>
  <c r="U396" i="9" s="1"/>
  <c r="Q428" i="9"/>
  <c r="U428" i="9" s="1"/>
  <c r="Q444" i="9"/>
  <c r="U444" i="9" s="1"/>
  <c r="Q460" i="9"/>
  <c r="U460" i="9" s="1"/>
  <c r="Q476" i="9"/>
  <c r="U476" i="9" s="1"/>
  <c r="Q492" i="9"/>
  <c r="U492" i="9" s="1"/>
  <c r="Q508" i="9"/>
  <c r="U508" i="9" s="1"/>
  <c r="Q524" i="9"/>
  <c r="U524" i="9" s="1"/>
  <c r="Q540" i="9"/>
  <c r="U540" i="9" s="1"/>
  <c r="Q556" i="9"/>
  <c r="U556" i="9" s="1"/>
  <c r="Q572" i="9"/>
  <c r="U572" i="9" s="1"/>
  <c r="Q588" i="9"/>
  <c r="U588" i="9" s="1"/>
  <c r="Q604" i="9"/>
  <c r="U604" i="9" s="1"/>
  <c r="Q620" i="9"/>
  <c r="U620" i="9" s="1"/>
  <c r="Q636" i="9"/>
  <c r="U636" i="9" s="1"/>
  <c r="Q652" i="9"/>
  <c r="U652" i="9" s="1"/>
  <c r="Q668" i="9"/>
  <c r="U668" i="9" s="1"/>
  <c r="Q684" i="9"/>
  <c r="U684" i="9" s="1"/>
  <c r="Q700" i="9"/>
  <c r="U700" i="9" s="1"/>
  <c r="Q716" i="9"/>
  <c r="U716" i="9" s="1"/>
  <c r="Q732" i="9"/>
  <c r="U732" i="9" s="1"/>
  <c r="Q748" i="9"/>
  <c r="U748" i="9" s="1"/>
  <c r="Q764" i="9"/>
  <c r="U764" i="9" s="1"/>
  <c r="Q780" i="9"/>
  <c r="U780" i="9" s="1"/>
  <c r="Q797" i="9"/>
  <c r="U797" i="9" s="1"/>
  <c r="Q813" i="9"/>
  <c r="U813" i="9" s="1"/>
  <c r="Q829" i="9"/>
  <c r="U829" i="9" s="1"/>
  <c r="Q845" i="9"/>
  <c r="U845" i="9" s="1"/>
  <c r="Q861" i="9"/>
  <c r="U861" i="9" s="1"/>
  <c r="Q877" i="9"/>
  <c r="U877" i="9" s="1"/>
  <c r="Q893" i="9"/>
  <c r="U893" i="9" s="1"/>
  <c r="Q909" i="9"/>
  <c r="U909" i="9" s="1"/>
  <c r="Q925" i="9"/>
  <c r="U925" i="9" s="1"/>
  <c r="Q941" i="9"/>
  <c r="U941" i="9" s="1"/>
  <c r="Q957" i="9"/>
  <c r="U957" i="9" s="1"/>
  <c r="Q973" i="9"/>
  <c r="U973" i="9" s="1"/>
  <c r="Q989" i="9"/>
  <c r="U989" i="9" s="1"/>
  <c r="Q1005" i="9"/>
  <c r="U1005" i="9" s="1"/>
  <c r="Q1021" i="9"/>
  <c r="U1021" i="9" s="1"/>
  <c r="Q50" i="9"/>
  <c r="U50" i="9" s="1"/>
  <c r="Q78" i="9"/>
  <c r="U78" i="9" s="1"/>
  <c r="Q92" i="9"/>
  <c r="U92" i="9" s="1"/>
  <c r="Q200" i="9"/>
  <c r="U200" i="9" s="1"/>
  <c r="Q208" i="9"/>
  <c r="U208" i="9" s="1"/>
  <c r="Q284" i="9"/>
  <c r="U284" i="9" s="1"/>
  <c r="Q292" i="9"/>
  <c r="U292" i="9" s="1"/>
  <c r="Q300" i="9"/>
  <c r="U300" i="9" s="1"/>
  <c r="Q344" i="9"/>
  <c r="U344" i="9" s="1"/>
  <c r="Q380" i="9"/>
  <c r="U380" i="9" s="1"/>
  <c r="Q412" i="9"/>
  <c r="U412" i="9" s="1"/>
  <c r="Q436" i="9"/>
  <c r="U436" i="9" s="1"/>
  <c r="Q452" i="9"/>
  <c r="U452" i="9" s="1"/>
  <c r="Q468" i="9"/>
  <c r="U468" i="9" s="1"/>
  <c r="Q484" i="9"/>
  <c r="U484" i="9" s="1"/>
  <c r="Q500" i="9"/>
  <c r="U500" i="9" s="1"/>
  <c r="Q516" i="9"/>
  <c r="U516" i="9" s="1"/>
  <c r="Q532" i="9"/>
  <c r="U532" i="9" s="1"/>
  <c r="Q548" i="9"/>
  <c r="U548" i="9" s="1"/>
  <c r="Q564" i="9"/>
  <c r="U564" i="9" s="1"/>
  <c r="Q580" i="9"/>
  <c r="U580" i="9" s="1"/>
  <c r="Q596" i="9"/>
  <c r="U596" i="9" s="1"/>
  <c r="Q612" i="9"/>
  <c r="U612" i="9" s="1"/>
  <c r="Q628" i="9"/>
  <c r="U628" i="9" s="1"/>
  <c r="Q644" i="9"/>
  <c r="U644" i="9" s="1"/>
  <c r="Q660" i="9"/>
  <c r="U660" i="9" s="1"/>
  <c r="Q676" i="9"/>
  <c r="U676" i="9" s="1"/>
  <c r="Q692" i="9"/>
  <c r="U692" i="9" s="1"/>
  <c r="Q708" i="9"/>
  <c r="U708" i="9" s="1"/>
  <c r="Q724" i="9"/>
  <c r="U724" i="9" s="1"/>
  <c r="Q740" i="9"/>
  <c r="U740" i="9" s="1"/>
  <c r="Q756" i="9"/>
  <c r="U756" i="9" s="1"/>
  <c r="Q772" i="9"/>
  <c r="U772" i="9" s="1"/>
  <c r="Q789" i="9"/>
  <c r="U789" i="9" s="1"/>
  <c r="Q805" i="9"/>
  <c r="U805" i="9" s="1"/>
  <c r="Q821" i="9"/>
  <c r="U821" i="9" s="1"/>
  <c r="Q837" i="9"/>
  <c r="U837" i="9" s="1"/>
  <c r="Q853" i="9"/>
  <c r="U853" i="9" s="1"/>
  <c r="Q869" i="9"/>
  <c r="U869" i="9" s="1"/>
  <c r="Q885" i="9"/>
  <c r="U885" i="9" s="1"/>
  <c r="Q901" i="9"/>
  <c r="U901" i="9" s="1"/>
  <c r="Q917" i="9"/>
  <c r="U917" i="9" s="1"/>
  <c r="Q933" i="9"/>
  <c r="U933" i="9" s="1"/>
  <c r="Q949" i="9"/>
  <c r="U949" i="9" s="1"/>
  <c r="Q965" i="9"/>
  <c r="U965" i="9" s="1"/>
  <c r="Q981" i="9"/>
  <c r="U981" i="9" s="1"/>
  <c r="Q997" i="9"/>
  <c r="U997" i="9" s="1"/>
  <c r="Q1013" i="9"/>
  <c r="U1013" i="9" s="1"/>
  <c r="Q1029" i="9"/>
  <c r="U1029" i="9" s="1"/>
  <c r="Q32" i="9"/>
  <c r="U32" i="9" s="1"/>
  <c r="Q264" i="9"/>
  <c r="U264" i="9" s="1"/>
  <c r="Q280" i="9"/>
  <c r="U280" i="9" s="1"/>
  <c r="Q312" i="9"/>
  <c r="U312" i="9" s="1"/>
  <c r="Q356" i="9"/>
  <c r="U356" i="9" s="1"/>
  <c r="Q384" i="9"/>
  <c r="U384" i="9" s="1"/>
  <c r="Q434" i="9"/>
  <c r="U434" i="9" s="1"/>
  <c r="Q466" i="9"/>
  <c r="U466" i="9" s="1"/>
  <c r="Q498" i="9"/>
  <c r="U498" i="9" s="1"/>
  <c r="Q530" i="9"/>
  <c r="U530" i="9" s="1"/>
  <c r="Q562" i="9"/>
  <c r="U562" i="9" s="1"/>
  <c r="Q594" i="9"/>
  <c r="U594" i="9" s="1"/>
  <c r="Q626" i="9"/>
  <c r="U626" i="9" s="1"/>
  <c r="Q658" i="9"/>
  <c r="U658" i="9" s="1"/>
  <c r="Q690" i="9"/>
  <c r="U690" i="9" s="1"/>
  <c r="Q722" i="9"/>
  <c r="U722" i="9" s="1"/>
  <c r="Q754" i="9"/>
  <c r="U754" i="9" s="1"/>
  <c r="Q787" i="9"/>
  <c r="U787" i="9" s="1"/>
  <c r="Q819" i="9"/>
  <c r="U819" i="9" s="1"/>
  <c r="Q851" i="9"/>
  <c r="U851" i="9" s="1"/>
  <c r="Q883" i="9"/>
  <c r="U883" i="9" s="1"/>
  <c r="Q915" i="9"/>
  <c r="U915" i="9" s="1"/>
  <c r="Q947" i="9"/>
  <c r="U947" i="9" s="1"/>
  <c r="Q979" i="9"/>
  <c r="U979" i="9" s="1"/>
  <c r="Q1011" i="9"/>
  <c r="U1011" i="9" s="1"/>
  <c r="Q1041" i="9"/>
  <c r="U1041" i="9" s="1"/>
  <c r="Q1049" i="9"/>
  <c r="U1049" i="9" s="1"/>
  <c r="Q1057" i="9"/>
  <c r="U1057" i="9" s="1"/>
  <c r="Q1065" i="9"/>
  <c r="U1065" i="9" s="1"/>
  <c r="Q1073" i="9"/>
  <c r="U1073" i="9" s="1"/>
  <c r="Q112" i="9"/>
  <c r="U112" i="9" s="1"/>
  <c r="Q166" i="9"/>
  <c r="U166" i="9" s="1"/>
  <c r="Q232" i="9"/>
  <c r="U232" i="9" s="1"/>
  <c r="Q248" i="9"/>
  <c r="U248" i="9" s="1"/>
  <c r="Q456" i="9"/>
  <c r="U456" i="9" s="1"/>
  <c r="Q488" i="9"/>
  <c r="U488" i="9" s="1"/>
  <c r="Q520" i="9"/>
  <c r="U520" i="9" s="1"/>
  <c r="Q552" i="9"/>
  <c r="U552" i="9" s="1"/>
  <c r="Q584" i="9"/>
  <c r="U584" i="9" s="1"/>
  <c r="Q616" i="9"/>
  <c r="U616" i="9" s="1"/>
  <c r="Q648" i="9"/>
  <c r="U648" i="9" s="1"/>
  <c r="Q680" i="9"/>
  <c r="U680" i="9" s="1"/>
  <c r="Q712" i="9"/>
  <c r="U712" i="9" s="1"/>
  <c r="Q744" i="9"/>
  <c r="U744" i="9" s="1"/>
  <c r="Q776" i="9"/>
  <c r="U776" i="9" s="1"/>
  <c r="Q809" i="9"/>
  <c r="U809" i="9" s="1"/>
  <c r="Q841" i="9"/>
  <c r="U841" i="9" s="1"/>
  <c r="Q873" i="9"/>
  <c r="U873" i="9" s="1"/>
  <c r="Q905" i="9"/>
  <c r="U905" i="9" s="1"/>
  <c r="Q937" i="9"/>
  <c r="U937" i="9" s="1"/>
  <c r="Q969" i="9"/>
  <c r="U969" i="9" s="1"/>
  <c r="Q1001" i="9"/>
  <c r="U1001" i="9" s="1"/>
  <c r="Q1033" i="9"/>
  <c r="U1033" i="9" s="1"/>
  <c r="Q328" i="9"/>
  <c r="U328" i="9" s="1"/>
  <c r="Q372" i="9"/>
  <c r="U372" i="9" s="1"/>
  <c r="Q424" i="9"/>
  <c r="U424" i="9" s="1"/>
  <c r="Q446" i="9"/>
  <c r="U446" i="9" s="1"/>
  <c r="Q478" i="9"/>
  <c r="U478" i="9" s="1"/>
  <c r="Q510" i="9"/>
  <c r="U510" i="9" s="1"/>
  <c r="Q542" i="9"/>
  <c r="U542" i="9" s="1"/>
  <c r="Q574" i="9"/>
  <c r="U574" i="9" s="1"/>
  <c r="Q606" i="9"/>
  <c r="U606" i="9" s="1"/>
  <c r="Q638" i="9"/>
  <c r="U638" i="9" s="1"/>
  <c r="Q670" i="9"/>
  <c r="U670" i="9" s="1"/>
  <c r="Q702" i="9"/>
  <c r="U702" i="9" s="1"/>
  <c r="Q734" i="9"/>
  <c r="U734" i="9" s="1"/>
  <c r="Q766" i="9"/>
  <c r="U766" i="9" s="1"/>
  <c r="Q799" i="9"/>
  <c r="U799" i="9" s="1"/>
  <c r="Q831" i="9"/>
  <c r="U831" i="9" s="1"/>
  <c r="Q863" i="9"/>
  <c r="U863" i="9" s="1"/>
  <c r="Q895" i="9"/>
  <c r="U895" i="9" s="1"/>
  <c r="Q927" i="9"/>
  <c r="U927" i="9" s="1"/>
  <c r="Q959" i="9"/>
  <c r="U959" i="9" s="1"/>
  <c r="Q991" i="9"/>
  <c r="U991" i="9" s="1"/>
  <c r="Q1023" i="9"/>
  <c r="U1023" i="9" s="1"/>
  <c r="Q1042" i="9"/>
  <c r="U1042" i="9" s="1"/>
  <c r="Q1050" i="9"/>
  <c r="U1050" i="9" s="1"/>
  <c r="Q1058" i="9"/>
  <c r="U1058" i="9" s="1"/>
  <c r="Q1066" i="9"/>
  <c r="U1066" i="9" s="1"/>
  <c r="Q1074" i="9"/>
  <c r="U1074" i="9" s="1"/>
  <c r="Q224" i="9"/>
  <c r="U224" i="9" s="1"/>
  <c r="Q336" i="9"/>
  <c r="U336" i="9" s="1"/>
  <c r="Q392" i="9"/>
  <c r="U392" i="9" s="1"/>
  <c r="Q430" i="9"/>
  <c r="U430" i="9" s="1"/>
  <c r="Q462" i="9"/>
  <c r="U462" i="9" s="1"/>
  <c r="Q494" i="9"/>
  <c r="U494" i="9" s="1"/>
  <c r="Q526" i="9"/>
  <c r="U526" i="9" s="1"/>
  <c r="Q558" i="9"/>
  <c r="U558" i="9" s="1"/>
  <c r="Q590" i="9"/>
  <c r="U590" i="9" s="1"/>
  <c r="Q622" i="9"/>
  <c r="U622" i="9" s="1"/>
  <c r="Q654" i="9"/>
  <c r="U654" i="9" s="1"/>
  <c r="Q686" i="9"/>
  <c r="U686" i="9" s="1"/>
  <c r="Q718" i="9"/>
  <c r="U718" i="9" s="1"/>
  <c r="Q750" i="9"/>
  <c r="U750" i="9" s="1"/>
  <c r="Q783" i="9"/>
  <c r="U783" i="9" s="1"/>
  <c r="Q815" i="9"/>
  <c r="U815" i="9" s="1"/>
  <c r="Q847" i="9"/>
  <c r="U847" i="9" s="1"/>
  <c r="Q879" i="9"/>
  <c r="U879" i="9" s="1"/>
  <c r="Q911" i="9"/>
  <c r="U911" i="9" s="1"/>
  <c r="Q943" i="9"/>
  <c r="U943" i="9" s="1"/>
  <c r="Q975" i="9"/>
  <c r="U975" i="9" s="1"/>
  <c r="Q1007" i="9"/>
  <c r="U1007" i="9" s="1"/>
  <c r="Q1038" i="9"/>
  <c r="U1038" i="9" s="1"/>
  <c r="Q1046" i="9"/>
  <c r="U1046" i="9" s="1"/>
  <c r="Q1054" i="9"/>
  <c r="U1054" i="9" s="1"/>
  <c r="Q1062" i="9"/>
  <c r="U1062" i="9" s="1"/>
  <c r="Q1070" i="9"/>
  <c r="U1070" i="9" s="1"/>
  <c r="Q1078" i="9"/>
  <c r="U1078" i="9" s="1"/>
  <c r="Q186" i="9"/>
  <c r="U186" i="9" s="1"/>
  <c r="Q400" i="9"/>
  <c r="U400" i="9" s="1"/>
  <c r="Q490" i="9"/>
  <c r="U490" i="9" s="1"/>
  <c r="Q554" i="9"/>
  <c r="U554" i="9" s="1"/>
  <c r="Q618" i="9"/>
  <c r="U618" i="9" s="1"/>
  <c r="Q682" i="9"/>
  <c r="U682" i="9" s="1"/>
  <c r="Q746" i="9"/>
  <c r="U746" i="9" s="1"/>
  <c r="Q811" i="9"/>
  <c r="U811" i="9" s="1"/>
  <c r="Q875" i="9"/>
  <c r="U875" i="9" s="1"/>
  <c r="Q939" i="9"/>
  <c r="U939" i="9" s="1"/>
  <c r="Q1003" i="9"/>
  <c r="U1003" i="9" s="1"/>
  <c r="Q1043" i="9"/>
  <c r="U1043" i="9" s="1"/>
  <c r="Q1059" i="9"/>
  <c r="U1059" i="9" s="1"/>
  <c r="Q1075" i="9"/>
  <c r="U1075" i="9" s="1"/>
  <c r="Q16" i="9"/>
  <c r="U16" i="9" s="1"/>
  <c r="Q74" i="9"/>
  <c r="U74" i="9" s="1"/>
  <c r="Q288" i="9"/>
  <c r="U288" i="9" s="1"/>
  <c r="Q450" i="9"/>
  <c r="U450" i="9" s="1"/>
  <c r="Q514" i="9"/>
  <c r="U514" i="9" s="1"/>
  <c r="Q578" i="9"/>
  <c r="U578" i="9" s="1"/>
  <c r="Q642" i="9"/>
  <c r="U642" i="9" s="1"/>
  <c r="Q706" i="9"/>
  <c r="U706" i="9" s="1"/>
  <c r="Q770" i="9"/>
  <c r="U770" i="9" s="1"/>
  <c r="Q835" i="9"/>
  <c r="U835" i="9" s="1"/>
  <c r="Q899" i="9"/>
  <c r="U899" i="9" s="1"/>
  <c r="Q963" i="9"/>
  <c r="U963" i="9" s="1"/>
  <c r="Q1027" i="9"/>
  <c r="U1027" i="9" s="1"/>
  <c r="Q1045" i="9"/>
  <c r="U1045" i="9" s="1"/>
  <c r="Q1061" i="9"/>
  <c r="U1061" i="9" s="1"/>
  <c r="Q1077" i="9"/>
  <c r="U1077" i="9" s="1"/>
  <c r="Q46" i="9"/>
  <c r="U46" i="9" s="1"/>
  <c r="Q240" i="9"/>
  <c r="U240" i="9" s="1"/>
  <c r="Q364" i="9"/>
  <c r="U364" i="9" s="1"/>
  <c r="Q440" i="9"/>
  <c r="U440" i="9" s="1"/>
  <c r="Q504" i="9"/>
  <c r="U504" i="9" s="1"/>
  <c r="Q568" i="9"/>
  <c r="U568" i="9" s="1"/>
  <c r="Q632" i="9"/>
  <c r="U632" i="9" s="1"/>
  <c r="Q696" i="9"/>
  <c r="U696" i="9" s="1"/>
  <c r="Q760" i="9"/>
  <c r="U760" i="9" s="1"/>
  <c r="Q825" i="9"/>
  <c r="U825" i="9" s="1"/>
  <c r="Q889" i="9"/>
  <c r="U889" i="9" s="1"/>
  <c r="Q953" i="9"/>
  <c r="U953" i="9" s="1"/>
  <c r="Q1017" i="9"/>
  <c r="U1017" i="9" s="1"/>
  <c r="Q178" i="9"/>
  <c r="U178" i="9" s="1"/>
  <c r="Q308" i="9"/>
  <c r="U308" i="9" s="1"/>
  <c r="Q442" i="9"/>
  <c r="U442" i="9" s="1"/>
  <c r="Q506" i="9"/>
  <c r="U506" i="9" s="1"/>
  <c r="Q570" i="9"/>
  <c r="U570" i="9" s="1"/>
  <c r="Q634" i="9"/>
  <c r="U634" i="9" s="1"/>
  <c r="Q698" i="9"/>
  <c r="U698" i="9" s="1"/>
  <c r="Q762" i="9"/>
  <c r="U762" i="9" s="1"/>
  <c r="Q827" i="9"/>
  <c r="U827" i="9" s="1"/>
  <c r="Q891" i="9"/>
  <c r="U891" i="9" s="1"/>
  <c r="Q955" i="9"/>
  <c r="U955" i="9" s="1"/>
  <c r="Q1019" i="9"/>
  <c r="U1019" i="9" s="1"/>
  <c r="Q1039" i="9"/>
  <c r="U1039" i="9" s="1"/>
  <c r="Q1055" i="9"/>
  <c r="U1055" i="9" s="1"/>
  <c r="Q1071" i="9"/>
  <c r="U1071" i="9" s="1"/>
  <c r="Q170" i="9"/>
  <c r="U170" i="9" s="1"/>
  <c r="Q458" i="9"/>
  <c r="U458" i="9" s="1"/>
  <c r="Q586" i="9"/>
  <c r="U586" i="9" s="1"/>
  <c r="Q714" i="9"/>
  <c r="U714" i="9" s="1"/>
  <c r="Q843" i="9"/>
  <c r="U843" i="9" s="1"/>
  <c r="Q971" i="9"/>
  <c r="U971" i="9" s="1"/>
  <c r="Q1051" i="9"/>
  <c r="U1051" i="9" s="1"/>
  <c r="Q100" i="9"/>
  <c r="U100" i="9" s="1"/>
  <c r="Q416" i="9"/>
  <c r="U416" i="9" s="1"/>
  <c r="Q546" i="9"/>
  <c r="U546" i="9" s="1"/>
  <c r="Q674" i="9"/>
  <c r="U674" i="9" s="1"/>
  <c r="Q803" i="9"/>
  <c r="U803" i="9" s="1"/>
  <c r="Q931" i="9"/>
  <c r="U931" i="9" s="1"/>
  <c r="Q1053" i="9"/>
  <c r="U1053" i="9" s="1"/>
  <c r="Q650" i="9"/>
  <c r="U650" i="9" s="1"/>
  <c r="Q20" i="9"/>
  <c r="U20" i="9" s="1"/>
  <c r="Q256" i="9"/>
  <c r="U256" i="9" s="1"/>
  <c r="Q320" i="9"/>
  <c r="U320" i="9" s="1"/>
  <c r="Q472" i="9"/>
  <c r="U472" i="9" s="1"/>
  <c r="Q600" i="9"/>
  <c r="U600" i="9" s="1"/>
  <c r="Q728" i="9"/>
  <c r="U728" i="9" s="1"/>
  <c r="Q857" i="9"/>
  <c r="U857" i="9" s="1"/>
  <c r="Q985" i="9"/>
  <c r="U985" i="9" s="1"/>
  <c r="Q24" i="9"/>
  <c r="U24" i="9" s="1"/>
  <c r="Q124" i="9"/>
  <c r="U124" i="9" s="1"/>
  <c r="Q474" i="9"/>
  <c r="U474" i="9" s="1"/>
  <c r="Q602" i="9"/>
  <c r="U602" i="9" s="1"/>
  <c r="Q730" i="9"/>
  <c r="U730" i="9" s="1"/>
  <c r="Q859" i="9"/>
  <c r="U859" i="9" s="1"/>
  <c r="Q987" i="9"/>
  <c r="U987" i="9" s="1"/>
  <c r="Q1063" i="9"/>
  <c r="U1063" i="9" s="1"/>
  <c r="Q158" i="9"/>
  <c r="U158" i="9" s="1"/>
  <c r="Q404" i="9"/>
  <c r="U404" i="9" s="1"/>
  <c r="Q536" i="9"/>
  <c r="U536" i="9" s="1"/>
  <c r="Q664" i="9"/>
  <c r="U664" i="9" s="1"/>
  <c r="Q793" i="9"/>
  <c r="U793" i="9" s="1"/>
  <c r="Q921" i="9"/>
  <c r="U921" i="9" s="1"/>
  <c r="Q268" i="9"/>
  <c r="U268" i="9" s="1"/>
  <c r="Q522" i="9"/>
  <c r="U522" i="9" s="1"/>
  <c r="Q778" i="9"/>
  <c r="U778" i="9" s="1"/>
  <c r="Q907" i="9"/>
  <c r="U907" i="9" s="1"/>
  <c r="Q1035" i="9"/>
  <c r="U1035" i="9" s="1"/>
  <c r="Q82" i="9"/>
  <c r="U82" i="9" s="1"/>
  <c r="Q352" i="9"/>
  <c r="U352" i="9" s="1"/>
  <c r="Q538" i="9"/>
  <c r="U538" i="9" s="1"/>
  <c r="Q666" i="9"/>
  <c r="U666" i="9" s="1"/>
  <c r="Q795" i="9"/>
  <c r="U795" i="9" s="1"/>
  <c r="Q923" i="9"/>
  <c r="U923" i="9" s="1"/>
  <c r="Q1047" i="9"/>
  <c r="U1047" i="9" s="1"/>
  <c r="Q1067" i="9"/>
  <c r="U1067" i="9" s="1"/>
  <c r="Q867" i="9"/>
  <c r="U867" i="9" s="1"/>
  <c r="Q610" i="9"/>
  <c r="U610" i="9" s="1"/>
  <c r="Q272" i="9"/>
  <c r="U272" i="9" s="1"/>
  <c r="Q995" i="9"/>
  <c r="U995" i="9" s="1"/>
  <c r="Q1037" i="9"/>
  <c r="U1037" i="9" s="1"/>
  <c r="Q738" i="9"/>
  <c r="U738" i="9" s="1"/>
  <c r="Q1069" i="9"/>
  <c r="U1069" i="9" s="1"/>
  <c r="Q482" i="9"/>
  <c r="U482" i="9" s="1"/>
  <c r="G1597" i="2"/>
  <c r="G1577" i="2"/>
  <c r="AI1474" i="2" l="1"/>
  <c r="AQ1474" i="2"/>
  <c r="AY1474" i="2" s="1"/>
  <c r="BG1474" i="2" s="1"/>
  <c r="AJ1464" i="2"/>
  <c r="AR1464" i="2"/>
  <c r="AZ1464" i="2" s="1"/>
  <c r="BH1464" i="2" s="1"/>
  <c r="O1471" i="2"/>
  <c r="F3" i="20"/>
  <c r="F98" i="20" s="1"/>
  <c r="G202" i="2" a="1"/>
  <c r="G202" i="2" s="1"/>
  <c r="I201" i="2" a="1"/>
  <c r="I201" i="2" s="1"/>
  <c r="B200" i="2" a="1"/>
  <c r="B200" i="2" s="1"/>
  <c r="J207" i="2" a="1"/>
  <c r="J207" i="2" s="1"/>
  <c r="D202" i="2" a="1"/>
  <c r="D202" i="2" s="1"/>
  <c r="B206" i="2" a="1"/>
  <c r="B206" i="2" s="1"/>
  <c r="L199" i="2" a="1"/>
  <c r="L199" i="2" s="1"/>
  <c r="M198" i="2" a="1"/>
  <c r="M198" i="2" s="1"/>
  <c r="K203" i="2" a="1"/>
  <c r="K203" i="2" s="1"/>
  <c r="L202" i="2" a="1"/>
  <c r="L202" i="2" s="1"/>
  <c r="E201" i="2" a="1"/>
  <c r="E201" i="2" s="1"/>
  <c r="B199" i="2" a="1"/>
  <c r="B199" i="2" s="1"/>
  <c r="L201" i="2" a="1"/>
  <c r="L201" i="2" s="1"/>
  <c r="J204" i="2" a="1"/>
  <c r="J204" i="2" s="1"/>
  <c r="E198" i="2" a="1"/>
  <c r="E198" i="2" s="1"/>
  <c r="D200" i="2" a="1"/>
  <c r="D200" i="2" s="1"/>
  <c r="A198" i="2" a="1"/>
  <c r="A198" i="2" s="1"/>
  <c r="F199" i="2" a="1"/>
  <c r="F199" i="2" s="1"/>
  <c r="I207" i="2" a="1"/>
  <c r="I207" i="2" s="1"/>
  <c r="G201" i="2" a="1"/>
  <c r="G201" i="2" s="1"/>
  <c r="I204" i="2" a="1"/>
  <c r="I204" i="2" s="1"/>
  <c r="F198" i="2" a="1"/>
  <c r="F198" i="2" s="1"/>
  <c r="B204" i="2" a="1"/>
  <c r="B204" i="2" s="1"/>
  <c r="E205" i="2" a="1"/>
  <c r="E205" i="2" s="1"/>
  <c r="D198" i="2" a="1"/>
  <c r="D198" i="2" s="1"/>
  <c r="L200" i="2" a="1"/>
  <c r="L200" i="2" s="1"/>
  <c r="D207" i="2" a="1"/>
  <c r="D207" i="2" s="1"/>
  <c r="H199" i="2" a="1"/>
  <c r="H199" i="2" s="1"/>
  <c r="H197" i="2" a="1"/>
  <c r="H197" i="2" s="1"/>
  <c r="M207" i="2" a="1"/>
  <c r="M207" i="2" s="1"/>
  <c r="E200" i="2" a="1"/>
  <c r="E200" i="2" s="1"/>
  <c r="L203" i="2" a="1"/>
  <c r="L203" i="2" s="1"/>
  <c r="L198" i="2" a="1"/>
  <c r="L198" i="2" s="1"/>
  <c r="K207" i="2" a="1"/>
  <c r="K207" i="2" s="1"/>
  <c r="A207" i="2" a="1"/>
  <c r="A207" i="2" s="1"/>
  <c r="M206" i="2" a="1"/>
  <c r="M206" i="2" s="1"/>
  <c r="G206" i="2" a="1"/>
  <c r="G206" i="2" s="1"/>
  <c r="F197" i="2" a="1"/>
  <c r="F197" i="2" s="1"/>
  <c r="B201" i="2" a="1"/>
  <c r="B201" i="2" s="1"/>
  <c r="J199" i="2" a="1"/>
  <c r="J199" i="2" s="1"/>
  <c r="G205" i="2" a="1"/>
  <c r="G205" i="2" s="1"/>
  <c r="C199" i="2" a="1"/>
  <c r="C199" i="2" s="1"/>
  <c r="J205" i="2" a="1"/>
  <c r="J205" i="2" s="1"/>
  <c r="J197" i="2" a="1"/>
  <c r="J197" i="2" s="1"/>
  <c r="H200" i="2" a="1"/>
  <c r="H200" i="2" s="1"/>
  <c r="C205" i="2" a="1"/>
  <c r="C205" i="2" s="1"/>
  <c r="C206" i="2" a="1"/>
  <c r="C206" i="2" s="1"/>
  <c r="B205" i="2" a="1"/>
  <c r="B205" i="2" s="1"/>
  <c r="E206" i="2" a="1"/>
  <c r="E206" i="2" s="1"/>
  <c r="F201" i="2" a="1"/>
  <c r="F201" i="2" s="1"/>
  <c r="E203" i="2" a="1"/>
  <c r="E203" i="2" s="1"/>
  <c r="I203" i="2" a="1"/>
  <c r="I203" i="2" s="1"/>
  <c r="F207" i="2" a="1"/>
  <c r="F207" i="2" s="1"/>
  <c r="I206" i="2" a="1"/>
  <c r="I206" i="2" s="1"/>
  <c r="A200" i="2" a="1"/>
  <c r="A200" i="2" s="1"/>
  <c r="F200" i="2" a="1"/>
  <c r="F200" i="2" s="1"/>
  <c r="E202" i="2" a="1"/>
  <c r="E202" i="2" s="1"/>
  <c r="B197" i="2" a="1"/>
  <c r="B197" i="2" s="1"/>
  <c r="K204" i="2" a="1"/>
  <c r="K204" i="2" s="1"/>
  <c r="C203" i="2" a="1"/>
  <c r="C203" i="2" s="1"/>
  <c r="C202" i="2" a="1"/>
  <c r="C202" i="2" s="1"/>
  <c r="H201" i="2" a="1"/>
  <c r="H201" i="2" s="1"/>
  <c r="C204" i="2" a="1"/>
  <c r="C204" i="2" s="1"/>
  <c r="I202" i="2" a="1"/>
  <c r="I202" i="2" s="1"/>
  <c r="I205" i="2" a="1"/>
  <c r="I205" i="2" s="1"/>
  <c r="D201" i="2" a="1"/>
  <c r="D201" i="2" s="1"/>
  <c r="I199" i="2" a="1"/>
  <c r="I199" i="2" s="1"/>
  <c r="M199" i="2" a="1"/>
  <c r="M199" i="2" s="1"/>
  <c r="J201" i="2" a="1"/>
  <c r="J201" i="2" s="1"/>
  <c r="I197" i="2" a="1"/>
  <c r="I197" i="2" s="1"/>
  <c r="C198" i="2" a="1"/>
  <c r="C198" i="2" s="1"/>
  <c r="B203" i="2" a="1"/>
  <c r="B203" i="2" s="1"/>
  <c r="I200" i="2" a="1"/>
  <c r="I200" i="2" s="1"/>
  <c r="M201" i="2" a="1"/>
  <c r="M201" i="2" s="1"/>
  <c r="F202" i="2" a="1"/>
  <c r="F202" i="2" s="1"/>
  <c r="L197" i="2" a="1"/>
  <c r="L197" i="2" s="1"/>
  <c r="H205" i="2" a="1"/>
  <c r="H205" i="2" s="1"/>
  <c r="D205" i="2" a="1"/>
  <c r="D205" i="2" s="1"/>
  <c r="I198" i="2" a="1"/>
  <c r="I198" i="2" s="1"/>
  <c r="L207" i="2" a="1"/>
  <c r="L207" i="2" s="1"/>
  <c r="J198" i="2" a="1"/>
  <c r="J198" i="2" s="1"/>
  <c r="H203" i="2" a="1"/>
  <c r="H203" i="2" s="1"/>
  <c r="F206" i="2" a="1"/>
  <c r="F206" i="2" s="1"/>
  <c r="A201" i="2" a="1"/>
  <c r="A201" i="2" s="1"/>
  <c r="A206" i="2" a="1"/>
  <c r="A206" i="2" s="1"/>
  <c r="B198" i="2" a="1"/>
  <c r="B198" i="2" s="1"/>
  <c r="G204" i="2" a="1"/>
  <c r="G204" i="2" s="1"/>
  <c r="K200" i="2" a="1"/>
  <c r="K200" i="2" s="1"/>
  <c r="D204" i="2" a="1"/>
  <c r="D204" i="2" s="1"/>
  <c r="K198" i="2" a="1"/>
  <c r="K198" i="2" s="1"/>
  <c r="A205" i="2" a="1"/>
  <c r="A205" i="2" s="1"/>
  <c r="A202" i="2" a="1"/>
  <c r="A202" i="2" s="1"/>
  <c r="M203" i="2" a="1"/>
  <c r="M203" i="2" s="1"/>
  <c r="K197" i="2" a="1"/>
  <c r="K197" i="2" s="1"/>
  <c r="L204" i="2" a="1"/>
  <c r="L204" i="2" s="1"/>
  <c r="G198" i="2" a="1"/>
  <c r="G198" i="2" s="1"/>
  <c r="M204" i="2" a="1"/>
  <c r="M204" i="2" s="1"/>
  <c r="H207" i="2" a="1"/>
  <c r="H207" i="2" s="1"/>
  <c r="J203" i="2" a="1"/>
  <c r="J203" i="2" s="1"/>
  <c r="C201" i="2" a="1"/>
  <c r="C201" i="2" s="1"/>
  <c r="D197" i="2" a="1"/>
  <c r="D197" i="2" s="1"/>
  <c r="D199" i="2" a="1"/>
  <c r="D199" i="2" s="1"/>
  <c r="J206" i="2" a="1"/>
  <c r="J206" i="2" s="1"/>
  <c r="M200" i="2" a="1"/>
  <c r="M200" i="2" s="1"/>
  <c r="N113" i="10"/>
  <c r="G197" i="2" a="1"/>
  <c r="G197" i="2" s="1"/>
  <c r="E204" i="2" a="1"/>
  <c r="E204" i="2" s="1"/>
  <c r="K202" i="2" a="1"/>
  <c r="K202" i="2" s="1"/>
  <c r="H202" i="2" a="1"/>
  <c r="H202" i="2" s="1"/>
  <c r="D203" i="2" a="1"/>
  <c r="D203" i="2" s="1"/>
  <c r="G203" i="2" a="1"/>
  <c r="G203" i="2" s="1"/>
  <c r="C197" i="2" a="1"/>
  <c r="C197" i="2" s="1"/>
  <c r="M197" i="2" a="1"/>
  <c r="M197" i="2" s="1"/>
  <c r="B202" i="2" a="1"/>
  <c r="B202" i="2" s="1"/>
  <c r="L205" i="2" a="1"/>
  <c r="L205" i="2" s="1"/>
  <c r="B207" i="2" a="1"/>
  <c r="B207" i="2" s="1"/>
  <c r="D206" i="2" a="1"/>
  <c r="D206" i="2" s="1"/>
  <c r="K206" i="2" a="1"/>
  <c r="K206" i="2" s="1"/>
  <c r="C207" i="2" a="1"/>
  <c r="C207" i="2" s="1"/>
  <c r="H206" i="2" a="1"/>
  <c r="H206" i="2" s="1"/>
  <c r="G199" i="2" a="1"/>
  <c r="G199" i="2" s="1"/>
  <c r="L206" i="2" a="1"/>
  <c r="L206" i="2" s="1"/>
  <c r="E207" i="2" a="1"/>
  <c r="E207" i="2" s="1"/>
  <c r="F204" i="2" a="1"/>
  <c r="F204" i="2" s="1"/>
  <c r="G200" i="2" a="1"/>
  <c r="G200" i="2" s="1"/>
  <c r="F205" i="2" a="1"/>
  <c r="F205" i="2" s="1"/>
  <c r="H198" i="2" a="1"/>
  <c r="H198" i="2" s="1"/>
  <c r="F203" i="2" a="1"/>
  <c r="F203" i="2" s="1"/>
  <c r="E199" i="2" a="1"/>
  <c r="E199" i="2" s="1"/>
  <c r="K199" i="2" a="1"/>
  <c r="K199" i="2" s="1"/>
  <c r="H204" i="2" a="1"/>
  <c r="H204" i="2" s="1"/>
  <c r="A203" i="2" a="1"/>
  <c r="A203" i="2" s="1"/>
  <c r="G207" i="2" a="1"/>
  <c r="G207" i="2" s="1"/>
  <c r="K205" i="2" a="1"/>
  <c r="K205" i="2" s="1"/>
  <c r="A199" i="2" a="1"/>
  <c r="A199" i="2" s="1"/>
  <c r="A204" i="2" a="1"/>
  <c r="A204" i="2" s="1"/>
  <c r="J200" i="2" a="1"/>
  <c r="J200" i="2" s="1"/>
  <c r="A197" i="2" a="1"/>
  <c r="A197" i="2" s="1"/>
  <c r="K201" i="2" a="1"/>
  <c r="K201" i="2" s="1"/>
  <c r="C200" i="2" a="1"/>
  <c r="C200" i="2" s="1"/>
  <c r="J202" i="2" a="1"/>
  <c r="J202" i="2" s="1"/>
  <c r="M202" i="2" a="1"/>
  <c r="M202" i="2" s="1"/>
  <c r="E197" i="2" a="1"/>
  <c r="E197" i="2" s="1"/>
  <c r="M205" i="2" a="1"/>
  <c r="M205" i="2" s="1"/>
  <c r="E1570" i="2"/>
  <c r="N1617" i="2" s="1"/>
  <c r="B1387" i="2"/>
  <c r="B28" i="15" s="1"/>
  <c r="BK1496" i="2"/>
  <c r="N1481" i="2"/>
  <c r="E3" i="20"/>
  <c r="E110" i="20" s="1"/>
  <c r="B1" i="19"/>
  <c r="B248" i="19" s="1"/>
  <c r="D1713" i="2" s="1"/>
  <c r="Y21" i="15"/>
  <c r="G3" i="20"/>
  <c r="G105" i="20" s="1"/>
  <c r="C28" i="15"/>
  <c r="J980" i="2"/>
  <c r="J983" i="2"/>
  <c r="J984" i="2" s="1"/>
  <c r="J985" i="2" s="1"/>
  <c r="D98" i="20"/>
  <c r="D117" i="20"/>
  <c r="H1368" i="2"/>
  <c r="D106" i="20"/>
  <c r="D99" i="20"/>
  <c r="D103" i="20"/>
  <c r="D100" i="20"/>
  <c r="D104" i="20"/>
  <c r="D119" i="20"/>
  <c r="D111" i="20"/>
  <c r="D115" i="20"/>
  <c r="D120" i="20"/>
  <c r="D124" i="20"/>
  <c r="D109" i="20"/>
  <c r="D113" i="20"/>
  <c r="D108" i="20"/>
  <c r="D112" i="20"/>
  <c r="D116" i="20"/>
  <c r="D101" i="20"/>
  <c r="D114" i="20"/>
  <c r="D107" i="20"/>
  <c r="D118" i="20"/>
  <c r="D110" i="20"/>
  <c r="D121" i="20"/>
  <c r="D102" i="20"/>
  <c r="D122" i="20"/>
  <c r="D125" i="20"/>
  <c r="D105" i="20"/>
  <c r="D123" i="20"/>
  <c r="D789" i="2"/>
  <c r="K37" i="18" s="1"/>
  <c r="D787" i="2"/>
  <c r="K35" i="18" s="1"/>
  <c r="C787" i="2" a="1"/>
  <c r="C787" i="2" s="1"/>
  <c r="AE35" i="18" s="1"/>
  <c r="B786" i="2" a="1"/>
  <c r="B786" i="2" s="1"/>
  <c r="AD34" i="18" s="1"/>
  <c r="D785" i="2" a="1"/>
  <c r="D785" i="2" s="1"/>
  <c r="K33" i="18" s="1"/>
  <c r="A787" i="2" a="1"/>
  <c r="A787" i="2" s="1"/>
  <c r="AC35" i="18" s="1"/>
  <c r="C789" i="2" a="1"/>
  <c r="C789" i="2" s="1"/>
  <c r="AE37" i="18" s="1"/>
  <c r="E787" i="2" a="1"/>
  <c r="E787" i="2" s="1"/>
  <c r="T35" i="18" s="1"/>
  <c r="A786" i="2" a="1"/>
  <c r="A786" i="2" s="1"/>
  <c r="AC34" i="18" s="1"/>
  <c r="E789" i="2" a="1"/>
  <c r="E789" i="2" s="1"/>
  <c r="T37" i="18" s="1"/>
  <c r="B789" i="2" a="1"/>
  <c r="B789" i="2" s="1"/>
  <c r="AD37" i="18" s="1"/>
  <c r="A785" i="2" a="1"/>
  <c r="A785" i="2" s="1"/>
  <c r="AC33" i="18" s="1"/>
  <c r="C788" i="2" a="1"/>
  <c r="C788" i="2" s="1"/>
  <c r="AE36" i="18" s="1"/>
  <c r="F789" i="2" a="1"/>
  <c r="F789" i="2" s="1"/>
  <c r="C37" i="18" s="1"/>
  <c r="C786" i="2" a="1"/>
  <c r="C786" i="2" s="1"/>
  <c r="AE34" i="18" s="1"/>
  <c r="E785" i="2" a="1"/>
  <c r="E785" i="2" s="1"/>
  <c r="T33" i="18" s="1"/>
  <c r="E786" i="2" a="1"/>
  <c r="E786" i="2" s="1"/>
  <c r="T34" i="18" s="1"/>
  <c r="C785" i="2" a="1"/>
  <c r="C785" i="2" s="1"/>
  <c r="AE33" i="18" s="1"/>
  <c r="F788" i="2" a="1"/>
  <c r="F788" i="2" s="1"/>
  <c r="C36" i="18" s="1"/>
  <c r="F787" i="2" a="1"/>
  <c r="F787" i="2" s="1"/>
  <c r="C35" i="18" s="1"/>
  <c r="E788" i="2" a="1"/>
  <c r="E788" i="2" s="1"/>
  <c r="T36" i="18" s="1"/>
  <c r="B788" i="2" a="1"/>
  <c r="B788" i="2" s="1"/>
  <c r="AD36" i="18" s="1"/>
  <c r="A788" i="2" a="1"/>
  <c r="A788" i="2" s="1"/>
  <c r="AC36" i="18" s="1"/>
  <c r="F785" i="2" a="1"/>
  <c r="F785" i="2" s="1"/>
  <c r="C33" i="18" s="1"/>
  <c r="B787" i="2" a="1"/>
  <c r="B787" i="2" s="1"/>
  <c r="AD35" i="18" s="1"/>
  <c r="F786" i="2" a="1"/>
  <c r="F786" i="2" s="1"/>
  <c r="C34" i="18" s="1"/>
  <c r="B785" i="2" a="1"/>
  <c r="B785" i="2" s="1"/>
  <c r="AD33" i="18" s="1"/>
  <c r="A789" i="2" a="1"/>
  <c r="A789" i="2" s="1"/>
  <c r="AC37" i="18" s="1"/>
  <c r="G1576" i="2"/>
  <c r="D786" i="2"/>
  <c r="K34" i="18" s="1"/>
  <c r="D788" i="2"/>
  <c r="K36" i="18" s="1"/>
  <c r="AR1469" i="2" l="1"/>
  <c r="AZ1469" i="2" s="1"/>
  <c r="BH1469" i="2" s="1"/>
  <c r="AJ1469" i="2"/>
  <c r="O1476" i="2"/>
  <c r="AI1479" i="2"/>
  <c r="AQ1479" i="2"/>
  <c r="AY1479" i="2" s="1"/>
  <c r="BG1479" i="2" s="1"/>
  <c r="BM1723" i="2"/>
  <c r="G110" i="20"/>
  <c r="E100" i="20"/>
  <c r="E124" i="20"/>
  <c r="E103" i="20"/>
  <c r="F115" i="20"/>
  <c r="F118" i="20"/>
  <c r="F116" i="20"/>
  <c r="E123" i="20"/>
  <c r="E114" i="20"/>
  <c r="E115" i="20"/>
  <c r="E101" i="20"/>
  <c r="F124" i="20"/>
  <c r="F113" i="20"/>
  <c r="F123" i="20"/>
  <c r="E113" i="20"/>
  <c r="E118" i="20"/>
  <c r="E111" i="20"/>
  <c r="E98" i="20"/>
  <c r="F111" i="20"/>
  <c r="F109" i="20"/>
  <c r="F112" i="20"/>
  <c r="E109" i="20"/>
  <c r="E107" i="20"/>
  <c r="E125" i="20"/>
  <c r="H1369" i="2"/>
  <c r="F102" i="20"/>
  <c r="F119" i="20"/>
  <c r="F114" i="20"/>
  <c r="H1370" i="2"/>
  <c r="E112" i="20"/>
  <c r="E105" i="20"/>
  <c r="E104" i="20"/>
  <c r="E99" i="20"/>
  <c r="F100" i="20"/>
  <c r="F122" i="20"/>
  <c r="F121" i="20"/>
  <c r="F99" i="20"/>
  <c r="E116" i="20"/>
  <c r="E120" i="20"/>
  <c r="E108" i="20"/>
  <c r="F106" i="20"/>
  <c r="F105" i="20"/>
  <c r="F104" i="20"/>
  <c r="F117" i="20"/>
  <c r="F120" i="20"/>
  <c r="F108" i="20"/>
  <c r="F101" i="20"/>
  <c r="F103" i="20"/>
  <c r="E119" i="20"/>
  <c r="E106" i="20"/>
  <c r="E121" i="20"/>
  <c r="E117" i="20"/>
  <c r="F110" i="20"/>
  <c r="F107" i="20"/>
  <c r="F125" i="20"/>
  <c r="E122" i="20"/>
  <c r="E102" i="20"/>
  <c r="H1371" i="2"/>
  <c r="G100" i="20"/>
  <c r="G122" i="20"/>
  <c r="G103" i="20"/>
  <c r="I1473" i="2"/>
  <c r="G124" i="20"/>
  <c r="G104" i="20"/>
  <c r="G123" i="20"/>
  <c r="G121" i="20"/>
  <c r="G119" i="20"/>
  <c r="G114" i="20"/>
  <c r="G118" i="20"/>
  <c r="G102" i="20"/>
  <c r="G109" i="20"/>
  <c r="G111" i="20"/>
  <c r="G112" i="20"/>
  <c r="G117" i="20"/>
  <c r="G120" i="20"/>
  <c r="G113" i="20"/>
  <c r="G108" i="20"/>
  <c r="G98" i="20"/>
  <c r="G125" i="20"/>
  <c r="G106" i="20"/>
  <c r="G107" i="20"/>
  <c r="G99" i="20"/>
  <c r="J237" i="2" a="1"/>
  <c r="J237" i="2" s="1"/>
  <c r="J238" i="2" a="1"/>
  <c r="J238" i="2" s="1"/>
  <c r="J239" i="2" a="1"/>
  <c r="J239" i="2" s="1"/>
  <c r="F236" i="2" a="1"/>
  <c r="F236" i="2" s="1"/>
  <c r="C237" i="2" a="1"/>
  <c r="C237" i="2" s="1"/>
  <c r="C239" i="2" a="1"/>
  <c r="C239" i="2" s="1"/>
  <c r="K236" i="2" a="1"/>
  <c r="K236" i="2" s="1"/>
  <c r="F237" i="2" a="1"/>
  <c r="F237" i="2" s="1"/>
  <c r="K239" i="2" a="1"/>
  <c r="K239" i="2" s="1"/>
  <c r="I235" i="2" a="1"/>
  <c r="I235" i="2" s="1"/>
  <c r="A239" i="2" a="1"/>
  <c r="A239" i="2" s="1"/>
  <c r="C235" i="2" a="1"/>
  <c r="C235" i="2" s="1"/>
  <c r="I237" i="2" a="1"/>
  <c r="I237" i="2" s="1"/>
  <c r="H235" i="2" a="1"/>
  <c r="H235" i="2" s="1"/>
  <c r="F239" i="2" a="1"/>
  <c r="F239" i="2" s="1"/>
  <c r="K235" i="2" a="1"/>
  <c r="K235" i="2" s="1"/>
  <c r="A235" i="2" a="1"/>
  <c r="A235" i="2" s="1"/>
  <c r="I238" i="2" a="1"/>
  <c r="I238" i="2" s="1"/>
  <c r="A238" i="2" a="1"/>
  <c r="A238" i="2" s="1"/>
  <c r="H239" i="2" a="1"/>
  <c r="H239" i="2" s="1"/>
  <c r="A237" i="2" a="1"/>
  <c r="A237" i="2" s="1"/>
  <c r="H238" i="2" a="1"/>
  <c r="H238" i="2" s="1"/>
  <c r="C238" i="2" a="1"/>
  <c r="C238" i="2" s="1"/>
  <c r="A236" i="2" a="1"/>
  <c r="A236" i="2" s="1"/>
  <c r="K237" i="2" a="1"/>
  <c r="K237" i="2" s="1"/>
  <c r="J235" i="2" a="1"/>
  <c r="J235" i="2" s="1"/>
  <c r="I236" i="2" a="1"/>
  <c r="I236" i="2" s="1"/>
  <c r="J236" i="2" a="1"/>
  <c r="J236" i="2" s="1"/>
  <c r="H237" i="2" a="1"/>
  <c r="H237" i="2" s="1"/>
  <c r="K238" i="2" a="1"/>
  <c r="K238" i="2" s="1"/>
  <c r="F235" i="2" a="1"/>
  <c r="F235" i="2" s="1"/>
  <c r="H236" i="2" a="1"/>
  <c r="H236" i="2" s="1"/>
  <c r="C236" i="2" a="1"/>
  <c r="C236" i="2" s="1"/>
  <c r="I239" i="2" a="1"/>
  <c r="I239" i="2" s="1"/>
  <c r="F238" i="2" a="1"/>
  <c r="F238" i="2" s="1"/>
  <c r="I231" i="2" a="1"/>
  <c r="I231" i="2" s="1"/>
  <c r="F232" i="2" a="1"/>
  <c r="F232" i="2" s="1"/>
  <c r="A229" i="2" a="1"/>
  <c r="A229" i="2" s="1"/>
  <c r="K230" i="2" a="1"/>
  <c r="K230" i="2" s="1"/>
  <c r="A230" i="2" a="1"/>
  <c r="A230" i="2" s="1"/>
  <c r="J231" i="2" a="1"/>
  <c r="J231" i="2" s="1"/>
  <c r="I228" i="2" a="1"/>
  <c r="I228" i="2" s="1"/>
  <c r="F231" i="2" a="1"/>
  <c r="F231" i="2" s="1"/>
  <c r="A228" i="2" a="1"/>
  <c r="A228" i="2" s="1"/>
  <c r="I229" i="2" a="1"/>
  <c r="I229" i="2" s="1"/>
  <c r="C229" i="2" a="1"/>
  <c r="C229" i="2" s="1"/>
  <c r="H231" i="2" a="1"/>
  <c r="H231" i="2" s="1"/>
  <c r="F229" i="2" a="1"/>
  <c r="F229" i="2" s="1"/>
  <c r="H232" i="2" a="1"/>
  <c r="H232" i="2" s="1"/>
  <c r="H229" i="2" a="1"/>
  <c r="H229" i="2" s="1"/>
  <c r="K229" i="2" a="1"/>
  <c r="K229" i="2" s="1"/>
  <c r="C228" i="2" a="1"/>
  <c r="C228" i="2" s="1"/>
  <c r="I230" i="2" a="1"/>
  <c r="I230" i="2" s="1"/>
  <c r="K232" i="2" a="1"/>
  <c r="K232" i="2" s="1"/>
  <c r="J229" i="2" a="1"/>
  <c r="J229" i="2" s="1"/>
  <c r="J230" i="2" a="1"/>
  <c r="J230" i="2" s="1"/>
  <c r="K231" i="2" a="1"/>
  <c r="K231" i="2" s="1"/>
  <c r="H230" i="2" a="1"/>
  <c r="H230" i="2" s="1"/>
  <c r="A231" i="2" a="1"/>
  <c r="A231" i="2" s="1"/>
  <c r="I232" i="2" a="1"/>
  <c r="I232" i="2" s="1"/>
  <c r="F228" i="2" a="1"/>
  <c r="F228" i="2" s="1"/>
  <c r="H228" i="2" a="1"/>
  <c r="H228" i="2" s="1"/>
  <c r="A232" i="2" a="1"/>
  <c r="A232" i="2" s="1"/>
  <c r="J232" i="2" a="1"/>
  <c r="J232" i="2" s="1"/>
  <c r="C230" i="2" a="1"/>
  <c r="C230" i="2" s="1"/>
  <c r="K228" i="2" a="1"/>
  <c r="K228" i="2" s="1"/>
  <c r="C232" i="2" a="1"/>
  <c r="C232" i="2" s="1"/>
  <c r="F230" i="2" a="1"/>
  <c r="F230" i="2" s="1"/>
  <c r="C231" i="2" a="1"/>
  <c r="C231" i="2" s="1"/>
  <c r="J228" i="2" a="1"/>
  <c r="J228" i="2" s="1"/>
  <c r="G101" i="20"/>
  <c r="G115" i="20"/>
  <c r="G116" i="20"/>
  <c r="I223" i="2" a="1"/>
  <c r="I223" i="2" s="1"/>
  <c r="I258" i="2" s="1"/>
  <c r="AC50" i="1" s="1"/>
  <c r="F225" i="2" a="1"/>
  <c r="F225" i="2" s="1"/>
  <c r="F260" i="2" s="1"/>
  <c r="S52" i="1" s="1"/>
  <c r="H224" i="2" a="1"/>
  <c r="H224" i="2" s="1"/>
  <c r="H259" i="2" s="1"/>
  <c r="H221" i="2" a="1"/>
  <c r="H221" i="2" s="1"/>
  <c r="H256" i="2" s="1"/>
  <c r="I222" i="2" a="1"/>
  <c r="I222" i="2" s="1"/>
  <c r="I257" i="2" s="1"/>
  <c r="AC49" i="1" s="1"/>
  <c r="H222" i="2" a="1"/>
  <c r="H222" i="2" s="1"/>
  <c r="H257" i="2" s="1"/>
  <c r="I225" i="2" a="1"/>
  <c r="I225" i="2" s="1"/>
  <c r="I260" i="2" s="1"/>
  <c r="AC52" i="1" s="1"/>
  <c r="H223" i="2" a="1"/>
  <c r="H223" i="2" s="1"/>
  <c r="H258" i="2" s="1"/>
  <c r="A224" i="2" a="1"/>
  <c r="A224" i="2" s="1"/>
  <c r="A259" i="2" s="1"/>
  <c r="C51" i="1" s="1"/>
  <c r="C221" i="2" a="1"/>
  <c r="C221" i="2" s="1"/>
  <c r="C256" i="2" s="1"/>
  <c r="J48" i="1" s="1"/>
  <c r="K221" i="2" a="1"/>
  <c r="K221" i="2" s="1"/>
  <c r="K256" i="2" s="1"/>
  <c r="AE48" i="1" s="1"/>
  <c r="I221" i="2" a="1"/>
  <c r="I221" i="2" s="1"/>
  <c r="I256" i="2" s="1"/>
  <c r="AC48" i="1" s="1"/>
  <c r="K225" i="2" a="1"/>
  <c r="K225" i="2" s="1"/>
  <c r="K260" i="2" s="1"/>
  <c r="AE52" i="1" s="1"/>
  <c r="A225" i="2" a="1"/>
  <c r="A225" i="2" s="1"/>
  <c r="A260" i="2" s="1"/>
  <c r="C52" i="1" s="1"/>
  <c r="J223" i="2" a="1"/>
  <c r="J223" i="2" s="1"/>
  <c r="J258" i="2" s="1"/>
  <c r="AD50" i="1" s="1"/>
  <c r="J225" i="2" a="1"/>
  <c r="J225" i="2" s="1"/>
  <c r="J260" i="2" s="1"/>
  <c r="AD52" i="1" s="1"/>
  <c r="K223" i="2" a="1"/>
  <c r="K223" i="2" s="1"/>
  <c r="K258" i="2" s="1"/>
  <c r="AE50" i="1" s="1"/>
  <c r="C222" i="2" a="1"/>
  <c r="C222" i="2" s="1"/>
  <c r="C257" i="2" s="1"/>
  <c r="J49" i="1" s="1"/>
  <c r="A221" i="2" a="1"/>
  <c r="A221" i="2" s="1"/>
  <c r="A256" i="2" s="1"/>
  <c r="C48" i="1" s="1"/>
  <c r="H225" i="2" a="1"/>
  <c r="H225" i="2" s="1"/>
  <c r="H260" i="2" s="1"/>
  <c r="A222" i="2" a="1"/>
  <c r="A222" i="2" s="1"/>
  <c r="A257" i="2" s="1"/>
  <c r="C49" i="1" s="1"/>
  <c r="F221" i="2" a="1"/>
  <c r="F221" i="2" s="1"/>
  <c r="F256" i="2" s="1"/>
  <c r="S48" i="1" s="1"/>
  <c r="C224" i="2" a="1"/>
  <c r="C224" i="2" s="1"/>
  <c r="C259" i="2" s="1"/>
  <c r="J51" i="1" s="1"/>
  <c r="F223" i="2" a="1"/>
  <c r="F223" i="2" s="1"/>
  <c r="F258" i="2" s="1"/>
  <c r="S50" i="1" s="1"/>
  <c r="C225" i="2" a="1"/>
  <c r="C225" i="2" s="1"/>
  <c r="C260" i="2" s="1"/>
  <c r="J52" i="1" s="1"/>
  <c r="K222" i="2" a="1"/>
  <c r="K222" i="2" s="1"/>
  <c r="K257" i="2" s="1"/>
  <c r="AE49" i="1" s="1"/>
  <c r="J224" i="2" a="1"/>
  <c r="J224" i="2" s="1"/>
  <c r="J259" i="2" s="1"/>
  <c r="AD51" i="1" s="1"/>
  <c r="C223" i="2" a="1"/>
  <c r="C223" i="2" s="1"/>
  <c r="C258" i="2" s="1"/>
  <c r="J50" i="1" s="1"/>
  <c r="F222" i="2" a="1"/>
  <c r="F222" i="2" s="1"/>
  <c r="F257" i="2" s="1"/>
  <c r="S49" i="1" s="1"/>
  <c r="J221" i="2" a="1"/>
  <c r="J221" i="2" s="1"/>
  <c r="J256" i="2" s="1"/>
  <c r="AD48" i="1" s="1"/>
  <c r="I224" i="2" a="1"/>
  <c r="I224" i="2" s="1"/>
  <c r="I259" i="2" s="1"/>
  <c r="AC51" i="1" s="1"/>
  <c r="F224" i="2" a="1"/>
  <c r="F224" i="2" s="1"/>
  <c r="F259" i="2" s="1"/>
  <c r="S51" i="1" s="1"/>
  <c r="J222" i="2" a="1"/>
  <c r="J222" i="2" s="1"/>
  <c r="J257" i="2" s="1"/>
  <c r="AD49" i="1" s="1"/>
  <c r="A223" i="2" a="1"/>
  <c r="A223" i="2" s="1"/>
  <c r="A258" i="2" s="1"/>
  <c r="C50" i="1" s="1"/>
  <c r="K224" i="2" a="1"/>
  <c r="K224" i="2" s="1"/>
  <c r="K259" i="2" s="1"/>
  <c r="AE51" i="1" s="1"/>
  <c r="N1486" i="2"/>
  <c r="I250" i="2" a="1"/>
  <c r="I250" i="2" s="1"/>
  <c r="F251" i="2" a="1"/>
  <c r="F251" i="2" s="1"/>
  <c r="J251" i="2" a="1"/>
  <c r="J251" i="2" s="1"/>
  <c r="C252" i="2" a="1"/>
  <c r="C252" i="2" s="1"/>
  <c r="A251" i="2" a="1"/>
  <c r="A251" i="2" s="1"/>
  <c r="H251" i="2" a="1"/>
  <c r="H251" i="2" s="1"/>
  <c r="H252" i="2" a="1"/>
  <c r="H252" i="2" s="1"/>
  <c r="C251" i="2" a="1"/>
  <c r="C251" i="2" s="1"/>
  <c r="H249" i="2" a="1"/>
  <c r="H249" i="2" s="1"/>
  <c r="I249" i="2" a="1"/>
  <c r="I249" i="2" s="1"/>
  <c r="K250" i="2" a="1"/>
  <c r="K250" i="2" s="1"/>
  <c r="H253" i="2" a="1"/>
  <c r="H253" i="2" s="1"/>
  <c r="C250" i="2" a="1"/>
  <c r="C250" i="2" s="1"/>
  <c r="I253" i="2" a="1"/>
  <c r="I253" i="2" s="1"/>
  <c r="I251" i="2" a="1"/>
  <c r="I251" i="2" s="1"/>
  <c r="F250" i="2" a="1"/>
  <c r="F250" i="2" s="1"/>
  <c r="C253" i="2" a="1"/>
  <c r="C253" i="2" s="1"/>
  <c r="H250" i="2" a="1"/>
  <c r="H250" i="2" s="1"/>
  <c r="I252" i="2" a="1"/>
  <c r="I252" i="2" s="1"/>
  <c r="A252" i="2" a="1"/>
  <c r="A252" i="2" s="1"/>
  <c r="A249" i="2" a="1"/>
  <c r="A249" i="2" s="1"/>
  <c r="K253" i="2" a="1"/>
  <c r="K253" i="2" s="1"/>
  <c r="K249" i="2" a="1"/>
  <c r="K249" i="2" s="1"/>
  <c r="F252" i="2" a="1"/>
  <c r="F252" i="2" s="1"/>
  <c r="C249" i="2" a="1"/>
  <c r="C249" i="2" s="1"/>
  <c r="K252" i="2" a="1"/>
  <c r="K252" i="2" s="1"/>
  <c r="A250" i="2" a="1"/>
  <c r="A250" i="2" s="1"/>
  <c r="J252" i="2" a="1"/>
  <c r="J252" i="2" s="1"/>
  <c r="J250" i="2" a="1"/>
  <c r="J250" i="2" s="1"/>
  <c r="K251" i="2" a="1"/>
  <c r="K251" i="2" s="1"/>
  <c r="F249" i="2" a="1"/>
  <c r="F249" i="2" s="1"/>
  <c r="J253" i="2" a="1"/>
  <c r="J253" i="2" s="1"/>
  <c r="A253" i="2" a="1"/>
  <c r="A253" i="2" s="1"/>
  <c r="J249" i="2" a="1"/>
  <c r="J249" i="2" s="1"/>
  <c r="F253" i="2" a="1"/>
  <c r="F253" i="2" s="1"/>
  <c r="I243" i="2" a="1"/>
  <c r="I243" i="2" s="1"/>
  <c r="C244" i="2" a="1"/>
  <c r="C244" i="2" s="1"/>
  <c r="A245" i="2" a="1"/>
  <c r="A245" i="2" s="1"/>
  <c r="I244" i="2" a="1"/>
  <c r="I244" i="2" s="1"/>
  <c r="K244" i="2" a="1"/>
  <c r="K244" i="2" s="1"/>
  <c r="I242" i="2" a="1"/>
  <c r="I242" i="2" s="1"/>
  <c r="K242" i="2" a="1"/>
  <c r="K242" i="2" s="1"/>
  <c r="A243" i="2" a="1"/>
  <c r="A243" i="2" s="1"/>
  <c r="H244" i="2" a="1"/>
  <c r="H244" i="2" s="1"/>
  <c r="I246" i="2" a="1"/>
  <c r="I246" i="2" s="1"/>
  <c r="C246" i="2" a="1"/>
  <c r="C246" i="2" s="1"/>
  <c r="C243" i="2" a="1"/>
  <c r="C243" i="2" s="1"/>
  <c r="H245" i="2" a="1"/>
  <c r="H245" i="2" s="1"/>
  <c r="J242" i="2" a="1"/>
  <c r="J242" i="2" s="1"/>
  <c r="C242" i="2" a="1"/>
  <c r="C242" i="2" s="1"/>
  <c r="F244" i="2" a="1"/>
  <c r="F244" i="2" s="1"/>
  <c r="F242" i="2" a="1"/>
  <c r="F242" i="2" s="1"/>
  <c r="I245" i="2" a="1"/>
  <c r="I245" i="2" s="1"/>
  <c r="F246" i="2" a="1"/>
  <c r="F246" i="2" s="1"/>
  <c r="K245" i="2" a="1"/>
  <c r="K245" i="2" s="1"/>
  <c r="J244" i="2" a="1"/>
  <c r="J244" i="2" s="1"/>
  <c r="H246" i="2" a="1"/>
  <c r="H246" i="2" s="1"/>
  <c r="J246" i="2" a="1"/>
  <c r="J246" i="2" s="1"/>
  <c r="F243" i="2" a="1"/>
  <c r="F243" i="2" s="1"/>
  <c r="K243" i="2" a="1"/>
  <c r="K243" i="2" s="1"/>
  <c r="K246" i="2" a="1"/>
  <c r="K246" i="2" s="1"/>
  <c r="J243" i="2" a="1"/>
  <c r="J243" i="2" s="1"/>
  <c r="A244" i="2" a="1"/>
  <c r="A244" i="2" s="1"/>
  <c r="J245" i="2" a="1"/>
  <c r="J245" i="2" s="1"/>
  <c r="H243" i="2" a="1"/>
  <c r="H243" i="2" s="1"/>
  <c r="F245" i="2" a="1"/>
  <c r="F245" i="2" s="1"/>
  <c r="A246" i="2" a="1"/>
  <c r="A246" i="2" s="1"/>
  <c r="H242" i="2" a="1"/>
  <c r="H242" i="2" s="1"/>
  <c r="A242" i="2" a="1"/>
  <c r="A242" i="2" s="1"/>
  <c r="C245" i="2" a="1"/>
  <c r="C245" i="2" s="1"/>
  <c r="K1178" i="2"/>
  <c r="R49" i="17" s="1"/>
  <c r="N1181" i="2"/>
  <c r="AD52" i="17" s="1"/>
  <c r="J1179" i="2"/>
  <c r="C50" i="17" s="1"/>
  <c r="L1179" i="2"/>
  <c r="Z50" i="17" s="1"/>
  <c r="O1180" i="2"/>
  <c r="AE51" i="17" s="1"/>
  <c r="K1180" i="2"/>
  <c r="R51" i="17" s="1"/>
  <c r="I1178" i="2"/>
  <c r="J49" i="17" s="1"/>
  <c r="O1178" i="2"/>
  <c r="J1181" i="2"/>
  <c r="C52" i="17" s="1"/>
  <c r="N1183" i="2"/>
  <c r="I1180" i="2"/>
  <c r="J51" i="17" s="1"/>
  <c r="K1182" i="2"/>
  <c r="R53" i="17" s="1"/>
  <c r="K1179" i="2"/>
  <c r="R50" i="17" s="1"/>
  <c r="M1181" i="2"/>
  <c r="AC52" i="17" s="1"/>
  <c r="N1179" i="2"/>
  <c r="AD50" i="17" s="1"/>
  <c r="I1183" i="2"/>
  <c r="O1179" i="2"/>
  <c r="AE50" i="17" s="1"/>
  <c r="L1183" i="2"/>
  <c r="K1183" i="2"/>
  <c r="L1181" i="2"/>
  <c r="Z52" i="17" s="1"/>
  <c r="K1181" i="2"/>
  <c r="R52" i="17" s="1"/>
  <c r="N1180" i="2"/>
  <c r="AD51" i="17" s="1"/>
  <c r="O1183" i="2"/>
  <c r="M1183" i="2"/>
  <c r="N1182" i="2"/>
  <c r="AD53" i="17" s="1"/>
  <c r="O1181" i="2"/>
  <c r="AE52" i="17" s="1"/>
  <c r="J1178" i="2"/>
  <c r="C49" i="17" s="1"/>
  <c r="L1180" i="2"/>
  <c r="Z51" i="17" s="1"/>
  <c r="J1183" i="2"/>
  <c r="I1179" i="2"/>
  <c r="J50" i="17" s="1"/>
  <c r="I1181" i="2"/>
  <c r="J52" i="17" s="1"/>
  <c r="N1178" i="2"/>
  <c r="AD49" i="17" s="1"/>
  <c r="J1180" i="2"/>
  <c r="C51" i="17" s="1"/>
  <c r="M1179" i="2"/>
  <c r="AC50" i="17" s="1"/>
  <c r="L1178" i="2"/>
  <c r="Z49" i="17" s="1"/>
  <c r="M1180" i="2"/>
  <c r="AC51" i="17" s="1"/>
  <c r="M1182" i="2"/>
  <c r="AC53" i="17" s="1"/>
  <c r="O1182" i="2"/>
  <c r="AE53" i="17" s="1"/>
  <c r="L1182" i="2"/>
  <c r="Z53" i="17" s="1"/>
  <c r="M1178" i="2"/>
  <c r="AC49" i="17" s="1"/>
  <c r="J1182" i="2"/>
  <c r="C53" i="17" s="1"/>
  <c r="I1182" i="2"/>
  <c r="J53" i="17" s="1"/>
  <c r="K1628" i="2"/>
  <c r="L1628" i="2" s="1"/>
  <c r="K1630" i="2"/>
  <c r="L1630" i="2" s="1"/>
  <c r="K1619" i="2"/>
  <c r="L1619" i="2" s="1"/>
  <c r="K1629" i="2"/>
  <c r="L1629" i="2" s="1"/>
  <c r="K1626" i="2"/>
  <c r="L1626" i="2" s="1"/>
  <c r="K1625" i="2"/>
  <c r="L1625" i="2" s="1"/>
  <c r="K1627" i="2"/>
  <c r="L1627" i="2" s="1"/>
  <c r="K1623" i="2"/>
  <c r="L1623" i="2" s="1"/>
  <c r="K1624" i="2"/>
  <c r="L1624" i="2" s="1"/>
  <c r="AI1484" i="2" l="1"/>
  <c r="AQ1484" i="2"/>
  <c r="AY1484" i="2" s="1"/>
  <c r="BG1484" i="2" s="1"/>
  <c r="AR1474" i="2"/>
  <c r="AZ1474" i="2" s="1"/>
  <c r="BH1474" i="2" s="1"/>
  <c r="AJ1474" i="2"/>
  <c r="O1481" i="2"/>
  <c r="P110" i="20"/>
  <c r="B110" i="20" s="1"/>
  <c r="P1402" i="2" s="1"/>
  <c r="B1743" i="2" s="1"/>
  <c r="BK1743" i="2" s="1"/>
  <c r="P117" i="20"/>
  <c r="B117" i="20" s="1"/>
  <c r="P1409" i="2" s="1"/>
  <c r="B1750" i="2" s="1"/>
  <c r="BK1750" i="2" s="1"/>
  <c r="P121" i="20"/>
  <c r="B121" i="20" s="1"/>
  <c r="P1413" i="2" s="1"/>
  <c r="B1754" i="2" s="1"/>
  <c r="BK1754" i="2" s="1"/>
  <c r="P105" i="20"/>
  <c r="B105" i="20" s="1"/>
  <c r="P1397" i="2" s="1"/>
  <c r="B1738" i="2" s="1"/>
  <c r="BK1738" i="2" s="1"/>
  <c r="P100" i="20"/>
  <c r="B100" i="20" s="1"/>
  <c r="P1392" i="2" s="1"/>
  <c r="B1733" i="2" s="1"/>
  <c r="BK1733" i="2" s="1"/>
  <c r="P101" i="20"/>
  <c r="B101" i="20" s="1"/>
  <c r="P1393" i="2" s="1"/>
  <c r="B1734" i="2" s="1"/>
  <c r="BK1734" i="2" s="1"/>
  <c r="P107" i="20"/>
  <c r="B107" i="20" s="1"/>
  <c r="P1399" i="2" s="1"/>
  <c r="B1740" i="2" s="1"/>
  <c r="BK1740" i="2" s="1"/>
  <c r="P123" i="20"/>
  <c r="B123" i="20" s="1"/>
  <c r="P1415" i="2" s="1"/>
  <c r="P108" i="20"/>
  <c r="B108" i="20" s="1"/>
  <c r="P1400" i="2" s="1"/>
  <c r="B1741" i="2" s="1"/>
  <c r="BK1741" i="2" s="1"/>
  <c r="P118" i="20"/>
  <c r="B118" i="20" s="1"/>
  <c r="P1410" i="2" s="1"/>
  <c r="B1751" i="2" s="1"/>
  <c r="BK1751" i="2" s="1"/>
  <c r="P103" i="20"/>
  <c r="B103" i="20" s="1"/>
  <c r="P1395" i="2" s="1"/>
  <c r="P114" i="20"/>
  <c r="B114" i="20" s="1"/>
  <c r="P1406" i="2" s="1"/>
  <c r="B1747" i="2" s="1"/>
  <c r="BK1747" i="2" s="1"/>
  <c r="P122" i="20"/>
  <c r="B122" i="20" s="1"/>
  <c r="P1414" i="2" s="1"/>
  <c r="B1755" i="2" s="1"/>
  <c r="BK1755" i="2" s="1"/>
  <c r="P125" i="20"/>
  <c r="B125" i="20" s="1"/>
  <c r="P1417" i="2" s="1"/>
  <c r="B1758" i="2" s="1"/>
  <c r="BK1758" i="2" s="1"/>
  <c r="P116" i="20"/>
  <c r="B116" i="20" s="1"/>
  <c r="P1408" i="2" s="1"/>
  <c r="B1749" i="2" s="1"/>
  <c r="BK1749" i="2" s="1"/>
  <c r="P113" i="20"/>
  <c r="B113" i="20" s="1"/>
  <c r="P1405" i="2" s="1"/>
  <c r="P120" i="20"/>
  <c r="B120" i="20" s="1"/>
  <c r="P1412" i="2" s="1"/>
  <c r="B1753" i="2" s="1"/>
  <c r="BK1753" i="2" s="1"/>
  <c r="P119" i="20"/>
  <c r="B119" i="20" s="1"/>
  <c r="P1411" i="2" s="1"/>
  <c r="P99" i="20"/>
  <c r="B99" i="20" s="1"/>
  <c r="P1391" i="2" s="1"/>
  <c r="P112" i="20"/>
  <c r="B112" i="20" s="1"/>
  <c r="P1404" i="2" s="1"/>
  <c r="B1745" i="2" s="1"/>
  <c r="BK1745" i="2" s="1"/>
  <c r="P106" i="20"/>
  <c r="B106" i="20" s="1"/>
  <c r="P1398" i="2" s="1"/>
  <c r="B1739" i="2" s="1"/>
  <c r="BK1739" i="2" s="1"/>
  <c r="P111" i="20"/>
  <c r="B111" i="20" s="1"/>
  <c r="P1403" i="2" s="1"/>
  <c r="P104" i="20"/>
  <c r="B104" i="20" s="1"/>
  <c r="P1396" i="2" s="1"/>
  <c r="B1737" i="2" s="1"/>
  <c r="BK1737" i="2" s="1"/>
  <c r="P115" i="20"/>
  <c r="B115" i="20" s="1"/>
  <c r="P1407" i="2" s="1"/>
  <c r="B1748" i="2" s="1"/>
  <c r="BK1748" i="2" s="1"/>
  <c r="P109" i="20"/>
  <c r="B109" i="20" s="1"/>
  <c r="P1401" i="2" s="1"/>
  <c r="B1742" i="2" s="1"/>
  <c r="BK1742" i="2" s="1"/>
  <c r="P124" i="20"/>
  <c r="B124" i="20" s="1"/>
  <c r="P1416" i="2" s="1"/>
  <c r="B1757" i="2" s="1"/>
  <c r="BK1757" i="2" s="1"/>
  <c r="P98" i="20"/>
  <c r="B98" i="20" s="1"/>
  <c r="P1390" i="2" s="1"/>
  <c r="P102" i="20"/>
  <c r="B102" i="20" s="1"/>
  <c r="P1394" i="2" s="1"/>
  <c r="B1735" i="2" s="1"/>
  <c r="BK1735" i="2" s="1"/>
  <c r="N259" i="2"/>
  <c r="Z51" i="1"/>
  <c r="N258" i="2"/>
  <c r="Z50" i="1"/>
  <c r="N257" i="2"/>
  <c r="Z49" i="1"/>
  <c r="Z52" i="1"/>
  <c r="N260" i="2"/>
  <c r="Z48" i="1"/>
  <c r="N256" i="2"/>
  <c r="AE49" i="17"/>
  <c r="O1185" i="2"/>
  <c r="AJ1479" i="2" l="1"/>
  <c r="AR1479" i="2"/>
  <c r="AZ1479" i="2" s="1"/>
  <c r="BH1479" i="2" s="1"/>
  <c r="O1486" i="2"/>
  <c r="B1744" i="2"/>
  <c r="BK1744" i="2" s="1"/>
  <c r="BN1744" i="2" s="1"/>
  <c r="BO1744" i="2" s="1"/>
  <c r="B1731" i="2"/>
  <c r="BK1731" i="2" s="1"/>
  <c r="B1736" i="2"/>
  <c r="BK1736" i="2" s="1"/>
  <c r="BN1736" i="2" s="1"/>
  <c r="BO1736" i="2" s="1"/>
  <c r="B1752" i="2"/>
  <c r="BK1752" i="2" s="1"/>
  <c r="BN1752" i="2" s="1"/>
  <c r="BO1752" i="2" s="1"/>
  <c r="B1756" i="2"/>
  <c r="BK1756" i="2" s="1"/>
  <c r="BN1756" i="2" s="1"/>
  <c r="BO1756" i="2" s="1"/>
  <c r="P1419" i="2" a="1"/>
  <c r="P1419" i="2" s="1"/>
  <c r="O1419" i="2" s="1"/>
  <c r="B1746" i="2"/>
  <c r="BK1746" i="2" s="1"/>
  <c r="BN1746" i="2" s="1"/>
  <c r="BO1746" i="2" s="1"/>
  <c r="N255" i="2"/>
  <c r="O255" i="2" s="1"/>
  <c r="C53" i="1" s="1"/>
  <c r="W1015" i="9"/>
  <c r="W951" i="9"/>
  <c r="W887" i="9"/>
  <c r="W823" i="9"/>
  <c r="W759" i="9"/>
  <c r="W1056" i="9"/>
  <c r="W992" i="9"/>
  <c r="W928" i="9"/>
  <c r="W864" i="9"/>
  <c r="W800" i="9"/>
  <c r="W736" i="9"/>
  <c r="W1073" i="9"/>
  <c r="W1009" i="9"/>
  <c r="W945" i="9"/>
  <c r="W881" i="9"/>
  <c r="W817" i="9"/>
  <c r="W753" i="9"/>
  <c r="W1053" i="9"/>
  <c r="W989" i="9"/>
  <c r="W925" i="9"/>
  <c r="W861" i="9"/>
  <c r="W797" i="9"/>
  <c r="W1002" i="9"/>
  <c r="W874" i="9"/>
  <c r="W740" i="9"/>
  <c r="W661" i="9"/>
  <c r="W597" i="9"/>
  <c r="W533" i="9"/>
  <c r="W469" i="9"/>
  <c r="W405" i="9"/>
  <c r="W341" i="9"/>
  <c r="W277" i="9"/>
  <c r="W213" i="9"/>
  <c r="W151" i="9"/>
  <c r="W89" i="9"/>
  <c r="W29" i="9"/>
  <c r="W1011" i="9"/>
  <c r="W883" i="9"/>
  <c r="W749" i="9"/>
  <c r="W670" i="9"/>
  <c r="W606" i="9"/>
  <c r="W542" i="9"/>
  <c r="W478" i="9"/>
  <c r="W414" i="9"/>
  <c r="W350" i="9"/>
  <c r="W286" i="9"/>
  <c r="W222" i="9"/>
  <c r="W160" i="9"/>
  <c r="W98" i="9"/>
  <c r="W1020" i="9"/>
  <c r="W892" i="9"/>
  <c r="W758" i="9"/>
  <c r="W678" i="9"/>
  <c r="W615" i="9"/>
  <c r="W551" i="9"/>
  <c r="W487" i="9"/>
  <c r="W423" i="9"/>
  <c r="W359" i="9"/>
  <c r="W295" i="9"/>
  <c r="W231" i="9"/>
  <c r="W169" i="9"/>
  <c r="W107" i="9"/>
  <c r="W45" i="9"/>
  <c r="W1044" i="9"/>
  <c r="W916" i="9"/>
  <c r="W788" i="9"/>
  <c r="W706" i="9"/>
  <c r="W635" i="9"/>
  <c r="W571" i="9"/>
  <c r="W507" i="9"/>
  <c r="W443" i="9"/>
  <c r="W379" i="9"/>
  <c r="W315" i="9"/>
  <c r="W251" i="9"/>
  <c r="W189" i="9"/>
  <c r="W127" i="9"/>
  <c r="W65" i="9"/>
  <c r="W3" i="9"/>
  <c r="W846" i="9"/>
  <c r="W632" i="9"/>
  <c r="W504" i="9"/>
  <c r="W376" i="9"/>
  <c r="W248" i="9"/>
  <c r="W124" i="9"/>
  <c r="W1074" i="9"/>
  <c r="W818" i="9"/>
  <c r="W609" i="9"/>
  <c r="W481" i="9"/>
  <c r="W353" i="9"/>
  <c r="W225" i="9"/>
  <c r="W101" i="9"/>
  <c r="W1035" i="9"/>
  <c r="W779" i="9"/>
  <c r="W610" i="9"/>
  <c r="W482" i="9"/>
  <c r="W354" i="9"/>
  <c r="W226" i="9"/>
  <c r="W102" i="9"/>
  <c r="W1030" i="9"/>
  <c r="W774" i="9"/>
  <c r="W660" i="9"/>
  <c r="W532" i="9"/>
  <c r="W404" i="9"/>
  <c r="W276" i="9"/>
  <c r="W150" i="9"/>
  <c r="W28" i="9"/>
  <c r="W656" i="9"/>
  <c r="W400" i="9"/>
  <c r="W146" i="9"/>
  <c r="W473" i="9"/>
  <c r="W713" i="9"/>
  <c r="W827" i="9"/>
  <c r="W490" i="9"/>
  <c r="W234" i="9"/>
  <c r="W1046" i="9"/>
  <c r="W636" i="9"/>
  <c r="W380" i="9"/>
  <c r="W128" i="9"/>
  <c r="W384" i="9"/>
  <c r="W859" i="9"/>
  <c r="W570" i="9"/>
  <c r="W314" i="9"/>
  <c r="W64" i="9"/>
  <c r="W576" i="9"/>
  <c r="W886" i="9"/>
  <c r="W524" i="9"/>
  <c r="W268" i="9"/>
  <c r="W20" i="9"/>
  <c r="W601" i="9"/>
  <c r="W990" i="9"/>
  <c r="W162" i="9"/>
  <c r="W233" i="9"/>
  <c r="W585" i="9"/>
  <c r="W109" i="9"/>
  <c r="W1071" i="9"/>
  <c r="W1007" i="9"/>
  <c r="W943" i="9"/>
  <c r="W879" i="9"/>
  <c r="W815" i="9"/>
  <c r="W751" i="9"/>
  <c r="W1048" i="9"/>
  <c r="W984" i="9"/>
  <c r="W920" i="9"/>
  <c r="W856" i="9"/>
  <c r="W792" i="9"/>
  <c r="W728" i="9"/>
  <c r="W1065" i="9"/>
  <c r="W1001" i="9"/>
  <c r="W937" i="9"/>
  <c r="W873" i="9"/>
  <c r="W809" i="9"/>
  <c r="W745" i="9"/>
  <c r="W1045" i="9"/>
  <c r="W981" i="9"/>
  <c r="W917" i="9"/>
  <c r="W853" i="9"/>
  <c r="W789" i="9"/>
  <c r="W986" i="9"/>
  <c r="W858" i="9"/>
  <c r="W738" i="9"/>
  <c r="W653" i="9"/>
  <c r="W589" i="9"/>
  <c r="W525" i="9"/>
  <c r="W461" i="9"/>
  <c r="W397" i="9"/>
  <c r="W333" i="9"/>
  <c r="W269" i="9"/>
  <c r="W205" i="9"/>
  <c r="W143" i="9"/>
  <c r="W83" i="9"/>
  <c r="W21" i="9"/>
  <c r="W995" i="9"/>
  <c r="W867" i="9"/>
  <c r="W747" i="9"/>
  <c r="W662" i="9"/>
  <c r="W598" i="9"/>
  <c r="W534" i="9"/>
  <c r="W470" i="9"/>
  <c r="W406" i="9"/>
  <c r="W342" i="9"/>
  <c r="W278" i="9"/>
  <c r="W214" i="9"/>
  <c r="W152" i="9"/>
  <c r="W90" i="9"/>
  <c r="W30" i="9"/>
  <c r="W1004" i="9"/>
  <c r="W876" i="9"/>
  <c r="W756" i="9"/>
  <c r="W671" i="9"/>
  <c r="W607" i="9"/>
  <c r="W543" i="9"/>
  <c r="W479" i="9"/>
  <c r="W415" i="9"/>
  <c r="W351" i="9"/>
  <c r="W287" i="9"/>
  <c r="W223" i="9"/>
  <c r="W161" i="9"/>
  <c r="W99" i="9"/>
  <c r="W1028" i="9"/>
  <c r="W900" i="9"/>
  <c r="W772" i="9"/>
  <c r="W693" i="9"/>
  <c r="W627" i="9"/>
  <c r="W563" i="9"/>
  <c r="W499" i="9"/>
  <c r="W435" i="9"/>
  <c r="W371" i="9"/>
  <c r="W307" i="9"/>
  <c r="W243" i="9"/>
  <c r="W181" i="9"/>
  <c r="W119" i="9"/>
  <c r="W57" i="9"/>
  <c r="W1070" i="9"/>
  <c r="W814" i="9"/>
  <c r="W616" i="9"/>
  <c r="W488" i="9"/>
  <c r="W360" i="9"/>
  <c r="W232" i="9"/>
  <c r="W108" i="9"/>
  <c r="W1042" i="9"/>
  <c r="W786" i="9"/>
  <c r="W593" i="9"/>
  <c r="W465" i="9"/>
  <c r="W337" i="9"/>
  <c r="W209" i="9"/>
  <c r="W87" i="9"/>
  <c r="W1003" i="9"/>
  <c r="W748" i="9"/>
  <c r="W594" i="9"/>
  <c r="W466" i="9"/>
  <c r="W338" i="9"/>
  <c r="W210" i="9"/>
  <c r="W998" i="9"/>
  <c r="W766" i="9"/>
  <c r="W644" i="9"/>
  <c r="W516" i="9"/>
  <c r="W388" i="9"/>
  <c r="W260" i="9"/>
  <c r="W136" i="9"/>
  <c r="W12" i="9"/>
  <c r="W624" i="9"/>
  <c r="W368" i="9"/>
  <c r="W116" i="9"/>
  <c r="W441" i="9"/>
  <c r="W672" i="9"/>
  <c r="W750" i="9"/>
  <c r="W458" i="9"/>
  <c r="W202" i="9"/>
  <c r="W982" i="9"/>
  <c r="W604" i="9"/>
  <c r="W348" i="9"/>
  <c r="W96" i="9"/>
  <c r="W288" i="9"/>
  <c r="W795" i="9"/>
  <c r="W538" i="9"/>
  <c r="W282" i="9"/>
  <c r="W34" i="9"/>
  <c r="W448" i="9"/>
  <c r="W822" i="9"/>
  <c r="W492" i="9"/>
  <c r="W236" i="9"/>
  <c r="W930" i="9"/>
  <c r="W537" i="9"/>
  <c r="W926" i="9"/>
  <c r="W100" i="9"/>
  <c r="W834" i="9"/>
  <c r="W329" i="9"/>
  <c r="W649" i="9"/>
  <c r="W1063" i="9"/>
  <c r="W999" i="9"/>
  <c r="W935" i="9"/>
  <c r="W871" i="9"/>
  <c r="W807" i="9"/>
  <c r="W743" i="9"/>
  <c r="W1040" i="9"/>
  <c r="W976" i="9"/>
  <c r="W912" i="9"/>
  <c r="W848" i="9"/>
  <c r="W784" i="9"/>
  <c r="W720" i="9"/>
  <c r="W1057" i="9"/>
  <c r="W993" i="9"/>
  <c r="W929" i="9"/>
  <c r="W865" i="9"/>
  <c r="W801" i="9"/>
  <c r="W737" i="9"/>
  <c r="W1037" i="9"/>
  <c r="W973" i="9"/>
  <c r="W909" i="9"/>
  <c r="W845" i="9"/>
  <c r="W781" i="9"/>
  <c r="W970" i="9"/>
  <c r="W842" i="9"/>
  <c r="W711" i="9"/>
  <c r="W645" i="9"/>
  <c r="W581" i="9"/>
  <c r="W517" i="9"/>
  <c r="W453" i="9"/>
  <c r="W389" i="9"/>
  <c r="W325" i="9"/>
  <c r="W261" i="9"/>
  <c r="W197" i="9"/>
  <c r="W137" i="9"/>
  <c r="W75" i="9"/>
  <c r="W13" i="9"/>
  <c r="W979" i="9"/>
  <c r="W851" i="9"/>
  <c r="W718" i="9"/>
  <c r="W654" i="9"/>
  <c r="W590" i="9"/>
  <c r="W526" i="9"/>
  <c r="W462" i="9"/>
  <c r="W398" i="9"/>
  <c r="W334" i="9"/>
  <c r="W270" i="9"/>
  <c r="W206" i="9"/>
  <c r="W144" i="9"/>
  <c r="W84" i="9"/>
  <c r="W22" i="9"/>
  <c r="W988" i="9"/>
  <c r="W860" i="9"/>
  <c r="W754" i="9"/>
  <c r="W663" i="9"/>
  <c r="W599" i="9"/>
  <c r="W535" i="9"/>
  <c r="W471" i="9"/>
  <c r="W407" i="9"/>
  <c r="W343" i="9"/>
  <c r="W279" i="9"/>
  <c r="W215" i="9"/>
  <c r="W153" i="9"/>
  <c r="W91" i="9"/>
  <c r="W31" i="9"/>
  <c r="W1012" i="9"/>
  <c r="W884" i="9"/>
  <c r="W757" i="9"/>
  <c r="W689" i="9"/>
  <c r="W619" i="9"/>
  <c r="W555" i="9"/>
  <c r="W491" i="9"/>
  <c r="W427" i="9"/>
  <c r="W363" i="9"/>
  <c r="W299" i="9"/>
  <c r="W235" i="9"/>
  <c r="W173" i="9"/>
  <c r="W111" i="9"/>
  <c r="W49" i="9"/>
  <c r="W1038" i="9"/>
  <c r="W782" i="9"/>
  <c r="W600" i="9"/>
  <c r="W472" i="9"/>
  <c r="W344" i="9"/>
  <c r="W216" i="9"/>
  <c r="W92" i="9"/>
  <c r="W1010" i="9"/>
  <c r="W739" i="9"/>
  <c r="W577" i="9"/>
  <c r="W449" i="9"/>
  <c r="W321" i="9"/>
  <c r="W71" i="9"/>
  <c r="W971" i="9"/>
  <c r="W697" i="9"/>
  <c r="W578" i="9"/>
  <c r="W450" i="9"/>
  <c r="W322" i="9"/>
  <c r="W194" i="9"/>
  <c r="W72" i="9"/>
  <c r="W966" i="9"/>
  <c r="W762" i="9"/>
  <c r="W628" i="9"/>
  <c r="W500" i="9"/>
  <c r="W372" i="9"/>
  <c r="W244" i="9"/>
  <c r="W120" i="9"/>
  <c r="W1022" i="9"/>
  <c r="W592" i="9"/>
  <c r="W336" i="9"/>
  <c r="W86" i="9"/>
  <c r="W377" i="9"/>
  <c r="W480" i="9"/>
  <c r="W714" i="9"/>
  <c r="W426" i="9"/>
  <c r="W172" i="9"/>
  <c r="W918" i="9"/>
  <c r="W572" i="9"/>
  <c r="W316" i="9"/>
  <c r="W66" i="9"/>
  <c r="W224" i="9"/>
  <c r="W746" i="9"/>
  <c r="W506" i="9"/>
  <c r="W250" i="9"/>
  <c r="W2" i="9"/>
  <c r="W352" i="9"/>
  <c r="W731" i="9"/>
  <c r="W460" i="9"/>
  <c r="W204" i="9"/>
  <c r="W866" i="9"/>
  <c r="W505" i="9"/>
  <c r="W862" i="9"/>
  <c r="W457" i="9"/>
  <c r="W521" i="9"/>
  <c r="W79" i="9"/>
  <c r="W393" i="9"/>
  <c r="W1055" i="9"/>
  <c r="W991" i="9"/>
  <c r="W927" i="9"/>
  <c r="W863" i="9"/>
  <c r="W799" i="9"/>
  <c r="W735" i="9"/>
  <c r="W1032" i="9"/>
  <c r="W968" i="9"/>
  <c r="W904" i="9"/>
  <c r="W840" i="9"/>
  <c r="W776" i="9"/>
  <c r="W712" i="9"/>
  <c r="W1049" i="9"/>
  <c r="W985" i="9"/>
  <c r="W921" i="9"/>
  <c r="W857" i="9"/>
  <c r="W793" i="9"/>
  <c r="W729" i="9"/>
  <c r="W1029" i="9"/>
  <c r="W965" i="9"/>
  <c r="W901" i="9"/>
  <c r="W837" i="9"/>
  <c r="W773" i="9"/>
  <c r="W954" i="9"/>
  <c r="W826" i="9"/>
  <c r="W707" i="9"/>
  <c r="W637" i="9"/>
  <c r="W573" i="9"/>
  <c r="W509" i="9"/>
  <c r="W445" i="9"/>
  <c r="W381" i="9"/>
  <c r="W317" i="9"/>
  <c r="W253" i="9"/>
  <c r="W191" i="9"/>
  <c r="W1031" i="9"/>
  <c r="W967" i="9"/>
  <c r="W903" i="9"/>
  <c r="W839" i="9"/>
  <c r="W775" i="9"/>
  <c r="W1072" i="9"/>
  <c r="W1008" i="9"/>
  <c r="W944" i="9"/>
  <c r="W880" i="9"/>
  <c r="W816" i="9"/>
  <c r="W752" i="9"/>
  <c r="W688" i="9"/>
  <c r="W1025" i="9"/>
  <c r="W961" i="9"/>
  <c r="W897" i="9"/>
  <c r="W833" i="9"/>
  <c r="W769" i="9"/>
  <c r="W1069" i="9"/>
  <c r="W1005" i="9"/>
  <c r="W941" i="9"/>
  <c r="W877" i="9"/>
  <c r="W813" i="9"/>
  <c r="W1034" i="9"/>
  <c r="W906" i="9"/>
  <c r="W778" i="9"/>
  <c r="W677" i="9"/>
  <c r="W613" i="9"/>
  <c r="W549" i="9"/>
  <c r="W485" i="9"/>
  <c r="W421" i="9"/>
  <c r="W357" i="9"/>
  <c r="W293" i="9"/>
  <c r="W229" i="9"/>
  <c r="W167" i="9"/>
  <c r="W105" i="9"/>
  <c r="W43" i="9"/>
  <c r="W1043" i="9"/>
  <c r="W915" i="9"/>
  <c r="W787" i="9"/>
  <c r="W686" i="9"/>
  <c r="W622" i="9"/>
  <c r="W558" i="9"/>
  <c r="W494" i="9"/>
  <c r="W430" i="9"/>
  <c r="W366" i="9"/>
  <c r="W302" i="9"/>
  <c r="W238" i="9"/>
  <c r="W176" i="9"/>
  <c r="W114" i="9"/>
  <c r="W52" i="9"/>
  <c r="W1052" i="9"/>
  <c r="W924" i="9"/>
  <c r="W796" i="9"/>
  <c r="W695" i="9"/>
  <c r="W631" i="9"/>
  <c r="W567" i="9"/>
  <c r="W503" i="9"/>
  <c r="W439" i="9"/>
  <c r="W375" i="9"/>
  <c r="W311" i="9"/>
  <c r="W247" i="9"/>
  <c r="W185" i="9"/>
  <c r="W123" i="9"/>
  <c r="W61" i="9"/>
  <c r="W1076" i="9"/>
  <c r="W948" i="9"/>
  <c r="W820" i="9"/>
  <c r="W722" i="9"/>
  <c r="W651" i="9"/>
  <c r="W587" i="9"/>
  <c r="W523" i="9"/>
  <c r="W459" i="9"/>
  <c r="W395" i="9"/>
  <c r="W331" i="9"/>
  <c r="W267" i="9"/>
  <c r="W203" i="9"/>
  <c r="W81" i="9"/>
  <c r="W19" i="9"/>
  <c r="W910" i="9"/>
  <c r="W664" i="9"/>
  <c r="W536" i="9"/>
  <c r="W408" i="9"/>
  <c r="W280" i="9"/>
  <c r="W154" i="9"/>
  <c r="W32" i="9"/>
  <c r="W882" i="9"/>
  <c r="W641" i="9"/>
  <c r="W513" i="9"/>
  <c r="W385" i="9"/>
  <c r="W257" i="9"/>
  <c r="W133" i="9"/>
  <c r="W9" i="9"/>
  <c r="W843" i="9"/>
  <c r="W642" i="9"/>
  <c r="W514" i="9"/>
  <c r="W386" i="9"/>
  <c r="W258" i="9"/>
  <c r="W134" i="9"/>
  <c r="W10" i="9"/>
  <c r="W838" i="9"/>
  <c r="W681" i="9"/>
  <c r="W564" i="9"/>
  <c r="W436" i="9"/>
  <c r="W308" i="9"/>
  <c r="W182" i="9"/>
  <c r="W58" i="9"/>
  <c r="W730" i="9"/>
  <c r="W464" i="9"/>
  <c r="W208" i="9"/>
  <c r="W994" i="9"/>
  <c r="W798" i="9"/>
  <c r="W955" i="9"/>
  <c r="W554" i="9"/>
  <c r="W298" i="9"/>
  <c r="W48" i="9"/>
  <c r="W698" i="9"/>
  <c r="W444" i="9"/>
  <c r="W190" i="9"/>
  <c r="W640" i="9"/>
  <c r="W987" i="9"/>
  <c r="W634" i="9"/>
  <c r="W378" i="9"/>
  <c r="W126" i="9"/>
  <c r="W33" i="9"/>
  <c r="W1014" i="9"/>
  <c r="W588" i="9"/>
  <c r="W332" i="9"/>
  <c r="W82" i="9"/>
  <c r="W665" i="9"/>
  <c r="W249" i="9"/>
  <c r="W416" i="9"/>
  <c r="W770" i="9"/>
  <c r="W47" i="9"/>
  <c r="W617" i="9"/>
  <c r="W911" i="9"/>
  <c r="W727" i="9"/>
  <c r="W936" i="9"/>
  <c r="W760" i="9"/>
  <c r="W977" i="9"/>
  <c r="W825" i="9"/>
  <c r="W1013" i="9"/>
  <c r="W829" i="9"/>
  <c r="W890" i="9"/>
  <c r="W621" i="9"/>
  <c r="W437" i="9"/>
  <c r="W285" i="9"/>
  <c r="W121" i="9"/>
  <c r="W1075" i="9"/>
  <c r="W819" i="9"/>
  <c r="W638" i="9"/>
  <c r="W510" i="9"/>
  <c r="W382" i="9"/>
  <c r="W254" i="9"/>
  <c r="W130" i="9"/>
  <c r="W6" i="9"/>
  <c r="W828" i="9"/>
  <c r="W647" i="9"/>
  <c r="W519" i="9"/>
  <c r="W391" i="9"/>
  <c r="W263" i="9"/>
  <c r="W139" i="9"/>
  <c r="W15" i="9"/>
  <c r="W852" i="9"/>
  <c r="W667" i="9"/>
  <c r="W539" i="9"/>
  <c r="W411" i="9"/>
  <c r="W283" i="9"/>
  <c r="W157" i="9"/>
  <c r="W35" i="9"/>
  <c r="W732" i="9"/>
  <c r="W440" i="9"/>
  <c r="W186" i="9"/>
  <c r="W946" i="9"/>
  <c r="W545" i="9"/>
  <c r="W289" i="9"/>
  <c r="W39" i="9"/>
  <c r="W674" i="9"/>
  <c r="W418" i="9"/>
  <c r="W164" i="9"/>
  <c r="W902" i="9"/>
  <c r="W596" i="9"/>
  <c r="W340" i="9"/>
  <c r="W88" i="9"/>
  <c r="W528" i="9"/>
  <c r="W24" i="9"/>
  <c r="W362" i="9"/>
  <c r="W790" i="9"/>
  <c r="W252" i="9"/>
  <c r="W38" i="9"/>
  <c r="W442" i="9"/>
  <c r="W125" i="9"/>
  <c r="W652" i="9"/>
  <c r="W313" i="9"/>
  <c r="W265" i="9"/>
  <c r="W741" i="9"/>
  <c r="W975" i="9"/>
  <c r="W791" i="9"/>
  <c r="W1000" i="9"/>
  <c r="W824" i="9"/>
  <c r="W1041" i="9"/>
  <c r="W889" i="9"/>
  <c r="W1077" i="9"/>
  <c r="W893" i="9"/>
  <c r="W1018" i="9"/>
  <c r="W690" i="9"/>
  <c r="W501" i="9"/>
  <c r="W349" i="9"/>
  <c r="W175" i="9"/>
  <c r="W51" i="9"/>
  <c r="W931" i="9"/>
  <c r="W699" i="9"/>
  <c r="W566" i="9"/>
  <c r="W438" i="9"/>
  <c r="W310" i="9"/>
  <c r="W184" i="9"/>
  <c r="W60" i="9"/>
  <c r="W940" i="9"/>
  <c r="W708" i="9"/>
  <c r="W575" i="9"/>
  <c r="W447" i="9"/>
  <c r="W319" i="9"/>
  <c r="W193" i="9"/>
  <c r="W69" i="9"/>
  <c r="W964" i="9"/>
  <c r="W724" i="9"/>
  <c r="W595" i="9"/>
  <c r="W339" i="9"/>
  <c r="W211" i="9"/>
  <c r="W942" i="9"/>
  <c r="W552" i="9"/>
  <c r="W296" i="9"/>
  <c r="W46" i="9"/>
  <c r="W657" i="9"/>
  <c r="W401" i="9"/>
  <c r="W147" i="9"/>
  <c r="W875" i="9"/>
  <c r="W274" i="9"/>
  <c r="W26" i="9"/>
  <c r="W452" i="9"/>
  <c r="W240" i="9"/>
  <c r="W586" i="9"/>
  <c r="W1054" i="9"/>
  <c r="W1078" i="9"/>
  <c r="W679" i="9"/>
  <c r="W171" i="9"/>
  <c r="W1047" i="9"/>
  <c r="W895" i="9"/>
  <c r="W719" i="9"/>
  <c r="W896" i="9"/>
  <c r="W744" i="9"/>
  <c r="W969" i="9"/>
  <c r="W785" i="9"/>
  <c r="W997" i="9"/>
  <c r="W821" i="9"/>
  <c r="W810" i="9"/>
  <c r="W605" i="9"/>
  <c r="W429" i="9"/>
  <c r="W245" i="9"/>
  <c r="W113" i="9"/>
  <c r="W1059" i="9"/>
  <c r="W803" i="9"/>
  <c r="W630" i="9"/>
  <c r="W502" i="9"/>
  <c r="W374" i="9"/>
  <c r="W246" i="9"/>
  <c r="W122" i="9"/>
  <c r="W1068" i="9"/>
  <c r="W812" i="9"/>
  <c r="W639" i="9"/>
  <c r="W511" i="9"/>
  <c r="W383" i="9"/>
  <c r="W255" i="9"/>
  <c r="W131" i="9"/>
  <c r="W7" i="9"/>
  <c r="W836" i="9"/>
  <c r="W659" i="9"/>
  <c r="W531" i="9"/>
  <c r="W403" i="9"/>
  <c r="W275" i="9"/>
  <c r="W149" i="9"/>
  <c r="W27" i="9"/>
  <c r="W683" i="9"/>
  <c r="W424" i="9"/>
  <c r="W170" i="9"/>
  <c r="W914" i="9"/>
  <c r="W529" i="9"/>
  <c r="W273" i="9"/>
  <c r="W25" i="9"/>
  <c r="W658" i="9"/>
  <c r="W402" i="9"/>
  <c r="W148" i="9"/>
  <c r="W870" i="9"/>
  <c r="W580" i="9"/>
  <c r="W324" i="9"/>
  <c r="W74" i="9"/>
  <c r="W496" i="9"/>
  <c r="W1058" i="9"/>
  <c r="W1019" i="9"/>
  <c r="W330" i="9"/>
  <c r="W764" i="9"/>
  <c r="W220" i="9"/>
  <c r="W1051" i="9"/>
  <c r="W410" i="9"/>
  <c r="W63" i="9"/>
  <c r="W620" i="9"/>
  <c r="W112" i="9"/>
  <c r="W281" i="9"/>
  <c r="W553" i="9"/>
  <c r="W692" i="9"/>
  <c r="W963" i="9"/>
  <c r="W483" i="9"/>
  <c r="W584" i="9"/>
  <c r="W709" i="9"/>
  <c r="W179" i="9"/>
  <c r="W562" i="9"/>
  <c r="W56" i="9"/>
  <c r="W484" i="9"/>
  <c r="W958" i="9"/>
  <c r="W217" i="9"/>
  <c r="W142" i="9"/>
  <c r="W36" i="9"/>
  <c r="W218" i="9"/>
  <c r="W132" i="9"/>
  <c r="W802" i="9"/>
  <c r="W17" i="9"/>
  <c r="W1039" i="9"/>
  <c r="W855" i="9"/>
  <c r="W1064" i="9"/>
  <c r="W888" i="9"/>
  <c r="W704" i="9"/>
  <c r="W953" i="9"/>
  <c r="W777" i="9"/>
  <c r="W957" i="9"/>
  <c r="W805" i="9"/>
  <c r="W794" i="9"/>
  <c r="W565" i="9"/>
  <c r="W413" i="9"/>
  <c r="W237" i="9"/>
  <c r="W97" i="9"/>
  <c r="W1027" i="9"/>
  <c r="W771" i="9"/>
  <c r="W614" i="9"/>
  <c r="W486" i="9"/>
  <c r="W358" i="9"/>
  <c r="W230" i="9"/>
  <c r="W106" i="9"/>
  <c r="W1036" i="9"/>
  <c r="W780" i="9"/>
  <c r="W623" i="9"/>
  <c r="W495" i="9"/>
  <c r="W367" i="9"/>
  <c r="W239" i="9"/>
  <c r="W115" i="9"/>
  <c r="W1060" i="9"/>
  <c r="W804" i="9"/>
  <c r="W643" i="9"/>
  <c r="W515" i="9"/>
  <c r="W387" i="9"/>
  <c r="W259" i="9"/>
  <c r="W135" i="9"/>
  <c r="W11" i="9"/>
  <c r="W648" i="9"/>
  <c r="W392" i="9"/>
  <c r="W140" i="9"/>
  <c r="W850" i="9"/>
  <c r="W497" i="9"/>
  <c r="W241" i="9"/>
  <c r="W1067" i="9"/>
  <c r="W626" i="9"/>
  <c r="W370" i="9"/>
  <c r="W118" i="9"/>
  <c r="W806" i="9"/>
  <c r="W548" i="9"/>
  <c r="W292" i="9"/>
  <c r="W42" i="9"/>
  <c r="W432" i="9"/>
  <c r="W569" i="9"/>
  <c r="W891" i="9"/>
  <c r="W266" i="9"/>
  <c r="W668" i="9"/>
  <c r="W158" i="9"/>
  <c r="W923" i="9"/>
  <c r="W346" i="9"/>
  <c r="W734" i="9"/>
  <c r="W556" i="9"/>
  <c r="W50" i="9"/>
  <c r="W93" i="9"/>
  <c r="W489" i="9"/>
  <c r="W361" i="9"/>
  <c r="W1023" i="9"/>
  <c r="W847" i="9"/>
  <c r="W1024" i="9"/>
  <c r="W872" i="9"/>
  <c r="W696" i="9"/>
  <c r="W913" i="9"/>
  <c r="W761" i="9"/>
  <c r="W949" i="9"/>
  <c r="W1066" i="9"/>
  <c r="W742" i="9"/>
  <c r="W557" i="9"/>
  <c r="W373" i="9"/>
  <c r="W221" i="9"/>
  <c r="W67" i="9"/>
  <c r="W716" i="9"/>
  <c r="W582" i="9"/>
  <c r="W454" i="9"/>
  <c r="W326" i="9"/>
  <c r="W198" i="9"/>
  <c r="W76" i="9"/>
  <c r="W972" i="9"/>
  <c r="W725" i="9"/>
  <c r="W591" i="9"/>
  <c r="W463" i="9"/>
  <c r="W335" i="9"/>
  <c r="W207" i="9"/>
  <c r="W85" i="9"/>
  <c r="W996" i="9"/>
  <c r="W755" i="9"/>
  <c r="W611" i="9"/>
  <c r="W355" i="9"/>
  <c r="W227" i="9"/>
  <c r="W103" i="9"/>
  <c r="W1006" i="9"/>
  <c r="W328" i="9"/>
  <c r="W78" i="9"/>
  <c r="W433" i="9"/>
  <c r="W939" i="9"/>
  <c r="W306" i="9"/>
  <c r="W733" i="9"/>
  <c r="W228" i="9"/>
  <c r="W304" i="9"/>
  <c r="W650" i="9"/>
  <c r="W540" i="9"/>
  <c r="W717" i="9"/>
  <c r="W428" i="9"/>
  <c r="W687" i="9"/>
  <c r="W141" i="9"/>
  <c r="W983" i="9"/>
  <c r="W831" i="9"/>
  <c r="W1016" i="9"/>
  <c r="W832" i="9"/>
  <c r="W680" i="9"/>
  <c r="W905" i="9"/>
  <c r="W721" i="9"/>
  <c r="W933" i="9"/>
  <c r="W1050" i="9"/>
  <c r="W694" i="9"/>
  <c r="W541" i="9"/>
  <c r="W365" i="9"/>
  <c r="W183" i="9"/>
  <c r="W59" i="9"/>
  <c r="W947" i="9"/>
  <c r="W703" i="9"/>
  <c r="W574" i="9"/>
  <c r="W446" i="9"/>
  <c r="W318" i="9"/>
  <c r="W192" i="9"/>
  <c r="W68" i="9"/>
  <c r="W956" i="9"/>
  <c r="W723" i="9"/>
  <c r="W583" i="9"/>
  <c r="W455" i="9"/>
  <c r="W327" i="9"/>
  <c r="W199" i="9"/>
  <c r="W77" i="9"/>
  <c r="W980" i="9"/>
  <c r="W726" i="9"/>
  <c r="W603" i="9"/>
  <c r="W475" i="9"/>
  <c r="W347" i="9"/>
  <c r="W219" i="9"/>
  <c r="W95" i="9"/>
  <c r="W974" i="9"/>
  <c r="W568" i="9"/>
  <c r="W312" i="9"/>
  <c r="W62" i="9"/>
  <c r="W673" i="9"/>
  <c r="W417" i="9"/>
  <c r="W163" i="9"/>
  <c r="W907" i="9"/>
  <c r="W546" i="9"/>
  <c r="W290" i="9"/>
  <c r="W40" i="9"/>
  <c r="W715" i="9"/>
  <c r="W468" i="9"/>
  <c r="W212" i="9"/>
  <c r="W894" i="9"/>
  <c r="W272" i="9"/>
  <c r="W187" i="9"/>
  <c r="W618" i="9"/>
  <c r="W110" i="9"/>
  <c r="W508" i="9"/>
  <c r="W4" i="9"/>
  <c r="W701" i="9"/>
  <c r="W188" i="9"/>
  <c r="W8" i="9"/>
  <c r="W396" i="9"/>
  <c r="W705" i="9"/>
  <c r="W608" i="9"/>
  <c r="W898" i="9"/>
  <c r="W425" i="9"/>
  <c r="W467" i="9"/>
  <c r="W530" i="9"/>
  <c r="W702" i="9"/>
  <c r="W196" i="9"/>
  <c r="W830" i="9"/>
  <c r="W155" i="9"/>
  <c r="W80" i="9"/>
  <c r="W476" i="9"/>
  <c r="W666" i="9"/>
  <c r="W156" i="9"/>
  <c r="W364" i="9"/>
  <c r="W544" i="9"/>
  <c r="W297" i="9"/>
  <c r="W959" i="9"/>
  <c r="W783" i="9"/>
  <c r="W960" i="9"/>
  <c r="W808" i="9"/>
  <c r="W1033" i="9"/>
  <c r="W849" i="9"/>
  <c r="W1061" i="9"/>
  <c r="W885" i="9"/>
  <c r="W938" i="9"/>
  <c r="W669" i="9"/>
  <c r="W493" i="9"/>
  <c r="W309" i="9"/>
  <c r="W159" i="9"/>
  <c r="W37" i="9"/>
  <c r="W899" i="9"/>
  <c r="W682" i="9"/>
  <c r="W550" i="9"/>
  <c r="W422" i="9"/>
  <c r="W294" i="9"/>
  <c r="W168" i="9"/>
  <c r="W44" i="9"/>
  <c r="W908" i="9"/>
  <c r="W691" i="9"/>
  <c r="W559" i="9"/>
  <c r="W431" i="9"/>
  <c r="W303" i="9"/>
  <c r="W177" i="9"/>
  <c r="W53" i="9"/>
  <c r="W932" i="9"/>
  <c r="W710" i="9"/>
  <c r="W579" i="9"/>
  <c r="W451" i="9"/>
  <c r="W323" i="9"/>
  <c r="W195" i="9"/>
  <c r="W73" i="9"/>
  <c r="W878" i="9"/>
  <c r="W520" i="9"/>
  <c r="W264" i="9"/>
  <c r="W16" i="9"/>
  <c r="W625" i="9"/>
  <c r="W369" i="9"/>
  <c r="W117" i="9"/>
  <c r="W811" i="9"/>
  <c r="W498" i="9"/>
  <c r="W242" i="9"/>
  <c r="W1062" i="9"/>
  <c r="W676" i="9"/>
  <c r="W420" i="9"/>
  <c r="W166" i="9"/>
  <c r="W700" i="9"/>
  <c r="W178" i="9"/>
  <c r="W763" i="9"/>
  <c r="W522" i="9"/>
  <c r="W18" i="9"/>
  <c r="W412" i="9"/>
  <c r="W512" i="9"/>
  <c r="W602" i="9"/>
  <c r="W94" i="9"/>
  <c r="W950" i="9"/>
  <c r="W300" i="9"/>
  <c r="W633" i="9"/>
  <c r="W256" i="9"/>
  <c r="W962" i="9"/>
  <c r="W919" i="9"/>
  <c r="W767" i="9"/>
  <c r="W952" i="9"/>
  <c r="W768" i="9"/>
  <c r="W1017" i="9"/>
  <c r="W841" i="9"/>
  <c r="W1021" i="9"/>
  <c r="W869" i="9"/>
  <c r="W922" i="9"/>
  <c r="W629" i="9"/>
  <c r="W477" i="9"/>
  <c r="W301" i="9"/>
  <c r="W129" i="9"/>
  <c r="W5" i="9"/>
  <c r="W835" i="9"/>
  <c r="W646" i="9"/>
  <c r="W518" i="9"/>
  <c r="W390" i="9"/>
  <c r="W262" i="9"/>
  <c r="W138" i="9"/>
  <c r="W14" i="9"/>
  <c r="W844" i="9"/>
  <c r="W655" i="9"/>
  <c r="W527" i="9"/>
  <c r="W399" i="9"/>
  <c r="W271" i="9"/>
  <c r="W145" i="9"/>
  <c r="W23" i="9"/>
  <c r="W868" i="9"/>
  <c r="W675" i="9"/>
  <c r="W547" i="9"/>
  <c r="W419" i="9"/>
  <c r="W291" i="9"/>
  <c r="W165" i="9"/>
  <c r="W41" i="9"/>
  <c r="W765" i="9"/>
  <c r="W456" i="9"/>
  <c r="W200" i="9"/>
  <c r="W978" i="9"/>
  <c r="W561" i="9"/>
  <c r="W305" i="9"/>
  <c r="W55" i="9"/>
  <c r="W684" i="9"/>
  <c r="W434" i="9"/>
  <c r="W180" i="9"/>
  <c r="W934" i="9"/>
  <c r="W612" i="9"/>
  <c r="W356" i="9"/>
  <c r="W104" i="9"/>
  <c r="W560" i="9"/>
  <c r="W54" i="9"/>
  <c r="W320" i="9"/>
  <c r="W394" i="9"/>
  <c r="W854" i="9"/>
  <c r="W284" i="9"/>
  <c r="W70" i="9"/>
  <c r="W474" i="9"/>
  <c r="W409" i="9"/>
  <c r="W685" i="9"/>
  <c r="W174" i="9"/>
  <c r="W345" i="9"/>
  <c r="W201" i="9"/>
  <c r="W1026" i="9"/>
  <c r="BP1751" i="2"/>
  <c r="BQ1751" i="2" s="1"/>
  <c r="BL1751" i="2"/>
  <c r="BM1751" i="2" s="1"/>
  <c r="BN1751" i="2"/>
  <c r="BO1751" i="2" s="1"/>
  <c r="BL1742" i="2"/>
  <c r="BM1742" i="2" s="1"/>
  <c r="BN1742" i="2"/>
  <c r="BO1742" i="2" s="1"/>
  <c r="BP1742" i="2"/>
  <c r="BQ1742" i="2" s="1"/>
  <c r="BN1754" i="2"/>
  <c r="BO1754" i="2" s="1"/>
  <c r="BP1754" i="2"/>
  <c r="BQ1754" i="2" s="1"/>
  <c r="BL1754" i="2"/>
  <c r="BM1754" i="2" s="1"/>
  <c r="BN1733" i="2"/>
  <c r="BO1733" i="2" s="1"/>
  <c r="BL1733" i="2"/>
  <c r="BM1733" i="2" s="1"/>
  <c r="BP1733" i="2"/>
  <c r="BQ1733" i="2" s="1"/>
  <c r="BL1745" i="2"/>
  <c r="BM1745" i="2" s="1"/>
  <c r="BP1745" i="2"/>
  <c r="BQ1745" i="2" s="1"/>
  <c r="BN1745" i="2"/>
  <c r="BO1745" i="2" s="1"/>
  <c r="BL1758" i="2"/>
  <c r="BM1758" i="2" s="1"/>
  <c r="BP1758" i="2"/>
  <c r="BQ1758" i="2" s="1"/>
  <c r="BN1758" i="2"/>
  <c r="BO1758" i="2" s="1"/>
  <c r="BN1740" i="2"/>
  <c r="BO1740" i="2" s="1"/>
  <c r="BL1740" i="2"/>
  <c r="BM1740" i="2" s="1"/>
  <c r="BP1740" i="2"/>
  <c r="BQ1740" i="2" s="1"/>
  <c r="BP1757" i="2"/>
  <c r="BQ1757" i="2" s="1"/>
  <c r="BL1757" i="2"/>
  <c r="BM1757" i="2" s="1"/>
  <c r="BN1757" i="2"/>
  <c r="BO1757" i="2" s="1"/>
  <c r="BP1737" i="2"/>
  <c r="BQ1737" i="2" s="1"/>
  <c r="BN1737" i="2"/>
  <c r="BO1737" i="2" s="1"/>
  <c r="BL1737" i="2"/>
  <c r="BM1737" i="2" s="1"/>
  <c r="BP1743" i="2"/>
  <c r="BQ1743" i="2" s="1"/>
  <c r="BN1743" i="2"/>
  <c r="BO1743" i="2" s="1"/>
  <c r="BL1743" i="2"/>
  <c r="BM1743" i="2" s="1"/>
  <c r="BL1753" i="2"/>
  <c r="BM1753" i="2" s="1"/>
  <c r="BN1753" i="2"/>
  <c r="BO1753" i="2" s="1"/>
  <c r="BP1753" i="2"/>
  <c r="BQ1753" i="2" s="1"/>
  <c r="BP1749" i="2"/>
  <c r="BQ1749" i="2" s="1"/>
  <c r="BN1749" i="2"/>
  <c r="BO1749" i="2" s="1"/>
  <c r="BL1749" i="2"/>
  <c r="BM1749" i="2" s="1"/>
  <c r="BP1734" i="2"/>
  <c r="BQ1734" i="2" s="1"/>
  <c r="BN1734" i="2"/>
  <c r="BO1734" i="2" s="1"/>
  <c r="BL1734" i="2"/>
  <c r="BM1734" i="2" s="1"/>
  <c r="BP1750" i="2"/>
  <c r="BQ1750" i="2" s="1"/>
  <c r="BN1750" i="2"/>
  <c r="BO1750" i="2" s="1"/>
  <c r="BL1750" i="2"/>
  <c r="BM1750" i="2" s="1"/>
  <c r="BP1741" i="2"/>
  <c r="BQ1741" i="2" s="1"/>
  <c r="BL1741" i="2"/>
  <c r="BM1741" i="2" s="1"/>
  <c r="BN1741" i="2"/>
  <c r="BO1741" i="2" s="1"/>
  <c r="O1388" i="2"/>
  <c r="B1732" i="2"/>
  <c r="BK1732" i="2" s="1"/>
  <c r="BN1735" i="2"/>
  <c r="BO1735" i="2" s="1"/>
  <c r="BP1735" i="2"/>
  <c r="BQ1735" i="2" s="1"/>
  <c r="BL1735" i="2"/>
  <c r="BM1735" i="2" s="1"/>
  <c r="BN1738" i="2"/>
  <c r="BO1738" i="2" s="1"/>
  <c r="BP1738" i="2"/>
  <c r="BQ1738" i="2" s="1"/>
  <c r="BL1738" i="2"/>
  <c r="BM1738" i="2" s="1"/>
  <c r="BP1747" i="2"/>
  <c r="BQ1747" i="2" s="1"/>
  <c r="BN1747" i="2"/>
  <c r="BO1747" i="2" s="1"/>
  <c r="BL1747" i="2"/>
  <c r="BM1747" i="2" s="1"/>
  <c r="BN1739" i="2"/>
  <c r="BO1739" i="2" s="1"/>
  <c r="BP1739" i="2"/>
  <c r="BQ1739" i="2" s="1"/>
  <c r="BL1739" i="2"/>
  <c r="BM1739" i="2" s="1"/>
  <c r="BL1748" i="2"/>
  <c r="BM1748" i="2" s="1"/>
  <c r="BP1748" i="2"/>
  <c r="BQ1748" i="2" s="1"/>
  <c r="BN1748" i="2"/>
  <c r="BO1748" i="2" s="1"/>
  <c r="BP1755" i="2"/>
  <c r="BQ1755" i="2" s="1"/>
  <c r="BN1755" i="2"/>
  <c r="BO1755" i="2" s="1"/>
  <c r="BL1755" i="2"/>
  <c r="BM1755" i="2" s="1"/>
  <c r="BL1744" i="2" l="1"/>
  <c r="BM1744" i="2" s="1"/>
  <c r="AJ1484" i="2"/>
  <c r="AR1484" i="2"/>
  <c r="AZ1484" i="2" s="1"/>
  <c r="BH1484" i="2" s="1"/>
  <c r="BP1744" i="2"/>
  <c r="BQ1744" i="2" s="1"/>
  <c r="BP1736" i="2"/>
  <c r="BQ1736" i="2" s="1"/>
  <c r="BP1746" i="2"/>
  <c r="BQ1746" i="2" s="1"/>
  <c r="BL1736" i="2"/>
  <c r="BM1736" i="2" s="1"/>
  <c r="BP1752" i="2"/>
  <c r="BQ1752" i="2" s="1"/>
  <c r="BL1746" i="2"/>
  <c r="BM1746" i="2" s="1"/>
  <c r="BL1752" i="2"/>
  <c r="BM1752" i="2" s="1"/>
  <c r="BL1756" i="2"/>
  <c r="BM1756" i="2" s="1"/>
  <c r="BP1756" i="2"/>
  <c r="BQ1756" i="2" s="1"/>
  <c r="AB284" i="9"/>
  <c r="AD284" i="9" s="1"/>
  <c r="AC284" i="9"/>
  <c r="AB835" i="9"/>
  <c r="AD835" i="9" s="1"/>
  <c r="AC835" i="9"/>
  <c r="AB18" i="9"/>
  <c r="AD18" i="9" s="1"/>
  <c r="AC18" i="9"/>
  <c r="AB710" i="9"/>
  <c r="AD710" i="9" s="1"/>
  <c r="AC710" i="9"/>
  <c r="AC849" i="9"/>
  <c r="AB849" i="9"/>
  <c r="AD849" i="9" s="1"/>
  <c r="AB272" i="9"/>
  <c r="AD272" i="9" s="1"/>
  <c r="AC272" i="9"/>
  <c r="AC199" i="9"/>
  <c r="AB199" i="9"/>
  <c r="AD199" i="9" s="1"/>
  <c r="AC1016" i="9"/>
  <c r="AB1016" i="9"/>
  <c r="AD1016" i="9" s="1"/>
  <c r="AB198" i="9"/>
  <c r="AD198" i="9" s="1"/>
  <c r="AC198" i="9"/>
  <c r="AC135" i="9"/>
  <c r="AB135" i="9"/>
  <c r="AD135" i="9" s="1"/>
  <c r="AB565" i="9"/>
  <c r="AD565" i="9" s="1"/>
  <c r="AC565" i="9"/>
  <c r="AB584" i="9"/>
  <c r="AD584" i="9" s="1"/>
  <c r="AC584" i="9"/>
  <c r="AC25" i="9"/>
  <c r="AB25" i="9"/>
  <c r="AD25" i="9" s="1"/>
  <c r="AB605" i="9"/>
  <c r="AD605" i="9" s="1"/>
  <c r="AC605" i="9"/>
  <c r="AB724" i="9"/>
  <c r="AD724" i="9" s="1"/>
  <c r="AC724" i="9"/>
  <c r="AC889" i="9"/>
  <c r="AB889" i="9"/>
  <c r="AD889" i="9" s="1"/>
  <c r="AB164" i="9"/>
  <c r="AD164" i="9" s="1"/>
  <c r="AC164" i="9"/>
  <c r="AC6" i="9"/>
  <c r="AB6" i="9"/>
  <c r="AD6" i="9" s="1"/>
  <c r="AC48" i="9"/>
  <c r="AB48" i="9"/>
  <c r="AD48" i="9" s="1"/>
  <c r="AB280" i="9"/>
  <c r="AD280" i="9" s="1"/>
  <c r="AC280" i="9"/>
  <c r="AC924" i="9"/>
  <c r="AB924" i="9"/>
  <c r="AD924" i="9" s="1"/>
  <c r="AB549" i="9"/>
  <c r="AD549" i="9" s="1"/>
  <c r="AC549" i="9"/>
  <c r="AC837" i="9"/>
  <c r="AB837" i="9"/>
  <c r="AD837" i="9" s="1"/>
  <c r="AC521" i="9"/>
  <c r="AB521" i="9"/>
  <c r="AD521" i="9" s="1"/>
  <c r="AC336" i="9"/>
  <c r="AB336" i="9"/>
  <c r="AD336" i="9" s="1"/>
  <c r="AB92" i="9"/>
  <c r="AD92" i="9" s="1"/>
  <c r="AC92" i="9"/>
  <c r="AC754" i="9"/>
  <c r="AB754" i="9"/>
  <c r="AD754" i="9" s="1"/>
  <c r="AC845" i="9"/>
  <c r="AB845" i="9"/>
  <c r="AD845" i="9" s="1"/>
  <c r="AB604" i="9"/>
  <c r="AD604" i="9" s="1"/>
  <c r="AC604" i="9"/>
  <c r="AB108" i="9"/>
  <c r="AD108" i="9" s="1"/>
  <c r="AC108" i="9"/>
  <c r="AC223" i="9"/>
  <c r="AB223" i="9"/>
  <c r="AD223" i="9" s="1"/>
  <c r="AC995" i="9"/>
  <c r="AB995" i="9"/>
  <c r="AD995" i="9" s="1"/>
  <c r="AC1001" i="9"/>
  <c r="AB1001" i="9"/>
  <c r="AD1001" i="9" s="1"/>
  <c r="AC636" i="9"/>
  <c r="AB636" i="9"/>
  <c r="AD636" i="9" s="1"/>
  <c r="AB1035" i="9"/>
  <c r="AD1035" i="9" s="1"/>
  <c r="AC1035" i="9"/>
  <c r="AC635" i="9"/>
  <c r="AB635" i="9"/>
  <c r="AD635" i="9" s="1"/>
  <c r="AC758" i="9"/>
  <c r="AB758" i="9"/>
  <c r="AD758" i="9" s="1"/>
  <c r="AB1011" i="9"/>
  <c r="AD1011" i="9" s="1"/>
  <c r="AC1011" i="9"/>
  <c r="AB934" i="9"/>
  <c r="AD934" i="9" s="1"/>
  <c r="AC934" i="9"/>
  <c r="AC844" i="9"/>
  <c r="AB844" i="9"/>
  <c r="AD844" i="9" s="1"/>
  <c r="AC522" i="9"/>
  <c r="AB522" i="9"/>
  <c r="AD522" i="9" s="1"/>
  <c r="AB44" i="9"/>
  <c r="AD44" i="9" s="1"/>
  <c r="AC44" i="9"/>
  <c r="AB156" i="9"/>
  <c r="AD156" i="9" s="1"/>
  <c r="AC156" i="9"/>
  <c r="AC894" i="9"/>
  <c r="AB894" i="9"/>
  <c r="AD894" i="9" s="1"/>
  <c r="AB446" i="9"/>
  <c r="AD446" i="9" s="1"/>
  <c r="AC446" i="9"/>
  <c r="AC304" i="9"/>
  <c r="AB304" i="9"/>
  <c r="AD304" i="9" s="1"/>
  <c r="AC847" i="9"/>
  <c r="AB847" i="9"/>
  <c r="AD847" i="9" s="1"/>
  <c r="AB42" i="9"/>
  <c r="AD42" i="9" s="1"/>
  <c r="AC42" i="9"/>
  <c r="AB486" i="9"/>
  <c r="AD486" i="9" s="1"/>
  <c r="AC486" i="9"/>
  <c r="AC483" i="9"/>
  <c r="AB483" i="9"/>
  <c r="AD483" i="9" s="1"/>
  <c r="AB502" i="9"/>
  <c r="AD502" i="9" s="1"/>
  <c r="AC502" i="9"/>
  <c r="AC296" i="9"/>
  <c r="AB296" i="9"/>
  <c r="AD296" i="9" s="1"/>
  <c r="AC732" i="9"/>
  <c r="AB732" i="9"/>
  <c r="AD732" i="9" s="1"/>
  <c r="AB267" i="9"/>
  <c r="AD267" i="9" s="1"/>
  <c r="AC267" i="9"/>
  <c r="AC693" i="9"/>
  <c r="AB693" i="9"/>
  <c r="AD693" i="9" s="1"/>
  <c r="AC560" i="9"/>
  <c r="AB560" i="9"/>
  <c r="AD560" i="9" s="1"/>
  <c r="AC165" i="9"/>
  <c r="AB165" i="9"/>
  <c r="AD165" i="9" s="1"/>
  <c r="AB390" i="9"/>
  <c r="AD390" i="9" s="1"/>
  <c r="AC390" i="9"/>
  <c r="AB767" i="9"/>
  <c r="AD767" i="9" s="1"/>
  <c r="AC767" i="9"/>
  <c r="AB166" i="9"/>
  <c r="AD166" i="9" s="1"/>
  <c r="AC166" i="9"/>
  <c r="AB323" i="9"/>
  <c r="AD323" i="9" s="1"/>
  <c r="AC323" i="9"/>
  <c r="AB550" i="9"/>
  <c r="AD550" i="9" s="1"/>
  <c r="AC550" i="9"/>
  <c r="AB959" i="9"/>
  <c r="AD959" i="9" s="1"/>
  <c r="AC959" i="9"/>
  <c r="AC608" i="9"/>
  <c r="AB608" i="9"/>
  <c r="AD608" i="9" s="1"/>
  <c r="AB40" i="9"/>
  <c r="AD40" i="9" s="1"/>
  <c r="AC40" i="9"/>
  <c r="AB726" i="9"/>
  <c r="AD726" i="9" s="1"/>
  <c r="AC726" i="9"/>
  <c r="AB59" i="9"/>
  <c r="AD59" i="9" s="1"/>
  <c r="AC59" i="9"/>
  <c r="AB428" i="9"/>
  <c r="AD428" i="9" s="1"/>
  <c r="AC428" i="9"/>
  <c r="AC611" i="9"/>
  <c r="AB611" i="9"/>
  <c r="AD611" i="9" s="1"/>
  <c r="AB67" i="9"/>
  <c r="AD67" i="9" s="1"/>
  <c r="AC67" i="9"/>
  <c r="AC93" i="9"/>
  <c r="AB93" i="9"/>
  <c r="AD93" i="9" s="1"/>
  <c r="AC118" i="9"/>
  <c r="AB118" i="9"/>
  <c r="AD118" i="9" s="1"/>
  <c r="AC804" i="9"/>
  <c r="AB804" i="9"/>
  <c r="AD804" i="9" s="1"/>
  <c r="AB97" i="9"/>
  <c r="AD97" i="9" s="1"/>
  <c r="AC97" i="9"/>
  <c r="AC132" i="9"/>
  <c r="AB132" i="9"/>
  <c r="AD132" i="9" s="1"/>
  <c r="AC281" i="9"/>
  <c r="AB281" i="9"/>
  <c r="AD281" i="9" s="1"/>
  <c r="AC148" i="9"/>
  <c r="AB148" i="9"/>
  <c r="AD148" i="9" s="1"/>
  <c r="AC836" i="9"/>
  <c r="AB836" i="9"/>
  <c r="AD836" i="9" s="1"/>
  <c r="AB113" i="9"/>
  <c r="AD113" i="9" s="1"/>
  <c r="AC113" i="9"/>
  <c r="AC969" i="9"/>
  <c r="AB969" i="9"/>
  <c r="AD969" i="9" s="1"/>
  <c r="AB147" i="9"/>
  <c r="AD147" i="9" s="1"/>
  <c r="AC147" i="9"/>
  <c r="AC447" i="9"/>
  <c r="AB447" i="9"/>
  <c r="AD447" i="9" s="1"/>
  <c r="AB1018" i="9"/>
  <c r="AD1018" i="9" s="1"/>
  <c r="AC1018" i="9"/>
  <c r="AC38" i="9"/>
  <c r="AB38" i="9"/>
  <c r="AD38" i="9" s="1"/>
  <c r="AC545" i="9"/>
  <c r="AB545" i="9"/>
  <c r="AD545" i="9" s="1"/>
  <c r="AC519" i="9"/>
  <c r="AB519" i="9"/>
  <c r="AD519" i="9" s="1"/>
  <c r="AC829" i="9"/>
  <c r="AB829" i="9"/>
  <c r="AD829" i="9" s="1"/>
  <c r="AB588" i="9"/>
  <c r="AD588" i="9" s="1"/>
  <c r="AC588" i="9"/>
  <c r="AB994" i="9"/>
  <c r="AD994" i="9" s="1"/>
  <c r="AC994" i="9"/>
  <c r="AC642" i="9"/>
  <c r="AB642" i="9"/>
  <c r="AD642" i="9" s="1"/>
  <c r="AC19" i="9"/>
  <c r="AB19" i="9"/>
  <c r="AD19" i="9" s="1"/>
  <c r="AC123" i="9"/>
  <c r="AB123" i="9"/>
  <c r="AD123" i="9" s="1"/>
  <c r="AC238" i="9"/>
  <c r="AB238" i="9"/>
  <c r="AD238" i="9" s="1"/>
  <c r="AC1034" i="9"/>
  <c r="AB1034" i="9"/>
  <c r="AD1034" i="9" s="1"/>
  <c r="AB1008" i="9"/>
  <c r="AD1008" i="9" s="1"/>
  <c r="AC1008" i="9"/>
  <c r="AB826" i="9"/>
  <c r="AD826" i="9" s="1"/>
  <c r="AC826" i="9"/>
  <c r="AC793" i="9"/>
  <c r="AB793" i="9"/>
  <c r="AD793" i="9" s="1"/>
  <c r="AB1055" i="9"/>
  <c r="AD1055" i="9" s="1"/>
  <c r="AC1055" i="9"/>
  <c r="AB224" i="9"/>
  <c r="AD224" i="9" s="1"/>
  <c r="AC224" i="9"/>
  <c r="AC372" i="9"/>
  <c r="AB372" i="9"/>
  <c r="AD372" i="9" s="1"/>
  <c r="AB577" i="9"/>
  <c r="AD577" i="9" s="1"/>
  <c r="AC577" i="9"/>
  <c r="AB427" i="9"/>
  <c r="AD427" i="9" s="1"/>
  <c r="AC427" i="9"/>
  <c r="AB535" i="9"/>
  <c r="AD535" i="9" s="1"/>
  <c r="AC535" i="9"/>
  <c r="AC654" i="9"/>
  <c r="AB654" i="9"/>
  <c r="AD654" i="9" s="1"/>
  <c r="AC842" i="9"/>
  <c r="AB842" i="9"/>
  <c r="AD842" i="9" s="1"/>
  <c r="AC912" i="9"/>
  <c r="AB912" i="9"/>
  <c r="AD912" i="9" s="1"/>
  <c r="AB236" i="9"/>
  <c r="AD236" i="9" s="1"/>
  <c r="AC236" i="9"/>
  <c r="AC672" i="9"/>
  <c r="AB672" i="9"/>
  <c r="AD672" i="9" s="1"/>
  <c r="AB466" i="9"/>
  <c r="AD466" i="9" s="1"/>
  <c r="AC466" i="9"/>
  <c r="AB814" i="9"/>
  <c r="AD814" i="9" s="1"/>
  <c r="AC814" i="9"/>
  <c r="AB152" i="9"/>
  <c r="AD152" i="9" s="1"/>
  <c r="AC152" i="9"/>
  <c r="AB269" i="9"/>
  <c r="AD269" i="9" s="1"/>
  <c r="AC269" i="9"/>
  <c r="AB809" i="9"/>
  <c r="AD809" i="9" s="1"/>
  <c r="AC809" i="9"/>
  <c r="AC1071" i="9"/>
  <c r="AB1071" i="9"/>
  <c r="AD1071" i="9" s="1"/>
  <c r="AC384" i="9"/>
  <c r="AB384" i="9"/>
  <c r="AD384" i="9" s="1"/>
  <c r="AC482" i="9"/>
  <c r="AB482" i="9"/>
  <c r="AD482" i="9" s="1"/>
  <c r="AB846" i="9"/>
  <c r="AD846" i="9" s="1"/>
  <c r="AC846" i="9"/>
  <c r="AC45" i="9"/>
  <c r="AB45" i="9"/>
  <c r="AD45" i="9" s="1"/>
  <c r="AB160" i="9"/>
  <c r="AD160" i="9" s="1"/>
  <c r="AC160" i="9"/>
  <c r="AB277" i="9"/>
  <c r="AD277" i="9" s="1"/>
  <c r="AC277" i="9"/>
  <c r="AB874" i="9"/>
  <c r="AD874" i="9" s="1"/>
  <c r="AC874" i="9"/>
  <c r="AB928" i="9"/>
  <c r="AD928" i="9" s="1"/>
  <c r="AC928" i="9"/>
  <c r="AC474" i="9"/>
  <c r="AB474" i="9"/>
  <c r="AD474" i="9" s="1"/>
  <c r="AB104" i="9"/>
  <c r="AD104" i="9" s="1"/>
  <c r="AC104" i="9"/>
  <c r="AC305" i="9"/>
  <c r="AB305" i="9"/>
  <c r="AD305" i="9" s="1"/>
  <c r="AC291" i="9"/>
  <c r="AB291" i="9"/>
  <c r="AD291" i="9" s="1"/>
  <c r="AB399" i="9"/>
  <c r="AD399" i="9" s="1"/>
  <c r="AC399" i="9"/>
  <c r="AC518" i="9"/>
  <c r="AB518" i="9"/>
  <c r="AD518" i="9" s="1"/>
  <c r="AC922" i="9"/>
  <c r="AB922" i="9"/>
  <c r="AD922" i="9" s="1"/>
  <c r="AC919" i="9"/>
  <c r="AB919" i="9"/>
  <c r="AD919" i="9" s="1"/>
  <c r="AB512" i="9"/>
  <c r="AD512" i="9" s="1"/>
  <c r="AC512" i="9"/>
  <c r="AC420" i="9"/>
  <c r="AB420" i="9"/>
  <c r="AD420" i="9" s="1"/>
  <c r="AB625" i="9"/>
  <c r="AD625" i="9" s="1"/>
  <c r="AC625" i="9"/>
  <c r="AB451" i="9"/>
  <c r="AD451" i="9" s="1"/>
  <c r="AC451" i="9"/>
  <c r="AB559" i="9"/>
  <c r="AD559" i="9" s="1"/>
  <c r="AC559" i="9"/>
  <c r="AC682" i="9"/>
  <c r="AB682" i="9"/>
  <c r="AD682" i="9" s="1"/>
  <c r="AC885" i="9"/>
  <c r="AB885" i="9"/>
  <c r="AD885" i="9" s="1"/>
  <c r="AC297" i="9"/>
  <c r="AB297" i="9"/>
  <c r="AD297" i="9" s="1"/>
  <c r="AC830" i="9"/>
  <c r="AB830" i="9"/>
  <c r="AD830" i="9" s="1"/>
  <c r="AC705" i="9"/>
  <c r="AB705" i="9"/>
  <c r="AD705" i="9" s="1"/>
  <c r="AB618" i="9"/>
  <c r="AD618" i="9" s="1"/>
  <c r="AC618" i="9"/>
  <c r="AC290" i="9"/>
  <c r="AB290" i="9"/>
  <c r="AD290" i="9" s="1"/>
  <c r="AB568" i="9"/>
  <c r="AD568" i="9" s="1"/>
  <c r="AC568" i="9"/>
  <c r="AB980" i="9"/>
  <c r="AD980" i="9" s="1"/>
  <c r="AC980" i="9"/>
  <c r="AB68" i="9"/>
  <c r="AD68" i="9" s="1"/>
  <c r="AC68" i="9"/>
  <c r="AB183" i="9"/>
  <c r="AD183" i="9" s="1"/>
  <c r="AC183" i="9"/>
  <c r="AB680" i="9"/>
  <c r="AD680" i="9" s="1"/>
  <c r="AC680" i="9"/>
  <c r="AC717" i="9"/>
  <c r="AB717" i="9"/>
  <c r="AD717" i="9" s="1"/>
  <c r="AC433" i="9"/>
  <c r="AB433" i="9"/>
  <c r="AD433" i="9" s="1"/>
  <c r="AC755" i="9"/>
  <c r="AB755" i="9"/>
  <c r="AD755" i="9" s="1"/>
  <c r="AC972" i="9"/>
  <c r="AB972" i="9"/>
  <c r="AD972" i="9" s="1"/>
  <c r="AB221" i="9"/>
  <c r="AD221" i="9" s="1"/>
  <c r="AC221" i="9"/>
  <c r="AC696" i="9"/>
  <c r="AB696" i="9"/>
  <c r="AD696" i="9" s="1"/>
  <c r="AB50" i="9"/>
  <c r="AD50" i="9" s="1"/>
  <c r="AC50" i="9"/>
  <c r="AC891" i="9"/>
  <c r="AB891" i="9"/>
  <c r="AD891" i="9" s="1"/>
  <c r="AC370" i="9"/>
  <c r="AB370" i="9"/>
  <c r="AD370" i="9" s="1"/>
  <c r="AB648" i="9"/>
  <c r="AD648" i="9" s="1"/>
  <c r="AC648" i="9"/>
  <c r="AC1060" i="9"/>
  <c r="AB1060" i="9"/>
  <c r="AD1060" i="9" s="1"/>
  <c r="AB106" i="9"/>
  <c r="AD106" i="9" s="1"/>
  <c r="AC106" i="9"/>
  <c r="AB237" i="9"/>
  <c r="AD237" i="9" s="1"/>
  <c r="AC237" i="9"/>
  <c r="AC704" i="9"/>
  <c r="AB704" i="9"/>
  <c r="AD704" i="9" s="1"/>
  <c r="AC218" i="9"/>
  <c r="AB218" i="9"/>
  <c r="AD218" i="9" s="1"/>
  <c r="AC179" i="9"/>
  <c r="AB179" i="9"/>
  <c r="AD179" i="9" s="1"/>
  <c r="AB112" i="9"/>
  <c r="AD112" i="9" s="1"/>
  <c r="AC112" i="9"/>
  <c r="AC1019" i="9"/>
  <c r="AB1019" i="9"/>
  <c r="AD1019" i="9" s="1"/>
  <c r="AC402" i="9"/>
  <c r="AB402" i="9"/>
  <c r="AD402" i="9" s="1"/>
  <c r="AB683" i="9"/>
  <c r="AD683" i="9" s="1"/>
  <c r="AC683" i="9"/>
  <c r="AC7" i="9"/>
  <c r="AB7" i="9"/>
  <c r="AD7" i="9" s="1"/>
  <c r="AB122" i="9"/>
  <c r="AD122" i="9" s="1"/>
  <c r="AC122" i="9"/>
  <c r="AB245" i="9"/>
  <c r="AD245" i="9" s="1"/>
  <c r="AC245" i="9"/>
  <c r="AB744" i="9"/>
  <c r="AD744" i="9" s="1"/>
  <c r="AC744" i="9"/>
  <c r="AC1054" i="9"/>
  <c r="AB1054" i="9"/>
  <c r="AD1054" i="9" s="1"/>
  <c r="AC401" i="9"/>
  <c r="AB401" i="9"/>
  <c r="AD401" i="9" s="1"/>
  <c r="AC339" i="9"/>
  <c r="AB339" i="9"/>
  <c r="AD339" i="9" s="1"/>
  <c r="AB575" i="9"/>
  <c r="AD575" i="9" s="1"/>
  <c r="AC575" i="9"/>
  <c r="AC699" i="9"/>
  <c r="AB699" i="9"/>
  <c r="AD699" i="9" s="1"/>
  <c r="AB893" i="9"/>
  <c r="AD893" i="9" s="1"/>
  <c r="AC893" i="9"/>
  <c r="AB741" i="9"/>
  <c r="AD741" i="9" s="1"/>
  <c r="AC741" i="9"/>
  <c r="AB252" i="9"/>
  <c r="AD252" i="9" s="1"/>
  <c r="AC252" i="9"/>
  <c r="AC596" i="9"/>
  <c r="AB596" i="9"/>
  <c r="AD596" i="9" s="1"/>
  <c r="AC946" i="9"/>
  <c r="AB946" i="9"/>
  <c r="AD946" i="9" s="1"/>
  <c r="AC539" i="9"/>
  <c r="AB539" i="9"/>
  <c r="AD539" i="9" s="1"/>
  <c r="AC647" i="9"/>
  <c r="AB647" i="9"/>
  <c r="AD647" i="9" s="1"/>
  <c r="AC819" i="9"/>
  <c r="AB819" i="9"/>
  <c r="AD819" i="9" s="1"/>
  <c r="AC1013" i="9"/>
  <c r="AB1013" i="9"/>
  <c r="AD1013" i="9" s="1"/>
  <c r="AC47" i="9"/>
  <c r="AB47" i="9"/>
  <c r="AD47" i="9" s="1"/>
  <c r="AB1014" i="9"/>
  <c r="AD1014" i="9" s="1"/>
  <c r="AC1014" i="9"/>
  <c r="AB444" i="9"/>
  <c r="AD444" i="9" s="1"/>
  <c r="AC444" i="9"/>
  <c r="AC208" i="9"/>
  <c r="AB208" i="9"/>
  <c r="AD208" i="9" s="1"/>
  <c r="AB681" i="9"/>
  <c r="AD681" i="9" s="1"/>
  <c r="AC681" i="9"/>
  <c r="AC843" i="9"/>
  <c r="AB843" i="9"/>
  <c r="AD843" i="9" s="1"/>
  <c r="AB32" i="9"/>
  <c r="AD32" i="9" s="1"/>
  <c r="AC32" i="9"/>
  <c r="AC81" i="9"/>
  <c r="AB81" i="9"/>
  <c r="AD81" i="9" s="1"/>
  <c r="AC587" i="9"/>
  <c r="AB587" i="9"/>
  <c r="AD587" i="9" s="1"/>
  <c r="AC185" i="9"/>
  <c r="AB185" i="9"/>
  <c r="AD185" i="9" s="1"/>
  <c r="AB695" i="9"/>
  <c r="AD695" i="9" s="1"/>
  <c r="AC695" i="9"/>
  <c r="AB302" i="9"/>
  <c r="AD302" i="9" s="1"/>
  <c r="AC302" i="9"/>
  <c r="AC915" i="9"/>
  <c r="AB915" i="9"/>
  <c r="AD915" i="9" s="1"/>
  <c r="AB421" i="9"/>
  <c r="AD421" i="9" s="1"/>
  <c r="AC421" i="9"/>
  <c r="AC813" i="9"/>
  <c r="AB813" i="9"/>
  <c r="AD813" i="9" s="1"/>
  <c r="AC961" i="9"/>
  <c r="AB961" i="9"/>
  <c r="AD961" i="9" s="1"/>
  <c r="AB1072" i="9"/>
  <c r="AD1072" i="9" s="1"/>
  <c r="AC1072" i="9"/>
  <c r="AB317" i="9"/>
  <c r="AD317" i="9" s="1"/>
  <c r="AC317" i="9"/>
  <c r="AB954" i="9"/>
  <c r="AD954" i="9" s="1"/>
  <c r="AC954" i="9"/>
  <c r="AC857" i="9"/>
  <c r="AB857" i="9"/>
  <c r="AD857" i="9" s="1"/>
  <c r="AB968" i="9"/>
  <c r="AD968" i="9" s="1"/>
  <c r="AC968" i="9"/>
  <c r="AC393" i="9"/>
  <c r="AB393" i="9"/>
  <c r="AD393" i="9" s="1"/>
  <c r="AB460" i="9"/>
  <c r="AD460" i="9" s="1"/>
  <c r="AC460" i="9"/>
  <c r="AB66" i="9"/>
  <c r="AD66" i="9" s="1"/>
  <c r="AC66" i="9"/>
  <c r="AC377" i="9"/>
  <c r="AB377" i="9"/>
  <c r="AD377" i="9" s="1"/>
  <c r="AB500" i="9"/>
  <c r="AD500" i="9" s="1"/>
  <c r="AC500" i="9"/>
  <c r="AC578" i="9"/>
  <c r="AB578" i="9"/>
  <c r="AD578" i="9" s="1"/>
  <c r="AC739" i="9"/>
  <c r="AB739" i="9"/>
  <c r="AD739" i="9" s="1"/>
  <c r="AB1038" i="9"/>
  <c r="AD1038" i="9" s="1"/>
  <c r="AC1038" i="9"/>
  <c r="AC491" i="9"/>
  <c r="AB491" i="9"/>
  <c r="AD491" i="9" s="1"/>
  <c r="AC91" i="9"/>
  <c r="AB91" i="9"/>
  <c r="AD91" i="9" s="1"/>
  <c r="AC599" i="9"/>
  <c r="AB599" i="9"/>
  <c r="AD599" i="9" s="1"/>
  <c r="AB206" i="9"/>
  <c r="AD206" i="9" s="1"/>
  <c r="AC206" i="9"/>
  <c r="AB718" i="9"/>
  <c r="AD718" i="9" s="1"/>
  <c r="AC718" i="9"/>
  <c r="AB325" i="9"/>
  <c r="AD325" i="9" s="1"/>
  <c r="AC325" i="9"/>
  <c r="AB970" i="9"/>
  <c r="AD970" i="9" s="1"/>
  <c r="AC970" i="9"/>
  <c r="AC865" i="9"/>
  <c r="AB865" i="9"/>
  <c r="AD865" i="9" s="1"/>
  <c r="AB976" i="9"/>
  <c r="AD976" i="9" s="1"/>
  <c r="AC976" i="9"/>
  <c r="AC649" i="9"/>
  <c r="AB649" i="9"/>
  <c r="AD649" i="9" s="1"/>
  <c r="AB492" i="9"/>
  <c r="AD492" i="9" s="1"/>
  <c r="AC492" i="9"/>
  <c r="AB96" i="9"/>
  <c r="AD96" i="9" s="1"/>
  <c r="AC96" i="9"/>
  <c r="AC441" i="9"/>
  <c r="AB441" i="9"/>
  <c r="AD441" i="9" s="1"/>
  <c r="AB516" i="9"/>
  <c r="AD516" i="9" s="1"/>
  <c r="AC516" i="9"/>
  <c r="AC594" i="9"/>
  <c r="AB594" i="9"/>
  <c r="AD594" i="9" s="1"/>
  <c r="AB786" i="9"/>
  <c r="AD786" i="9" s="1"/>
  <c r="AC786" i="9"/>
  <c r="AB1070" i="9"/>
  <c r="AD1070" i="9" s="1"/>
  <c r="AC1070" i="9"/>
  <c r="AC499" i="9"/>
  <c r="AB499" i="9"/>
  <c r="AD499" i="9" s="1"/>
  <c r="AC99" i="9"/>
  <c r="AB99" i="9"/>
  <c r="AD99" i="9" s="1"/>
  <c r="AC607" i="9"/>
  <c r="AB607" i="9"/>
  <c r="AD607" i="9" s="1"/>
  <c r="AB214" i="9"/>
  <c r="AD214" i="9" s="1"/>
  <c r="AC214" i="9"/>
  <c r="AC747" i="9"/>
  <c r="AB747" i="9"/>
  <c r="AD747" i="9" s="1"/>
  <c r="AB333" i="9"/>
  <c r="AD333" i="9" s="1"/>
  <c r="AC333" i="9"/>
  <c r="AB986" i="9"/>
  <c r="AD986" i="9" s="1"/>
  <c r="AC986" i="9"/>
  <c r="AC873" i="9"/>
  <c r="AB873" i="9"/>
  <c r="AD873" i="9" s="1"/>
  <c r="AB984" i="9"/>
  <c r="AD984" i="9" s="1"/>
  <c r="AC984" i="9"/>
  <c r="AB109" i="9"/>
  <c r="AD109" i="9" s="1"/>
  <c r="AC109" i="9"/>
  <c r="AB524" i="9"/>
  <c r="AD524" i="9" s="1"/>
  <c r="AC524" i="9"/>
  <c r="AC128" i="9"/>
  <c r="AB128" i="9"/>
  <c r="AD128" i="9" s="1"/>
  <c r="AC473" i="9"/>
  <c r="AB473" i="9"/>
  <c r="AD473" i="9" s="1"/>
  <c r="AC532" i="9"/>
  <c r="AB532" i="9"/>
  <c r="AD532" i="9" s="1"/>
  <c r="AC610" i="9"/>
  <c r="AB610" i="9"/>
  <c r="AD610" i="9" s="1"/>
  <c r="AC818" i="9"/>
  <c r="AB818" i="9"/>
  <c r="AD818" i="9" s="1"/>
  <c r="AC3" i="9"/>
  <c r="AB3" i="9"/>
  <c r="AD3" i="9" s="1"/>
  <c r="AB507" i="9"/>
  <c r="AD507" i="9" s="1"/>
  <c r="AC507" i="9"/>
  <c r="AC107" i="9"/>
  <c r="AB107" i="9"/>
  <c r="AD107" i="9" s="1"/>
  <c r="AC615" i="9"/>
  <c r="AB615" i="9"/>
  <c r="AD615" i="9" s="1"/>
  <c r="AC222" i="9"/>
  <c r="AB222" i="9"/>
  <c r="AD222" i="9" s="1"/>
  <c r="AC749" i="9"/>
  <c r="AB749" i="9"/>
  <c r="AD749" i="9" s="1"/>
  <c r="AB341" i="9"/>
  <c r="AD341" i="9" s="1"/>
  <c r="AC341" i="9"/>
  <c r="AB1002" i="9"/>
  <c r="AD1002" i="9" s="1"/>
  <c r="AC1002" i="9"/>
  <c r="AC881" i="9"/>
  <c r="AB881" i="9"/>
  <c r="AD881" i="9" s="1"/>
  <c r="AB992" i="9"/>
  <c r="AD992" i="9" s="1"/>
  <c r="AC992" i="9"/>
  <c r="AB612" i="9"/>
  <c r="AD612" i="9" s="1"/>
  <c r="AC612" i="9"/>
  <c r="AC1021" i="9"/>
  <c r="AB1021" i="9"/>
  <c r="AD1021" i="9" s="1"/>
  <c r="AC1062" i="9"/>
  <c r="AB1062" i="9"/>
  <c r="AD1062" i="9" s="1"/>
  <c r="AC37" i="9"/>
  <c r="AB37" i="9"/>
  <c r="AD37" i="9" s="1"/>
  <c r="AC907" i="9"/>
  <c r="AB907" i="9"/>
  <c r="AD907" i="9" s="1"/>
  <c r="AC541" i="9"/>
  <c r="AB541" i="9"/>
  <c r="AD541" i="9" s="1"/>
  <c r="AB328" i="9"/>
  <c r="AD328" i="9" s="1"/>
  <c r="AC328" i="9"/>
  <c r="AC557" i="9"/>
  <c r="AB557" i="9"/>
  <c r="AD557" i="9" s="1"/>
  <c r="AC1067" i="9"/>
  <c r="AB1067" i="9"/>
  <c r="AD1067" i="9" s="1"/>
  <c r="AB358" i="9"/>
  <c r="AD358" i="9" s="1"/>
  <c r="AC358" i="9"/>
  <c r="AC142" i="9"/>
  <c r="AB142" i="9"/>
  <c r="AD142" i="9" s="1"/>
  <c r="AC496" i="9"/>
  <c r="AB496" i="9"/>
  <c r="AD496" i="9" s="1"/>
  <c r="AC255" i="9"/>
  <c r="AB255" i="9"/>
  <c r="AD255" i="9" s="1"/>
  <c r="AB46" i="9"/>
  <c r="AD46" i="9" s="1"/>
  <c r="AC46" i="9"/>
  <c r="AC51" i="9"/>
  <c r="AB51" i="9"/>
  <c r="AD51" i="9" s="1"/>
  <c r="AC362" i="9"/>
  <c r="AB362" i="9"/>
  <c r="AD362" i="9" s="1"/>
  <c r="AC852" i="9"/>
  <c r="AB852" i="9"/>
  <c r="AD852" i="9" s="1"/>
  <c r="AC416" i="9"/>
  <c r="AB416" i="9"/>
  <c r="AD416" i="9" s="1"/>
  <c r="AC730" i="9"/>
  <c r="AB730" i="9"/>
  <c r="AD730" i="9" s="1"/>
  <c r="AC133" i="9"/>
  <c r="AB133" i="9"/>
  <c r="AD133" i="9" s="1"/>
  <c r="AC722" i="9"/>
  <c r="AB722" i="9"/>
  <c r="AD722" i="9" s="1"/>
  <c r="AB430" i="9"/>
  <c r="AD430" i="9" s="1"/>
  <c r="AC430" i="9"/>
  <c r="AC941" i="9"/>
  <c r="AB941" i="9"/>
  <c r="AD941" i="9" s="1"/>
  <c r="AC985" i="9"/>
  <c r="AB985" i="9"/>
  <c r="AD985" i="9" s="1"/>
  <c r="AC352" i="9"/>
  <c r="AB352" i="9"/>
  <c r="AD352" i="9" s="1"/>
  <c r="AB762" i="9"/>
  <c r="AD762" i="9" s="1"/>
  <c r="AC762" i="9"/>
  <c r="AC619" i="9"/>
  <c r="AB619" i="9"/>
  <c r="AD619" i="9" s="1"/>
  <c r="AB334" i="9"/>
  <c r="AD334" i="9" s="1"/>
  <c r="AC334" i="9"/>
  <c r="AB453" i="9"/>
  <c r="AD453" i="9" s="1"/>
  <c r="AC453" i="9"/>
  <c r="AC448" i="9"/>
  <c r="AB448" i="9"/>
  <c r="AD448" i="9" s="1"/>
  <c r="AB766" i="9"/>
  <c r="AD766" i="9" s="1"/>
  <c r="AC766" i="9"/>
  <c r="AC119" i="9"/>
  <c r="AB119" i="9"/>
  <c r="AD119" i="9" s="1"/>
  <c r="AB342" i="9"/>
  <c r="AD342" i="9" s="1"/>
  <c r="AC342" i="9"/>
  <c r="AC853" i="9"/>
  <c r="AB853" i="9"/>
  <c r="AD853" i="9" s="1"/>
  <c r="AB233" i="9"/>
  <c r="AD233" i="9" s="1"/>
  <c r="AC233" i="9"/>
  <c r="AC774" i="9"/>
  <c r="AB774" i="9"/>
  <c r="AD774" i="9" s="1"/>
  <c r="AC127" i="9"/>
  <c r="AB127" i="9"/>
  <c r="AD127" i="9" s="1"/>
  <c r="AC350" i="9"/>
  <c r="AB350" i="9"/>
  <c r="AD350" i="9" s="1"/>
  <c r="AC759" i="9"/>
  <c r="AB759" i="9"/>
  <c r="AD759" i="9" s="1"/>
  <c r="AB201" i="9"/>
  <c r="AD201" i="9" s="1"/>
  <c r="AC201" i="9"/>
  <c r="AC675" i="9"/>
  <c r="AB675" i="9"/>
  <c r="AD675" i="9" s="1"/>
  <c r="AB5" i="9"/>
  <c r="AD5" i="9" s="1"/>
  <c r="AC5" i="9"/>
  <c r="AC242" i="9"/>
  <c r="AB242" i="9"/>
  <c r="AD242" i="9" s="1"/>
  <c r="AB159" i="9"/>
  <c r="AD159" i="9" s="1"/>
  <c r="AC159" i="9"/>
  <c r="AB530" i="9"/>
  <c r="AD530" i="9" s="1"/>
  <c r="AC530" i="9"/>
  <c r="AC327" i="9"/>
  <c r="AB327" i="9"/>
  <c r="AD327" i="9" s="1"/>
  <c r="AC831" i="9"/>
  <c r="AB831" i="9"/>
  <c r="AD831" i="9" s="1"/>
  <c r="AB326" i="9"/>
  <c r="AD326" i="9" s="1"/>
  <c r="AC326" i="9"/>
  <c r="AC241" i="9"/>
  <c r="AB241" i="9"/>
  <c r="AD241" i="9" s="1"/>
  <c r="AC217" i="9"/>
  <c r="AB217" i="9"/>
  <c r="AD217" i="9" s="1"/>
  <c r="AB74" i="9"/>
  <c r="AD74" i="9" s="1"/>
  <c r="AC74" i="9"/>
  <c r="AB810" i="9"/>
  <c r="AD810" i="9" s="1"/>
  <c r="AC810" i="9"/>
  <c r="AB175" i="9"/>
  <c r="AD175" i="9" s="1"/>
  <c r="AC175" i="9"/>
  <c r="AB130" i="9"/>
  <c r="AD130" i="9" s="1"/>
  <c r="AC130" i="9"/>
  <c r="AB375" i="9"/>
  <c r="AD375" i="9" s="1"/>
  <c r="AC375" i="9"/>
  <c r="AB232" i="9"/>
  <c r="AD232" i="9" s="1"/>
  <c r="AC232" i="9"/>
  <c r="AC409" i="9"/>
  <c r="AB409" i="9"/>
  <c r="AD409" i="9" s="1"/>
  <c r="AC55" i="9"/>
  <c r="AB55" i="9"/>
  <c r="AD55" i="9" s="1"/>
  <c r="AC271" i="9"/>
  <c r="AB271" i="9"/>
  <c r="AD271" i="9" s="1"/>
  <c r="AB629" i="9"/>
  <c r="AD629" i="9" s="1"/>
  <c r="AC629" i="9"/>
  <c r="AC602" i="9"/>
  <c r="AB602" i="9"/>
  <c r="AD602" i="9" s="1"/>
  <c r="AC369" i="9"/>
  <c r="AB369" i="9"/>
  <c r="AD369" i="9" s="1"/>
  <c r="AC431" i="9"/>
  <c r="AB431" i="9"/>
  <c r="AD431" i="9" s="1"/>
  <c r="AC938" i="9"/>
  <c r="AB938" i="9"/>
  <c r="AD938" i="9" s="1"/>
  <c r="AB155" i="9"/>
  <c r="AD155" i="9" s="1"/>
  <c r="AC155" i="9"/>
  <c r="AC110" i="9"/>
  <c r="AB110" i="9"/>
  <c r="AD110" i="9" s="1"/>
  <c r="AC312" i="9"/>
  <c r="AB312" i="9"/>
  <c r="AD312" i="9" s="1"/>
  <c r="AC956" i="9"/>
  <c r="AB956" i="9"/>
  <c r="AD956" i="9" s="1"/>
  <c r="AB905" i="9"/>
  <c r="AD905" i="9" s="1"/>
  <c r="AC905" i="9"/>
  <c r="AC939" i="9"/>
  <c r="AB939" i="9"/>
  <c r="AD939" i="9" s="1"/>
  <c r="AC725" i="9"/>
  <c r="AB725" i="9"/>
  <c r="AD725" i="9" s="1"/>
  <c r="AB913" i="9"/>
  <c r="AD913" i="9" s="1"/>
  <c r="AC913" i="9"/>
  <c r="AC266" i="9"/>
  <c r="AB266" i="9"/>
  <c r="AD266" i="9" s="1"/>
  <c r="AB392" i="9"/>
  <c r="AD392" i="9" s="1"/>
  <c r="AC392" i="9"/>
  <c r="AC1036" i="9"/>
  <c r="AB1036" i="9"/>
  <c r="AD1036" i="9" s="1"/>
  <c r="AC953" i="9"/>
  <c r="AB953" i="9"/>
  <c r="AD953" i="9" s="1"/>
  <c r="AC562" i="9"/>
  <c r="AB562" i="9"/>
  <c r="AD562" i="9" s="1"/>
  <c r="AC330" i="9"/>
  <c r="AB330" i="9"/>
  <c r="AD330" i="9" s="1"/>
  <c r="AB424" i="9"/>
  <c r="AD424" i="9" s="1"/>
  <c r="AC424" i="9"/>
  <c r="AC1068" i="9"/>
  <c r="AB1068" i="9"/>
  <c r="AD1068" i="9" s="1"/>
  <c r="AB1078" i="9"/>
  <c r="AD1078" i="9" s="1"/>
  <c r="AC1078" i="9"/>
  <c r="AB211" i="9"/>
  <c r="AD211" i="9" s="1"/>
  <c r="AC211" i="9"/>
  <c r="AB566" i="9"/>
  <c r="AD566" i="9" s="1"/>
  <c r="AC566" i="9"/>
  <c r="AB975" i="9"/>
  <c r="AD975" i="9" s="1"/>
  <c r="AC975" i="9"/>
  <c r="AB340" i="9"/>
  <c r="AD340" i="9" s="1"/>
  <c r="AC340" i="9"/>
  <c r="AC411" i="9"/>
  <c r="AB411" i="9"/>
  <c r="AD411" i="9" s="1"/>
  <c r="AC638" i="9"/>
  <c r="AB638" i="9"/>
  <c r="AD638" i="9" s="1"/>
  <c r="AC617" i="9"/>
  <c r="AB617" i="9"/>
  <c r="AD617" i="9" s="1"/>
  <c r="AB190" i="9"/>
  <c r="AD190" i="9" s="1"/>
  <c r="AC190" i="9"/>
  <c r="AC564" i="9"/>
  <c r="AB564" i="9"/>
  <c r="AD564" i="9" s="1"/>
  <c r="AC882" i="9"/>
  <c r="AB882" i="9"/>
  <c r="AD882" i="9" s="1"/>
  <c r="AC523" i="9"/>
  <c r="AB523" i="9"/>
  <c r="AD523" i="9" s="1"/>
  <c r="AC631" i="9"/>
  <c r="AB631" i="9"/>
  <c r="AD631" i="9" s="1"/>
  <c r="AB787" i="9"/>
  <c r="AD787" i="9" s="1"/>
  <c r="AC787" i="9"/>
  <c r="AB357" i="9"/>
  <c r="AD357" i="9" s="1"/>
  <c r="AC357" i="9"/>
  <c r="AC897" i="9"/>
  <c r="AB897" i="9"/>
  <c r="AD897" i="9" s="1"/>
  <c r="AB253" i="9"/>
  <c r="AD253" i="9" s="1"/>
  <c r="AC253" i="9"/>
  <c r="AB904" i="9"/>
  <c r="AD904" i="9" s="1"/>
  <c r="AC904" i="9"/>
  <c r="AC204" i="9"/>
  <c r="AB204" i="9"/>
  <c r="AD204" i="9" s="1"/>
  <c r="AB480" i="9"/>
  <c r="AD480" i="9" s="1"/>
  <c r="AC480" i="9"/>
  <c r="AB450" i="9"/>
  <c r="AD450" i="9" s="1"/>
  <c r="AC450" i="9"/>
  <c r="AC782" i="9"/>
  <c r="AB782" i="9"/>
  <c r="AD782" i="9" s="1"/>
  <c r="AB31" i="9"/>
  <c r="AD31" i="9" s="1"/>
  <c r="AC31" i="9"/>
  <c r="AC144" i="9"/>
  <c r="AB144" i="9"/>
  <c r="AD144" i="9" s="1"/>
  <c r="AC261" i="9"/>
  <c r="AB261" i="9"/>
  <c r="AD261" i="9" s="1"/>
  <c r="AB801" i="9"/>
  <c r="AD801" i="9" s="1"/>
  <c r="AC801" i="9"/>
  <c r="AC1063" i="9"/>
  <c r="AB1063" i="9"/>
  <c r="AD1063" i="9" s="1"/>
  <c r="AB288" i="9"/>
  <c r="AD288" i="9" s="1"/>
  <c r="AC288" i="9"/>
  <c r="AB388" i="9"/>
  <c r="AD388" i="9" s="1"/>
  <c r="AC388" i="9"/>
  <c r="AB593" i="9"/>
  <c r="AD593" i="9" s="1"/>
  <c r="AC593" i="9"/>
  <c r="AC435" i="9"/>
  <c r="AB435" i="9"/>
  <c r="AD435" i="9" s="1"/>
  <c r="AB543" i="9"/>
  <c r="AD543" i="9" s="1"/>
  <c r="AC543" i="9"/>
  <c r="AB662" i="9"/>
  <c r="AD662" i="9" s="1"/>
  <c r="AC662" i="9"/>
  <c r="AC858" i="9"/>
  <c r="AB858" i="9"/>
  <c r="AD858" i="9" s="1"/>
  <c r="AB920" i="9"/>
  <c r="AD920" i="9" s="1"/>
  <c r="AC920" i="9"/>
  <c r="AB268" i="9"/>
  <c r="AD268" i="9" s="1"/>
  <c r="AC268" i="9"/>
  <c r="AC713" i="9"/>
  <c r="AB713" i="9"/>
  <c r="AD713" i="9" s="1"/>
  <c r="AB404" i="9"/>
  <c r="AD404" i="9" s="1"/>
  <c r="AC404" i="9"/>
  <c r="AC609" i="9"/>
  <c r="AB609" i="9"/>
  <c r="AD609" i="9" s="1"/>
  <c r="AC443" i="9"/>
  <c r="AB443" i="9"/>
  <c r="AD443" i="9" s="1"/>
  <c r="AC551" i="9"/>
  <c r="AB551" i="9"/>
  <c r="AD551" i="9" s="1"/>
  <c r="AB670" i="9"/>
  <c r="AD670" i="9" s="1"/>
  <c r="AC670" i="9"/>
  <c r="AC817" i="9"/>
  <c r="AB817" i="9"/>
  <c r="AD817" i="9" s="1"/>
  <c r="AB70" i="9"/>
  <c r="AD70" i="9" s="1"/>
  <c r="AC70" i="9"/>
  <c r="AB356" i="9"/>
  <c r="AD356" i="9" s="1"/>
  <c r="AC356" i="9"/>
  <c r="AC561" i="9"/>
  <c r="AB561" i="9"/>
  <c r="AD561" i="9" s="1"/>
  <c r="AC419" i="9"/>
  <c r="AB419" i="9"/>
  <c r="AD419" i="9" s="1"/>
  <c r="AC527" i="9"/>
  <c r="AB527" i="9"/>
  <c r="AD527" i="9" s="1"/>
  <c r="AB646" i="9"/>
  <c r="AD646" i="9" s="1"/>
  <c r="AC646" i="9"/>
  <c r="AC869" i="9"/>
  <c r="AB869" i="9"/>
  <c r="AD869" i="9" s="1"/>
  <c r="AB962" i="9"/>
  <c r="AD962" i="9" s="1"/>
  <c r="AC962" i="9"/>
  <c r="AB412" i="9"/>
  <c r="AD412" i="9" s="1"/>
  <c r="AC412" i="9"/>
  <c r="AB676" i="9"/>
  <c r="AD676" i="9" s="1"/>
  <c r="AC676" i="9"/>
  <c r="AB16" i="9"/>
  <c r="AD16" i="9" s="1"/>
  <c r="AC16" i="9"/>
  <c r="AC579" i="9"/>
  <c r="AB579" i="9"/>
  <c r="AD579" i="9" s="1"/>
  <c r="AC691" i="9"/>
  <c r="AB691" i="9"/>
  <c r="AD691" i="9" s="1"/>
  <c r="AB899" i="9"/>
  <c r="AD899" i="9" s="1"/>
  <c r="AC899" i="9"/>
  <c r="AC1061" i="9"/>
  <c r="AB1061" i="9"/>
  <c r="AD1061" i="9" s="1"/>
  <c r="AB544" i="9"/>
  <c r="AD544" i="9" s="1"/>
  <c r="AC544" i="9"/>
  <c r="AB196" i="9"/>
  <c r="AD196" i="9" s="1"/>
  <c r="AC196" i="9"/>
  <c r="AB396" i="9"/>
  <c r="AD396" i="9" s="1"/>
  <c r="AC396" i="9"/>
  <c r="AC187" i="9"/>
  <c r="AB187" i="9"/>
  <c r="AD187" i="9" s="1"/>
  <c r="AC546" i="9"/>
  <c r="AB546" i="9"/>
  <c r="AD546" i="9" s="1"/>
  <c r="AC974" i="9"/>
  <c r="AB974" i="9"/>
  <c r="AD974" i="9" s="1"/>
  <c r="AC77" i="9"/>
  <c r="AB77" i="9"/>
  <c r="AD77" i="9" s="1"/>
  <c r="AB192" i="9"/>
  <c r="AD192" i="9" s="1"/>
  <c r="AC192" i="9"/>
  <c r="AC365" i="9"/>
  <c r="AB365" i="9"/>
  <c r="AD365" i="9" s="1"/>
  <c r="AB832" i="9"/>
  <c r="AD832" i="9" s="1"/>
  <c r="AC832" i="9"/>
  <c r="AB540" i="9"/>
  <c r="AD540" i="9" s="1"/>
  <c r="AC540" i="9"/>
  <c r="AB78" i="9"/>
  <c r="AD78" i="9" s="1"/>
  <c r="AC78" i="9"/>
  <c r="AC996" i="9"/>
  <c r="AB996" i="9"/>
  <c r="AD996" i="9" s="1"/>
  <c r="AB76" i="9"/>
  <c r="AD76" i="9" s="1"/>
  <c r="AC76" i="9"/>
  <c r="AB373" i="9"/>
  <c r="AD373" i="9" s="1"/>
  <c r="AC373" i="9"/>
  <c r="AB872" i="9"/>
  <c r="AD872" i="9" s="1"/>
  <c r="AC872" i="9"/>
  <c r="AB556" i="9"/>
  <c r="AD556" i="9" s="1"/>
  <c r="AC556" i="9"/>
  <c r="AC569" i="9"/>
  <c r="AB569" i="9"/>
  <c r="AD569" i="9" s="1"/>
  <c r="AC626" i="9"/>
  <c r="AB626" i="9"/>
  <c r="AD626" i="9" s="1"/>
  <c r="AC11" i="9"/>
  <c r="AB11" i="9"/>
  <c r="AD11" i="9" s="1"/>
  <c r="AC115" i="9"/>
  <c r="AB115" i="9"/>
  <c r="AD115" i="9" s="1"/>
  <c r="AB230" i="9"/>
  <c r="AD230" i="9" s="1"/>
  <c r="AC230" i="9"/>
  <c r="AC413" i="9"/>
  <c r="AB413" i="9"/>
  <c r="AD413" i="9" s="1"/>
  <c r="AB888" i="9"/>
  <c r="AD888" i="9" s="1"/>
  <c r="AC888" i="9"/>
  <c r="AB36" i="9"/>
  <c r="AD36" i="9" s="1"/>
  <c r="AC36" i="9"/>
  <c r="AB709" i="9"/>
  <c r="AD709" i="9" s="1"/>
  <c r="AC709" i="9"/>
  <c r="AC620" i="9"/>
  <c r="AB620" i="9"/>
  <c r="AD620" i="9" s="1"/>
  <c r="AC1058" i="9"/>
  <c r="AB1058" i="9"/>
  <c r="AD1058" i="9" s="1"/>
  <c r="AB658" i="9"/>
  <c r="AD658" i="9" s="1"/>
  <c r="AC658" i="9"/>
  <c r="AB27" i="9"/>
  <c r="AD27" i="9" s="1"/>
  <c r="AC27" i="9"/>
  <c r="AB131" i="9"/>
  <c r="AD131" i="9" s="1"/>
  <c r="AC131" i="9"/>
  <c r="AC246" i="9"/>
  <c r="AB246" i="9"/>
  <c r="AD246" i="9" s="1"/>
  <c r="AB429" i="9"/>
  <c r="AD429" i="9" s="1"/>
  <c r="AC429" i="9"/>
  <c r="AC896" i="9"/>
  <c r="AB896" i="9"/>
  <c r="AD896" i="9" s="1"/>
  <c r="AC586" i="9"/>
  <c r="AB586" i="9"/>
  <c r="AD586" i="9" s="1"/>
  <c r="AB657" i="9"/>
  <c r="AD657" i="9" s="1"/>
  <c r="AC657" i="9"/>
  <c r="AC595" i="9"/>
  <c r="AB595" i="9"/>
  <c r="AD595" i="9" s="1"/>
  <c r="AC708" i="9"/>
  <c r="AB708" i="9"/>
  <c r="AD708" i="9" s="1"/>
  <c r="AC931" i="9"/>
  <c r="AB931" i="9"/>
  <c r="AD931" i="9" s="1"/>
  <c r="AC1077" i="9"/>
  <c r="AB1077" i="9"/>
  <c r="AD1077" i="9" s="1"/>
  <c r="AC265" i="9"/>
  <c r="AB265" i="9"/>
  <c r="AD265" i="9" s="1"/>
  <c r="AC790" i="9"/>
  <c r="AB790" i="9"/>
  <c r="AD790" i="9" s="1"/>
  <c r="AB902" i="9"/>
  <c r="AD902" i="9" s="1"/>
  <c r="AC902" i="9"/>
  <c r="AB186" i="9"/>
  <c r="AD186" i="9" s="1"/>
  <c r="AC186" i="9"/>
  <c r="AC667" i="9"/>
  <c r="AB667" i="9"/>
  <c r="AD667" i="9" s="1"/>
  <c r="AC828" i="9"/>
  <c r="AB828" i="9"/>
  <c r="AD828" i="9" s="1"/>
  <c r="AC1075" i="9"/>
  <c r="AB1075" i="9"/>
  <c r="AD1075" i="9" s="1"/>
  <c r="AB825" i="9"/>
  <c r="AD825" i="9" s="1"/>
  <c r="AC825" i="9"/>
  <c r="AB770" i="9"/>
  <c r="AD770" i="9" s="1"/>
  <c r="AC770" i="9"/>
  <c r="AB33" i="9"/>
  <c r="AD33" i="9" s="1"/>
  <c r="AC33" i="9"/>
  <c r="AC698" i="9"/>
  <c r="AB698" i="9"/>
  <c r="AD698" i="9" s="1"/>
  <c r="AB464" i="9"/>
  <c r="AD464" i="9" s="1"/>
  <c r="AC464" i="9"/>
  <c r="AC838" i="9"/>
  <c r="AB838" i="9"/>
  <c r="AD838" i="9" s="1"/>
  <c r="AB9" i="9"/>
  <c r="AD9" i="9" s="1"/>
  <c r="AC9" i="9"/>
  <c r="AC154" i="9"/>
  <c r="AB154" i="9"/>
  <c r="AD154" i="9" s="1"/>
  <c r="AB651" i="9"/>
  <c r="AD651" i="9" s="1"/>
  <c r="AC651" i="9"/>
  <c r="AB247" i="9"/>
  <c r="AD247" i="9" s="1"/>
  <c r="AC247" i="9"/>
  <c r="AB796" i="9"/>
  <c r="AD796" i="9" s="1"/>
  <c r="AC796" i="9"/>
  <c r="AC366" i="9"/>
  <c r="AB366" i="9"/>
  <c r="AD366" i="9" s="1"/>
  <c r="AB1043" i="9"/>
  <c r="AD1043" i="9" s="1"/>
  <c r="AC1043" i="9"/>
  <c r="AC485" i="9"/>
  <c r="AB485" i="9"/>
  <c r="AD485" i="9" s="1"/>
  <c r="AB877" i="9"/>
  <c r="AD877" i="9" s="1"/>
  <c r="AC877" i="9"/>
  <c r="AB1025" i="9"/>
  <c r="AD1025" i="9" s="1"/>
  <c r="AC1025" i="9"/>
  <c r="AC775" i="9"/>
  <c r="AB775" i="9"/>
  <c r="AD775" i="9" s="1"/>
  <c r="AC381" i="9"/>
  <c r="AB381" i="9"/>
  <c r="AD381" i="9" s="1"/>
  <c r="AB773" i="9"/>
  <c r="AD773" i="9" s="1"/>
  <c r="AC773" i="9"/>
  <c r="AB921" i="9"/>
  <c r="AD921" i="9" s="1"/>
  <c r="AC921" i="9"/>
  <c r="AC1032" i="9"/>
  <c r="AB1032" i="9"/>
  <c r="AD1032" i="9" s="1"/>
  <c r="AC79" i="9"/>
  <c r="AB79" i="9"/>
  <c r="AD79" i="9" s="1"/>
  <c r="AC731" i="9"/>
  <c r="AB731" i="9"/>
  <c r="AD731" i="9" s="1"/>
  <c r="AB316" i="9"/>
  <c r="AD316" i="9" s="1"/>
  <c r="AC316" i="9"/>
  <c r="AC86" i="9"/>
  <c r="AB86" i="9"/>
  <c r="AD86" i="9" s="1"/>
  <c r="AB628" i="9"/>
  <c r="AD628" i="9" s="1"/>
  <c r="AC628" i="9"/>
  <c r="AC697" i="9"/>
  <c r="AB697" i="9"/>
  <c r="AD697" i="9" s="1"/>
  <c r="AB1010" i="9"/>
  <c r="AD1010" i="9" s="1"/>
  <c r="AC1010" i="9"/>
  <c r="AC49" i="9"/>
  <c r="AB49" i="9"/>
  <c r="AD49" i="9" s="1"/>
  <c r="AC555" i="9"/>
  <c r="AB555" i="9"/>
  <c r="AD555" i="9" s="1"/>
  <c r="AC153" i="9"/>
  <c r="AB153" i="9"/>
  <c r="AD153" i="9" s="1"/>
  <c r="AC663" i="9"/>
  <c r="AB663" i="9"/>
  <c r="AD663" i="9" s="1"/>
  <c r="AB270" i="9"/>
  <c r="AD270" i="9" s="1"/>
  <c r="AC270" i="9"/>
  <c r="AC851" i="9"/>
  <c r="AB851" i="9"/>
  <c r="AD851" i="9" s="1"/>
  <c r="AB389" i="9"/>
  <c r="AD389" i="9" s="1"/>
  <c r="AC389" i="9"/>
  <c r="AC781" i="9"/>
  <c r="AB781" i="9"/>
  <c r="AD781" i="9" s="1"/>
  <c r="AB929" i="9"/>
  <c r="AD929" i="9" s="1"/>
  <c r="AC929" i="9"/>
  <c r="AC1040" i="9"/>
  <c r="AB1040" i="9"/>
  <c r="AD1040" i="9" s="1"/>
  <c r="AB329" i="9"/>
  <c r="AD329" i="9" s="1"/>
  <c r="AC329" i="9"/>
  <c r="AC822" i="9"/>
  <c r="AB822" i="9"/>
  <c r="AD822" i="9" s="1"/>
  <c r="AC348" i="9"/>
  <c r="AB348" i="9"/>
  <c r="AD348" i="9" s="1"/>
  <c r="AB116" i="9"/>
  <c r="AD116" i="9" s="1"/>
  <c r="AC116" i="9"/>
  <c r="AC644" i="9"/>
  <c r="AB644" i="9"/>
  <c r="AD644" i="9" s="1"/>
  <c r="AB748" i="9"/>
  <c r="AD748" i="9" s="1"/>
  <c r="AC748" i="9"/>
  <c r="AC1042" i="9"/>
  <c r="AB1042" i="9"/>
  <c r="AD1042" i="9" s="1"/>
  <c r="AB57" i="9"/>
  <c r="AD57" i="9" s="1"/>
  <c r="AC57" i="9"/>
  <c r="AB563" i="9"/>
  <c r="AD563" i="9" s="1"/>
  <c r="AC563" i="9"/>
  <c r="AB161" i="9"/>
  <c r="AD161" i="9" s="1"/>
  <c r="AC161" i="9"/>
  <c r="AB671" i="9"/>
  <c r="AD671" i="9" s="1"/>
  <c r="AC671" i="9"/>
  <c r="AC278" i="9"/>
  <c r="AB278" i="9"/>
  <c r="AD278" i="9" s="1"/>
  <c r="AB867" i="9"/>
  <c r="AD867" i="9" s="1"/>
  <c r="AC867" i="9"/>
  <c r="AC397" i="9"/>
  <c r="AB397" i="9"/>
  <c r="AD397" i="9" s="1"/>
  <c r="AB789" i="9"/>
  <c r="AD789" i="9" s="1"/>
  <c r="AC789" i="9"/>
  <c r="AB937" i="9"/>
  <c r="AD937" i="9" s="1"/>
  <c r="AC937" i="9"/>
  <c r="AC1048" i="9"/>
  <c r="AB1048" i="9"/>
  <c r="AD1048" i="9" s="1"/>
  <c r="AB585" i="9"/>
  <c r="AD585" i="9" s="1"/>
  <c r="AC585" i="9"/>
  <c r="AC886" i="9"/>
  <c r="AB886" i="9"/>
  <c r="AD886" i="9" s="1"/>
  <c r="AC380" i="9"/>
  <c r="AB380" i="9"/>
  <c r="AD380" i="9" s="1"/>
  <c r="AB146" i="9"/>
  <c r="AD146" i="9" s="1"/>
  <c r="AC146" i="9"/>
  <c r="AC660" i="9"/>
  <c r="AB660" i="9"/>
  <c r="AD660" i="9" s="1"/>
  <c r="AB779" i="9"/>
  <c r="AD779" i="9" s="1"/>
  <c r="AC779" i="9"/>
  <c r="AC1074" i="9"/>
  <c r="AB1074" i="9"/>
  <c r="AD1074" i="9" s="1"/>
  <c r="AB65" i="9"/>
  <c r="AD65" i="9" s="1"/>
  <c r="AC65" i="9"/>
  <c r="AB571" i="9"/>
  <c r="AD571" i="9" s="1"/>
  <c r="AC571" i="9"/>
  <c r="AB169" i="9"/>
  <c r="AD169" i="9" s="1"/>
  <c r="AC169" i="9"/>
  <c r="AB678" i="9"/>
  <c r="AD678" i="9" s="1"/>
  <c r="AC678" i="9"/>
  <c r="AB286" i="9"/>
  <c r="AD286" i="9" s="1"/>
  <c r="AC286" i="9"/>
  <c r="AC883" i="9"/>
  <c r="AB883" i="9"/>
  <c r="AD883" i="9" s="1"/>
  <c r="AB405" i="9"/>
  <c r="AD405" i="9" s="1"/>
  <c r="AC405" i="9"/>
  <c r="AC797" i="9"/>
  <c r="AB797" i="9"/>
  <c r="AD797" i="9" s="1"/>
  <c r="AC945" i="9"/>
  <c r="AB945" i="9"/>
  <c r="AD945" i="9" s="1"/>
  <c r="AB1056" i="9"/>
  <c r="AD1056" i="9" s="1"/>
  <c r="AC1056" i="9"/>
  <c r="AB978" i="9"/>
  <c r="AD978" i="9" s="1"/>
  <c r="AC978" i="9"/>
  <c r="AC364" i="9"/>
  <c r="AB364" i="9"/>
  <c r="AD364" i="9" s="1"/>
  <c r="AC1024" i="9"/>
  <c r="AB1024" i="9"/>
  <c r="AD1024" i="9" s="1"/>
  <c r="AB374" i="9"/>
  <c r="AD374" i="9" s="1"/>
  <c r="AC374" i="9"/>
  <c r="AC121" i="9"/>
  <c r="AB121" i="9"/>
  <c r="AD121" i="9" s="1"/>
  <c r="AC688" i="9"/>
  <c r="AB688" i="9"/>
  <c r="AD688" i="9" s="1"/>
  <c r="AC993" i="9"/>
  <c r="AB993" i="9"/>
  <c r="AD993" i="9" s="1"/>
  <c r="AB1009" i="9"/>
  <c r="AD1009" i="9" s="1"/>
  <c r="AC1009" i="9"/>
  <c r="AC633" i="9"/>
  <c r="AB633" i="9"/>
  <c r="AD633" i="9" s="1"/>
  <c r="AC188" i="9"/>
  <c r="AB188" i="9"/>
  <c r="AD188" i="9" s="1"/>
  <c r="AC207" i="9"/>
  <c r="AB207" i="9"/>
  <c r="AD207" i="9" s="1"/>
  <c r="AC367" i="9"/>
  <c r="AB367" i="9"/>
  <c r="AD367" i="9" s="1"/>
  <c r="AC273" i="9"/>
  <c r="AB273" i="9"/>
  <c r="AD273" i="9" s="1"/>
  <c r="AC964" i="9"/>
  <c r="AB964" i="9"/>
  <c r="AD964" i="9" s="1"/>
  <c r="AB418" i="9"/>
  <c r="AD418" i="9" s="1"/>
  <c r="AC418" i="9"/>
  <c r="AB249" i="9"/>
  <c r="AD249" i="9" s="1"/>
  <c r="AC249" i="9"/>
  <c r="AB134" i="9"/>
  <c r="AD134" i="9" s="1"/>
  <c r="AC134" i="9"/>
  <c r="AB1052" i="9"/>
  <c r="AD1052" i="9" s="1"/>
  <c r="AC1052" i="9"/>
  <c r="AB1005" i="9"/>
  <c r="AD1005" i="9" s="1"/>
  <c r="AC1005" i="9"/>
  <c r="AC901" i="9"/>
  <c r="AB901" i="9"/>
  <c r="AD901" i="9" s="1"/>
  <c r="AB2" i="9"/>
  <c r="AD2" i="9" s="1"/>
  <c r="AC2" i="9"/>
  <c r="AB71" i="9"/>
  <c r="AD71" i="9" s="1"/>
  <c r="AC71" i="9"/>
  <c r="AB279" i="9"/>
  <c r="AD279" i="9" s="1"/>
  <c r="AC279" i="9"/>
  <c r="AC517" i="9"/>
  <c r="AB517" i="9"/>
  <c r="AD517" i="9" s="1"/>
  <c r="AC100" i="9"/>
  <c r="AB100" i="9"/>
  <c r="AD100" i="9" s="1"/>
  <c r="AB998" i="9"/>
  <c r="AD998" i="9" s="1"/>
  <c r="AC998" i="9"/>
  <c r="AB287" i="9"/>
  <c r="AD287" i="9" s="1"/>
  <c r="AC287" i="9"/>
  <c r="AC525" i="9"/>
  <c r="AB525" i="9"/>
  <c r="AD525" i="9" s="1"/>
  <c r="AC162" i="9"/>
  <c r="AB162" i="9"/>
  <c r="AD162" i="9" s="1"/>
  <c r="AC656" i="9"/>
  <c r="AB656" i="9"/>
  <c r="AD656" i="9" s="1"/>
  <c r="AC189" i="9"/>
  <c r="AB189" i="9"/>
  <c r="AD189" i="9" s="1"/>
  <c r="AC1073" i="9"/>
  <c r="AB1073" i="9"/>
  <c r="AD1073" i="9" s="1"/>
  <c r="AB345" i="9"/>
  <c r="AD345" i="9" s="1"/>
  <c r="AC345" i="9"/>
  <c r="AB394" i="9"/>
  <c r="AD394" i="9" s="1"/>
  <c r="AC394" i="9"/>
  <c r="AB180" i="9"/>
  <c r="AD180" i="9" s="1"/>
  <c r="AC180" i="9"/>
  <c r="AC456" i="9"/>
  <c r="AB456" i="9"/>
  <c r="AD456" i="9" s="1"/>
  <c r="AB868" i="9"/>
  <c r="AD868" i="9" s="1"/>
  <c r="AC868" i="9"/>
  <c r="AC14" i="9"/>
  <c r="AB14" i="9"/>
  <c r="AD14" i="9" s="1"/>
  <c r="AC129" i="9"/>
  <c r="AB129" i="9"/>
  <c r="AD129" i="9" s="1"/>
  <c r="AC1017" i="9"/>
  <c r="AB1017" i="9"/>
  <c r="AD1017" i="9" s="1"/>
  <c r="AC300" i="9"/>
  <c r="AB300" i="9"/>
  <c r="AD300" i="9" s="1"/>
  <c r="AB763" i="9"/>
  <c r="AD763" i="9" s="1"/>
  <c r="AC763" i="9"/>
  <c r="AB498" i="9"/>
  <c r="AD498" i="9" s="1"/>
  <c r="AC498" i="9"/>
  <c r="AC878" i="9"/>
  <c r="AB878" i="9"/>
  <c r="AD878" i="9" s="1"/>
  <c r="AB53" i="9"/>
  <c r="AD53" i="9" s="1"/>
  <c r="AC53" i="9"/>
  <c r="AC168" i="9"/>
  <c r="AB168" i="9"/>
  <c r="AD168" i="9" s="1"/>
  <c r="AB309" i="9"/>
  <c r="AD309" i="9" s="1"/>
  <c r="AC309" i="9"/>
  <c r="AB808" i="9"/>
  <c r="AD808" i="9" s="1"/>
  <c r="AC808" i="9"/>
  <c r="AC666" i="9"/>
  <c r="AB666" i="9"/>
  <c r="AD666" i="9" s="1"/>
  <c r="AB467" i="9"/>
  <c r="AD467" i="9" s="1"/>
  <c r="AC467" i="9"/>
  <c r="AC701" i="9"/>
  <c r="AB701" i="9"/>
  <c r="AD701" i="9" s="1"/>
  <c r="AB212" i="9"/>
  <c r="AD212" i="9" s="1"/>
  <c r="AC212" i="9"/>
  <c r="AC417" i="9"/>
  <c r="AB417" i="9"/>
  <c r="AD417" i="9" s="1"/>
  <c r="AB347" i="9"/>
  <c r="AD347" i="9" s="1"/>
  <c r="AC347" i="9"/>
  <c r="AC455" i="9"/>
  <c r="AB455" i="9"/>
  <c r="AD455" i="9" s="1"/>
  <c r="AB574" i="9"/>
  <c r="AD574" i="9" s="1"/>
  <c r="AC574" i="9"/>
  <c r="AC1050" i="9"/>
  <c r="AB1050" i="9"/>
  <c r="AD1050" i="9" s="1"/>
  <c r="AB983" i="9"/>
  <c r="AD983" i="9" s="1"/>
  <c r="AC983" i="9"/>
  <c r="AB228" i="9"/>
  <c r="AD228" i="9" s="1"/>
  <c r="AC228" i="9"/>
  <c r="AC103" i="9"/>
  <c r="AB103" i="9"/>
  <c r="AD103" i="9" s="1"/>
  <c r="AC335" i="9"/>
  <c r="AB335" i="9"/>
  <c r="AD335" i="9" s="1"/>
  <c r="AB454" i="9"/>
  <c r="AD454" i="9" s="1"/>
  <c r="AC454" i="9"/>
  <c r="AC1066" i="9"/>
  <c r="AB1066" i="9"/>
  <c r="AD1066" i="9" s="1"/>
  <c r="AB1023" i="9"/>
  <c r="AD1023" i="9" s="1"/>
  <c r="AC1023" i="9"/>
  <c r="AC923" i="9"/>
  <c r="AB923" i="9"/>
  <c r="AD923" i="9" s="1"/>
  <c r="AB292" i="9"/>
  <c r="AD292" i="9" s="1"/>
  <c r="AC292" i="9"/>
  <c r="AC497" i="9"/>
  <c r="AB497" i="9"/>
  <c r="AD497" i="9" s="1"/>
  <c r="AC387" i="9"/>
  <c r="AB387" i="9"/>
  <c r="AD387" i="9" s="1"/>
  <c r="AC495" i="9"/>
  <c r="AB495" i="9"/>
  <c r="AD495" i="9" s="1"/>
  <c r="AB614" i="9"/>
  <c r="AD614" i="9" s="1"/>
  <c r="AC614" i="9"/>
  <c r="AC805" i="9"/>
  <c r="AB805" i="9"/>
  <c r="AD805" i="9" s="1"/>
  <c r="AB1039" i="9"/>
  <c r="AD1039" i="9" s="1"/>
  <c r="AC1039" i="9"/>
  <c r="AB958" i="9"/>
  <c r="AD958" i="9" s="1"/>
  <c r="AC958" i="9"/>
  <c r="AC963" i="9"/>
  <c r="AB963" i="9"/>
  <c r="AD963" i="9" s="1"/>
  <c r="AC1051" i="9"/>
  <c r="AB1051" i="9"/>
  <c r="AD1051" i="9" s="1"/>
  <c r="AB324" i="9"/>
  <c r="AD324" i="9" s="1"/>
  <c r="AC324" i="9"/>
  <c r="AC529" i="9"/>
  <c r="AB529" i="9"/>
  <c r="AD529" i="9" s="1"/>
  <c r="AC403" i="9"/>
  <c r="AB403" i="9"/>
  <c r="AD403" i="9" s="1"/>
  <c r="AC511" i="9"/>
  <c r="AB511" i="9"/>
  <c r="AD511" i="9" s="1"/>
  <c r="AB630" i="9"/>
  <c r="AD630" i="9" s="1"/>
  <c r="AC630" i="9"/>
  <c r="AC821" i="9"/>
  <c r="AB821" i="9"/>
  <c r="AD821" i="9" s="1"/>
  <c r="AC1047" i="9"/>
  <c r="AB1047" i="9"/>
  <c r="AD1047" i="9" s="1"/>
  <c r="AB26" i="9"/>
  <c r="AD26" i="9" s="1"/>
  <c r="AC26" i="9"/>
  <c r="AB552" i="9"/>
  <c r="AD552" i="9" s="1"/>
  <c r="AC552" i="9"/>
  <c r="AB69" i="9"/>
  <c r="AD69" i="9" s="1"/>
  <c r="AC69" i="9"/>
  <c r="AC184" i="9"/>
  <c r="AB184" i="9"/>
  <c r="AD184" i="9" s="1"/>
  <c r="AB349" i="9"/>
  <c r="AD349" i="9" s="1"/>
  <c r="AC349" i="9"/>
  <c r="AB824" i="9"/>
  <c r="AD824" i="9" s="1"/>
  <c r="AC824" i="9"/>
  <c r="AC652" i="9"/>
  <c r="AB652" i="9"/>
  <c r="AD652" i="9" s="1"/>
  <c r="AC24" i="9"/>
  <c r="AB24" i="9"/>
  <c r="AD24" i="9" s="1"/>
  <c r="AB674" i="9"/>
  <c r="AD674" i="9" s="1"/>
  <c r="AC674" i="9"/>
  <c r="AC35" i="9"/>
  <c r="AB35" i="9"/>
  <c r="AD35" i="9" s="1"/>
  <c r="AB139" i="9"/>
  <c r="AD139" i="9" s="1"/>
  <c r="AC139" i="9"/>
  <c r="AB254" i="9"/>
  <c r="AD254" i="9" s="1"/>
  <c r="AC254" i="9"/>
  <c r="AC437" i="9"/>
  <c r="AB437" i="9"/>
  <c r="AD437" i="9" s="1"/>
  <c r="AC936" i="9"/>
  <c r="AB936" i="9"/>
  <c r="AD936" i="9" s="1"/>
  <c r="AC665" i="9"/>
  <c r="AB665" i="9"/>
  <c r="AD665" i="9" s="1"/>
  <c r="AC634" i="9"/>
  <c r="AB634" i="9"/>
  <c r="AD634" i="9" s="1"/>
  <c r="AC554" i="9"/>
  <c r="AB554" i="9"/>
  <c r="AD554" i="9" s="1"/>
  <c r="AB182" i="9"/>
  <c r="AD182" i="9" s="1"/>
  <c r="AC182" i="9"/>
  <c r="AC258" i="9"/>
  <c r="AB258" i="9"/>
  <c r="AD258" i="9" s="1"/>
  <c r="AC385" i="9"/>
  <c r="AB385" i="9"/>
  <c r="AD385" i="9" s="1"/>
  <c r="AB536" i="9"/>
  <c r="AD536" i="9" s="1"/>
  <c r="AC536" i="9"/>
  <c r="AC331" i="9"/>
  <c r="AB331" i="9"/>
  <c r="AD331" i="9" s="1"/>
  <c r="AC948" i="9"/>
  <c r="AB948" i="9"/>
  <c r="AD948" i="9" s="1"/>
  <c r="AC439" i="9"/>
  <c r="AB439" i="9"/>
  <c r="AD439" i="9" s="1"/>
  <c r="AB52" i="9"/>
  <c r="AD52" i="9" s="1"/>
  <c r="AC52" i="9"/>
  <c r="AB558" i="9"/>
  <c r="AD558" i="9" s="1"/>
  <c r="AC558" i="9"/>
  <c r="AB167" i="9"/>
  <c r="AD167" i="9" s="1"/>
  <c r="AC167" i="9"/>
  <c r="AB677" i="9"/>
  <c r="AD677" i="9" s="1"/>
  <c r="AC677" i="9"/>
  <c r="AC1069" i="9"/>
  <c r="AB1069" i="9"/>
  <c r="AD1069" i="9" s="1"/>
  <c r="AB816" i="9"/>
  <c r="AD816" i="9" s="1"/>
  <c r="AC816" i="9"/>
  <c r="AB967" i="9"/>
  <c r="AD967" i="9" s="1"/>
  <c r="AC967" i="9"/>
  <c r="AB573" i="9"/>
  <c r="AD573" i="9" s="1"/>
  <c r="AC573" i="9"/>
  <c r="AC965" i="9"/>
  <c r="AB965" i="9"/>
  <c r="AD965" i="9" s="1"/>
  <c r="AB712" i="9"/>
  <c r="AD712" i="9" s="1"/>
  <c r="AC712" i="9"/>
  <c r="AB863" i="9"/>
  <c r="AD863" i="9" s="1"/>
  <c r="AC863" i="9"/>
  <c r="AB862" i="9"/>
  <c r="AD862" i="9" s="1"/>
  <c r="AC862" i="9"/>
  <c r="AC250" i="9"/>
  <c r="AB250" i="9"/>
  <c r="AD250" i="9" s="1"/>
  <c r="AC172" i="9"/>
  <c r="AB172" i="9"/>
  <c r="AD172" i="9" s="1"/>
  <c r="AB1022" i="9"/>
  <c r="AD1022" i="9" s="1"/>
  <c r="AC1022" i="9"/>
  <c r="AC72" i="9"/>
  <c r="AB72" i="9"/>
  <c r="AD72" i="9" s="1"/>
  <c r="AB344" i="9"/>
  <c r="AD344" i="9" s="1"/>
  <c r="AC344" i="9"/>
  <c r="AC235" i="9"/>
  <c r="AB235" i="9"/>
  <c r="AD235" i="9" s="1"/>
  <c r="AC757" i="9"/>
  <c r="AB757" i="9"/>
  <c r="AD757" i="9" s="1"/>
  <c r="AC343" i="9"/>
  <c r="AB343" i="9"/>
  <c r="AD343" i="9" s="1"/>
  <c r="AC988" i="9"/>
  <c r="AB988" i="9"/>
  <c r="AD988" i="9" s="1"/>
  <c r="AB462" i="9"/>
  <c r="AD462" i="9" s="1"/>
  <c r="AC462" i="9"/>
  <c r="AB75" i="9"/>
  <c r="AD75" i="9" s="1"/>
  <c r="AC75" i="9"/>
  <c r="AB581" i="9"/>
  <c r="AD581" i="9" s="1"/>
  <c r="AC581" i="9"/>
  <c r="AC973" i="9"/>
  <c r="AB973" i="9"/>
  <c r="AD973" i="9" s="1"/>
  <c r="AB720" i="9"/>
  <c r="AD720" i="9" s="1"/>
  <c r="AC720" i="9"/>
  <c r="AB871" i="9"/>
  <c r="AD871" i="9" s="1"/>
  <c r="AC871" i="9"/>
  <c r="AB926" i="9"/>
  <c r="AD926" i="9" s="1"/>
  <c r="AC926" i="9"/>
  <c r="AC282" i="9"/>
  <c r="AB282" i="9"/>
  <c r="AD282" i="9" s="1"/>
  <c r="AC202" i="9"/>
  <c r="AB202" i="9"/>
  <c r="AD202" i="9" s="1"/>
  <c r="AB12" i="9"/>
  <c r="AD12" i="9" s="1"/>
  <c r="AC12" i="9"/>
  <c r="AC209" i="9"/>
  <c r="AB209" i="9"/>
  <c r="AD209" i="9" s="1"/>
  <c r="AB360" i="9"/>
  <c r="AD360" i="9" s="1"/>
  <c r="AC360" i="9"/>
  <c r="AC243" i="9"/>
  <c r="AB243" i="9"/>
  <c r="AD243" i="9" s="1"/>
  <c r="AC772" i="9"/>
  <c r="AB772" i="9"/>
  <c r="AD772" i="9" s="1"/>
  <c r="AC351" i="9"/>
  <c r="AB351" i="9"/>
  <c r="AD351" i="9" s="1"/>
  <c r="AC1004" i="9"/>
  <c r="AB1004" i="9"/>
  <c r="AD1004" i="9" s="1"/>
  <c r="AB470" i="9"/>
  <c r="AD470" i="9" s="1"/>
  <c r="AC470" i="9"/>
  <c r="AB83" i="9"/>
  <c r="AD83" i="9" s="1"/>
  <c r="AC83" i="9"/>
  <c r="AB589" i="9"/>
  <c r="AD589" i="9" s="1"/>
  <c r="AC589" i="9"/>
  <c r="AC981" i="9"/>
  <c r="AB981" i="9"/>
  <c r="AD981" i="9" s="1"/>
  <c r="AB728" i="9"/>
  <c r="AD728" i="9" s="1"/>
  <c r="AC728" i="9"/>
  <c r="AB879" i="9"/>
  <c r="AD879" i="9" s="1"/>
  <c r="AC879" i="9"/>
  <c r="AC990" i="9"/>
  <c r="AB990" i="9"/>
  <c r="AD990" i="9" s="1"/>
  <c r="AC314" i="9"/>
  <c r="AB314" i="9"/>
  <c r="AD314" i="9" s="1"/>
  <c r="AC234" i="9"/>
  <c r="AB234" i="9"/>
  <c r="AD234" i="9" s="1"/>
  <c r="AC28" i="9"/>
  <c r="AB28" i="9"/>
  <c r="AD28" i="9" s="1"/>
  <c r="AC102" i="9"/>
  <c r="AB102" i="9"/>
  <c r="AD102" i="9" s="1"/>
  <c r="AC225" i="9"/>
  <c r="AB225" i="9"/>
  <c r="AD225" i="9" s="1"/>
  <c r="AB376" i="9"/>
  <c r="AD376" i="9" s="1"/>
  <c r="AC376" i="9"/>
  <c r="AC251" i="9"/>
  <c r="AB251" i="9"/>
  <c r="AD251" i="9" s="1"/>
  <c r="AC788" i="9"/>
  <c r="AB788" i="9"/>
  <c r="AD788" i="9" s="1"/>
  <c r="AC359" i="9"/>
  <c r="AB359" i="9"/>
  <c r="AD359" i="9" s="1"/>
  <c r="AC1020" i="9"/>
  <c r="AB1020" i="9"/>
  <c r="AD1020" i="9" s="1"/>
  <c r="AB478" i="9"/>
  <c r="AD478" i="9" s="1"/>
  <c r="AC478" i="9"/>
  <c r="AB89" i="9"/>
  <c r="AD89" i="9" s="1"/>
  <c r="AC89" i="9"/>
  <c r="AC597" i="9"/>
  <c r="AB597" i="9"/>
  <c r="AD597" i="9" s="1"/>
  <c r="AC989" i="9"/>
  <c r="AB989" i="9"/>
  <c r="AD989" i="9" s="1"/>
  <c r="AB736" i="9"/>
  <c r="AD736" i="9" s="1"/>
  <c r="AC736" i="9"/>
  <c r="AB887" i="9"/>
  <c r="AD887" i="9" s="1"/>
  <c r="AC887" i="9"/>
  <c r="AB1026" i="9"/>
  <c r="AD1026" i="9" s="1"/>
  <c r="AC1026" i="9"/>
  <c r="AB655" i="9"/>
  <c r="AD655" i="9" s="1"/>
  <c r="AC655" i="9"/>
  <c r="AB256" i="9"/>
  <c r="AD256" i="9" s="1"/>
  <c r="AC256" i="9"/>
  <c r="AC264" i="9"/>
  <c r="AB264" i="9"/>
  <c r="AD264" i="9" s="1"/>
  <c r="AB908" i="9"/>
  <c r="AD908" i="9" s="1"/>
  <c r="AC908" i="9"/>
  <c r="AB702" i="9"/>
  <c r="AD702" i="9" s="1"/>
  <c r="AC702" i="9"/>
  <c r="AC95" i="9"/>
  <c r="AB95" i="9"/>
  <c r="AD95" i="9" s="1"/>
  <c r="AC318" i="9"/>
  <c r="AB318" i="9"/>
  <c r="AD318" i="9" s="1"/>
  <c r="AC650" i="9"/>
  <c r="AB650" i="9"/>
  <c r="AD650" i="9" s="1"/>
  <c r="AC85" i="9"/>
  <c r="AB85" i="9"/>
  <c r="AD85" i="9" s="1"/>
  <c r="AB734" i="9"/>
  <c r="AD734" i="9" s="1"/>
  <c r="AC734" i="9"/>
  <c r="AC239" i="9"/>
  <c r="AB239" i="9"/>
  <c r="AD239" i="9" s="1"/>
  <c r="AC1064" i="9"/>
  <c r="AB1064" i="9"/>
  <c r="AD1064" i="9" s="1"/>
  <c r="AC63" i="9"/>
  <c r="AB63" i="9"/>
  <c r="AD63" i="9" s="1"/>
  <c r="AC149" i="9"/>
  <c r="AB149" i="9"/>
  <c r="AD149" i="9" s="1"/>
  <c r="AC240" i="9"/>
  <c r="AB240" i="9"/>
  <c r="AD240" i="9" s="1"/>
  <c r="AB940" i="9"/>
  <c r="AD940" i="9" s="1"/>
  <c r="AC940" i="9"/>
  <c r="AB313" i="9"/>
  <c r="AD313" i="9" s="1"/>
  <c r="AC313" i="9"/>
  <c r="AC440" i="9"/>
  <c r="AB440" i="9"/>
  <c r="AD440" i="9" s="1"/>
  <c r="AC977" i="9"/>
  <c r="AB977" i="9"/>
  <c r="AD977" i="9" s="1"/>
  <c r="AC10" i="9"/>
  <c r="AB10" i="9"/>
  <c r="AD10" i="9" s="1"/>
  <c r="AC203" i="9"/>
  <c r="AB203" i="9"/>
  <c r="AD203" i="9" s="1"/>
  <c r="AC311" i="9"/>
  <c r="AB311" i="9"/>
  <c r="AD311" i="9" s="1"/>
  <c r="AB43" i="9"/>
  <c r="AD43" i="9" s="1"/>
  <c r="AC43" i="9"/>
  <c r="AB839" i="9"/>
  <c r="AD839" i="9" s="1"/>
  <c r="AC839" i="9"/>
  <c r="AB735" i="9"/>
  <c r="AD735" i="9" s="1"/>
  <c r="AC735" i="9"/>
  <c r="AB572" i="9"/>
  <c r="AD572" i="9" s="1"/>
  <c r="AC572" i="9"/>
  <c r="AC971" i="9"/>
  <c r="AB971" i="9"/>
  <c r="AD971" i="9" s="1"/>
  <c r="AC111" i="9"/>
  <c r="AB111" i="9"/>
  <c r="AD111" i="9" s="1"/>
  <c r="AC215" i="9"/>
  <c r="AB215" i="9"/>
  <c r="AD215" i="9" s="1"/>
  <c r="AC979" i="9"/>
  <c r="AB979" i="9"/>
  <c r="AD979" i="9" s="1"/>
  <c r="AB834" i="9"/>
  <c r="AD834" i="9" s="1"/>
  <c r="AC834" i="9"/>
  <c r="AC368" i="9"/>
  <c r="AB368" i="9"/>
  <c r="AD368" i="9" s="1"/>
  <c r="AC1003" i="9"/>
  <c r="AB1003" i="9"/>
  <c r="AD1003" i="9" s="1"/>
  <c r="AC627" i="9"/>
  <c r="AB627" i="9"/>
  <c r="AD627" i="9" s="1"/>
  <c r="AC756" i="9"/>
  <c r="AB756" i="9"/>
  <c r="AD756" i="9" s="1"/>
  <c r="AB461" i="9"/>
  <c r="AD461" i="9" s="1"/>
  <c r="AC461" i="9"/>
  <c r="AB751" i="9"/>
  <c r="AD751" i="9" s="1"/>
  <c r="AC751" i="9"/>
  <c r="AB576" i="9"/>
  <c r="AD576" i="9" s="1"/>
  <c r="AC576" i="9"/>
  <c r="AC400" i="9"/>
  <c r="AB400" i="9"/>
  <c r="AD400" i="9" s="1"/>
  <c r="AB124" i="9"/>
  <c r="AD124" i="9" s="1"/>
  <c r="AC124" i="9"/>
  <c r="AC231" i="9"/>
  <c r="AB231" i="9"/>
  <c r="AD231" i="9" s="1"/>
  <c r="AC469" i="9"/>
  <c r="AB469" i="9"/>
  <c r="AD469" i="9" s="1"/>
  <c r="AB854" i="9"/>
  <c r="AD854" i="9" s="1"/>
  <c r="AC854" i="9"/>
  <c r="AB841" i="9"/>
  <c r="AD841" i="9" s="1"/>
  <c r="AC841" i="9"/>
  <c r="AC520" i="9"/>
  <c r="AB520" i="9"/>
  <c r="AD520" i="9" s="1"/>
  <c r="AC1033" i="9"/>
  <c r="AB1033" i="9"/>
  <c r="AD1033" i="9" s="1"/>
  <c r="AB163" i="9"/>
  <c r="AD163" i="9" s="1"/>
  <c r="AC163" i="9"/>
  <c r="AC694" i="9"/>
  <c r="AB694" i="9"/>
  <c r="AD694" i="9" s="1"/>
  <c r="AB1006" i="9"/>
  <c r="AD1006" i="9" s="1"/>
  <c r="AC1006" i="9"/>
  <c r="AC346" i="9"/>
  <c r="AB346" i="9"/>
  <c r="AD346" i="9" s="1"/>
  <c r="AC259" i="9"/>
  <c r="AB259" i="9"/>
  <c r="AD259" i="9" s="1"/>
  <c r="AB855" i="9"/>
  <c r="AD855" i="9" s="1"/>
  <c r="AC855" i="9"/>
  <c r="AB410" i="9"/>
  <c r="AD410" i="9" s="1"/>
  <c r="AC410" i="9"/>
  <c r="AB383" i="9"/>
  <c r="AD383" i="9" s="1"/>
  <c r="AC383" i="9"/>
  <c r="AB895" i="9"/>
  <c r="AD895" i="9" s="1"/>
  <c r="AC895" i="9"/>
  <c r="AB60" i="9"/>
  <c r="AD60" i="9" s="1"/>
  <c r="AC60" i="9"/>
  <c r="AB1041" i="9"/>
  <c r="AD1041" i="9" s="1"/>
  <c r="AC1041" i="9"/>
  <c r="AC15" i="9"/>
  <c r="AB15" i="9"/>
  <c r="AD15" i="9" s="1"/>
  <c r="AC760" i="9"/>
  <c r="AB760" i="9"/>
  <c r="AD760" i="9" s="1"/>
  <c r="AB378" i="9"/>
  <c r="AD378" i="9" s="1"/>
  <c r="AC378" i="9"/>
  <c r="AC58" i="9"/>
  <c r="AB58" i="9"/>
  <c r="AD58" i="9" s="1"/>
  <c r="AB257" i="9"/>
  <c r="AD257" i="9" s="1"/>
  <c r="AC257" i="9"/>
  <c r="AB820" i="9"/>
  <c r="AD820" i="9" s="1"/>
  <c r="AC820" i="9"/>
  <c r="AC494" i="9"/>
  <c r="AB494" i="9"/>
  <c r="AD494" i="9" s="1"/>
  <c r="AC613" i="9"/>
  <c r="AB613" i="9"/>
  <c r="AD613" i="9" s="1"/>
  <c r="AC752" i="9"/>
  <c r="AB752" i="9"/>
  <c r="AD752" i="9" s="1"/>
  <c r="AB509" i="9"/>
  <c r="AD509" i="9" s="1"/>
  <c r="AC509" i="9"/>
  <c r="AC1049" i="9"/>
  <c r="AB1049" i="9"/>
  <c r="AD1049" i="9" s="1"/>
  <c r="AB457" i="9"/>
  <c r="AD457" i="9" s="1"/>
  <c r="AC457" i="9"/>
  <c r="AC918" i="9"/>
  <c r="AB918" i="9"/>
  <c r="AD918" i="9" s="1"/>
  <c r="AC966" i="9"/>
  <c r="AB966" i="9"/>
  <c r="AD966" i="9" s="1"/>
  <c r="AC216" i="9"/>
  <c r="AB216" i="9"/>
  <c r="AD216" i="9" s="1"/>
  <c r="AB173" i="9"/>
  <c r="AD173" i="9" s="1"/>
  <c r="AC173" i="9"/>
  <c r="AB860" i="9"/>
  <c r="AD860" i="9" s="1"/>
  <c r="AC860" i="9"/>
  <c r="AC398" i="9"/>
  <c r="AB398" i="9"/>
  <c r="AD398" i="9" s="1"/>
  <c r="AC13" i="9"/>
  <c r="AB13" i="9"/>
  <c r="AD13" i="9" s="1"/>
  <c r="AB909" i="9"/>
  <c r="AD909" i="9" s="1"/>
  <c r="AC909" i="9"/>
  <c r="AB1057" i="9"/>
  <c r="AD1057" i="9" s="1"/>
  <c r="AC1057" i="9"/>
  <c r="AC807" i="9"/>
  <c r="AB807" i="9"/>
  <c r="AD807" i="9" s="1"/>
  <c r="AB34" i="9"/>
  <c r="AD34" i="9" s="1"/>
  <c r="AC34" i="9"/>
  <c r="AC624" i="9"/>
  <c r="AB624" i="9"/>
  <c r="AD624" i="9" s="1"/>
  <c r="AB87" i="9"/>
  <c r="AD87" i="9" s="1"/>
  <c r="AC87" i="9"/>
  <c r="AC181" i="9"/>
  <c r="AB181" i="9"/>
  <c r="AD181" i="9" s="1"/>
  <c r="AC876" i="9"/>
  <c r="AB876" i="9"/>
  <c r="AD876" i="9" s="1"/>
  <c r="AB406" i="9"/>
  <c r="AD406" i="9" s="1"/>
  <c r="AC406" i="9"/>
  <c r="AB21" i="9"/>
  <c r="AD21" i="9" s="1"/>
  <c r="AC21" i="9"/>
  <c r="AC917" i="9"/>
  <c r="AB917" i="9"/>
  <c r="AD917" i="9" s="1"/>
  <c r="AC1065" i="9"/>
  <c r="AB1065" i="9"/>
  <c r="AD1065" i="9" s="1"/>
  <c r="AB815" i="9"/>
  <c r="AD815" i="9" s="1"/>
  <c r="AC815" i="9"/>
  <c r="AC64" i="9"/>
  <c r="AB64" i="9"/>
  <c r="AD64" i="9" s="1"/>
  <c r="AB1046" i="9"/>
  <c r="AD1046" i="9" s="1"/>
  <c r="AC1046" i="9"/>
  <c r="AB1030" i="9"/>
  <c r="AD1030" i="9" s="1"/>
  <c r="AC1030" i="9"/>
  <c r="AC101" i="9"/>
  <c r="AB101" i="9"/>
  <c r="AD101" i="9" s="1"/>
  <c r="AB248" i="9"/>
  <c r="AD248" i="9" s="1"/>
  <c r="AC248" i="9"/>
  <c r="AC706" i="9"/>
  <c r="AB706" i="9"/>
  <c r="AD706" i="9" s="1"/>
  <c r="AC295" i="9"/>
  <c r="AB295" i="9"/>
  <c r="AD295" i="9" s="1"/>
  <c r="AC892" i="9"/>
  <c r="AB892" i="9"/>
  <c r="AD892" i="9" s="1"/>
  <c r="AB414" i="9"/>
  <c r="AD414" i="9" s="1"/>
  <c r="AC414" i="9"/>
  <c r="AB29" i="9"/>
  <c r="AD29" i="9" s="1"/>
  <c r="AC29" i="9"/>
  <c r="AB533" i="9"/>
  <c r="AD533" i="9" s="1"/>
  <c r="AC533" i="9"/>
  <c r="AB823" i="9"/>
  <c r="AD823" i="9" s="1"/>
  <c r="AC823" i="9"/>
  <c r="AC174" i="9"/>
  <c r="AB174" i="9"/>
  <c r="AD174" i="9" s="1"/>
  <c r="AB320" i="9"/>
  <c r="AD320" i="9" s="1"/>
  <c r="AC320" i="9"/>
  <c r="AB434" i="9"/>
  <c r="AD434" i="9" s="1"/>
  <c r="AC434" i="9"/>
  <c r="AB765" i="9"/>
  <c r="AD765" i="9" s="1"/>
  <c r="AC765" i="9"/>
  <c r="AC23" i="9"/>
  <c r="AB23" i="9"/>
  <c r="AD23" i="9" s="1"/>
  <c r="AB138" i="9"/>
  <c r="AD138" i="9" s="1"/>
  <c r="AC138" i="9"/>
  <c r="AC301" i="9"/>
  <c r="AB301" i="9"/>
  <c r="AD301" i="9" s="1"/>
  <c r="AC768" i="9"/>
  <c r="AB768" i="9"/>
  <c r="AD768" i="9" s="1"/>
  <c r="AB950" i="9"/>
  <c r="AD950" i="9" s="1"/>
  <c r="AC950" i="9"/>
  <c r="AB178" i="9"/>
  <c r="AD178" i="9" s="1"/>
  <c r="AC178" i="9"/>
  <c r="AB811" i="9"/>
  <c r="AD811" i="9" s="1"/>
  <c r="AC811" i="9"/>
  <c r="AB73" i="9"/>
  <c r="AD73" i="9" s="1"/>
  <c r="AC73" i="9"/>
  <c r="AB177" i="9"/>
  <c r="AD177" i="9" s="1"/>
  <c r="AC177" i="9"/>
  <c r="AC294" i="9"/>
  <c r="AB294" i="9"/>
  <c r="AD294" i="9" s="1"/>
  <c r="AB493" i="9"/>
  <c r="AD493" i="9" s="1"/>
  <c r="AC493" i="9"/>
  <c r="AB960" i="9"/>
  <c r="AD960" i="9" s="1"/>
  <c r="AC960" i="9"/>
  <c r="AB476" i="9"/>
  <c r="AD476" i="9" s="1"/>
  <c r="AC476" i="9"/>
  <c r="AC425" i="9"/>
  <c r="AB425" i="9"/>
  <c r="AD425" i="9" s="1"/>
  <c r="AC4" i="9"/>
  <c r="AB4" i="9"/>
  <c r="AD4" i="9" s="1"/>
  <c r="AB468" i="9"/>
  <c r="AD468" i="9" s="1"/>
  <c r="AC468" i="9"/>
  <c r="AC673" i="9"/>
  <c r="AB673" i="9"/>
  <c r="AD673" i="9" s="1"/>
  <c r="AC475" i="9"/>
  <c r="AB475" i="9"/>
  <c r="AD475" i="9" s="1"/>
  <c r="AB583" i="9"/>
  <c r="AD583" i="9" s="1"/>
  <c r="AC583" i="9"/>
  <c r="AB703" i="9"/>
  <c r="AD703" i="9" s="1"/>
  <c r="AC703" i="9"/>
  <c r="AB933" i="9"/>
  <c r="AD933" i="9" s="1"/>
  <c r="AC933" i="9"/>
  <c r="AC141" i="9"/>
  <c r="AB141" i="9"/>
  <c r="AD141" i="9" s="1"/>
  <c r="AC733" i="9"/>
  <c r="AB733" i="9"/>
  <c r="AD733" i="9" s="1"/>
  <c r="AC227" i="9"/>
  <c r="AB227" i="9"/>
  <c r="AD227" i="9" s="1"/>
  <c r="AC463" i="9"/>
  <c r="AB463" i="9"/>
  <c r="AD463" i="9" s="1"/>
  <c r="AB582" i="9"/>
  <c r="AD582" i="9" s="1"/>
  <c r="AC582" i="9"/>
  <c r="AB949" i="9"/>
  <c r="AD949" i="9" s="1"/>
  <c r="AC949" i="9"/>
  <c r="AC361" i="9"/>
  <c r="AB361" i="9"/>
  <c r="AD361" i="9" s="1"/>
  <c r="AB158" i="9"/>
  <c r="AD158" i="9" s="1"/>
  <c r="AC158" i="9"/>
  <c r="AB548" i="9"/>
  <c r="AD548" i="9" s="1"/>
  <c r="AC548" i="9"/>
  <c r="AB850" i="9"/>
  <c r="AD850" i="9" s="1"/>
  <c r="AC850" i="9"/>
  <c r="AC515" i="9"/>
  <c r="AB515" i="9"/>
  <c r="AD515" i="9" s="1"/>
  <c r="AC623" i="9"/>
  <c r="AB623" i="9"/>
  <c r="AD623" i="9" s="1"/>
  <c r="AC771" i="9"/>
  <c r="AB771" i="9"/>
  <c r="AD771" i="9" s="1"/>
  <c r="AB957" i="9"/>
  <c r="AD957" i="9" s="1"/>
  <c r="AC957" i="9"/>
  <c r="AC17" i="9"/>
  <c r="AB17" i="9"/>
  <c r="AD17" i="9" s="1"/>
  <c r="AB484" i="9"/>
  <c r="AD484" i="9" s="1"/>
  <c r="AC484" i="9"/>
  <c r="AB692" i="9"/>
  <c r="AD692" i="9" s="1"/>
  <c r="AC692" i="9"/>
  <c r="AC220" i="9"/>
  <c r="AB220" i="9"/>
  <c r="AD220" i="9" s="1"/>
  <c r="AC580" i="9"/>
  <c r="AB580" i="9"/>
  <c r="AD580" i="9" s="1"/>
  <c r="AC914" i="9"/>
  <c r="AB914" i="9"/>
  <c r="AD914" i="9" s="1"/>
  <c r="AB531" i="9"/>
  <c r="AD531" i="9" s="1"/>
  <c r="AC531" i="9"/>
  <c r="AB639" i="9"/>
  <c r="AD639" i="9" s="1"/>
  <c r="AC639" i="9"/>
  <c r="AB803" i="9"/>
  <c r="AD803" i="9" s="1"/>
  <c r="AC803" i="9"/>
  <c r="AC997" i="9"/>
  <c r="AB997" i="9"/>
  <c r="AD997" i="9" s="1"/>
  <c r="AB171" i="9"/>
  <c r="AD171" i="9" s="1"/>
  <c r="AC171" i="9"/>
  <c r="AC274" i="9"/>
  <c r="AB274" i="9"/>
  <c r="AD274" i="9" s="1"/>
  <c r="AC942" i="9"/>
  <c r="AB942" i="9"/>
  <c r="AD942" i="9" s="1"/>
  <c r="AC193" i="9"/>
  <c r="AB193" i="9"/>
  <c r="AD193" i="9" s="1"/>
  <c r="AB310" i="9"/>
  <c r="AD310" i="9" s="1"/>
  <c r="AC310" i="9"/>
  <c r="AB501" i="9"/>
  <c r="AD501" i="9" s="1"/>
  <c r="AC501" i="9"/>
  <c r="AB1000" i="9"/>
  <c r="AD1000" i="9" s="1"/>
  <c r="AC1000" i="9"/>
  <c r="AC125" i="9"/>
  <c r="AB125" i="9"/>
  <c r="AD125" i="9" s="1"/>
  <c r="AC528" i="9"/>
  <c r="AB528" i="9"/>
  <c r="AD528" i="9" s="1"/>
  <c r="AC39" i="9"/>
  <c r="AB39" i="9"/>
  <c r="AD39" i="9" s="1"/>
  <c r="AC157" i="9"/>
  <c r="AB157" i="9"/>
  <c r="AD157" i="9" s="1"/>
  <c r="AC263" i="9"/>
  <c r="AB263" i="9"/>
  <c r="AD263" i="9" s="1"/>
  <c r="AB382" i="9"/>
  <c r="AD382" i="9" s="1"/>
  <c r="AC382" i="9"/>
  <c r="AB621" i="9"/>
  <c r="AD621" i="9" s="1"/>
  <c r="AC621" i="9"/>
  <c r="AB727" i="9"/>
  <c r="AD727" i="9" s="1"/>
  <c r="AC727" i="9"/>
  <c r="AC82" i="9"/>
  <c r="AB82" i="9"/>
  <c r="AD82" i="9" s="1"/>
  <c r="AB987" i="9"/>
  <c r="AD987" i="9" s="1"/>
  <c r="AC987" i="9"/>
  <c r="AB955" i="9"/>
  <c r="AD955" i="9" s="1"/>
  <c r="AC955" i="9"/>
  <c r="AC308" i="9"/>
  <c r="AB308" i="9"/>
  <c r="AD308" i="9" s="1"/>
  <c r="AB386" i="9"/>
  <c r="AD386" i="9" s="1"/>
  <c r="AC386" i="9"/>
  <c r="AB513" i="9"/>
  <c r="AD513" i="9" s="1"/>
  <c r="AC513" i="9"/>
  <c r="AC664" i="9"/>
  <c r="AB664" i="9"/>
  <c r="AD664" i="9" s="1"/>
  <c r="AB395" i="9"/>
  <c r="AD395" i="9" s="1"/>
  <c r="AC395" i="9"/>
  <c r="AB1076" i="9"/>
  <c r="AD1076" i="9" s="1"/>
  <c r="AC1076" i="9"/>
  <c r="AB503" i="9"/>
  <c r="AD503" i="9" s="1"/>
  <c r="AC503" i="9"/>
  <c r="AC114" i="9"/>
  <c r="AB114" i="9"/>
  <c r="AD114" i="9" s="1"/>
  <c r="AC622" i="9"/>
  <c r="AB622" i="9"/>
  <c r="AD622" i="9" s="1"/>
  <c r="AC229" i="9"/>
  <c r="AB229" i="9"/>
  <c r="AD229" i="9" s="1"/>
  <c r="AC778" i="9"/>
  <c r="AB778" i="9"/>
  <c r="AD778" i="9" s="1"/>
  <c r="AC769" i="9"/>
  <c r="AB769" i="9"/>
  <c r="AD769" i="9" s="1"/>
  <c r="AC880" i="9"/>
  <c r="AB880" i="9"/>
  <c r="AD880" i="9" s="1"/>
  <c r="AC1031" i="9"/>
  <c r="AB1031" i="9"/>
  <c r="AD1031" i="9" s="1"/>
  <c r="AC637" i="9"/>
  <c r="AB637" i="9"/>
  <c r="AD637" i="9" s="1"/>
  <c r="AB1029" i="9"/>
  <c r="AD1029" i="9" s="1"/>
  <c r="AC1029" i="9"/>
  <c r="AC776" i="9"/>
  <c r="AB776" i="9"/>
  <c r="AD776" i="9" s="1"/>
  <c r="AC927" i="9"/>
  <c r="AB927" i="9"/>
  <c r="AD927" i="9" s="1"/>
  <c r="AC505" i="9"/>
  <c r="AB505" i="9"/>
  <c r="AD505" i="9" s="1"/>
  <c r="AC506" i="9"/>
  <c r="AB506" i="9"/>
  <c r="AD506" i="9" s="1"/>
  <c r="AC426" i="9"/>
  <c r="AB426" i="9"/>
  <c r="AD426" i="9" s="1"/>
  <c r="AB120" i="9"/>
  <c r="AD120" i="9" s="1"/>
  <c r="AC120" i="9"/>
  <c r="AC194" i="9"/>
  <c r="AB194" i="9"/>
  <c r="AD194" i="9" s="1"/>
  <c r="AC321" i="9"/>
  <c r="AB321" i="9"/>
  <c r="AD321" i="9" s="1"/>
  <c r="AB472" i="9"/>
  <c r="AD472" i="9" s="1"/>
  <c r="AC472" i="9"/>
  <c r="AC299" i="9"/>
  <c r="AB299" i="9"/>
  <c r="AD299" i="9" s="1"/>
  <c r="AC884" i="9"/>
  <c r="AB884" i="9"/>
  <c r="AD884" i="9" s="1"/>
  <c r="AC407" i="9"/>
  <c r="AB407" i="9"/>
  <c r="AD407" i="9" s="1"/>
  <c r="AB22" i="9"/>
  <c r="AD22" i="9" s="1"/>
  <c r="AC22" i="9"/>
  <c r="AB526" i="9"/>
  <c r="AD526" i="9" s="1"/>
  <c r="AC526" i="9"/>
  <c r="AB137" i="9"/>
  <c r="AD137" i="9" s="1"/>
  <c r="AC137" i="9"/>
  <c r="AB645" i="9"/>
  <c r="AD645" i="9" s="1"/>
  <c r="AC645" i="9"/>
  <c r="AC1037" i="9"/>
  <c r="AB1037" i="9"/>
  <c r="AD1037" i="9" s="1"/>
  <c r="AB784" i="9"/>
  <c r="AD784" i="9" s="1"/>
  <c r="AC784" i="9"/>
  <c r="AB935" i="9"/>
  <c r="AD935" i="9" s="1"/>
  <c r="AC935" i="9"/>
  <c r="AB537" i="9"/>
  <c r="AD537" i="9" s="1"/>
  <c r="AC537" i="9"/>
  <c r="AB538" i="9"/>
  <c r="AD538" i="9" s="1"/>
  <c r="AC538" i="9"/>
  <c r="AB458" i="9"/>
  <c r="AD458" i="9" s="1"/>
  <c r="AC458" i="9"/>
  <c r="AC136" i="9"/>
  <c r="AB136" i="9"/>
  <c r="AD136" i="9" s="1"/>
  <c r="AB210" i="9"/>
  <c r="AD210" i="9" s="1"/>
  <c r="AC210" i="9"/>
  <c r="AB337" i="9"/>
  <c r="AD337" i="9" s="1"/>
  <c r="AC337" i="9"/>
  <c r="AC488" i="9"/>
  <c r="AB488" i="9"/>
  <c r="AD488" i="9" s="1"/>
  <c r="AB307" i="9"/>
  <c r="AD307" i="9" s="1"/>
  <c r="AC307" i="9"/>
  <c r="AB900" i="9"/>
  <c r="AD900" i="9" s="1"/>
  <c r="AC900" i="9"/>
  <c r="AB415" i="9"/>
  <c r="AD415" i="9" s="1"/>
  <c r="AC415" i="9"/>
  <c r="AC30" i="9"/>
  <c r="AB30" i="9"/>
  <c r="AD30" i="9" s="1"/>
  <c r="AC534" i="9"/>
  <c r="AB534" i="9"/>
  <c r="AD534" i="9" s="1"/>
  <c r="AC143" i="9"/>
  <c r="AB143" i="9"/>
  <c r="AD143" i="9" s="1"/>
  <c r="AC653" i="9"/>
  <c r="AB653" i="9"/>
  <c r="AD653" i="9" s="1"/>
  <c r="AB1045" i="9"/>
  <c r="AD1045" i="9" s="1"/>
  <c r="AC1045" i="9"/>
  <c r="AC792" i="9"/>
  <c r="AB792" i="9"/>
  <c r="AD792" i="9" s="1"/>
  <c r="AC943" i="9"/>
  <c r="AB943" i="9"/>
  <c r="AD943" i="9" s="1"/>
  <c r="AB601" i="9"/>
  <c r="AD601" i="9" s="1"/>
  <c r="AC601" i="9"/>
  <c r="AB570" i="9"/>
  <c r="AD570" i="9" s="1"/>
  <c r="AC570" i="9"/>
  <c r="AB490" i="9"/>
  <c r="AD490" i="9" s="1"/>
  <c r="AC490" i="9"/>
  <c r="AC150" i="9"/>
  <c r="AB150" i="9"/>
  <c r="AD150" i="9" s="1"/>
  <c r="AB226" i="9"/>
  <c r="AD226" i="9" s="1"/>
  <c r="AC226" i="9"/>
  <c r="AB353" i="9"/>
  <c r="AD353" i="9" s="1"/>
  <c r="AC353" i="9"/>
  <c r="AC504" i="9"/>
  <c r="AB504" i="9"/>
  <c r="AD504" i="9" s="1"/>
  <c r="AB315" i="9"/>
  <c r="AD315" i="9" s="1"/>
  <c r="AC315" i="9"/>
  <c r="AB916" i="9"/>
  <c r="AD916" i="9" s="1"/>
  <c r="AC916" i="9"/>
  <c r="AC423" i="9"/>
  <c r="AB423" i="9"/>
  <c r="AD423" i="9" s="1"/>
  <c r="AB542" i="9"/>
  <c r="AD542" i="9" s="1"/>
  <c r="AC542" i="9"/>
  <c r="AB151" i="9"/>
  <c r="AD151" i="9" s="1"/>
  <c r="AC151" i="9"/>
  <c r="AB661" i="9"/>
  <c r="AD661" i="9" s="1"/>
  <c r="AC661" i="9"/>
  <c r="AC1053" i="9"/>
  <c r="AB1053" i="9"/>
  <c r="AD1053" i="9" s="1"/>
  <c r="AB800" i="9"/>
  <c r="AD800" i="9" s="1"/>
  <c r="AC800" i="9"/>
  <c r="AB951" i="9"/>
  <c r="AD951" i="9" s="1"/>
  <c r="AC951" i="9"/>
  <c r="AC547" i="9"/>
  <c r="AB547" i="9"/>
  <c r="AD547" i="9" s="1"/>
  <c r="AB8" i="9"/>
  <c r="AD8" i="9" s="1"/>
  <c r="AC8" i="9"/>
  <c r="AC432" i="9"/>
  <c r="AB432" i="9"/>
  <c r="AD432" i="9" s="1"/>
  <c r="AB719" i="9"/>
  <c r="AD719" i="9" s="1"/>
  <c r="AC719" i="9"/>
  <c r="AC126" i="9"/>
  <c r="AB126" i="9"/>
  <c r="AD126" i="9" s="1"/>
  <c r="AB445" i="9"/>
  <c r="AD445" i="9" s="1"/>
  <c r="AC445" i="9"/>
  <c r="AB743" i="9"/>
  <c r="AD743" i="9" s="1"/>
  <c r="AC743" i="9"/>
  <c r="AB861" i="9"/>
  <c r="AD861" i="9" s="1"/>
  <c r="AC861" i="9"/>
  <c r="AB200" i="9"/>
  <c r="AD200" i="9" s="1"/>
  <c r="AC200" i="9"/>
  <c r="AC932" i="9"/>
  <c r="AB932" i="9"/>
  <c r="AD932" i="9" s="1"/>
  <c r="AC219" i="9"/>
  <c r="AB219" i="9"/>
  <c r="AD219" i="9" s="1"/>
  <c r="AB742" i="9"/>
  <c r="AD742" i="9" s="1"/>
  <c r="AC742" i="9"/>
  <c r="AB794" i="9"/>
  <c r="AD794" i="9" s="1"/>
  <c r="AC794" i="9"/>
  <c r="AB275" i="9"/>
  <c r="AD275" i="9" s="1"/>
  <c r="AC275" i="9"/>
  <c r="AC452" i="9"/>
  <c r="AB452" i="9"/>
  <c r="AD452" i="9" s="1"/>
  <c r="AC285" i="9"/>
  <c r="AB285" i="9"/>
  <c r="AD285" i="9" s="1"/>
  <c r="AB298" i="9"/>
  <c r="AD298" i="9" s="1"/>
  <c r="AC298" i="9"/>
  <c r="AC408" i="9"/>
  <c r="AB408" i="9"/>
  <c r="AD408" i="9" s="1"/>
  <c r="AC105" i="9"/>
  <c r="AB105" i="9"/>
  <c r="AD105" i="9" s="1"/>
  <c r="AC903" i="9"/>
  <c r="AB903" i="9"/>
  <c r="AD903" i="9" s="1"/>
  <c r="AB799" i="9"/>
  <c r="AD799" i="9" s="1"/>
  <c r="AC799" i="9"/>
  <c r="AB592" i="9"/>
  <c r="AD592" i="9" s="1"/>
  <c r="AC592" i="9"/>
  <c r="AB689" i="9"/>
  <c r="AD689" i="9" s="1"/>
  <c r="AC689" i="9"/>
  <c r="AB982" i="9"/>
  <c r="AD982" i="9" s="1"/>
  <c r="AC982" i="9"/>
  <c r="AC925" i="9"/>
  <c r="AB925" i="9"/>
  <c r="AD925" i="9" s="1"/>
  <c r="AB685" i="9"/>
  <c r="AD685" i="9" s="1"/>
  <c r="AC685" i="9"/>
  <c r="AC54" i="9"/>
  <c r="AB54" i="9"/>
  <c r="AD54" i="9" s="1"/>
  <c r="AC684" i="9"/>
  <c r="AB684" i="9"/>
  <c r="AD684" i="9" s="1"/>
  <c r="AC41" i="9"/>
  <c r="AB41" i="9"/>
  <c r="AD41" i="9" s="1"/>
  <c r="AB145" i="9"/>
  <c r="AD145" i="9" s="1"/>
  <c r="AC145" i="9"/>
  <c r="AC262" i="9"/>
  <c r="AB262" i="9"/>
  <c r="AD262" i="9" s="1"/>
  <c r="AB477" i="9"/>
  <c r="AD477" i="9" s="1"/>
  <c r="AC477" i="9"/>
  <c r="AC952" i="9"/>
  <c r="AB952" i="9"/>
  <c r="AD952" i="9" s="1"/>
  <c r="AB94" i="9"/>
  <c r="AD94" i="9" s="1"/>
  <c r="AC94" i="9"/>
  <c r="AB700" i="9"/>
  <c r="AD700" i="9" s="1"/>
  <c r="AC700" i="9"/>
  <c r="AB117" i="9"/>
  <c r="AD117" i="9" s="1"/>
  <c r="AC117" i="9"/>
  <c r="AB195" i="9"/>
  <c r="AD195" i="9" s="1"/>
  <c r="AC195" i="9"/>
  <c r="AB303" i="9"/>
  <c r="AD303" i="9" s="1"/>
  <c r="AC303" i="9"/>
  <c r="AC422" i="9"/>
  <c r="AB422" i="9"/>
  <c r="AD422" i="9" s="1"/>
  <c r="AB669" i="9"/>
  <c r="AD669" i="9" s="1"/>
  <c r="AC669" i="9"/>
  <c r="AB783" i="9"/>
  <c r="AD783" i="9" s="1"/>
  <c r="AC783" i="9"/>
  <c r="AB80" i="9"/>
  <c r="AD80" i="9" s="1"/>
  <c r="AC80" i="9"/>
  <c r="AB898" i="9"/>
  <c r="AD898" i="9" s="1"/>
  <c r="AC898" i="9"/>
  <c r="AC508" i="9"/>
  <c r="AB508" i="9"/>
  <c r="AD508" i="9" s="1"/>
  <c r="AB715" i="9"/>
  <c r="AD715" i="9" s="1"/>
  <c r="AC715" i="9"/>
  <c r="AB62" i="9"/>
  <c r="AD62" i="9" s="1"/>
  <c r="AC62" i="9"/>
  <c r="AB603" i="9"/>
  <c r="AD603" i="9" s="1"/>
  <c r="AC603" i="9"/>
  <c r="AC723" i="9"/>
  <c r="AB723" i="9"/>
  <c r="AD723" i="9" s="1"/>
  <c r="AC947" i="9"/>
  <c r="AB947" i="9"/>
  <c r="AD947" i="9" s="1"/>
  <c r="AC721" i="9"/>
  <c r="AB721" i="9"/>
  <c r="AD721" i="9" s="1"/>
  <c r="AB687" i="9"/>
  <c r="AD687" i="9" s="1"/>
  <c r="AC687" i="9"/>
  <c r="AC306" i="9"/>
  <c r="AB306" i="9"/>
  <c r="AD306" i="9" s="1"/>
  <c r="AC355" i="9"/>
  <c r="AB355" i="9"/>
  <c r="AD355" i="9" s="1"/>
  <c r="AC591" i="9"/>
  <c r="AB591" i="9"/>
  <c r="AD591" i="9" s="1"/>
  <c r="AC716" i="9"/>
  <c r="AB716" i="9"/>
  <c r="AD716" i="9" s="1"/>
  <c r="AB761" i="9"/>
  <c r="AD761" i="9" s="1"/>
  <c r="AC761" i="9"/>
  <c r="AC489" i="9"/>
  <c r="AB489" i="9"/>
  <c r="AD489" i="9" s="1"/>
  <c r="AB668" i="9"/>
  <c r="AD668" i="9" s="1"/>
  <c r="AC668" i="9"/>
  <c r="AB806" i="9"/>
  <c r="AD806" i="9" s="1"/>
  <c r="AC806" i="9"/>
  <c r="AB140" i="9"/>
  <c r="AD140" i="9" s="1"/>
  <c r="AC140" i="9"/>
  <c r="AC643" i="9"/>
  <c r="AB643" i="9"/>
  <c r="AD643" i="9" s="1"/>
  <c r="AC780" i="9"/>
  <c r="AB780" i="9"/>
  <c r="AD780" i="9" s="1"/>
  <c r="AC1027" i="9"/>
  <c r="AB1027" i="9"/>
  <c r="AD1027" i="9" s="1"/>
  <c r="AC777" i="9"/>
  <c r="AB777" i="9"/>
  <c r="AD777" i="9" s="1"/>
  <c r="AB802" i="9"/>
  <c r="AD802" i="9" s="1"/>
  <c r="AC802" i="9"/>
  <c r="AC56" i="9"/>
  <c r="AB56" i="9"/>
  <c r="AD56" i="9" s="1"/>
  <c r="AC553" i="9"/>
  <c r="AB553" i="9"/>
  <c r="AD553" i="9" s="1"/>
  <c r="AC764" i="9"/>
  <c r="AB764" i="9"/>
  <c r="AD764" i="9" s="1"/>
  <c r="AB870" i="9"/>
  <c r="AD870" i="9" s="1"/>
  <c r="AC870" i="9"/>
  <c r="AB170" i="9"/>
  <c r="AD170" i="9" s="1"/>
  <c r="AC170" i="9"/>
  <c r="AC659" i="9"/>
  <c r="AB659" i="9"/>
  <c r="AD659" i="9" s="1"/>
  <c r="AC812" i="9"/>
  <c r="AB812" i="9"/>
  <c r="AD812" i="9" s="1"/>
  <c r="AC1059" i="9"/>
  <c r="AB1059" i="9"/>
  <c r="AD1059" i="9" s="1"/>
  <c r="AB785" i="9"/>
  <c r="AD785" i="9" s="1"/>
  <c r="AC785" i="9"/>
  <c r="AB679" i="9"/>
  <c r="AD679" i="9" s="1"/>
  <c r="AC679" i="9"/>
  <c r="AC875" i="9"/>
  <c r="AB875" i="9"/>
  <c r="AD875" i="9" s="1"/>
  <c r="AB319" i="9"/>
  <c r="AD319" i="9" s="1"/>
  <c r="AC319" i="9"/>
  <c r="AC438" i="9"/>
  <c r="AB438" i="9"/>
  <c r="AD438" i="9" s="1"/>
  <c r="AB690" i="9"/>
  <c r="AD690" i="9" s="1"/>
  <c r="AC690" i="9"/>
  <c r="AB791" i="9"/>
  <c r="AD791" i="9" s="1"/>
  <c r="AC791" i="9"/>
  <c r="AC442" i="9"/>
  <c r="AB442" i="9"/>
  <c r="AD442" i="9" s="1"/>
  <c r="AB88" i="9"/>
  <c r="AD88" i="9" s="1"/>
  <c r="AC88" i="9"/>
  <c r="AC289" i="9"/>
  <c r="AB289" i="9"/>
  <c r="AD289" i="9" s="1"/>
  <c r="AB283" i="9"/>
  <c r="AD283" i="9" s="1"/>
  <c r="AC283" i="9"/>
  <c r="AB391" i="9"/>
  <c r="AD391" i="9" s="1"/>
  <c r="AC391" i="9"/>
  <c r="AC510" i="9"/>
  <c r="AB510" i="9"/>
  <c r="AD510" i="9" s="1"/>
  <c r="AC890" i="9"/>
  <c r="AB890" i="9"/>
  <c r="AD890" i="9" s="1"/>
  <c r="AB911" i="9"/>
  <c r="AD911" i="9" s="1"/>
  <c r="AC911" i="9"/>
  <c r="AB332" i="9"/>
  <c r="AD332" i="9" s="1"/>
  <c r="AC332" i="9"/>
  <c r="AC640" i="9"/>
  <c r="AB640" i="9"/>
  <c r="AD640" i="9" s="1"/>
  <c r="AB798" i="9"/>
  <c r="AD798" i="9" s="1"/>
  <c r="AC798" i="9"/>
  <c r="AB436" i="9"/>
  <c r="AD436" i="9" s="1"/>
  <c r="AC436" i="9"/>
  <c r="AC514" i="9"/>
  <c r="AB514" i="9"/>
  <c r="AD514" i="9" s="1"/>
  <c r="AC641" i="9"/>
  <c r="AB641" i="9"/>
  <c r="AD641" i="9" s="1"/>
  <c r="AB910" i="9"/>
  <c r="AD910" i="9" s="1"/>
  <c r="AC910" i="9"/>
  <c r="AC459" i="9"/>
  <c r="AB459" i="9"/>
  <c r="AD459" i="9" s="1"/>
  <c r="AC61" i="9"/>
  <c r="AB61" i="9"/>
  <c r="AD61" i="9" s="1"/>
  <c r="AC567" i="9"/>
  <c r="AB567" i="9"/>
  <c r="AD567" i="9" s="1"/>
  <c r="AB176" i="9"/>
  <c r="AD176" i="9" s="1"/>
  <c r="AC176" i="9"/>
  <c r="AB686" i="9"/>
  <c r="AD686" i="9" s="1"/>
  <c r="AC686" i="9"/>
  <c r="AB293" i="9"/>
  <c r="AD293" i="9" s="1"/>
  <c r="AC293" i="9"/>
  <c r="AB906" i="9"/>
  <c r="AD906" i="9" s="1"/>
  <c r="AC906" i="9"/>
  <c r="AC833" i="9"/>
  <c r="AB833" i="9"/>
  <c r="AD833" i="9" s="1"/>
  <c r="AB944" i="9"/>
  <c r="AD944" i="9" s="1"/>
  <c r="AC944" i="9"/>
  <c r="AB191" i="9"/>
  <c r="AD191" i="9" s="1"/>
  <c r="AC191" i="9"/>
  <c r="AB707" i="9"/>
  <c r="AD707" i="9" s="1"/>
  <c r="AC707" i="9"/>
  <c r="AB729" i="9"/>
  <c r="AD729" i="9" s="1"/>
  <c r="AC729" i="9"/>
  <c r="AB840" i="9"/>
  <c r="AD840" i="9" s="1"/>
  <c r="AC840" i="9"/>
  <c r="AB991" i="9"/>
  <c r="AD991" i="9" s="1"/>
  <c r="AC991" i="9"/>
  <c r="AB866" i="9"/>
  <c r="AD866" i="9" s="1"/>
  <c r="AC866" i="9"/>
  <c r="AC746" i="9"/>
  <c r="AB746" i="9"/>
  <c r="AD746" i="9" s="1"/>
  <c r="AC714" i="9"/>
  <c r="AB714" i="9"/>
  <c r="AD714" i="9" s="1"/>
  <c r="AB244" i="9"/>
  <c r="AD244" i="9" s="1"/>
  <c r="AC244" i="9"/>
  <c r="AC322" i="9"/>
  <c r="AB322" i="9"/>
  <c r="AD322" i="9" s="1"/>
  <c r="AC449" i="9"/>
  <c r="AB449" i="9"/>
  <c r="AD449" i="9" s="1"/>
  <c r="AB600" i="9"/>
  <c r="AD600" i="9" s="1"/>
  <c r="AC600" i="9"/>
  <c r="AC363" i="9"/>
  <c r="AB363" i="9"/>
  <c r="AD363" i="9" s="1"/>
  <c r="AC1012" i="9"/>
  <c r="AB1012" i="9"/>
  <c r="AD1012" i="9" s="1"/>
  <c r="AC471" i="9"/>
  <c r="AB471" i="9"/>
  <c r="AD471" i="9" s="1"/>
  <c r="AB84" i="9"/>
  <c r="AD84" i="9" s="1"/>
  <c r="AC84" i="9"/>
  <c r="AB590" i="9"/>
  <c r="AD590" i="9" s="1"/>
  <c r="AC590" i="9"/>
  <c r="AB197" i="9"/>
  <c r="AD197" i="9" s="1"/>
  <c r="AC197" i="9"/>
  <c r="AB711" i="9"/>
  <c r="AD711" i="9" s="1"/>
  <c r="AC711" i="9"/>
  <c r="AC737" i="9"/>
  <c r="AB737" i="9"/>
  <c r="AD737" i="9" s="1"/>
  <c r="AB848" i="9"/>
  <c r="AD848" i="9" s="1"/>
  <c r="AC848" i="9"/>
  <c r="AB999" i="9"/>
  <c r="AD999" i="9" s="1"/>
  <c r="AC999" i="9"/>
  <c r="AB930" i="9"/>
  <c r="AD930" i="9" s="1"/>
  <c r="AC930" i="9"/>
  <c r="AC795" i="9"/>
  <c r="AB795" i="9"/>
  <c r="AD795" i="9" s="1"/>
  <c r="AB750" i="9"/>
  <c r="AD750" i="9" s="1"/>
  <c r="AC750" i="9"/>
  <c r="AB260" i="9"/>
  <c r="AD260" i="9" s="1"/>
  <c r="AC260" i="9"/>
  <c r="AC338" i="9"/>
  <c r="AB338" i="9"/>
  <c r="AD338" i="9" s="1"/>
  <c r="AC465" i="9"/>
  <c r="AB465" i="9"/>
  <c r="AD465" i="9" s="1"/>
  <c r="AB616" i="9"/>
  <c r="AD616" i="9" s="1"/>
  <c r="AC616" i="9"/>
  <c r="AC371" i="9"/>
  <c r="AB371" i="9"/>
  <c r="AD371" i="9" s="1"/>
  <c r="AC1028" i="9"/>
  <c r="AB1028" i="9"/>
  <c r="AD1028" i="9" s="1"/>
  <c r="AC479" i="9"/>
  <c r="AB479" i="9"/>
  <c r="AD479" i="9" s="1"/>
  <c r="AB90" i="9"/>
  <c r="AD90" i="9" s="1"/>
  <c r="AC90" i="9"/>
  <c r="AB598" i="9"/>
  <c r="AD598" i="9" s="1"/>
  <c r="AC598" i="9"/>
  <c r="AB205" i="9"/>
  <c r="AD205" i="9" s="1"/>
  <c r="AC205" i="9"/>
  <c r="AB738" i="9"/>
  <c r="AD738" i="9" s="1"/>
  <c r="AC738" i="9"/>
  <c r="AB745" i="9"/>
  <c r="AD745" i="9" s="1"/>
  <c r="AC745" i="9"/>
  <c r="AB856" i="9"/>
  <c r="AD856" i="9" s="1"/>
  <c r="AC856" i="9"/>
  <c r="AB1007" i="9"/>
  <c r="AD1007" i="9" s="1"/>
  <c r="AC1007" i="9"/>
  <c r="AC20" i="9"/>
  <c r="AB20" i="9"/>
  <c r="AD20" i="9" s="1"/>
  <c r="AB859" i="9"/>
  <c r="AD859" i="9" s="1"/>
  <c r="AC859" i="9"/>
  <c r="AC827" i="9"/>
  <c r="AB827" i="9"/>
  <c r="AD827" i="9" s="1"/>
  <c r="AB276" i="9"/>
  <c r="AD276" i="9" s="1"/>
  <c r="AC276" i="9"/>
  <c r="AC354" i="9"/>
  <c r="AB354" i="9"/>
  <c r="AD354" i="9" s="1"/>
  <c r="AB481" i="9"/>
  <c r="AD481" i="9" s="1"/>
  <c r="AC481" i="9"/>
  <c r="AB632" i="9"/>
  <c r="AD632" i="9" s="1"/>
  <c r="AC632" i="9"/>
  <c r="AC379" i="9"/>
  <c r="AB379" i="9"/>
  <c r="AD379" i="9" s="1"/>
  <c r="AC1044" i="9"/>
  <c r="AB1044" i="9"/>
  <c r="AD1044" i="9" s="1"/>
  <c r="AB487" i="9"/>
  <c r="AD487" i="9" s="1"/>
  <c r="AC487" i="9"/>
  <c r="AC98" i="9"/>
  <c r="AB98" i="9"/>
  <c r="AD98" i="9" s="1"/>
  <c r="AC606" i="9"/>
  <c r="AB606" i="9"/>
  <c r="AD606" i="9" s="1"/>
  <c r="AC213" i="9"/>
  <c r="AB213" i="9"/>
  <c r="AD213" i="9" s="1"/>
  <c r="AB740" i="9"/>
  <c r="AD740" i="9" s="1"/>
  <c r="AC740" i="9"/>
  <c r="AB753" i="9"/>
  <c r="AD753" i="9" s="1"/>
  <c r="AC753" i="9"/>
  <c r="AC864" i="9"/>
  <c r="AB864" i="9"/>
  <c r="AD864" i="9" s="1"/>
  <c r="AC1015" i="9"/>
  <c r="AB1015" i="9"/>
  <c r="AD1015" i="9" s="1"/>
  <c r="BN1732" i="2"/>
  <c r="BO1732" i="2" s="1"/>
  <c r="BL1732" i="2"/>
  <c r="BM1732" i="2" s="1"/>
  <c r="BP1732" i="2"/>
  <c r="BQ1732" i="2" s="1"/>
  <c r="BP1731" i="2"/>
  <c r="BQ1731" i="2" s="1"/>
  <c r="BN1731" i="2"/>
  <c r="BO1731" i="2" s="1"/>
  <c r="BL1731" i="2"/>
  <c r="BM1731" i="2" s="1"/>
  <c r="D96" i="20"/>
  <c r="E96" i="20"/>
  <c r="F96" i="20"/>
  <c r="E1498" i="2"/>
  <c r="G96" i="20"/>
  <c r="I37" i="15"/>
  <c r="AK25" i="15"/>
  <c r="E1" i="19"/>
  <c r="D1020" i="2" l="1" a="1"/>
  <c r="D1020" i="2" s="1"/>
  <c r="K35" i="17" s="1"/>
  <c r="B1023" i="2" a="1"/>
  <c r="B1023" i="2" s="1"/>
  <c r="AD38" i="17" s="1"/>
  <c r="E1020" i="2" a="1"/>
  <c r="E1020" i="2" s="1"/>
  <c r="T35" i="17" s="1"/>
  <c r="B1021" i="2" a="1"/>
  <c r="B1021" i="2" s="1"/>
  <c r="AD36" i="17" s="1"/>
  <c r="C1023" i="2" a="1"/>
  <c r="C1023" i="2" s="1"/>
  <c r="AE38" i="17" s="1"/>
  <c r="B1020" i="2" a="1"/>
  <c r="B1020" i="2" s="1"/>
  <c r="AD35" i="17" s="1"/>
  <c r="B1022" i="2" a="1"/>
  <c r="B1022" i="2" s="1"/>
  <c r="AD37" i="17" s="1"/>
  <c r="A1020" i="2" a="1"/>
  <c r="A1020" i="2" s="1"/>
  <c r="AC35" i="17" s="1"/>
  <c r="A1022" i="2" a="1"/>
  <c r="A1022" i="2" s="1"/>
  <c r="AC37" i="17" s="1"/>
  <c r="F1021" i="2" a="1"/>
  <c r="F1021" i="2" s="1"/>
  <c r="C36" i="17" s="1"/>
  <c r="A1021" i="2" a="1"/>
  <c r="A1021" i="2" s="1"/>
  <c r="AC36" i="17" s="1"/>
  <c r="B1019" i="2" a="1"/>
  <c r="B1019" i="2" s="1"/>
  <c r="AD34" i="17" s="1"/>
  <c r="F1020" i="2" a="1"/>
  <c r="F1020" i="2" s="1"/>
  <c r="C35" i="17" s="1"/>
  <c r="E1019" i="2" a="1"/>
  <c r="E1019" i="2" s="1"/>
  <c r="T34" i="17" s="1"/>
  <c r="E1022" i="2" a="1"/>
  <c r="E1022" i="2" s="1"/>
  <c r="T37" i="17" s="1"/>
  <c r="A1019" i="2" a="1"/>
  <c r="A1019" i="2" s="1"/>
  <c r="AC34" i="17" s="1"/>
  <c r="C1022" i="2" a="1"/>
  <c r="C1022" i="2" s="1"/>
  <c r="AE37" i="17" s="1"/>
  <c r="A1023" i="2" a="1"/>
  <c r="A1023" i="2" s="1"/>
  <c r="AC38" i="17" s="1"/>
  <c r="F1019" i="2" a="1"/>
  <c r="F1019" i="2" s="1"/>
  <c r="C34" i="17" s="1"/>
  <c r="D1021" i="2" a="1"/>
  <c r="D1021" i="2" s="1"/>
  <c r="K36" i="17" s="1"/>
  <c r="E1021" i="2" a="1"/>
  <c r="E1021" i="2" s="1"/>
  <c r="T36" i="17" s="1"/>
  <c r="D1019" i="2" a="1"/>
  <c r="D1019" i="2" s="1"/>
  <c r="K34" i="17" s="1"/>
  <c r="F1023" i="2" a="1"/>
  <c r="F1023" i="2" s="1"/>
  <c r="C38" i="17" s="1"/>
  <c r="D1023" i="2" a="1"/>
  <c r="D1023" i="2" s="1"/>
  <c r="K38" i="17" s="1"/>
  <c r="C1021" i="2" a="1"/>
  <c r="C1021" i="2" s="1"/>
  <c r="AE36" i="17" s="1"/>
  <c r="D1022" i="2" a="1"/>
  <c r="D1022" i="2" s="1"/>
  <c r="K37" i="17" s="1"/>
  <c r="F1022" i="2" a="1"/>
  <c r="F1022" i="2" s="1"/>
  <c r="C37" i="17" s="1"/>
  <c r="C1020" i="2" a="1"/>
  <c r="C1020" i="2" s="1"/>
  <c r="AE35" i="17" s="1"/>
  <c r="C1019" i="2" a="1"/>
  <c r="C1019" i="2" s="1"/>
  <c r="AE34" i="17" s="1"/>
  <c r="E1023" i="2" a="1"/>
  <c r="E1023" i="2" s="1"/>
  <c r="T38" i="17" s="1"/>
  <c r="J1368" i="2"/>
  <c r="D62" i="20"/>
  <c r="D64" i="20"/>
  <c r="D54" i="20"/>
  <c r="D85" i="20"/>
  <c r="D58" i="20"/>
  <c r="D65" i="20"/>
  <c r="D57" i="20"/>
  <c r="D86" i="20"/>
  <c r="D48" i="20"/>
  <c r="D56" i="20"/>
  <c r="D87" i="20"/>
  <c r="D83" i="20"/>
  <c r="D66" i="20"/>
  <c r="D77" i="20"/>
  <c r="D60" i="20"/>
  <c r="D39" i="20"/>
  <c r="D78" i="20"/>
  <c r="D46" i="20"/>
  <c r="D70" i="20"/>
  <c r="D45" i="20"/>
  <c r="D76" i="20"/>
  <c r="D95" i="20"/>
  <c r="D40" i="20"/>
  <c r="D61" i="20"/>
  <c r="D91" i="20"/>
  <c r="D42" i="20"/>
  <c r="D67" i="20"/>
  <c r="D55" i="20"/>
  <c r="D59" i="20"/>
  <c r="D69" i="20"/>
  <c r="D47" i="20"/>
  <c r="D79" i="20"/>
  <c r="D43" i="20"/>
  <c r="D49" i="20"/>
  <c r="D80" i="20"/>
  <c r="D72" i="20"/>
  <c r="D89" i="20"/>
  <c r="D74" i="20"/>
  <c r="D81" i="20"/>
  <c r="D71" i="20"/>
  <c r="D52" i="20"/>
  <c r="D73" i="20"/>
  <c r="D38" i="20"/>
  <c r="D41" i="20"/>
  <c r="D92" i="20"/>
  <c r="D90" i="20"/>
  <c r="D88" i="20"/>
  <c r="D44" i="20"/>
  <c r="D63" i="20"/>
  <c r="D68" i="20"/>
  <c r="D53" i="20"/>
  <c r="D93" i="20"/>
  <c r="D84" i="20"/>
  <c r="D82" i="20"/>
  <c r="D51" i="20"/>
  <c r="D50" i="20"/>
  <c r="D94" i="20"/>
  <c r="D75" i="20"/>
  <c r="B272" i="19"/>
  <c r="D1716" i="2" s="1"/>
  <c r="C272" i="19"/>
  <c r="C1716" i="2" s="1"/>
  <c r="I237" i="19"/>
  <c r="D1712" i="2" s="1"/>
  <c r="B237" i="19"/>
  <c r="C1712" i="2" s="1"/>
  <c r="C320" i="19"/>
  <c r="C1718" i="2" s="1"/>
  <c r="B37" i="19"/>
  <c r="P3" i="19"/>
  <c r="E1696" i="2" s="1"/>
  <c r="I258" i="19"/>
  <c r="D1714" i="2" s="1"/>
  <c r="B195" i="19"/>
  <c r="D1709" i="2" s="1"/>
  <c r="L37" i="19"/>
  <c r="D1698" i="2" s="1"/>
  <c r="B98" i="19"/>
  <c r="D1702" i="2" s="1"/>
  <c r="B303" i="19"/>
  <c r="D1717" i="2" s="1"/>
  <c r="B154" i="19"/>
  <c r="D1706" i="2" s="1"/>
  <c r="B209" i="19"/>
  <c r="D1710" i="2" s="1"/>
  <c r="B71" i="19"/>
  <c r="D1700" i="2" s="1"/>
  <c r="I168" i="19"/>
  <c r="D1707" i="2" s="1"/>
  <c r="B56" i="19"/>
  <c r="I3" i="19"/>
  <c r="D1696" i="2" s="1"/>
  <c r="B141" i="19"/>
  <c r="C1705" i="2" s="1"/>
  <c r="B112" i="19"/>
  <c r="C1703" i="2" s="1"/>
  <c r="B181" i="19"/>
  <c r="D1708" i="2" s="1"/>
  <c r="B126" i="19"/>
  <c r="D1704" i="2" s="1"/>
  <c r="B223" i="19"/>
  <c r="D1711" i="2" s="1"/>
  <c r="I141" i="19"/>
  <c r="D1705" i="2" s="1"/>
  <c r="I112" i="19"/>
  <c r="D1703" i="2" s="1"/>
  <c r="C303" i="19"/>
  <c r="C1717" i="2" s="1"/>
  <c r="B168" i="19"/>
  <c r="C1707" i="2" s="1"/>
  <c r="I21" i="19"/>
  <c r="D1697" i="2" s="1"/>
  <c r="B21" i="19"/>
  <c r="C1697" i="2" s="1"/>
  <c r="B258" i="19"/>
  <c r="C1714" i="2" s="1"/>
  <c r="B3" i="19"/>
  <c r="C1696" i="2" s="1"/>
  <c r="P21" i="19"/>
  <c r="E1697" i="2" s="1"/>
  <c r="B84" i="19"/>
  <c r="D1701" i="2" s="1"/>
  <c r="B320" i="19"/>
  <c r="D1718" i="2" s="1"/>
  <c r="J56" i="19"/>
  <c r="D1699" i="2" s="1"/>
  <c r="E64" i="20"/>
  <c r="E54" i="20"/>
  <c r="E62" i="20"/>
  <c r="J1369" i="2"/>
  <c r="E79" i="20"/>
  <c r="E52" i="20"/>
  <c r="E41" i="20"/>
  <c r="E45" i="20"/>
  <c r="E81" i="20"/>
  <c r="E87" i="20"/>
  <c r="E77" i="20"/>
  <c r="E63" i="20"/>
  <c r="E47" i="20"/>
  <c r="E80" i="20"/>
  <c r="E38" i="20"/>
  <c r="E46" i="20"/>
  <c r="E65" i="20"/>
  <c r="E68" i="20"/>
  <c r="E51" i="20"/>
  <c r="E42" i="20"/>
  <c r="E95" i="20"/>
  <c r="E84" i="20"/>
  <c r="E60" i="20"/>
  <c r="E94" i="20"/>
  <c r="E76" i="20"/>
  <c r="E43" i="20"/>
  <c r="E67" i="20"/>
  <c r="E85" i="20"/>
  <c r="E86" i="20"/>
  <c r="E78" i="20"/>
  <c r="E83" i="20"/>
  <c r="E72" i="20"/>
  <c r="E74" i="20"/>
  <c r="E73" i="20"/>
  <c r="E89" i="20"/>
  <c r="E61" i="20"/>
  <c r="E48" i="20"/>
  <c r="E71" i="20"/>
  <c r="E53" i="20"/>
  <c r="E58" i="20"/>
  <c r="E91" i="20"/>
  <c r="E88" i="20"/>
  <c r="E66" i="20"/>
  <c r="E70" i="20"/>
  <c r="E49" i="20"/>
  <c r="E39" i="20"/>
  <c r="E55" i="20"/>
  <c r="E82" i="20"/>
  <c r="E50" i="20"/>
  <c r="E75" i="20"/>
  <c r="E90" i="20"/>
  <c r="E59" i="20"/>
  <c r="E56" i="20"/>
  <c r="E44" i="20"/>
  <c r="E69" i="20"/>
  <c r="E40" i="20"/>
  <c r="E92" i="20"/>
  <c r="E57" i="20"/>
  <c r="E93" i="20"/>
  <c r="G62" i="20"/>
  <c r="G64" i="20"/>
  <c r="G54" i="20"/>
  <c r="J1371" i="2"/>
  <c r="G47" i="20"/>
  <c r="G39" i="20"/>
  <c r="G70" i="20"/>
  <c r="G51" i="20"/>
  <c r="G63" i="20"/>
  <c r="G68" i="20"/>
  <c r="G61" i="20"/>
  <c r="G85" i="20"/>
  <c r="G77" i="20"/>
  <c r="G44" i="20"/>
  <c r="G56" i="20"/>
  <c r="G38" i="20"/>
  <c r="G48" i="20"/>
  <c r="G43" i="20"/>
  <c r="G60" i="20"/>
  <c r="G82" i="20"/>
  <c r="G90" i="20"/>
  <c r="G41" i="20"/>
  <c r="G80" i="20"/>
  <c r="G88" i="20"/>
  <c r="G87" i="20"/>
  <c r="G52" i="20"/>
  <c r="G94" i="20"/>
  <c r="G40" i="20"/>
  <c r="G57" i="20"/>
  <c r="G42" i="20"/>
  <c r="G50" i="20"/>
  <c r="G75" i="20"/>
  <c r="G93" i="20"/>
  <c r="G59" i="20"/>
  <c r="G79" i="20"/>
  <c r="G84" i="20"/>
  <c r="G76" i="20"/>
  <c r="G55" i="20"/>
  <c r="G72" i="20"/>
  <c r="G95" i="20"/>
  <c r="G53" i="20"/>
  <c r="G66" i="20"/>
  <c r="G86" i="20"/>
  <c r="G45" i="20"/>
  <c r="G71" i="20"/>
  <c r="G92" i="20"/>
  <c r="G91" i="20"/>
  <c r="G69" i="20"/>
  <c r="G49" i="20"/>
  <c r="G46" i="20"/>
  <c r="G73" i="20"/>
  <c r="G83" i="20"/>
  <c r="G58" i="20"/>
  <c r="G78" i="20"/>
  <c r="G65" i="20"/>
  <c r="G81" i="20"/>
  <c r="G89" i="20"/>
  <c r="G74" i="20"/>
  <c r="G67" i="20"/>
  <c r="B1570" i="2"/>
  <c r="E1723" i="2"/>
  <c r="AR1499" i="2"/>
  <c r="F62" i="20"/>
  <c r="F64" i="20"/>
  <c r="F54" i="20"/>
  <c r="J1370" i="2"/>
  <c r="F55" i="20"/>
  <c r="F56" i="20"/>
  <c r="F61" i="20"/>
  <c r="F66" i="20"/>
  <c r="F79" i="20"/>
  <c r="F77" i="20"/>
  <c r="F63" i="20"/>
  <c r="F47" i="20"/>
  <c r="F49" i="20"/>
  <c r="F90" i="20"/>
  <c r="F87" i="20"/>
  <c r="F44" i="20"/>
  <c r="F42" i="20"/>
  <c r="F41" i="20"/>
  <c r="F83" i="20"/>
  <c r="F82" i="20"/>
  <c r="F45" i="20"/>
  <c r="F72" i="20"/>
  <c r="F70" i="20"/>
  <c r="F76" i="20"/>
  <c r="F57" i="20"/>
  <c r="F52" i="20"/>
  <c r="F68" i="20"/>
  <c r="F43" i="20"/>
  <c r="F93" i="20"/>
  <c r="F67" i="20"/>
  <c r="F94" i="20"/>
  <c r="F53" i="20"/>
  <c r="F85" i="20"/>
  <c r="F73" i="20"/>
  <c r="F51" i="20"/>
  <c r="F46" i="20"/>
  <c r="F86" i="20"/>
  <c r="F71" i="20"/>
  <c r="F81" i="20"/>
  <c r="F89" i="20"/>
  <c r="F65" i="20"/>
  <c r="F40" i="20"/>
  <c r="F38" i="20"/>
  <c r="F60" i="20"/>
  <c r="F59" i="20"/>
  <c r="F69" i="20"/>
  <c r="F50" i="20"/>
  <c r="F95" i="20"/>
  <c r="F88" i="20"/>
  <c r="F91" i="20"/>
  <c r="F84" i="20"/>
  <c r="F58" i="20"/>
  <c r="F80" i="20"/>
  <c r="F75" i="20"/>
  <c r="F48" i="20"/>
  <c r="F74" i="20"/>
  <c r="F78" i="20"/>
  <c r="F39" i="20"/>
  <c r="F92" i="20"/>
  <c r="H60" i="20" l="1"/>
  <c r="P60" i="20" s="1"/>
  <c r="B60" i="20" s="1"/>
  <c r="J1412" i="2" s="1"/>
  <c r="H51" i="20"/>
  <c r="P51" i="20" s="1"/>
  <c r="B51" i="20" s="1"/>
  <c r="J1403" i="2" s="1"/>
  <c r="H92" i="20"/>
  <c r="P92" i="20" s="1"/>
  <c r="B92" i="20" s="1"/>
  <c r="J1444" i="2" s="1"/>
  <c r="H59" i="20"/>
  <c r="P59" i="20" s="1"/>
  <c r="B59" i="20" s="1"/>
  <c r="J1411" i="2" s="1"/>
  <c r="H84" i="20"/>
  <c r="P84" i="20" s="1"/>
  <c r="B84" i="20" s="1"/>
  <c r="J1436" i="2" s="1"/>
  <c r="H89" i="20"/>
  <c r="P89" i="20" s="1"/>
  <c r="B89" i="20" s="1"/>
  <c r="J1441" i="2" s="1"/>
  <c r="H66" i="20"/>
  <c r="P66" i="20" s="1"/>
  <c r="B66" i="20" s="1"/>
  <c r="J1418" i="2" s="1"/>
  <c r="H88" i="20"/>
  <c r="H81" i="20"/>
  <c r="H47" i="20"/>
  <c r="H40" i="20"/>
  <c r="H57" i="20"/>
  <c r="H82" i="20"/>
  <c r="H90" i="20"/>
  <c r="H74" i="20"/>
  <c r="H69" i="20"/>
  <c r="H95" i="20"/>
  <c r="H77" i="20"/>
  <c r="H65" i="20"/>
  <c r="I1588" i="2"/>
  <c r="J1588" i="2" s="1"/>
  <c r="I1601" i="2"/>
  <c r="J1601" i="2" s="1"/>
  <c r="M1587" i="2"/>
  <c r="N1587" i="2" s="1"/>
  <c r="I1578" i="2"/>
  <c r="J1578" i="2" s="1"/>
  <c r="M1608" i="2"/>
  <c r="N1608" i="2" s="1"/>
  <c r="K1579" i="2"/>
  <c r="L1579" i="2" s="1"/>
  <c r="K1585" i="2"/>
  <c r="L1585" i="2" s="1"/>
  <c r="M1581" i="2"/>
  <c r="N1581" i="2" s="1"/>
  <c r="K1588" i="2"/>
  <c r="L1588" i="2" s="1"/>
  <c r="M1595" i="2"/>
  <c r="N1595" i="2" s="1"/>
  <c r="I1587" i="2"/>
  <c r="J1587" i="2" s="1"/>
  <c r="K1583" i="2"/>
  <c r="L1583" i="2" s="1"/>
  <c r="K1608" i="2"/>
  <c r="L1608" i="2" s="1"/>
  <c r="I1595" i="2"/>
  <c r="J1595" i="2" s="1"/>
  <c r="M1583" i="2"/>
  <c r="N1583" i="2" s="1"/>
  <c r="K1592" i="2"/>
  <c r="L1592" i="2" s="1"/>
  <c r="I1608" i="2"/>
  <c r="J1608" i="2" s="1"/>
  <c r="K1595" i="2"/>
  <c r="L1595" i="2" s="1"/>
  <c r="K1581" i="2"/>
  <c r="L1581" i="2" s="1"/>
  <c r="I1583" i="2"/>
  <c r="J1583" i="2" s="1"/>
  <c r="M1592" i="2"/>
  <c r="N1592" i="2" s="1"/>
  <c r="M1591" i="2"/>
  <c r="N1591" i="2" s="1"/>
  <c r="I1599" i="2"/>
  <c r="J1599" i="2" s="1"/>
  <c r="I1584" i="2"/>
  <c r="J1584" i="2" s="1"/>
  <c r="M1599" i="2"/>
  <c r="N1599" i="2" s="1"/>
  <c r="K1599" i="2"/>
  <c r="L1599" i="2" s="1"/>
  <c r="K1584" i="2"/>
  <c r="L1584" i="2" s="1"/>
  <c r="M1601" i="2"/>
  <c r="N1601" i="2" s="1"/>
  <c r="I1579" i="2"/>
  <c r="J1579" i="2" s="1"/>
  <c r="I1585" i="2"/>
  <c r="J1585" i="2" s="1"/>
  <c r="K1578" i="2"/>
  <c r="L1578" i="2" s="1"/>
  <c r="M1582" i="2"/>
  <c r="N1582" i="2" s="1"/>
  <c r="I1592" i="2"/>
  <c r="J1592" i="2" s="1"/>
  <c r="K1591" i="2"/>
  <c r="L1591" i="2" s="1"/>
  <c r="M1584" i="2"/>
  <c r="N1584" i="2" s="1"/>
  <c r="M1585" i="2"/>
  <c r="N1585" i="2" s="1"/>
  <c r="I1581" i="2"/>
  <c r="J1581" i="2" s="1"/>
  <c r="I1582" i="2"/>
  <c r="J1582" i="2" s="1"/>
  <c r="I1591" i="2"/>
  <c r="J1591" i="2" s="1"/>
  <c r="M1588" i="2"/>
  <c r="N1588" i="2" s="1"/>
  <c r="K1601" i="2"/>
  <c r="L1601" i="2" s="1"/>
  <c r="K1587" i="2"/>
  <c r="L1587" i="2" s="1"/>
  <c r="M1578" i="2"/>
  <c r="N1578" i="2" s="1"/>
  <c r="K1582" i="2"/>
  <c r="L1582" i="2" s="1"/>
  <c r="M1579" i="2"/>
  <c r="N1579" i="2" s="1"/>
  <c r="M1604" i="2"/>
  <c r="N1604" i="2" s="1"/>
  <c r="M1597" i="2"/>
  <c r="N1597" i="2" s="1"/>
  <c r="M1600" i="2"/>
  <c r="N1600" i="2" s="1"/>
  <c r="M1572" i="2"/>
  <c r="N1572" i="2" s="1"/>
  <c r="M1573" i="2" s="1"/>
  <c r="M1607" i="2"/>
  <c r="N1607" i="2" s="1"/>
  <c r="M1598" i="2"/>
  <c r="N1598" i="2" s="1"/>
  <c r="I1605" i="2"/>
  <c r="J1605" i="2" s="1"/>
  <c r="K1603" i="2"/>
  <c r="L1603" i="2" s="1"/>
  <c r="M1589" i="2"/>
  <c r="N1589" i="2" s="1"/>
  <c r="M1596" i="2"/>
  <c r="N1596" i="2" s="1"/>
  <c r="K1602" i="2"/>
  <c r="L1602" i="2" s="1"/>
  <c r="I1604" i="2"/>
  <c r="J1604" i="2" s="1"/>
  <c r="I1590" i="2"/>
  <c r="J1590" i="2" s="1"/>
  <c r="K1597" i="2"/>
  <c r="L1597" i="2" s="1"/>
  <c r="I1600" i="2"/>
  <c r="J1600" i="2" s="1"/>
  <c r="I1607" i="2"/>
  <c r="J1607" i="2" s="1"/>
  <c r="I1598" i="2"/>
  <c r="J1598" i="2" s="1"/>
  <c r="M1602" i="2"/>
  <c r="N1602" i="2" s="1"/>
  <c r="K1590" i="2"/>
  <c r="L1590" i="2" s="1"/>
  <c r="I1589" i="2"/>
  <c r="J1589" i="2" s="1"/>
  <c r="K1596" i="2"/>
  <c r="L1596" i="2" s="1"/>
  <c r="M1606" i="2"/>
  <c r="N1606" i="2" s="1"/>
  <c r="I1602" i="2"/>
  <c r="J1602" i="2" s="1"/>
  <c r="K1593" i="2"/>
  <c r="L1593" i="2" s="1"/>
  <c r="I1596" i="2"/>
  <c r="J1596" i="2" s="1"/>
  <c r="I1606" i="2"/>
  <c r="J1606" i="2" s="1"/>
  <c r="K1577" i="2"/>
  <c r="L1577" i="2" s="1"/>
  <c r="M1590" i="2"/>
  <c r="N1590" i="2" s="1"/>
  <c r="M1577" i="2"/>
  <c r="N1577" i="2" s="1"/>
  <c r="I1586" i="2"/>
  <c r="J1586" i="2" s="1"/>
  <c r="K1589" i="2"/>
  <c r="L1589" i="2" s="1"/>
  <c r="M1593" i="2"/>
  <c r="N1593" i="2" s="1"/>
  <c r="M1586" i="2"/>
  <c r="N1586" i="2" s="1"/>
  <c r="K1594" i="2"/>
  <c r="L1594" i="2" s="1"/>
  <c r="M1580" i="2"/>
  <c r="N1580" i="2" s="1"/>
  <c r="K1606" i="2"/>
  <c r="L1606" i="2" s="1"/>
  <c r="I1593" i="2"/>
  <c r="J1593" i="2" s="1"/>
  <c r="K1600" i="2"/>
  <c r="L1600" i="2" s="1"/>
  <c r="K1572" i="2"/>
  <c r="L1572" i="2" s="1"/>
  <c r="K1573" i="2" s="1"/>
  <c r="K1607" i="2"/>
  <c r="L1607" i="2" s="1"/>
  <c r="M1594" i="2"/>
  <c r="N1594" i="2" s="1"/>
  <c r="I1580" i="2"/>
  <c r="J1580" i="2" s="1"/>
  <c r="K1598" i="2"/>
  <c r="L1598" i="2" s="1"/>
  <c r="M1605" i="2"/>
  <c r="N1605" i="2" s="1"/>
  <c r="I1603" i="2"/>
  <c r="J1603" i="2" s="1"/>
  <c r="I1577" i="2"/>
  <c r="J1577" i="2" s="1"/>
  <c r="K1586" i="2"/>
  <c r="L1586" i="2" s="1"/>
  <c r="I1572" i="2"/>
  <c r="J1572" i="2" s="1"/>
  <c r="I1573" i="2" s="1"/>
  <c r="I1594" i="2"/>
  <c r="J1594" i="2" s="1"/>
  <c r="K1580" i="2"/>
  <c r="L1580" i="2" s="1"/>
  <c r="K1605" i="2"/>
  <c r="L1605" i="2" s="1"/>
  <c r="M1603" i="2"/>
  <c r="N1603" i="2" s="1"/>
  <c r="K1604" i="2"/>
  <c r="L1604" i="2" s="1"/>
  <c r="I1597" i="2"/>
  <c r="J1597" i="2" s="1"/>
  <c r="M1576" i="2"/>
  <c r="N1576" i="2" s="1"/>
  <c r="K1576" i="2"/>
  <c r="L1576" i="2" s="1"/>
  <c r="I1576" i="2"/>
  <c r="J1576" i="2" s="1"/>
  <c r="H93" i="20"/>
  <c r="H41" i="20"/>
  <c r="H72" i="20"/>
  <c r="H55" i="20"/>
  <c r="H45" i="20"/>
  <c r="H83" i="20"/>
  <c r="H85" i="20"/>
  <c r="H58" i="20"/>
  <c r="H53" i="20"/>
  <c r="H38" i="20"/>
  <c r="H80" i="20"/>
  <c r="H67" i="20"/>
  <c r="H70" i="20"/>
  <c r="H87" i="20"/>
  <c r="H54" i="20"/>
  <c r="H76" i="20"/>
  <c r="H75" i="20"/>
  <c r="H68" i="20"/>
  <c r="H73" i="20"/>
  <c r="H49" i="20"/>
  <c r="H42" i="20"/>
  <c r="H46" i="20"/>
  <c r="H56" i="20"/>
  <c r="H64" i="20"/>
  <c r="H94" i="20"/>
  <c r="H63" i="20"/>
  <c r="H52" i="20"/>
  <c r="H43" i="20"/>
  <c r="H91" i="20"/>
  <c r="H78" i="20"/>
  <c r="H48" i="20"/>
  <c r="H62" i="20"/>
  <c r="C1698" i="2"/>
  <c r="C1699" i="2"/>
  <c r="H50" i="20"/>
  <c r="H44" i="20"/>
  <c r="H71" i="20"/>
  <c r="H79" i="20"/>
  <c r="H61" i="20"/>
  <c r="H39" i="20"/>
  <c r="H86" i="20"/>
  <c r="M92" i="20" l="1"/>
  <c r="O92" i="20"/>
  <c r="K92" i="20"/>
  <c r="K60" i="20"/>
  <c r="K59" i="20"/>
  <c r="O60" i="20"/>
  <c r="O59" i="20"/>
  <c r="O51" i="20"/>
  <c r="K84" i="20"/>
  <c r="M60" i="20"/>
  <c r="M84" i="20"/>
  <c r="K89" i="20"/>
  <c r="O84" i="20"/>
  <c r="K66" i="20"/>
  <c r="O89" i="20"/>
  <c r="M89" i="20"/>
  <c r="M66" i="20"/>
  <c r="O66" i="20"/>
  <c r="P86" i="20"/>
  <c r="B86" i="20" s="1"/>
  <c r="J1438" i="2" s="1"/>
  <c r="O86" i="20"/>
  <c r="K86" i="20"/>
  <c r="M86" i="20"/>
  <c r="O45" i="20"/>
  <c r="M45" i="20"/>
  <c r="K45" i="20"/>
  <c r="P45" i="20"/>
  <c r="B45" i="20" s="1"/>
  <c r="J1397" i="2" s="1"/>
  <c r="M47" i="20"/>
  <c r="P47" i="20"/>
  <c r="B47" i="20" s="1"/>
  <c r="J1399" i="2" s="1"/>
  <c r="O47" i="20"/>
  <c r="K47" i="20"/>
  <c r="P43" i="20"/>
  <c r="B43" i="20" s="1"/>
  <c r="J1395" i="2" s="1"/>
  <c r="K43" i="20"/>
  <c r="M43" i="20"/>
  <c r="O43" i="20"/>
  <c r="M58" i="20"/>
  <c r="P58" i="20"/>
  <c r="B58" i="20" s="1"/>
  <c r="J1410" i="2" s="1"/>
  <c r="K58" i="20"/>
  <c r="O58" i="20"/>
  <c r="P55" i="20"/>
  <c r="B55" i="20" s="1"/>
  <c r="J1407" i="2" s="1"/>
  <c r="O55" i="20"/>
  <c r="M55" i="20"/>
  <c r="K55" i="20"/>
  <c r="B1554" i="2"/>
  <c r="M82" i="20"/>
  <c r="P82" i="20"/>
  <c r="B82" i="20" s="1"/>
  <c r="J1434" i="2" s="1"/>
  <c r="K82" i="20"/>
  <c r="O82" i="20"/>
  <c r="K81" i="20"/>
  <c r="M81" i="20"/>
  <c r="O81" i="20"/>
  <c r="P81" i="20"/>
  <c r="B81" i="20" s="1"/>
  <c r="J1433" i="2" s="1"/>
  <c r="P78" i="20"/>
  <c r="B78" i="20" s="1"/>
  <c r="J1430" i="2" s="1"/>
  <c r="M78" i="20"/>
  <c r="O78" i="20"/>
  <c r="K78" i="20"/>
  <c r="B1529" i="2"/>
  <c r="O57" i="20"/>
  <c r="M57" i="20"/>
  <c r="P57" i="20"/>
  <c r="B57" i="20" s="1"/>
  <c r="J1409" i="2" s="1"/>
  <c r="K57" i="20"/>
  <c r="P88" i="20"/>
  <c r="B88" i="20" s="1"/>
  <c r="J1440" i="2" s="1"/>
  <c r="O88" i="20"/>
  <c r="K88" i="20"/>
  <c r="M88" i="20"/>
  <c r="P73" i="20"/>
  <c r="B73" i="20" s="1"/>
  <c r="J1425" i="2" s="1"/>
  <c r="O73" i="20"/>
  <c r="M73" i="20"/>
  <c r="K73" i="20"/>
  <c r="K65" i="20"/>
  <c r="M65" i="20"/>
  <c r="O65" i="20"/>
  <c r="P65" i="20"/>
  <c r="B65" i="20" s="1"/>
  <c r="J1417" i="2" s="1"/>
  <c r="O38" i="20"/>
  <c r="P38" i="20"/>
  <c r="M38" i="20"/>
  <c r="K38" i="20"/>
  <c r="P83" i="20"/>
  <c r="B83" i="20" s="1"/>
  <c r="J1435" i="2" s="1"/>
  <c r="O83" i="20"/>
  <c r="K83" i="20"/>
  <c r="M83" i="20"/>
  <c r="P40" i="20"/>
  <c r="B40" i="20" s="1"/>
  <c r="J1392" i="2" s="1"/>
  <c r="K40" i="20"/>
  <c r="M40" i="20"/>
  <c r="O40" i="20"/>
  <c r="K42" i="20"/>
  <c r="O42" i="20"/>
  <c r="P42" i="20"/>
  <c r="B42" i="20" s="1"/>
  <c r="J1394" i="2" s="1"/>
  <c r="M42" i="20"/>
  <c r="K90" i="20"/>
  <c r="O90" i="20"/>
  <c r="P90" i="20"/>
  <c r="B90" i="20" s="1"/>
  <c r="J1442" i="2" s="1"/>
  <c r="M90" i="20"/>
  <c r="M39" i="20"/>
  <c r="O39" i="20"/>
  <c r="K39" i="20"/>
  <c r="P39" i="20"/>
  <c r="B39" i="20" s="1"/>
  <c r="J1391" i="2" s="1"/>
  <c r="K49" i="20"/>
  <c r="O49" i="20"/>
  <c r="M49" i="20"/>
  <c r="P49" i="20"/>
  <c r="B49" i="20" s="1"/>
  <c r="J1401" i="2" s="1"/>
  <c r="P61" i="20"/>
  <c r="B61" i="20" s="1"/>
  <c r="J1413" i="2" s="1"/>
  <c r="K61" i="20"/>
  <c r="O61" i="20"/>
  <c r="M61" i="20"/>
  <c r="K52" i="20"/>
  <c r="O52" i="20"/>
  <c r="P52" i="20"/>
  <c r="B52" i="20" s="1"/>
  <c r="J1404" i="2" s="1"/>
  <c r="M52" i="20"/>
  <c r="P54" i="20"/>
  <c r="B54" i="20" s="1"/>
  <c r="J1406" i="2" s="1"/>
  <c r="O54" i="20"/>
  <c r="M54" i="20"/>
  <c r="K54" i="20"/>
  <c r="O72" i="20"/>
  <c r="M72" i="20"/>
  <c r="P72" i="20"/>
  <c r="B72" i="20" s="1"/>
  <c r="J1424" i="2" s="1"/>
  <c r="K72" i="20"/>
  <c r="P79" i="20"/>
  <c r="B79" i="20" s="1"/>
  <c r="J1431" i="2" s="1"/>
  <c r="O79" i="20"/>
  <c r="M79" i="20"/>
  <c r="K79" i="20"/>
  <c r="O68" i="20"/>
  <c r="M68" i="20"/>
  <c r="K68" i="20"/>
  <c r="P68" i="20"/>
  <c r="B68" i="20" s="1"/>
  <c r="J1420" i="2" s="1"/>
  <c r="O87" i="20"/>
  <c r="P87" i="20"/>
  <c r="B87" i="20" s="1"/>
  <c r="J1439" i="2" s="1"/>
  <c r="K87" i="20"/>
  <c r="M87" i="20"/>
  <c r="K41" i="20"/>
  <c r="P41" i="20"/>
  <c r="B41" i="20" s="1"/>
  <c r="J1393" i="2" s="1"/>
  <c r="O41" i="20"/>
  <c r="M41" i="20"/>
  <c r="O94" i="20"/>
  <c r="K94" i="20"/>
  <c r="M94" i="20"/>
  <c r="P94" i="20"/>
  <c r="B94" i="20" s="1"/>
  <c r="J1446" i="2" s="1"/>
  <c r="P75" i="20"/>
  <c r="B75" i="20" s="1"/>
  <c r="J1427" i="2" s="1"/>
  <c r="M75" i="20"/>
  <c r="K75" i="20"/>
  <c r="O75" i="20"/>
  <c r="K70" i="20"/>
  <c r="M70" i="20"/>
  <c r="P70" i="20"/>
  <c r="B70" i="20" s="1"/>
  <c r="J1422" i="2" s="1"/>
  <c r="O70" i="20"/>
  <c r="M59" i="20"/>
  <c r="M93" i="20"/>
  <c r="K93" i="20"/>
  <c r="P93" i="20"/>
  <c r="B93" i="20" s="1"/>
  <c r="J1445" i="2" s="1"/>
  <c r="O93" i="20"/>
  <c r="O77" i="20"/>
  <c r="P77" i="20"/>
  <c r="B77" i="20" s="1"/>
  <c r="J1429" i="2" s="1"/>
  <c r="K77" i="20"/>
  <c r="M77" i="20"/>
  <c r="B1521" i="2"/>
  <c r="K46" i="20"/>
  <c r="O46" i="20"/>
  <c r="P46" i="20"/>
  <c r="B46" i="20" s="1"/>
  <c r="J1398" i="2" s="1"/>
  <c r="M46" i="20"/>
  <c r="M74" i="20"/>
  <c r="K74" i="20"/>
  <c r="O74" i="20"/>
  <c r="P74" i="20"/>
  <c r="B74" i="20" s="1"/>
  <c r="J1426" i="2" s="1"/>
  <c r="M91" i="20"/>
  <c r="P91" i="20"/>
  <c r="B91" i="20" s="1"/>
  <c r="J1443" i="2" s="1"/>
  <c r="K91" i="20"/>
  <c r="O91" i="20"/>
  <c r="K53" i="20"/>
  <c r="M53" i="20"/>
  <c r="P53" i="20"/>
  <c r="B53" i="20" s="1"/>
  <c r="J1405" i="2" s="1"/>
  <c r="O53" i="20"/>
  <c r="B1559" i="2"/>
  <c r="B1562" i="2"/>
  <c r="P63" i="20"/>
  <c r="B63" i="20" s="1"/>
  <c r="J1415" i="2" s="1"/>
  <c r="O63" i="20"/>
  <c r="K63" i="20"/>
  <c r="M63" i="20"/>
  <c r="O71" i="20"/>
  <c r="K71" i="20"/>
  <c r="P71" i="20"/>
  <c r="B71" i="20" s="1"/>
  <c r="J1423" i="2" s="1"/>
  <c r="M71" i="20"/>
  <c r="P44" i="20"/>
  <c r="B44" i="20" s="1"/>
  <c r="J1396" i="2" s="1"/>
  <c r="O44" i="20"/>
  <c r="K44" i="20"/>
  <c r="M44" i="20"/>
  <c r="P62" i="20"/>
  <c r="B62" i="20" s="1"/>
  <c r="J1414" i="2" s="1"/>
  <c r="K62" i="20"/>
  <c r="O62" i="20"/>
  <c r="M62" i="20"/>
  <c r="P64" i="20"/>
  <c r="B64" i="20" s="1"/>
  <c r="J1416" i="2" s="1"/>
  <c r="O64" i="20"/>
  <c r="M64" i="20"/>
  <c r="K64" i="20"/>
  <c r="K76" i="20"/>
  <c r="O76" i="20"/>
  <c r="M76" i="20"/>
  <c r="P76" i="20"/>
  <c r="B76" i="20" s="1"/>
  <c r="J1428" i="2" s="1"/>
  <c r="K67" i="20"/>
  <c r="P67" i="20"/>
  <c r="B67" i="20" s="1"/>
  <c r="J1419" i="2" s="1"/>
  <c r="M67" i="20"/>
  <c r="O67" i="20"/>
  <c r="M95" i="20"/>
  <c r="K95" i="20"/>
  <c r="O95" i="20"/>
  <c r="P95" i="20"/>
  <c r="B95" i="20" s="1"/>
  <c r="J1447" i="2" s="1"/>
  <c r="B1530" i="2"/>
  <c r="K51" i="20"/>
  <c r="K50" i="20"/>
  <c r="P50" i="20"/>
  <c r="B50" i="20" s="1"/>
  <c r="J1402" i="2" s="1"/>
  <c r="O50" i="20"/>
  <c r="M50" i="20"/>
  <c r="M48" i="20"/>
  <c r="K48" i="20"/>
  <c r="P48" i="20"/>
  <c r="B48" i="20" s="1"/>
  <c r="J1400" i="2" s="1"/>
  <c r="O48" i="20"/>
  <c r="K56" i="20"/>
  <c r="M56" i="20"/>
  <c r="P56" i="20"/>
  <c r="B56" i="20" s="1"/>
  <c r="J1408" i="2" s="1"/>
  <c r="O56" i="20"/>
  <c r="P80" i="20"/>
  <c r="B80" i="20" s="1"/>
  <c r="J1432" i="2" s="1"/>
  <c r="O80" i="20"/>
  <c r="M80" i="20"/>
  <c r="K80" i="20"/>
  <c r="O85" i="20"/>
  <c r="K85" i="20"/>
  <c r="M85" i="20"/>
  <c r="P85" i="20"/>
  <c r="B85" i="20" s="1"/>
  <c r="J1437" i="2" s="1"/>
  <c r="B1536" i="2"/>
  <c r="M69" i="20"/>
  <c r="P69" i="20"/>
  <c r="B69" i="20" s="1"/>
  <c r="J1421" i="2" s="1"/>
  <c r="K69" i="20"/>
  <c r="O69" i="20"/>
  <c r="M51" i="20"/>
  <c r="B1534" i="2" l="1"/>
  <c r="B1564" i="2"/>
  <c r="B1509" i="2"/>
  <c r="B1535" i="2"/>
  <c r="B1515" i="2"/>
  <c r="B1550" i="2"/>
  <c r="B1565" i="2"/>
  <c r="B1546" i="2"/>
  <c r="B1547" i="2"/>
  <c r="B1540" i="2"/>
  <c r="K37" i="20"/>
  <c r="B1512" i="2"/>
  <c r="B1561" i="2"/>
  <c r="B1549" i="2"/>
  <c r="I1388" i="2"/>
  <c r="B1524" i="2"/>
  <c r="B1531" i="2"/>
  <c r="B1553" i="2"/>
  <c r="B1558" i="2"/>
  <c r="B1525" i="2"/>
  <c r="B1513" i="2"/>
  <c r="B1533" i="2"/>
  <c r="B1516" i="2"/>
  <c r="B1520" i="2"/>
  <c r="B1532" i="2"/>
  <c r="B1563" i="2"/>
  <c r="B1538" i="2"/>
  <c r="B1519" i="2"/>
  <c r="B1552" i="2"/>
  <c r="B1555" i="2"/>
  <c r="B1526" i="2"/>
  <c r="B1544" i="2"/>
  <c r="B1542" i="2"/>
  <c r="B1522" i="2"/>
  <c r="B1560" i="2"/>
  <c r="M37" i="20"/>
  <c r="B1527" i="2"/>
  <c r="B1548" i="2"/>
  <c r="B1514" i="2"/>
  <c r="B1557" i="2"/>
  <c r="B1539" i="2"/>
  <c r="B1523" i="2"/>
  <c r="B1511" i="2"/>
  <c r="B38" i="20"/>
  <c r="J1390" i="2" s="1"/>
  <c r="K1436" i="2" a="1"/>
  <c r="K1436" i="2" s="1"/>
  <c r="K1416" i="2" a="1"/>
  <c r="K1416" i="2" s="1"/>
  <c r="K1409" i="2" a="1"/>
  <c r="K1409" i="2" s="1"/>
  <c r="K1423" i="2" a="1"/>
  <c r="K1423" i="2" s="1"/>
  <c r="K1415" i="2" a="1"/>
  <c r="K1415" i="2" s="1"/>
  <c r="K1397" i="2" a="1"/>
  <c r="K1397" i="2" s="1"/>
  <c r="K1394" i="2" a="1"/>
  <c r="K1394" i="2" s="1"/>
  <c r="K1418" i="2" a="1"/>
  <c r="K1418" i="2" s="1"/>
  <c r="K1421" i="2" a="1"/>
  <c r="K1421" i="2" s="1"/>
  <c r="K1432" i="2" a="1"/>
  <c r="K1432" i="2" s="1"/>
  <c r="K1441" i="2" a="1"/>
  <c r="K1441" i="2" s="1"/>
  <c r="K1428" i="2" a="1"/>
  <c r="K1428" i="2" s="1"/>
  <c r="K1419" i="2" a="1"/>
  <c r="K1419" i="2" s="1"/>
  <c r="K1414" i="2" a="1"/>
  <c r="K1414" i="2" s="1"/>
  <c r="K1440" i="2" a="1"/>
  <c r="K1440" i="2" s="1"/>
  <c r="K1404" i="2" a="1"/>
  <c r="K1404" i="2" s="1"/>
  <c r="K1392" i="2" a="1"/>
  <c r="K1392" i="2" s="1"/>
  <c r="K1412" i="2" a="1"/>
  <c r="K1412" i="2" s="1"/>
  <c r="K1438" i="2" a="1"/>
  <c r="K1438" i="2" s="1"/>
  <c r="K1405" i="2" a="1"/>
  <c r="K1405" i="2" s="1"/>
  <c r="K1443" i="2" a="1"/>
  <c r="K1443" i="2" s="1"/>
  <c r="K1407" i="2" a="1"/>
  <c r="K1407" i="2" s="1"/>
  <c r="K1401" i="2" a="1"/>
  <c r="K1401" i="2" s="1"/>
  <c r="K1439" i="2" a="1"/>
  <c r="K1439" i="2" s="1"/>
  <c r="K1442" i="2" a="1"/>
  <c r="K1442" i="2" s="1"/>
  <c r="K1403" i="2" a="1"/>
  <c r="K1403" i="2" s="1"/>
  <c r="K1426" i="2" a="1"/>
  <c r="K1426" i="2" s="1"/>
  <c r="K1413" i="2" a="1"/>
  <c r="K1413" i="2" s="1"/>
  <c r="K1396" i="2" a="1"/>
  <c r="K1396" i="2" s="1"/>
  <c r="K1398" i="2" a="1"/>
  <c r="K1398" i="2" s="1"/>
  <c r="K1406" i="2" a="1"/>
  <c r="K1406" i="2" s="1"/>
  <c r="K1431" i="2" a="1"/>
  <c r="K1431" i="2" s="1"/>
  <c r="K1424" i="2" a="1"/>
  <c r="K1424" i="2" s="1"/>
  <c r="K1420" i="2" a="1"/>
  <c r="K1420" i="2" s="1"/>
  <c r="K1391" i="2" a="1"/>
  <c r="K1391" i="2" s="1"/>
  <c r="K1390" i="2" a="1"/>
  <c r="K1390" i="2" s="1"/>
  <c r="K1435" i="2" a="1"/>
  <c r="K1435" i="2" s="1"/>
  <c r="K1411" i="2" a="1"/>
  <c r="K1411" i="2" s="1"/>
  <c r="K1430" i="2" a="1"/>
  <c r="K1430" i="2" s="1"/>
  <c r="K1417" i="2" a="1"/>
  <c r="K1417" i="2" s="1"/>
  <c r="K1425" i="2" a="1"/>
  <c r="K1425" i="2" s="1"/>
  <c r="K1402" i="2" a="1"/>
  <c r="K1402" i="2" s="1"/>
  <c r="K1399" i="2" a="1"/>
  <c r="K1399" i="2" s="1"/>
  <c r="K1445" i="2" a="1"/>
  <c r="K1445" i="2" s="1"/>
  <c r="K1434" i="2" a="1"/>
  <c r="K1434" i="2" s="1"/>
  <c r="K1393" i="2" a="1"/>
  <c r="K1393" i="2" s="1"/>
  <c r="K1437" i="2" a="1"/>
  <c r="K1437" i="2" s="1"/>
  <c r="K1446" i="2" a="1"/>
  <c r="K1446" i="2" s="1"/>
  <c r="K1395" i="2" a="1"/>
  <c r="K1395" i="2" s="1"/>
  <c r="K1449" i="2" a="1"/>
  <c r="K1449" i="2" s="1"/>
  <c r="K1408" i="2" a="1"/>
  <c r="K1408" i="2" s="1"/>
  <c r="K1400" i="2" a="1"/>
  <c r="K1400" i="2" s="1"/>
  <c r="K1427" i="2" a="1"/>
  <c r="K1427" i="2" s="1"/>
  <c r="K1410" i="2" a="1"/>
  <c r="K1410" i="2" s="1"/>
  <c r="K1444" i="2" a="1"/>
  <c r="K1444" i="2" s="1"/>
  <c r="K1433" i="2" a="1"/>
  <c r="K1433" i="2" s="1"/>
  <c r="K1429" i="2" a="1"/>
  <c r="K1429" i="2" s="1"/>
  <c r="K1447" i="2" a="1"/>
  <c r="K1447" i="2" s="1"/>
  <c r="K1422" i="2" a="1"/>
  <c r="K1422" i="2" s="1"/>
  <c r="B1551" i="2"/>
  <c r="B1528" i="2"/>
  <c r="B1517" i="2"/>
  <c r="B1541" i="2"/>
  <c r="B1518" i="2"/>
  <c r="B1537" i="2"/>
  <c r="B1545" i="2"/>
  <c r="B1510" i="2"/>
  <c r="O37" i="20"/>
  <c r="B1543" i="2"/>
  <c r="B1556" i="2"/>
  <c r="N50" i="20" l="1"/>
  <c r="N89" i="20"/>
  <c r="N63" i="20"/>
  <c r="N73" i="20"/>
  <c r="N92" i="20"/>
  <c r="N85" i="20"/>
  <c r="N40" i="20"/>
  <c r="N52" i="20"/>
  <c r="N95" i="20"/>
  <c r="N94" i="20"/>
  <c r="N84" i="20"/>
  <c r="N77" i="20"/>
  <c r="N69" i="20"/>
  <c r="N76" i="20"/>
  <c r="N82" i="20"/>
  <c r="N88" i="20"/>
  <c r="N70" i="20"/>
  <c r="N46" i="20"/>
  <c r="N48" i="20"/>
  <c r="N75" i="20"/>
  <c r="N81" i="20"/>
  <c r="N67" i="20"/>
  <c r="N90" i="20"/>
  <c r="N86" i="20"/>
  <c r="N54" i="20"/>
  <c r="N56" i="20"/>
  <c r="N91" i="20"/>
  <c r="N57" i="20"/>
  <c r="N44" i="20"/>
  <c r="N49" i="20"/>
  <c r="N59" i="20"/>
  <c r="N79" i="20"/>
  <c r="N61" i="20"/>
  <c r="N51" i="20"/>
  <c r="N43" i="20"/>
  <c r="N87" i="20"/>
  <c r="N41" i="20"/>
  <c r="N58" i="20"/>
  <c r="N66" i="20"/>
  <c r="N42" i="20"/>
  <c r="N64" i="20"/>
  <c r="N60" i="20"/>
  <c r="N80" i="20"/>
  <c r="N39" i="20"/>
  <c r="N47" i="20"/>
  <c r="N71" i="20"/>
  <c r="N45" i="20"/>
  <c r="N78" i="20"/>
  <c r="N68" i="20"/>
  <c r="N74" i="20"/>
  <c r="N83" i="20"/>
  <c r="N55" i="20"/>
  <c r="N93" i="20"/>
  <c r="N72" i="20"/>
  <c r="N65" i="20"/>
  <c r="N62" i="20"/>
  <c r="N53" i="20"/>
  <c r="N38" i="20"/>
  <c r="B1508" i="2"/>
  <c r="E37" i="20"/>
  <c r="I1369" i="2" s="1"/>
  <c r="D37" i="20"/>
  <c r="I1368" i="2" s="1"/>
  <c r="O28" i="15"/>
  <c r="G37" i="20"/>
  <c r="I1371" i="2" s="1"/>
  <c r="B1723" i="2"/>
  <c r="B1498" i="2"/>
  <c r="BK1497" i="2" s="1"/>
  <c r="F37" i="20"/>
  <c r="I1370" i="2" s="1"/>
  <c r="AG18" i="15"/>
  <c r="P1371" i="2" l="1"/>
  <c r="O1371" i="2"/>
  <c r="P1369" i="2"/>
  <c r="O1369" i="2"/>
  <c r="P1368" i="2"/>
  <c r="O1368" i="2"/>
  <c r="O1370" i="2"/>
  <c r="P1370" i="2"/>
  <c r="O1457" i="2" l="1"/>
  <c r="AJ1455" i="2" s="1"/>
  <c r="Q1368" i="2"/>
  <c r="O1487" i="2"/>
  <c r="AJ1485" i="2" s="1"/>
  <c r="O1482" i="2"/>
  <c r="AJ1480" i="2" s="1"/>
  <c r="O1437" i="2"/>
  <c r="O1462" i="2"/>
  <c r="AJ1460" i="2" s="1"/>
  <c r="O1427" i="2"/>
  <c r="AJ1425" i="2" s="1"/>
  <c r="O1422" i="2"/>
  <c r="AJ1420" i="2" s="1"/>
  <c r="O1472" i="2"/>
  <c r="AJ1470" i="2" s="1"/>
  <c r="AT1498" i="2"/>
  <c r="B1485" i="2"/>
  <c r="O1467" i="2"/>
  <c r="AJ1465" i="2" s="1"/>
  <c r="O1477" i="2"/>
  <c r="AJ1475" i="2" s="1"/>
  <c r="O1452" i="2"/>
  <c r="O1442" i="2"/>
  <c r="O1447" i="2"/>
  <c r="AE1374" i="2"/>
  <c r="O1432" i="2"/>
  <c r="AJ1430" i="2" s="1"/>
  <c r="O1488" i="2"/>
  <c r="AR1485" i="2" s="1"/>
  <c r="O1438" i="2"/>
  <c r="AK1435" i="2" s="1"/>
  <c r="O1473" i="2"/>
  <c r="AR1470" i="2" s="1"/>
  <c r="O1428" i="2"/>
  <c r="AR1425" i="2" s="1"/>
  <c r="O1463" i="2"/>
  <c r="AR1460" i="2" s="1"/>
  <c r="O1458" i="2"/>
  <c r="AR1455" i="2" s="1"/>
  <c r="O1423" i="2"/>
  <c r="AR1420" i="2" s="1"/>
  <c r="O1468" i="2"/>
  <c r="AR1465" i="2" s="1"/>
  <c r="O1478" i="2"/>
  <c r="AR1475" i="2" s="1"/>
  <c r="O1483" i="2"/>
  <c r="AR1480" i="2" s="1"/>
  <c r="AT1499" i="2"/>
  <c r="B1486" i="2"/>
  <c r="Q1369" i="2"/>
  <c r="O1443" i="2"/>
  <c r="AK1440" i="2" s="1"/>
  <c r="O1448" i="2"/>
  <c r="AK1445" i="2" s="1"/>
  <c r="AE1376" i="2"/>
  <c r="O1453" i="2"/>
  <c r="AK1450" i="2" s="1"/>
  <c r="O1433" i="2"/>
  <c r="AR1430" i="2" s="1"/>
  <c r="O1424" i="2"/>
  <c r="AZ1420" i="2" s="1"/>
  <c r="O1484" i="2"/>
  <c r="AZ1480" i="2" s="1"/>
  <c r="O1469" i="2"/>
  <c r="AZ1465" i="2" s="1"/>
  <c r="O1489" i="2"/>
  <c r="AZ1485" i="2" s="1"/>
  <c r="Q1370" i="2"/>
  <c r="O1439" i="2"/>
  <c r="AO1435" i="2" s="1"/>
  <c r="O1464" i="2"/>
  <c r="AZ1460" i="2" s="1"/>
  <c r="O1479" i="2"/>
  <c r="AZ1475" i="2" s="1"/>
  <c r="AT1500" i="2"/>
  <c r="O1474" i="2"/>
  <c r="AZ1470" i="2" s="1"/>
  <c r="O1459" i="2"/>
  <c r="AZ1455" i="2" s="1"/>
  <c r="O1429" i="2"/>
  <c r="AZ1425" i="2" s="1"/>
  <c r="B1487" i="2"/>
  <c r="O1444" i="2"/>
  <c r="AO1440" i="2" s="1"/>
  <c r="O1434" i="2"/>
  <c r="AZ1430" i="2" s="1"/>
  <c r="O1449" i="2"/>
  <c r="AO1445" i="2" s="1"/>
  <c r="AE1378" i="2"/>
  <c r="O1454" i="2"/>
  <c r="AO1450" i="2" s="1"/>
  <c r="N1425" i="2"/>
  <c r="BG1420" i="2" s="1"/>
  <c r="N1485" i="2"/>
  <c r="BG1480" i="2" s="1"/>
  <c r="N1490" i="2"/>
  <c r="BG1485" i="2" s="1"/>
  <c r="N1470" i="2"/>
  <c r="BG1465" i="2" s="1"/>
  <c r="N1440" i="2"/>
  <c r="AR1435" i="2" s="1"/>
  <c r="N1430" i="2"/>
  <c r="BG1425" i="2" s="1"/>
  <c r="N1475" i="2"/>
  <c r="BG1470" i="2" s="1"/>
  <c r="A1488" i="2"/>
  <c r="N1480" i="2"/>
  <c r="BG1475" i="2" s="1"/>
  <c r="N1460" i="2"/>
  <c r="BG1455" i="2" s="1"/>
  <c r="N1465" i="2"/>
  <c r="BG1460" i="2" s="1"/>
  <c r="N1455" i="2"/>
  <c r="AR1450" i="2" s="1"/>
  <c r="N1450" i="2"/>
  <c r="AR1445" i="2" s="1"/>
  <c r="N1445" i="2"/>
  <c r="AR1440" i="2" s="1"/>
  <c r="AD1380" i="2"/>
  <c r="N1435" i="2"/>
  <c r="BG1430" i="2" s="1"/>
  <c r="N1488" i="2"/>
  <c r="AQ1485" i="2" s="1"/>
  <c r="N1428" i="2"/>
  <c r="AQ1425" i="2" s="1"/>
  <c r="N1458" i="2"/>
  <c r="AQ1455" i="2" s="1"/>
  <c r="N1438" i="2"/>
  <c r="AJ1435" i="2" s="1"/>
  <c r="N1423" i="2"/>
  <c r="AQ1420" i="2" s="1"/>
  <c r="A1486" i="2"/>
  <c r="N1463" i="2"/>
  <c r="AQ1460" i="2" s="1"/>
  <c r="N1483" i="2"/>
  <c r="AQ1480" i="2" s="1"/>
  <c r="N1468" i="2"/>
  <c r="AQ1465" i="2" s="1"/>
  <c r="N1478" i="2"/>
  <c r="AQ1475" i="2" s="1"/>
  <c r="N1473" i="2"/>
  <c r="AQ1470" i="2" s="1"/>
  <c r="N1448" i="2"/>
  <c r="AJ1445" i="2" s="1"/>
  <c r="AD1376" i="2"/>
  <c r="N1453" i="2"/>
  <c r="AJ1450" i="2" s="1"/>
  <c r="N1443" i="2"/>
  <c r="AJ1440" i="2" s="1"/>
  <c r="N1433" i="2"/>
  <c r="AQ1430" i="2" s="1"/>
  <c r="N1439" i="2"/>
  <c r="AN1435" i="2" s="1"/>
  <c r="N1474" i="2"/>
  <c r="AY1470" i="2" s="1"/>
  <c r="N1489" i="2"/>
  <c r="AY1485" i="2" s="1"/>
  <c r="N1429" i="2"/>
  <c r="AY1425" i="2" s="1"/>
  <c r="N1469" i="2"/>
  <c r="AY1465" i="2" s="1"/>
  <c r="N1459" i="2"/>
  <c r="AY1455" i="2" s="1"/>
  <c r="N1424" i="2"/>
  <c r="N1479" i="2"/>
  <c r="AY1475" i="2" s="1"/>
  <c r="N1484" i="2"/>
  <c r="AY1480" i="2" s="1"/>
  <c r="A1487" i="2"/>
  <c r="N1464" i="2"/>
  <c r="AY1460" i="2" s="1"/>
  <c r="AD1378" i="2"/>
  <c r="N1434" i="2"/>
  <c r="N1454" i="2"/>
  <c r="AN1450" i="2" s="1"/>
  <c r="N1444" i="2"/>
  <c r="AN1440" i="2" s="1"/>
  <c r="N1449" i="2"/>
  <c r="AN1445" i="2" s="1"/>
  <c r="N1487" i="2"/>
  <c r="AI1485" i="2" s="1"/>
  <c r="N1462" i="2"/>
  <c r="AI1460" i="2" s="1"/>
  <c r="N1457" i="2"/>
  <c r="N1427" i="2"/>
  <c r="AI1425" i="2" s="1"/>
  <c r="N1437" i="2"/>
  <c r="N1472" i="2"/>
  <c r="AI1470" i="2" s="1"/>
  <c r="N1477" i="2"/>
  <c r="AI1475" i="2" s="1"/>
  <c r="N1422" i="2"/>
  <c r="N1482" i="2"/>
  <c r="AI1480" i="2" s="1"/>
  <c r="N1467" i="2"/>
  <c r="AI1465" i="2" s="1"/>
  <c r="A1485" i="2"/>
  <c r="N1447" i="2"/>
  <c r="AD1374" i="2"/>
  <c r="N1452" i="2"/>
  <c r="N1442" i="2"/>
  <c r="N1432" i="2"/>
  <c r="AI1430" i="2" s="1"/>
  <c r="O1465" i="2"/>
  <c r="BH1460" i="2" s="1"/>
  <c r="O1480" i="2"/>
  <c r="BH1475" i="2" s="1"/>
  <c r="O1490" i="2"/>
  <c r="BH1485" i="2" s="1"/>
  <c r="O1425" i="2"/>
  <c r="BH1420" i="2" s="1"/>
  <c r="AT1501" i="2"/>
  <c r="O1485" i="2"/>
  <c r="BH1480" i="2" s="1"/>
  <c r="O1470" i="2"/>
  <c r="BH1465" i="2" s="1"/>
  <c r="O1440" i="2"/>
  <c r="AS1435" i="2" s="1"/>
  <c r="O1460" i="2"/>
  <c r="BH1455" i="2" s="1"/>
  <c r="Q1371" i="2"/>
  <c r="O1475" i="2"/>
  <c r="BH1470" i="2" s="1"/>
  <c r="B1488" i="2"/>
  <c r="O1430" i="2"/>
  <c r="BH1425" i="2" s="1"/>
  <c r="O1450" i="2"/>
  <c r="AS1445" i="2" s="1"/>
  <c r="O1445" i="2"/>
  <c r="AS1440" i="2" s="1"/>
  <c r="O1455" i="2"/>
  <c r="AS1450" i="2" s="1"/>
  <c r="AE1380" i="2"/>
  <c r="O1435" i="2"/>
  <c r="BH1430" i="2" s="1"/>
  <c r="AE1486" i="2" l="1"/>
  <c r="X1461" i="2" s="1"/>
  <c r="AE1470" i="2"/>
  <c r="W1458" i="2" s="1"/>
  <c r="AE1421" i="2"/>
  <c r="X1420" i="2" s="1"/>
  <c r="AE1483" i="2"/>
  <c r="Z1460" i="2" s="1"/>
  <c r="AE1488" i="2"/>
  <c r="Z1461" i="2" s="1"/>
  <c r="AE1473" i="2"/>
  <c r="Z1458" i="2" s="1"/>
  <c r="AE1487" i="2"/>
  <c r="Y1461" i="2" s="1"/>
  <c r="AE1485" i="2"/>
  <c r="W1461" i="2" s="1"/>
  <c r="AE1482" i="2"/>
  <c r="Y1460" i="2" s="1"/>
  <c r="AE1481" i="2"/>
  <c r="X1460" i="2" s="1"/>
  <c r="AE1460" i="2"/>
  <c r="W1456" i="2" s="1"/>
  <c r="AE1472" i="2"/>
  <c r="Y1458" i="2" s="1"/>
  <c r="AE1458" i="2"/>
  <c r="Z1455" i="2" s="1"/>
  <c r="AE1480" i="2"/>
  <c r="W1460" i="2" s="1"/>
  <c r="AE1478" i="2"/>
  <c r="Z1459" i="2" s="1"/>
  <c r="AE1477" i="2"/>
  <c r="Y1459" i="2" s="1"/>
  <c r="AE1476" i="2"/>
  <c r="X1459" i="2" s="1"/>
  <c r="AE1475" i="2"/>
  <c r="W1459" i="2" s="1"/>
  <c r="AE1468" i="2"/>
  <c r="Z1457" i="2" s="1"/>
  <c r="AE1471" i="2"/>
  <c r="X1458" i="2" s="1"/>
  <c r="AE1462" i="2"/>
  <c r="Y1456" i="2" s="1"/>
  <c r="AE1431" i="2"/>
  <c r="X1422" i="2" s="1"/>
  <c r="AE1461" i="2"/>
  <c r="X1456" i="2" s="1"/>
  <c r="AE1467" i="2"/>
  <c r="Y1457" i="2" s="1"/>
  <c r="AE1463" i="2"/>
  <c r="Z1456" i="2" s="1"/>
  <c r="AE1466" i="2"/>
  <c r="X1457" i="2" s="1"/>
  <c r="AE1465" i="2"/>
  <c r="W1457" i="2" s="1"/>
  <c r="AE1430" i="2"/>
  <c r="W1422" i="2" s="1"/>
  <c r="AE1456" i="2"/>
  <c r="X1455" i="2" s="1"/>
  <c r="AE1457" i="2"/>
  <c r="Y1455" i="2" s="1"/>
  <c r="AE1433" i="2"/>
  <c r="Z1422" i="2" s="1"/>
  <c r="AE1427" i="2"/>
  <c r="Y1421" i="2" s="1"/>
  <c r="AE1425" i="2"/>
  <c r="W1421" i="2" s="1"/>
  <c r="AE1426" i="2"/>
  <c r="X1421" i="2" s="1"/>
  <c r="AE1428" i="2"/>
  <c r="Z1421" i="2" s="1"/>
  <c r="AE1423" i="2"/>
  <c r="Z1420" i="2" s="1"/>
  <c r="Q1422" i="2"/>
  <c r="AE1435" i="2"/>
  <c r="W1435" i="2" s="1"/>
  <c r="AE1442" i="2"/>
  <c r="Y1436" i="2" s="1"/>
  <c r="AI1420" i="2"/>
  <c r="AI1455" i="2"/>
  <c r="Q1457" i="2"/>
  <c r="AE1447" i="2"/>
  <c r="Y1437" i="2" s="1"/>
  <c r="AY1430" i="2"/>
  <c r="AY1420" i="2"/>
  <c r="AE1422" i="2" s="1"/>
  <c r="AE1451" i="2"/>
  <c r="X1438" i="2" s="1"/>
  <c r="AE1437" i="2"/>
  <c r="Y1435" i="2" s="1"/>
  <c r="AE1446" i="2"/>
  <c r="X1437" i="2" s="1"/>
  <c r="AE1436" i="2"/>
  <c r="X1435" i="2" s="1"/>
  <c r="AE1452" i="2"/>
  <c r="Y1438" i="2" s="1"/>
  <c r="I1375" i="2"/>
  <c r="I1499" i="2" s="1"/>
  <c r="K1375" i="2"/>
  <c r="K1499" i="2" s="1"/>
  <c r="E126" i="20"/>
  <c r="G1375" i="2"/>
  <c r="H1375" i="2"/>
  <c r="H1499" i="2" s="1"/>
  <c r="D1575" i="2"/>
  <c r="J1375" i="2"/>
  <c r="J1499" i="2" s="1"/>
  <c r="Q1375" i="2"/>
  <c r="P1375" i="2" s="1"/>
  <c r="Q1362" i="2"/>
  <c r="Q1382" i="2"/>
  <c r="E129" i="20"/>
  <c r="E127" i="20"/>
  <c r="J1667" i="2"/>
  <c r="R1362" i="2"/>
  <c r="S1362" i="2" s="1"/>
  <c r="N1375" i="2"/>
  <c r="M1375" i="2" s="1"/>
  <c r="E128" i="20"/>
  <c r="J1697" i="2"/>
  <c r="D1622" i="2"/>
  <c r="AH2" i="9"/>
  <c r="AH7" i="9"/>
  <c r="AH15" i="9"/>
  <c r="AH6" i="9"/>
  <c r="AH14" i="9"/>
  <c r="AH3" i="9"/>
  <c r="AH9" i="9"/>
  <c r="AH17" i="9"/>
  <c r="AH13" i="9"/>
  <c r="AH27" i="9"/>
  <c r="AH35" i="9"/>
  <c r="AH41" i="9"/>
  <c r="AH49" i="9"/>
  <c r="AH57" i="9"/>
  <c r="AH65" i="9"/>
  <c r="AH73" i="9"/>
  <c r="AH81" i="9"/>
  <c r="AH95" i="9"/>
  <c r="AH103" i="9"/>
  <c r="AH111" i="9"/>
  <c r="AH119" i="9"/>
  <c r="AH127" i="9"/>
  <c r="AH135" i="9"/>
  <c r="AH149" i="9"/>
  <c r="AH157" i="9"/>
  <c r="AH26" i="9"/>
  <c r="AH34" i="9"/>
  <c r="AH40" i="9"/>
  <c r="AH48" i="9"/>
  <c r="AH56" i="9"/>
  <c r="AH64" i="9"/>
  <c r="AH72" i="9"/>
  <c r="AH80" i="9"/>
  <c r="AH8" i="9"/>
  <c r="AH19" i="9"/>
  <c r="AH25" i="9"/>
  <c r="AH33" i="9"/>
  <c r="AH39" i="9"/>
  <c r="AH47" i="9"/>
  <c r="AH55" i="9"/>
  <c r="AH63" i="9"/>
  <c r="AH71" i="9"/>
  <c r="AH79" i="9"/>
  <c r="AH87" i="9"/>
  <c r="AH93" i="9"/>
  <c r="AH101" i="9"/>
  <c r="AH109" i="9"/>
  <c r="AH117" i="9"/>
  <c r="AH125" i="9"/>
  <c r="AH133" i="9"/>
  <c r="AH11" i="9"/>
  <c r="AH21" i="9"/>
  <c r="AH30" i="9"/>
  <c r="AH32" i="9"/>
  <c r="AH61" i="9"/>
  <c r="AH74" i="9"/>
  <c r="AH83" i="9"/>
  <c r="AH96" i="9"/>
  <c r="AH99" i="9"/>
  <c r="AH4" i="9"/>
  <c r="AH23" i="9"/>
  <c r="AH36" i="9"/>
  <c r="AH43" i="9"/>
  <c r="AH52" i="9"/>
  <c r="AH54" i="9"/>
  <c r="AH85" i="9"/>
  <c r="AH90" i="9"/>
  <c r="AH110" i="9"/>
  <c r="AH113" i="9"/>
  <c r="AH116" i="9"/>
  <c r="AH122" i="9"/>
  <c r="AH147" i="9"/>
  <c r="AH151" i="9"/>
  <c r="AH160" i="9"/>
  <c r="AH168" i="9"/>
  <c r="AH176" i="9"/>
  <c r="AH184" i="9"/>
  <c r="AH192" i="9"/>
  <c r="AH198" i="9"/>
  <c r="AH5" i="9"/>
  <c r="AH45" i="9"/>
  <c r="AH58" i="9"/>
  <c r="AH67" i="9"/>
  <c r="AH76" i="9"/>
  <c r="AH78" i="9"/>
  <c r="AH104" i="9"/>
  <c r="AH107" i="9"/>
  <c r="AH136" i="9"/>
  <c r="AH140" i="9"/>
  <c r="AH155" i="9"/>
  <c r="AH159" i="9"/>
  <c r="AH167" i="9"/>
  <c r="AH175" i="9"/>
  <c r="AH183" i="9"/>
  <c r="AH50" i="9"/>
  <c r="AH59" i="9"/>
  <c r="AH68" i="9"/>
  <c r="AH70" i="9"/>
  <c r="AH102" i="9"/>
  <c r="AH105" i="9"/>
  <c r="AH108" i="9"/>
  <c r="AH114" i="9"/>
  <c r="AH134" i="9"/>
  <c r="AH137" i="9"/>
  <c r="AH144" i="9"/>
  <c r="AH148" i="9"/>
  <c r="AH162" i="9"/>
  <c r="AH170" i="9"/>
  <c r="AH178" i="9"/>
  <c r="AH186" i="9"/>
  <c r="AH10" i="9"/>
  <c r="AH16" i="9"/>
  <c r="AH44" i="9"/>
  <c r="AH66" i="9"/>
  <c r="AH77" i="9"/>
  <c r="AH98" i="9"/>
  <c r="AH118" i="9"/>
  <c r="AH129" i="9"/>
  <c r="AH145" i="9"/>
  <c r="AH156" i="9"/>
  <c r="AH158" i="9"/>
  <c r="AH171" i="9"/>
  <c r="AH182" i="9"/>
  <c r="AH189" i="9"/>
  <c r="AH195" i="9"/>
  <c r="AH199" i="9"/>
  <c r="AH210" i="9"/>
  <c r="AH218" i="9"/>
  <c r="AH226" i="9"/>
  <c r="AH234" i="9"/>
  <c r="AH242" i="9"/>
  <c r="AH250" i="9"/>
  <c r="AH258" i="9"/>
  <c r="AH266" i="9"/>
  <c r="AH274" i="9"/>
  <c r="AH282" i="9"/>
  <c r="AH290" i="9"/>
  <c r="AH298" i="9"/>
  <c r="AH306" i="9"/>
  <c r="AH314" i="9"/>
  <c r="AH322" i="9"/>
  <c r="AH330" i="9"/>
  <c r="AH338" i="9"/>
  <c r="AH346" i="9"/>
  <c r="AH354" i="9"/>
  <c r="AH362" i="9"/>
  <c r="AH370" i="9"/>
  <c r="AH378" i="9"/>
  <c r="AH386" i="9"/>
  <c r="AH394" i="9"/>
  <c r="AH402" i="9"/>
  <c r="AH410" i="9"/>
  <c r="AH418" i="9"/>
  <c r="AH426" i="9"/>
  <c r="AH434" i="9"/>
  <c r="AH442" i="9"/>
  <c r="AH450" i="9"/>
  <c r="AH458" i="9"/>
  <c r="AH466" i="9"/>
  <c r="AH28" i="9"/>
  <c r="AH106" i="9"/>
  <c r="AH120" i="9"/>
  <c r="AH141" i="9"/>
  <c r="AH154" i="9"/>
  <c r="AH164" i="9"/>
  <c r="AH173" i="9"/>
  <c r="AH177" i="9"/>
  <c r="AH203" i="9"/>
  <c r="AH209" i="9"/>
  <c r="AH217" i="9"/>
  <c r="AH225" i="9"/>
  <c r="AH233" i="9"/>
  <c r="AH241" i="9"/>
  <c r="AH249" i="9"/>
  <c r="AH257" i="9"/>
  <c r="AH265" i="9"/>
  <c r="AH273" i="9"/>
  <c r="AH281" i="9"/>
  <c r="AH289" i="9"/>
  <c r="AH297" i="9"/>
  <c r="AH305" i="9"/>
  <c r="AH313" i="9"/>
  <c r="AH321" i="9"/>
  <c r="AH329" i="9"/>
  <c r="AH337" i="9"/>
  <c r="AH345" i="9"/>
  <c r="AH353" i="9"/>
  <c r="AH361" i="9"/>
  <c r="AH369" i="9"/>
  <c r="AH377" i="9"/>
  <c r="AH385" i="9"/>
  <c r="AH393" i="9"/>
  <c r="AH401" i="9"/>
  <c r="AH409" i="9"/>
  <c r="AH417" i="9"/>
  <c r="AH425" i="9"/>
  <c r="AH433" i="9"/>
  <c r="AH441" i="9"/>
  <c r="AH449" i="9"/>
  <c r="AH457" i="9"/>
  <c r="AH465" i="9"/>
  <c r="AH38" i="9"/>
  <c r="AH60" i="9"/>
  <c r="AH82" i="9"/>
  <c r="AH132" i="9"/>
  <c r="AH139" i="9"/>
  <c r="AH150" i="9"/>
  <c r="AH152" i="9"/>
  <c r="AH166" i="9"/>
  <c r="AH188" i="9"/>
  <c r="AH194" i="9"/>
  <c r="AH208" i="9"/>
  <c r="AH216" i="9"/>
  <c r="AH224" i="9"/>
  <c r="AH232" i="9"/>
  <c r="AH240" i="9"/>
  <c r="AH248" i="9"/>
  <c r="AH256" i="9"/>
  <c r="AH264" i="9"/>
  <c r="AH272" i="9"/>
  <c r="AH280" i="9"/>
  <c r="AH288" i="9"/>
  <c r="AH296" i="9"/>
  <c r="AH304" i="9"/>
  <c r="AH312" i="9"/>
  <c r="AH320" i="9"/>
  <c r="AH328" i="9"/>
  <c r="AH336" i="9"/>
  <c r="AH344" i="9"/>
  <c r="AH352" i="9"/>
  <c r="AH360" i="9"/>
  <c r="AH368" i="9"/>
  <c r="AH376" i="9"/>
  <c r="AH384" i="9"/>
  <c r="AH392" i="9"/>
  <c r="AH400" i="9"/>
  <c r="AH408" i="9"/>
  <c r="AH416" i="9"/>
  <c r="AH424" i="9"/>
  <c r="AH432" i="9"/>
  <c r="AH440" i="9"/>
  <c r="AH448" i="9"/>
  <c r="AH456" i="9"/>
  <c r="AH464" i="9"/>
  <c r="AH472" i="9"/>
  <c r="AH20" i="9"/>
  <c r="AH62" i="9"/>
  <c r="AH69" i="9"/>
  <c r="AH92" i="9"/>
  <c r="AH115" i="9"/>
  <c r="AH153" i="9"/>
  <c r="AH165" i="9"/>
  <c r="AH169" i="9"/>
  <c r="AH187" i="9"/>
  <c r="AH196" i="9"/>
  <c r="AH200" i="9"/>
  <c r="AH212" i="9"/>
  <c r="AH220" i="9"/>
  <c r="AH228" i="9"/>
  <c r="AH236" i="9"/>
  <c r="AH244" i="9"/>
  <c r="AH252" i="9"/>
  <c r="AH260" i="9"/>
  <c r="AH268" i="9"/>
  <c r="AH276" i="9"/>
  <c r="AH284" i="9"/>
  <c r="AH292" i="9"/>
  <c r="AH300" i="9"/>
  <c r="AH308" i="9"/>
  <c r="AH316" i="9"/>
  <c r="AH324" i="9"/>
  <c r="AH332" i="9"/>
  <c r="AH340" i="9"/>
  <c r="AH348" i="9"/>
  <c r="AH356" i="9"/>
  <c r="AH364" i="9"/>
  <c r="AH372" i="9"/>
  <c r="AH380" i="9"/>
  <c r="AH388" i="9"/>
  <c r="AH396" i="9"/>
  <c r="AH404" i="9"/>
  <c r="AH412" i="9"/>
  <c r="AH420" i="9"/>
  <c r="AH428" i="9"/>
  <c r="AH436" i="9"/>
  <c r="AH444" i="9"/>
  <c r="AH452" i="9"/>
  <c r="AH460" i="9"/>
  <c r="AH468" i="9"/>
  <c r="AH22" i="9"/>
  <c r="AH37" i="9"/>
  <c r="AH42" i="9"/>
  <c r="AH75" i="9"/>
  <c r="AH121" i="9"/>
  <c r="AH146" i="9"/>
  <c r="AH181" i="9"/>
  <c r="AH190" i="9"/>
  <c r="AH474" i="9"/>
  <c r="AH482" i="9"/>
  <c r="AH490" i="9"/>
  <c r="AH498" i="9"/>
  <c r="AH506" i="9"/>
  <c r="AH514" i="9"/>
  <c r="AH522" i="9"/>
  <c r="AH530" i="9"/>
  <c r="AH538" i="9"/>
  <c r="AH546" i="9"/>
  <c r="AH554" i="9"/>
  <c r="AH562" i="9"/>
  <c r="AH570" i="9"/>
  <c r="AH578" i="9"/>
  <c r="AH586" i="9"/>
  <c r="AH594" i="9"/>
  <c r="AH602" i="9"/>
  <c r="AH610" i="9"/>
  <c r="AH12" i="9"/>
  <c r="AH51" i="9"/>
  <c r="AH88" i="9"/>
  <c r="AH206" i="9"/>
  <c r="AH215" i="9"/>
  <c r="AH222" i="9"/>
  <c r="AH231" i="9"/>
  <c r="AH238" i="9"/>
  <c r="AH247" i="9"/>
  <c r="AH254" i="9"/>
  <c r="AH263" i="9"/>
  <c r="AH270" i="9"/>
  <c r="AH279" i="9"/>
  <c r="AH286" i="9"/>
  <c r="AH295" i="9"/>
  <c r="AH302" i="9"/>
  <c r="AH311" i="9"/>
  <c r="AH318" i="9"/>
  <c r="AH327" i="9"/>
  <c r="AH334" i="9"/>
  <c r="AH343" i="9"/>
  <c r="AH350" i="9"/>
  <c r="AH359" i="9"/>
  <c r="AH366" i="9"/>
  <c r="AH375" i="9"/>
  <c r="AH382" i="9"/>
  <c r="AH391" i="9"/>
  <c r="AH398" i="9"/>
  <c r="AH407" i="9"/>
  <c r="AH414" i="9"/>
  <c r="AH423" i="9"/>
  <c r="AH430" i="9"/>
  <c r="AH439" i="9"/>
  <c r="AH446" i="9"/>
  <c r="AH455" i="9"/>
  <c r="AH462" i="9"/>
  <c r="AH471" i="9"/>
  <c r="AH473" i="9"/>
  <c r="AH481" i="9"/>
  <c r="AH489" i="9"/>
  <c r="AH497" i="9"/>
  <c r="AH505" i="9"/>
  <c r="AH513" i="9"/>
  <c r="AH521" i="9"/>
  <c r="AH529" i="9"/>
  <c r="AH537" i="9"/>
  <c r="AH545" i="9"/>
  <c r="AH553" i="9"/>
  <c r="AH561" i="9"/>
  <c r="AH569" i="9"/>
  <c r="AH577" i="9"/>
  <c r="AH585" i="9"/>
  <c r="AH593" i="9"/>
  <c r="AH601" i="9"/>
  <c r="AH609" i="9"/>
  <c r="AH24" i="9"/>
  <c r="AH31" i="9"/>
  <c r="AH53" i="9"/>
  <c r="AH84" i="9"/>
  <c r="AH94" i="9"/>
  <c r="AH126" i="9"/>
  <c r="AH130" i="9"/>
  <c r="AH143" i="9"/>
  <c r="AH163" i="9"/>
  <c r="AH185" i="9"/>
  <c r="AH191" i="9"/>
  <c r="AH193" i="9"/>
  <c r="AH211" i="9"/>
  <c r="AH213" i="9"/>
  <c r="AH227" i="9"/>
  <c r="AH229" i="9"/>
  <c r="AH243" i="9"/>
  <c r="AH245" i="9"/>
  <c r="AH259" i="9"/>
  <c r="AH261" i="9"/>
  <c r="AH275" i="9"/>
  <c r="AH277" i="9"/>
  <c r="AH291" i="9"/>
  <c r="AH293" i="9"/>
  <c r="AH307" i="9"/>
  <c r="AH309" i="9"/>
  <c r="AH323" i="9"/>
  <c r="AH325" i="9"/>
  <c r="AH339" i="9"/>
  <c r="AH341" i="9"/>
  <c r="AH355" i="9"/>
  <c r="AH357" i="9"/>
  <c r="AH371" i="9"/>
  <c r="AH373" i="9"/>
  <c r="AH387" i="9"/>
  <c r="AH389" i="9"/>
  <c r="AH403" i="9"/>
  <c r="AH405" i="9"/>
  <c r="AH419" i="9"/>
  <c r="AH421" i="9"/>
  <c r="AH435" i="9"/>
  <c r="AH437" i="9"/>
  <c r="AH451" i="9"/>
  <c r="AH453" i="9"/>
  <c r="AH467" i="9"/>
  <c r="AH469" i="9"/>
  <c r="AH480" i="9"/>
  <c r="AH488" i="9"/>
  <c r="AH496" i="9"/>
  <c r="AH504" i="9"/>
  <c r="AH512" i="9"/>
  <c r="AH520" i="9"/>
  <c r="AH528" i="9"/>
  <c r="AH536" i="9"/>
  <c r="AH544" i="9"/>
  <c r="AH552" i="9"/>
  <c r="AH560" i="9"/>
  <c r="AH568" i="9"/>
  <c r="AH576" i="9"/>
  <c r="AH584" i="9"/>
  <c r="AH592" i="9"/>
  <c r="AH600" i="9"/>
  <c r="AH608" i="9"/>
  <c r="AH18" i="9"/>
  <c r="AH128" i="9"/>
  <c r="AH142" i="9"/>
  <c r="AH172" i="9"/>
  <c r="AH180" i="9"/>
  <c r="AH202" i="9"/>
  <c r="AH205" i="9"/>
  <c r="AH219" i="9"/>
  <c r="AH221" i="9"/>
  <c r="AH235" i="9"/>
  <c r="AH237" i="9"/>
  <c r="AH251" i="9"/>
  <c r="AH253" i="9"/>
  <c r="AH267" i="9"/>
  <c r="AH269" i="9"/>
  <c r="AH283" i="9"/>
  <c r="AH285" i="9"/>
  <c r="AH299" i="9"/>
  <c r="AH301" i="9"/>
  <c r="AH315" i="9"/>
  <c r="AH317" i="9"/>
  <c r="AH331" i="9"/>
  <c r="AH333" i="9"/>
  <c r="AH347" i="9"/>
  <c r="AH349" i="9"/>
  <c r="AH363" i="9"/>
  <c r="AH365" i="9"/>
  <c r="AH379" i="9"/>
  <c r="AH381" i="9"/>
  <c r="AH395" i="9"/>
  <c r="AH397" i="9"/>
  <c r="AH411" i="9"/>
  <c r="AH413" i="9"/>
  <c r="AH427" i="9"/>
  <c r="AH429" i="9"/>
  <c r="AH443" i="9"/>
  <c r="AH445" i="9"/>
  <c r="AH459" i="9"/>
  <c r="AH461" i="9"/>
  <c r="AH476" i="9"/>
  <c r="AH484" i="9"/>
  <c r="AH492" i="9"/>
  <c r="AH500" i="9"/>
  <c r="AH508" i="9"/>
  <c r="AH516" i="9"/>
  <c r="AH524" i="9"/>
  <c r="AH532" i="9"/>
  <c r="AH540" i="9"/>
  <c r="AH548" i="9"/>
  <c r="AH556" i="9"/>
  <c r="AH564" i="9"/>
  <c r="AH572" i="9"/>
  <c r="AH580" i="9"/>
  <c r="AH588" i="9"/>
  <c r="AH596" i="9"/>
  <c r="AH604" i="9"/>
  <c r="AH612" i="9"/>
  <c r="AH620" i="9"/>
  <c r="AH112" i="9"/>
  <c r="AH230" i="9"/>
  <c r="AH287" i="9"/>
  <c r="AH358" i="9"/>
  <c r="AH415" i="9"/>
  <c r="AH91" i="9"/>
  <c r="AH123" i="9"/>
  <c r="AH131" i="9"/>
  <c r="AH207" i="9"/>
  <c r="AH278" i="9"/>
  <c r="AH335" i="9"/>
  <c r="AH406" i="9"/>
  <c r="AH463" i="9"/>
  <c r="AH479" i="9"/>
  <c r="AH486" i="9"/>
  <c r="AH495" i="9"/>
  <c r="AH502" i="9"/>
  <c r="AH511" i="9"/>
  <c r="AH518" i="9"/>
  <c r="AH527" i="9"/>
  <c r="AH534" i="9"/>
  <c r="AH543" i="9"/>
  <c r="AH550" i="9"/>
  <c r="AH559" i="9"/>
  <c r="AH566" i="9"/>
  <c r="AH575" i="9"/>
  <c r="AH582" i="9"/>
  <c r="AH591" i="9"/>
  <c r="AH598" i="9"/>
  <c r="AH607" i="9"/>
  <c r="AH615" i="9"/>
  <c r="AH619" i="9"/>
  <c r="AH624" i="9"/>
  <c r="AH632" i="9"/>
  <c r="AH29" i="9"/>
  <c r="AH161" i="9"/>
  <c r="AH197" i="9"/>
  <c r="AH204" i="9"/>
  <c r="AH223" i="9"/>
  <c r="AH294" i="9"/>
  <c r="AH351" i="9"/>
  <c r="AH422" i="9"/>
  <c r="AH138" i="9"/>
  <c r="AH262" i="9"/>
  <c r="AH319" i="9"/>
  <c r="AH390" i="9"/>
  <c r="AH447" i="9"/>
  <c r="AH483" i="9"/>
  <c r="AH485" i="9"/>
  <c r="AH499" i="9"/>
  <c r="AH501" i="9"/>
  <c r="AH515" i="9"/>
  <c r="AH517" i="9"/>
  <c r="AH531" i="9"/>
  <c r="AH533" i="9"/>
  <c r="AH547" i="9"/>
  <c r="AH549" i="9"/>
  <c r="AH563" i="9"/>
  <c r="AH565" i="9"/>
  <c r="AH579" i="9"/>
  <c r="AH581" i="9"/>
  <c r="AH595" i="9"/>
  <c r="AH597" i="9"/>
  <c r="AH611" i="9"/>
  <c r="AH613" i="9"/>
  <c r="AH310" i="9"/>
  <c r="AH374" i="9"/>
  <c r="AH383" i="9"/>
  <c r="AH509" i="9"/>
  <c r="AH526" i="9"/>
  <c r="AH587" i="9"/>
  <c r="AH599" i="9"/>
  <c r="AH622" i="9"/>
  <c r="AH625" i="9"/>
  <c r="AH634" i="9"/>
  <c r="AH642" i="9"/>
  <c r="AH650" i="9"/>
  <c r="AH658" i="9"/>
  <c r="AH666" i="9"/>
  <c r="AH674" i="9"/>
  <c r="AH682" i="9"/>
  <c r="AH690" i="9"/>
  <c r="AH698" i="9"/>
  <c r="AH706" i="9"/>
  <c r="AH714" i="9"/>
  <c r="AH722" i="9"/>
  <c r="AH730" i="9"/>
  <c r="AH738" i="9"/>
  <c r="AH746" i="9"/>
  <c r="AH754" i="9"/>
  <c r="AH762" i="9"/>
  <c r="AH770" i="9"/>
  <c r="AH778" i="9"/>
  <c r="AH786" i="9"/>
  <c r="AH794" i="9"/>
  <c r="AH802" i="9"/>
  <c r="AH810" i="9"/>
  <c r="AH818" i="9"/>
  <c r="AH826" i="9"/>
  <c r="AH834" i="9"/>
  <c r="AH842" i="9"/>
  <c r="AH850" i="9"/>
  <c r="AH303" i="9"/>
  <c r="AH493" i="9"/>
  <c r="AH510" i="9"/>
  <c r="AH571" i="9"/>
  <c r="AH583" i="9"/>
  <c r="AH617" i="9"/>
  <c r="AH629" i="9"/>
  <c r="AH633" i="9"/>
  <c r="AH641" i="9"/>
  <c r="AH649" i="9"/>
  <c r="AH657" i="9"/>
  <c r="AH665" i="9"/>
  <c r="AH673" i="9"/>
  <c r="AH681" i="9"/>
  <c r="AH689" i="9"/>
  <c r="AH697" i="9"/>
  <c r="AH705" i="9"/>
  <c r="AH713" i="9"/>
  <c r="AH721" i="9"/>
  <c r="AH729" i="9"/>
  <c r="AH737" i="9"/>
  <c r="AH745" i="9"/>
  <c r="AH753" i="9"/>
  <c r="AH761" i="9"/>
  <c r="AH769" i="9"/>
  <c r="AH777" i="9"/>
  <c r="AH785" i="9"/>
  <c r="AH793" i="9"/>
  <c r="AH801" i="9"/>
  <c r="AH809" i="9"/>
  <c r="AH817" i="9"/>
  <c r="AH825" i="9"/>
  <c r="AH833" i="9"/>
  <c r="AH841" i="9"/>
  <c r="AH849" i="9"/>
  <c r="AH857" i="9"/>
  <c r="AH865" i="9"/>
  <c r="AH873" i="9"/>
  <c r="AH881" i="9"/>
  <c r="AH889" i="9"/>
  <c r="AH897" i="9"/>
  <c r="AH905" i="9"/>
  <c r="AH89" i="9"/>
  <c r="AH367" i="9"/>
  <c r="AH454" i="9"/>
  <c r="AH477" i="9"/>
  <c r="AH494" i="9"/>
  <c r="AH555" i="9"/>
  <c r="AH567" i="9"/>
  <c r="AH640" i="9"/>
  <c r="AH648" i="9"/>
  <c r="AH656" i="9"/>
  <c r="AH664" i="9"/>
  <c r="AH672" i="9"/>
  <c r="AH680" i="9"/>
  <c r="AH688" i="9"/>
  <c r="AH696" i="9"/>
  <c r="AH704" i="9"/>
  <c r="AH712" i="9"/>
  <c r="AH720" i="9"/>
  <c r="AH728" i="9"/>
  <c r="AH736" i="9"/>
  <c r="AH744" i="9"/>
  <c r="AH752" i="9"/>
  <c r="AH760" i="9"/>
  <c r="AH768" i="9"/>
  <c r="AH776" i="9"/>
  <c r="AH784" i="9"/>
  <c r="AH792" i="9"/>
  <c r="AH800" i="9"/>
  <c r="AH808" i="9"/>
  <c r="AH816" i="9"/>
  <c r="AH824" i="9"/>
  <c r="AH832" i="9"/>
  <c r="AH840" i="9"/>
  <c r="AH848" i="9"/>
  <c r="AH856" i="9"/>
  <c r="AH864" i="9"/>
  <c r="AH872" i="9"/>
  <c r="AH880" i="9"/>
  <c r="AH888" i="9"/>
  <c r="AH896" i="9"/>
  <c r="AH904" i="9"/>
  <c r="AH912" i="9"/>
  <c r="AH920" i="9"/>
  <c r="AH86" i="9"/>
  <c r="AH179" i="9"/>
  <c r="AH201" i="9"/>
  <c r="AH239" i="9"/>
  <c r="AH326" i="9"/>
  <c r="AH491" i="9"/>
  <c r="AH503" i="9"/>
  <c r="AH541" i="9"/>
  <c r="AH558" i="9"/>
  <c r="AH606" i="9"/>
  <c r="AH626" i="9"/>
  <c r="AH636" i="9"/>
  <c r="AH644" i="9"/>
  <c r="AH652" i="9"/>
  <c r="AH660" i="9"/>
  <c r="AH668" i="9"/>
  <c r="AH676" i="9"/>
  <c r="AH684" i="9"/>
  <c r="AH692" i="9"/>
  <c r="AH700" i="9"/>
  <c r="AH708" i="9"/>
  <c r="AH716" i="9"/>
  <c r="AH724" i="9"/>
  <c r="AH732" i="9"/>
  <c r="AH740" i="9"/>
  <c r="AH748" i="9"/>
  <c r="AH756" i="9"/>
  <c r="AH764" i="9"/>
  <c r="AH772" i="9"/>
  <c r="AH780" i="9"/>
  <c r="AH788" i="9"/>
  <c r="AH796" i="9"/>
  <c r="AH804" i="9"/>
  <c r="AH812" i="9"/>
  <c r="AH820" i="9"/>
  <c r="AH828" i="9"/>
  <c r="AH836" i="9"/>
  <c r="AH844" i="9"/>
  <c r="AH852" i="9"/>
  <c r="AH860" i="9"/>
  <c r="AH868" i="9"/>
  <c r="AH876" i="9"/>
  <c r="AH884" i="9"/>
  <c r="AH892" i="9"/>
  <c r="AH900" i="9"/>
  <c r="AH908" i="9"/>
  <c r="AH916" i="9"/>
  <c r="AH924" i="9"/>
  <c r="AH46" i="9"/>
  <c r="AH100" i="9"/>
  <c r="AH271" i="9"/>
  <c r="AH438" i="9"/>
  <c r="AH475" i="9"/>
  <c r="AH542" i="9"/>
  <c r="AH623" i="9"/>
  <c r="AH862" i="9"/>
  <c r="AH871" i="9"/>
  <c r="AH478" i="9"/>
  <c r="AH487" i="9"/>
  <c r="AH614" i="9"/>
  <c r="AH639" i="9"/>
  <c r="AH646" i="9"/>
  <c r="AH655" i="9"/>
  <c r="AH662" i="9"/>
  <c r="AH671" i="9"/>
  <c r="AH678" i="9"/>
  <c r="AH687" i="9"/>
  <c r="AH694" i="9"/>
  <c r="AH703" i="9"/>
  <c r="AH710" i="9"/>
  <c r="AH719" i="9"/>
  <c r="AH726" i="9"/>
  <c r="AH735" i="9"/>
  <c r="AH742" i="9"/>
  <c r="AH751" i="9"/>
  <c r="AH758" i="9"/>
  <c r="AH767" i="9"/>
  <c r="AH774" i="9"/>
  <c r="AH783" i="9"/>
  <c r="AH790" i="9"/>
  <c r="AH799" i="9"/>
  <c r="AH806" i="9"/>
  <c r="AH815" i="9"/>
  <c r="AH822" i="9"/>
  <c r="AH831" i="9"/>
  <c r="AH838" i="9"/>
  <c r="AH847" i="9"/>
  <c r="AH854" i="9"/>
  <c r="AH866" i="9"/>
  <c r="AH875" i="9"/>
  <c r="AH886" i="9"/>
  <c r="AH895" i="9"/>
  <c r="AH926" i="9"/>
  <c r="AH933" i="9"/>
  <c r="AH941" i="9"/>
  <c r="AH97" i="9"/>
  <c r="AH507" i="9"/>
  <c r="AH574" i="9"/>
  <c r="AH616" i="9"/>
  <c r="AH628" i="9"/>
  <c r="AH631" i="9"/>
  <c r="AH643" i="9"/>
  <c r="AH645" i="9"/>
  <c r="AH659" i="9"/>
  <c r="AH661" i="9"/>
  <c r="AH675" i="9"/>
  <c r="AH677" i="9"/>
  <c r="AH691" i="9"/>
  <c r="AH693" i="9"/>
  <c r="AH707" i="9"/>
  <c r="AH709" i="9"/>
  <c r="AH723" i="9"/>
  <c r="AH725" i="9"/>
  <c r="AH739" i="9"/>
  <c r="AH741" i="9"/>
  <c r="AH755" i="9"/>
  <c r="AH757" i="9"/>
  <c r="AH771" i="9"/>
  <c r="AH773" i="9"/>
  <c r="AH787" i="9"/>
  <c r="AH789" i="9"/>
  <c r="AH803" i="9"/>
  <c r="AH805" i="9"/>
  <c r="AH819" i="9"/>
  <c r="AH821" i="9"/>
  <c r="AH835" i="9"/>
  <c r="AH837" i="9"/>
  <c r="AH851" i="9"/>
  <c r="AH853" i="9"/>
  <c r="AH858" i="9"/>
  <c r="AH867" i="9"/>
  <c r="AH878" i="9"/>
  <c r="AH887" i="9"/>
  <c r="AH907" i="9"/>
  <c r="AH928" i="9"/>
  <c r="AH936" i="9"/>
  <c r="AH944" i="9"/>
  <c r="AH246" i="9"/>
  <c r="AH519" i="9"/>
  <c r="AH869" i="9"/>
  <c r="AH882" i="9"/>
  <c r="AH891" i="9"/>
  <c r="AH902" i="9"/>
  <c r="AH918" i="9"/>
  <c r="AH921" i="9"/>
  <c r="AH927" i="9"/>
  <c r="AH935" i="9"/>
  <c r="AH943" i="9"/>
  <c r="AH951" i="9"/>
  <c r="AH551" i="9"/>
  <c r="AH589" i="9"/>
  <c r="AH647" i="9"/>
  <c r="AH679" i="9"/>
  <c r="AH711" i="9"/>
  <c r="AH743" i="9"/>
  <c r="AH775" i="9"/>
  <c r="AH807" i="9"/>
  <c r="AH839" i="9"/>
  <c r="AH861" i="9"/>
  <c r="AH890" i="9"/>
  <c r="AH898" i="9"/>
  <c r="AH910" i="9"/>
  <c r="AH917" i="9"/>
  <c r="AH919" i="9"/>
  <c r="AH955" i="9"/>
  <c r="AH963" i="9"/>
  <c r="AH971" i="9"/>
  <c r="AH979" i="9"/>
  <c r="AH987" i="9"/>
  <c r="AH995" i="9"/>
  <c r="AH1003" i="9"/>
  <c r="AH1011" i="9"/>
  <c r="AH1019" i="9"/>
  <c r="AH1027" i="9"/>
  <c r="AH1035" i="9"/>
  <c r="AH1043" i="9"/>
  <c r="AH1051" i="9"/>
  <c r="AH1059" i="9"/>
  <c r="AH1067" i="9"/>
  <c r="AH1075" i="9"/>
  <c r="AH124" i="9"/>
  <c r="AH255" i="9"/>
  <c r="AH342" i="9"/>
  <c r="AH525" i="9"/>
  <c r="AH573" i="9"/>
  <c r="AH590" i="9"/>
  <c r="AH638" i="9"/>
  <c r="AH670" i="9"/>
  <c r="AH702" i="9"/>
  <c r="AH734" i="9"/>
  <c r="AH766" i="9"/>
  <c r="AH798" i="9"/>
  <c r="AH830" i="9"/>
  <c r="AH870" i="9"/>
  <c r="AH893" i="9"/>
  <c r="AH901" i="9"/>
  <c r="AH915" i="9"/>
  <c r="AH922" i="9"/>
  <c r="AH930" i="9"/>
  <c r="AH939" i="9"/>
  <c r="AH946" i="9"/>
  <c r="AH950" i="9"/>
  <c r="AH962" i="9"/>
  <c r="AH970" i="9"/>
  <c r="AH978" i="9"/>
  <c r="AH986" i="9"/>
  <c r="AH994" i="9"/>
  <c r="AH1002" i="9"/>
  <c r="AH1010" i="9"/>
  <c r="AH1018" i="9"/>
  <c r="AH1026" i="9"/>
  <c r="AH1034" i="9"/>
  <c r="AH1042" i="9"/>
  <c r="AH1050" i="9"/>
  <c r="AH1058" i="9"/>
  <c r="AH1066" i="9"/>
  <c r="AH1074" i="9"/>
  <c r="AH535" i="9"/>
  <c r="AH630" i="9"/>
  <c r="AH635" i="9"/>
  <c r="AH667" i="9"/>
  <c r="AH699" i="9"/>
  <c r="AH731" i="9"/>
  <c r="AH763" i="9"/>
  <c r="AH795" i="9"/>
  <c r="AH827" i="9"/>
  <c r="AH879" i="9"/>
  <c r="AH885" i="9"/>
  <c r="AH932" i="9"/>
  <c r="AH934" i="9"/>
  <c r="AH954" i="9"/>
  <c r="AH961" i="9"/>
  <c r="AH969" i="9"/>
  <c r="AH977" i="9"/>
  <c r="AH985" i="9"/>
  <c r="AH993" i="9"/>
  <c r="AH1001" i="9"/>
  <c r="AH1009" i="9"/>
  <c r="AH1017" i="9"/>
  <c r="AH1025" i="9"/>
  <c r="AH1033" i="9"/>
  <c r="AH1041" i="9"/>
  <c r="AH1049" i="9"/>
  <c r="AH1057" i="9"/>
  <c r="AH1065" i="9"/>
  <c r="AH1073" i="9"/>
  <c r="AH603" i="9"/>
  <c r="AH651" i="9"/>
  <c r="AH683" i="9"/>
  <c r="AH715" i="9"/>
  <c r="AH747" i="9"/>
  <c r="AH779" i="9"/>
  <c r="AH811" i="9"/>
  <c r="AH843" i="9"/>
  <c r="AH903" i="9"/>
  <c r="AH914" i="9"/>
  <c r="AH931" i="9"/>
  <c r="AH957" i="9"/>
  <c r="AH965" i="9"/>
  <c r="AH973" i="9"/>
  <c r="AH981" i="9"/>
  <c r="AH989" i="9"/>
  <c r="AH997" i="9"/>
  <c r="AH1005" i="9"/>
  <c r="AH1013" i="9"/>
  <c r="AH1021" i="9"/>
  <c r="AH1029" i="9"/>
  <c r="AH1037" i="9"/>
  <c r="AH1045" i="9"/>
  <c r="AH1053" i="9"/>
  <c r="AH1061" i="9"/>
  <c r="AH1069" i="9"/>
  <c r="AH1077" i="9"/>
  <c r="AH523" i="9"/>
  <c r="AH605" i="9"/>
  <c r="AH627" i="9"/>
  <c r="AH637" i="9"/>
  <c r="AH669" i="9"/>
  <c r="AH701" i="9"/>
  <c r="AH733" i="9"/>
  <c r="AH765" i="9"/>
  <c r="AH797" i="9"/>
  <c r="AH829" i="9"/>
  <c r="AH937" i="9"/>
  <c r="AH947" i="9"/>
  <c r="AH956" i="9"/>
  <c r="AH964" i="9"/>
  <c r="AH972" i="9"/>
  <c r="AH980" i="9"/>
  <c r="AH988" i="9"/>
  <c r="AH996" i="9"/>
  <c r="AH1004" i="9"/>
  <c r="AH1012" i="9"/>
  <c r="AH1020" i="9"/>
  <c r="AH1028" i="9"/>
  <c r="AH1036" i="9"/>
  <c r="AH1044" i="9"/>
  <c r="AH1052" i="9"/>
  <c r="AH1060" i="9"/>
  <c r="AH1068" i="9"/>
  <c r="AH1076" i="9"/>
  <c r="AH214" i="9"/>
  <c r="AH539" i="9"/>
  <c r="AH685" i="9"/>
  <c r="AH695" i="9"/>
  <c r="AH940" i="9"/>
  <c r="AH945" i="9"/>
  <c r="AH949" i="9"/>
  <c r="AH952" i="9"/>
  <c r="AH998" i="9"/>
  <c r="AH1007" i="9"/>
  <c r="AH1016" i="9"/>
  <c r="AH1062" i="9"/>
  <c r="AH1071" i="9"/>
  <c r="AH782" i="9"/>
  <c r="AH845" i="9"/>
  <c r="AH855" i="9"/>
  <c r="AH874" i="9"/>
  <c r="AH894" i="9"/>
  <c r="AH974" i="9"/>
  <c r="AH983" i="9"/>
  <c r="AH992" i="9"/>
  <c r="AH1038" i="9"/>
  <c r="AH1047" i="9"/>
  <c r="AH1056" i="9"/>
  <c r="AH557" i="9"/>
  <c r="AH686" i="9"/>
  <c r="AH749" i="9"/>
  <c r="AH759" i="9"/>
  <c r="AH909" i="9"/>
  <c r="AH953" i="9"/>
  <c r="AH959" i="9"/>
  <c r="AH968" i="9"/>
  <c r="AH1014" i="9"/>
  <c r="AH1023" i="9"/>
  <c r="AH1032" i="9"/>
  <c r="AH1078" i="9"/>
  <c r="AH174" i="9"/>
  <c r="AH399" i="9"/>
  <c r="AH470" i="9"/>
  <c r="AH618" i="9"/>
  <c r="AH814" i="9"/>
  <c r="AH925" i="9"/>
  <c r="AH948" i="9"/>
  <c r="AH982" i="9"/>
  <c r="AH991" i="9"/>
  <c r="AH1000" i="9"/>
  <c r="AH1046" i="9"/>
  <c r="AH1055" i="9"/>
  <c r="AH1064" i="9"/>
  <c r="AH663" i="9"/>
  <c r="AH877" i="9"/>
  <c r="AH906" i="9"/>
  <c r="AH999" i="9"/>
  <c r="AH717" i="9"/>
  <c r="AH813" i="9"/>
  <c r="AH1030" i="9"/>
  <c r="AH1040" i="9"/>
  <c r="AH1048" i="9"/>
  <c r="AH1054" i="9"/>
  <c r="AH718" i="9"/>
  <c r="AH863" i="9"/>
  <c r="AH923" i="9"/>
  <c r="AH942" i="9"/>
  <c r="AH975" i="9"/>
  <c r="AH1006" i="9"/>
  <c r="AH1024" i="9"/>
  <c r="AH1031" i="9"/>
  <c r="AH1072" i="9"/>
  <c r="AH727" i="9"/>
  <c r="AH750" i="9"/>
  <c r="AH929" i="9"/>
  <c r="AH938" i="9"/>
  <c r="AH960" i="9"/>
  <c r="AH967" i="9"/>
  <c r="AH1008" i="9"/>
  <c r="AH1039" i="9"/>
  <c r="AH1070" i="9"/>
  <c r="AH781" i="9"/>
  <c r="AH1015" i="9"/>
  <c r="AH911" i="9"/>
  <c r="AH990" i="9"/>
  <c r="AH899" i="9"/>
  <c r="AH984" i="9"/>
  <c r="AH431" i="9"/>
  <c r="AH621" i="9"/>
  <c r="AH823" i="9"/>
  <c r="AH1022" i="9"/>
  <c r="AH653" i="9"/>
  <c r="AH846" i="9"/>
  <c r="AH913" i="9"/>
  <c r="AH791" i="9"/>
  <c r="AH883" i="9"/>
  <c r="AH966" i="9"/>
  <c r="AH976" i="9"/>
  <c r="AH1063" i="9"/>
  <c r="AH859" i="9"/>
  <c r="AH958" i="9"/>
  <c r="AH654" i="9"/>
  <c r="AE1440" i="2"/>
  <c r="W1436" i="2" s="1"/>
  <c r="Q1442" i="2"/>
  <c r="U1436" i="2" s="1"/>
  <c r="Q1477" i="2"/>
  <c r="AE1441" i="2"/>
  <c r="X1436" i="2" s="1"/>
  <c r="AV1500" i="2"/>
  <c r="AU1500" i="2"/>
  <c r="BE1500" i="2"/>
  <c r="AW1500" i="2"/>
  <c r="AV1499" i="2"/>
  <c r="AU1499" i="2"/>
  <c r="BE1499" i="2"/>
  <c r="AW1499" i="2"/>
  <c r="AE1450" i="2"/>
  <c r="W1438" i="2" s="1"/>
  <c r="Q1452" i="2"/>
  <c r="U1438" i="2" s="1"/>
  <c r="Q1472" i="2"/>
  <c r="AF5" i="9"/>
  <c r="AF13" i="9"/>
  <c r="AF12" i="9"/>
  <c r="AF20" i="9"/>
  <c r="AF7" i="9"/>
  <c r="AF15" i="9"/>
  <c r="AF3" i="9"/>
  <c r="AF19" i="9"/>
  <c r="AF25" i="9"/>
  <c r="AF33" i="9"/>
  <c r="AF39" i="9"/>
  <c r="AF47" i="9"/>
  <c r="AF55" i="9"/>
  <c r="AF63" i="9"/>
  <c r="AF71" i="9"/>
  <c r="AF79" i="9"/>
  <c r="AF87" i="9"/>
  <c r="AF93" i="9"/>
  <c r="AF101" i="9"/>
  <c r="AF109" i="9"/>
  <c r="AF117" i="9"/>
  <c r="AF125" i="9"/>
  <c r="AF133" i="9"/>
  <c r="AF141" i="9"/>
  <c r="AF147" i="9"/>
  <c r="AF155" i="9"/>
  <c r="AF8" i="9"/>
  <c r="AF10" i="9"/>
  <c r="AF24" i="9"/>
  <c r="AF32" i="9"/>
  <c r="AF38" i="9"/>
  <c r="AF46" i="9"/>
  <c r="AF54" i="9"/>
  <c r="AF62" i="9"/>
  <c r="AF70" i="9"/>
  <c r="AF78" i="9"/>
  <c r="AF86" i="9"/>
  <c r="AF6" i="9"/>
  <c r="AF23" i="9"/>
  <c r="AF31" i="9"/>
  <c r="AF45" i="9"/>
  <c r="AF53" i="9"/>
  <c r="AF61" i="9"/>
  <c r="AF69" i="9"/>
  <c r="AF77" i="9"/>
  <c r="AF85" i="9"/>
  <c r="AF91" i="9"/>
  <c r="AF99" i="9"/>
  <c r="AF107" i="9"/>
  <c r="AF115" i="9"/>
  <c r="AF123" i="9"/>
  <c r="AF131" i="9"/>
  <c r="AF49" i="9"/>
  <c r="AF56" i="9"/>
  <c r="AF58" i="9"/>
  <c r="AF67" i="9"/>
  <c r="AF76" i="9"/>
  <c r="AF95" i="9"/>
  <c r="AF9" i="9"/>
  <c r="AF17" i="9"/>
  <c r="AF29" i="9"/>
  <c r="AF73" i="9"/>
  <c r="AF80" i="9"/>
  <c r="AF82" i="9"/>
  <c r="AF89" i="9"/>
  <c r="AF98" i="9"/>
  <c r="AF121" i="9"/>
  <c r="AF130" i="9"/>
  <c r="AF146" i="9"/>
  <c r="AF150" i="9"/>
  <c r="AF166" i="9"/>
  <c r="AF174" i="9"/>
  <c r="AF182" i="9"/>
  <c r="AF190" i="9"/>
  <c r="AF196" i="9"/>
  <c r="AF204" i="9"/>
  <c r="AF35" i="9"/>
  <c r="AF40" i="9"/>
  <c r="AF42" i="9"/>
  <c r="AF51" i="9"/>
  <c r="AF60" i="9"/>
  <c r="AF92" i="9"/>
  <c r="AF103" i="9"/>
  <c r="AF112" i="9"/>
  <c r="AF118" i="9"/>
  <c r="AF124" i="9"/>
  <c r="AF135" i="9"/>
  <c r="AF139" i="9"/>
  <c r="AF154" i="9"/>
  <c r="AF158" i="9"/>
  <c r="AF165" i="9"/>
  <c r="AF173" i="9"/>
  <c r="AF181" i="9"/>
  <c r="AF4" i="9"/>
  <c r="AF14" i="9"/>
  <c r="AF27" i="9"/>
  <c r="AF34" i="9"/>
  <c r="AF36" i="9"/>
  <c r="AF43" i="9"/>
  <c r="AF52" i="9"/>
  <c r="AF90" i="9"/>
  <c r="AF113" i="9"/>
  <c r="AF122" i="9"/>
  <c r="AF151" i="9"/>
  <c r="AF156" i="9"/>
  <c r="AF160" i="9"/>
  <c r="AF168" i="9"/>
  <c r="AF176" i="9"/>
  <c r="AF184" i="9"/>
  <c r="AF2" i="9"/>
  <c r="AF21" i="9"/>
  <c r="AF41" i="9"/>
  <c r="AF104" i="9"/>
  <c r="AF134" i="9"/>
  <c r="AF137" i="9"/>
  <c r="AF175" i="9"/>
  <c r="AF177" i="9"/>
  <c r="AF188" i="9"/>
  <c r="AF194" i="9"/>
  <c r="AF198" i="9"/>
  <c r="AF208" i="9"/>
  <c r="AF216" i="9"/>
  <c r="AF224" i="9"/>
  <c r="AF232" i="9"/>
  <c r="AF240" i="9"/>
  <c r="AF248" i="9"/>
  <c r="AF256" i="9"/>
  <c r="AF264" i="9"/>
  <c r="AF272" i="9"/>
  <c r="AF280" i="9"/>
  <c r="AF288" i="9"/>
  <c r="AF296" i="9"/>
  <c r="AF304" i="9"/>
  <c r="AF312" i="9"/>
  <c r="AF320" i="9"/>
  <c r="AF328" i="9"/>
  <c r="AF336" i="9"/>
  <c r="AF344" i="9"/>
  <c r="AF352" i="9"/>
  <c r="AF360" i="9"/>
  <c r="AF368" i="9"/>
  <c r="AF376" i="9"/>
  <c r="AF384" i="9"/>
  <c r="AF392" i="9"/>
  <c r="AF400" i="9"/>
  <c r="AF408" i="9"/>
  <c r="AF416" i="9"/>
  <c r="AF424" i="9"/>
  <c r="AF432" i="9"/>
  <c r="AF440" i="9"/>
  <c r="AF448" i="9"/>
  <c r="AF456" i="9"/>
  <c r="AF464" i="9"/>
  <c r="AF472" i="9"/>
  <c r="AF11" i="9"/>
  <c r="AF22" i="9"/>
  <c r="AF64" i="9"/>
  <c r="AF75" i="9"/>
  <c r="AF96" i="9"/>
  <c r="AF114" i="9"/>
  <c r="AF116" i="9"/>
  <c r="AF132" i="9"/>
  <c r="AF152" i="9"/>
  <c r="AF170" i="9"/>
  <c r="AF179" i="9"/>
  <c r="AF202" i="9"/>
  <c r="AF207" i="9"/>
  <c r="AF215" i="9"/>
  <c r="AF223" i="9"/>
  <c r="AF231" i="9"/>
  <c r="AF239" i="9"/>
  <c r="AF247" i="9"/>
  <c r="AF255" i="9"/>
  <c r="AF263" i="9"/>
  <c r="AF271" i="9"/>
  <c r="AF279" i="9"/>
  <c r="AF287" i="9"/>
  <c r="AF295" i="9"/>
  <c r="AF303" i="9"/>
  <c r="AF311" i="9"/>
  <c r="AF319" i="9"/>
  <c r="AF327" i="9"/>
  <c r="AF335" i="9"/>
  <c r="AF343" i="9"/>
  <c r="AF351" i="9"/>
  <c r="AF359" i="9"/>
  <c r="AF367" i="9"/>
  <c r="AF375" i="9"/>
  <c r="AF383" i="9"/>
  <c r="AF391" i="9"/>
  <c r="AF399" i="9"/>
  <c r="AF407" i="9"/>
  <c r="AF415" i="9"/>
  <c r="AF423" i="9"/>
  <c r="AF431" i="9"/>
  <c r="AF439" i="9"/>
  <c r="AF447" i="9"/>
  <c r="AF455" i="9"/>
  <c r="AF463" i="9"/>
  <c r="AF471" i="9"/>
  <c r="AF18" i="9"/>
  <c r="AF26" i="9"/>
  <c r="AF37" i="9"/>
  <c r="AF57" i="9"/>
  <c r="AF144" i="9"/>
  <c r="AF157" i="9"/>
  <c r="AF159" i="9"/>
  <c r="AF161" i="9"/>
  <c r="AF172" i="9"/>
  <c r="AF191" i="9"/>
  <c r="AF206" i="9"/>
  <c r="AF214" i="9"/>
  <c r="AF222" i="9"/>
  <c r="AF230" i="9"/>
  <c r="AF238" i="9"/>
  <c r="AF246" i="9"/>
  <c r="AF254" i="9"/>
  <c r="AF262" i="9"/>
  <c r="AF270" i="9"/>
  <c r="AF278" i="9"/>
  <c r="AF286" i="9"/>
  <c r="AF294" i="9"/>
  <c r="AF302" i="9"/>
  <c r="AF310" i="9"/>
  <c r="AF318" i="9"/>
  <c r="AF326" i="9"/>
  <c r="AF334" i="9"/>
  <c r="AF342" i="9"/>
  <c r="AF350" i="9"/>
  <c r="AF358" i="9"/>
  <c r="AF366" i="9"/>
  <c r="AF374" i="9"/>
  <c r="AF382" i="9"/>
  <c r="AF390" i="9"/>
  <c r="AF398" i="9"/>
  <c r="AF406" i="9"/>
  <c r="AF414" i="9"/>
  <c r="AF422" i="9"/>
  <c r="AF430" i="9"/>
  <c r="AF438" i="9"/>
  <c r="AF446" i="9"/>
  <c r="AF454" i="9"/>
  <c r="AF462" i="9"/>
  <c r="AF470" i="9"/>
  <c r="AF44" i="9"/>
  <c r="AF59" i="9"/>
  <c r="AF66" i="9"/>
  <c r="AF111" i="9"/>
  <c r="AF129" i="9"/>
  <c r="AF143" i="9"/>
  <c r="AF145" i="9"/>
  <c r="AF162" i="9"/>
  <c r="AF171" i="9"/>
  <c r="AF189" i="9"/>
  <c r="AF195" i="9"/>
  <c r="AF199" i="9"/>
  <c r="AF210" i="9"/>
  <c r="AF218" i="9"/>
  <c r="AF226" i="9"/>
  <c r="AF234" i="9"/>
  <c r="AF242" i="9"/>
  <c r="AF250" i="9"/>
  <c r="AF258" i="9"/>
  <c r="AF266" i="9"/>
  <c r="AF274" i="9"/>
  <c r="AF282" i="9"/>
  <c r="AF290" i="9"/>
  <c r="AF298" i="9"/>
  <c r="AF306" i="9"/>
  <c r="AF314" i="9"/>
  <c r="AF322" i="9"/>
  <c r="AF330" i="9"/>
  <c r="AF338" i="9"/>
  <c r="AF346" i="9"/>
  <c r="AF354" i="9"/>
  <c r="AF362" i="9"/>
  <c r="AF370" i="9"/>
  <c r="AF378" i="9"/>
  <c r="AF386" i="9"/>
  <c r="AF394" i="9"/>
  <c r="AF402" i="9"/>
  <c r="AF410" i="9"/>
  <c r="AF418" i="9"/>
  <c r="AF426" i="9"/>
  <c r="AF434" i="9"/>
  <c r="AF442" i="9"/>
  <c r="AF450" i="9"/>
  <c r="AF458" i="9"/>
  <c r="AF466" i="9"/>
  <c r="AF68" i="9"/>
  <c r="AF83" i="9"/>
  <c r="AF163" i="9"/>
  <c r="AF169" i="9"/>
  <c r="AF203" i="9"/>
  <c r="AF213" i="9"/>
  <c r="AF220" i="9"/>
  <c r="AF229" i="9"/>
  <c r="AF236" i="9"/>
  <c r="AF245" i="9"/>
  <c r="AF252" i="9"/>
  <c r="AF261" i="9"/>
  <c r="AF268" i="9"/>
  <c r="AF277" i="9"/>
  <c r="AF284" i="9"/>
  <c r="AF293" i="9"/>
  <c r="AF300" i="9"/>
  <c r="AF309" i="9"/>
  <c r="AF316" i="9"/>
  <c r="AF325" i="9"/>
  <c r="AF332" i="9"/>
  <c r="AF341" i="9"/>
  <c r="AF348" i="9"/>
  <c r="AF357" i="9"/>
  <c r="AF364" i="9"/>
  <c r="AF373" i="9"/>
  <c r="AF380" i="9"/>
  <c r="AF389" i="9"/>
  <c r="AF396" i="9"/>
  <c r="AF405" i="9"/>
  <c r="AF412" i="9"/>
  <c r="AF421" i="9"/>
  <c r="AF428" i="9"/>
  <c r="AF437" i="9"/>
  <c r="AF444" i="9"/>
  <c r="AF453" i="9"/>
  <c r="AF460" i="9"/>
  <c r="AF469" i="9"/>
  <c r="AF480" i="9"/>
  <c r="AF488" i="9"/>
  <c r="AF496" i="9"/>
  <c r="AF504" i="9"/>
  <c r="AF512" i="9"/>
  <c r="AF520" i="9"/>
  <c r="AF528" i="9"/>
  <c r="AF536" i="9"/>
  <c r="AF544" i="9"/>
  <c r="AF552" i="9"/>
  <c r="AF560" i="9"/>
  <c r="AF568" i="9"/>
  <c r="AF576" i="9"/>
  <c r="AF584" i="9"/>
  <c r="AF592" i="9"/>
  <c r="AF600" i="9"/>
  <c r="AF608" i="9"/>
  <c r="AF30" i="9"/>
  <c r="AF84" i="9"/>
  <c r="AF94" i="9"/>
  <c r="AF108" i="9"/>
  <c r="AF126" i="9"/>
  <c r="AF178" i="9"/>
  <c r="AF185" i="9"/>
  <c r="AF193" i="9"/>
  <c r="AF211" i="9"/>
  <c r="AF227" i="9"/>
  <c r="AF243" i="9"/>
  <c r="AF259" i="9"/>
  <c r="AF275" i="9"/>
  <c r="AF291" i="9"/>
  <c r="AF307" i="9"/>
  <c r="AF323" i="9"/>
  <c r="AF339" i="9"/>
  <c r="AF355" i="9"/>
  <c r="AF371" i="9"/>
  <c r="AF387" i="9"/>
  <c r="AF403" i="9"/>
  <c r="AF419" i="9"/>
  <c r="AF435" i="9"/>
  <c r="AF451" i="9"/>
  <c r="AF467" i="9"/>
  <c r="AF479" i="9"/>
  <c r="AF487" i="9"/>
  <c r="AF495" i="9"/>
  <c r="AF503" i="9"/>
  <c r="AF511" i="9"/>
  <c r="AF519" i="9"/>
  <c r="AF527" i="9"/>
  <c r="AF535" i="9"/>
  <c r="AF543" i="9"/>
  <c r="AF551" i="9"/>
  <c r="AF559" i="9"/>
  <c r="AF567" i="9"/>
  <c r="AF575" i="9"/>
  <c r="AF583" i="9"/>
  <c r="AF591" i="9"/>
  <c r="AF599" i="9"/>
  <c r="AF607" i="9"/>
  <c r="AF100" i="9"/>
  <c r="AF105" i="9"/>
  <c r="AF136" i="9"/>
  <c r="AF140" i="9"/>
  <c r="AF201" i="9"/>
  <c r="AF209" i="9"/>
  <c r="AF225" i="9"/>
  <c r="AF241" i="9"/>
  <c r="AF257" i="9"/>
  <c r="AF273" i="9"/>
  <c r="AF289" i="9"/>
  <c r="AF305" i="9"/>
  <c r="AF321" i="9"/>
  <c r="AF337" i="9"/>
  <c r="AF353" i="9"/>
  <c r="AF369" i="9"/>
  <c r="AF385" i="9"/>
  <c r="AF401" i="9"/>
  <c r="AF417" i="9"/>
  <c r="AF433" i="9"/>
  <c r="AF449" i="9"/>
  <c r="AF465" i="9"/>
  <c r="AF478" i="9"/>
  <c r="AF486" i="9"/>
  <c r="AF494" i="9"/>
  <c r="AF502" i="9"/>
  <c r="AF510" i="9"/>
  <c r="AF518" i="9"/>
  <c r="AF526" i="9"/>
  <c r="AF534" i="9"/>
  <c r="AF542" i="9"/>
  <c r="AF550" i="9"/>
  <c r="AF558" i="9"/>
  <c r="AF566" i="9"/>
  <c r="AF574" i="9"/>
  <c r="AF582" i="9"/>
  <c r="AF590" i="9"/>
  <c r="AF598" i="9"/>
  <c r="AF606" i="9"/>
  <c r="AF614" i="9"/>
  <c r="AF48" i="9"/>
  <c r="AF65" i="9"/>
  <c r="AF74" i="9"/>
  <c r="AF81" i="9"/>
  <c r="AF102" i="9"/>
  <c r="AF106" i="9"/>
  <c r="AF138" i="9"/>
  <c r="AF149" i="9"/>
  <c r="AF197" i="9"/>
  <c r="AF200" i="9"/>
  <c r="AF217" i="9"/>
  <c r="AF233" i="9"/>
  <c r="AF249" i="9"/>
  <c r="AF265" i="9"/>
  <c r="AF281" i="9"/>
  <c r="AF297" i="9"/>
  <c r="AF313" i="9"/>
  <c r="AF329" i="9"/>
  <c r="AF345" i="9"/>
  <c r="AF361" i="9"/>
  <c r="AF377" i="9"/>
  <c r="AF393" i="9"/>
  <c r="AF409" i="9"/>
  <c r="AF425" i="9"/>
  <c r="AF441" i="9"/>
  <c r="AF457" i="9"/>
  <c r="AF474" i="9"/>
  <c r="AF482" i="9"/>
  <c r="AF490" i="9"/>
  <c r="AF498" i="9"/>
  <c r="AF506" i="9"/>
  <c r="AF514" i="9"/>
  <c r="AF522" i="9"/>
  <c r="AF530" i="9"/>
  <c r="AF538" i="9"/>
  <c r="AF546" i="9"/>
  <c r="AF554" i="9"/>
  <c r="AF562" i="9"/>
  <c r="AF570" i="9"/>
  <c r="AF578" i="9"/>
  <c r="AF586" i="9"/>
  <c r="AF594" i="9"/>
  <c r="AF602" i="9"/>
  <c r="AF610" i="9"/>
  <c r="AF618" i="9"/>
  <c r="AF180" i="9"/>
  <c r="AF192" i="9"/>
  <c r="AF221" i="9"/>
  <c r="AF292" i="9"/>
  <c r="AF315" i="9"/>
  <c r="AF349" i="9"/>
  <c r="AF420" i="9"/>
  <c r="AF443" i="9"/>
  <c r="AF477" i="9"/>
  <c r="AF484" i="9"/>
  <c r="AF493" i="9"/>
  <c r="AF500" i="9"/>
  <c r="AF509" i="9"/>
  <c r="AF516" i="9"/>
  <c r="AF525" i="9"/>
  <c r="AF532" i="9"/>
  <c r="AF541" i="9"/>
  <c r="AF548" i="9"/>
  <c r="AF557" i="9"/>
  <c r="AF564" i="9"/>
  <c r="AF573" i="9"/>
  <c r="AF580" i="9"/>
  <c r="AF589" i="9"/>
  <c r="AF596" i="9"/>
  <c r="AF50" i="9"/>
  <c r="AF148" i="9"/>
  <c r="AF186" i="9"/>
  <c r="AF212" i="9"/>
  <c r="AF235" i="9"/>
  <c r="AF269" i="9"/>
  <c r="AF340" i="9"/>
  <c r="AF363" i="9"/>
  <c r="AF397" i="9"/>
  <c r="AF468" i="9"/>
  <c r="AF475" i="9"/>
  <c r="AF491" i="9"/>
  <c r="AF507" i="9"/>
  <c r="AF523" i="9"/>
  <c r="AF539" i="9"/>
  <c r="AF555" i="9"/>
  <c r="AF571" i="9"/>
  <c r="AF587" i="9"/>
  <c r="AF603" i="9"/>
  <c r="AF622" i="9"/>
  <c r="AF630" i="9"/>
  <c r="AF97" i="9"/>
  <c r="AF119" i="9"/>
  <c r="AF127" i="9"/>
  <c r="AF183" i="9"/>
  <c r="AF228" i="9"/>
  <c r="AF251" i="9"/>
  <c r="AF285" i="9"/>
  <c r="AF356" i="9"/>
  <c r="AF379" i="9"/>
  <c r="AF413" i="9"/>
  <c r="AF476" i="9"/>
  <c r="AF485" i="9"/>
  <c r="AF492" i="9"/>
  <c r="AF501" i="9"/>
  <c r="AF508" i="9"/>
  <c r="AF517" i="9"/>
  <c r="AF524" i="9"/>
  <c r="AF533" i="9"/>
  <c r="AF540" i="9"/>
  <c r="AF549" i="9"/>
  <c r="AF556" i="9"/>
  <c r="AF565" i="9"/>
  <c r="AF572" i="9"/>
  <c r="AF581" i="9"/>
  <c r="AF588" i="9"/>
  <c r="AF597" i="9"/>
  <c r="AF604" i="9"/>
  <c r="AF120" i="9"/>
  <c r="AF205" i="9"/>
  <c r="AF219" i="9"/>
  <c r="AF253" i="9"/>
  <c r="AF324" i="9"/>
  <c r="AF347" i="9"/>
  <c r="AF381" i="9"/>
  <c r="AF452" i="9"/>
  <c r="AF481" i="9"/>
  <c r="AF497" i="9"/>
  <c r="AF513" i="9"/>
  <c r="AF529" i="9"/>
  <c r="AF545" i="9"/>
  <c r="AF561" i="9"/>
  <c r="AF577" i="9"/>
  <c r="AF593" i="9"/>
  <c r="AF609" i="9"/>
  <c r="AF88" i="9"/>
  <c r="AF128" i="9"/>
  <c r="AF167" i="9"/>
  <c r="AF365" i="9"/>
  <c r="AF461" i="9"/>
  <c r="AF505" i="9"/>
  <c r="AF515" i="9"/>
  <c r="AF624" i="9"/>
  <c r="AF640" i="9"/>
  <c r="AF648" i="9"/>
  <c r="AF656" i="9"/>
  <c r="AF664" i="9"/>
  <c r="AF672" i="9"/>
  <c r="AF680" i="9"/>
  <c r="AF688" i="9"/>
  <c r="AF696" i="9"/>
  <c r="AF704" i="9"/>
  <c r="AF712" i="9"/>
  <c r="AF720" i="9"/>
  <c r="AF728" i="9"/>
  <c r="AF736" i="9"/>
  <c r="AF744" i="9"/>
  <c r="AF752" i="9"/>
  <c r="AF760" i="9"/>
  <c r="AF768" i="9"/>
  <c r="AF776" i="9"/>
  <c r="AF784" i="9"/>
  <c r="AF792" i="9"/>
  <c r="AF800" i="9"/>
  <c r="AF808" i="9"/>
  <c r="AF816" i="9"/>
  <c r="AF824" i="9"/>
  <c r="AF832" i="9"/>
  <c r="AF840" i="9"/>
  <c r="AF848" i="9"/>
  <c r="AF856" i="9"/>
  <c r="AF395" i="9"/>
  <c r="AF489" i="9"/>
  <c r="AF499" i="9"/>
  <c r="AF619" i="9"/>
  <c r="AF621" i="9"/>
  <c r="AF628" i="9"/>
  <c r="AF632" i="9"/>
  <c r="AF639" i="9"/>
  <c r="AF647" i="9"/>
  <c r="AF655" i="9"/>
  <c r="AF663" i="9"/>
  <c r="AF671" i="9"/>
  <c r="AF679" i="9"/>
  <c r="AF687" i="9"/>
  <c r="AF695" i="9"/>
  <c r="AF703" i="9"/>
  <c r="AF711" i="9"/>
  <c r="AF719" i="9"/>
  <c r="AF727" i="9"/>
  <c r="AF735" i="9"/>
  <c r="AF743" i="9"/>
  <c r="AF751" i="9"/>
  <c r="AF759" i="9"/>
  <c r="AF767" i="9"/>
  <c r="AF775" i="9"/>
  <c r="AF783" i="9"/>
  <c r="AF791" i="9"/>
  <c r="AF799" i="9"/>
  <c r="AF807" i="9"/>
  <c r="AF815" i="9"/>
  <c r="AF823" i="9"/>
  <c r="AF831" i="9"/>
  <c r="AF839" i="9"/>
  <c r="AF847" i="9"/>
  <c r="AF855" i="9"/>
  <c r="AF863" i="9"/>
  <c r="AF871" i="9"/>
  <c r="AF879" i="9"/>
  <c r="AF887" i="9"/>
  <c r="AF895" i="9"/>
  <c r="AF903" i="9"/>
  <c r="AF110" i="9"/>
  <c r="AF153" i="9"/>
  <c r="AF187" i="9"/>
  <c r="AF244" i="9"/>
  <c r="AF427" i="9"/>
  <c r="AF436" i="9"/>
  <c r="AF445" i="9"/>
  <c r="AF473" i="9"/>
  <c r="AF483" i="9"/>
  <c r="AF601" i="9"/>
  <c r="AF605" i="9"/>
  <c r="AF611" i="9"/>
  <c r="AF638" i="9"/>
  <c r="AF646" i="9"/>
  <c r="AF654" i="9"/>
  <c r="AF662" i="9"/>
  <c r="AF670" i="9"/>
  <c r="AF678" i="9"/>
  <c r="AF686" i="9"/>
  <c r="AF694" i="9"/>
  <c r="AF702" i="9"/>
  <c r="AF710" i="9"/>
  <c r="AF718" i="9"/>
  <c r="AF726" i="9"/>
  <c r="AF734" i="9"/>
  <c r="AF742" i="9"/>
  <c r="AF750" i="9"/>
  <c r="AF758" i="9"/>
  <c r="AF766" i="9"/>
  <c r="AF774" i="9"/>
  <c r="AF782" i="9"/>
  <c r="AF790" i="9"/>
  <c r="AF798" i="9"/>
  <c r="AF806" i="9"/>
  <c r="AF814" i="9"/>
  <c r="AF822" i="9"/>
  <c r="AF830" i="9"/>
  <c r="AF838" i="9"/>
  <c r="AF846" i="9"/>
  <c r="AF854" i="9"/>
  <c r="AF862" i="9"/>
  <c r="AF870" i="9"/>
  <c r="AF878" i="9"/>
  <c r="AF886" i="9"/>
  <c r="AF894" i="9"/>
  <c r="AF902" i="9"/>
  <c r="AF910" i="9"/>
  <c r="AF918" i="9"/>
  <c r="AF926" i="9"/>
  <c r="AF164" i="9"/>
  <c r="AF299" i="9"/>
  <c r="AF308" i="9"/>
  <c r="AF317" i="9"/>
  <c r="AF372" i="9"/>
  <c r="AF537" i="9"/>
  <c r="AF547" i="9"/>
  <c r="AF615" i="9"/>
  <c r="AF625" i="9"/>
  <c r="AF634" i="9"/>
  <c r="AF642" i="9"/>
  <c r="AF650" i="9"/>
  <c r="AF658" i="9"/>
  <c r="AF666" i="9"/>
  <c r="AF674" i="9"/>
  <c r="AF682" i="9"/>
  <c r="AF690" i="9"/>
  <c r="AF698" i="9"/>
  <c r="AF706" i="9"/>
  <c r="AF714" i="9"/>
  <c r="AF722" i="9"/>
  <c r="AF730" i="9"/>
  <c r="AF738" i="9"/>
  <c r="AF746" i="9"/>
  <c r="AF754" i="9"/>
  <c r="AF762" i="9"/>
  <c r="AF770" i="9"/>
  <c r="AF778" i="9"/>
  <c r="AF786" i="9"/>
  <c r="AF794" i="9"/>
  <c r="AF802" i="9"/>
  <c r="AF810" i="9"/>
  <c r="AF818" i="9"/>
  <c r="AF826" i="9"/>
  <c r="AF834" i="9"/>
  <c r="AF842" i="9"/>
  <c r="AF850" i="9"/>
  <c r="AF858" i="9"/>
  <c r="AF866" i="9"/>
  <c r="AF874" i="9"/>
  <c r="AF882" i="9"/>
  <c r="AF890" i="9"/>
  <c r="AF898" i="9"/>
  <c r="AF906" i="9"/>
  <c r="AF914" i="9"/>
  <c r="AF922" i="9"/>
  <c r="AF331" i="9"/>
  <c r="AF388" i="9"/>
  <c r="AF411" i="9"/>
  <c r="AF521" i="9"/>
  <c r="AF531" i="9"/>
  <c r="AF613" i="9"/>
  <c r="AF617" i="9"/>
  <c r="AF620" i="9"/>
  <c r="AF629" i="9"/>
  <c r="AF637" i="9"/>
  <c r="AF644" i="9"/>
  <c r="AF653" i="9"/>
  <c r="AF660" i="9"/>
  <c r="AF669" i="9"/>
  <c r="AF676" i="9"/>
  <c r="AF685" i="9"/>
  <c r="AF692" i="9"/>
  <c r="AF701" i="9"/>
  <c r="AF708" i="9"/>
  <c r="AF717" i="9"/>
  <c r="AF724" i="9"/>
  <c r="AF733" i="9"/>
  <c r="AF740" i="9"/>
  <c r="AF749" i="9"/>
  <c r="AF756" i="9"/>
  <c r="AF765" i="9"/>
  <c r="AF772" i="9"/>
  <c r="AF781" i="9"/>
  <c r="AF788" i="9"/>
  <c r="AF797" i="9"/>
  <c r="AF804" i="9"/>
  <c r="AF813" i="9"/>
  <c r="AF820" i="9"/>
  <c r="AF829" i="9"/>
  <c r="AF836" i="9"/>
  <c r="AF845" i="9"/>
  <c r="AF852" i="9"/>
  <c r="AF864" i="9"/>
  <c r="AF276" i="9"/>
  <c r="AF333" i="9"/>
  <c r="AF459" i="9"/>
  <c r="AF569" i="9"/>
  <c r="AF635" i="9"/>
  <c r="AF651" i="9"/>
  <c r="AF667" i="9"/>
  <c r="AF683" i="9"/>
  <c r="AF699" i="9"/>
  <c r="AF715" i="9"/>
  <c r="AF731" i="9"/>
  <c r="AF747" i="9"/>
  <c r="AF763" i="9"/>
  <c r="AF779" i="9"/>
  <c r="AF795" i="9"/>
  <c r="AF811" i="9"/>
  <c r="AF827" i="9"/>
  <c r="AF843" i="9"/>
  <c r="AF868" i="9"/>
  <c r="AF881" i="9"/>
  <c r="AF888" i="9"/>
  <c r="AF899" i="9"/>
  <c r="AF901" i="9"/>
  <c r="AF908" i="9"/>
  <c r="AF923" i="9"/>
  <c r="AF931" i="9"/>
  <c r="AF939" i="9"/>
  <c r="AF142" i="9"/>
  <c r="AF301" i="9"/>
  <c r="AF404" i="9"/>
  <c r="AF553" i="9"/>
  <c r="AF563" i="9"/>
  <c r="AF595" i="9"/>
  <c r="AF626" i="9"/>
  <c r="AF641" i="9"/>
  <c r="AF657" i="9"/>
  <c r="AF673" i="9"/>
  <c r="AF689" i="9"/>
  <c r="AF705" i="9"/>
  <c r="AF721" i="9"/>
  <c r="AF737" i="9"/>
  <c r="AF753" i="9"/>
  <c r="AF769" i="9"/>
  <c r="AF785" i="9"/>
  <c r="AF801" i="9"/>
  <c r="AF817" i="9"/>
  <c r="AF833" i="9"/>
  <c r="AF849" i="9"/>
  <c r="AF860" i="9"/>
  <c r="AF873" i="9"/>
  <c r="AF880" i="9"/>
  <c r="AF891" i="9"/>
  <c r="AF893" i="9"/>
  <c r="AF909" i="9"/>
  <c r="AF912" i="9"/>
  <c r="AF927" i="9"/>
  <c r="AF934" i="9"/>
  <c r="AF942" i="9"/>
  <c r="AF267" i="9"/>
  <c r="AF623" i="9"/>
  <c r="AF884" i="9"/>
  <c r="AF897" i="9"/>
  <c r="AF904" i="9"/>
  <c r="AF915" i="9"/>
  <c r="AF933" i="9"/>
  <c r="AF941" i="9"/>
  <c r="AF949" i="9"/>
  <c r="AF16" i="9"/>
  <c r="AF616" i="9"/>
  <c r="AF652" i="9"/>
  <c r="AF684" i="9"/>
  <c r="AF716" i="9"/>
  <c r="AF748" i="9"/>
  <c r="AF780" i="9"/>
  <c r="AF812" i="9"/>
  <c r="AF844" i="9"/>
  <c r="AF876" i="9"/>
  <c r="AF885" i="9"/>
  <c r="AF924" i="9"/>
  <c r="AF943" i="9"/>
  <c r="AF950" i="9"/>
  <c r="AF954" i="9"/>
  <c r="AF961" i="9"/>
  <c r="AF969" i="9"/>
  <c r="AF977" i="9"/>
  <c r="AF985" i="9"/>
  <c r="AF993" i="9"/>
  <c r="AF1001" i="9"/>
  <c r="AF1009" i="9"/>
  <c r="AF1017" i="9"/>
  <c r="AF1025" i="9"/>
  <c r="AF1033" i="9"/>
  <c r="AF1041" i="9"/>
  <c r="AF1049" i="9"/>
  <c r="AF1057" i="9"/>
  <c r="AF1065" i="9"/>
  <c r="AF1073" i="9"/>
  <c r="AF28" i="9"/>
  <c r="AF643" i="9"/>
  <c r="AF649" i="9"/>
  <c r="AF675" i="9"/>
  <c r="AF681" i="9"/>
  <c r="AF707" i="9"/>
  <c r="AF713" i="9"/>
  <c r="AF739" i="9"/>
  <c r="AF745" i="9"/>
  <c r="AF771" i="9"/>
  <c r="AF777" i="9"/>
  <c r="AF803" i="9"/>
  <c r="AF809" i="9"/>
  <c r="AF835" i="9"/>
  <c r="AF841" i="9"/>
  <c r="AF905" i="9"/>
  <c r="AF913" i="9"/>
  <c r="AF920" i="9"/>
  <c r="AF932" i="9"/>
  <c r="AF936" i="9"/>
  <c r="AF945" i="9"/>
  <c r="AF953" i="9"/>
  <c r="AF960" i="9"/>
  <c r="AF968" i="9"/>
  <c r="AF976" i="9"/>
  <c r="AF984" i="9"/>
  <c r="AF992" i="9"/>
  <c r="AF1000" i="9"/>
  <c r="AF1008" i="9"/>
  <c r="AF1016" i="9"/>
  <c r="AF1024" i="9"/>
  <c r="AF1032" i="9"/>
  <c r="AF1040" i="9"/>
  <c r="AF1048" i="9"/>
  <c r="AF1056" i="9"/>
  <c r="AF1064" i="9"/>
  <c r="AF1072" i="9"/>
  <c r="AF72" i="9"/>
  <c r="AF859" i="9"/>
  <c r="AF896" i="9"/>
  <c r="AF925" i="9"/>
  <c r="AF929" i="9"/>
  <c r="AF938" i="9"/>
  <c r="AF959" i="9"/>
  <c r="AF967" i="9"/>
  <c r="AF975" i="9"/>
  <c r="AF983" i="9"/>
  <c r="AF991" i="9"/>
  <c r="AF999" i="9"/>
  <c r="AF1007" i="9"/>
  <c r="AF1015" i="9"/>
  <c r="AF1023" i="9"/>
  <c r="AF1031" i="9"/>
  <c r="AF1039" i="9"/>
  <c r="AF1047" i="9"/>
  <c r="AF1055" i="9"/>
  <c r="AF1063" i="9"/>
  <c r="AF1071" i="9"/>
  <c r="AF283" i="9"/>
  <c r="AF585" i="9"/>
  <c r="AF861" i="9"/>
  <c r="AF865" i="9"/>
  <c r="AF869" i="9"/>
  <c r="AF900" i="9"/>
  <c r="AF928" i="9"/>
  <c r="AF955" i="9"/>
  <c r="AF963" i="9"/>
  <c r="AF971" i="9"/>
  <c r="AF979" i="9"/>
  <c r="AF987" i="9"/>
  <c r="AF995" i="9"/>
  <c r="AF1003" i="9"/>
  <c r="AF1011" i="9"/>
  <c r="AF1019" i="9"/>
  <c r="AF1027" i="9"/>
  <c r="AF1035" i="9"/>
  <c r="AF1043" i="9"/>
  <c r="AF1051" i="9"/>
  <c r="AF1059" i="9"/>
  <c r="AF1067" i="9"/>
  <c r="AF1075" i="9"/>
  <c r="AF237" i="9"/>
  <c r="AF661" i="9"/>
  <c r="AF693" i="9"/>
  <c r="AF725" i="9"/>
  <c r="AF757" i="9"/>
  <c r="AF789" i="9"/>
  <c r="AF821" i="9"/>
  <c r="AF853" i="9"/>
  <c r="AF907" i="9"/>
  <c r="AF917" i="9"/>
  <c r="AF919" i="9"/>
  <c r="AF930" i="9"/>
  <c r="AF946" i="9"/>
  <c r="AF962" i="9"/>
  <c r="AF970" i="9"/>
  <c r="AF978" i="9"/>
  <c r="AF986" i="9"/>
  <c r="AF994" i="9"/>
  <c r="AF1002" i="9"/>
  <c r="AF1010" i="9"/>
  <c r="AF1018" i="9"/>
  <c r="AF1026" i="9"/>
  <c r="AF1034" i="9"/>
  <c r="AF1042" i="9"/>
  <c r="AF1050" i="9"/>
  <c r="AF1058" i="9"/>
  <c r="AF1066" i="9"/>
  <c r="AF1074" i="9"/>
  <c r="AF732" i="9"/>
  <c r="AF755" i="9"/>
  <c r="AF793" i="9"/>
  <c r="AF805" i="9"/>
  <c r="AF956" i="9"/>
  <c r="AF1005" i="9"/>
  <c r="AF1014" i="9"/>
  <c r="AF1020" i="9"/>
  <c r="AF1069" i="9"/>
  <c r="AF1078" i="9"/>
  <c r="AF429" i="9"/>
  <c r="AF636" i="9"/>
  <c r="AF659" i="9"/>
  <c r="AF697" i="9"/>
  <c r="AF709" i="9"/>
  <c r="AF889" i="9"/>
  <c r="AF916" i="9"/>
  <c r="AF921" i="9"/>
  <c r="AF937" i="9"/>
  <c r="AF981" i="9"/>
  <c r="AF990" i="9"/>
  <c r="AF996" i="9"/>
  <c r="AF1045" i="9"/>
  <c r="AF1054" i="9"/>
  <c r="AF1060" i="9"/>
  <c r="AF796" i="9"/>
  <c r="AF819" i="9"/>
  <c r="AF857" i="9"/>
  <c r="AF867" i="9"/>
  <c r="AF875" i="9"/>
  <c r="AF957" i="9"/>
  <c r="AF966" i="9"/>
  <c r="AF972" i="9"/>
  <c r="AF1021" i="9"/>
  <c r="AF1030" i="9"/>
  <c r="AF1036" i="9"/>
  <c r="AF631" i="9"/>
  <c r="AF668" i="9"/>
  <c r="AF691" i="9"/>
  <c r="AF729" i="9"/>
  <c r="AF741" i="9"/>
  <c r="AF892" i="9"/>
  <c r="AF952" i="9"/>
  <c r="AF989" i="9"/>
  <c r="AF998" i="9"/>
  <c r="AF1004" i="9"/>
  <c r="AF1053" i="9"/>
  <c r="AF1062" i="9"/>
  <c r="AF1068" i="9"/>
  <c r="AF761" i="9"/>
  <c r="AF1006" i="9"/>
  <c r="AF1037" i="9"/>
  <c r="AF1077" i="9"/>
  <c r="AF612" i="9"/>
  <c r="AF665" i="9"/>
  <c r="AF940" i="9"/>
  <c r="AF980" i="9"/>
  <c r="AF988" i="9"/>
  <c r="AF1061" i="9"/>
  <c r="AF645" i="9"/>
  <c r="AF764" i="9"/>
  <c r="AF837" i="9"/>
  <c r="AF883" i="9"/>
  <c r="AF911" i="9"/>
  <c r="AF958" i="9"/>
  <c r="AF964" i="9"/>
  <c r="AF982" i="9"/>
  <c r="AF1012" i="9"/>
  <c r="AF579" i="9"/>
  <c r="AF677" i="9"/>
  <c r="AF825" i="9"/>
  <c r="AF851" i="9"/>
  <c r="AF947" i="9"/>
  <c r="AF1022" i="9"/>
  <c r="AF1028" i="9"/>
  <c r="AF1046" i="9"/>
  <c r="AF1076" i="9"/>
  <c r="AF627" i="9"/>
  <c r="AF828" i="9"/>
  <c r="AF948" i="9"/>
  <c r="AF965" i="9"/>
  <c r="AF974" i="9"/>
  <c r="AF1038" i="9"/>
  <c r="AF260" i="9"/>
  <c r="AF633" i="9"/>
  <c r="AF877" i="9"/>
  <c r="AF951" i="9"/>
  <c r="AF723" i="9"/>
  <c r="AF773" i="9"/>
  <c r="AF997" i="9"/>
  <c r="AF1044" i="9"/>
  <c r="AF872" i="9"/>
  <c r="AF944" i="9"/>
  <c r="AF1013" i="9"/>
  <c r="AF973" i="9"/>
  <c r="AF1029" i="9"/>
  <c r="AF1070" i="9"/>
  <c r="AF700" i="9"/>
  <c r="AF935" i="9"/>
  <c r="AF1052" i="9"/>
  <c r="AF787" i="9"/>
  <c r="AE1443" i="2"/>
  <c r="Z1436" i="2" s="1"/>
  <c r="Q1482" i="2"/>
  <c r="Q1487" i="2"/>
  <c r="AU1501" i="2"/>
  <c r="AV1501" i="2"/>
  <c r="BE1501" i="2"/>
  <c r="AW1501" i="2"/>
  <c r="Q1437" i="2"/>
  <c r="U1435" i="2" s="1"/>
  <c r="AE1448" i="2"/>
  <c r="Z1437" i="2" s="1"/>
  <c r="AE1438" i="2"/>
  <c r="Z1435" i="2" s="1"/>
  <c r="I1377" i="2"/>
  <c r="J1377" i="2"/>
  <c r="K1377" i="2"/>
  <c r="K1501" i="2" s="1"/>
  <c r="F1575" i="2"/>
  <c r="G1377" i="2"/>
  <c r="H1377" i="2"/>
  <c r="G126" i="20"/>
  <c r="F1622" i="2"/>
  <c r="J1699" i="2"/>
  <c r="R1364" i="2"/>
  <c r="S1364" i="2" s="1"/>
  <c r="G128" i="20"/>
  <c r="J1673" i="2"/>
  <c r="N1377" i="2"/>
  <c r="M1377" i="2" s="1"/>
  <c r="Q1364" i="2"/>
  <c r="P1364" i="2" s="1"/>
  <c r="G127" i="20"/>
  <c r="Q1384" i="2"/>
  <c r="Q1377" i="2"/>
  <c r="P1377" i="2" s="1"/>
  <c r="G129" i="20"/>
  <c r="Q1467" i="2"/>
  <c r="Q1462" i="2"/>
  <c r="AG6" i="9"/>
  <c r="AG14" i="9"/>
  <c r="AG5" i="9"/>
  <c r="AG13" i="9"/>
  <c r="AG8" i="9"/>
  <c r="AG16" i="9"/>
  <c r="AG17" i="9"/>
  <c r="AG26" i="9"/>
  <c r="AG34" i="9"/>
  <c r="AG40" i="9"/>
  <c r="AG48" i="9"/>
  <c r="AG56" i="9"/>
  <c r="AG64" i="9"/>
  <c r="AG72" i="9"/>
  <c r="AG80" i="9"/>
  <c r="AG94" i="9"/>
  <c r="AG102" i="9"/>
  <c r="AG110" i="9"/>
  <c r="AG118" i="9"/>
  <c r="AG126" i="9"/>
  <c r="AG134" i="9"/>
  <c r="AG142" i="9"/>
  <c r="AG148" i="9"/>
  <c r="AG156" i="9"/>
  <c r="AG3" i="9"/>
  <c r="AG19" i="9"/>
  <c r="AG25" i="9"/>
  <c r="AG33" i="9"/>
  <c r="AG39" i="9"/>
  <c r="AG47" i="9"/>
  <c r="AG55" i="9"/>
  <c r="AG63" i="9"/>
  <c r="AG71" i="9"/>
  <c r="AG79" i="9"/>
  <c r="AG87" i="9"/>
  <c r="AG10" i="9"/>
  <c r="AG24" i="9"/>
  <c r="AG32" i="9"/>
  <c r="AG38" i="9"/>
  <c r="AG46" i="9"/>
  <c r="AG54" i="9"/>
  <c r="AG62" i="9"/>
  <c r="AG70" i="9"/>
  <c r="AG78" i="9"/>
  <c r="AG86" i="9"/>
  <c r="AG92" i="9"/>
  <c r="AG100" i="9"/>
  <c r="AG108" i="9"/>
  <c r="AG116" i="9"/>
  <c r="AG124" i="9"/>
  <c r="AG132" i="9"/>
  <c r="AG4" i="9"/>
  <c r="AG23" i="9"/>
  <c r="AG27" i="9"/>
  <c r="AG36" i="9"/>
  <c r="AG43" i="9"/>
  <c r="AG52" i="9"/>
  <c r="AG85" i="9"/>
  <c r="AG90" i="9"/>
  <c r="AG45" i="9"/>
  <c r="AG49" i="9"/>
  <c r="AG58" i="9"/>
  <c r="AG67" i="9"/>
  <c r="AG76" i="9"/>
  <c r="AG95" i="9"/>
  <c r="AG101" i="9"/>
  <c r="AG104" i="9"/>
  <c r="AG107" i="9"/>
  <c r="AG127" i="9"/>
  <c r="AG133" i="9"/>
  <c r="AG136" i="9"/>
  <c r="AG140" i="9"/>
  <c r="AG155" i="9"/>
  <c r="AG159" i="9"/>
  <c r="AG167" i="9"/>
  <c r="AG175" i="9"/>
  <c r="AG183" i="9"/>
  <c r="AG191" i="9"/>
  <c r="AG197" i="9"/>
  <c r="AG205" i="9"/>
  <c r="AG9" i="9"/>
  <c r="AG12" i="9"/>
  <c r="AG20" i="9"/>
  <c r="AG29" i="9"/>
  <c r="AG69" i="9"/>
  <c r="AG73" i="9"/>
  <c r="AG82" i="9"/>
  <c r="AG89" i="9"/>
  <c r="AG98" i="9"/>
  <c r="AG121" i="9"/>
  <c r="AG130" i="9"/>
  <c r="AG146" i="9"/>
  <c r="AG150" i="9"/>
  <c r="AG166" i="9"/>
  <c r="AG174" i="9"/>
  <c r="AG182" i="9"/>
  <c r="AG11" i="9"/>
  <c r="AG21" i="9"/>
  <c r="AG30" i="9"/>
  <c r="AG61" i="9"/>
  <c r="AG65" i="9"/>
  <c r="AG74" i="9"/>
  <c r="AG83" i="9"/>
  <c r="AG93" i="9"/>
  <c r="AG96" i="9"/>
  <c r="AG99" i="9"/>
  <c r="AG119" i="9"/>
  <c r="AG125" i="9"/>
  <c r="AG128" i="9"/>
  <c r="AG131" i="9"/>
  <c r="AG141" i="9"/>
  <c r="AG143" i="9"/>
  <c r="AG152" i="9"/>
  <c r="AG161" i="9"/>
  <c r="AG169" i="9"/>
  <c r="AG177" i="9"/>
  <c r="AG185" i="9"/>
  <c r="AG28" i="9"/>
  <c r="AG81" i="9"/>
  <c r="AG106" i="9"/>
  <c r="AG120" i="9"/>
  <c r="AG154" i="9"/>
  <c r="AG164" i="9"/>
  <c r="AG173" i="9"/>
  <c r="AG186" i="9"/>
  <c r="AG192" i="9"/>
  <c r="AG203" i="9"/>
  <c r="AG209" i="9"/>
  <c r="AG217" i="9"/>
  <c r="AG225" i="9"/>
  <c r="AG233" i="9"/>
  <c r="AG241" i="9"/>
  <c r="AG249" i="9"/>
  <c r="AG257" i="9"/>
  <c r="AG265" i="9"/>
  <c r="AG273" i="9"/>
  <c r="AG281" i="9"/>
  <c r="AG289" i="9"/>
  <c r="AG297" i="9"/>
  <c r="AG305" i="9"/>
  <c r="AG313" i="9"/>
  <c r="AG321" i="9"/>
  <c r="AG329" i="9"/>
  <c r="AG337" i="9"/>
  <c r="AG345" i="9"/>
  <c r="AG353" i="9"/>
  <c r="AG361" i="9"/>
  <c r="AG369" i="9"/>
  <c r="AG377" i="9"/>
  <c r="AG385" i="9"/>
  <c r="AG393" i="9"/>
  <c r="AG401" i="9"/>
  <c r="AG409" i="9"/>
  <c r="AG417" i="9"/>
  <c r="AG425" i="9"/>
  <c r="AG433" i="9"/>
  <c r="AG441" i="9"/>
  <c r="AG449" i="9"/>
  <c r="AG457" i="9"/>
  <c r="AG465" i="9"/>
  <c r="AG41" i="9"/>
  <c r="AG60" i="9"/>
  <c r="AG109" i="9"/>
  <c r="AG137" i="9"/>
  <c r="AG139" i="9"/>
  <c r="AG168" i="9"/>
  <c r="AG188" i="9"/>
  <c r="AG194" i="9"/>
  <c r="AG198" i="9"/>
  <c r="AG208" i="9"/>
  <c r="AG216" i="9"/>
  <c r="AG224" i="9"/>
  <c r="AG232" i="9"/>
  <c r="AG240" i="9"/>
  <c r="AG248" i="9"/>
  <c r="AG256" i="9"/>
  <c r="AG264" i="9"/>
  <c r="AG272" i="9"/>
  <c r="AG280" i="9"/>
  <c r="AG288" i="9"/>
  <c r="AG296" i="9"/>
  <c r="AG304" i="9"/>
  <c r="AG312" i="9"/>
  <c r="AG320" i="9"/>
  <c r="AG328" i="9"/>
  <c r="AG336" i="9"/>
  <c r="AG344" i="9"/>
  <c r="AG352" i="9"/>
  <c r="AG360" i="9"/>
  <c r="AG368" i="9"/>
  <c r="AG376" i="9"/>
  <c r="AG384" i="9"/>
  <c r="AG392" i="9"/>
  <c r="AG400" i="9"/>
  <c r="AG408" i="9"/>
  <c r="AG416" i="9"/>
  <c r="AG424" i="9"/>
  <c r="AG432" i="9"/>
  <c r="AG440" i="9"/>
  <c r="AG448" i="9"/>
  <c r="AG456" i="9"/>
  <c r="AG464" i="9"/>
  <c r="AG472" i="9"/>
  <c r="AG22" i="9"/>
  <c r="AG53" i="9"/>
  <c r="AG75" i="9"/>
  <c r="AG114" i="9"/>
  <c r="AG123" i="9"/>
  <c r="AG135" i="9"/>
  <c r="AG170" i="9"/>
  <c r="AG179" i="9"/>
  <c r="AG202" i="9"/>
  <c r="AG207" i="9"/>
  <c r="AG215" i="9"/>
  <c r="AG223" i="9"/>
  <c r="AG231" i="9"/>
  <c r="AG239" i="9"/>
  <c r="AG247" i="9"/>
  <c r="AG255" i="9"/>
  <c r="AG263" i="9"/>
  <c r="AG271" i="9"/>
  <c r="AG279" i="9"/>
  <c r="AG287" i="9"/>
  <c r="AG295" i="9"/>
  <c r="AG303" i="9"/>
  <c r="AG311" i="9"/>
  <c r="AG319" i="9"/>
  <c r="AG327" i="9"/>
  <c r="AG335" i="9"/>
  <c r="AG343" i="9"/>
  <c r="AG351" i="9"/>
  <c r="AG359" i="9"/>
  <c r="AG367" i="9"/>
  <c r="AG375" i="9"/>
  <c r="AG383" i="9"/>
  <c r="AG391" i="9"/>
  <c r="AG399" i="9"/>
  <c r="AG407" i="9"/>
  <c r="AG415" i="9"/>
  <c r="AG423" i="9"/>
  <c r="AG431" i="9"/>
  <c r="AG439" i="9"/>
  <c r="AG447" i="9"/>
  <c r="AG455" i="9"/>
  <c r="AG463" i="9"/>
  <c r="AG471" i="9"/>
  <c r="AG15" i="9"/>
  <c r="AG31" i="9"/>
  <c r="AG35" i="9"/>
  <c r="AG51" i="9"/>
  <c r="AG84" i="9"/>
  <c r="AG113" i="9"/>
  <c r="AG138" i="9"/>
  <c r="AG149" i="9"/>
  <c r="AG160" i="9"/>
  <c r="AG180" i="9"/>
  <c r="AG193" i="9"/>
  <c r="AG204" i="9"/>
  <c r="AG211" i="9"/>
  <c r="AG219" i="9"/>
  <c r="AG227" i="9"/>
  <c r="AG235" i="9"/>
  <c r="AG243" i="9"/>
  <c r="AG251" i="9"/>
  <c r="AG259" i="9"/>
  <c r="AG267" i="9"/>
  <c r="AG275" i="9"/>
  <c r="AG283" i="9"/>
  <c r="AG291" i="9"/>
  <c r="AG299" i="9"/>
  <c r="AG307" i="9"/>
  <c r="AG315" i="9"/>
  <c r="AG323" i="9"/>
  <c r="AG331" i="9"/>
  <c r="AG339" i="9"/>
  <c r="AG347" i="9"/>
  <c r="AG355" i="9"/>
  <c r="AG363" i="9"/>
  <c r="AG371" i="9"/>
  <c r="AG379" i="9"/>
  <c r="AG387" i="9"/>
  <c r="AG395" i="9"/>
  <c r="AG403" i="9"/>
  <c r="AG411" i="9"/>
  <c r="AG419" i="9"/>
  <c r="AG427" i="9"/>
  <c r="AG435" i="9"/>
  <c r="AG443" i="9"/>
  <c r="AG451" i="9"/>
  <c r="AG459" i="9"/>
  <c r="AG467" i="9"/>
  <c r="AG50" i="9"/>
  <c r="AG59" i="9"/>
  <c r="AG88" i="9"/>
  <c r="AG103" i="9"/>
  <c r="AG153" i="9"/>
  <c r="AG187" i="9"/>
  <c r="AG206" i="9"/>
  <c r="AG222" i="9"/>
  <c r="AG238" i="9"/>
  <c r="AG254" i="9"/>
  <c r="AG270" i="9"/>
  <c r="AG286" i="9"/>
  <c r="AG302" i="9"/>
  <c r="AG318" i="9"/>
  <c r="AG334" i="9"/>
  <c r="AG350" i="9"/>
  <c r="AG366" i="9"/>
  <c r="AG382" i="9"/>
  <c r="AG398" i="9"/>
  <c r="AG414" i="9"/>
  <c r="AG430" i="9"/>
  <c r="AG446" i="9"/>
  <c r="AG462" i="9"/>
  <c r="AG473" i="9"/>
  <c r="AG481" i="9"/>
  <c r="AG489" i="9"/>
  <c r="AG497" i="9"/>
  <c r="AG505" i="9"/>
  <c r="AG513" i="9"/>
  <c r="AG521" i="9"/>
  <c r="AG529" i="9"/>
  <c r="AG537" i="9"/>
  <c r="AG545" i="9"/>
  <c r="AG553" i="9"/>
  <c r="AG561" i="9"/>
  <c r="AG569" i="9"/>
  <c r="AG577" i="9"/>
  <c r="AG585" i="9"/>
  <c r="AG593" i="9"/>
  <c r="AG601" i="9"/>
  <c r="AG609" i="9"/>
  <c r="AG68" i="9"/>
  <c r="AG163" i="9"/>
  <c r="AG213" i="9"/>
  <c r="AG218" i="9"/>
  <c r="AG220" i="9"/>
  <c r="AG229" i="9"/>
  <c r="AG234" i="9"/>
  <c r="AG236" i="9"/>
  <c r="AG245" i="9"/>
  <c r="AG250" i="9"/>
  <c r="AG252" i="9"/>
  <c r="AG261" i="9"/>
  <c r="AG266" i="9"/>
  <c r="AG268" i="9"/>
  <c r="AG277" i="9"/>
  <c r="AG282" i="9"/>
  <c r="AG284" i="9"/>
  <c r="AG293" i="9"/>
  <c r="AG298" i="9"/>
  <c r="AG300" i="9"/>
  <c r="AG309" i="9"/>
  <c r="AG314" i="9"/>
  <c r="AG316" i="9"/>
  <c r="AG325" i="9"/>
  <c r="AG330" i="9"/>
  <c r="AG332" i="9"/>
  <c r="AG341" i="9"/>
  <c r="AG346" i="9"/>
  <c r="AG348" i="9"/>
  <c r="AG357" i="9"/>
  <c r="AG362" i="9"/>
  <c r="AG364" i="9"/>
  <c r="AG373" i="9"/>
  <c r="AG378" i="9"/>
  <c r="AG380" i="9"/>
  <c r="AG389" i="9"/>
  <c r="AG394" i="9"/>
  <c r="AG396" i="9"/>
  <c r="AG405" i="9"/>
  <c r="AG410" i="9"/>
  <c r="AG412" i="9"/>
  <c r="AG421" i="9"/>
  <c r="AG426" i="9"/>
  <c r="AG428" i="9"/>
  <c r="AG437" i="9"/>
  <c r="AG442" i="9"/>
  <c r="AG444" i="9"/>
  <c r="AG453" i="9"/>
  <c r="AG458" i="9"/>
  <c r="AG460" i="9"/>
  <c r="AG469" i="9"/>
  <c r="AG480" i="9"/>
  <c r="AG488" i="9"/>
  <c r="AG496" i="9"/>
  <c r="AG504" i="9"/>
  <c r="AG512" i="9"/>
  <c r="AG520" i="9"/>
  <c r="AG528" i="9"/>
  <c r="AG536" i="9"/>
  <c r="AG544" i="9"/>
  <c r="AG552" i="9"/>
  <c r="AG560" i="9"/>
  <c r="AG568" i="9"/>
  <c r="AG576" i="9"/>
  <c r="AG584" i="9"/>
  <c r="AG592" i="9"/>
  <c r="AG600" i="9"/>
  <c r="AG608" i="9"/>
  <c r="AG44" i="9"/>
  <c r="AG77" i="9"/>
  <c r="AG122" i="9"/>
  <c r="AG147" i="9"/>
  <c r="AG178" i="9"/>
  <c r="AG479" i="9"/>
  <c r="AG487" i="9"/>
  <c r="AG495" i="9"/>
  <c r="AG503" i="9"/>
  <c r="AG511" i="9"/>
  <c r="AG519" i="9"/>
  <c r="AG527" i="9"/>
  <c r="AG535" i="9"/>
  <c r="AG543" i="9"/>
  <c r="AG551" i="9"/>
  <c r="AG559" i="9"/>
  <c r="AG567" i="9"/>
  <c r="AG575" i="9"/>
  <c r="AG583" i="9"/>
  <c r="AG591" i="9"/>
  <c r="AG599" i="9"/>
  <c r="AG607" i="9"/>
  <c r="AG97" i="9"/>
  <c r="AG112" i="9"/>
  <c r="AG165" i="9"/>
  <c r="AG176" i="9"/>
  <c r="AG475" i="9"/>
  <c r="AG483" i="9"/>
  <c r="AG491" i="9"/>
  <c r="AG499" i="9"/>
  <c r="AG507" i="9"/>
  <c r="AG515" i="9"/>
  <c r="AG523" i="9"/>
  <c r="AG531" i="9"/>
  <c r="AG539" i="9"/>
  <c r="AG547" i="9"/>
  <c r="AG555" i="9"/>
  <c r="AG563" i="9"/>
  <c r="AG571" i="9"/>
  <c r="AG579" i="9"/>
  <c r="AG587" i="9"/>
  <c r="AG595" i="9"/>
  <c r="AG603" i="9"/>
  <c r="AG611" i="9"/>
  <c r="AG619" i="9"/>
  <c r="AG7" i="9"/>
  <c r="AG37" i="9"/>
  <c r="AG91" i="9"/>
  <c r="AG172" i="9"/>
  <c r="AG195" i="9"/>
  <c r="AG200" i="9"/>
  <c r="AG226" i="9"/>
  <c r="AG244" i="9"/>
  <c r="AG278" i="9"/>
  <c r="AG301" i="9"/>
  <c r="AG354" i="9"/>
  <c r="AG372" i="9"/>
  <c r="AG406" i="9"/>
  <c r="AG429" i="9"/>
  <c r="AG486" i="9"/>
  <c r="AG502" i="9"/>
  <c r="AG518" i="9"/>
  <c r="AG534" i="9"/>
  <c r="AG550" i="9"/>
  <c r="AG566" i="9"/>
  <c r="AG582" i="9"/>
  <c r="AG598" i="9"/>
  <c r="AG66" i="9"/>
  <c r="AG115" i="9"/>
  <c r="AG181" i="9"/>
  <c r="AG201" i="9"/>
  <c r="AG221" i="9"/>
  <c r="AG274" i="9"/>
  <c r="AG292" i="9"/>
  <c r="AG326" i="9"/>
  <c r="AG349" i="9"/>
  <c r="AG402" i="9"/>
  <c r="AG420" i="9"/>
  <c r="AG454" i="9"/>
  <c r="AG477" i="9"/>
  <c r="AG482" i="9"/>
  <c r="AG484" i="9"/>
  <c r="AG493" i="9"/>
  <c r="AG498" i="9"/>
  <c r="AG500" i="9"/>
  <c r="AG509" i="9"/>
  <c r="AG514" i="9"/>
  <c r="AG516" i="9"/>
  <c r="AG525" i="9"/>
  <c r="AG530" i="9"/>
  <c r="AG532" i="9"/>
  <c r="AG541" i="9"/>
  <c r="AG546" i="9"/>
  <c r="AG548" i="9"/>
  <c r="AG557" i="9"/>
  <c r="AG562" i="9"/>
  <c r="AG564" i="9"/>
  <c r="AG573" i="9"/>
  <c r="AG578" i="9"/>
  <c r="AG580" i="9"/>
  <c r="AG589" i="9"/>
  <c r="AG594" i="9"/>
  <c r="AG596" i="9"/>
  <c r="AG605" i="9"/>
  <c r="AG610" i="9"/>
  <c r="AG612" i="9"/>
  <c r="AG614" i="9"/>
  <c r="AG623" i="9"/>
  <c r="AG631" i="9"/>
  <c r="AG57" i="9"/>
  <c r="AG144" i="9"/>
  <c r="AG189" i="9"/>
  <c r="AG214" i="9"/>
  <c r="AG237" i="9"/>
  <c r="AG290" i="9"/>
  <c r="AG308" i="9"/>
  <c r="AG342" i="9"/>
  <c r="AG365" i="9"/>
  <c r="AG418" i="9"/>
  <c r="AG436" i="9"/>
  <c r="AG470" i="9"/>
  <c r="AG478" i="9"/>
  <c r="AG494" i="9"/>
  <c r="AG510" i="9"/>
  <c r="AG526" i="9"/>
  <c r="AG542" i="9"/>
  <c r="AG558" i="9"/>
  <c r="AG574" i="9"/>
  <c r="AG590" i="9"/>
  <c r="AG18" i="9"/>
  <c r="AG129" i="9"/>
  <c r="AG145" i="9"/>
  <c r="AG162" i="9"/>
  <c r="AG184" i="9"/>
  <c r="AG199" i="9"/>
  <c r="AG258" i="9"/>
  <c r="AG276" i="9"/>
  <c r="AG310" i="9"/>
  <c r="AG333" i="9"/>
  <c r="AG386" i="9"/>
  <c r="AG404" i="9"/>
  <c r="AG438" i="9"/>
  <c r="AG461" i="9"/>
  <c r="AG616" i="9"/>
  <c r="AG620" i="9"/>
  <c r="AG105" i="9"/>
  <c r="AG242" i="9"/>
  <c r="AG260" i="9"/>
  <c r="AG452" i="9"/>
  <c r="AG492" i="9"/>
  <c r="AG538" i="9"/>
  <c r="AG565" i="9"/>
  <c r="AG613" i="9"/>
  <c r="AG617" i="9"/>
  <c r="AG629" i="9"/>
  <c r="AG633" i="9"/>
  <c r="AG641" i="9"/>
  <c r="AG649" i="9"/>
  <c r="AG657" i="9"/>
  <c r="AG665" i="9"/>
  <c r="AG673" i="9"/>
  <c r="AG681" i="9"/>
  <c r="AG689" i="9"/>
  <c r="AG697" i="9"/>
  <c r="AG705" i="9"/>
  <c r="AG713" i="9"/>
  <c r="AG721" i="9"/>
  <c r="AG729" i="9"/>
  <c r="AG737" i="9"/>
  <c r="AG745" i="9"/>
  <c r="AG753" i="9"/>
  <c r="AG761" i="9"/>
  <c r="AG769" i="9"/>
  <c r="AG777" i="9"/>
  <c r="AG785" i="9"/>
  <c r="AG793" i="9"/>
  <c r="AG801" i="9"/>
  <c r="AG809" i="9"/>
  <c r="AG817" i="9"/>
  <c r="AG825" i="9"/>
  <c r="AG833" i="9"/>
  <c r="AG841" i="9"/>
  <c r="AG849" i="9"/>
  <c r="AG857" i="9"/>
  <c r="AG151" i="9"/>
  <c r="AG262" i="9"/>
  <c r="AG285" i="9"/>
  <c r="AG294" i="9"/>
  <c r="AG358" i="9"/>
  <c r="AG476" i="9"/>
  <c r="AG522" i="9"/>
  <c r="AG549" i="9"/>
  <c r="AG604" i="9"/>
  <c r="AG624" i="9"/>
  <c r="AG640" i="9"/>
  <c r="AG648" i="9"/>
  <c r="AG656" i="9"/>
  <c r="AG664" i="9"/>
  <c r="AG672" i="9"/>
  <c r="AG680" i="9"/>
  <c r="AG688" i="9"/>
  <c r="AG696" i="9"/>
  <c r="AG704" i="9"/>
  <c r="AG712" i="9"/>
  <c r="AG720" i="9"/>
  <c r="AG728" i="9"/>
  <c r="AG736" i="9"/>
  <c r="AG744" i="9"/>
  <c r="AG752" i="9"/>
  <c r="AG760" i="9"/>
  <c r="AG768" i="9"/>
  <c r="AG776" i="9"/>
  <c r="AG784" i="9"/>
  <c r="AG792" i="9"/>
  <c r="AG800" i="9"/>
  <c r="AG808" i="9"/>
  <c r="AG816" i="9"/>
  <c r="AG824" i="9"/>
  <c r="AG832" i="9"/>
  <c r="AG840" i="9"/>
  <c r="AG848" i="9"/>
  <c r="AG856" i="9"/>
  <c r="AG864" i="9"/>
  <c r="AG872" i="9"/>
  <c r="AG880" i="9"/>
  <c r="AG888" i="9"/>
  <c r="AG896" i="9"/>
  <c r="AG904" i="9"/>
  <c r="AG171" i="9"/>
  <c r="AG196" i="9"/>
  <c r="AG253" i="9"/>
  <c r="AG322" i="9"/>
  <c r="AG340" i="9"/>
  <c r="AG397" i="9"/>
  <c r="AG506" i="9"/>
  <c r="AG533" i="9"/>
  <c r="AG588" i="9"/>
  <c r="AG621" i="9"/>
  <c r="AG628" i="9"/>
  <c r="AG632" i="9"/>
  <c r="AG639" i="9"/>
  <c r="AG647" i="9"/>
  <c r="AG655" i="9"/>
  <c r="AG663" i="9"/>
  <c r="AG671" i="9"/>
  <c r="AG679" i="9"/>
  <c r="AG687" i="9"/>
  <c r="AG695" i="9"/>
  <c r="AG703" i="9"/>
  <c r="AG711" i="9"/>
  <c r="AG719" i="9"/>
  <c r="AG727" i="9"/>
  <c r="AG735" i="9"/>
  <c r="AG743" i="9"/>
  <c r="AG751" i="9"/>
  <c r="AG759" i="9"/>
  <c r="AG767" i="9"/>
  <c r="AG775" i="9"/>
  <c r="AG783" i="9"/>
  <c r="AG791" i="9"/>
  <c r="AG799" i="9"/>
  <c r="AG807" i="9"/>
  <c r="AG815" i="9"/>
  <c r="AG823" i="9"/>
  <c r="AG831" i="9"/>
  <c r="AG839" i="9"/>
  <c r="AG847" i="9"/>
  <c r="AG855" i="9"/>
  <c r="AG863" i="9"/>
  <c r="AG871" i="9"/>
  <c r="AG879" i="9"/>
  <c r="AG887" i="9"/>
  <c r="AG895" i="9"/>
  <c r="AG903" i="9"/>
  <c r="AG911" i="9"/>
  <c r="AG919" i="9"/>
  <c r="AG927" i="9"/>
  <c r="AG212" i="9"/>
  <c r="AG269" i="9"/>
  <c r="AG381" i="9"/>
  <c r="AG450" i="9"/>
  <c r="AG468" i="9"/>
  <c r="AG524" i="9"/>
  <c r="AG570" i="9"/>
  <c r="AG597" i="9"/>
  <c r="AG630" i="9"/>
  <c r="AG635" i="9"/>
  <c r="AG643" i="9"/>
  <c r="AG651" i="9"/>
  <c r="AG659" i="9"/>
  <c r="AG667" i="9"/>
  <c r="AG675" i="9"/>
  <c r="AG683" i="9"/>
  <c r="AG691" i="9"/>
  <c r="AG699" i="9"/>
  <c r="AG707" i="9"/>
  <c r="AG715" i="9"/>
  <c r="AG723" i="9"/>
  <c r="AG731" i="9"/>
  <c r="AG739" i="9"/>
  <c r="AG747" i="9"/>
  <c r="AG755" i="9"/>
  <c r="AG763" i="9"/>
  <c r="AG771" i="9"/>
  <c r="AG779" i="9"/>
  <c r="AG787" i="9"/>
  <c r="AG795" i="9"/>
  <c r="AG803" i="9"/>
  <c r="AG811" i="9"/>
  <c r="AG819" i="9"/>
  <c r="AG827" i="9"/>
  <c r="AG835" i="9"/>
  <c r="AG843" i="9"/>
  <c r="AG851" i="9"/>
  <c r="AG859" i="9"/>
  <c r="AG867" i="9"/>
  <c r="AG875" i="9"/>
  <c r="AG883" i="9"/>
  <c r="AG891" i="9"/>
  <c r="AG899" i="9"/>
  <c r="AG907" i="9"/>
  <c r="AG915" i="9"/>
  <c r="AG923" i="9"/>
  <c r="AG228" i="9"/>
  <c r="AG485" i="9"/>
  <c r="AG646" i="9"/>
  <c r="AG662" i="9"/>
  <c r="AG678" i="9"/>
  <c r="AG694" i="9"/>
  <c r="AG710" i="9"/>
  <c r="AG726" i="9"/>
  <c r="AG742" i="9"/>
  <c r="AG758" i="9"/>
  <c r="AG774" i="9"/>
  <c r="AG790" i="9"/>
  <c r="AG806" i="9"/>
  <c r="AG822" i="9"/>
  <c r="AG838" i="9"/>
  <c r="AG854" i="9"/>
  <c r="AG866" i="9"/>
  <c r="AG111" i="9"/>
  <c r="AG157" i="9"/>
  <c r="AG190" i="9"/>
  <c r="AG210" i="9"/>
  <c r="AG230" i="9"/>
  <c r="AG370" i="9"/>
  <c r="AG388" i="9"/>
  <c r="AG637" i="9"/>
  <c r="AG642" i="9"/>
  <c r="AG644" i="9"/>
  <c r="AG653" i="9"/>
  <c r="AG658" i="9"/>
  <c r="AG660" i="9"/>
  <c r="AG669" i="9"/>
  <c r="AG674" i="9"/>
  <c r="AG676" i="9"/>
  <c r="AG685" i="9"/>
  <c r="AG690" i="9"/>
  <c r="AG692" i="9"/>
  <c r="AG701" i="9"/>
  <c r="AG706" i="9"/>
  <c r="AG708" i="9"/>
  <c r="AG717" i="9"/>
  <c r="AG722" i="9"/>
  <c r="AG724" i="9"/>
  <c r="AG733" i="9"/>
  <c r="AG738" i="9"/>
  <c r="AG740" i="9"/>
  <c r="AG749" i="9"/>
  <c r="AG754" i="9"/>
  <c r="AG756" i="9"/>
  <c r="AG765" i="9"/>
  <c r="AG770" i="9"/>
  <c r="AG772" i="9"/>
  <c r="AG781" i="9"/>
  <c r="AG786" i="9"/>
  <c r="AG788" i="9"/>
  <c r="AG797" i="9"/>
  <c r="AG802" i="9"/>
  <c r="AG804" i="9"/>
  <c r="AG813" i="9"/>
  <c r="AG818" i="9"/>
  <c r="AG820" i="9"/>
  <c r="AG829" i="9"/>
  <c r="AG834" i="9"/>
  <c r="AG836" i="9"/>
  <c r="AG845" i="9"/>
  <c r="AG850" i="9"/>
  <c r="AG852" i="9"/>
  <c r="AG877" i="9"/>
  <c r="AG890" i="9"/>
  <c r="AG914" i="9"/>
  <c r="AG917" i="9"/>
  <c r="AG920" i="9"/>
  <c r="AG932" i="9"/>
  <c r="AG940" i="9"/>
  <c r="AG246" i="9"/>
  <c r="AG324" i="9"/>
  <c r="AG434" i="9"/>
  <c r="AG606" i="9"/>
  <c r="AG869" i="9"/>
  <c r="AG882" i="9"/>
  <c r="AG900" i="9"/>
  <c r="AG902" i="9"/>
  <c r="AG918" i="9"/>
  <c r="AG921" i="9"/>
  <c r="AG924" i="9"/>
  <c r="AG935" i="9"/>
  <c r="AG943" i="9"/>
  <c r="AG42" i="9"/>
  <c r="AG306" i="9"/>
  <c r="AG422" i="9"/>
  <c r="AG474" i="9"/>
  <c r="AG508" i="9"/>
  <c r="AG540" i="9"/>
  <c r="AG554" i="9"/>
  <c r="AG586" i="9"/>
  <c r="AG626" i="9"/>
  <c r="AG860" i="9"/>
  <c r="AG862" i="9"/>
  <c r="AG873" i="9"/>
  <c r="AG893" i="9"/>
  <c r="AG906" i="9"/>
  <c r="AG909" i="9"/>
  <c r="AG912" i="9"/>
  <c r="AG934" i="9"/>
  <c r="AG942" i="9"/>
  <c r="AG950" i="9"/>
  <c r="AG117" i="9"/>
  <c r="AG338" i="9"/>
  <c r="AG572" i="9"/>
  <c r="AG634" i="9"/>
  <c r="AG638" i="9"/>
  <c r="AG661" i="9"/>
  <c r="AG666" i="9"/>
  <c r="AG670" i="9"/>
  <c r="AG693" i="9"/>
  <c r="AG698" i="9"/>
  <c r="AG702" i="9"/>
  <c r="AG725" i="9"/>
  <c r="AG730" i="9"/>
  <c r="AG734" i="9"/>
  <c r="AG757" i="9"/>
  <c r="AG762" i="9"/>
  <c r="AG766" i="9"/>
  <c r="AG789" i="9"/>
  <c r="AG794" i="9"/>
  <c r="AG798" i="9"/>
  <c r="AG821" i="9"/>
  <c r="AG826" i="9"/>
  <c r="AG830" i="9"/>
  <c r="AG853" i="9"/>
  <c r="AG858" i="9"/>
  <c r="AG870" i="9"/>
  <c r="AG901" i="9"/>
  <c r="AG922" i="9"/>
  <c r="AG930" i="9"/>
  <c r="AG939" i="9"/>
  <c r="AG941" i="9"/>
  <c r="AG946" i="9"/>
  <c r="AG962" i="9"/>
  <c r="AG970" i="9"/>
  <c r="AG978" i="9"/>
  <c r="AG986" i="9"/>
  <c r="AG994" i="9"/>
  <c r="AG1002" i="9"/>
  <c r="AG1010" i="9"/>
  <c r="AG1018" i="9"/>
  <c r="AG1026" i="9"/>
  <c r="AG1034" i="9"/>
  <c r="AG1042" i="9"/>
  <c r="AG1050" i="9"/>
  <c r="AG1058" i="9"/>
  <c r="AG1066" i="9"/>
  <c r="AG1074" i="9"/>
  <c r="AG652" i="9"/>
  <c r="AG684" i="9"/>
  <c r="AG716" i="9"/>
  <c r="AG748" i="9"/>
  <c r="AG780" i="9"/>
  <c r="AG812" i="9"/>
  <c r="AG844" i="9"/>
  <c r="AG876" i="9"/>
  <c r="AG885" i="9"/>
  <c r="AG908" i="9"/>
  <c r="AG954" i="9"/>
  <c r="AG961" i="9"/>
  <c r="AG969" i="9"/>
  <c r="AG977" i="9"/>
  <c r="AG985" i="9"/>
  <c r="AG993" i="9"/>
  <c r="AG1001" i="9"/>
  <c r="AG1009" i="9"/>
  <c r="AG1017" i="9"/>
  <c r="AG1025" i="9"/>
  <c r="AG1033" i="9"/>
  <c r="AG1041" i="9"/>
  <c r="AG1049" i="9"/>
  <c r="AG1057" i="9"/>
  <c r="AG1065" i="9"/>
  <c r="AG1073" i="9"/>
  <c r="AG390" i="9"/>
  <c r="AG466" i="9"/>
  <c r="AG490" i="9"/>
  <c r="AG618" i="9"/>
  <c r="AG874" i="9"/>
  <c r="AG905" i="9"/>
  <c r="AG913" i="9"/>
  <c r="AG936" i="9"/>
  <c r="AG945" i="9"/>
  <c r="AG949" i="9"/>
  <c r="AG953" i="9"/>
  <c r="AG960" i="9"/>
  <c r="AG968" i="9"/>
  <c r="AG976" i="9"/>
  <c r="AG984" i="9"/>
  <c r="AG992" i="9"/>
  <c r="AG1000" i="9"/>
  <c r="AG1008" i="9"/>
  <c r="AG1016" i="9"/>
  <c r="AG1024" i="9"/>
  <c r="AG1032" i="9"/>
  <c r="AG1040" i="9"/>
  <c r="AG1048" i="9"/>
  <c r="AG1056" i="9"/>
  <c r="AG1064" i="9"/>
  <c r="AG1072" i="9"/>
  <c r="AG374" i="9"/>
  <c r="AG627" i="9"/>
  <c r="AG881" i="9"/>
  <c r="AG892" i="9"/>
  <c r="AG926" i="9"/>
  <c r="AG937" i="9"/>
  <c r="AG947" i="9"/>
  <c r="AG951" i="9"/>
  <c r="AG956" i="9"/>
  <c r="AG964" i="9"/>
  <c r="AG972" i="9"/>
  <c r="AG980" i="9"/>
  <c r="AG988" i="9"/>
  <c r="AG996" i="9"/>
  <c r="AG1004" i="9"/>
  <c r="AG1012" i="9"/>
  <c r="AG1020" i="9"/>
  <c r="AG1028" i="9"/>
  <c r="AG1036" i="9"/>
  <c r="AG1044" i="9"/>
  <c r="AG1052" i="9"/>
  <c r="AG1060" i="9"/>
  <c r="AG1068" i="9"/>
  <c r="AG1076" i="9"/>
  <c r="AG2" i="9"/>
  <c r="AG413" i="9"/>
  <c r="AG445" i="9"/>
  <c r="AG501" i="9"/>
  <c r="AG615" i="9"/>
  <c r="AG622" i="9"/>
  <c r="AG861" i="9"/>
  <c r="AG865" i="9"/>
  <c r="AG878" i="9"/>
  <c r="AG884" i="9"/>
  <c r="AG898" i="9"/>
  <c r="AG910" i="9"/>
  <c r="AG928" i="9"/>
  <c r="AG955" i="9"/>
  <c r="AG963" i="9"/>
  <c r="AG971" i="9"/>
  <c r="AG979" i="9"/>
  <c r="AG987" i="9"/>
  <c r="AG995" i="9"/>
  <c r="AG1003" i="9"/>
  <c r="AG1011" i="9"/>
  <c r="AG1019" i="9"/>
  <c r="AG1027" i="9"/>
  <c r="AG1035" i="9"/>
  <c r="AG1043" i="9"/>
  <c r="AG1051" i="9"/>
  <c r="AG1059" i="9"/>
  <c r="AG1067" i="9"/>
  <c r="AG1075" i="9"/>
  <c r="AG645" i="9"/>
  <c r="AG782" i="9"/>
  <c r="AG828" i="9"/>
  <c r="AG842" i="9"/>
  <c r="AG894" i="9"/>
  <c r="AG965" i="9"/>
  <c r="AG974" i="9"/>
  <c r="AG983" i="9"/>
  <c r="AG1029" i="9"/>
  <c r="AG1038" i="9"/>
  <c r="AG1047" i="9"/>
  <c r="AG317" i="9"/>
  <c r="AG556" i="9"/>
  <c r="AG625" i="9"/>
  <c r="AG686" i="9"/>
  <c r="AG732" i="9"/>
  <c r="AG746" i="9"/>
  <c r="AG805" i="9"/>
  <c r="AG959" i="9"/>
  <c r="AG1005" i="9"/>
  <c r="AG1014" i="9"/>
  <c r="AG1023" i="9"/>
  <c r="AG1069" i="9"/>
  <c r="AG1078" i="9"/>
  <c r="AG356" i="9"/>
  <c r="AG602" i="9"/>
  <c r="AG636" i="9"/>
  <c r="AG650" i="9"/>
  <c r="AG709" i="9"/>
  <c r="AG846" i="9"/>
  <c r="AG889" i="9"/>
  <c r="AG916" i="9"/>
  <c r="AG981" i="9"/>
  <c r="AG990" i="9"/>
  <c r="AG999" i="9"/>
  <c r="AG1045" i="9"/>
  <c r="AG1054" i="9"/>
  <c r="AG1063" i="9"/>
  <c r="AG581" i="9"/>
  <c r="AG718" i="9"/>
  <c r="AG764" i="9"/>
  <c r="AG778" i="9"/>
  <c r="AG837" i="9"/>
  <c r="AG944" i="9"/>
  <c r="AG958" i="9"/>
  <c r="AG967" i="9"/>
  <c r="AG1013" i="9"/>
  <c r="AG1022" i="9"/>
  <c r="AG1031" i="9"/>
  <c r="AG1077" i="9"/>
  <c r="AG158" i="9"/>
  <c r="AG682" i="9"/>
  <c r="AG714" i="9"/>
  <c r="AG810" i="9"/>
  <c r="AG948" i="9"/>
  <c r="AG1030" i="9"/>
  <c r="AG1071" i="9"/>
  <c r="AG933" i="9"/>
  <c r="AG957" i="9"/>
  <c r="AG975" i="9"/>
  <c r="AG1006" i="9"/>
  <c r="AG1037" i="9"/>
  <c r="AG814" i="9"/>
  <c r="AG897" i="9"/>
  <c r="AG1055" i="9"/>
  <c r="AG1061" i="9"/>
  <c r="AG991" i="9"/>
  <c r="AG997" i="9"/>
  <c r="AG1015" i="9"/>
  <c r="AG931" i="9"/>
  <c r="AG989" i="9"/>
  <c r="AG677" i="9"/>
  <c r="AG966" i="9"/>
  <c r="AG1039" i="9"/>
  <c r="AG1062" i="9"/>
  <c r="AG925" i="9"/>
  <c r="AG973" i="9"/>
  <c r="AG1070" i="9"/>
  <c r="AG668" i="9"/>
  <c r="AG773" i="9"/>
  <c r="AG929" i="9"/>
  <c r="AG998" i="9"/>
  <c r="AG1046" i="9"/>
  <c r="AG654" i="9"/>
  <c r="AG741" i="9"/>
  <c r="AG952" i="9"/>
  <c r="AG982" i="9"/>
  <c r="AG700" i="9"/>
  <c r="AG1053" i="9"/>
  <c r="AG750" i="9"/>
  <c r="AG517" i="9"/>
  <c r="AG938" i="9"/>
  <c r="AG796" i="9"/>
  <c r="AG1007" i="9"/>
  <c r="AG868" i="9"/>
  <c r="AG1021" i="9"/>
  <c r="AG886" i="9"/>
  <c r="Q1432" i="2"/>
  <c r="AE1453" i="2"/>
  <c r="Z1438" i="2" s="1"/>
  <c r="AV1498" i="2"/>
  <c r="AU1498" i="2"/>
  <c r="AW1498" i="2"/>
  <c r="BE1498" i="2"/>
  <c r="H1374" i="2"/>
  <c r="H1498" i="2" s="1"/>
  <c r="K1374" i="2"/>
  <c r="K1498" i="2" s="1"/>
  <c r="G1374" i="2"/>
  <c r="J1374" i="2"/>
  <c r="J1498" i="2" s="1"/>
  <c r="D126" i="20"/>
  <c r="C1575" i="2"/>
  <c r="I1374" i="2"/>
  <c r="I1498" i="2" s="1"/>
  <c r="D127" i="20"/>
  <c r="R1361" i="2"/>
  <c r="C1622" i="2"/>
  <c r="Q1361" i="2"/>
  <c r="P1361" i="2" s="1"/>
  <c r="J1664" i="2"/>
  <c r="D128" i="20"/>
  <c r="N1374" i="2"/>
  <c r="M1374" i="2" s="1"/>
  <c r="Q1374" i="2"/>
  <c r="P1374" i="2" s="1"/>
  <c r="D129" i="20"/>
  <c r="Q1381" i="2"/>
  <c r="J1696" i="2"/>
  <c r="AE1445" i="2"/>
  <c r="W1437" i="2" s="1"/>
  <c r="Q1447" i="2"/>
  <c r="U1437" i="2" s="1"/>
  <c r="Q1427" i="2"/>
  <c r="AE12" i="9"/>
  <c r="AE20" i="9"/>
  <c r="AE4" i="9"/>
  <c r="AE11" i="9"/>
  <c r="AE19" i="9"/>
  <c r="AE6" i="9"/>
  <c r="AE14" i="9"/>
  <c r="AE7" i="9"/>
  <c r="AE9" i="9"/>
  <c r="AE8" i="9"/>
  <c r="AE10" i="9"/>
  <c r="AE24" i="9"/>
  <c r="AE32" i="9"/>
  <c r="AE38" i="9"/>
  <c r="AE46" i="9"/>
  <c r="AE54" i="9"/>
  <c r="AE62" i="9"/>
  <c r="AE70" i="9"/>
  <c r="AE78" i="9"/>
  <c r="AE86" i="9"/>
  <c r="AE92" i="9"/>
  <c r="AE100" i="9"/>
  <c r="AE108" i="9"/>
  <c r="AE116" i="9"/>
  <c r="AE124" i="9"/>
  <c r="AE132" i="9"/>
  <c r="AE140" i="9"/>
  <c r="AE146" i="9"/>
  <c r="AE154" i="9"/>
  <c r="AE23" i="9"/>
  <c r="AE31" i="9"/>
  <c r="AE45" i="9"/>
  <c r="AE53" i="9"/>
  <c r="AE61" i="9"/>
  <c r="AE69" i="9"/>
  <c r="AE77" i="9"/>
  <c r="AE85" i="9"/>
  <c r="AE16" i="9"/>
  <c r="AE22" i="9"/>
  <c r="AE30" i="9"/>
  <c r="AE44" i="9"/>
  <c r="AE52" i="9"/>
  <c r="AE60" i="9"/>
  <c r="AE68" i="9"/>
  <c r="AE76" i="9"/>
  <c r="AE84" i="9"/>
  <c r="AE90" i="9"/>
  <c r="AE98" i="9"/>
  <c r="AE106" i="9"/>
  <c r="AE114" i="9"/>
  <c r="AE122" i="9"/>
  <c r="AE130" i="9"/>
  <c r="AE17" i="9"/>
  <c r="AE25" i="9"/>
  <c r="AE29" i="9"/>
  <c r="AE73" i="9"/>
  <c r="AE80" i="9"/>
  <c r="AE82" i="9"/>
  <c r="AE87" i="9"/>
  <c r="AE89" i="9"/>
  <c r="AE5" i="9"/>
  <c r="AE35" i="9"/>
  <c r="AE40" i="9"/>
  <c r="AE42" i="9"/>
  <c r="AE47" i="9"/>
  <c r="AE51" i="9"/>
  <c r="AE103" i="9"/>
  <c r="AE112" i="9"/>
  <c r="AE118" i="9"/>
  <c r="AE135" i="9"/>
  <c r="AE139" i="9"/>
  <c r="AE158" i="9"/>
  <c r="AE165" i="9"/>
  <c r="AE173" i="9"/>
  <c r="AE181" i="9"/>
  <c r="AE189" i="9"/>
  <c r="AE195" i="9"/>
  <c r="AE203" i="9"/>
  <c r="AE2" i="9"/>
  <c r="AE15" i="9"/>
  <c r="AE57" i="9"/>
  <c r="AE64" i="9"/>
  <c r="AE66" i="9"/>
  <c r="AE71" i="9"/>
  <c r="AE75" i="9"/>
  <c r="AE97" i="9"/>
  <c r="AE109" i="9"/>
  <c r="AE115" i="9"/>
  <c r="AE129" i="9"/>
  <c r="AE145" i="9"/>
  <c r="AE149" i="9"/>
  <c r="AE164" i="9"/>
  <c r="AE172" i="9"/>
  <c r="AE180" i="9"/>
  <c r="AE188" i="9"/>
  <c r="AE49" i="9"/>
  <c r="AE56" i="9"/>
  <c r="AE58" i="9"/>
  <c r="AE63" i="9"/>
  <c r="AE67" i="9"/>
  <c r="AE95" i="9"/>
  <c r="AE104" i="9"/>
  <c r="AE110" i="9"/>
  <c r="AE127" i="9"/>
  <c r="AE136" i="9"/>
  <c r="AE147" i="9"/>
  <c r="AE159" i="9"/>
  <c r="AE167" i="9"/>
  <c r="AE175" i="9"/>
  <c r="AE183" i="9"/>
  <c r="AE36" i="9"/>
  <c r="AE96" i="9"/>
  <c r="AE125" i="9"/>
  <c r="AE141" i="9"/>
  <c r="AE152" i="9"/>
  <c r="AE168" i="9"/>
  <c r="AE170" i="9"/>
  <c r="AE179" i="9"/>
  <c r="AE202" i="9"/>
  <c r="AE207" i="9"/>
  <c r="AE215" i="9"/>
  <c r="AE223" i="9"/>
  <c r="AE231" i="9"/>
  <c r="AE239" i="9"/>
  <c r="AE247" i="9"/>
  <c r="AE255" i="9"/>
  <c r="AE263" i="9"/>
  <c r="AE271" i="9"/>
  <c r="AE279" i="9"/>
  <c r="AE287" i="9"/>
  <c r="AE295" i="9"/>
  <c r="AE303" i="9"/>
  <c r="AE311" i="9"/>
  <c r="AE319" i="9"/>
  <c r="AE327" i="9"/>
  <c r="AE335" i="9"/>
  <c r="AE343" i="9"/>
  <c r="AE351" i="9"/>
  <c r="AE359" i="9"/>
  <c r="AE367" i="9"/>
  <c r="AE375" i="9"/>
  <c r="AE383" i="9"/>
  <c r="AE391" i="9"/>
  <c r="AE399" i="9"/>
  <c r="AE407" i="9"/>
  <c r="AE415" i="9"/>
  <c r="AE423" i="9"/>
  <c r="AE431" i="9"/>
  <c r="AE439" i="9"/>
  <c r="AE447" i="9"/>
  <c r="AE455" i="9"/>
  <c r="AE463" i="9"/>
  <c r="AE471" i="9"/>
  <c r="AE18" i="9"/>
  <c r="AE26" i="9"/>
  <c r="AE37" i="9"/>
  <c r="AE93" i="9"/>
  <c r="AE123" i="9"/>
  <c r="AE144" i="9"/>
  <c r="AE150" i="9"/>
  <c r="AE157" i="9"/>
  <c r="AE161" i="9"/>
  <c r="AE166" i="9"/>
  <c r="AE191" i="9"/>
  <c r="AE206" i="9"/>
  <c r="AE214" i="9"/>
  <c r="AE222" i="9"/>
  <c r="AE230" i="9"/>
  <c r="AE238" i="9"/>
  <c r="AE246" i="9"/>
  <c r="AE254" i="9"/>
  <c r="AE262" i="9"/>
  <c r="AE270" i="9"/>
  <c r="AE278" i="9"/>
  <c r="AE286" i="9"/>
  <c r="AE294" i="9"/>
  <c r="AE302" i="9"/>
  <c r="AE310" i="9"/>
  <c r="AE318" i="9"/>
  <c r="AE326" i="9"/>
  <c r="AE334" i="9"/>
  <c r="AE342" i="9"/>
  <c r="AE350" i="9"/>
  <c r="AE358" i="9"/>
  <c r="AE366" i="9"/>
  <c r="AE374" i="9"/>
  <c r="AE382" i="9"/>
  <c r="AE390" i="9"/>
  <c r="AE398" i="9"/>
  <c r="AE406" i="9"/>
  <c r="AE414" i="9"/>
  <c r="AE422" i="9"/>
  <c r="AE430" i="9"/>
  <c r="AE438" i="9"/>
  <c r="AE446" i="9"/>
  <c r="AE454" i="9"/>
  <c r="AE462" i="9"/>
  <c r="AE470" i="9"/>
  <c r="AE33" i="9"/>
  <c r="AE50" i="9"/>
  <c r="AE88" i="9"/>
  <c r="AE91" i="9"/>
  <c r="AE99" i="9"/>
  <c r="AE102" i="9"/>
  <c r="AE105" i="9"/>
  <c r="AE119" i="9"/>
  <c r="AE128" i="9"/>
  <c r="AE148" i="9"/>
  <c r="AE163" i="9"/>
  <c r="AE185" i="9"/>
  <c r="AE197" i="9"/>
  <c r="AE201" i="9"/>
  <c r="AE213" i="9"/>
  <c r="AE221" i="9"/>
  <c r="AE229" i="9"/>
  <c r="AE237" i="9"/>
  <c r="AE245" i="9"/>
  <c r="AE253" i="9"/>
  <c r="AE261" i="9"/>
  <c r="AE269" i="9"/>
  <c r="AE277" i="9"/>
  <c r="AE285" i="9"/>
  <c r="AE293" i="9"/>
  <c r="AE301" i="9"/>
  <c r="AE309" i="9"/>
  <c r="AE317" i="9"/>
  <c r="AE325" i="9"/>
  <c r="AE333" i="9"/>
  <c r="AE341" i="9"/>
  <c r="AE349" i="9"/>
  <c r="AE357" i="9"/>
  <c r="AE365" i="9"/>
  <c r="AE373" i="9"/>
  <c r="AE381" i="9"/>
  <c r="AE389" i="9"/>
  <c r="AE397" i="9"/>
  <c r="AE405" i="9"/>
  <c r="AE413" i="9"/>
  <c r="AE421" i="9"/>
  <c r="AE429" i="9"/>
  <c r="AE437" i="9"/>
  <c r="AE445" i="9"/>
  <c r="AE453" i="9"/>
  <c r="AE461" i="9"/>
  <c r="AE469" i="9"/>
  <c r="AE28" i="9"/>
  <c r="AE48" i="9"/>
  <c r="AE74" i="9"/>
  <c r="AE81" i="9"/>
  <c r="AE120" i="9"/>
  <c r="AE131" i="9"/>
  <c r="AE184" i="9"/>
  <c r="AE186" i="9"/>
  <c r="AE192" i="9"/>
  <c r="AE209" i="9"/>
  <c r="AE217" i="9"/>
  <c r="AE225" i="9"/>
  <c r="AE233" i="9"/>
  <c r="AE241" i="9"/>
  <c r="AE249" i="9"/>
  <c r="AE257" i="9"/>
  <c r="AE265" i="9"/>
  <c r="AE273" i="9"/>
  <c r="AE281" i="9"/>
  <c r="AE289" i="9"/>
  <c r="AE297" i="9"/>
  <c r="AE305" i="9"/>
  <c r="AE313" i="9"/>
  <c r="AE321" i="9"/>
  <c r="AE329" i="9"/>
  <c r="AE337" i="9"/>
  <c r="AE345" i="9"/>
  <c r="AE353" i="9"/>
  <c r="AE361" i="9"/>
  <c r="AE369" i="9"/>
  <c r="AE377" i="9"/>
  <c r="AE385" i="9"/>
  <c r="AE393" i="9"/>
  <c r="AE401" i="9"/>
  <c r="AE409" i="9"/>
  <c r="AE417" i="9"/>
  <c r="AE425" i="9"/>
  <c r="AE433" i="9"/>
  <c r="AE441" i="9"/>
  <c r="AE449" i="9"/>
  <c r="AE457" i="9"/>
  <c r="AE465" i="9"/>
  <c r="AE94" i="9"/>
  <c r="AE113" i="9"/>
  <c r="AE126" i="9"/>
  <c r="AE178" i="9"/>
  <c r="AE193" i="9"/>
  <c r="AE211" i="9"/>
  <c r="AE218" i="9"/>
  <c r="AE227" i="9"/>
  <c r="AE234" i="9"/>
  <c r="AE243" i="9"/>
  <c r="AE250" i="9"/>
  <c r="AE259" i="9"/>
  <c r="AE266" i="9"/>
  <c r="AE275" i="9"/>
  <c r="AE282" i="9"/>
  <c r="AE291" i="9"/>
  <c r="AE298" i="9"/>
  <c r="AE307" i="9"/>
  <c r="AE314" i="9"/>
  <c r="AE323" i="9"/>
  <c r="AE330" i="9"/>
  <c r="AE339" i="9"/>
  <c r="AE346" i="9"/>
  <c r="AE355" i="9"/>
  <c r="AE362" i="9"/>
  <c r="AE371" i="9"/>
  <c r="AE378" i="9"/>
  <c r="AE387" i="9"/>
  <c r="AE394" i="9"/>
  <c r="AE403" i="9"/>
  <c r="AE410" i="9"/>
  <c r="AE419" i="9"/>
  <c r="AE426" i="9"/>
  <c r="AE435" i="9"/>
  <c r="AE442" i="9"/>
  <c r="AE451" i="9"/>
  <c r="AE458" i="9"/>
  <c r="AE467" i="9"/>
  <c r="AE479" i="9"/>
  <c r="AE487" i="9"/>
  <c r="AE495" i="9"/>
  <c r="AE503" i="9"/>
  <c r="AE511" i="9"/>
  <c r="AE519" i="9"/>
  <c r="AE527" i="9"/>
  <c r="AE535" i="9"/>
  <c r="AE543" i="9"/>
  <c r="AE551" i="9"/>
  <c r="AE559" i="9"/>
  <c r="AE567" i="9"/>
  <c r="AE575" i="9"/>
  <c r="AE583" i="9"/>
  <c r="AE591" i="9"/>
  <c r="AE599" i="9"/>
  <c r="AE607" i="9"/>
  <c r="AE43" i="9"/>
  <c r="AE143" i="9"/>
  <c r="AE198" i="9"/>
  <c r="AE478" i="9"/>
  <c r="AE486" i="9"/>
  <c r="AE494" i="9"/>
  <c r="AE502" i="9"/>
  <c r="AE510" i="9"/>
  <c r="AE518" i="9"/>
  <c r="AE526" i="9"/>
  <c r="AE534" i="9"/>
  <c r="AE542" i="9"/>
  <c r="AE550" i="9"/>
  <c r="AE558" i="9"/>
  <c r="AE566" i="9"/>
  <c r="AE574" i="9"/>
  <c r="AE582" i="9"/>
  <c r="AE590" i="9"/>
  <c r="AE598" i="9"/>
  <c r="AE606" i="9"/>
  <c r="AE151" i="9"/>
  <c r="AE155" i="9"/>
  <c r="AE160" i="9"/>
  <c r="AE174" i="9"/>
  <c r="AE196" i="9"/>
  <c r="AE204" i="9"/>
  <c r="AE477" i="9"/>
  <c r="AE485" i="9"/>
  <c r="AE493" i="9"/>
  <c r="AE501" i="9"/>
  <c r="AE509" i="9"/>
  <c r="AE517" i="9"/>
  <c r="AE525" i="9"/>
  <c r="AE533" i="9"/>
  <c r="AE541" i="9"/>
  <c r="AE549" i="9"/>
  <c r="AE557" i="9"/>
  <c r="AE565" i="9"/>
  <c r="AE573" i="9"/>
  <c r="AE581" i="9"/>
  <c r="AE589" i="9"/>
  <c r="AE597" i="9"/>
  <c r="AE605" i="9"/>
  <c r="AE613" i="9"/>
  <c r="AE117" i="9"/>
  <c r="AE133" i="9"/>
  <c r="AE153" i="9"/>
  <c r="AE162" i="9"/>
  <c r="AE187" i="9"/>
  <c r="AE190" i="9"/>
  <c r="AE473" i="9"/>
  <c r="AE481" i="9"/>
  <c r="AE489" i="9"/>
  <c r="AE497" i="9"/>
  <c r="AE505" i="9"/>
  <c r="AE513" i="9"/>
  <c r="AE521" i="9"/>
  <c r="AE529" i="9"/>
  <c r="AE537" i="9"/>
  <c r="AE545" i="9"/>
  <c r="AE553" i="9"/>
  <c r="AE561" i="9"/>
  <c r="AE569" i="9"/>
  <c r="AE577" i="9"/>
  <c r="AE585" i="9"/>
  <c r="AE593" i="9"/>
  <c r="AE601" i="9"/>
  <c r="AE609" i="9"/>
  <c r="AE617" i="9"/>
  <c r="AE65" i="9"/>
  <c r="AE101" i="9"/>
  <c r="AE121" i="9"/>
  <c r="AE212" i="9"/>
  <c r="AE235" i="9"/>
  <c r="AE240" i="9"/>
  <c r="AE264" i="9"/>
  <c r="AE268" i="9"/>
  <c r="AE274" i="9"/>
  <c r="AE340" i="9"/>
  <c r="AE363" i="9"/>
  <c r="AE368" i="9"/>
  <c r="AE392" i="9"/>
  <c r="AE396" i="9"/>
  <c r="AE402" i="9"/>
  <c r="AE468" i="9"/>
  <c r="AE475" i="9"/>
  <c r="AE482" i="9"/>
  <c r="AE491" i="9"/>
  <c r="AE498" i="9"/>
  <c r="AE507" i="9"/>
  <c r="AE514" i="9"/>
  <c r="AE523" i="9"/>
  <c r="AE530" i="9"/>
  <c r="AE539" i="9"/>
  <c r="AE546" i="9"/>
  <c r="AE555" i="9"/>
  <c r="AE562" i="9"/>
  <c r="AE571" i="9"/>
  <c r="AE578" i="9"/>
  <c r="AE587" i="9"/>
  <c r="AE594" i="9"/>
  <c r="AE603" i="9"/>
  <c r="AE27" i="9"/>
  <c r="AE83" i="9"/>
  <c r="AE142" i="9"/>
  <c r="AE156" i="9"/>
  <c r="AE260" i="9"/>
  <c r="AE283" i="9"/>
  <c r="AE288" i="9"/>
  <c r="AE312" i="9"/>
  <c r="AE316" i="9"/>
  <c r="AE322" i="9"/>
  <c r="AE388" i="9"/>
  <c r="AE411" i="9"/>
  <c r="AE416" i="9"/>
  <c r="AE440" i="9"/>
  <c r="AE444" i="9"/>
  <c r="AE450" i="9"/>
  <c r="AE618" i="9"/>
  <c r="AE629" i="9"/>
  <c r="AE13" i="9"/>
  <c r="AE107" i="9"/>
  <c r="AE137" i="9"/>
  <c r="AE210" i="9"/>
  <c r="AE276" i="9"/>
  <c r="AE299" i="9"/>
  <c r="AE304" i="9"/>
  <c r="AE328" i="9"/>
  <c r="AE332" i="9"/>
  <c r="AE338" i="9"/>
  <c r="AE404" i="9"/>
  <c r="AE427" i="9"/>
  <c r="AE432" i="9"/>
  <c r="AE456" i="9"/>
  <c r="AE460" i="9"/>
  <c r="AE466" i="9"/>
  <c r="AE474" i="9"/>
  <c r="AE483" i="9"/>
  <c r="AE490" i="9"/>
  <c r="AE499" i="9"/>
  <c r="AE506" i="9"/>
  <c r="AE515" i="9"/>
  <c r="AE522" i="9"/>
  <c r="AE531" i="9"/>
  <c r="AE538" i="9"/>
  <c r="AE547" i="9"/>
  <c r="AE554" i="9"/>
  <c r="AE563" i="9"/>
  <c r="AE570" i="9"/>
  <c r="AE579" i="9"/>
  <c r="AE586" i="9"/>
  <c r="AE595" i="9"/>
  <c r="AE602" i="9"/>
  <c r="AE111" i="9"/>
  <c r="AE171" i="9"/>
  <c r="AE177" i="9"/>
  <c r="AE194" i="9"/>
  <c r="AE244" i="9"/>
  <c r="AE267" i="9"/>
  <c r="AE272" i="9"/>
  <c r="AE296" i="9"/>
  <c r="AE300" i="9"/>
  <c r="AE306" i="9"/>
  <c r="AE372" i="9"/>
  <c r="AE395" i="9"/>
  <c r="AE400" i="9"/>
  <c r="AE424" i="9"/>
  <c r="AE428" i="9"/>
  <c r="AE434" i="9"/>
  <c r="AE615" i="9"/>
  <c r="AE624" i="9"/>
  <c r="AE59" i="9"/>
  <c r="AE182" i="9"/>
  <c r="AE205" i="9"/>
  <c r="AE226" i="9"/>
  <c r="AE251" i="9"/>
  <c r="AE284" i="9"/>
  <c r="AE348" i="9"/>
  <c r="AE476" i="9"/>
  <c r="AE488" i="9"/>
  <c r="AE532" i="9"/>
  <c r="AE560" i="9"/>
  <c r="AE604" i="9"/>
  <c r="AE619" i="9"/>
  <c r="AE621" i="9"/>
  <c r="AE628" i="9"/>
  <c r="AE632" i="9"/>
  <c r="AE639" i="9"/>
  <c r="AE647" i="9"/>
  <c r="AE655" i="9"/>
  <c r="AE663" i="9"/>
  <c r="AE671" i="9"/>
  <c r="AE679" i="9"/>
  <c r="AE687" i="9"/>
  <c r="AE695" i="9"/>
  <c r="AE703" i="9"/>
  <c r="AE711" i="9"/>
  <c r="AE719" i="9"/>
  <c r="AE727" i="9"/>
  <c r="AE735" i="9"/>
  <c r="AE743" i="9"/>
  <c r="AE751" i="9"/>
  <c r="AE759" i="9"/>
  <c r="AE767" i="9"/>
  <c r="AE775" i="9"/>
  <c r="AE783" i="9"/>
  <c r="AE791" i="9"/>
  <c r="AE799" i="9"/>
  <c r="AE807" i="9"/>
  <c r="AE815" i="9"/>
  <c r="AE823" i="9"/>
  <c r="AE831" i="9"/>
  <c r="AE839" i="9"/>
  <c r="AE847" i="9"/>
  <c r="AE855" i="9"/>
  <c r="AE34" i="9"/>
  <c r="AE169" i="9"/>
  <c r="AE208" i="9"/>
  <c r="AE216" i="9"/>
  <c r="AE252" i="9"/>
  <c r="AE320" i="9"/>
  <c r="AE376" i="9"/>
  <c r="AE384" i="9"/>
  <c r="AE408" i="9"/>
  <c r="AE418" i="9"/>
  <c r="AE436" i="9"/>
  <c r="AE443" i="9"/>
  <c r="AE464" i="9"/>
  <c r="AE472" i="9"/>
  <c r="AE516" i="9"/>
  <c r="AE544" i="9"/>
  <c r="AE588" i="9"/>
  <c r="AE600" i="9"/>
  <c r="AE611" i="9"/>
  <c r="AE638" i="9"/>
  <c r="AE646" i="9"/>
  <c r="AE654" i="9"/>
  <c r="AE662" i="9"/>
  <c r="AE670" i="9"/>
  <c r="AE678" i="9"/>
  <c r="AE686" i="9"/>
  <c r="AE694" i="9"/>
  <c r="AE702" i="9"/>
  <c r="AE710" i="9"/>
  <c r="AE718" i="9"/>
  <c r="AE726" i="9"/>
  <c r="AE734" i="9"/>
  <c r="AE742" i="9"/>
  <c r="AE750" i="9"/>
  <c r="AE758" i="9"/>
  <c r="AE766" i="9"/>
  <c r="AE774" i="9"/>
  <c r="AE782" i="9"/>
  <c r="AE790" i="9"/>
  <c r="AE798" i="9"/>
  <c r="AE806" i="9"/>
  <c r="AE814" i="9"/>
  <c r="AE822" i="9"/>
  <c r="AE830" i="9"/>
  <c r="AE838" i="9"/>
  <c r="AE846" i="9"/>
  <c r="AE854" i="9"/>
  <c r="AE862" i="9"/>
  <c r="AE870" i="9"/>
  <c r="AE878" i="9"/>
  <c r="AE886" i="9"/>
  <c r="AE894" i="9"/>
  <c r="AE902" i="9"/>
  <c r="AE39" i="9"/>
  <c r="AE72" i="9"/>
  <c r="AE134" i="9"/>
  <c r="AE228" i="9"/>
  <c r="AE331" i="9"/>
  <c r="AE360" i="9"/>
  <c r="AE386" i="9"/>
  <c r="AE500" i="9"/>
  <c r="AE528" i="9"/>
  <c r="AE572" i="9"/>
  <c r="AE584" i="9"/>
  <c r="AE608" i="9"/>
  <c r="AE614" i="9"/>
  <c r="AE616" i="9"/>
  <c r="AE627" i="9"/>
  <c r="AE637" i="9"/>
  <c r="AE645" i="9"/>
  <c r="AE653" i="9"/>
  <c r="AE661" i="9"/>
  <c r="AE669" i="9"/>
  <c r="AE677" i="9"/>
  <c r="AE685" i="9"/>
  <c r="AE693" i="9"/>
  <c r="AE701" i="9"/>
  <c r="AE709" i="9"/>
  <c r="AE717" i="9"/>
  <c r="AE725" i="9"/>
  <c r="AE733" i="9"/>
  <c r="AE741" i="9"/>
  <c r="AE749" i="9"/>
  <c r="AE757" i="9"/>
  <c r="AE765" i="9"/>
  <c r="AE773" i="9"/>
  <c r="AE781" i="9"/>
  <c r="AE789" i="9"/>
  <c r="AE797" i="9"/>
  <c r="AE805" i="9"/>
  <c r="AE813" i="9"/>
  <c r="AE821" i="9"/>
  <c r="AE829" i="9"/>
  <c r="AE837" i="9"/>
  <c r="AE845" i="9"/>
  <c r="AE853" i="9"/>
  <c r="AE861" i="9"/>
  <c r="AE869" i="9"/>
  <c r="AE877" i="9"/>
  <c r="AE885" i="9"/>
  <c r="AE893" i="9"/>
  <c r="AE901" i="9"/>
  <c r="AE909" i="9"/>
  <c r="AE917" i="9"/>
  <c r="AE925" i="9"/>
  <c r="AE21" i="9"/>
  <c r="AE232" i="9"/>
  <c r="AE258" i="9"/>
  <c r="AE356" i="9"/>
  <c r="AE459" i="9"/>
  <c r="AE508" i="9"/>
  <c r="AE520" i="9"/>
  <c r="AE564" i="9"/>
  <c r="AE592" i="9"/>
  <c r="AE610" i="9"/>
  <c r="AE622" i="9"/>
  <c r="AE633" i="9"/>
  <c r="AE641" i="9"/>
  <c r="AE649" i="9"/>
  <c r="AE657" i="9"/>
  <c r="AE665" i="9"/>
  <c r="AE673" i="9"/>
  <c r="AE681" i="9"/>
  <c r="AE689" i="9"/>
  <c r="AE697" i="9"/>
  <c r="AE705" i="9"/>
  <c r="AE713" i="9"/>
  <c r="AE721" i="9"/>
  <c r="AE729" i="9"/>
  <c r="AE737" i="9"/>
  <c r="AE745" i="9"/>
  <c r="AE753" i="9"/>
  <c r="AE761" i="9"/>
  <c r="AE769" i="9"/>
  <c r="AE777" i="9"/>
  <c r="AE785" i="9"/>
  <c r="AE793" i="9"/>
  <c r="AE801" i="9"/>
  <c r="AE809" i="9"/>
  <c r="AE817" i="9"/>
  <c r="AE825" i="9"/>
  <c r="AE833" i="9"/>
  <c r="AE841" i="9"/>
  <c r="AE849" i="9"/>
  <c r="AE857" i="9"/>
  <c r="AE865" i="9"/>
  <c r="AE873" i="9"/>
  <c r="AE881" i="9"/>
  <c r="AE889" i="9"/>
  <c r="AE897" i="9"/>
  <c r="AE905" i="9"/>
  <c r="AE913" i="9"/>
  <c r="AE921" i="9"/>
  <c r="AE248" i="9"/>
  <c r="AE308" i="9"/>
  <c r="AE352" i="9"/>
  <c r="AE370" i="9"/>
  <c r="AE512" i="9"/>
  <c r="AE568" i="9"/>
  <c r="AE635" i="9"/>
  <c r="AE642" i="9"/>
  <c r="AE651" i="9"/>
  <c r="AE658" i="9"/>
  <c r="AE667" i="9"/>
  <c r="AE674" i="9"/>
  <c r="AE683" i="9"/>
  <c r="AE690" i="9"/>
  <c r="AE699" i="9"/>
  <c r="AE706" i="9"/>
  <c r="AE715" i="9"/>
  <c r="AE722" i="9"/>
  <c r="AE731" i="9"/>
  <c r="AE738" i="9"/>
  <c r="AE747" i="9"/>
  <c r="AE754" i="9"/>
  <c r="AE763" i="9"/>
  <c r="AE770" i="9"/>
  <c r="AE779" i="9"/>
  <c r="AE786" i="9"/>
  <c r="AE795" i="9"/>
  <c r="AE802" i="9"/>
  <c r="AE811" i="9"/>
  <c r="AE818" i="9"/>
  <c r="AE827" i="9"/>
  <c r="AE834" i="9"/>
  <c r="AE843" i="9"/>
  <c r="AE850" i="9"/>
  <c r="AE868" i="9"/>
  <c r="AE55" i="9"/>
  <c r="AE292" i="9"/>
  <c r="AE354" i="9"/>
  <c r="AE412" i="9"/>
  <c r="AE556" i="9"/>
  <c r="AE859" i="9"/>
  <c r="AE892" i="9"/>
  <c r="AE911" i="9"/>
  <c r="AE930" i="9"/>
  <c r="AE938" i="9"/>
  <c r="AE41" i="9"/>
  <c r="AE176" i="9"/>
  <c r="AE199" i="9"/>
  <c r="AE220" i="9"/>
  <c r="AE344" i="9"/>
  <c r="AE380" i="9"/>
  <c r="AE420" i="9"/>
  <c r="AE452" i="9"/>
  <c r="AE484" i="9"/>
  <c r="AE496" i="9"/>
  <c r="AE540" i="9"/>
  <c r="AE623" i="9"/>
  <c r="AE884" i="9"/>
  <c r="AE904" i="9"/>
  <c r="AE906" i="9"/>
  <c r="AE915" i="9"/>
  <c r="AE933" i="9"/>
  <c r="AE941" i="9"/>
  <c r="AE200" i="9"/>
  <c r="AE224" i="9"/>
  <c r="AE290" i="9"/>
  <c r="AE347" i="9"/>
  <c r="AE364" i="9"/>
  <c r="AE576" i="9"/>
  <c r="AE596" i="9"/>
  <c r="AE620" i="9"/>
  <c r="AE644" i="9"/>
  <c r="AE648" i="9"/>
  <c r="AE660" i="9"/>
  <c r="AE664" i="9"/>
  <c r="AE676" i="9"/>
  <c r="AE680" i="9"/>
  <c r="AE692" i="9"/>
  <c r="AE696" i="9"/>
  <c r="AE708" i="9"/>
  <c r="AE712" i="9"/>
  <c r="AE724" i="9"/>
  <c r="AE728" i="9"/>
  <c r="AE740" i="9"/>
  <c r="AE744" i="9"/>
  <c r="AE756" i="9"/>
  <c r="AE760" i="9"/>
  <c r="AE772" i="9"/>
  <c r="AE776" i="9"/>
  <c r="AE788" i="9"/>
  <c r="AE792" i="9"/>
  <c r="AE804" i="9"/>
  <c r="AE808" i="9"/>
  <c r="AE820" i="9"/>
  <c r="AE824" i="9"/>
  <c r="AE836" i="9"/>
  <c r="AE840" i="9"/>
  <c r="AE852" i="9"/>
  <c r="AE856" i="9"/>
  <c r="AE864" i="9"/>
  <c r="AE866" i="9"/>
  <c r="AE871" i="9"/>
  <c r="AE875" i="9"/>
  <c r="AE920" i="9"/>
  <c r="AE926" i="9"/>
  <c r="AE932" i="9"/>
  <c r="AE940" i="9"/>
  <c r="AE948" i="9"/>
  <c r="AE242" i="9"/>
  <c r="AE379" i="9"/>
  <c r="AE524" i="9"/>
  <c r="AE643" i="9"/>
  <c r="AE656" i="9"/>
  <c r="AE675" i="9"/>
  <c r="AE688" i="9"/>
  <c r="AE707" i="9"/>
  <c r="AE720" i="9"/>
  <c r="AE739" i="9"/>
  <c r="AE752" i="9"/>
  <c r="AE771" i="9"/>
  <c r="AE784" i="9"/>
  <c r="AE803" i="9"/>
  <c r="AE816" i="9"/>
  <c r="AE835" i="9"/>
  <c r="AE848" i="9"/>
  <c r="AE887" i="9"/>
  <c r="AE908" i="9"/>
  <c r="AE936" i="9"/>
  <c r="AE945" i="9"/>
  <c r="AE953" i="9"/>
  <c r="AE960" i="9"/>
  <c r="AE968" i="9"/>
  <c r="AE976" i="9"/>
  <c r="AE984" i="9"/>
  <c r="AE992" i="9"/>
  <c r="AE1000" i="9"/>
  <c r="AE1008" i="9"/>
  <c r="AE1016" i="9"/>
  <c r="AE1024" i="9"/>
  <c r="AE1032" i="9"/>
  <c r="AE1040" i="9"/>
  <c r="AE1048" i="9"/>
  <c r="AE1056" i="9"/>
  <c r="AE1064" i="9"/>
  <c r="AE1072" i="9"/>
  <c r="AE448" i="9"/>
  <c r="AE504" i="9"/>
  <c r="AE552" i="9"/>
  <c r="AE630" i="9"/>
  <c r="AE874" i="9"/>
  <c r="AE879" i="9"/>
  <c r="AE882" i="9"/>
  <c r="AE888" i="9"/>
  <c r="AE896" i="9"/>
  <c r="AE929" i="9"/>
  <c r="AE934" i="9"/>
  <c r="AE949" i="9"/>
  <c r="AE959" i="9"/>
  <c r="AE967" i="9"/>
  <c r="AE975" i="9"/>
  <c r="AE983" i="9"/>
  <c r="AE991" i="9"/>
  <c r="AE999" i="9"/>
  <c r="AE1007" i="9"/>
  <c r="AE1015" i="9"/>
  <c r="AE1023" i="9"/>
  <c r="AE1031" i="9"/>
  <c r="AE1039" i="9"/>
  <c r="AE1047" i="9"/>
  <c r="AE1055" i="9"/>
  <c r="AE1063" i="9"/>
  <c r="AE1071" i="9"/>
  <c r="AE138" i="9"/>
  <c r="AE256" i="9"/>
  <c r="AE612" i="9"/>
  <c r="AE625" i="9"/>
  <c r="AE867" i="9"/>
  <c r="AE899" i="9"/>
  <c r="AE916" i="9"/>
  <c r="AE927" i="9"/>
  <c r="AE952" i="9"/>
  <c r="AE958" i="9"/>
  <c r="AE966" i="9"/>
  <c r="AE974" i="9"/>
  <c r="AE982" i="9"/>
  <c r="AE990" i="9"/>
  <c r="AE998" i="9"/>
  <c r="AE1006" i="9"/>
  <c r="AE1014" i="9"/>
  <c r="AE1022" i="9"/>
  <c r="AE1030" i="9"/>
  <c r="AE1038" i="9"/>
  <c r="AE1046" i="9"/>
  <c r="AE1054" i="9"/>
  <c r="AE1062" i="9"/>
  <c r="AE1070" i="9"/>
  <c r="AE1078" i="9"/>
  <c r="AE236" i="9"/>
  <c r="AE324" i="9"/>
  <c r="AE898" i="9"/>
  <c r="AE907" i="9"/>
  <c r="AE910" i="9"/>
  <c r="AE912" i="9"/>
  <c r="AE919" i="9"/>
  <c r="AE946" i="9"/>
  <c r="AE962" i="9"/>
  <c r="AE970" i="9"/>
  <c r="AE978" i="9"/>
  <c r="AE986" i="9"/>
  <c r="AE994" i="9"/>
  <c r="AE1002" i="9"/>
  <c r="AE1010" i="9"/>
  <c r="AE1018" i="9"/>
  <c r="AE1026" i="9"/>
  <c r="AE1034" i="9"/>
  <c r="AE1042" i="9"/>
  <c r="AE1050" i="9"/>
  <c r="AE1058" i="9"/>
  <c r="AE1066" i="9"/>
  <c r="AE1074" i="9"/>
  <c r="AE3" i="9"/>
  <c r="AE336" i="9"/>
  <c r="AE480" i="9"/>
  <c r="AE548" i="9"/>
  <c r="AE634" i="9"/>
  <c r="AE652" i="9"/>
  <c r="AE666" i="9"/>
  <c r="AE684" i="9"/>
  <c r="AE698" i="9"/>
  <c r="AE716" i="9"/>
  <c r="AE730" i="9"/>
  <c r="AE748" i="9"/>
  <c r="AE762" i="9"/>
  <c r="AE780" i="9"/>
  <c r="AE794" i="9"/>
  <c r="AE812" i="9"/>
  <c r="AE826" i="9"/>
  <c r="AE844" i="9"/>
  <c r="AE858" i="9"/>
  <c r="AE876" i="9"/>
  <c r="AE890" i="9"/>
  <c r="AE895" i="9"/>
  <c r="AE922" i="9"/>
  <c r="AE924" i="9"/>
  <c r="AE939" i="9"/>
  <c r="AE943" i="9"/>
  <c r="AE950" i="9"/>
  <c r="AE954" i="9"/>
  <c r="AE961" i="9"/>
  <c r="AE969" i="9"/>
  <c r="AE977" i="9"/>
  <c r="AE985" i="9"/>
  <c r="AE993" i="9"/>
  <c r="AE1001" i="9"/>
  <c r="AE1009" i="9"/>
  <c r="AE1017" i="9"/>
  <c r="AE1025" i="9"/>
  <c r="AE1033" i="9"/>
  <c r="AE1041" i="9"/>
  <c r="AE1049" i="9"/>
  <c r="AE1057" i="9"/>
  <c r="AE1065" i="9"/>
  <c r="AE1073" i="9"/>
  <c r="AE79" i="9"/>
  <c r="AE315" i="9"/>
  <c r="AE492" i="9"/>
  <c r="AE636" i="9"/>
  <c r="AE659" i="9"/>
  <c r="AE746" i="9"/>
  <c r="AE914" i="9"/>
  <c r="AE937" i="9"/>
  <c r="AE981" i="9"/>
  <c r="AE996" i="9"/>
  <c r="AE1011" i="9"/>
  <c r="AE1045" i="9"/>
  <c r="AE1060" i="9"/>
  <c r="AE1075" i="9"/>
  <c r="AE219" i="9"/>
  <c r="AE650" i="9"/>
  <c r="AE768" i="9"/>
  <c r="AE796" i="9"/>
  <c r="AE819" i="9"/>
  <c r="AE900" i="9"/>
  <c r="AE957" i="9"/>
  <c r="AE972" i="9"/>
  <c r="AE987" i="9"/>
  <c r="AE1021" i="9"/>
  <c r="AE1036" i="9"/>
  <c r="AE1051" i="9"/>
  <c r="AE626" i="9"/>
  <c r="AE672" i="9"/>
  <c r="AE700" i="9"/>
  <c r="AE723" i="9"/>
  <c r="AE810" i="9"/>
  <c r="AE883" i="9"/>
  <c r="AE928" i="9"/>
  <c r="AE942" i="9"/>
  <c r="AE947" i="9"/>
  <c r="AE963" i="9"/>
  <c r="AE997" i="9"/>
  <c r="AE1012" i="9"/>
  <c r="AE1027" i="9"/>
  <c r="AE1061" i="9"/>
  <c r="AE1076" i="9"/>
  <c r="AE536" i="9"/>
  <c r="AE682" i="9"/>
  <c r="AE800" i="9"/>
  <c r="AE828" i="9"/>
  <c r="AE851" i="9"/>
  <c r="AE863" i="9"/>
  <c r="AE872" i="9"/>
  <c r="AE931" i="9"/>
  <c r="AE935" i="9"/>
  <c r="AE965" i="9"/>
  <c r="AE980" i="9"/>
  <c r="AE995" i="9"/>
  <c r="AE1029" i="9"/>
  <c r="AE1044" i="9"/>
  <c r="AE1059" i="9"/>
  <c r="AE832" i="9"/>
  <c r="AE956" i="9"/>
  <c r="AE988" i="9"/>
  <c r="AE640" i="9"/>
  <c r="AE764" i="9"/>
  <c r="AE860" i="9"/>
  <c r="AE880" i="9"/>
  <c r="AE923" i="9"/>
  <c r="AE964" i="9"/>
  <c r="AE1068" i="9"/>
  <c r="AE668" i="9"/>
  <c r="AE691" i="9"/>
  <c r="AE736" i="9"/>
  <c r="AE787" i="9"/>
  <c r="AE951" i="9"/>
  <c r="AE971" i="9"/>
  <c r="AE989" i="9"/>
  <c r="AE1069" i="9"/>
  <c r="AE631" i="9"/>
  <c r="AE704" i="9"/>
  <c r="AE778" i="9"/>
  <c r="AE891" i="9"/>
  <c r="AE918" i="9"/>
  <c r="AE1005" i="9"/>
  <c r="AE1035" i="9"/>
  <c r="AE1053" i="9"/>
  <c r="AE732" i="9"/>
  <c r="AE903" i="9"/>
  <c r="AE1003" i="9"/>
  <c r="AE842" i="9"/>
  <c r="AE1028" i="9"/>
  <c r="AE944" i="9"/>
  <c r="AE1013" i="9"/>
  <c r="AE1037" i="9"/>
  <c r="AE714" i="9"/>
  <c r="AE973" i="9"/>
  <c r="AE1043" i="9"/>
  <c r="AE1067" i="9"/>
  <c r="AE280" i="9"/>
  <c r="AE1004" i="9"/>
  <c r="AE1020" i="9"/>
  <c r="AE755" i="9"/>
  <c r="AE979" i="9"/>
  <c r="AE580" i="9"/>
  <c r="AE955" i="9"/>
  <c r="AE1052" i="9"/>
  <c r="AE1077" i="9"/>
  <c r="AE1019" i="9"/>
  <c r="E1575" i="2"/>
  <c r="I1376" i="2"/>
  <c r="F126" i="20"/>
  <c r="J1376" i="2"/>
  <c r="H1376" i="2"/>
  <c r="K1376" i="2"/>
  <c r="K1500" i="2" s="1"/>
  <c r="G1376" i="2"/>
  <c r="N1376" i="2"/>
  <c r="M1376" i="2" s="1"/>
  <c r="E1622" i="2"/>
  <c r="Q1383" i="2"/>
  <c r="J1670" i="2"/>
  <c r="R1363" i="2"/>
  <c r="S1363" i="2" s="1"/>
  <c r="F129" i="20"/>
  <c r="J1698" i="2"/>
  <c r="F127" i="20"/>
  <c r="F128" i="20"/>
  <c r="Q1363" i="2"/>
  <c r="Q1376" i="2"/>
  <c r="P1376" i="2" s="1"/>
  <c r="U1459" i="2" l="1"/>
  <c r="W1393" i="2" s="1"/>
  <c r="AE1455" i="2"/>
  <c r="W1455" i="2" s="1"/>
  <c r="U1455" i="2" s="1"/>
  <c r="AE1432" i="2"/>
  <c r="Y1422" i="2" s="1"/>
  <c r="U1422" i="2" s="1"/>
  <c r="X1403" i="2" s="1"/>
  <c r="AE1420" i="2"/>
  <c r="W1420" i="2" s="1"/>
  <c r="U1460" i="2"/>
  <c r="X1394" i="2" s="1"/>
  <c r="U1458" i="2"/>
  <c r="Y1392" i="2" s="1"/>
  <c r="U1421" i="2"/>
  <c r="Y1402" i="2" s="1"/>
  <c r="U1457" i="2"/>
  <c r="V1391" i="2" s="1"/>
  <c r="AA1391" i="2" s="1"/>
  <c r="U1461" i="2"/>
  <c r="Y1395" i="2" s="1"/>
  <c r="U1456" i="2"/>
  <c r="Z1390" i="2" s="1"/>
  <c r="R1390" i="2"/>
  <c r="Y1420" i="2"/>
  <c r="AI120" i="9"/>
  <c r="AI431" i="9"/>
  <c r="AI629" i="9"/>
  <c r="AI581" i="9"/>
  <c r="AI349" i="9"/>
  <c r="AI463" i="9"/>
  <c r="AI236" i="9"/>
  <c r="AI923" i="9"/>
  <c r="AI1059" i="9"/>
  <c r="AI730" i="9"/>
  <c r="AI174" i="9"/>
  <c r="AI285" i="9"/>
  <c r="AI128" i="9"/>
  <c r="AI350" i="9"/>
  <c r="AI222" i="9"/>
  <c r="AI399" i="9"/>
  <c r="AI271" i="9"/>
  <c r="AI122" i="9"/>
  <c r="AI778" i="9"/>
  <c r="AI924" i="9"/>
  <c r="AI937" i="9"/>
  <c r="AI992" i="9"/>
  <c r="AI727" i="9"/>
  <c r="AI304" i="9"/>
  <c r="AI28" i="9"/>
  <c r="AI33" i="9"/>
  <c r="AI286" i="9"/>
  <c r="AI455" i="9"/>
  <c r="AI998" i="9"/>
  <c r="AI404" i="9"/>
  <c r="AI485" i="9"/>
  <c r="AI367" i="9"/>
  <c r="AI203" i="9"/>
  <c r="AI990" i="9"/>
  <c r="AI858" i="9"/>
  <c r="AI324" i="9"/>
  <c r="AI1056" i="9"/>
  <c r="AI584" i="9"/>
  <c r="AI855" i="9"/>
  <c r="AI663" i="9"/>
  <c r="AI363" i="9"/>
  <c r="AI410" i="9"/>
  <c r="AI414" i="9"/>
  <c r="AI96" i="9"/>
  <c r="AI64" i="9"/>
  <c r="AI391" i="9"/>
  <c r="AI327" i="9"/>
  <c r="AI263" i="9"/>
  <c r="AI532" i="9"/>
  <c r="AI603" i="9"/>
  <c r="AI184" i="9"/>
  <c r="AI201" i="9"/>
  <c r="AI1028" i="9"/>
  <c r="AI927" i="9"/>
  <c r="AI177" i="9"/>
  <c r="AI563" i="9"/>
  <c r="AI268" i="9"/>
  <c r="AI451" i="9"/>
  <c r="AI323" i="9"/>
  <c r="AI941" i="9"/>
  <c r="AI520" i="9"/>
  <c r="AI555" i="9"/>
  <c r="AI282" i="9"/>
  <c r="AI1067" i="9"/>
  <c r="AI630" i="9"/>
  <c r="AI736" i="9"/>
  <c r="AI659" i="9"/>
  <c r="AI812" i="9"/>
  <c r="AI1070" i="9"/>
  <c r="AI1007" i="9"/>
  <c r="AI637" i="9"/>
  <c r="M1378" i="2"/>
  <c r="N1378" i="2" s="1"/>
  <c r="A1388" i="2" s="1"/>
  <c r="B26" i="15" s="1"/>
  <c r="AI1057" i="9"/>
  <c r="AI952" i="9"/>
  <c r="AI1015" i="9"/>
  <c r="AI915" i="9"/>
  <c r="AI580" i="9"/>
  <c r="AI903" i="9"/>
  <c r="AI980" i="9"/>
  <c r="AI900" i="9"/>
  <c r="AI1041" i="9"/>
  <c r="AI922" i="9"/>
  <c r="AI666" i="9"/>
  <c r="AI1002" i="9"/>
  <c r="AI1063" i="9"/>
  <c r="AI1024" i="9"/>
  <c r="AI352" i="9"/>
  <c r="AI817" i="9"/>
  <c r="AI689" i="9"/>
  <c r="AI821" i="9"/>
  <c r="AI830" i="9"/>
  <c r="AI624" i="9"/>
  <c r="AI171" i="9"/>
  <c r="AI440" i="9"/>
  <c r="AI264" i="9"/>
  <c r="AI511" i="9"/>
  <c r="AI253" i="9"/>
  <c r="AI191" i="9"/>
  <c r="AI303" i="9"/>
  <c r="AI168" i="9"/>
  <c r="AI139" i="9"/>
  <c r="AI45" i="9"/>
  <c r="AI62" i="9"/>
  <c r="AI9" i="9"/>
  <c r="AI993" i="9"/>
  <c r="AI976" i="9"/>
  <c r="AI242" i="9"/>
  <c r="AI645" i="9"/>
  <c r="AI775" i="9"/>
  <c r="AI711" i="9"/>
  <c r="AI194" i="9"/>
  <c r="AI432" i="9"/>
  <c r="AI475" i="9"/>
  <c r="AI494" i="9"/>
  <c r="AI441" i="9"/>
  <c r="AI377" i="9"/>
  <c r="AI313" i="9"/>
  <c r="AI249" i="9"/>
  <c r="AI333" i="9"/>
  <c r="AI105" i="9"/>
  <c r="AI123" i="9"/>
  <c r="AI115" i="9"/>
  <c r="AI78" i="9"/>
  <c r="AI700" i="9"/>
  <c r="AI934" i="9"/>
  <c r="AI1032" i="9"/>
  <c r="AI802" i="9"/>
  <c r="AI674" i="9"/>
  <c r="AI500" i="9"/>
  <c r="AI838" i="9"/>
  <c r="AI710" i="9"/>
  <c r="AI831" i="9"/>
  <c r="AI703" i="9"/>
  <c r="AI288" i="9"/>
  <c r="AI493" i="9"/>
  <c r="AI550" i="9"/>
  <c r="AI178" i="9"/>
  <c r="AI369" i="9"/>
  <c r="AI241" i="9"/>
  <c r="AI453" i="9"/>
  <c r="AI325" i="9"/>
  <c r="AI197" i="9"/>
  <c r="AI93" i="9"/>
  <c r="AI20" i="9"/>
  <c r="AI714" i="9"/>
  <c r="AI682" i="9"/>
  <c r="AI895" i="9"/>
  <c r="AI780" i="9"/>
  <c r="AI1016" i="9"/>
  <c r="AI290" i="9"/>
  <c r="AI749" i="9"/>
  <c r="AI628" i="9"/>
  <c r="AI300" i="9"/>
  <c r="AI107" i="9"/>
  <c r="AI578" i="9"/>
  <c r="AI396" i="9"/>
  <c r="AI537" i="9"/>
  <c r="AI473" i="9"/>
  <c r="AI541" i="9"/>
  <c r="AI598" i="9"/>
  <c r="AI198" i="9"/>
  <c r="AI113" i="9"/>
  <c r="AI166" i="9"/>
  <c r="AI167" i="9"/>
  <c r="AI135" i="9"/>
  <c r="AI84" i="9"/>
  <c r="AI54" i="9"/>
  <c r="AI614" i="9"/>
  <c r="AI955" i="9"/>
  <c r="AI995" i="9"/>
  <c r="AI997" i="9"/>
  <c r="AI919" i="9"/>
  <c r="AI1006" i="9"/>
  <c r="AI968" i="9"/>
  <c r="AI364" i="9"/>
  <c r="AI55" i="9"/>
  <c r="AI738" i="9"/>
  <c r="AI370" i="9"/>
  <c r="AI902" i="9"/>
  <c r="AI767" i="9"/>
  <c r="AI639" i="9"/>
  <c r="AI59" i="9"/>
  <c r="AI427" i="9"/>
  <c r="AI444" i="9"/>
  <c r="AI489" i="9"/>
  <c r="AI151" i="9"/>
  <c r="AI486" i="9"/>
  <c r="AI387" i="9"/>
  <c r="AI259" i="9"/>
  <c r="AI433" i="9"/>
  <c r="AI305" i="9"/>
  <c r="AI131" i="9"/>
  <c r="AI389" i="9"/>
  <c r="AI261" i="9"/>
  <c r="AI183" i="9"/>
  <c r="AI109" i="9"/>
  <c r="AI42" i="9"/>
  <c r="AI53" i="9"/>
  <c r="AI973" i="9"/>
  <c r="AI800" i="9"/>
  <c r="AI672" i="9"/>
  <c r="AI1045" i="9"/>
  <c r="AI977" i="9"/>
  <c r="AI1066" i="9"/>
  <c r="AI916" i="9"/>
  <c r="AI504" i="9"/>
  <c r="AI960" i="9"/>
  <c r="AI868" i="9"/>
  <c r="AI731" i="9"/>
  <c r="AI881" i="9"/>
  <c r="AI753" i="9"/>
  <c r="AI757" i="9"/>
  <c r="AI894" i="9"/>
  <c r="AI306" i="9"/>
  <c r="AI137" i="9"/>
  <c r="AI613" i="9"/>
  <c r="AI575" i="9"/>
  <c r="AI445" i="9"/>
  <c r="AI317" i="9"/>
  <c r="AI99" i="9"/>
  <c r="AI382" i="9"/>
  <c r="AI254" i="9"/>
  <c r="AI239" i="9"/>
  <c r="AI1037" i="9"/>
  <c r="AI942" i="9"/>
  <c r="AI108" i="9"/>
  <c r="AI14" i="9"/>
  <c r="AI989" i="9"/>
  <c r="AI964" i="9"/>
  <c r="AI928" i="9"/>
  <c r="AI797" i="9"/>
  <c r="AI669" i="9"/>
  <c r="AI34" i="9"/>
  <c r="AI388" i="9"/>
  <c r="AI368" i="9"/>
  <c r="AI589" i="9"/>
  <c r="AI419" i="9"/>
  <c r="AI355" i="9"/>
  <c r="AI291" i="9"/>
  <c r="AI227" i="9"/>
  <c r="AI422" i="9"/>
  <c r="AI294" i="9"/>
  <c r="AI147" i="9"/>
  <c r="AI149" i="9"/>
  <c r="AI89" i="9"/>
  <c r="AI477" i="9"/>
  <c r="AI1069" i="9"/>
  <c r="AI1068" i="9"/>
  <c r="AI956" i="9"/>
  <c r="AI1051" i="9"/>
  <c r="AI796" i="9"/>
  <c r="AI890" i="9"/>
  <c r="AI762" i="9"/>
  <c r="AI634" i="9"/>
  <c r="AI1050" i="9"/>
  <c r="AI986" i="9"/>
  <c r="AI907" i="9"/>
  <c r="AI784" i="9"/>
  <c r="AI656" i="9"/>
  <c r="AI840" i="9"/>
  <c r="AI776" i="9"/>
  <c r="AI712" i="9"/>
  <c r="AI648" i="9"/>
  <c r="AI224" i="9"/>
  <c r="AI623" i="9"/>
  <c r="AI843" i="9"/>
  <c r="AI779" i="9"/>
  <c r="AI715" i="9"/>
  <c r="AI651" i="9"/>
  <c r="AI248" i="9"/>
  <c r="AI737" i="9"/>
  <c r="AI592" i="9"/>
  <c r="AI21" i="9"/>
  <c r="AI869" i="9"/>
  <c r="AI878" i="9"/>
  <c r="AI418" i="9"/>
  <c r="AI434" i="9"/>
  <c r="AI602" i="9"/>
  <c r="AI538" i="9"/>
  <c r="AI156" i="9"/>
  <c r="AI392" i="9"/>
  <c r="AI529" i="9"/>
  <c r="AI190" i="9"/>
  <c r="AI362" i="9"/>
  <c r="AI234" i="9"/>
  <c r="AI94" i="9"/>
  <c r="AI345" i="9"/>
  <c r="AI217" i="9"/>
  <c r="AI429" i="9"/>
  <c r="AI237" i="9"/>
  <c r="AI430" i="9"/>
  <c r="AI366" i="9"/>
  <c r="AI302" i="9"/>
  <c r="AI238" i="9"/>
  <c r="AI161" i="9"/>
  <c r="AI67" i="9"/>
  <c r="AI71" i="9"/>
  <c r="AI76" i="9"/>
  <c r="AI16" i="9"/>
  <c r="AI1036" i="9"/>
  <c r="AI954" i="9"/>
  <c r="AI1038" i="9"/>
  <c r="AI1039" i="9"/>
  <c r="AI200" i="9"/>
  <c r="AI556" i="9"/>
  <c r="AI770" i="9"/>
  <c r="AI608" i="9"/>
  <c r="AI671" i="9"/>
  <c r="AI562" i="9"/>
  <c r="AI187" i="9"/>
  <c r="AI518" i="9"/>
  <c r="AI230" i="9"/>
  <c r="AI407" i="9"/>
  <c r="AI279" i="9"/>
  <c r="AI66" i="9"/>
  <c r="AI68" i="9"/>
  <c r="AI85" i="9"/>
  <c r="AI23" i="9"/>
  <c r="AI100" i="9"/>
  <c r="AI38" i="9"/>
  <c r="AI944" i="9"/>
  <c r="AI1061" i="9"/>
  <c r="AI650" i="9"/>
  <c r="AI1009" i="9"/>
  <c r="AI1034" i="9"/>
  <c r="AI1030" i="9"/>
  <c r="AI1031" i="9"/>
  <c r="AI752" i="9"/>
  <c r="AI875" i="9"/>
  <c r="AI696" i="9"/>
  <c r="AI496" i="9"/>
  <c r="AI827" i="9"/>
  <c r="AI635" i="9"/>
  <c r="AI849" i="9"/>
  <c r="AI657" i="9"/>
  <c r="AI853" i="9"/>
  <c r="AI661" i="9"/>
  <c r="AI134" i="9"/>
  <c r="AI734" i="9"/>
  <c r="AI384" i="9"/>
  <c r="AI791" i="9"/>
  <c r="AI226" i="9"/>
  <c r="AI424" i="9"/>
  <c r="AI267" i="9"/>
  <c r="AI586" i="9"/>
  <c r="AI522" i="9"/>
  <c r="AI460" i="9"/>
  <c r="AI322" i="9"/>
  <c r="AI83" i="9"/>
  <c r="AI491" i="9"/>
  <c r="AI121" i="9"/>
  <c r="AI577" i="9"/>
  <c r="AI513" i="9"/>
  <c r="AI162" i="9"/>
  <c r="AI517" i="9"/>
  <c r="AI574" i="9"/>
  <c r="AI510" i="9"/>
  <c r="AI607" i="9"/>
  <c r="AI543" i="9"/>
  <c r="AI479" i="9"/>
  <c r="AI346" i="9"/>
  <c r="AI218" i="9"/>
  <c r="AI457" i="9"/>
  <c r="AI393" i="9"/>
  <c r="AI329" i="9"/>
  <c r="AI265" i="9"/>
  <c r="AI192" i="9"/>
  <c r="AI413" i="9"/>
  <c r="AI221" i="9"/>
  <c r="AI150" i="9"/>
  <c r="AI335" i="9"/>
  <c r="AI207" i="9"/>
  <c r="AI58" i="9"/>
  <c r="AI145" i="9"/>
  <c r="AI173" i="9"/>
  <c r="AI103" i="9"/>
  <c r="AI87" i="9"/>
  <c r="AI60" i="9"/>
  <c r="AI77" i="9"/>
  <c r="AI154" i="9"/>
  <c r="AI92" i="9"/>
  <c r="AI32" i="9"/>
  <c r="AI19" i="9"/>
  <c r="C128" i="20"/>
  <c r="B128" i="20" s="1"/>
  <c r="F1430" i="2" s="1"/>
  <c r="AI832" i="9"/>
  <c r="AI931" i="9"/>
  <c r="AI768" i="9"/>
  <c r="AI79" i="9"/>
  <c r="AI1017" i="9"/>
  <c r="AI876" i="9"/>
  <c r="AI548" i="9"/>
  <c r="AI898" i="9"/>
  <c r="AI974" i="9"/>
  <c r="AI975" i="9"/>
  <c r="AI1064" i="9"/>
  <c r="AI920" i="9"/>
  <c r="AI199" i="9"/>
  <c r="AI834" i="9"/>
  <c r="AI706" i="9"/>
  <c r="AI642" i="9"/>
  <c r="AI925" i="9"/>
  <c r="AI861" i="9"/>
  <c r="AI588" i="9"/>
  <c r="AI799" i="9"/>
  <c r="AI735" i="9"/>
  <c r="AI619" i="9"/>
  <c r="AI428" i="9"/>
  <c r="AI328" i="9"/>
  <c r="AI498" i="9"/>
  <c r="AI582" i="9"/>
  <c r="AI48" i="9"/>
  <c r="AI50" i="9"/>
  <c r="AI358" i="9"/>
  <c r="AI471" i="9"/>
  <c r="AI343" i="9"/>
  <c r="AI215" i="9"/>
  <c r="AI1004" i="9"/>
  <c r="AI1005" i="9"/>
  <c r="AI971" i="9"/>
  <c r="AI872" i="9"/>
  <c r="AI883" i="9"/>
  <c r="AI1021" i="9"/>
  <c r="AI1073" i="9"/>
  <c r="AI950" i="9"/>
  <c r="AI480" i="9"/>
  <c r="AI970" i="9"/>
  <c r="AI966" i="9"/>
  <c r="AI612" i="9"/>
  <c r="AI967" i="9"/>
  <c r="AI879" i="9"/>
  <c r="AI908" i="9"/>
  <c r="AI524" i="9"/>
  <c r="AI824" i="9"/>
  <c r="AI760" i="9"/>
  <c r="AI620" i="9"/>
  <c r="AI176" i="9"/>
  <c r="AI412" i="9"/>
  <c r="AI763" i="9"/>
  <c r="AI699" i="9"/>
  <c r="AI913" i="9"/>
  <c r="AI785" i="9"/>
  <c r="AI721" i="9"/>
  <c r="AI917" i="9"/>
  <c r="AI789" i="9"/>
  <c r="AI725" i="9"/>
  <c r="AI862" i="9"/>
  <c r="AI798" i="9"/>
  <c r="AI670" i="9"/>
  <c r="AI544" i="9"/>
  <c r="AI604" i="9"/>
  <c r="AI1077" i="9"/>
  <c r="AI810" i="9"/>
  <c r="AI987" i="9"/>
  <c r="AI943" i="9"/>
  <c r="AI716" i="9"/>
  <c r="AI958" i="9"/>
  <c r="AI1023" i="9"/>
  <c r="AI874" i="9"/>
  <c r="AI933" i="9"/>
  <c r="AI41" i="9"/>
  <c r="AI354" i="9"/>
  <c r="AI508" i="9"/>
  <c r="AI909" i="9"/>
  <c r="AI845" i="9"/>
  <c r="AI72" i="9"/>
  <c r="AI854" i="9"/>
  <c r="AI790" i="9"/>
  <c r="AI726" i="9"/>
  <c r="AI662" i="9"/>
  <c r="AI516" i="9"/>
  <c r="AI847" i="9"/>
  <c r="AI783" i="9"/>
  <c r="AI719" i="9"/>
  <c r="AI655" i="9"/>
  <c r="AI560" i="9"/>
  <c r="AI579" i="9"/>
  <c r="AI456" i="9"/>
  <c r="AI316" i="9"/>
  <c r="AI340" i="9"/>
  <c r="AI573" i="9"/>
  <c r="AI403" i="9"/>
  <c r="AI275" i="9"/>
  <c r="AI470" i="9"/>
  <c r="AI406" i="9"/>
  <c r="AI214" i="9"/>
  <c r="AI202" i="9"/>
  <c r="AI69" i="9"/>
  <c r="AI146" i="9"/>
  <c r="AI86" i="9"/>
  <c r="AI24" i="9"/>
  <c r="AI745" i="9"/>
  <c r="AI842" i="9"/>
  <c r="AI891" i="9"/>
  <c r="AI787" i="9"/>
  <c r="AI860" i="9"/>
  <c r="AI1029" i="9"/>
  <c r="AI851" i="9"/>
  <c r="AI723" i="9"/>
  <c r="AI972" i="9"/>
  <c r="AI1075" i="9"/>
  <c r="AI746" i="9"/>
  <c r="AI939" i="9"/>
  <c r="AI826" i="9"/>
  <c r="AI698" i="9"/>
  <c r="AI3" i="9"/>
  <c r="AI1018" i="9"/>
  <c r="AI946" i="9"/>
  <c r="AI1078" i="9"/>
  <c r="AI1014" i="9"/>
  <c r="AI138" i="9"/>
  <c r="AI1040" i="9"/>
  <c r="AI848" i="9"/>
  <c r="AI720" i="9"/>
  <c r="AI866" i="9"/>
  <c r="AI576" i="9"/>
  <c r="AI452" i="9"/>
  <c r="AI938" i="9"/>
  <c r="AI292" i="9"/>
  <c r="AI811" i="9"/>
  <c r="AI747" i="9"/>
  <c r="AI683" i="9"/>
  <c r="AI512" i="9"/>
  <c r="AI897" i="9"/>
  <c r="AI833" i="9"/>
  <c r="AI769" i="9"/>
  <c r="AI705" i="9"/>
  <c r="AI641" i="9"/>
  <c r="AI773" i="9"/>
  <c r="AI709" i="9"/>
  <c r="AI528" i="9"/>
  <c r="AI39" i="9"/>
  <c r="AI846" i="9"/>
  <c r="AI782" i="9"/>
  <c r="AI718" i="9"/>
  <c r="AI654" i="9"/>
  <c r="AI472" i="9"/>
  <c r="AI320" i="9"/>
  <c r="AI839" i="9"/>
  <c r="AI647" i="9"/>
  <c r="AI182" i="9"/>
  <c r="AI570" i="9"/>
  <c r="AI506" i="9"/>
  <c r="AI276" i="9"/>
  <c r="AI450" i="9"/>
  <c r="AI312" i="9"/>
  <c r="AI539" i="9"/>
  <c r="AI65" i="9"/>
  <c r="AI561" i="9"/>
  <c r="AI497" i="9"/>
  <c r="AI133" i="9"/>
  <c r="AI501" i="9"/>
  <c r="AI155" i="9"/>
  <c r="AI558" i="9"/>
  <c r="AI591" i="9"/>
  <c r="AI527" i="9"/>
  <c r="AI458" i="9"/>
  <c r="AI330" i="9"/>
  <c r="AI193" i="9"/>
  <c r="AI461" i="9"/>
  <c r="AI397" i="9"/>
  <c r="AI269" i="9"/>
  <c r="AI462" i="9"/>
  <c r="AI398" i="9"/>
  <c r="AI334" i="9"/>
  <c r="AI270" i="9"/>
  <c r="AI206" i="9"/>
  <c r="AI447" i="9"/>
  <c r="AI383" i="9"/>
  <c r="AI319" i="9"/>
  <c r="AI255" i="9"/>
  <c r="AI179" i="9"/>
  <c r="AI36" i="9"/>
  <c r="AI15" i="9"/>
  <c r="AI106" i="9"/>
  <c r="AI61" i="9"/>
  <c r="AI140" i="9"/>
  <c r="AI10" i="9"/>
  <c r="AI4" i="9"/>
  <c r="AI1043" i="9"/>
  <c r="AI864" i="9"/>
  <c r="AI804" i="9"/>
  <c r="AI676" i="9"/>
  <c r="AI765" i="9"/>
  <c r="AI594" i="9"/>
  <c r="AI530" i="9"/>
  <c r="AI617" i="9"/>
  <c r="AI110" i="9"/>
  <c r="AI188" i="9"/>
  <c r="AI70" i="9"/>
  <c r="L1501" i="2"/>
  <c r="L1726" i="2" s="1"/>
  <c r="BS1729" i="2"/>
  <c r="D1594" i="2"/>
  <c r="D1582" i="2"/>
  <c r="D1601" i="2"/>
  <c r="D1592" i="2"/>
  <c r="D1578" i="2"/>
  <c r="D1590" i="2"/>
  <c r="D1596" i="2"/>
  <c r="D1593" i="2"/>
  <c r="D1608" i="2"/>
  <c r="D1595" i="2"/>
  <c r="D1580" i="2"/>
  <c r="D1607" i="2"/>
  <c r="D1599" i="2"/>
  <c r="D1586" i="2"/>
  <c r="D1583" i="2"/>
  <c r="D1605" i="2"/>
  <c r="D1598" i="2"/>
  <c r="D1602" i="2"/>
  <c r="D1603" i="2"/>
  <c r="D1587" i="2"/>
  <c r="D1600" i="2"/>
  <c r="D1606" i="2"/>
  <c r="D1577" i="2"/>
  <c r="D1591" i="2"/>
  <c r="D1576" i="2"/>
  <c r="D1572" i="2"/>
  <c r="N1382" i="2" s="1"/>
  <c r="D1579" i="2"/>
  <c r="D1588" i="2"/>
  <c r="D1585" i="2"/>
  <c r="D1604" i="2"/>
  <c r="D1581" i="2"/>
  <c r="D1589" i="2"/>
  <c r="D1584" i="2"/>
  <c r="D1597" i="2"/>
  <c r="AI1052" i="9"/>
  <c r="AI280" i="9"/>
  <c r="AI918" i="9"/>
  <c r="AI951" i="9"/>
  <c r="AI880" i="9"/>
  <c r="AI1044" i="9"/>
  <c r="AI863" i="9"/>
  <c r="AI1027" i="9"/>
  <c r="AI219" i="9"/>
  <c r="AI914" i="9"/>
  <c r="AI1065" i="9"/>
  <c r="AI1001" i="9"/>
  <c r="AI844" i="9"/>
  <c r="AI336" i="9"/>
  <c r="AI1026" i="9"/>
  <c r="AI962" i="9"/>
  <c r="AI1022" i="9"/>
  <c r="AI256" i="9"/>
  <c r="AI959" i="9"/>
  <c r="AI1048" i="9"/>
  <c r="AI984" i="9"/>
  <c r="AI887" i="9"/>
  <c r="AI739" i="9"/>
  <c r="AI379" i="9"/>
  <c r="AI871" i="9"/>
  <c r="AI820" i="9"/>
  <c r="AI756" i="9"/>
  <c r="AI692" i="9"/>
  <c r="AI596" i="9"/>
  <c r="AI484" i="9"/>
  <c r="AI818" i="9"/>
  <c r="AI754" i="9"/>
  <c r="AI690" i="9"/>
  <c r="AI568" i="9"/>
  <c r="AI905" i="9"/>
  <c r="AI841" i="9"/>
  <c r="AI777" i="9"/>
  <c r="AI713" i="9"/>
  <c r="AI649" i="9"/>
  <c r="AI781" i="9"/>
  <c r="AI717" i="9"/>
  <c r="AI653" i="9"/>
  <c r="AI572" i="9"/>
  <c r="AI376" i="9"/>
  <c r="AI205" i="9"/>
  <c r="AI400" i="9"/>
  <c r="AI244" i="9"/>
  <c r="AI515" i="9"/>
  <c r="AI299" i="9"/>
  <c r="AI618" i="9"/>
  <c r="AI27" i="9"/>
  <c r="AI546" i="9"/>
  <c r="AI482" i="9"/>
  <c r="AI101" i="9"/>
  <c r="AI569" i="9"/>
  <c r="AI505" i="9"/>
  <c r="AI153" i="9"/>
  <c r="AI509" i="9"/>
  <c r="AI160" i="9"/>
  <c r="AI566" i="9"/>
  <c r="AI502" i="9"/>
  <c r="AI599" i="9"/>
  <c r="AI535" i="9"/>
  <c r="AI467" i="9"/>
  <c r="AI339" i="9"/>
  <c r="AI211" i="9"/>
  <c r="AI449" i="9"/>
  <c r="AI385" i="9"/>
  <c r="AI321" i="9"/>
  <c r="AI257" i="9"/>
  <c r="AI186" i="9"/>
  <c r="AI469" i="9"/>
  <c r="AI405" i="9"/>
  <c r="AI341" i="9"/>
  <c r="AI277" i="9"/>
  <c r="AI213" i="9"/>
  <c r="AI119" i="9"/>
  <c r="AI342" i="9"/>
  <c r="AI278" i="9"/>
  <c r="AI144" i="9"/>
  <c r="AI136" i="9"/>
  <c r="AI56" i="9"/>
  <c r="AI129" i="9"/>
  <c r="AI57" i="9"/>
  <c r="AI165" i="9"/>
  <c r="AI51" i="9"/>
  <c r="AI82" i="9"/>
  <c r="AI114" i="9"/>
  <c r="AI52" i="9"/>
  <c r="AI11" i="9"/>
  <c r="M1682" i="2"/>
  <c r="M1680" i="2"/>
  <c r="M1681" i="2"/>
  <c r="J1723" i="2"/>
  <c r="BS1497" i="2"/>
  <c r="BN1505" i="2" s="1"/>
  <c r="CE1505" i="2" s="1"/>
  <c r="J1681" i="2"/>
  <c r="J1682" i="2"/>
  <c r="J1680" i="2"/>
  <c r="BU1729" i="2"/>
  <c r="F1578" i="2"/>
  <c r="F1583" i="2"/>
  <c r="F1602" i="2"/>
  <c r="F1605" i="2"/>
  <c r="F1590" i="2"/>
  <c r="F1576" i="2"/>
  <c r="F1607" i="2"/>
  <c r="F1579" i="2"/>
  <c r="F1577" i="2"/>
  <c r="F1582" i="2"/>
  <c r="F1580" i="2"/>
  <c r="F1596" i="2"/>
  <c r="F1604" i="2"/>
  <c r="F1593" i="2"/>
  <c r="F1603" i="2"/>
  <c r="F1595" i="2"/>
  <c r="F1600" i="2"/>
  <c r="F1585" i="2"/>
  <c r="F1584" i="2"/>
  <c r="F1588" i="2"/>
  <c r="F1594" i="2"/>
  <c r="F1608" i="2"/>
  <c r="F1586" i="2"/>
  <c r="F1587" i="2"/>
  <c r="F1589" i="2"/>
  <c r="F1601" i="2"/>
  <c r="F1592" i="2"/>
  <c r="F1597" i="2"/>
  <c r="F1572" i="2"/>
  <c r="N1384" i="2" s="1"/>
  <c r="F1599" i="2"/>
  <c r="F1591" i="2"/>
  <c r="F1598" i="2"/>
  <c r="F1581" i="2"/>
  <c r="F1606" i="2"/>
  <c r="BG1500" i="2"/>
  <c r="BF1500" i="2"/>
  <c r="BH1500" i="2"/>
  <c r="L1680" i="2"/>
  <c r="L1682" i="2"/>
  <c r="L1681" i="2"/>
  <c r="H1724" i="2"/>
  <c r="BQ1498" i="2"/>
  <c r="BP1505" i="2" s="1"/>
  <c r="CG1505" i="2" s="1"/>
  <c r="AI744" i="9"/>
  <c r="AI459" i="9"/>
  <c r="AI837" i="9"/>
  <c r="AI395" i="9"/>
  <c r="AI266" i="9"/>
  <c r="BF1501" i="2"/>
  <c r="BH1501" i="2"/>
  <c r="BG1501" i="2"/>
  <c r="AI985" i="9"/>
  <c r="AI1010" i="9"/>
  <c r="AI835" i="9"/>
  <c r="AI906" i="9"/>
  <c r="AI825" i="9"/>
  <c r="AI633" i="9"/>
  <c r="AI774" i="9"/>
  <c r="AI646" i="9"/>
  <c r="AI252" i="9"/>
  <c r="AI488" i="9"/>
  <c r="AI372" i="9"/>
  <c r="AI468" i="9"/>
  <c r="AI557" i="9"/>
  <c r="AI583" i="9"/>
  <c r="AI102" i="9"/>
  <c r="AI454" i="9"/>
  <c r="AI390" i="9"/>
  <c r="AI326" i="9"/>
  <c r="AI262" i="9"/>
  <c r="AI439" i="9"/>
  <c r="AI375" i="9"/>
  <c r="AI311" i="9"/>
  <c r="AI247" i="9"/>
  <c r="AI170" i="9"/>
  <c r="AI2" i="9"/>
  <c r="AI73" i="9"/>
  <c r="AI98" i="9"/>
  <c r="AI132" i="9"/>
  <c r="AI8" i="9"/>
  <c r="K1696" i="2"/>
  <c r="M1696" i="2"/>
  <c r="L1696" i="2"/>
  <c r="C1623" i="2"/>
  <c r="C1618" i="2"/>
  <c r="P1381" i="2" s="1"/>
  <c r="C1619" i="2"/>
  <c r="K1723" i="2"/>
  <c r="BT1497" i="2"/>
  <c r="BO1505" i="2" s="1"/>
  <c r="CF1505" i="2" s="1"/>
  <c r="J1501" i="2"/>
  <c r="K1384" i="2"/>
  <c r="L1500" i="2"/>
  <c r="L1725" i="2" s="1"/>
  <c r="H1383" i="2"/>
  <c r="AI1012" i="9"/>
  <c r="AI949" i="9"/>
  <c r="AI808" i="9"/>
  <c r="AI680" i="9"/>
  <c r="AI901" i="9"/>
  <c r="AI274" i="9"/>
  <c r="AI565" i="9"/>
  <c r="AI394" i="9"/>
  <c r="AI127" i="9"/>
  <c r="AI49" i="9"/>
  <c r="AI158" i="9"/>
  <c r="AI47" i="9"/>
  <c r="AI80" i="9"/>
  <c r="AI44" i="9"/>
  <c r="L1499" i="2"/>
  <c r="L1724" i="2" s="1"/>
  <c r="H1382" i="2"/>
  <c r="K1382" i="2"/>
  <c r="J1382" i="2"/>
  <c r="I1382" i="2"/>
  <c r="AI764" i="9"/>
  <c r="AI957" i="9"/>
  <c r="AI1071" i="9"/>
  <c r="AI889" i="9"/>
  <c r="AI697" i="9"/>
  <c r="AI829" i="9"/>
  <c r="AI464" i="9"/>
  <c r="AI499" i="9"/>
  <c r="AI210" i="9"/>
  <c r="AI553" i="9"/>
  <c r="AI117" i="9"/>
  <c r="AI519" i="9"/>
  <c r="H1500" i="2"/>
  <c r="I1383" i="2"/>
  <c r="AI704" i="9"/>
  <c r="AI816" i="9"/>
  <c r="AI940" i="9"/>
  <c r="AI728" i="9"/>
  <c r="AI347" i="9"/>
  <c r="AI911" i="9"/>
  <c r="AI258" i="9"/>
  <c r="AI627" i="9"/>
  <c r="AI702" i="9"/>
  <c r="AI216" i="9"/>
  <c r="AI759" i="9"/>
  <c r="AI476" i="9"/>
  <c r="AI490" i="9"/>
  <c r="AI587" i="9"/>
  <c r="AI481" i="9"/>
  <c r="AI542" i="9"/>
  <c r="AI314" i="9"/>
  <c r="AI126" i="9"/>
  <c r="AI297" i="9"/>
  <c r="AI318" i="9"/>
  <c r="AI37" i="9"/>
  <c r="AI180" i="9"/>
  <c r="AI30" i="9"/>
  <c r="P1378" i="2"/>
  <c r="Q1378" i="2" s="1"/>
  <c r="H1388" i="2" s="1"/>
  <c r="O26" i="15" s="1"/>
  <c r="K1699" i="2"/>
  <c r="L1699" i="2"/>
  <c r="P1699" i="2" s="1"/>
  <c r="M1699" i="2"/>
  <c r="I1501" i="2"/>
  <c r="J1384" i="2"/>
  <c r="W1409" i="2"/>
  <c r="Z1409" i="2"/>
  <c r="X1409" i="2"/>
  <c r="Y1409" i="2"/>
  <c r="V1409" i="2"/>
  <c r="X1413" i="2" a="1"/>
  <c r="X1413" i="2" s="1"/>
  <c r="Y1413" i="2" a="1"/>
  <c r="Y1413" i="2" s="1"/>
  <c r="W1413" i="2" a="1"/>
  <c r="W1413" i="2" s="1"/>
  <c r="Z1413" i="2" a="1"/>
  <c r="Z1413" i="2" s="1"/>
  <c r="V1413" i="2" a="1"/>
  <c r="V1413" i="2" s="1"/>
  <c r="Y1410" i="2"/>
  <c r="X1410" i="2"/>
  <c r="Z1410" i="2"/>
  <c r="W1410" i="2"/>
  <c r="V1410" i="2"/>
  <c r="D1618" i="2"/>
  <c r="P1382" i="2" s="1"/>
  <c r="D1629" i="2"/>
  <c r="D1630" i="2"/>
  <c r="D1625" i="2"/>
  <c r="D1628" i="2"/>
  <c r="D1627" i="2"/>
  <c r="D1619" i="2"/>
  <c r="D1626" i="2"/>
  <c r="D1624" i="2"/>
  <c r="D1623" i="2"/>
  <c r="K1724" i="2"/>
  <c r="BT1498" i="2"/>
  <c r="BS1505" i="2" s="1"/>
  <c r="CJ1505" i="2" s="1"/>
  <c r="L1498" i="2"/>
  <c r="K1725" i="2"/>
  <c r="BT1499" i="2"/>
  <c r="BW1505" i="2" s="1"/>
  <c r="CN1505" i="2" s="1"/>
  <c r="AI828" i="9"/>
  <c r="AI684" i="9"/>
  <c r="AI707" i="9"/>
  <c r="AI740" i="9"/>
  <c r="AI420" i="9"/>
  <c r="AI930" i="9"/>
  <c r="AI761" i="9"/>
  <c r="AI356" i="9"/>
  <c r="AI893" i="9"/>
  <c r="AI701" i="9"/>
  <c r="AI979" i="9"/>
  <c r="AI691" i="9"/>
  <c r="AI640" i="9"/>
  <c r="AI963" i="9"/>
  <c r="AI636" i="9"/>
  <c r="AI794" i="9"/>
  <c r="AI912" i="9"/>
  <c r="AI1062" i="9"/>
  <c r="AI999" i="9"/>
  <c r="AI929" i="9"/>
  <c r="AI688" i="9"/>
  <c r="AI856" i="9"/>
  <c r="AI792" i="9"/>
  <c r="AI664" i="9"/>
  <c r="AI904" i="9"/>
  <c r="AI380" i="9"/>
  <c r="AI795" i="9"/>
  <c r="AI667" i="9"/>
  <c r="AI622" i="9"/>
  <c r="AI885" i="9"/>
  <c r="AI693" i="9"/>
  <c r="AI386" i="9"/>
  <c r="AI766" i="9"/>
  <c r="AI638" i="9"/>
  <c r="AI443" i="9"/>
  <c r="AI823" i="9"/>
  <c r="AI695" i="9"/>
  <c r="AI632" i="9"/>
  <c r="AI554" i="9"/>
  <c r="AI283" i="9"/>
  <c r="AI523" i="9"/>
  <c r="AI402" i="9"/>
  <c r="AI609" i="9"/>
  <c r="AI545" i="9"/>
  <c r="AI549" i="9"/>
  <c r="AI606" i="9"/>
  <c r="AI478" i="9"/>
  <c r="AI442" i="9"/>
  <c r="AI378" i="9"/>
  <c r="AI250" i="9"/>
  <c r="AI425" i="9"/>
  <c r="AI361" i="9"/>
  <c r="AI233" i="9"/>
  <c r="AI381" i="9"/>
  <c r="AI446" i="9"/>
  <c r="AI175" i="9"/>
  <c r="AI104" i="9"/>
  <c r="AI97" i="9"/>
  <c r="AI40" i="9"/>
  <c r="AI29" i="9"/>
  <c r="AI90" i="9"/>
  <c r="AI124" i="9"/>
  <c r="AI12" i="9"/>
  <c r="S1361" i="2"/>
  <c r="R1393" i="2" s="1"/>
  <c r="H1723" i="2"/>
  <c r="BQ1497" i="2"/>
  <c r="BL1505" i="2" s="1"/>
  <c r="CC1505" i="2" s="1"/>
  <c r="J1500" i="2"/>
  <c r="K1383" i="2"/>
  <c r="AI755" i="9"/>
  <c r="AI732" i="9"/>
  <c r="AI631" i="9"/>
  <c r="AI668" i="9"/>
  <c r="AI988" i="9"/>
  <c r="AI965" i="9"/>
  <c r="AI947" i="9"/>
  <c r="AI626" i="9"/>
  <c r="AI819" i="9"/>
  <c r="AI1011" i="9"/>
  <c r="AI492" i="9"/>
  <c r="AI1033" i="9"/>
  <c r="AI969" i="9"/>
  <c r="AI652" i="9"/>
  <c r="AI1058" i="9"/>
  <c r="AI994" i="9"/>
  <c r="AI910" i="9"/>
  <c r="AI1054" i="9"/>
  <c r="AI899" i="9"/>
  <c r="AI1055" i="9"/>
  <c r="AI991" i="9"/>
  <c r="AI896" i="9"/>
  <c r="AI448" i="9"/>
  <c r="AI953" i="9"/>
  <c r="AI803" i="9"/>
  <c r="AI675" i="9"/>
  <c r="AI932" i="9"/>
  <c r="AI852" i="9"/>
  <c r="AI788" i="9"/>
  <c r="AI724" i="9"/>
  <c r="AI660" i="9"/>
  <c r="AI884" i="9"/>
  <c r="AI344" i="9"/>
  <c r="AI892" i="9"/>
  <c r="AI850" i="9"/>
  <c r="AI786" i="9"/>
  <c r="AI722" i="9"/>
  <c r="AI658" i="9"/>
  <c r="AI308" i="9"/>
  <c r="AI873" i="9"/>
  <c r="AI809" i="9"/>
  <c r="AI681" i="9"/>
  <c r="AI610" i="9"/>
  <c r="AI232" i="9"/>
  <c r="AI877" i="9"/>
  <c r="AI813" i="9"/>
  <c r="AI685" i="9"/>
  <c r="AI616" i="9"/>
  <c r="AI360" i="9"/>
  <c r="AI886" i="9"/>
  <c r="AI822" i="9"/>
  <c r="AI758" i="9"/>
  <c r="AI694" i="9"/>
  <c r="AI611" i="9"/>
  <c r="AI436" i="9"/>
  <c r="AI208" i="9"/>
  <c r="AI815" i="9"/>
  <c r="AI751" i="9"/>
  <c r="AI687" i="9"/>
  <c r="AI348" i="9"/>
  <c r="AI615" i="9"/>
  <c r="AI111" i="9"/>
  <c r="AI547" i="9"/>
  <c r="AI483" i="9"/>
  <c r="AI338" i="9"/>
  <c r="AI416" i="9"/>
  <c r="AI260" i="9"/>
  <c r="AI514" i="9"/>
  <c r="AI240" i="9"/>
  <c r="AI601" i="9"/>
  <c r="AI605" i="9"/>
  <c r="AI534" i="9"/>
  <c r="AI567" i="9"/>
  <c r="AI503" i="9"/>
  <c r="AI435" i="9"/>
  <c r="AI371" i="9"/>
  <c r="AI307" i="9"/>
  <c r="AI243" i="9"/>
  <c r="AI417" i="9"/>
  <c r="AI353" i="9"/>
  <c r="AI289" i="9"/>
  <c r="AI225" i="9"/>
  <c r="AI81" i="9"/>
  <c r="AI437" i="9"/>
  <c r="AI373" i="9"/>
  <c r="AI309" i="9"/>
  <c r="AI245" i="9"/>
  <c r="AI185" i="9"/>
  <c r="AI91" i="9"/>
  <c r="AI438" i="9"/>
  <c r="AI374" i="9"/>
  <c r="AI310" i="9"/>
  <c r="AI246" i="9"/>
  <c r="AI26" i="9"/>
  <c r="AI423" i="9"/>
  <c r="AI359" i="9"/>
  <c r="AI295" i="9"/>
  <c r="AI231" i="9"/>
  <c r="AI152" i="9"/>
  <c r="AI95" i="9"/>
  <c r="AI172" i="9"/>
  <c r="AI75" i="9"/>
  <c r="AI195" i="9"/>
  <c r="AI35" i="9"/>
  <c r="AI25" i="9"/>
  <c r="AI22" i="9"/>
  <c r="AI116" i="9"/>
  <c r="AI7" i="9"/>
  <c r="C129" i="20"/>
  <c r="B129" i="20" s="1"/>
  <c r="F1431" i="2" s="1"/>
  <c r="C127" i="20"/>
  <c r="B127" i="20" s="1"/>
  <c r="F1429" i="2" s="1"/>
  <c r="BF1498" i="2"/>
  <c r="BG1498" i="2"/>
  <c r="BH1498" i="2"/>
  <c r="F1626" i="2"/>
  <c r="F1619" i="2"/>
  <c r="F1628" i="2"/>
  <c r="F1629" i="2"/>
  <c r="F1618" i="2"/>
  <c r="P1384" i="2" s="1"/>
  <c r="F1630" i="2"/>
  <c r="F1623" i="2"/>
  <c r="F1625" i="2"/>
  <c r="F1624" i="2"/>
  <c r="F1627" i="2"/>
  <c r="BH1499" i="2"/>
  <c r="BF1499" i="2"/>
  <c r="BG1499" i="2"/>
  <c r="L1697" i="2"/>
  <c r="M1697" i="2"/>
  <c r="K1697" i="2"/>
  <c r="N1697" i="2" s="1"/>
  <c r="P1362" i="2"/>
  <c r="P1363" i="2" s="1"/>
  <c r="P1365" i="2" s="1"/>
  <c r="Q1365" i="2" s="1"/>
  <c r="N1388" i="2" s="1"/>
  <c r="I35" i="15" s="1"/>
  <c r="I1724" i="2"/>
  <c r="BR1498" i="2"/>
  <c r="BQ1505" i="2" s="1"/>
  <c r="CH1505" i="2" s="1"/>
  <c r="C126" i="20"/>
  <c r="B126" i="20" s="1"/>
  <c r="Q1418" i="2"/>
  <c r="W1412" i="2"/>
  <c r="Y1412" i="2"/>
  <c r="Z1412" i="2"/>
  <c r="X1412" i="2"/>
  <c r="V1412" i="2"/>
  <c r="M1698" i="2"/>
  <c r="K1698" i="2"/>
  <c r="N1698" i="2" s="1"/>
  <c r="L1698" i="2"/>
  <c r="P1698" i="2" s="1"/>
  <c r="AI1003" i="9"/>
  <c r="AI1060" i="9"/>
  <c r="AI1049" i="9"/>
  <c r="AI1074" i="9"/>
  <c r="AI552" i="9"/>
  <c r="AI948" i="9"/>
  <c r="K1682" i="2"/>
  <c r="K1680" i="2"/>
  <c r="K1681" i="2"/>
  <c r="AI1020" i="9"/>
  <c r="AI1053" i="9"/>
  <c r="AI935" i="9"/>
  <c r="AI536" i="9"/>
  <c r="AI996" i="9"/>
  <c r="AI315" i="9"/>
  <c r="AI1025" i="9"/>
  <c r="AI961" i="9"/>
  <c r="AI1046" i="9"/>
  <c r="AI982" i="9"/>
  <c r="AI867" i="9"/>
  <c r="AI1047" i="9"/>
  <c r="AI983" i="9"/>
  <c r="AI888" i="9"/>
  <c r="AI1072" i="9"/>
  <c r="AI1008" i="9"/>
  <c r="AI945" i="9"/>
  <c r="AI926" i="9"/>
  <c r="AI220" i="9"/>
  <c r="AI859" i="9"/>
  <c r="AI865" i="9"/>
  <c r="AI801" i="9"/>
  <c r="AI673" i="9"/>
  <c r="AI805" i="9"/>
  <c r="AI741" i="9"/>
  <c r="AI677" i="9"/>
  <c r="AI331" i="9"/>
  <c r="AI814" i="9"/>
  <c r="AI750" i="9"/>
  <c r="AI686" i="9"/>
  <c r="AI600" i="9"/>
  <c r="AI169" i="9"/>
  <c r="AI807" i="9"/>
  <c r="AI743" i="9"/>
  <c r="AI679" i="9"/>
  <c r="AI621" i="9"/>
  <c r="AI284" i="9"/>
  <c r="AI296" i="9"/>
  <c r="AI474" i="9"/>
  <c r="AI332" i="9"/>
  <c r="AI411" i="9"/>
  <c r="AI571" i="9"/>
  <c r="AI507" i="9"/>
  <c r="AI235" i="9"/>
  <c r="AI593" i="9"/>
  <c r="AI597" i="9"/>
  <c r="AI533" i="9"/>
  <c r="AI204" i="9"/>
  <c r="AI590" i="9"/>
  <c r="AI526" i="9"/>
  <c r="AI143" i="9"/>
  <c r="AI559" i="9"/>
  <c r="AI495" i="9"/>
  <c r="AI426" i="9"/>
  <c r="AI298" i="9"/>
  <c r="AI409" i="9"/>
  <c r="AI281" i="9"/>
  <c r="AI74" i="9"/>
  <c r="AI365" i="9"/>
  <c r="AI301" i="9"/>
  <c r="AI163" i="9"/>
  <c r="AI88" i="9"/>
  <c r="AI18" i="9"/>
  <c r="AI415" i="9"/>
  <c r="AI351" i="9"/>
  <c r="AI287" i="9"/>
  <c r="AI223" i="9"/>
  <c r="AI141" i="9"/>
  <c r="AI159" i="9"/>
  <c r="AI164" i="9"/>
  <c r="AI189" i="9"/>
  <c r="AI118" i="9"/>
  <c r="AI5" i="9"/>
  <c r="AI17" i="9"/>
  <c r="AI31" i="9"/>
  <c r="AI46" i="9"/>
  <c r="I1723" i="2"/>
  <c r="BR1497" i="2"/>
  <c r="BM1505" i="2" s="1"/>
  <c r="CD1505" i="2" s="1"/>
  <c r="E1629" i="2"/>
  <c r="E1625" i="2"/>
  <c r="E1628" i="2"/>
  <c r="E1630" i="2"/>
  <c r="E1624" i="2"/>
  <c r="E1627" i="2"/>
  <c r="E1626" i="2"/>
  <c r="E1623" i="2"/>
  <c r="E1619" i="2"/>
  <c r="E1618" i="2"/>
  <c r="P1383" i="2" s="1"/>
  <c r="BT1729" i="2"/>
  <c r="E1598" i="2"/>
  <c r="E1581" i="2"/>
  <c r="E1593" i="2"/>
  <c r="E1586" i="2"/>
  <c r="E1577" i="2"/>
  <c r="E1594" i="2"/>
  <c r="E1587" i="2"/>
  <c r="E1578" i="2"/>
  <c r="E1595" i="2"/>
  <c r="E1608" i="2"/>
  <c r="E1576" i="2"/>
  <c r="E1597" i="2"/>
  <c r="E1605" i="2"/>
  <c r="E1592" i="2"/>
  <c r="E1585" i="2"/>
  <c r="E1604" i="2"/>
  <c r="E1588" i="2"/>
  <c r="E1579" i="2"/>
  <c r="E1582" i="2"/>
  <c r="E1580" i="2"/>
  <c r="E1596" i="2"/>
  <c r="E1583" i="2"/>
  <c r="E1601" i="2"/>
  <c r="E1589" i="2"/>
  <c r="E1591" i="2"/>
  <c r="E1606" i="2"/>
  <c r="E1602" i="2"/>
  <c r="E1590" i="2"/>
  <c r="E1607" i="2"/>
  <c r="E1600" i="2"/>
  <c r="E1584" i="2"/>
  <c r="E1603" i="2"/>
  <c r="E1572" i="2"/>
  <c r="N1383" i="2" s="1"/>
  <c r="E1599" i="2"/>
  <c r="K1726" i="2"/>
  <c r="BT1500" i="2"/>
  <c r="CA1505" i="2" s="1"/>
  <c r="CR1505" i="2" s="1"/>
  <c r="I1500" i="2"/>
  <c r="J1383" i="2"/>
  <c r="AI1019" i="9"/>
  <c r="AI1013" i="9"/>
  <c r="AI1035" i="9"/>
  <c r="AI1076" i="9"/>
  <c r="AI981" i="9"/>
  <c r="AI748" i="9"/>
  <c r="AI1042" i="9"/>
  <c r="AI978" i="9"/>
  <c r="AI625" i="9"/>
  <c r="AI882" i="9"/>
  <c r="AI1000" i="9"/>
  <c r="AI936" i="9"/>
  <c r="AI771" i="9"/>
  <c r="AI643" i="9"/>
  <c r="AI836" i="9"/>
  <c r="AI772" i="9"/>
  <c r="AI708" i="9"/>
  <c r="AI644" i="9"/>
  <c r="AI540" i="9"/>
  <c r="AI921" i="9"/>
  <c r="AI857" i="9"/>
  <c r="AI793" i="9"/>
  <c r="AI729" i="9"/>
  <c r="AI665" i="9"/>
  <c r="AI564" i="9"/>
  <c r="AI733" i="9"/>
  <c r="AI228" i="9"/>
  <c r="AI870" i="9"/>
  <c r="AI806" i="9"/>
  <c r="AI742" i="9"/>
  <c r="AI678" i="9"/>
  <c r="AI408" i="9"/>
  <c r="AI251" i="9"/>
  <c r="AI272" i="9"/>
  <c r="AI595" i="9"/>
  <c r="AI531" i="9"/>
  <c r="AI466" i="9"/>
  <c r="AI13" i="9"/>
  <c r="AI142" i="9"/>
  <c r="AI212" i="9"/>
  <c r="AI585" i="9"/>
  <c r="AI521" i="9"/>
  <c r="AI525" i="9"/>
  <c r="AI196" i="9"/>
  <c r="AI43" i="9"/>
  <c r="AI551" i="9"/>
  <c r="AI487" i="9"/>
  <c r="AI465" i="9"/>
  <c r="AI401" i="9"/>
  <c r="AI337" i="9"/>
  <c r="AI273" i="9"/>
  <c r="AI209" i="9"/>
  <c r="AI421" i="9"/>
  <c r="AI357" i="9"/>
  <c r="AI293" i="9"/>
  <c r="AI229" i="9"/>
  <c r="AI148" i="9"/>
  <c r="AI157" i="9"/>
  <c r="AI125" i="9"/>
  <c r="AI63" i="9"/>
  <c r="AI181" i="9"/>
  <c r="AI112" i="9"/>
  <c r="AI130" i="9"/>
  <c r="AI6" i="9"/>
  <c r="Y1411" i="2"/>
  <c r="W1411" i="2"/>
  <c r="Z1411" i="2"/>
  <c r="X1411" i="2"/>
  <c r="V1411" i="2"/>
  <c r="BR1729" i="2"/>
  <c r="BR1731" i="2" s="1"/>
  <c r="BR1733" i="2" s="1"/>
  <c r="BR1735" i="2" s="1"/>
  <c r="BR1737" i="2" s="1"/>
  <c r="BR1739" i="2" s="1"/>
  <c r="BR1741" i="2" s="1"/>
  <c r="BR1743" i="2" s="1"/>
  <c r="BR1745" i="2" s="1"/>
  <c r="BR1747" i="2" s="1"/>
  <c r="BR1749" i="2" s="1"/>
  <c r="BR1751" i="2" s="1"/>
  <c r="BR1753" i="2" s="1"/>
  <c r="BR1755" i="2" s="1"/>
  <c r="BR1757" i="2" s="1"/>
  <c r="C1587" i="2"/>
  <c r="C1582" i="2"/>
  <c r="C1579" i="2"/>
  <c r="C1599" i="2"/>
  <c r="C1596" i="2"/>
  <c r="C1577" i="2"/>
  <c r="C1607" i="2"/>
  <c r="C1592" i="2"/>
  <c r="C1586" i="2"/>
  <c r="C1595" i="2"/>
  <c r="C1576" i="2"/>
  <c r="C1593" i="2"/>
  <c r="C1589" i="2"/>
  <c r="C1578" i="2"/>
  <c r="C1588" i="2"/>
  <c r="C1594" i="2"/>
  <c r="C1606" i="2"/>
  <c r="C1602" i="2"/>
  <c r="C1608" i="2"/>
  <c r="C1590" i="2"/>
  <c r="C1584" i="2"/>
  <c r="C1581" i="2"/>
  <c r="C1572" i="2"/>
  <c r="N1381" i="2" s="1"/>
  <c r="C1591" i="2"/>
  <c r="C1604" i="2"/>
  <c r="C1603" i="2"/>
  <c r="C1597" i="2"/>
  <c r="C1598" i="2"/>
  <c r="C1605" i="2"/>
  <c r="C1583" i="2"/>
  <c r="C1585" i="2"/>
  <c r="C1601" i="2"/>
  <c r="C1600" i="2"/>
  <c r="C1580" i="2"/>
  <c r="H1501" i="2"/>
  <c r="I1384" i="2"/>
  <c r="J1724" i="2"/>
  <c r="BS1498" i="2"/>
  <c r="BR1505" i="2" s="1"/>
  <c r="CI1505" i="2" s="1"/>
  <c r="Z1394" i="2" l="1"/>
  <c r="Z1393" i="2"/>
  <c r="V1393" i="2"/>
  <c r="AA1393" i="2" s="1"/>
  <c r="W1394" i="2"/>
  <c r="X1393" i="2"/>
  <c r="Y1393" i="2"/>
  <c r="V1394" i="2"/>
  <c r="AA1394" i="2" s="1"/>
  <c r="Y1394" i="2"/>
  <c r="W1389" i="2"/>
  <c r="V1389" i="2"/>
  <c r="AA1389" i="2" s="1"/>
  <c r="U1420" i="2"/>
  <c r="Y1401" i="2" s="1"/>
  <c r="Y1399" i="2" s="1"/>
  <c r="L1370" i="2" s="1"/>
  <c r="V1403" i="2"/>
  <c r="Y1403" i="2"/>
  <c r="V1390" i="2"/>
  <c r="AA1390" i="2" s="1"/>
  <c r="Z1407" i="2"/>
  <c r="M1371" i="2" s="1"/>
  <c r="W1403" i="2"/>
  <c r="Z1403" i="2"/>
  <c r="X1391" i="2"/>
  <c r="X1387" i="2" s="1"/>
  <c r="K1369" i="2" s="1"/>
  <c r="Y1391" i="2"/>
  <c r="W1402" i="2"/>
  <c r="V1402" i="2"/>
  <c r="Y1407" i="2"/>
  <c r="M1370" i="2" s="1"/>
  <c r="Z1402" i="2"/>
  <c r="X1407" i="2"/>
  <c r="M1369" i="2" s="1"/>
  <c r="X1402" i="2"/>
  <c r="W1407" i="2"/>
  <c r="M1368" i="2" s="1"/>
  <c r="V1407" i="2"/>
  <c r="J1485" i="2" s="1"/>
  <c r="J1486" i="2" s="1"/>
  <c r="J1487" i="2" s="1"/>
  <c r="J1488" i="2" s="1"/>
  <c r="X1392" i="2"/>
  <c r="V1392" i="2"/>
  <c r="AA1392" i="2" s="1"/>
  <c r="W1392" i="2"/>
  <c r="Z1392" i="2"/>
  <c r="Z1391" i="2"/>
  <c r="W1391" i="2"/>
  <c r="W1387" i="2" s="1"/>
  <c r="K1368" i="2" s="1"/>
  <c r="X1395" i="2"/>
  <c r="Y1390" i="2"/>
  <c r="W1396" i="2" a="1"/>
  <c r="W1396" i="2" s="1"/>
  <c r="Z1395" i="2"/>
  <c r="V1395" i="2"/>
  <c r="AA1395" i="2" s="1"/>
  <c r="X1396" i="2" a="1"/>
  <c r="X1396" i="2" s="1"/>
  <c r="W1395" i="2"/>
  <c r="V1396" i="2" a="1"/>
  <c r="V1396" i="2" s="1"/>
  <c r="X1389" i="2"/>
  <c r="W1390" i="2"/>
  <c r="Z1396" i="2" a="1"/>
  <c r="Z1396" i="2" s="1"/>
  <c r="Z1389" i="2"/>
  <c r="Y1396" i="2" a="1"/>
  <c r="Y1396" i="2" s="1"/>
  <c r="X1390" i="2"/>
  <c r="Y1389" i="2"/>
  <c r="R1411" i="2"/>
  <c r="R1398" i="2"/>
  <c r="R1413" i="2"/>
  <c r="R1412" i="2"/>
  <c r="R1403" i="2"/>
  <c r="R1414" i="2"/>
  <c r="R1415" i="2"/>
  <c r="P1697" i="2"/>
  <c r="R1409" i="2"/>
  <c r="R1392" i="2"/>
  <c r="R1407" i="2"/>
  <c r="R1400" i="2"/>
  <c r="R1395" i="2"/>
  <c r="R1405" i="2"/>
  <c r="R1416" i="2"/>
  <c r="R1396" i="2"/>
  <c r="R1410" i="2"/>
  <c r="R1404" i="2"/>
  <c r="R1406" i="2"/>
  <c r="G1675" i="2"/>
  <c r="R1391" i="2"/>
  <c r="F1666" i="2"/>
  <c r="R1399" i="2"/>
  <c r="B1602" i="2"/>
  <c r="D1416" i="2" s="1"/>
  <c r="B1416" i="2" s="1"/>
  <c r="B1582" i="2"/>
  <c r="D1396" i="2" s="1"/>
  <c r="B1396" i="2" s="1"/>
  <c r="R1394" i="2"/>
  <c r="B1603" i="2"/>
  <c r="D1417" i="2" s="1"/>
  <c r="B1417" i="2" s="1"/>
  <c r="C1666" i="2"/>
  <c r="G1666" i="2"/>
  <c r="B1604" i="2"/>
  <c r="D1418" i="2" s="1"/>
  <c r="B1418" i="2" s="1"/>
  <c r="B1580" i="2"/>
  <c r="D1394" i="2" s="1"/>
  <c r="B1394" i="2" s="1"/>
  <c r="B1600" i="2"/>
  <c r="D1414" i="2" s="1"/>
  <c r="B1414" i="2" s="1"/>
  <c r="B1586" i="2"/>
  <c r="D1400" i="2" s="1"/>
  <c r="B1400" i="2" s="1"/>
  <c r="B1591" i="2"/>
  <c r="D1405" i="2" s="1"/>
  <c r="B1405" i="2" s="1"/>
  <c r="B1594" i="2"/>
  <c r="D1408" i="2" s="1"/>
  <c r="B1408" i="2" s="1"/>
  <c r="R1408" i="2"/>
  <c r="D1669" i="2"/>
  <c r="P1696" i="2"/>
  <c r="B1598" i="2"/>
  <c r="D1412" i="2" s="1"/>
  <c r="B1412" i="2" s="1"/>
  <c r="B1590" i="2"/>
  <c r="D1404" i="2" s="1"/>
  <c r="B1404" i="2" s="1"/>
  <c r="B1593" i="2"/>
  <c r="D1407" i="2" s="1"/>
  <c r="B1407" i="2" s="1"/>
  <c r="B1599" i="2"/>
  <c r="D1413" i="2" s="1"/>
  <c r="B1413" i="2" s="1"/>
  <c r="G1672" i="2"/>
  <c r="C1675" i="2"/>
  <c r="F1669" i="2"/>
  <c r="D1675" i="2"/>
  <c r="D1666" i="2"/>
  <c r="B1595" i="2"/>
  <c r="D1409" i="2" s="1"/>
  <c r="B1409" i="2" s="1"/>
  <c r="E1669" i="2"/>
  <c r="F1672" i="2"/>
  <c r="B1597" i="2"/>
  <c r="D1411" i="2" s="1"/>
  <c r="B1411" i="2" s="1"/>
  <c r="B1608" i="2"/>
  <c r="D1422" i="2" s="1"/>
  <c r="B1422" i="2" s="1"/>
  <c r="B1576" i="2"/>
  <c r="D1390" i="2" s="1"/>
  <c r="B1390" i="2" s="1"/>
  <c r="B1579" i="2"/>
  <c r="D1393" i="2" s="1"/>
  <c r="B1393" i="2" s="1"/>
  <c r="L1383" i="2"/>
  <c r="R1383" i="2" s="1"/>
  <c r="R1417" i="2"/>
  <c r="R1397" i="2"/>
  <c r="I1726" i="2"/>
  <c r="BR1500" i="2"/>
  <c r="BY1505" i="2" s="1"/>
  <c r="CP1505" i="2" s="1"/>
  <c r="B1669" i="2"/>
  <c r="E1675" i="2"/>
  <c r="B1666" i="2"/>
  <c r="B1606" i="2"/>
  <c r="D1420" i="2" s="1"/>
  <c r="B1420" i="2" s="1"/>
  <c r="B1587" i="2"/>
  <c r="D1401" i="2" s="1"/>
  <c r="B1401" i="2" s="1"/>
  <c r="I1725" i="2"/>
  <c r="BR1499" i="2"/>
  <c r="BU1505" i="2" s="1"/>
  <c r="CL1505" i="2" s="1"/>
  <c r="B1672" i="2"/>
  <c r="C1624" i="2"/>
  <c r="B1623" i="2"/>
  <c r="D1436" i="2" s="1"/>
  <c r="B1436" i="2" s="1"/>
  <c r="C1669" i="2"/>
  <c r="F1675" i="2"/>
  <c r="E1505" i="2"/>
  <c r="W1505" i="2" s="1"/>
  <c r="J1381" i="2" s="1"/>
  <c r="J1505" i="2"/>
  <c r="AB1505" i="2" s="1"/>
  <c r="C1732" i="2"/>
  <c r="U1732" i="2" s="1"/>
  <c r="AK1732" i="2"/>
  <c r="AL1732" i="2" s="1"/>
  <c r="AT1732" i="2" s="1"/>
  <c r="AY1732" i="2"/>
  <c r="AZ1732" i="2" s="1"/>
  <c r="BG1732" i="2" s="1"/>
  <c r="AQ1735" i="2"/>
  <c r="AR1735" i="2" s="1"/>
  <c r="AW1735" i="2" s="1"/>
  <c r="BE1735" i="2"/>
  <c r="BF1735" i="2" s="1"/>
  <c r="BJ1735" i="2" s="1"/>
  <c r="AM1736" i="2"/>
  <c r="AN1736" i="2" s="1"/>
  <c r="AU1736" i="2" s="1"/>
  <c r="BA1736" i="2"/>
  <c r="BB1736" i="2" s="1"/>
  <c r="BH1736" i="2" s="1"/>
  <c r="AK1739" i="2"/>
  <c r="AL1739" i="2" s="1"/>
  <c r="AT1739" i="2" s="1"/>
  <c r="AY1739" i="2"/>
  <c r="AZ1739" i="2" s="1"/>
  <c r="BG1739" i="2" s="1"/>
  <c r="AO1740" i="2"/>
  <c r="AP1740" i="2" s="1"/>
  <c r="AV1740" i="2" s="1"/>
  <c r="BC1740" i="2"/>
  <c r="BD1740" i="2" s="1"/>
  <c r="BI1740" i="2" s="1"/>
  <c r="H1505" i="2"/>
  <c r="Z1505" i="2" s="1"/>
  <c r="F1505" i="2"/>
  <c r="X1505" i="2" s="1"/>
  <c r="K1381" i="2" s="1"/>
  <c r="D1505" i="2"/>
  <c r="V1505" i="2" s="1"/>
  <c r="I1381" i="2" s="1"/>
  <c r="BC1731" i="2"/>
  <c r="BD1731" i="2" s="1"/>
  <c r="BI1731" i="2" s="1"/>
  <c r="AO1732" i="2"/>
  <c r="AP1732" i="2" s="1"/>
  <c r="AV1732" i="2" s="1"/>
  <c r="AY1734" i="2"/>
  <c r="AZ1734" i="2" s="1"/>
  <c r="BG1734" i="2" s="1"/>
  <c r="AM1735" i="2"/>
  <c r="AN1735" i="2" s="1"/>
  <c r="AU1735" i="2" s="1"/>
  <c r="AO1736" i="2"/>
  <c r="AP1736" i="2" s="1"/>
  <c r="AV1736" i="2" s="1"/>
  <c r="AQ1737" i="2"/>
  <c r="AR1737" i="2" s="1"/>
  <c r="AW1737" i="2" s="1"/>
  <c r="C1505" i="2"/>
  <c r="U1505" i="2" s="1"/>
  <c r="H1381" i="2" s="1"/>
  <c r="AK1731" i="2"/>
  <c r="AL1731" i="2" s="1"/>
  <c r="AT1731" i="2" s="1"/>
  <c r="AO1731" i="2"/>
  <c r="AP1731" i="2" s="1"/>
  <c r="AV1731" i="2" s="1"/>
  <c r="AY1733" i="2"/>
  <c r="AZ1733" i="2" s="1"/>
  <c r="BG1733" i="2" s="1"/>
  <c r="AO1735" i="2"/>
  <c r="AP1735" i="2" s="1"/>
  <c r="AV1735" i="2" s="1"/>
  <c r="G1505" i="2"/>
  <c r="Y1505" i="2" s="1"/>
  <c r="AY1731" i="2"/>
  <c r="AZ1731" i="2" s="1"/>
  <c r="BG1731" i="2" s="1"/>
  <c r="BE1733" i="2"/>
  <c r="BF1733" i="2" s="1"/>
  <c r="BJ1733" i="2" s="1"/>
  <c r="AM1734" i="2"/>
  <c r="AN1734" i="2" s="1"/>
  <c r="AU1734" i="2" s="1"/>
  <c r="BC1734" i="2"/>
  <c r="BD1734" i="2" s="1"/>
  <c r="BI1734" i="2" s="1"/>
  <c r="AK1735" i="2"/>
  <c r="AL1735" i="2" s="1"/>
  <c r="AT1735" i="2" s="1"/>
  <c r="BA1735" i="2"/>
  <c r="BB1735" i="2" s="1"/>
  <c r="BH1735" i="2" s="1"/>
  <c r="AY1736" i="2"/>
  <c r="AZ1736" i="2" s="1"/>
  <c r="BG1736" i="2" s="1"/>
  <c r="AY1737" i="2"/>
  <c r="AZ1737" i="2" s="1"/>
  <c r="BG1737" i="2" s="1"/>
  <c r="BE1738" i="2"/>
  <c r="BF1738" i="2" s="1"/>
  <c r="BJ1738" i="2" s="1"/>
  <c r="AK1740" i="2"/>
  <c r="AL1740" i="2" s="1"/>
  <c r="AT1740" i="2" s="1"/>
  <c r="AK1741" i="2"/>
  <c r="AL1741" i="2" s="1"/>
  <c r="AT1741" i="2" s="1"/>
  <c r="AY1741" i="2"/>
  <c r="AZ1741" i="2" s="1"/>
  <c r="BG1741" i="2" s="1"/>
  <c r="AO1742" i="2"/>
  <c r="AP1742" i="2" s="1"/>
  <c r="AV1742" i="2" s="1"/>
  <c r="BC1742" i="2"/>
  <c r="BD1742" i="2" s="1"/>
  <c r="BI1742" i="2" s="1"/>
  <c r="AM1745" i="2"/>
  <c r="AN1745" i="2" s="1"/>
  <c r="AU1745" i="2" s="1"/>
  <c r="BA1745" i="2"/>
  <c r="BB1745" i="2" s="1"/>
  <c r="BH1745" i="2" s="1"/>
  <c r="AQ1746" i="2"/>
  <c r="AR1746" i="2" s="1"/>
  <c r="AW1746" i="2" s="1"/>
  <c r="BE1746" i="2"/>
  <c r="BF1746" i="2" s="1"/>
  <c r="BJ1746" i="2" s="1"/>
  <c r="AO1749" i="2"/>
  <c r="AP1749" i="2" s="1"/>
  <c r="AV1749" i="2" s="1"/>
  <c r="BC1749" i="2"/>
  <c r="BD1749" i="2" s="1"/>
  <c r="BI1749" i="2" s="1"/>
  <c r="AO1751" i="2"/>
  <c r="AP1751" i="2" s="1"/>
  <c r="AV1751" i="2" s="1"/>
  <c r="BC1751" i="2"/>
  <c r="BD1751" i="2" s="1"/>
  <c r="BI1751" i="2" s="1"/>
  <c r="AK1752" i="2"/>
  <c r="AL1752" i="2" s="1"/>
  <c r="AT1752" i="2" s="1"/>
  <c r="AY1752" i="2"/>
  <c r="AZ1752" i="2" s="1"/>
  <c r="BG1752" i="2" s="1"/>
  <c r="AQ1755" i="2"/>
  <c r="AR1755" i="2" s="1"/>
  <c r="AW1755" i="2" s="1"/>
  <c r="BE1755" i="2"/>
  <c r="BF1755" i="2" s="1"/>
  <c r="BJ1755" i="2" s="1"/>
  <c r="AM1756" i="2"/>
  <c r="AN1756" i="2" s="1"/>
  <c r="AU1756" i="2" s="1"/>
  <c r="BA1756" i="2"/>
  <c r="BB1756" i="2" s="1"/>
  <c r="BH1756" i="2" s="1"/>
  <c r="AQ1731" i="2"/>
  <c r="AR1731" i="2" s="1"/>
  <c r="AW1731" i="2" s="1"/>
  <c r="AM1732" i="2"/>
  <c r="AN1732" i="2" s="1"/>
  <c r="AU1732" i="2" s="1"/>
  <c r="BC1735" i="2"/>
  <c r="BD1735" i="2" s="1"/>
  <c r="BI1735" i="2" s="1"/>
  <c r="BC1737" i="2"/>
  <c r="BD1737" i="2" s="1"/>
  <c r="BI1737" i="2" s="1"/>
  <c r="AO1738" i="2"/>
  <c r="AP1738" i="2" s="1"/>
  <c r="AV1738" i="2" s="1"/>
  <c r="AQ1741" i="2"/>
  <c r="AR1741" i="2" s="1"/>
  <c r="AW1741" i="2" s="1"/>
  <c r="AY1742" i="2"/>
  <c r="AZ1742" i="2" s="1"/>
  <c r="BG1742" i="2" s="1"/>
  <c r="AM1743" i="2"/>
  <c r="AN1743" i="2" s="1"/>
  <c r="AU1743" i="2" s="1"/>
  <c r="BC1744" i="2"/>
  <c r="BD1744" i="2" s="1"/>
  <c r="BI1744" i="2" s="1"/>
  <c r="AQ1745" i="2"/>
  <c r="AR1745" i="2" s="1"/>
  <c r="AW1745" i="2" s="1"/>
  <c r="AY1746" i="2"/>
  <c r="AZ1746" i="2" s="1"/>
  <c r="BG1746" i="2" s="1"/>
  <c r="BA1747" i="2"/>
  <c r="BB1747" i="2" s="1"/>
  <c r="BH1747" i="2" s="1"/>
  <c r="BC1748" i="2"/>
  <c r="BD1748" i="2" s="1"/>
  <c r="BI1748" i="2" s="1"/>
  <c r="AQ1749" i="2"/>
  <c r="AR1749" i="2" s="1"/>
  <c r="AW1749" i="2" s="1"/>
  <c r="BE1750" i="2"/>
  <c r="BF1750" i="2" s="1"/>
  <c r="BJ1750" i="2" s="1"/>
  <c r="AY1751" i="2"/>
  <c r="AZ1751" i="2" s="1"/>
  <c r="BG1751" i="2" s="1"/>
  <c r="BA1752" i="2"/>
  <c r="BB1752" i="2" s="1"/>
  <c r="BH1752" i="2" s="1"/>
  <c r="BC1753" i="2"/>
  <c r="BD1753" i="2" s="1"/>
  <c r="BI1753" i="2" s="1"/>
  <c r="BE1754" i="2"/>
  <c r="BF1754" i="2" s="1"/>
  <c r="BJ1754" i="2" s="1"/>
  <c r="AY1755" i="2"/>
  <c r="AZ1755" i="2" s="1"/>
  <c r="BG1755" i="2" s="1"/>
  <c r="AK1756" i="2"/>
  <c r="AL1756" i="2" s="1"/>
  <c r="AT1756" i="2" s="1"/>
  <c r="BC1757" i="2"/>
  <c r="BD1757" i="2" s="1"/>
  <c r="BI1757" i="2" s="1"/>
  <c r="AM1733" i="2"/>
  <c r="AN1733" i="2" s="1"/>
  <c r="AU1733" i="2" s="1"/>
  <c r="AK1734" i="2"/>
  <c r="AL1734" i="2" s="1"/>
  <c r="AT1734" i="2" s="1"/>
  <c r="BE1734" i="2"/>
  <c r="BF1734" i="2" s="1"/>
  <c r="BJ1734" i="2" s="1"/>
  <c r="AM1737" i="2"/>
  <c r="AN1737" i="2" s="1"/>
  <c r="AU1737" i="2" s="1"/>
  <c r="AQ1738" i="2"/>
  <c r="AR1738" i="2" s="1"/>
  <c r="AW1738" i="2" s="1"/>
  <c r="AO1739" i="2"/>
  <c r="AP1739" i="2" s="1"/>
  <c r="AV1739" i="2" s="1"/>
  <c r="BE1739" i="2"/>
  <c r="BF1739" i="2" s="1"/>
  <c r="BJ1739" i="2" s="1"/>
  <c r="AM1740" i="2"/>
  <c r="AN1740" i="2" s="1"/>
  <c r="AU1740" i="2" s="1"/>
  <c r="AK1742" i="2"/>
  <c r="AL1742" i="2" s="1"/>
  <c r="AT1742" i="2" s="1"/>
  <c r="BC1743" i="2"/>
  <c r="BD1743" i="2" s="1"/>
  <c r="BI1743" i="2" s="1"/>
  <c r="AO1744" i="2"/>
  <c r="AP1744" i="2" s="1"/>
  <c r="AV1744" i="2" s="1"/>
  <c r="BE1744" i="2"/>
  <c r="BF1744" i="2" s="1"/>
  <c r="BJ1744" i="2" s="1"/>
  <c r="AK1746" i="2"/>
  <c r="AL1746" i="2" s="1"/>
  <c r="AT1746" i="2" s="1"/>
  <c r="AM1747" i="2"/>
  <c r="AN1747" i="2" s="1"/>
  <c r="AU1747" i="2" s="1"/>
  <c r="BC1747" i="2"/>
  <c r="BD1747" i="2" s="1"/>
  <c r="BI1747" i="2" s="1"/>
  <c r="AO1748" i="2"/>
  <c r="AP1748" i="2" s="1"/>
  <c r="AV1748" i="2" s="1"/>
  <c r="AQ1750" i="2"/>
  <c r="AR1750" i="2" s="1"/>
  <c r="AW1750" i="2" s="1"/>
  <c r="AK1751" i="2"/>
  <c r="AL1751" i="2" s="1"/>
  <c r="AT1751" i="2" s="1"/>
  <c r="AM1752" i="2"/>
  <c r="AN1752" i="2" s="1"/>
  <c r="AU1752" i="2" s="1"/>
  <c r="AO1753" i="2"/>
  <c r="AP1753" i="2" s="1"/>
  <c r="AV1753" i="2" s="1"/>
  <c r="BE1753" i="2"/>
  <c r="BF1753" i="2" s="1"/>
  <c r="BJ1753" i="2" s="1"/>
  <c r="AQ1754" i="2"/>
  <c r="AR1754" i="2" s="1"/>
  <c r="AW1754" i="2" s="1"/>
  <c r="AK1755" i="2"/>
  <c r="AL1755" i="2" s="1"/>
  <c r="AT1755" i="2" s="1"/>
  <c r="AO1757" i="2"/>
  <c r="AP1757" i="2" s="1"/>
  <c r="AV1757" i="2" s="1"/>
  <c r="AM1758" i="2"/>
  <c r="AN1758" i="2" s="1"/>
  <c r="AU1758" i="2" s="1"/>
  <c r="BA1758" i="2"/>
  <c r="BB1758" i="2" s="1"/>
  <c r="BH1758" i="2" s="1"/>
  <c r="BE1731" i="2"/>
  <c r="BF1731" i="2" s="1"/>
  <c r="BJ1731" i="2" s="1"/>
  <c r="BA1732" i="2"/>
  <c r="BB1732" i="2" s="1"/>
  <c r="BH1732" i="2" s="1"/>
  <c r="AQ1734" i="2"/>
  <c r="AR1734" i="2" s="1"/>
  <c r="AW1734" i="2" s="1"/>
  <c r="BE1736" i="2"/>
  <c r="BF1736" i="2" s="1"/>
  <c r="BJ1736" i="2" s="1"/>
  <c r="AQ1740" i="2"/>
  <c r="AR1740" i="2" s="1"/>
  <c r="AW1740" i="2" s="1"/>
  <c r="AM1741" i="2"/>
  <c r="AN1741" i="2" s="1"/>
  <c r="AU1741" i="2" s="1"/>
  <c r="AQ1743" i="2"/>
  <c r="AR1743" i="2" s="1"/>
  <c r="AW1743" i="2" s="1"/>
  <c r="AY1744" i="2"/>
  <c r="AZ1744" i="2" s="1"/>
  <c r="BG1744" i="2" s="1"/>
  <c r="BC1746" i="2"/>
  <c r="BD1746" i="2" s="1"/>
  <c r="BI1746" i="2" s="1"/>
  <c r="AQ1747" i="2"/>
  <c r="AR1747" i="2" s="1"/>
  <c r="AW1747" i="2" s="1"/>
  <c r="I1505" i="2"/>
  <c r="AA1505" i="2" s="1"/>
  <c r="BC1732" i="2"/>
  <c r="BD1732" i="2" s="1"/>
  <c r="BI1732" i="2" s="1"/>
  <c r="BA1734" i="2"/>
  <c r="BB1734" i="2" s="1"/>
  <c r="BH1734" i="2" s="1"/>
  <c r="AY1735" i="2"/>
  <c r="AZ1735" i="2" s="1"/>
  <c r="BG1735" i="2" s="1"/>
  <c r="BA1737" i="2"/>
  <c r="BB1737" i="2" s="1"/>
  <c r="BH1737" i="2" s="1"/>
  <c r="BC1738" i="2"/>
  <c r="BD1738" i="2" s="1"/>
  <c r="BI1738" i="2" s="1"/>
  <c r="AY1740" i="2"/>
  <c r="AZ1740" i="2" s="1"/>
  <c r="BG1740" i="2" s="1"/>
  <c r="AO1741" i="2"/>
  <c r="AP1741" i="2" s="1"/>
  <c r="AV1741" i="2" s="1"/>
  <c r="AQ1742" i="2"/>
  <c r="AR1742" i="2" s="1"/>
  <c r="AW1742" i="2" s="1"/>
  <c r="AY1743" i="2"/>
  <c r="AZ1743" i="2" s="1"/>
  <c r="BG1743" i="2" s="1"/>
  <c r="BA1744" i="2"/>
  <c r="BB1744" i="2" s="1"/>
  <c r="BH1744" i="2" s="1"/>
  <c r="AO1745" i="2"/>
  <c r="AP1745" i="2" s="1"/>
  <c r="AV1745" i="2" s="1"/>
  <c r="AY1747" i="2"/>
  <c r="AZ1747" i="2" s="1"/>
  <c r="BG1747" i="2" s="1"/>
  <c r="BA1748" i="2"/>
  <c r="BB1748" i="2" s="1"/>
  <c r="BH1748" i="2" s="1"/>
  <c r="BC1750" i="2"/>
  <c r="BD1750" i="2" s="1"/>
  <c r="BI1750" i="2" s="1"/>
  <c r="AQ1751" i="2"/>
  <c r="AR1751" i="2" s="1"/>
  <c r="AW1751" i="2" s="1"/>
  <c r="BA1753" i="2"/>
  <c r="BB1753" i="2" s="1"/>
  <c r="BH1753" i="2" s="1"/>
  <c r="BC1754" i="2"/>
  <c r="BD1754" i="2" s="1"/>
  <c r="BI1754" i="2" s="1"/>
  <c r="BA1757" i="2"/>
  <c r="BB1757" i="2" s="1"/>
  <c r="BH1757" i="2" s="1"/>
  <c r="L1723" i="2"/>
  <c r="BC1733" i="2"/>
  <c r="BD1733" i="2" s="1"/>
  <c r="BI1733" i="2" s="1"/>
  <c r="AK1737" i="2"/>
  <c r="AL1737" i="2" s="1"/>
  <c r="AT1737" i="2" s="1"/>
  <c r="AM1738" i="2"/>
  <c r="AN1738" i="2" s="1"/>
  <c r="AU1738" i="2" s="1"/>
  <c r="AM1739" i="2"/>
  <c r="AN1739" i="2" s="1"/>
  <c r="AU1739" i="2" s="1"/>
  <c r="BE1741" i="2"/>
  <c r="BF1741" i="2" s="1"/>
  <c r="BJ1741" i="2" s="1"/>
  <c r="AK1743" i="2"/>
  <c r="AL1743" i="2" s="1"/>
  <c r="AT1743" i="2" s="1"/>
  <c r="BE1748" i="2"/>
  <c r="BF1748" i="2" s="1"/>
  <c r="BJ1748" i="2" s="1"/>
  <c r="AK1749" i="2"/>
  <c r="AL1749" i="2" s="1"/>
  <c r="AT1749" i="2" s="1"/>
  <c r="BE1749" i="2"/>
  <c r="BF1749" i="2" s="1"/>
  <c r="BJ1749" i="2" s="1"/>
  <c r="AY1750" i="2"/>
  <c r="AZ1750" i="2" s="1"/>
  <c r="BG1750" i="2" s="1"/>
  <c r="AQ1752" i="2"/>
  <c r="AR1752" i="2" s="1"/>
  <c r="AW1752" i="2" s="1"/>
  <c r="AQ1732" i="2"/>
  <c r="AR1732" i="2" s="1"/>
  <c r="AW1732" i="2" s="1"/>
  <c r="BA1742" i="2"/>
  <c r="BB1742" i="2" s="1"/>
  <c r="BH1742" i="2" s="1"/>
  <c r="AO1743" i="2"/>
  <c r="AP1743" i="2" s="1"/>
  <c r="AV1743" i="2" s="1"/>
  <c r="AM1731" i="2"/>
  <c r="AN1731" i="2" s="1"/>
  <c r="AU1731" i="2" s="1"/>
  <c r="AO1734" i="2"/>
  <c r="AP1734" i="2" s="1"/>
  <c r="AV1734" i="2" s="1"/>
  <c r="AK1736" i="2"/>
  <c r="AL1736" i="2" s="1"/>
  <c r="AT1736" i="2" s="1"/>
  <c r="AO1737" i="2"/>
  <c r="AP1737" i="2" s="1"/>
  <c r="AV1737" i="2" s="1"/>
  <c r="AY1738" i="2"/>
  <c r="AZ1738" i="2" s="1"/>
  <c r="BG1738" i="2" s="1"/>
  <c r="AQ1739" i="2"/>
  <c r="AR1739" i="2" s="1"/>
  <c r="AW1739" i="2" s="1"/>
  <c r="AM1746" i="2"/>
  <c r="AN1746" i="2" s="1"/>
  <c r="AU1746" i="2" s="1"/>
  <c r="BE1747" i="2"/>
  <c r="BF1747" i="2" s="1"/>
  <c r="BJ1747" i="2" s="1"/>
  <c r="AM1748" i="2"/>
  <c r="AN1748" i="2" s="1"/>
  <c r="AU1748" i="2" s="1"/>
  <c r="AM1749" i="2"/>
  <c r="AN1749" i="2" s="1"/>
  <c r="AU1749" i="2" s="1"/>
  <c r="BA1750" i="2"/>
  <c r="BB1750" i="2" s="1"/>
  <c r="BH1750" i="2" s="1"/>
  <c r="BC1752" i="2"/>
  <c r="BD1752" i="2" s="1"/>
  <c r="BI1752" i="2" s="1"/>
  <c r="BC1755" i="2"/>
  <c r="BD1755" i="2" s="1"/>
  <c r="BI1755" i="2" s="1"/>
  <c r="BE1757" i="2"/>
  <c r="BF1757" i="2" s="1"/>
  <c r="BJ1757" i="2" s="1"/>
  <c r="AY1758" i="2"/>
  <c r="AZ1758" i="2" s="1"/>
  <c r="BG1758" i="2" s="1"/>
  <c r="AO1733" i="2"/>
  <c r="AP1733" i="2" s="1"/>
  <c r="AV1733" i="2" s="1"/>
  <c r="AQ1736" i="2"/>
  <c r="AR1736" i="2" s="1"/>
  <c r="AW1736" i="2" s="1"/>
  <c r="BA1740" i="2"/>
  <c r="BB1740" i="2" s="1"/>
  <c r="BH1740" i="2" s="1"/>
  <c r="BE1742" i="2"/>
  <c r="BF1742" i="2" s="1"/>
  <c r="BJ1742" i="2" s="1"/>
  <c r="BE1745" i="2"/>
  <c r="BF1745" i="2" s="1"/>
  <c r="BJ1745" i="2" s="1"/>
  <c r="AK1747" i="2"/>
  <c r="AL1747" i="2" s="1"/>
  <c r="AT1747" i="2" s="1"/>
  <c r="AK1748" i="2"/>
  <c r="AL1748" i="2" s="1"/>
  <c r="AT1748" i="2" s="1"/>
  <c r="AK1750" i="2"/>
  <c r="AL1750" i="2" s="1"/>
  <c r="AT1750" i="2" s="1"/>
  <c r="BE1751" i="2"/>
  <c r="BF1751" i="2" s="1"/>
  <c r="BJ1751" i="2" s="1"/>
  <c r="AK1753" i="2"/>
  <c r="AL1753" i="2" s="1"/>
  <c r="AT1753" i="2" s="1"/>
  <c r="AO1756" i="2"/>
  <c r="AP1756" i="2" s="1"/>
  <c r="AV1756" i="2" s="1"/>
  <c r="BC1758" i="2"/>
  <c r="BD1758" i="2" s="1"/>
  <c r="BI1758" i="2" s="1"/>
  <c r="AQ1733" i="2"/>
  <c r="AR1733" i="2" s="1"/>
  <c r="AW1733" i="2" s="1"/>
  <c r="BE1740" i="2"/>
  <c r="BF1740" i="2" s="1"/>
  <c r="BJ1740" i="2" s="1"/>
  <c r="AO1747" i="2"/>
  <c r="AP1747" i="2" s="1"/>
  <c r="AV1747" i="2" s="1"/>
  <c r="AM1753" i="2"/>
  <c r="AN1753" i="2" s="1"/>
  <c r="AU1753" i="2" s="1"/>
  <c r="AY1754" i="2"/>
  <c r="AZ1754" i="2" s="1"/>
  <c r="BG1754" i="2" s="1"/>
  <c r="BA1731" i="2"/>
  <c r="BB1731" i="2" s="1"/>
  <c r="BH1731" i="2" s="1"/>
  <c r="BE1732" i="2"/>
  <c r="BF1732" i="2" s="1"/>
  <c r="BJ1732" i="2" s="1"/>
  <c r="BA1733" i="2"/>
  <c r="BB1733" i="2" s="1"/>
  <c r="BH1733" i="2" s="1"/>
  <c r="BC1736" i="2"/>
  <c r="BD1736" i="2" s="1"/>
  <c r="BI1736" i="2" s="1"/>
  <c r="AK1738" i="2"/>
  <c r="AL1738" i="2" s="1"/>
  <c r="AT1738" i="2" s="1"/>
  <c r="AQ1748" i="2"/>
  <c r="AR1748" i="2" s="1"/>
  <c r="AW1748" i="2" s="1"/>
  <c r="AM1750" i="2"/>
  <c r="AN1750" i="2" s="1"/>
  <c r="AU1750" i="2" s="1"/>
  <c r="BE1752" i="2"/>
  <c r="BF1752" i="2" s="1"/>
  <c r="BJ1752" i="2" s="1"/>
  <c r="AQ1753" i="2"/>
  <c r="AR1753" i="2" s="1"/>
  <c r="AW1753" i="2" s="1"/>
  <c r="BA1754" i="2"/>
  <c r="BB1754" i="2" s="1"/>
  <c r="BH1754" i="2" s="1"/>
  <c r="AM1755" i="2"/>
  <c r="AN1755" i="2" s="1"/>
  <c r="AU1755" i="2" s="1"/>
  <c r="AQ1756" i="2"/>
  <c r="AR1756" i="2" s="1"/>
  <c r="AW1756" i="2" s="1"/>
  <c r="AK1758" i="2"/>
  <c r="AL1758" i="2" s="1"/>
  <c r="AT1758" i="2" s="1"/>
  <c r="BE1758" i="2"/>
  <c r="BF1758" i="2" s="1"/>
  <c r="BJ1758" i="2" s="1"/>
  <c r="AK1744" i="2"/>
  <c r="AL1744" i="2" s="1"/>
  <c r="AT1744" i="2" s="1"/>
  <c r="AM1757" i="2"/>
  <c r="AN1757" i="2" s="1"/>
  <c r="AU1757" i="2" s="1"/>
  <c r="BE1737" i="2"/>
  <c r="BF1737" i="2" s="1"/>
  <c r="BJ1737" i="2" s="1"/>
  <c r="BA1743" i="2"/>
  <c r="BB1743" i="2" s="1"/>
  <c r="BH1743" i="2" s="1"/>
  <c r="AM1744" i="2"/>
  <c r="AN1744" i="2" s="1"/>
  <c r="AU1744" i="2" s="1"/>
  <c r="AK1745" i="2"/>
  <c r="AL1745" i="2" s="1"/>
  <c r="AT1745" i="2" s="1"/>
  <c r="AY1749" i="2"/>
  <c r="AZ1749" i="2" s="1"/>
  <c r="BG1749" i="2" s="1"/>
  <c r="AO1752" i="2"/>
  <c r="AP1752" i="2" s="1"/>
  <c r="AV1752" i="2" s="1"/>
  <c r="AK1754" i="2"/>
  <c r="AL1754" i="2" s="1"/>
  <c r="AT1754" i="2" s="1"/>
  <c r="BA1755" i="2"/>
  <c r="BB1755" i="2" s="1"/>
  <c r="BH1755" i="2" s="1"/>
  <c r="AQ1758" i="2"/>
  <c r="AR1758" i="2" s="1"/>
  <c r="AW1758" i="2" s="1"/>
  <c r="AM1742" i="2"/>
  <c r="AN1742" i="2" s="1"/>
  <c r="AU1742" i="2" s="1"/>
  <c r="AQ1744" i="2"/>
  <c r="AR1744" i="2" s="1"/>
  <c r="AW1744" i="2" s="1"/>
  <c r="AO1746" i="2"/>
  <c r="AP1746" i="2" s="1"/>
  <c r="AV1746" i="2" s="1"/>
  <c r="AO1750" i="2"/>
  <c r="AP1750" i="2" s="1"/>
  <c r="AV1750" i="2" s="1"/>
  <c r="AM1754" i="2"/>
  <c r="AN1754" i="2" s="1"/>
  <c r="AU1754" i="2" s="1"/>
  <c r="AQ1757" i="2"/>
  <c r="AR1757" i="2" s="1"/>
  <c r="AW1757" i="2" s="1"/>
  <c r="BA1751" i="2"/>
  <c r="BB1751" i="2" s="1"/>
  <c r="BH1751" i="2" s="1"/>
  <c r="AO1755" i="2"/>
  <c r="AP1755" i="2" s="1"/>
  <c r="AV1755" i="2" s="1"/>
  <c r="BE1756" i="2"/>
  <c r="BF1756" i="2" s="1"/>
  <c r="BJ1756" i="2" s="1"/>
  <c r="AK1757" i="2"/>
  <c r="AL1757" i="2" s="1"/>
  <c r="AT1757" i="2" s="1"/>
  <c r="AO1758" i="2"/>
  <c r="AP1758" i="2" s="1"/>
  <c r="AV1758" i="2" s="1"/>
  <c r="BA1746" i="2"/>
  <c r="BB1746" i="2" s="1"/>
  <c r="BH1746" i="2" s="1"/>
  <c r="AM1751" i="2"/>
  <c r="AN1751" i="2" s="1"/>
  <c r="AU1751" i="2" s="1"/>
  <c r="AY1756" i="2"/>
  <c r="AZ1756" i="2" s="1"/>
  <c r="BG1756" i="2" s="1"/>
  <c r="BA1738" i="2"/>
  <c r="BB1738" i="2" s="1"/>
  <c r="BH1738" i="2" s="1"/>
  <c r="AY1748" i="2"/>
  <c r="AZ1748" i="2" s="1"/>
  <c r="BG1748" i="2" s="1"/>
  <c r="BC1756" i="2"/>
  <c r="BD1756" i="2" s="1"/>
  <c r="BI1756" i="2" s="1"/>
  <c r="BC1739" i="2"/>
  <c r="BD1739" i="2" s="1"/>
  <c r="BI1739" i="2" s="1"/>
  <c r="AY1753" i="2"/>
  <c r="AZ1753" i="2" s="1"/>
  <c r="BG1753" i="2" s="1"/>
  <c r="BA1749" i="2"/>
  <c r="BB1749" i="2" s="1"/>
  <c r="BH1749" i="2" s="1"/>
  <c r="AY1757" i="2"/>
  <c r="AZ1757" i="2" s="1"/>
  <c r="BG1757" i="2" s="1"/>
  <c r="BE1743" i="2"/>
  <c r="BF1743" i="2" s="1"/>
  <c r="BJ1743" i="2" s="1"/>
  <c r="BA1741" i="2"/>
  <c r="BB1741" i="2" s="1"/>
  <c r="BH1741" i="2" s="1"/>
  <c r="AY1745" i="2"/>
  <c r="AZ1745" i="2" s="1"/>
  <c r="BG1745" i="2" s="1"/>
  <c r="AO1754" i="2"/>
  <c r="AP1754" i="2" s="1"/>
  <c r="AV1754" i="2" s="1"/>
  <c r="BA1739" i="2"/>
  <c r="BB1739" i="2" s="1"/>
  <c r="BH1739" i="2" s="1"/>
  <c r="BC1745" i="2"/>
  <c r="BD1745" i="2" s="1"/>
  <c r="BI1745" i="2" s="1"/>
  <c r="AK1733" i="2"/>
  <c r="AL1733" i="2" s="1"/>
  <c r="AT1733" i="2" s="1"/>
  <c r="BC1741" i="2"/>
  <c r="BD1741" i="2" s="1"/>
  <c r="BI1741" i="2" s="1"/>
  <c r="AK1550" i="2"/>
  <c r="AL1550" i="2" s="1"/>
  <c r="AT1550" i="2" s="1"/>
  <c r="G1558" i="2"/>
  <c r="Y1558" i="2" s="1"/>
  <c r="F1510" i="2"/>
  <c r="X1510" i="2" s="1"/>
  <c r="BS1538" i="2"/>
  <c r="CJ1538" i="2" s="1"/>
  <c r="R1554" i="2"/>
  <c r="AJ1554" i="2" s="1"/>
  <c r="K1553" i="2"/>
  <c r="AC1553" i="2" s="1"/>
  <c r="AQ1553" i="2"/>
  <c r="AR1553" i="2" s="1"/>
  <c r="AW1553" i="2" s="1"/>
  <c r="H1559" i="2"/>
  <c r="Z1559" i="2" s="1"/>
  <c r="N1530" i="2"/>
  <c r="AF1530" i="2" s="1"/>
  <c r="G1530" i="2"/>
  <c r="Y1530" i="2" s="1"/>
  <c r="K1539" i="2"/>
  <c r="AC1539" i="2" s="1"/>
  <c r="BX1550" i="2"/>
  <c r="CO1550" i="2" s="1"/>
  <c r="BE1533" i="2"/>
  <c r="BF1533" i="2" s="1"/>
  <c r="BJ1533" i="2" s="1"/>
  <c r="J1522" i="2"/>
  <c r="AB1522" i="2" s="1"/>
  <c r="N1534" i="2"/>
  <c r="AF1534" i="2" s="1"/>
  <c r="BW1559" i="2"/>
  <c r="CN1559" i="2" s="1"/>
  <c r="BT1522" i="2"/>
  <c r="CK1522" i="2" s="1"/>
  <c r="D1551" i="2"/>
  <c r="V1551" i="2" s="1"/>
  <c r="P1514" i="2"/>
  <c r="AH1514" i="2" s="1"/>
  <c r="BX1543" i="2"/>
  <c r="CO1543" i="2" s="1"/>
  <c r="P1563" i="2"/>
  <c r="AH1563" i="2" s="1"/>
  <c r="BE1554" i="2"/>
  <c r="BF1554" i="2" s="1"/>
  <c r="BJ1554" i="2" s="1"/>
  <c r="BP1551" i="2"/>
  <c r="CG1551" i="2" s="1"/>
  <c r="BR1511" i="2"/>
  <c r="CI1511" i="2" s="1"/>
  <c r="AY1548" i="2"/>
  <c r="AZ1548" i="2" s="1"/>
  <c r="BG1548" i="2" s="1"/>
  <c r="K1529" i="2"/>
  <c r="AC1529" i="2" s="1"/>
  <c r="BQ1545" i="2"/>
  <c r="CH1545" i="2" s="1"/>
  <c r="AO1545" i="2"/>
  <c r="AP1545" i="2" s="1"/>
  <c r="AV1545" i="2" s="1"/>
  <c r="F1512" i="2"/>
  <c r="X1512" i="2" s="1"/>
  <c r="AO1517" i="2"/>
  <c r="AP1517" i="2" s="1"/>
  <c r="AV1517" i="2" s="1"/>
  <c r="P1541" i="2"/>
  <c r="AH1541" i="2" s="1"/>
  <c r="Q1553" i="2"/>
  <c r="AI1553" i="2" s="1"/>
  <c r="CA1520" i="2"/>
  <c r="CR1520" i="2" s="1"/>
  <c r="L1561" i="2"/>
  <c r="AD1561" i="2" s="1"/>
  <c r="BU1532" i="2"/>
  <c r="CL1532" i="2" s="1"/>
  <c r="J1517" i="2"/>
  <c r="AB1517" i="2" s="1"/>
  <c r="BS1516" i="2"/>
  <c r="CJ1516" i="2" s="1"/>
  <c r="C1565" i="2"/>
  <c r="U1565" i="2" s="1"/>
  <c r="Q1528" i="2"/>
  <c r="AI1528" i="2" s="1"/>
  <c r="BZ1509" i="2"/>
  <c r="CQ1509" i="2" s="1"/>
  <c r="AM1512" i="2"/>
  <c r="AN1512" i="2" s="1"/>
  <c r="AU1512" i="2" s="1"/>
  <c r="BT1565" i="2"/>
  <c r="CK1565" i="2" s="1"/>
  <c r="BO1548" i="2"/>
  <c r="CF1548" i="2" s="1"/>
  <c r="BN1555" i="2"/>
  <c r="CE1555" i="2" s="1"/>
  <c r="N1528" i="2"/>
  <c r="AF1528" i="2" s="1"/>
  <c r="F1548" i="2"/>
  <c r="X1548" i="2" s="1"/>
  <c r="H1518" i="2"/>
  <c r="Z1518" i="2" s="1"/>
  <c r="AO1533" i="2"/>
  <c r="AP1533" i="2" s="1"/>
  <c r="AV1533" i="2" s="1"/>
  <c r="R1514" i="2"/>
  <c r="AJ1514" i="2" s="1"/>
  <c r="BL1546" i="2"/>
  <c r="CC1546" i="2" s="1"/>
  <c r="BR1528" i="2"/>
  <c r="CI1528" i="2" s="1"/>
  <c r="CA1543" i="2"/>
  <c r="CR1543" i="2" s="1"/>
  <c r="AO1522" i="2"/>
  <c r="AP1522" i="2" s="1"/>
  <c r="AV1522" i="2" s="1"/>
  <c r="AQ1556" i="2"/>
  <c r="AR1556" i="2" s="1"/>
  <c r="AW1556" i="2" s="1"/>
  <c r="BN1561" i="2"/>
  <c r="CE1561" i="2" s="1"/>
  <c r="BE1519" i="2"/>
  <c r="BF1519" i="2" s="1"/>
  <c r="BJ1519" i="2" s="1"/>
  <c r="BM1540" i="2"/>
  <c r="CD1540" i="2" s="1"/>
  <c r="AM1515" i="2"/>
  <c r="AN1515" i="2" s="1"/>
  <c r="AU1515" i="2" s="1"/>
  <c r="L1549" i="2"/>
  <c r="AD1549" i="2" s="1"/>
  <c r="AQ1508" i="2"/>
  <c r="AR1508" i="2" s="1"/>
  <c r="AW1508" i="2" s="1"/>
  <c r="BC1527" i="2"/>
  <c r="BD1527" i="2" s="1"/>
  <c r="BI1527" i="2" s="1"/>
  <c r="BS1560" i="2"/>
  <c r="CJ1560" i="2" s="1"/>
  <c r="BO1562" i="2"/>
  <c r="CF1562" i="2" s="1"/>
  <c r="BT1556" i="2"/>
  <c r="CK1556" i="2" s="1"/>
  <c r="I1544" i="2"/>
  <c r="AA1544" i="2" s="1"/>
  <c r="F1533" i="2"/>
  <c r="X1533" i="2" s="1"/>
  <c r="D1526" i="2"/>
  <c r="V1526" i="2" s="1"/>
  <c r="BO1514" i="2"/>
  <c r="CF1514" i="2" s="1"/>
  <c r="BC1536" i="2"/>
  <c r="BD1536" i="2" s="1"/>
  <c r="BI1536" i="2" s="1"/>
  <c r="AM1527" i="2"/>
  <c r="AN1527" i="2" s="1"/>
  <c r="AU1527" i="2" s="1"/>
  <c r="BP1522" i="2"/>
  <c r="CG1522" i="2" s="1"/>
  <c r="L1531" i="2"/>
  <c r="AD1531" i="2" s="1"/>
  <c r="G1561" i="2"/>
  <c r="Y1561" i="2" s="1"/>
  <c r="BY1511" i="2"/>
  <c r="CP1511" i="2" s="1"/>
  <c r="BT1553" i="2"/>
  <c r="CK1553" i="2" s="1"/>
  <c r="BO1555" i="2"/>
  <c r="CF1555" i="2" s="1"/>
  <c r="AK1517" i="2"/>
  <c r="AL1517" i="2" s="1"/>
  <c r="AT1517" i="2" s="1"/>
  <c r="BU1516" i="2"/>
  <c r="CL1516" i="2" s="1"/>
  <c r="G1515" i="2"/>
  <c r="Y1515" i="2" s="1"/>
  <c r="I1562" i="2"/>
  <c r="AA1562" i="2" s="1"/>
  <c r="H1553" i="2"/>
  <c r="Z1553" i="2" s="1"/>
  <c r="AO1541" i="2"/>
  <c r="AP1541" i="2" s="1"/>
  <c r="AV1541" i="2" s="1"/>
  <c r="F1509" i="2"/>
  <c r="X1509" i="2" s="1"/>
  <c r="K1522" i="2"/>
  <c r="AC1522" i="2" s="1"/>
  <c r="C1542" i="2"/>
  <c r="U1542" i="2" s="1"/>
  <c r="O1550" i="2"/>
  <c r="AG1550" i="2" s="1"/>
  <c r="BR1519" i="2"/>
  <c r="CI1519" i="2" s="1"/>
  <c r="BE1535" i="2"/>
  <c r="BF1535" i="2" s="1"/>
  <c r="BJ1535" i="2" s="1"/>
  <c r="H1517" i="2"/>
  <c r="Z1517" i="2" s="1"/>
  <c r="BE1508" i="2"/>
  <c r="BF1508" i="2" s="1"/>
  <c r="BJ1508" i="2" s="1"/>
  <c r="BN1547" i="2"/>
  <c r="CE1547" i="2" s="1"/>
  <c r="AO1532" i="2"/>
  <c r="AP1532" i="2" s="1"/>
  <c r="AV1532" i="2" s="1"/>
  <c r="M1518" i="2"/>
  <c r="AE1518" i="2" s="1"/>
  <c r="BW1508" i="2"/>
  <c r="CN1508" i="2" s="1"/>
  <c r="AM1551" i="2"/>
  <c r="AN1551" i="2" s="1"/>
  <c r="AU1551" i="2" s="1"/>
  <c r="BQ1565" i="2"/>
  <c r="CH1565" i="2" s="1"/>
  <c r="I1521" i="2"/>
  <c r="AA1521" i="2" s="1"/>
  <c r="BO1508" i="2"/>
  <c r="CF1508" i="2" s="1"/>
  <c r="BQ1529" i="2"/>
  <c r="CH1529" i="2" s="1"/>
  <c r="BW1532" i="2"/>
  <c r="CN1532" i="2" s="1"/>
  <c r="BW1565" i="2"/>
  <c r="CN1565" i="2" s="1"/>
  <c r="BX1512" i="2"/>
  <c r="CO1512" i="2" s="1"/>
  <c r="H1550" i="2"/>
  <c r="Z1550" i="2" s="1"/>
  <c r="AK1555" i="2"/>
  <c r="AL1555" i="2" s="1"/>
  <c r="AT1555" i="2" s="1"/>
  <c r="BY1528" i="2"/>
  <c r="CP1528" i="2" s="1"/>
  <c r="N1524" i="2"/>
  <c r="AF1524" i="2" s="1"/>
  <c r="BC1528" i="2"/>
  <c r="BD1528" i="2" s="1"/>
  <c r="BI1528" i="2" s="1"/>
  <c r="E1544" i="2"/>
  <c r="W1544" i="2" s="1"/>
  <c r="BZ1534" i="2"/>
  <c r="CQ1534" i="2" s="1"/>
  <c r="CA1541" i="2"/>
  <c r="CR1541" i="2" s="1"/>
  <c r="L1525" i="2"/>
  <c r="AD1525" i="2" s="1"/>
  <c r="AK1512" i="2"/>
  <c r="AL1512" i="2" s="1"/>
  <c r="AT1512" i="2" s="1"/>
  <c r="BL1536" i="2"/>
  <c r="CC1536" i="2" s="1"/>
  <c r="AQ1522" i="2"/>
  <c r="AR1522" i="2" s="1"/>
  <c r="AW1522" i="2" s="1"/>
  <c r="BW1535" i="2"/>
  <c r="CN1535" i="2" s="1"/>
  <c r="BP1561" i="2"/>
  <c r="CG1561" i="2" s="1"/>
  <c r="AK1552" i="2"/>
  <c r="AL1552" i="2" s="1"/>
  <c r="AT1552" i="2" s="1"/>
  <c r="BA1565" i="2"/>
  <c r="BB1565" i="2" s="1"/>
  <c r="BH1565" i="2" s="1"/>
  <c r="L1524" i="2"/>
  <c r="AD1524" i="2" s="1"/>
  <c r="BP1532" i="2"/>
  <c r="CG1532" i="2" s="1"/>
  <c r="BY1547" i="2"/>
  <c r="CP1547" i="2" s="1"/>
  <c r="C1527" i="2"/>
  <c r="U1527" i="2" s="1"/>
  <c r="BS1540" i="2"/>
  <c r="CJ1540" i="2" s="1"/>
  <c r="BC1555" i="2"/>
  <c r="BD1555" i="2" s="1"/>
  <c r="BI1555" i="2" s="1"/>
  <c r="G1564" i="2"/>
  <c r="Y1564" i="2" s="1"/>
  <c r="BU1531" i="2"/>
  <c r="CL1531" i="2" s="1"/>
  <c r="BE1560" i="2"/>
  <c r="BF1560" i="2" s="1"/>
  <c r="BJ1560" i="2" s="1"/>
  <c r="CA1515" i="2"/>
  <c r="CR1515" i="2" s="1"/>
  <c r="F1564" i="2"/>
  <c r="X1564" i="2" s="1"/>
  <c r="I1541" i="2"/>
  <c r="AA1541" i="2" s="1"/>
  <c r="BW1515" i="2"/>
  <c r="CN1515" i="2" s="1"/>
  <c r="C1554" i="2"/>
  <c r="U1554" i="2" s="1"/>
  <c r="M1508" i="2"/>
  <c r="AE1508" i="2" s="1"/>
  <c r="K1520" i="2"/>
  <c r="AC1520" i="2" s="1"/>
  <c r="CA1553" i="2"/>
  <c r="CR1553" i="2" s="1"/>
  <c r="J1512" i="2"/>
  <c r="AB1512" i="2" s="1"/>
  <c r="N1513" i="2"/>
  <c r="AF1513" i="2" s="1"/>
  <c r="G1563" i="2"/>
  <c r="Y1563" i="2" s="1"/>
  <c r="BT1561" i="2"/>
  <c r="CK1561" i="2" s="1"/>
  <c r="BT1562" i="2"/>
  <c r="CK1562" i="2" s="1"/>
  <c r="BR1542" i="2"/>
  <c r="CI1542" i="2" s="1"/>
  <c r="G1549" i="2"/>
  <c r="Y1549" i="2" s="1"/>
  <c r="D1535" i="2"/>
  <c r="V1535" i="2" s="1"/>
  <c r="F1542" i="2"/>
  <c r="X1542" i="2" s="1"/>
  <c r="L1546" i="2"/>
  <c r="AD1546" i="2" s="1"/>
  <c r="BP1525" i="2"/>
  <c r="CG1525" i="2" s="1"/>
  <c r="BM1553" i="2"/>
  <c r="CD1553" i="2" s="1"/>
  <c r="E1515" i="2"/>
  <c r="W1515" i="2" s="1"/>
  <c r="CA1556" i="2"/>
  <c r="CR1556" i="2" s="1"/>
  <c r="K1555" i="2"/>
  <c r="AC1555" i="2" s="1"/>
  <c r="H1508" i="2"/>
  <c r="Z1508" i="2" s="1"/>
  <c r="BY1550" i="2"/>
  <c r="CP1550" i="2" s="1"/>
  <c r="L1511" i="2"/>
  <c r="AD1511" i="2" s="1"/>
  <c r="L1547" i="2"/>
  <c r="AD1547" i="2" s="1"/>
  <c r="M1514" i="2"/>
  <c r="AE1514" i="2" s="1"/>
  <c r="BR1557" i="2"/>
  <c r="CI1557" i="2" s="1"/>
  <c r="Q1556" i="2"/>
  <c r="AI1556" i="2" s="1"/>
  <c r="CA1519" i="2"/>
  <c r="CR1519" i="2" s="1"/>
  <c r="AQ1542" i="2"/>
  <c r="AR1542" i="2" s="1"/>
  <c r="AW1542" i="2" s="1"/>
  <c r="BC1545" i="2"/>
  <c r="BD1545" i="2" s="1"/>
  <c r="BI1545" i="2" s="1"/>
  <c r="R1546" i="2"/>
  <c r="AJ1546" i="2" s="1"/>
  <c r="BM1534" i="2"/>
  <c r="CD1534" i="2" s="1"/>
  <c r="O1538" i="2"/>
  <c r="AG1538" i="2" s="1"/>
  <c r="BQ1552" i="2"/>
  <c r="CH1552" i="2" s="1"/>
  <c r="M1538" i="2"/>
  <c r="AE1538" i="2" s="1"/>
  <c r="C1535" i="2"/>
  <c r="U1535" i="2" s="1"/>
  <c r="D1521" i="2"/>
  <c r="V1521" i="2" s="1"/>
  <c r="D1549" i="2"/>
  <c r="V1549" i="2" s="1"/>
  <c r="BE1513" i="2"/>
  <c r="BF1513" i="2" s="1"/>
  <c r="BJ1513" i="2" s="1"/>
  <c r="BX1546" i="2"/>
  <c r="CO1546" i="2" s="1"/>
  <c r="F1515" i="2"/>
  <c r="X1515" i="2" s="1"/>
  <c r="M1549" i="2"/>
  <c r="AE1549" i="2" s="1"/>
  <c r="BY1529" i="2"/>
  <c r="CP1529" i="2" s="1"/>
  <c r="K1526" i="2"/>
  <c r="AC1526" i="2" s="1"/>
  <c r="BV1537" i="2"/>
  <c r="CM1537" i="2" s="1"/>
  <c r="BV1526" i="2"/>
  <c r="CM1526" i="2" s="1"/>
  <c r="I1515" i="2"/>
  <c r="AA1515" i="2" s="1"/>
  <c r="D1554" i="2"/>
  <c r="V1554" i="2" s="1"/>
  <c r="BM1541" i="2"/>
  <c r="CD1541" i="2" s="1"/>
  <c r="E1542" i="2"/>
  <c r="W1542" i="2" s="1"/>
  <c r="BP1512" i="2"/>
  <c r="CG1512" i="2" s="1"/>
  <c r="BM1535" i="2"/>
  <c r="CD1535" i="2" s="1"/>
  <c r="O1548" i="2"/>
  <c r="AG1548" i="2" s="1"/>
  <c r="BU1540" i="2"/>
  <c r="CL1540" i="2" s="1"/>
  <c r="BR1514" i="2"/>
  <c r="CI1514" i="2" s="1"/>
  <c r="BR1547" i="2"/>
  <c r="CI1547" i="2" s="1"/>
  <c r="BY1537" i="2"/>
  <c r="CP1537" i="2" s="1"/>
  <c r="H1564" i="2"/>
  <c r="Z1564" i="2" s="1"/>
  <c r="BN1533" i="2"/>
  <c r="CE1533" i="2" s="1"/>
  <c r="AQ1538" i="2"/>
  <c r="AR1538" i="2" s="1"/>
  <c r="AW1538" i="2" s="1"/>
  <c r="BR1518" i="2"/>
  <c r="CI1518" i="2" s="1"/>
  <c r="F1524" i="2"/>
  <c r="X1524" i="2" s="1"/>
  <c r="BX1549" i="2"/>
  <c r="CO1549" i="2" s="1"/>
  <c r="J1546" i="2"/>
  <c r="AB1546" i="2" s="1"/>
  <c r="BX1564" i="2"/>
  <c r="CO1564" i="2" s="1"/>
  <c r="BZ1523" i="2"/>
  <c r="CQ1523" i="2" s="1"/>
  <c r="AQ1552" i="2"/>
  <c r="AR1552" i="2" s="1"/>
  <c r="AW1552" i="2" s="1"/>
  <c r="N1526" i="2"/>
  <c r="AF1526" i="2" s="1"/>
  <c r="H1510" i="2"/>
  <c r="Z1510" i="2" s="1"/>
  <c r="BV1544" i="2"/>
  <c r="CM1544" i="2" s="1"/>
  <c r="BQ1518" i="2"/>
  <c r="CH1518" i="2" s="1"/>
  <c r="BR1553" i="2"/>
  <c r="CI1553" i="2" s="1"/>
  <c r="E1561" i="2"/>
  <c r="W1561" i="2" s="1"/>
  <c r="R1558" i="2"/>
  <c r="AJ1558" i="2" s="1"/>
  <c r="K1527" i="2"/>
  <c r="AC1527" i="2" s="1"/>
  <c r="BT1537" i="2"/>
  <c r="CK1537" i="2" s="1"/>
  <c r="P1526" i="2"/>
  <c r="AH1526" i="2" s="1"/>
  <c r="L1528" i="2"/>
  <c r="AD1528" i="2" s="1"/>
  <c r="Q1546" i="2"/>
  <c r="AI1546" i="2" s="1"/>
  <c r="BC1565" i="2"/>
  <c r="BD1565" i="2" s="1"/>
  <c r="BI1565" i="2" s="1"/>
  <c r="K1514" i="2"/>
  <c r="AC1514" i="2" s="1"/>
  <c r="D1534" i="2"/>
  <c r="V1534" i="2" s="1"/>
  <c r="BZ1528" i="2"/>
  <c r="CQ1528" i="2" s="1"/>
  <c r="BC1554" i="2"/>
  <c r="BD1554" i="2" s="1"/>
  <c r="BI1554" i="2" s="1"/>
  <c r="AM1535" i="2"/>
  <c r="AN1535" i="2" s="1"/>
  <c r="AU1535" i="2" s="1"/>
  <c r="BT1563" i="2"/>
  <c r="CK1563" i="2" s="1"/>
  <c r="K1511" i="2"/>
  <c r="AC1511" i="2" s="1"/>
  <c r="Q1505" i="2"/>
  <c r="AI1505" i="2" s="1"/>
  <c r="BN1527" i="2"/>
  <c r="CE1527" i="2" s="1"/>
  <c r="C1526" i="2"/>
  <c r="U1526" i="2" s="1"/>
  <c r="N1514" i="2"/>
  <c r="AF1514" i="2" s="1"/>
  <c r="D1560" i="2"/>
  <c r="V1560" i="2" s="1"/>
  <c r="BY1564" i="2"/>
  <c r="CP1564" i="2" s="1"/>
  <c r="G1519" i="2"/>
  <c r="Y1519" i="2" s="1"/>
  <c r="J1523" i="2"/>
  <c r="AB1523" i="2" s="1"/>
  <c r="BV1548" i="2"/>
  <c r="CM1548" i="2" s="1"/>
  <c r="C1511" i="2"/>
  <c r="U1511" i="2" s="1"/>
  <c r="R1555" i="2"/>
  <c r="AJ1555" i="2" s="1"/>
  <c r="AM1563" i="2"/>
  <c r="AN1563" i="2" s="1"/>
  <c r="AU1563" i="2" s="1"/>
  <c r="BU1548" i="2"/>
  <c r="CL1548" i="2" s="1"/>
  <c r="J1537" i="2"/>
  <c r="AB1537" i="2" s="1"/>
  <c r="BO1564" i="2"/>
  <c r="CF1564" i="2" s="1"/>
  <c r="H1525" i="2"/>
  <c r="Z1525" i="2" s="1"/>
  <c r="I1540" i="2"/>
  <c r="AA1540" i="2" s="1"/>
  <c r="BR1517" i="2"/>
  <c r="CI1517" i="2" s="1"/>
  <c r="P1549" i="2"/>
  <c r="AH1549" i="2" s="1"/>
  <c r="BS1515" i="2"/>
  <c r="CJ1515" i="2" s="1"/>
  <c r="Q1539" i="2"/>
  <c r="AI1539" i="2" s="1"/>
  <c r="P1548" i="2"/>
  <c r="AH1548" i="2" s="1"/>
  <c r="BN1543" i="2"/>
  <c r="CE1543" i="2" s="1"/>
  <c r="BA1540" i="2"/>
  <c r="BB1540" i="2" s="1"/>
  <c r="BH1540" i="2" s="1"/>
  <c r="AO1520" i="2"/>
  <c r="AP1520" i="2" s="1"/>
  <c r="AV1520" i="2" s="1"/>
  <c r="BM1544" i="2"/>
  <c r="CD1544" i="2" s="1"/>
  <c r="BM1556" i="2"/>
  <c r="CD1556" i="2" s="1"/>
  <c r="AO1562" i="2"/>
  <c r="AP1562" i="2" s="1"/>
  <c r="AV1562" i="2" s="1"/>
  <c r="M1522" i="2"/>
  <c r="AE1522" i="2" s="1"/>
  <c r="BL1562" i="2"/>
  <c r="CC1562" i="2" s="1"/>
  <c r="BV1558" i="2"/>
  <c r="CM1558" i="2" s="1"/>
  <c r="BZ1521" i="2"/>
  <c r="CQ1521" i="2" s="1"/>
  <c r="BN1546" i="2"/>
  <c r="CE1546" i="2" s="1"/>
  <c r="O1547" i="2"/>
  <c r="AG1547" i="2" s="1"/>
  <c r="BX1519" i="2"/>
  <c r="CO1519" i="2" s="1"/>
  <c r="AY1515" i="2"/>
  <c r="AZ1515" i="2" s="1"/>
  <c r="BG1515" i="2" s="1"/>
  <c r="BY1544" i="2"/>
  <c r="CP1544" i="2" s="1"/>
  <c r="BS1512" i="2"/>
  <c r="CJ1512" i="2" s="1"/>
  <c r="H1537" i="2"/>
  <c r="Z1537" i="2" s="1"/>
  <c r="BR1537" i="2"/>
  <c r="CI1537" i="2" s="1"/>
  <c r="G1539" i="2"/>
  <c r="Y1539" i="2" s="1"/>
  <c r="J1541" i="2"/>
  <c r="AB1541" i="2" s="1"/>
  <c r="BY1523" i="2"/>
  <c r="CP1523" i="2" s="1"/>
  <c r="BR1536" i="2"/>
  <c r="CI1536" i="2" s="1"/>
  <c r="P1508" i="2"/>
  <c r="AH1508" i="2" s="1"/>
  <c r="BN1511" i="2"/>
  <c r="CE1511" i="2" s="1"/>
  <c r="BC1516" i="2"/>
  <c r="BD1516" i="2" s="1"/>
  <c r="BI1516" i="2" s="1"/>
  <c r="P1523" i="2"/>
  <c r="AH1523" i="2" s="1"/>
  <c r="BO1534" i="2"/>
  <c r="CF1534" i="2" s="1"/>
  <c r="BV1546" i="2"/>
  <c r="CM1546" i="2" s="1"/>
  <c r="G1541" i="2"/>
  <c r="Y1541" i="2" s="1"/>
  <c r="D1563" i="2"/>
  <c r="V1563" i="2" s="1"/>
  <c r="BW1512" i="2"/>
  <c r="CN1512" i="2" s="1"/>
  <c r="L1560" i="2"/>
  <c r="AD1560" i="2" s="1"/>
  <c r="BO1535" i="2"/>
  <c r="CF1535" i="2" s="1"/>
  <c r="AO1552" i="2"/>
  <c r="AP1552" i="2" s="1"/>
  <c r="AV1552" i="2" s="1"/>
  <c r="M1561" i="2"/>
  <c r="AE1561" i="2" s="1"/>
  <c r="N1511" i="2"/>
  <c r="AF1511" i="2" s="1"/>
  <c r="G1555" i="2"/>
  <c r="Y1555" i="2" s="1"/>
  <c r="AQ1532" i="2"/>
  <c r="AR1532" i="2" s="1"/>
  <c r="AW1532" i="2" s="1"/>
  <c r="R1562" i="2"/>
  <c r="AJ1562" i="2" s="1"/>
  <c r="L1530" i="2"/>
  <c r="AD1530" i="2" s="1"/>
  <c r="BO1559" i="2"/>
  <c r="CF1559" i="2" s="1"/>
  <c r="F1557" i="2"/>
  <c r="X1557" i="2" s="1"/>
  <c r="G1524" i="2"/>
  <c r="Y1524" i="2" s="1"/>
  <c r="C1546" i="2"/>
  <c r="U1546" i="2" s="1"/>
  <c r="BM1552" i="2"/>
  <c r="CD1552" i="2" s="1"/>
  <c r="BQ1536" i="2"/>
  <c r="CH1536" i="2" s="1"/>
  <c r="BA1544" i="2"/>
  <c r="BB1544" i="2" s="1"/>
  <c r="BH1544" i="2" s="1"/>
  <c r="BO1521" i="2"/>
  <c r="CF1521" i="2" s="1"/>
  <c r="BR1527" i="2"/>
  <c r="CI1527" i="2" s="1"/>
  <c r="BQ1528" i="2"/>
  <c r="CH1528" i="2" s="1"/>
  <c r="AQ1555" i="2"/>
  <c r="AR1555" i="2" s="1"/>
  <c r="AW1555" i="2" s="1"/>
  <c r="BN1520" i="2"/>
  <c r="CE1520" i="2" s="1"/>
  <c r="AY1527" i="2"/>
  <c r="AZ1527" i="2" s="1"/>
  <c r="BG1527" i="2" s="1"/>
  <c r="BM1536" i="2"/>
  <c r="CD1536" i="2" s="1"/>
  <c r="F1508" i="2"/>
  <c r="X1508" i="2" s="1"/>
  <c r="P1519" i="2"/>
  <c r="AH1519" i="2" s="1"/>
  <c r="BE1541" i="2"/>
  <c r="BF1541" i="2" s="1"/>
  <c r="BJ1541" i="2" s="1"/>
  <c r="P1539" i="2"/>
  <c r="AH1539" i="2" s="1"/>
  <c r="BQ1516" i="2"/>
  <c r="CH1516" i="2" s="1"/>
  <c r="D1531" i="2"/>
  <c r="V1531" i="2" s="1"/>
  <c r="BS1521" i="2"/>
  <c r="CJ1521" i="2" s="1"/>
  <c r="BQ1564" i="2"/>
  <c r="CH1564" i="2" s="1"/>
  <c r="L1527" i="2"/>
  <c r="AD1527" i="2" s="1"/>
  <c r="BL1530" i="2"/>
  <c r="CC1530" i="2" s="1"/>
  <c r="AK1533" i="2"/>
  <c r="AL1533" i="2" s="1"/>
  <c r="AT1533" i="2" s="1"/>
  <c r="BU1510" i="2"/>
  <c r="CL1510" i="2" s="1"/>
  <c r="BQ1537" i="2"/>
  <c r="CH1537" i="2" s="1"/>
  <c r="AQ1537" i="2"/>
  <c r="AR1537" i="2" s="1"/>
  <c r="AW1537" i="2" s="1"/>
  <c r="G1545" i="2"/>
  <c r="Y1545" i="2" s="1"/>
  <c r="Q1514" i="2"/>
  <c r="AI1514" i="2" s="1"/>
  <c r="F1563" i="2"/>
  <c r="X1563" i="2" s="1"/>
  <c r="N1517" i="2"/>
  <c r="AF1517" i="2" s="1"/>
  <c r="BA1543" i="2"/>
  <c r="BB1543" i="2" s="1"/>
  <c r="BH1543" i="2" s="1"/>
  <c r="BM1532" i="2"/>
  <c r="CD1532" i="2" s="1"/>
  <c r="BZ1555" i="2"/>
  <c r="CQ1555" i="2" s="1"/>
  <c r="Q1544" i="2"/>
  <c r="AI1544" i="2" s="1"/>
  <c r="BR1543" i="2"/>
  <c r="CI1543" i="2" s="1"/>
  <c r="P1532" i="2"/>
  <c r="AH1532" i="2" s="1"/>
  <c r="Q1527" i="2"/>
  <c r="AI1527" i="2" s="1"/>
  <c r="BV1550" i="2"/>
  <c r="CM1550" i="2" s="1"/>
  <c r="N1558" i="2"/>
  <c r="AF1558" i="2" s="1"/>
  <c r="BC1529" i="2"/>
  <c r="BD1529" i="2" s="1"/>
  <c r="BI1529" i="2" s="1"/>
  <c r="AO1536" i="2"/>
  <c r="AP1536" i="2" s="1"/>
  <c r="AV1536" i="2" s="1"/>
  <c r="BX1527" i="2"/>
  <c r="CO1527" i="2" s="1"/>
  <c r="BZ1565" i="2"/>
  <c r="CQ1565" i="2" s="1"/>
  <c r="Q1564" i="2"/>
  <c r="AI1564" i="2" s="1"/>
  <c r="AQ1516" i="2"/>
  <c r="AR1516" i="2" s="1"/>
  <c r="AW1516" i="2" s="1"/>
  <c r="BZ1531" i="2"/>
  <c r="CQ1531" i="2" s="1"/>
  <c r="BO1544" i="2"/>
  <c r="CF1544" i="2" s="1"/>
  <c r="N1535" i="2"/>
  <c r="AF1535" i="2" s="1"/>
  <c r="BQ1517" i="2"/>
  <c r="CH1517" i="2" s="1"/>
  <c r="AQ1510" i="2"/>
  <c r="AR1510" i="2" s="1"/>
  <c r="AW1510" i="2" s="1"/>
  <c r="L1559" i="2"/>
  <c r="AD1559" i="2" s="1"/>
  <c r="AK1530" i="2"/>
  <c r="AL1530" i="2" s="1"/>
  <c r="AT1530" i="2" s="1"/>
  <c r="BO1540" i="2"/>
  <c r="CF1540" i="2" s="1"/>
  <c r="AM1556" i="2"/>
  <c r="AN1556" i="2" s="1"/>
  <c r="AU1556" i="2" s="1"/>
  <c r="BA1539" i="2"/>
  <c r="BB1539" i="2" s="1"/>
  <c r="BH1539" i="2" s="1"/>
  <c r="Q1523" i="2"/>
  <c r="AI1523" i="2" s="1"/>
  <c r="BE1520" i="2"/>
  <c r="BF1520" i="2" s="1"/>
  <c r="BJ1520" i="2" s="1"/>
  <c r="BE1564" i="2"/>
  <c r="BF1564" i="2" s="1"/>
  <c r="BJ1564" i="2" s="1"/>
  <c r="BU1529" i="2"/>
  <c r="CL1529" i="2" s="1"/>
  <c r="O1552" i="2"/>
  <c r="AG1552" i="2" s="1"/>
  <c r="D1550" i="2"/>
  <c r="V1550" i="2" s="1"/>
  <c r="F1536" i="2"/>
  <c r="X1536" i="2" s="1"/>
  <c r="G1520" i="2"/>
  <c r="Y1520" i="2" s="1"/>
  <c r="J1508" i="2"/>
  <c r="AB1508" i="2" s="1"/>
  <c r="BZ1563" i="2"/>
  <c r="CQ1563" i="2" s="1"/>
  <c r="AM1528" i="2"/>
  <c r="AN1528" i="2" s="1"/>
  <c r="AU1528" i="2" s="1"/>
  <c r="BX1559" i="2"/>
  <c r="CO1559" i="2" s="1"/>
  <c r="BE1521" i="2"/>
  <c r="BF1521" i="2" s="1"/>
  <c r="BJ1521" i="2" s="1"/>
  <c r="M1515" i="2"/>
  <c r="AE1515" i="2" s="1"/>
  <c r="BU1530" i="2"/>
  <c r="CL1530" i="2" s="1"/>
  <c r="I1508" i="2"/>
  <c r="AA1508" i="2" s="1"/>
  <c r="M1565" i="2"/>
  <c r="AE1565" i="2" s="1"/>
  <c r="R1557" i="2"/>
  <c r="AJ1557" i="2" s="1"/>
  <c r="BA1510" i="2"/>
  <c r="BB1510" i="2" s="1"/>
  <c r="BH1510" i="2" s="1"/>
  <c r="BY1535" i="2"/>
  <c r="CP1535" i="2" s="1"/>
  <c r="BQ1558" i="2"/>
  <c r="CH1558" i="2" s="1"/>
  <c r="BL1514" i="2"/>
  <c r="CC1514" i="2" s="1"/>
  <c r="R1534" i="2"/>
  <c r="AJ1534" i="2" s="1"/>
  <c r="Q1558" i="2"/>
  <c r="AI1558" i="2" s="1"/>
  <c r="N1538" i="2"/>
  <c r="AF1538" i="2" s="1"/>
  <c r="P1554" i="2"/>
  <c r="AH1554" i="2" s="1"/>
  <c r="BC1509" i="2"/>
  <c r="BD1509" i="2" s="1"/>
  <c r="BI1509" i="2" s="1"/>
  <c r="I1533" i="2"/>
  <c r="AA1533" i="2" s="1"/>
  <c r="BE1562" i="2"/>
  <c r="BF1562" i="2" s="1"/>
  <c r="BJ1562" i="2" s="1"/>
  <c r="M1564" i="2"/>
  <c r="AE1564" i="2" s="1"/>
  <c r="BN1512" i="2"/>
  <c r="CE1512" i="2" s="1"/>
  <c r="L1539" i="2"/>
  <c r="AD1539" i="2" s="1"/>
  <c r="BL1548" i="2"/>
  <c r="CC1548" i="2" s="1"/>
  <c r="BC1511" i="2"/>
  <c r="BD1511" i="2" s="1"/>
  <c r="BI1511" i="2" s="1"/>
  <c r="D1565" i="2"/>
  <c r="V1565" i="2" s="1"/>
  <c r="C1549" i="2"/>
  <c r="U1549" i="2" s="1"/>
  <c r="K1557" i="2"/>
  <c r="AC1557" i="2" s="1"/>
  <c r="BM1543" i="2"/>
  <c r="CD1543" i="2" s="1"/>
  <c r="BU1534" i="2"/>
  <c r="CL1534" i="2" s="1"/>
  <c r="AY1520" i="2"/>
  <c r="AZ1520" i="2" s="1"/>
  <c r="BG1520" i="2" s="1"/>
  <c r="AY1508" i="2"/>
  <c r="AZ1508" i="2" s="1"/>
  <c r="BG1508" i="2" s="1"/>
  <c r="R1549" i="2"/>
  <c r="AJ1549" i="2" s="1"/>
  <c r="BM1557" i="2"/>
  <c r="CD1557" i="2" s="1"/>
  <c r="D1523" i="2"/>
  <c r="V1523" i="2" s="1"/>
  <c r="E1555" i="2"/>
  <c r="W1555" i="2" s="1"/>
  <c r="BC1510" i="2"/>
  <c r="BD1510" i="2" s="1"/>
  <c r="BI1510" i="2" s="1"/>
  <c r="AQ1540" i="2"/>
  <c r="AR1540" i="2" s="1"/>
  <c r="AW1540" i="2" s="1"/>
  <c r="C1513" i="2"/>
  <c r="U1513" i="2" s="1"/>
  <c r="BQ1522" i="2"/>
  <c r="CH1522" i="2" s="1"/>
  <c r="K1560" i="2"/>
  <c r="AC1560" i="2" s="1"/>
  <c r="BY1532" i="2"/>
  <c r="CP1532" i="2" s="1"/>
  <c r="AM1537" i="2"/>
  <c r="AN1537" i="2" s="1"/>
  <c r="AU1537" i="2" s="1"/>
  <c r="G1548" i="2"/>
  <c r="Y1548" i="2" s="1"/>
  <c r="BM1538" i="2"/>
  <c r="CD1538" i="2" s="1"/>
  <c r="C1524" i="2"/>
  <c r="U1524" i="2" s="1"/>
  <c r="CA1535" i="2"/>
  <c r="CR1535" i="2" s="1"/>
  <c r="BR1531" i="2"/>
  <c r="CI1531" i="2" s="1"/>
  <c r="I1510" i="2"/>
  <c r="AA1510" i="2" s="1"/>
  <c r="BT1520" i="2"/>
  <c r="CK1520" i="2" s="1"/>
  <c r="BP1513" i="2"/>
  <c r="CG1513" i="2" s="1"/>
  <c r="BZ1525" i="2"/>
  <c r="CQ1525" i="2" s="1"/>
  <c r="BS1523" i="2"/>
  <c r="CJ1523" i="2" s="1"/>
  <c r="R1545" i="2"/>
  <c r="AJ1545" i="2" s="1"/>
  <c r="D1544" i="2"/>
  <c r="V1544" i="2" s="1"/>
  <c r="BZ1556" i="2"/>
  <c r="CQ1556" i="2" s="1"/>
  <c r="P1536" i="2"/>
  <c r="AH1536" i="2" s="1"/>
  <c r="BP1558" i="2"/>
  <c r="CG1558" i="2" s="1"/>
  <c r="BR1562" i="2"/>
  <c r="CI1562" i="2" s="1"/>
  <c r="L1537" i="2"/>
  <c r="AD1537" i="2" s="1"/>
  <c r="F1565" i="2"/>
  <c r="X1565" i="2" s="1"/>
  <c r="BN1551" i="2"/>
  <c r="CE1551" i="2" s="1"/>
  <c r="BS1533" i="2"/>
  <c r="CJ1533" i="2" s="1"/>
  <c r="BV1519" i="2"/>
  <c r="CM1519" i="2" s="1"/>
  <c r="BW1510" i="2"/>
  <c r="CN1510" i="2" s="1"/>
  <c r="O1513" i="2"/>
  <c r="AG1513" i="2" s="1"/>
  <c r="BA1561" i="2"/>
  <c r="BB1561" i="2" s="1"/>
  <c r="BH1561" i="2" s="1"/>
  <c r="BQ1544" i="2"/>
  <c r="CH1544" i="2" s="1"/>
  <c r="M1513" i="2"/>
  <c r="AE1513" i="2" s="1"/>
  <c r="BW1522" i="2"/>
  <c r="CN1522" i="2" s="1"/>
  <c r="H1531" i="2"/>
  <c r="Z1531" i="2" s="1"/>
  <c r="G1547" i="2"/>
  <c r="Y1547" i="2" s="1"/>
  <c r="R1520" i="2"/>
  <c r="AJ1520" i="2" s="1"/>
  <c r="R1565" i="2"/>
  <c r="AJ1565" i="2" s="1"/>
  <c r="BV1529" i="2"/>
  <c r="CM1529" i="2" s="1"/>
  <c r="BE1552" i="2"/>
  <c r="BF1552" i="2" s="1"/>
  <c r="BJ1552" i="2" s="1"/>
  <c r="BA1528" i="2"/>
  <c r="BB1528" i="2" s="1"/>
  <c r="BH1528" i="2" s="1"/>
  <c r="CA1511" i="2"/>
  <c r="CR1511" i="2" s="1"/>
  <c r="BU1565" i="2"/>
  <c r="CL1565" i="2" s="1"/>
  <c r="P1561" i="2"/>
  <c r="AH1561" i="2" s="1"/>
  <c r="C1551" i="2"/>
  <c r="U1551" i="2" s="1"/>
  <c r="P1538" i="2"/>
  <c r="AH1538" i="2" s="1"/>
  <c r="AQ1525" i="2"/>
  <c r="AR1525" i="2" s="1"/>
  <c r="AW1525" i="2" s="1"/>
  <c r="BO1537" i="2"/>
  <c r="CF1537" i="2" s="1"/>
  <c r="BA1537" i="2"/>
  <c r="BB1537" i="2" s="1"/>
  <c r="BH1537" i="2" s="1"/>
  <c r="AK1534" i="2"/>
  <c r="AL1534" i="2" s="1"/>
  <c r="AT1534" i="2" s="1"/>
  <c r="BN1548" i="2"/>
  <c r="CE1548" i="2" s="1"/>
  <c r="O1516" i="2"/>
  <c r="AG1516" i="2" s="1"/>
  <c r="BZ1561" i="2"/>
  <c r="CQ1561" i="2" s="1"/>
  <c r="BZ1530" i="2"/>
  <c r="CQ1530" i="2" s="1"/>
  <c r="J1554" i="2"/>
  <c r="AB1554" i="2" s="1"/>
  <c r="H1556" i="2"/>
  <c r="Z1556" i="2" s="1"/>
  <c r="M1523" i="2"/>
  <c r="AE1523" i="2" s="1"/>
  <c r="J1548" i="2"/>
  <c r="AB1548" i="2" s="1"/>
  <c r="N1551" i="2"/>
  <c r="AF1551" i="2" s="1"/>
  <c r="L1552" i="2"/>
  <c r="AD1552" i="2" s="1"/>
  <c r="BY1520" i="2"/>
  <c r="CP1520" i="2" s="1"/>
  <c r="O1519" i="2"/>
  <c r="AG1519" i="2" s="1"/>
  <c r="F1560" i="2"/>
  <c r="X1560" i="2" s="1"/>
  <c r="BA1509" i="2"/>
  <c r="BB1509" i="2" s="1"/>
  <c r="BH1509" i="2" s="1"/>
  <c r="P1525" i="2"/>
  <c r="AH1525" i="2" s="1"/>
  <c r="AO1564" i="2"/>
  <c r="AP1564" i="2" s="1"/>
  <c r="AV1564" i="2" s="1"/>
  <c r="BO1546" i="2"/>
  <c r="CF1546" i="2" s="1"/>
  <c r="BO1560" i="2"/>
  <c r="CF1560" i="2" s="1"/>
  <c r="L1563" i="2"/>
  <c r="AD1563" i="2" s="1"/>
  <c r="BU1521" i="2"/>
  <c r="CL1521" i="2" s="1"/>
  <c r="J1544" i="2"/>
  <c r="AB1544" i="2" s="1"/>
  <c r="G1518" i="2"/>
  <c r="Y1518" i="2" s="1"/>
  <c r="R1525" i="2"/>
  <c r="AJ1525" i="2" s="1"/>
  <c r="CA1560" i="2"/>
  <c r="CR1560" i="2" s="1"/>
  <c r="BO1565" i="2"/>
  <c r="CF1565" i="2" s="1"/>
  <c r="AM1564" i="2"/>
  <c r="AN1564" i="2" s="1"/>
  <c r="AU1564" i="2" s="1"/>
  <c r="N1546" i="2"/>
  <c r="AF1546" i="2" s="1"/>
  <c r="P1559" i="2"/>
  <c r="AH1559" i="2" s="1"/>
  <c r="J1526" i="2"/>
  <c r="AB1526" i="2" s="1"/>
  <c r="BX1556" i="2"/>
  <c r="CO1556" i="2" s="1"/>
  <c r="CA1517" i="2"/>
  <c r="CR1517" i="2" s="1"/>
  <c r="BC1563" i="2"/>
  <c r="BD1563" i="2" s="1"/>
  <c r="BI1563" i="2" s="1"/>
  <c r="BN1537" i="2"/>
  <c r="CE1537" i="2" s="1"/>
  <c r="AK1521" i="2"/>
  <c r="AL1521" i="2" s="1"/>
  <c r="AT1521" i="2" s="1"/>
  <c r="BT1555" i="2"/>
  <c r="CK1555" i="2" s="1"/>
  <c r="BL1513" i="2"/>
  <c r="CC1513" i="2" s="1"/>
  <c r="G1557" i="2"/>
  <c r="Y1557" i="2" s="1"/>
  <c r="AY1546" i="2"/>
  <c r="AZ1546" i="2" s="1"/>
  <c r="BG1546" i="2" s="1"/>
  <c r="L1512" i="2"/>
  <c r="AD1512" i="2" s="1"/>
  <c r="K1505" i="2"/>
  <c r="AC1505" i="2" s="1"/>
  <c r="BZ1544" i="2"/>
  <c r="CQ1544" i="2" s="1"/>
  <c r="AK1547" i="2"/>
  <c r="AL1547" i="2" s="1"/>
  <c r="AT1547" i="2" s="1"/>
  <c r="CA1532" i="2"/>
  <c r="CR1532" i="2" s="1"/>
  <c r="Q1534" i="2"/>
  <c r="AI1534" i="2" s="1"/>
  <c r="BP1559" i="2"/>
  <c r="CG1559" i="2" s="1"/>
  <c r="P1564" i="2"/>
  <c r="AH1564" i="2" s="1"/>
  <c r="BL1524" i="2"/>
  <c r="CC1524" i="2" s="1"/>
  <c r="D1546" i="2"/>
  <c r="V1546" i="2" s="1"/>
  <c r="P1520" i="2"/>
  <c r="AH1520" i="2" s="1"/>
  <c r="BC1530" i="2"/>
  <c r="BD1530" i="2" s="1"/>
  <c r="BI1530" i="2" s="1"/>
  <c r="AK1518" i="2"/>
  <c r="AL1518" i="2" s="1"/>
  <c r="AT1518" i="2" s="1"/>
  <c r="BZ1532" i="2"/>
  <c r="CQ1532" i="2" s="1"/>
  <c r="C1529" i="2"/>
  <c r="U1529" i="2" s="1"/>
  <c r="BS1552" i="2"/>
  <c r="CJ1552" i="2" s="1"/>
  <c r="BZ1559" i="2"/>
  <c r="CQ1559" i="2" s="1"/>
  <c r="E1526" i="2"/>
  <c r="W1526" i="2" s="1"/>
  <c r="G1514" i="2"/>
  <c r="Y1514" i="2" s="1"/>
  <c r="BZ1526" i="2"/>
  <c r="CQ1526" i="2" s="1"/>
  <c r="D1517" i="2"/>
  <c r="V1517" i="2" s="1"/>
  <c r="BV1520" i="2"/>
  <c r="CM1520" i="2" s="1"/>
  <c r="J1562" i="2"/>
  <c r="AB1562" i="2" s="1"/>
  <c r="BQ1532" i="2"/>
  <c r="CH1532" i="2" s="1"/>
  <c r="R1551" i="2"/>
  <c r="AJ1551" i="2" s="1"/>
  <c r="BM1545" i="2"/>
  <c r="CD1545" i="2" s="1"/>
  <c r="D1528" i="2"/>
  <c r="V1528" i="2" s="1"/>
  <c r="AK1519" i="2"/>
  <c r="AL1519" i="2" s="1"/>
  <c r="AT1519" i="2" s="1"/>
  <c r="BR1510" i="2"/>
  <c r="CI1510" i="2" s="1"/>
  <c r="BY1517" i="2"/>
  <c r="CP1517" i="2" s="1"/>
  <c r="BM1524" i="2"/>
  <c r="CD1524" i="2" s="1"/>
  <c r="J1515" i="2"/>
  <c r="AB1515" i="2" s="1"/>
  <c r="C1538" i="2"/>
  <c r="U1538" i="2" s="1"/>
  <c r="K1535" i="2"/>
  <c r="AC1535" i="2" s="1"/>
  <c r="AK1549" i="2"/>
  <c r="AL1549" i="2" s="1"/>
  <c r="AT1549" i="2" s="1"/>
  <c r="BR1544" i="2"/>
  <c r="CI1544" i="2" s="1"/>
  <c r="Q1538" i="2"/>
  <c r="AI1538" i="2" s="1"/>
  <c r="BC1540" i="2"/>
  <c r="BD1540" i="2" s="1"/>
  <c r="BI1540" i="2" s="1"/>
  <c r="L1544" i="2"/>
  <c r="AD1544" i="2" s="1"/>
  <c r="M1543" i="2"/>
  <c r="AE1543" i="2" s="1"/>
  <c r="P1512" i="2"/>
  <c r="AH1512" i="2" s="1"/>
  <c r="BA1560" i="2"/>
  <c r="BB1560" i="2" s="1"/>
  <c r="BH1560" i="2" s="1"/>
  <c r="BV1540" i="2"/>
  <c r="CM1540" i="2" s="1"/>
  <c r="R1539" i="2"/>
  <c r="AJ1539" i="2" s="1"/>
  <c r="G1559" i="2"/>
  <c r="Y1559" i="2" s="1"/>
  <c r="AQ1559" i="2"/>
  <c r="AR1559" i="2" s="1"/>
  <c r="AW1559" i="2" s="1"/>
  <c r="BX1532" i="2"/>
  <c r="CO1532" i="2" s="1"/>
  <c r="BY1539" i="2"/>
  <c r="CP1539" i="2" s="1"/>
  <c r="M1525" i="2"/>
  <c r="AE1525" i="2" s="1"/>
  <c r="C1545" i="2"/>
  <c r="U1545" i="2" s="1"/>
  <c r="BY1562" i="2"/>
  <c r="CP1562" i="2" s="1"/>
  <c r="M1558" i="2"/>
  <c r="AE1558" i="2" s="1"/>
  <c r="BC1505" i="2"/>
  <c r="BD1505" i="2" s="1"/>
  <c r="BI1505" i="2" s="1"/>
  <c r="O1383" i="2" s="1"/>
  <c r="O1546" i="2"/>
  <c r="AG1546" i="2" s="1"/>
  <c r="AQ1505" i="2"/>
  <c r="AR1505" i="2" s="1"/>
  <c r="AW1505" i="2" s="1"/>
  <c r="M1384" i="2" s="1"/>
  <c r="C1563" i="2"/>
  <c r="U1563" i="2" s="1"/>
  <c r="CA1526" i="2"/>
  <c r="CR1526" i="2" s="1"/>
  <c r="CA1539" i="2"/>
  <c r="CR1539" i="2" s="1"/>
  <c r="AY1563" i="2"/>
  <c r="AZ1563" i="2" s="1"/>
  <c r="BG1563" i="2" s="1"/>
  <c r="BY1519" i="2"/>
  <c r="CP1519" i="2" s="1"/>
  <c r="F1553" i="2"/>
  <c r="X1553" i="2" s="1"/>
  <c r="BW1536" i="2"/>
  <c r="CN1536" i="2" s="1"/>
  <c r="AY1554" i="2"/>
  <c r="AZ1554" i="2" s="1"/>
  <c r="BG1554" i="2" s="1"/>
  <c r="BN1562" i="2"/>
  <c r="CE1562" i="2" s="1"/>
  <c r="F1520" i="2"/>
  <c r="X1520" i="2" s="1"/>
  <c r="AY1553" i="2"/>
  <c r="AZ1553" i="2" s="1"/>
  <c r="BG1553" i="2" s="1"/>
  <c r="E1563" i="2"/>
  <c r="W1563" i="2" s="1"/>
  <c r="AO1523" i="2"/>
  <c r="AP1523" i="2" s="1"/>
  <c r="AV1523" i="2" s="1"/>
  <c r="BW1542" i="2"/>
  <c r="CN1542" i="2" s="1"/>
  <c r="AQ1561" i="2"/>
  <c r="AR1561" i="2" s="1"/>
  <c r="AW1561" i="2" s="1"/>
  <c r="C1558" i="2"/>
  <c r="U1558" i="2" s="1"/>
  <c r="Q1522" i="2"/>
  <c r="AI1522" i="2" s="1"/>
  <c r="BQ1534" i="2"/>
  <c r="CH1534" i="2" s="1"/>
  <c r="BT1546" i="2"/>
  <c r="CK1546" i="2" s="1"/>
  <c r="N1547" i="2"/>
  <c r="AF1547" i="2" s="1"/>
  <c r="AK1538" i="2"/>
  <c r="AL1538" i="2" s="1"/>
  <c r="AT1538" i="2" s="1"/>
  <c r="L1564" i="2"/>
  <c r="AD1564" i="2" s="1"/>
  <c r="C1512" i="2"/>
  <c r="U1512" i="2" s="1"/>
  <c r="BP1555" i="2"/>
  <c r="CG1555" i="2" s="1"/>
  <c r="BO1522" i="2"/>
  <c r="CF1522" i="2" s="1"/>
  <c r="J1521" i="2"/>
  <c r="AB1521" i="2" s="1"/>
  <c r="D1513" i="2"/>
  <c r="V1513" i="2" s="1"/>
  <c r="N1515" i="2"/>
  <c r="AF1515" i="2" s="1"/>
  <c r="BS1559" i="2"/>
  <c r="CJ1559" i="2" s="1"/>
  <c r="BE1563" i="2"/>
  <c r="BF1563" i="2" s="1"/>
  <c r="BJ1563" i="2" s="1"/>
  <c r="BR1526" i="2"/>
  <c r="CI1526" i="2" s="1"/>
  <c r="BA1521" i="2"/>
  <c r="BB1521" i="2" s="1"/>
  <c r="BH1521" i="2" s="1"/>
  <c r="CA1561" i="2"/>
  <c r="CR1561" i="2" s="1"/>
  <c r="AK1515" i="2"/>
  <c r="AL1515" i="2" s="1"/>
  <c r="AT1515" i="2" s="1"/>
  <c r="BO1511" i="2"/>
  <c r="CF1511" i="2" s="1"/>
  <c r="BE1505" i="2"/>
  <c r="BF1505" i="2" s="1"/>
  <c r="BJ1505" i="2" s="1"/>
  <c r="O1384" i="2" s="1"/>
  <c r="AQ1515" i="2"/>
  <c r="AR1515" i="2" s="1"/>
  <c r="AW1515" i="2" s="1"/>
  <c r="BU1514" i="2"/>
  <c r="CL1514" i="2" s="1"/>
  <c r="AQ1513" i="2"/>
  <c r="AR1513" i="2" s="1"/>
  <c r="AW1513" i="2" s="1"/>
  <c r="J1525" i="2"/>
  <c r="AB1525" i="2" s="1"/>
  <c r="AY1556" i="2"/>
  <c r="AZ1556" i="2" s="1"/>
  <c r="BG1556" i="2" s="1"/>
  <c r="AM1546" i="2"/>
  <c r="AN1546" i="2" s="1"/>
  <c r="AU1546" i="2" s="1"/>
  <c r="BV1508" i="2"/>
  <c r="CM1508" i="2" s="1"/>
  <c r="K1512" i="2"/>
  <c r="AC1512" i="2" s="1"/>
  <c r="AO1553" i="2"/>
  <c r="AP1553" i="2" s="1"/>
  <c r="AV1553" i="2" s="1"/>
  <c r="M1526" i="2"/>
  <c r="AE1526" i="2" s="1"/>
  <c r="R1553" i="2"/>
  <c r="AJ1553" i="2" s="1"/>
  <c r="BO1554" i="2"/>
  <c r="CF1554" i="2" s="1"/>
  <c r="AK1509" i="2"/>
  <c r="AL1509" i="2" s="1"/>
  <c r="AT1509" i="2" s="1"/>
  <c r="BU1545" i="2"/>
  <c r="CL1545" i="2" s="1"/>
  <c r="L1534" i="2"/>
  <c r="AD1534" i="2" s="1"/>
  <c r="BE1512" i="2"/>
  <c r="BF1512" i="2" s="1"/>
  <c r="BJ1512" i="2" s="1"/>
  <c r="F1529" i="2"/>
  <c r="X1529" i="2" s="1"/>
  <c r="G1517" i="2"/>
  <c r="Y1517" i="2" s="1"/>
  <c r="L1551" i="2"/>
  <c r="AD1551" i="2" s="1"/>
  <c r="F1538" i="2"/>
  <c r="X1538" i="2" s="1"/>
  <c r="BX1508" i="2"/>
  <c r="CO1508" i="2" s="1"/>
  <c r="CA1559" i="2"/>
  <c r="CR1559" i="2" s="1"/>
  <c r="BA1523" i="2"/>
  <c r="BB1523" i="2" s="1"/>
  <c r="BH1523" i="2" s="1"/>
  <c r="AO1518" i="2"/>
  <c r="AP1518" i="2" s="1"/>
  <c r="AV1518" i="2" s="1"/>
  <c r="J1531" i="2"/>
  <c r="AB1531" i="2" s="1"/>
  <c r="K1530" i="2"/>
  <c r="AC1530" i="2" s="1"/>
  <c r="BT1560" i="2"/>
  <c r="CK1560" i="2" s="1"/>
  <c r="H1560" i="2"/>
  <c r="Z1560" i="2" s="1"/>
  <c r="O1508" i="2"/>
  <c r="AG1508" i="2" s="1"/>
  <c r="AY1541" i="2"/>
  <c r="AZ1541" i="2" s="1"/>
  <c r="BG1541" i="2" s="1"/>
  <c r="H1565" i="2"/>
  <c r="Z1565" i="2" s="1"/>
  <c r="BT1511" i="2"/>
  <c r="CK1511" i="2" s="1"/>
  <c r="BM1514" i="2"/>
  <c r="CD1514" i="2" s="1"/>
  <c r="BQ1531" i="2"/>
  <c r="CH1531" i="2" s="1"/>
  <c r="AO1565" i="2"/>
  <c r="AP1565" i="2" s="1"/>
  <c r="AV1565" i="2" s="1"/>
  <c r="BP1543" i="2"/>
  <c r="CG1543" i="2" s="1"/>
  <c r="CA1562" i="2"/>
  <c r="CR1562" i="2" s="1"/>
  <c r="O1551" i="2"/>
  <c r="AG1551" i="2" s="1"/>
  <c r="P1533" i="2"/>
  <c r="AH1533" i="2" s="1"/>
  <c r="E1524" i="2"/>
  <c r="W1524" i="2" s="1"/>
  <c r="O1512" i="2"/>
  <c r="AG1512" i="2" s="1"/>
  <c r="AY1539" i="2"/>
  <c r="AZ1539" i="2" s="1"/>
  <c r="BG1539" i="2" s="1"/>
  <c r="BR1555" i="2"/>
  <c r="CI1555" i="2" s="1"/>
  <c r="BE1542" i="2"/>
  <c r="BF1542" i="2" s="1"/>
  <c r="BJ1542" i="2" s="1"/>
  <c r="L1550" i="2"/>
  <c r="AD1550" i="2" s="1"/>
  <c r="BW1530" i="2"/>
  <c r="CN1530" i="2" s="1"/>
  <c r="D1512" i="2"/>
  <c r="V1512" i="2" s="1"/>
  <c r="BE1537" i="2"/>
  <c r="BF1537" i="2" s="1"/>
  <c r="BJ1537" i="2" s="1"/>
  <c r="M1535" i="2"/>
  <c r="AE1535" i="2" s="1"/>
  <c r="BM1511" i="2"/>
  <c r="CD1511" i="2" s="1"/>
  <c r="E1538" i="2"/>
  <c r="W1538" i="2" s="1"/>
  <c r="K1563" i="2"/>
  <c r="AC1563" i="2" s="1"/>
  <c r="G1512" i="2"/>
  <c r="Y1512" i="2" s="1"/>
  <c r="BY1515" i="2"/>
  <c r="CP1515" i="2" s="1"/>
  <c r="H1513" i="2"/>
  <c r="Z1513" i="2" s="1"/>
  <c r="BX1557" i="2"/>
  <c r="CO1557" i="2" s="1"/>
  <c r="R1517" i="2"/>
  <c r="AJ1517" i="2" s="1"/>
  <c r="AY1529" i="2"/>
  <c r="AZ1529" i="2" s="1"/>
  <c r="BG1529" i="2" s="1"/>
  <c r="E1531" i="2"/>
  <c r="W1531" i="2" s="1"/>
  <c r="BV1543" i="2"/>
  <c r="CM1543" i="2" s="1"/>
  <c r="H1522" i="2"/>
  <c r="Z1522" i="2" s="1"/>
  <c r="BY1558" i="2"/>
  <c r="CP1558" i="2" s="1"/>
  <c r="BL1558" i="2"/>
  <c r="CC1558" i="2" s="1"/>
  <c r="CA1552" i="2"/>
  <c r="CR1552" i="2" s="1"/>
  <c r="Q1519" i="2"/>
  <c r="AI1519" i="2" s="1"/>
  <c r="E1533" i="2"/>
  <c r="W1533" i="2" s="1"/>
  <c r="K1508" i="2"/>
  <c r="AC1508" i="2" s="1"/>
  <c r="H1535" i="2"/>
  <c r="Z1535" i="2" s="1"/>
  <c r="BZ1519" i="2"/>
  <c r="CQ1519" i="2" s="1"/>
  <c r="D1529" i="2"/>
  <c r="V1529" i="2" s="1"/>
  <c r="AQ1534" i="2"/>
  <c r="AR1534" i="2" s="1"/>
  <c r="AW1534" i="2" s="1"/>
  <c r="N1529" i="2"/>
  <c r="AF1529" i="2" s="1"/>
  <c r="BE1550" i="2"/>
  <c r="BF1550" i="2" s="1"/>
  <c r="BJ1550" i="2" s="1"/>
  <c r="AM1542" i="2"/>
  <c r="AN1542" i="2" s="1"/>
  <c r="AU1542" i="2" s="1"/>
  <c r="BU1536" i="2"/>
  <c r="CL1536" i="2" s="1"/>
  <c r="BE1531" i="2"/>
  <c r="BF1531" i="2" s="1"/>
  <c r="BJ1531" i="2" s="1"/>
  <c r="BE1527" i="2"/>
  <c r="BF1527" i="2" s="1"/>
  <c r="BJ1527" i="2" s="1"/>
  <c r="C1537" i="2"/>
  <c r="U1537" i="2" s="1"/>
  <c r="E1517" i="2"/>
  <c r="W1517" i="2" s="1"/>
  <c r="E1513" i="2"/>
  <c r="W1513" i="2" s="1"/>
  <c r="AK1523" i="2"/>
  <c r="AL1523" i="2" s="1"/>
  <c r="AT1523" i="2" s="1"/>
  <c r="BX1542" i="2"/>
  <c r="CO1542" i="2" s="1"/>
  <c r="P1553" i="2"/>
  <c r="AH1553" i="2" s="1"/>
  <c r="BU1556" i="2"/>
  <c r="CL1556" i="2" s="1"/>
  <c r="BT1540" i="2"/>
  <c r="CK1540" i="2" s="1"/>
  <c r="AK1563" i="2"/>
  <c r="AL1563" i="2" s="1"/>
  <c r="AT1563" i="2" s="1"/>
  <c r="BR1521" i="2"/>
  <c r="CI1521" i="2" s="1"/>
  <c r="M1547" i="2"/>
  <c r="AE1547" i="2" s="1"/>
  <c r="BA1549" i="2"/>
  <c r="BB1549" i="2" s="1"/>
  <c r="BH1549" i="2" s="1"/>
  <c r="BC1544" i="2"/>
  <c r="BD1544" i="2" s="1"/>
  <c r="BI1544" i="2" s="1"/>
  <c r="AO1516" i="2"/>
  <c r="AP1516" i="2" s="1"/>
  <c r="AV1516" i="2" s="1"/>
  <c r="BZ1539" i="2"/>
  <c r="CQ1539" i="2" s="1"/>
  <c r="BP1526" i="2"/>
  <c r="CG1526" i="2" s="1"/>
  <c r="D1559" i="2"/>
  <c r="V1559" i="2" s="1"/>
  <c r="J1511" i="2"/>
  <c r="AB1511" i="2" s="1"/>
  <c r="AQ1535" i="2"/>
  <c r="AR1535" i="2" s="1"/>
  <c r="AW1535" i="2" s="1"/>
  <c r="C1534" i="2"/>
  <c r="U1534" i="2" s="1"/>
  <c r="BL1543" i="2"/>
  <c r="CC1543" i="2" s="1"/>
  <c r="K1540" i="2"/>
  <c r="AC1540" i="2" s="1"/>
  <c r="BA1546" i="2"/>
  <c r="BB1546" i="2" s="1"/>
  <c r="BH1546" i="2" s="1"/>
  <c r="Q1547" i="2"/>
  <c r="AI1547" i="2" s="1"/>
  <c r="E1547" i="2"/>
  <c r="W1547" i="2" s="1"/>
  <c r="D1564" i="2"/>
  <c r="V1564" i="2" s="1"/>
  <c r="BW1528" i="2"/>
  <c r="CN1528" i="2" s="1"/>
  <c r="E1554" i="2"/>
  <c r="W1554" i="2" s="1"/>
  <c r="BC1514" i="2"/>
  <c r="BD1514" i="2" s="1"/>
  <c r="BI1514" i="2" s="1"/>
  <c r="AQ1511" i="2"/>
  <c r="AR1511" i="2" s="1"/>
  <c r="AW1511" i="2" s="1"/>
  <c r="BX1541" i="2"/>
  <c r="CO1541" i="2" s="1"/>
  <c r="AM1549" i="2"/>
  <c r="AN1549" i="2" s="1"/>
  <c r="AU1549" i="2" s="1"/>
  <c r="BR1516" i="2"/>
  <c r="CI1516" i="2" s="1"/>
  <c r="AQ1563" i="2"/>
  <c r="AR1563" i="2" s="1"/>
  <c r="AW1563" i="2" s="1"/>
  <c r="G1556" i="2"/>
  <c r="Y1556" i="2" s="1"/>
  <c r="BW1525" i="2"/>
  <c r="CN1525" i="2" s="1"/>
  <c r="K1547" i="2"/>
  <c r="AC1547" i="2" s="1"/>
  <c r="C1509" i="2"/>
  <c r="U1509" i="2" s="1"/>
  <c r="F1523" i="2"/>
  <c r="X1523" i="2" s="1"/>
  <c r="AY1524" i="2"/>
  <c r="AZ1524" i="2" s="1"/>
  <c r="BG1524" i="2" s="1"/>
  <c r="BW1539" i="2"/>
  <c r="CN1539" i="2" s="1"/>
  <c r="BQ1513" i="2"/>
  <c r="CH1513" i="2" s="1"/>
  <c r="BZ1548" i="2"/>
  <c r="CQ1548" i="2" s="1"/>
  <c r="BE1526" i="2"/>
  <c r="BF1526" i="2" s="1"/>
  <c r="BJ1526" i="2" s="1"/>
  <c r="BS1528" i="2"/>
  <c r="CJ1528" i="2" s="1"/>
  <c r="P1560" i="2"/>
  <c r="AH1560" i="2" s="1"/>
  <c r="I1518" i="2"/>
  <c r="AA1518" i="2" s="1"/>
  <c r="AY1523" i="2"/>
  <c r="AZ1523" i="2" s="1"/>
  <c r="BG1523" i="2" s="1"/>
  <c r="I1536" i="2"/>
  <c r="AA1536" i="2" s="1"/>
  <c r="BQ1550" i="2"/>
  <c r="CH1550" i="2" s="1"/>
  <c r="J1540" i="2"/>
  <c r="AB1540" i="2" s="1"/>
  <c r="E1518" i="2"/>
  <c r="W1518" i="2" s="1"/>
  <c r="C1519" i="2"/>
  <c r="U1519" i="2" s="1"/>
  <c r="O1543" i="2"/>
  <c r="AG1543" i="2" s="1"/>
  <c r="H1538" i="2"/>
  <c r="Z1538" i="2" s="1"/>
  <c r="BM1517" i="2"/>
  <c r="CD1517" i="2" s="1"/>
  <c r="BN1556" i="2"/>
  <c r="CE1556" i="2" s="1"/>
  <c r="G1552" i="2"/>
  <c r="Y1552" i="2" s="1"/>
  <c r="BZ1517" i="2"/>
  <c r="CQ1517" i="2" s="1"/>
  <c r="J1545" i="2"/>
  <c r="AB1545" i="2" s="1"/>
  <c r="E1535" i="2"/>
  <c r="W1535" i="2" s="1"/>
  <c r="BC1548" i="2"/>
  <c r="BD1548" i="2" s="1"/>
  <c r="BI1548" i="2" s="1"/>
  <c r="BW1550" i="2"/>
  <c r="CN1550" i="2" s="1"/>
  <c r="AY1519" i="2"/>
  <c r="AZ1519" i="2" s="1"/>
  <c r="BG1519" i="2" s="1"/>
  <c r="P1540" i="2"/>
  <c r="AH1540" i="2" s="1"/>
  <c r="BX1522" i="2"/>
  <c r="CO1522" i="2" s="1"/>
  <c r="O1563" i="2"/>
  <c r="AG1563" i="2" s="1"/>
  <c r="BV1535" i="2"/>
  <c r="CM1535" i="2" s="1"/>
  <c r="BQ1560" i="2"/>
  <c r="CH1560" i="2" s="1"/>
  <c r="M1511" i="2"/>
  <c r="AE1511" i="2" s="1"/>
  <c r="AM1547" i="2"/>
  <c r="AN1547" i="2" s="1"/>
  <c r="AU1547" i="2" s="1"/>
  <c r="BY1561" i="2"/>
  <c r="CP1561" i="2" s="1"/>
  <c r="AY1560" i="2"/>
  <c r="AZ1560" i="2" s="1"/>
  <c r="BG1560" i="2" s="1"/>
  <c r="D1508" i="2"/>
  <c r="V1508" i="2" s="1"/>
  <c r="AO1526" i="2"/>
  <c r="AP1526" i="2" s="1"/>
  <c r="AV1526" i="2" s="1"/>
  <c r="N1520" i="2"/>
  <c r="AF1520" i="2" s="1"/>
  <c r="BA1552" i="2"/>
  <c r="BB1552" i="2" s="1"/>
  <c r="BH1552" i="2" s="1"/>
  <c r="BW1555" i="2"/>
  <c r="CN1555" i="2" s="1"/>
  <c r="BP1536" i="2"/>
  <c r="CG1536" i="2" s="1"/>
  <c r="AY1531" i="2"/>
  <c r="AZ1531" i="2" s="1"/>
  <c r="BG1531" i="2" s="1"/>
  <c r="BN1508" i="2"/>
  <c r="CE1508" i="2" s="1"/>
  <c r="BW1533" i="2"/>
  <c r="CN1533" i="2" s="1"/>
  <c r="Q1508" i="2"/>
  <c r="AI1508" i="2" s="1"/>
  <c r="BL1509" i="2"/>
  <c r="CC1509" i="2" s="1"/>
  <c r="BU1552" i="2"/>
  <c r="CL1552" i="2" s="1"/>
  <c r="BX1523" i="2"/>
  <c r="CO1523" i="2" s="1"/>
  <c r="D1518" i="2"/>
  <c r="V1518" i="2" s="1"/>
  <c r="O1558" i="2"/>
  <c r="AG1558" i="2" s="1"/>
  <c r="BA1548" i="2"/>
  <c r="BB1548" i="2" s="1"/>
  <c r="BH1548" i="2" s="1"/>
  <c r="F1549" i="2"/>
  <c r="X1549" i="2" s="1"/>
  <c r="R1518" i="2"/>
  <c r="AJ1518" i="2" s="1"/>
  <c r="BU1527" i="2"/>
  <c r="CL1527" i="2" s="1"/>
  <c r="BR1550" i="2"/>
  <c r="CI1550" i="2" s="1"/>
  <c r="BP1523" i="2"/>
  <c r="CG1523" i="2" s="1"/>
  <c r="N1536" i="2"/>
  <c r="AF1536" i="2" s="1"/>
  <c r="L1529" i="2"/>
  <c r="AD1529" i="2" s="1"/>
  <c r="BL1553" i="2"/>
  <c r="CC1553" i="2" s="1"/>
  <c r="BW1548" i="2"/>
  <c r="CN1548" i="2" s="1"/>
  <c r="BO1547" i="2"/>
  <c r="CF1547" i="2" s="1"/>
  <c r="BU1518" i="2"/>
  <c r="CL1518" i="2" s="1"/>
  <c r="AM1513" i="2"/>
  <c r="AN1513" i="2" s="1"/>
  <c r="AU1513" i="2" s="1"/>
  <c r="I1509" i="2"/>
  <c r="AA1509" i="2" s="1"/>
  <c r="BL1542" i="2"/>
  <c r="CC1542" i="2" s="1"/>
  <c r="G1546" i="2"/>
  <c r="Y1546" i="2" s="1"/>
  <c r="C1532" i="2"/>
  <c r="U1532" i="2" s="1"/>
  <c r="BL1534" i="2"/>
  <c r="CC1534" i="2" s="1"/>
  <c r="AM1532" i="2"/>
  <c r="AN1532" i="2" s="1"/>
  <c r="AU1532" i="2" s="1"/>
  <c r="BC1546" i="2"/>
  <c r="BD1546" i="2" s="1"/>
  <c r="BI1546" i="2" s="1"/>
  <c r="F1555" i="2"/>
  <c r="X1555" i="2" s="1"/>
  <c r="BX1517" i="2"/>
  <c r="CO1517" i="2" s="1"/>
  <c r="E1565" i="2"/>
  <c r="W1565" i="2" s="1"/>
  <c r="Q1552" i="2"/>
  <c r="AI1552" i="2" s="1"/>
  <c r="Q1521" i="2"/>
  <c r="AI1521" i="2" s="1"/>
  <c r="AQ1544" i="2"/>
  <c r="AR1544" i="2" s="1"/>
  <c r="AW1544" i="2" s="1"/>
  <c r="BW1538" i="2"/>
  <c r="CN1538" i="2" s="1"/>
  <c r="BV1510" i="2"/>
  <c r="CM1510" i="2" s="1"/>
  <c r="BT1519" i="2"/>
  <c r="CK1519" i="2" s="1"/>
  <c r="Q1517" i="2"/>
  <c r="AI1517" i="2" s="1"/>
  <c r="BQ1533" i="2"/>
  <c r="CH1533" i="2" s="1"/>
  <c r="BT1528" i="2"/>
  <c r="CK1528" i="2" s="1"/>
  <c r="BO1524" i="2"/>
  <c r="CF1524" i="2" s="1"/>
  <c r="L1562" i="2"/>
  <c r="AD1562" i="2" s="1"/>
  <c r="L1514" i="2"/>
  <c r="AD1514" i="2" s="1"/>
  <c r="E1558" i="2"/>
  <c r="W1558" i="2" s="1"/>
  <c r="BC1521" i="2"/>
  <c r="BD1521" i="2" s="1"/>
  <c r="BI1521" i="2" s="1"/>
  <c r="BX1547" i="2"/>
  <c r="CO1547" i="2" s="1"/>
  <c r="BQ1562" i="2"/>
  <c r="CH1562" i="2" s="1"/>
  <c r="BC1520" i="2"/>
  <c r="BD1520" i="2" s="1"/>
  <c r="BI1520" i="2" s="1"/>
  <c r="BU1543" i="2"/>
  <c r="CL1543" i="2" s="1"/>
  <c r="BA1527" i="2"/>
  <c r="BB1527" i="2" s="1"/>
  <c r="BH1527" i="2" s="1"/>
  <c r="BZ1543" i="2"/>
  <c r="CQ1543" i="2" s="1"/>
  <c r="BE1547" i="2"/>
  <c r="BF1547" i="2" s="1"/>
  <c r="BJ1547" i="2" s="1"/>
  <c r="C1559" i="2"/>
  <c r="U1559" i="2" s="1"/>
  <c r="BW1560" i="2"/>
  <c r="CN1560" i="2" s="1"/>
  <c r="N1544" i="2"/>
  <c r="AF1544" i="2" s="1"/>
  <c r="BV1545" i="2"/>
  <c r="CM1545" i="2" s="1"/>
  <c r="AO1538" i="2"/>
  <c r="AP1538" i="2" s="1"/>
  <c r="AV1538" i="2" s="1"/>
  <c r="BT1526" i="2"/>
  <c r="CK1526" i="2" s="1"/>
  <c r="BC1513" i="2"/>
  <c r="BD1513" i="2" s="1"/>
  <c r="BI1513" i="2" s="1"/>
  <c r="BT1559" i="2"/>
  <c r="CK1559" i="2" s="1"/>
  <c r="E1548" i="2"/>
  <c r="W1548" i="2" s="1"/>
  <c r="BX1565" i="2"/>
  <c r="CO1565" i="2" s="1"/>
  <c r="BE1514" i="2"/>
  <c r="BF1514" i="2" s="1"/>
  <c r="BJ1514" i="2" s="1"/>
  <c r="BA1559" i="2"/>
  <c r="BB1559" i="2" s="1"/>
  <c r="BH1559" i="2" s="1"/>
  <c r="BN1549" i="2"/>
  <c r="CE1549" i="2" s="1"/>
  <c r="G1540" i="2"/>
  <c r="Y1540" i="2" s="1"/>
  <c r="BN1565" i="2"/>
  <c r="CE1565" i="2" s="1"/>
  <c r="AK1551" i="2"/>
  <c r="AL1551" i="2" s="1"/>
  <c r="AT1551" i="2" s="1"/>
  <c r="N1509" i="2"/>
  <c r="AF1509" i="2" s="1"/>
  <c r="K1552" i="2"/>
  <c r="AC1552" i="2" s="1"/>
  <c r="Q1541" i="2"/>
  <c r="AI1541" i="2" s="1"/>
  <c r="AO1551" i="2"/>
  <c r="AP1551" i="2" s="1"/>
  <c r="AV1551" i="2" s="1"/>
  <c r="BZ1515" i="2"/>
  <c r="CQ1515" i="2" s="1"/>
  <c r="BL1533" i="2"/>
  <c r="CC1533" i="2" s="1"/>
  <c r="C1536" i="2"/>
  <c r="U1536" i="2" s="1"/>
  <c r="BM1508" i="2"/>
  <c r="CD1508" i="2" s="1"/>
  <c r="Q1537" i="2"/>
  <c r="AI1537" i="2" s="1"/>
  <c r="J1556" i="2"/>
  <c r="AB1556" i="2" s="1"/>
  <c r="K1558" i="2"/>
  <c r="AC1558" i="2" s="1"/>
  <c r="H1558" i="2"/>
  <c r="Z1558" i="2" s="1"/>
  <c r="C1515" i="2"/>
  <c r="U1515" i="2" s="1"/>
  <c r="BM1509" i="2"/>
  <c r="CD1509" i="2" s="1"/>
  <c r="BQ1523" i="2"/>
  <c r="CH1523" i="2" s="1"/>
  <c r="BM1563" i="2"/>
  <c r="CD1563" i="2" s="1"/>
  <c r="I1554" i="2"/>
  <c r="AA1554" i="2" s="1"/>
  <c r="BY1556" i="2"/>
  <c r="CP1556" i="2" s="1"/>
  <c r="N1527" i="2"/>
  <c r="AF1527" i="2" s="1"/>
  <c r="P1552" i="2"/>
  <c r="AH1552" i="2" s="1"/>
  <c r="BW1558" i="2"/>
  <c r="CN1558" i="2" s="1"/>
  <c r="BV1542" i="2"/>
  <c r="CM1542" i="2" s="1"/>
  <c r="E1562" i="2"/>
  <c r="W1562" i="2" s="1"/>
  <c r="O1511" i="2"/>
  <c r="AG1511" i="2" s="1"/>
  <c r="AK1529" i="2"/>
  <c r="AL1529" i="2" s="1"/>
  <c r="AT1529" i="2" s="1"/>
  <c r="G1538" i="2"/>
  <c r="Y1538" i="2" s="1"/>
  <c r="BT1529" i="2"/>
  <c r="CK1529" i="2" s="1"/>
  <c r="BU1557" i="2"/>
  <c r="CL1557" i="2" s="1"/>
  <c r="BU1549" i="2"/>
  <c r="CL1549" i="2" s="1"/>
  <c r="R1530" i="2"/>
  <c r="AJ1530" i="2" s="1"/>
  <c r="BU1524" i="2"/>
  <c r="CL1524" i="2" s="1"/>
  <c r="F1554" i="2"/>
  <c r="X1554" i="2" s="1"/>
  <c r="BW1544" i="2"/>
  <c r="CN1544" i="2" s="1"/>
  <c r="BQ1543" i="2"/>
  <c r="CH1543" i="2" s="1"/>
  <c r="N1555" i="2"/>
  <c r="AF1555" i="2" s="1"/>
  <c r="BU1558" i="2"/>
  <c r="CL1558" i="2" s="1"/>
  <c r="AY1533" i="2"/>
  <c r="AZ1533" i="2" s="1"/>
  <c r="BG1533" i="2" s="1"/>
  <c r="BP1542" i="2"/>
  <c r="CG1542" i="2" s="1"/>
  <c r="BE1549" i="2"/>
  <c r="BF1549" i="2" s="1"/>
  <c r="BJ1549" i="2" s="1"/>
  <c r="BW1526" i="2"/>
  <c r="CN1526" i="2" s="1"/>
  <c r="BR1545" i="2"/>
  <c r="CI1545" i="2" s="1"/>
  <c r="BC1542" i="2"/>
  <c r="BD1542" i="2" s="1"/>
  <c r="BI1542" i="2" s="1"/>
  <c r="BS1547" i="2"/>
  <c r="CJ1547" i="2" s="1"/>
  <c r="BC1535" i="2"/>
  <c r="BD1535" i="2" s="1"/>
  <c r="BI1535" i="2" s="1"/>
  <c r="R1550" i="2"/>
  <c r="AJ1550" i="2" s="1"/>
  <c r="BO1510" i="2"/>
  <c r="CF1510" i="2" s="1"/>
  <c r="BE1518" i="2"/>
  <c r="BF1518" i="2" s="1"/>
  <c r="BJ1518" i="2" s="1"/>
  <c r="BT1536" i="2"/>
  <c r="CK1536" i="2" s="1"/>
  <c r="P1537" i="2"/>
  <c r="AH1537" i="2" s="1"/>
  <c r="BX1548" i="2"/>
  <c r="CO1548" i="2" s="1"/>
  <c r="C1522" i="2"/>
  <c r="U1522" i="2" s="1"/>
  <c r="J1553" i="2"/>
  <c r="AB1553" i="2" s="1"/>
  <c r="AY1564" i="2"/>
  <c r="AZ1564" i="2" s="1"/>
  <c r="BG1564" i="2" s="1"/>
  <c r="D1525" i="2"/>
  <c r="V1525" i="2" s="1"/>
  <c r="O1531" i="2"/>
  <c r="AG1531" i="2" s="1"/>
  <c r="BP1529" i="2"/>
  <c r="CG1529" i="2" s="1"/>
  <c r="I1538" i="2"/>
  <c r="AA1538" i="2" s="1"/>
  <c r="L1526" i="2"/>
  <c r="AD1526" i="2" s="1"/>
  <c r="I1519" i="2"/>
  <c r="AA1519" i="2" s="1"/>
  <c r="BM1529" i="2"/>
  <c r="CD1529" i="2" s="1"/>
  <c r="BT1548" i="2"/>
  <c r="CK1548" i="2" s="1"/>
  <c r="BS1549" i="2"/>
  <c r="CJ1549" i="2" s="1"/>
  <c r="BM1539" i="2"/>
  <c r="CD1539" i="2" s="1"/>
  <c r="O1533" i="2"/>
  <c r="AG1533" i="2" s="1"/>
  <c r="J1564" i="2"/>
  <c r="AB1564" i="2" s="1"/>
  <c r="AO1509" i="2"/>
  <c r="AP1509" i="2" s="1"/>
  <c r="AV1509" i="2" s="1"/>
  <c r="H1512" i="2"/>
  <c r="Z1512" i="2" s="1"/>
  <c r="H1524" i="2"/>
  <c r="Z1524" i="2" s="1"/>
  <c r="M1532" i="2"/>
  <c r="AE1532" i="2" s="1"/>
  <c r="J1538" i="2"/>
  <c r="AB1538" i="2" s="1"/>
  <c r="BV1534" i="2"/>
  <c r="CM1534" i="2" s="1"/>
  <c r="BC1552" i="2"/>
  <c r="BD1552" i="2" s="1"/>
  <c r="BI1552" i="2" s="1"/>
  <c r="AM1519" i="2"/>
  <c r="AN1519" i="2" s="1"/>
  <c r="AU1519" i="2" s="1"/>
  <c r="BA1557" i="2"/>
  <c r="BB1557" i="2" s="1"/>
  <c r="BH1557" i="2" s="1"/>
  <c r="R1509" i="2"/>
  <c r="AJ1509" i="2" s="1"/>
  <c r="BE1539" i="2"/>
  <c r="BF1539" i="2" s="1"/>
  <c r="BJ1539" i="2" s="1"/>
  <c r="BZ1537" i="2"/>
  <c r="CQ1537" i="2" s="1"/>
  <c r="BO1516" i="2"/>
  <c r="CF1516" i="2" s="1"/>
  <c r="BT1516" i="2"/>
  <c r="CK1516" i="2" s="1"/>
  <c r="BU1547" i="2"/>
  <c r="CL1547" i="2" s="1"/>
  <c r="AY1521" i="2"/>
  <c r="AZ1521" i="2" s="1"/>
  <c r="BG1521" i="2" s="1"/>
  <c r="BT1564" i="2"/>
  <c r="CK1564" i="2" s="1"/>
  <c r="L1517" i="2"/>
  <c r="AD1517" i="2" s="1"/>
  <c r="I1564" i="2"/>
  <c r="AA1564" i="2" s="1"/>
  <c r="BS1556" i="2"/>
  <c r="CJ1556" i="2" s="1"/>
  <c r="BU1523" i="2"/>
  <c r="CL1523" i="2" s="1"/>
  <c r="BS1519" i="2"/>
  <c r="CJ1519" i="2" s="1"/>
  <c r="Q1545" i="2"/>
  <c r="AI1545" i="2" s="1"/>
  <c r="BV1517" i="2"/>
  <c r="CM1517" i="2" s="1"/>
  <c r="R1510" i="2"/>
  <c r="AJ1510" i="2" s="1"/>
  <c r="C1552" i="2"/>
  <c r="U1552" i="2" s="1"/>
  <c r="BX1562" i="2"/>
  <c r="CO1562" i="2" s="1"/>
  <c r="BV1522" i="2"/>
  <c r="CM1522" i="2" s="1"/>
  <c r="AK1511" i="2"/>
  <c r="AL1511" i="2" s="1"/>
  <c r="AT1511" i="2" s="1"/>
  <c r="F1544" i="2"/>
  <c r="X1544" i="2" s="1"/>
  <c r="P1544" i="2"/>
  <c r="AH1544" i="2" s="1"/>
  <c r="AY1513" i="2"/>
  <c r="AZ1513" i="2" s="1"/>
  <c r="BG1513" i="2" s="1"/>
  <c r="BV1514" i="2"/>
  <c r="CM1514" i="2" s="1"/>
  <c r="P1558" i="2"/>
  <c r="AH1558" i="2" s="1"/>
  <c r="BP1531" i="2"/>
  <c r="CG1531" i="2" s="1"/>
  <c r="N1516" i="2"/>
  <c r="AF1516" i="2" s="1"/>
  <c r="BC1508" i="2"/>
  <c r="BD1508" i="2" s="1"/>
  <c r="BI1508" i="2" s="1"/>
  <c r="H1516" i="2"/>
  <c r="Z1516" i="2" s="1"/>
  <c r="BW1552" i="2"/>
  <c r="CN1552" i="2" s="1"/>
  <c r="R1541" i="2"/>
  <c r="AJ1541" i="2" s="1"/>
  <c r="BQ1542" i="2"/>
  <c r="CH1542" i="2" s="1"/>
  <c r="Q1562" i="2"/>
  <c r="AI1562" i="2" s="1"/>
  <c r="R1522" i="2"/>
  <c r="AJ1522" i="2" s="1"/>
  <c r="N1505" i="2"/>
  <c r="AF1505" i="2" s="1"/>
  <c r="BQ1557" i="2"/>
  <c r="CH1557" i="2" s="1"/>
  <c r="BP1537" i="2"/>
  <c r="CG1537" i="2" s="1"/>
  <c r="BC1549" i="2"/>
  <c r="BD1549" i="2" s="1"/>
  <c r="BI1549" i="2" s="1"/>
  <c r="N1559" i="2"/>
  <c r="AF1559" i="2" s="1"/>
  <c r="BP1538" i="2"/>
  <c r="CG1538" i="2" s="1"/>
  <c r="CA1548" i="2"/>
  <c r="CR1548" i="2" s="1"/>
  <c r="BS1513" i="2"/>
  <c r="CJ1513" i="2" s="1"/>
  <c r="J1514" i="2"/>
  <c r="AB1514" i="2" s="1"/>
  <c r="BX1561" i="2"/>
  <c r="CO1561" i="2" s="1"/>
  <c r="J1524" i="2"/>
  <c r="AB1524" i="2" s="1"/>
  <c r="BY1542" i="2"/>
  <c r="CP1542" i="2" s="1"/>
  <c r="N1554" i="2"/>
  <c r="AF1554" i="2" s="1"/>
  <c r="M1537" i="2"/>
  <c r="AE1537" i="2" s="1"/>
  <c r="AK1510" i="2"/>
  <c r="AL1510" i="2" s="1"/>
  <c r="AT1510" i="2" s="1"/>
  <c r="L1554" i="2"/>
  <c r="AD1554" i="2" s="1"/>
  <c r="AO1531" i="2"/>
  <c r="AP1531" i="2" s="1"/>
  <c r="AV1531" i="2" s="1"/>
  <c r="BL1508" i="2"/>
  <c r="CC1508" i="2" s="1"/>
  <c r="F1556" i="2"/>
  <c r="X1556" i="2" s="1"/>
  <c r="H1523" i="2"/>
  <c r="Z1523" i="2" s="1"/>
  <c r="AY1530" i="2"/>
  <c r="AZ1530" i="2" s="1"/>
  <c r="BG1530" i="2" s="1"/>
  <c r="BE1555" i="2"/>
  <c r="BF1555" i="2" s="1"/>
  <c r="BJ1555" i="2" s="1"/>
  <c r="AQ1520" i="2"/>
  <c r="AR1520" i="2" s="1"/>
  <c r="AW1520" i="2" s="1"/>
  <c r="BX1551" i="2"/>
  <c r="CO1551" i="2" s="1"/>
  <c r="BQ1547" i="2"/>
  <c r="CH1547" i="2" s="1"/>
  <c r="R1563" i="2"/>
  <c r="AJ1563" i="2" s="1"/>
  <c r="D1536" i="2"/>
  <c r="V1536" i="2" s="1"/>
  <c r="F1511" i="2"/>
  <c r="X1511" i="2" s="1"/>
  <c r="BV1536" i="2"/>
  <c r="CM1536" i="2" s="1"/>
  <c r="L1538" i="2"/>
  <c r="AD1538" i="2" s="1"/>
  <c r="BT1551" i="2"/>
  <c r="CK1551" i="2" s="1"/>
  <c r="N1523" i="2"/>
  <c r="AF1523" i="2" s="1"/>
  <c r="AK1526" i="2"/>
  <c r="AL1526" i="2" s="1"/>
  <c r="AT1526" i="2" s="1"/>
  <c r="AY1549" i="2"/>
  <c r="AZ1549" i="2" s="1"/>
  <c r="BG1549" i="2" s="1"/>
  <c r="BU1522" i="2"/>
  <c r="CL1522" i="2" s="1"/>
  <c r="E1559" i="2"/>
  <c r="W1559" i="2" s="1"/>
  <c r="BN1564" i="2"/>
  <c r="CE1564" i="2" s="1"/>
  <c r="BR1554" i="2"/>
  <c r="CI1554" i="2" s="1"/>
  <c r="AM1565" i="2"/>
  <c r="AN1565" i="2" s="1"/>
  <c r="AU1565" i="2" s="1"/>
  <c r="N1539" i="2"/>
  <c r="AF1539" i="2" s="1"/>
  <c r="BZ1514" i="2"/>
  <c r="CQ1514" i="2" s="1"/>
  <c r="BL1565" i="2"/>
  <c r="CC1565" i="2" s="1"/>
  <c r="BR1533" i="2"/>
  <c r="CI1533" i="2" s="1"/>
  <c r="K1550" i="2"/>
  <c r="AC1550" i="2" s="1"/>
  <c r="BO1532" i="2"/>
  <c r="CF1532" i="2" s="1"/>
  <c r="D1547" i="2"/>
  <c r="V1547" i="2" s="1"/>
  <c r="AM1524" i="2"/>
  <c r="AN1524" i="2" s="1"/>
  <c r="AU1524" i="2" s="1"/>
  <c r="N1541" i="2"/>
  <c r="AF1541" i="2" s="1"/>
  <c r="F1516" i="2"/>
  <c r="X1516" i="2" s="1"/>
  <c r="BS1536" i="2"/>
  <c r="CJ1536" i="2" s="1"/>
  <c r="BC1532" i="2"/>
  <c r="BD1532" i="2" s="1"/>
  <c r="BI1532" i="2" s="1"/>
  <c r="BR1513" i="2"/>
  <c r="CI1513" i="2" s="1"/>
  <c r="AM1539" i="2"/>
  <c r="AN1539" i="2" s="1"/>
  <c r="AU1539" i="2" s="1"/>
  <c r="BS1522" i="2"/>
  <c r="CJ1522" i="2" s="1"/>
  <c r="BQ1540" i="2"/>
  <c r="CH1540" i="2" s="1"/>
  <c r="AK1525" i="2"/>
  <c r="AL1525" i="2" s="1"/>
  <c r="AT1525" i="2" s="1"/>
  <c r="AO1535" i="2"/>
  <c r="AP1535" i="2" s="1"/>
  <c r="AV1535" i="2" s="1"/>
  <c r="E1543" i="2"/>
  <c r="W1543" i="2" s="1"/>
  <c r="CA1565" i="2"/>
  <c r="CR1565" i="2" s="1"/>
  <c r="BS1534" i="2"/>
  <c r="CJ1534" i="2" s="1"/>
  <c r="BV1557" i="2"/>
  <c r="CM1557" i="2" s="1"/>
  <c r="AO1508" i="2"/>
  <c r="AP1508" i="2" s="1"/>
  <c r="AV1508" i="2" s="1"/>
  <c r="AM1530" i="2"/>
  <c r="AN1530" i="2" s="1"/>
  <c r="AU1530" i="2" s="1"/>
  <c r="BP1552" i="2"/>
  <c r="CG1552" i="2" s="1"/>
  <c r="AO1511" i="2"/>
  <c r="AP1511" i="2" s="1"/>
  <c r="AV1511" i="2" s="1"/>
  <c r="BC1551" i="2"/>
  <c r="BD1551" i="2" s="1"/>
  <c r="BI1551" i="2" s="1"/>
  <c r="AM1557" i="2"/>
  <c r="AN1557" i="2" s="1"/>
  <c r="AU1557" i="2" s="1"/>
  <c r="CA1555" i="2"/>
  <c r="CR1555" i="2" s="1"/>
  <c r="BE1540" i="2"/>
  <c r="BF1540" i="2" s="1"/>
  <c r="BJ1540" i="2" s="1"/>
  <c r="I1548" i="2"/>
  <c r="AA1548" i="2" s="1"/>
  <c r="J1519" i="2"/>
  <c r="AB1519" i="2" s="1"/>
  <c r="BN1523" i="2"/>
  <c r="CE1523" i="2" s="1"/>
  <c r="BV1531" i="2"/>
  <c r="CM1531" i="2" s="1"/>
  <c r="K1546" i="2"/>
  <c r="AC1546" i="2" s="1"/>
  <c r="L1505" i="2"/>
  <c r="AD1505" i="2" s="1"/>
  <c r="BZ1549" i="2"/>
  <c r="CQ1549" i="2" s="1"/>
  <c r="BM1551" i="2"/>
  <c r="CD1551" i="2" s="1"/>
  <c r="H1563" i="2"/>
  <c r="Z1563" i="2" s="1"/>
  <c r="AQ1562" i="2"/>
  <c r="AR1562" i="2" s="1"/>
  <c r="AW1562" i="2" s="1"/>
  <c r="BC1539" i="2"/>
  <c r="BD1539" i="2" s="1"/>
  <c r="BI1539" i="2" s="1"/>
  <c r="BS1562" i="2"/>
  <c r="CJ1562" i="2" s="1"/>
  <c r="BN1553" i="2"/>
  <c r="CE1553" i="2" s="1"/>
  <c r="BP1508" i="2"/>
  <c r="CG1508" i="2" s="1"/>
  <c r="BR1515" i="2"/>
  <c r="CI1515" i="2" s="1"/>
  <c r="E1509" i="2"/>
  <c r="W1509" i="2" s="1"/>
  <c r="AO1550" i="2"/>
  <c r="AP1550" i="2" s="1"/>
  <c r="AV1550" i="2" s="1"/>
  <c r="AQ1547" i="2"/>
  <c r="AR1547" i="2" s="1"/>
  <c r="AW1547" i="2" s="1"/>
  <c r="Q1557" i="2"/>
  <c r="AI1557" i="2" s="1"/>
  <c r="AM1541" i="2"/>
  <c r="AN1541" i="2" s="1"/>
  <c r="AU1541" i="2" s="1"/>
  <c r="BV1511" i="2"/>
  <c r="CM1511" i="2" s="1"/>
  <c r="Q1555" i="2"/>
  <c r="AI1555" i="2" s="1"/>
  <c r="BP1540" i="2"/>
  <c r="CG1540" i="2" s="1"/>
  <c r="BE1517" i="2"/>
  <c r="BF1517" i="2" s="1"/>
  <c r="BJ1517" i="2" s="1"/>
  <c r="O1536" i="2"/>
  <c r="AG1536" i="2" s="1"/>
  <c r="D1561" i="2"/>
  <c r="V1561" i="2" s="1"/>
  <c r="BN1545" i="2"/>
  <c r="CE1545" i="2" s="1"/>
  <c r="BW1517" i="2"/>
  <c r="CN1517" i="2" s="1"/>
  <c r="BM1558" i="2"/>
  <c r="CD1558" i="2" s="1"/>
  <c r="BR1551" i="2"/>
  <c r="CI1551" i="2" s="1"/>
  <c r="BA1511" i="2"/>
  <c r="BB1511" i="2" s="1"/>
  <c r="BH1511" i="2" s="1"/>
  <c r="BX1530" i="2"/>
  <c r="CO1530" i="2" s="1"/>
  <c r="BA1533" i="2"/>
  <c r="BB1533" i="2" s="1"/>
  <c r="BH1533" i="2" s="1"/>
  <c r="BZ1516" i="2"/>
  <c r="CQ1516" i="2" s="1"/>
  <c r="BA1514" i="2"/>
  <c r="BB1514" i="2" s="1"/>
  <c r="BH1514" i="2" s="1"/>
  <c r="BL1531" i="2"/>
  <c r="CC1531" i="2" s="1"/>
  <c r="AQ1517" i="2"/>
  <c r="AR1517" i="2" s="1"/>
  <c r="AW1517" i="2" s="1"/>
  <c r="BS1524" i="2"/>
  <c r="CJ1524" i="2" s="1"/>
  <c r="M1548" i="2"/>
  <c r="AE1548" i="2" s="1"/>
  <c r="AY1526" i="2"/>
  <c r="AZ1526" i="2" s="1"/>
  <c r="BG1526" i="2" s="1"/>
  <c r="F1543" i="2"/>
  <c r="X1543" i="2" s="1"/>
  <c r="K1528" i="2"/>
  <c r="AC1528" i="2" s="1"/>
  <c r="K1532" i="2"/>
  <c r="AC1532" i="2" s="1"/>
  <c r="BY1508" i="2"/>
  <c r="CP1508" i="2" s="1"/>
  <c r="Q1536" i="2"/>
  <c r="AI1536" i="2" s="1"/>
  <c r="CA1508" i="2"/>
  <c r="CR1508" i="2" s="1"/>
  <c r="AY1535" i="2"/>
  <c r="AZ1535" i="2" s="1"/>
  <c r="BG1535" i="2" s="1"/>
  <c r="BL1545" i="2"/>
  <c r="CC1545" i="2" s="1"/>
  <c r="AM1511" i="2"/>
  <c r="AN1511" i="2" s="1"/>
  <c r="AU1511" i="2" s="1"/>
  <c r="R1548" i="2"/>
  <c r="AJ1548" i="2" s="1"/>
  <c r="AK1548" i="2"/>
  <c r="AL1548" i="2" s="1"/>
  <c r="AT1548" i="2" s="1"/>
  <c r="BY1514" i="2"/>
  <c r="CP1514" i="2" s="1"/>
  <c r="C1550" i="2"/>
  <c r="U1550" i="2" s="1"/>
  <c r="L1536" i="2"/>
  <c r="AD1536" i="2" s="1"/>
  <c r="BQ1514" i="2"/>
  <c r="CH1514" i="2" s="1"/>
  <c r="BZ1529" i="2"/>
  <c r="CQ1529" i="2" s="1"/>
  <c r="BL1557" i="2"/>
  <c r="CC1557" i="2" s="1"/>
  <c r="D1510" i="2"/>
  <c r="V1510" i="2" s="1"/>
  <c r="BU1563" i="2"/>
  <c r="CL1563" i="2" s="1"/>
  <c r="BZ1560" i="2"/>
  <c r="CQ1560" i="2" s="1"/>
  <c r="I1511" i="2"/>
  <c r="AA1511" i="2" s="1"/>
  <c r="BA1536" i="2"/>
  <c r="BB1536" i="2" s="1"/>
  <c r="BH1536" i="2" s="1"/>
  <c r="AK1516" i="2"/>
  <c r="AL1516" i="2" s="1"/>
  <c r="AT1516" i="2" s="1"/>
  <c r="BM1559" i="2"/>
  <c r="CD1559" i="2" s="1"/>
  <c r="I1553" i="2"/>
  <c r="AA1553" i="2" s="1"/>
  <c r="O1534" i="2"/>
  <c r="AG1534" i="2" s="1"/>
  <c r="I1552" i="2"/>
  <c r="AA1552" i="2" s="1"/>
  <c r="BZ1524" i="2"/>
  <c r="CQ1524" i="2" s="1"/>
  <c r="AO1513" i="2"/>
  <c r="AP1513" i="2" s="1"/>
  <c r="AV1513" i="2" s="1"/>
  <c r="BL1521" i="2"/>
  <c r="CC1521" i="2" s="1"/>
  <c r="O1554" i="2"/>
  <c r="AG1554" i="2" s="1"/>
  <c r="BU1550" i="2"/>
  <c r="CL1550" i="2" s="1"/>
  <c r="AO1514" i="2"/>
  <c r="AP1514" i="2" s="1"/>
  <c r="AV1514" i="2" s="1"/>
  <c r="M1505" i="2"/>
  <c r="AE1505" i="2" s="1"/>
  <c r="R1505" i="2"/>
  <c r="AJ1505" i="2" s="1"/>
  <c r="BA1508" i="2"/>
  <c r="BB1508" i="2" s="1"/>
  <c r="BH1508" i="2" s="1"/>
  <c r="M1539" i="2"/>
  <c r="AE1539" i="2" s="1"/>
  <c r="G1532" i="2"/>
  <c r="Y1532" i="2" s="1"/>
  <c r="CA1530" i="2"/>
  <c r="CR1530" i="2" s="1"/>
  <c r="F1513" i="2"/>
  <c r="X1513" i="2" s="1"/>
  <c r="O1509" i="2"/>
  <c r="AG1509" i="2" s="1"/>
  <c r="BU1508" i="2"/>
  <c r="CL1508" i="2" s="1"/>
  <c r="BQ1527" i="2"/>
  <c r="CH1527" i="2" s="1"/>
  <c r="BP1544" i="2"/>
  <c r="CG1544" i="2" s="1"/>
  <c r="BZ1508" i="2"/>
  <c r="CQ1508" i="2" s="1"/>
  <c r="BE1556" i="2"/>
  <c r="BF1556" i="2" s="1"/>
  <c r="BJ1556" i="2" s="1"/>
  <c r="BX1525" i="2"/>
  <c r="CO1525" i="2" s="1"/>
  <c r="J1555" i="2"/>
  <c r="AB1555" i="2" s="1"/>
  <c r="BL1544" i="2"/>
  <c r="CC1544" i="2" s="1"/>
  <c r="AQ1550" i="2"/>
  <c r="AR1550" i="2" s="1"/>
  <c r="AW1550" i="2" s="1"/>
  <c r="D1545" i="2"/>
  <c r="V1545" i="2" s="1"/>
  <c r="AK1546" i="2"/>
  <c r="AL1546" i="2" s="1"/>
  <c r="AT1546" i="2" s="1"/>
  <c r="Q1540" i="2"/>
  <c r="AI1540" i="2" s="1"/>
  <c r="K1509" i="2"/>
  <c r="AC1509" i="2" s="1"/>
  <c r="N1531" i="2"/>
  <c r="AF1531" i="2" s="1"/>
  <c r="BQ1525" i="2"/>
  <c r="CH1525" i="2" s="1"/>
  <c r="R1524" i="2"/>
  <c r="AJ1524" i="2" s="1"/>
  <c r="BQ1549" i="2"/>
  <c r="CH1549" i="2" s="1"/>
  <c r="BT1512" i="2"/>
  <c r="CK1512" i="2" s="1"/>
  <c r="I1532" i="2"/>
  <c r="AA1532" i="2" s="1"/>
  <c r="BW1561" i="2"/>
  <c r="CN1561" i="2" s="1"/>
  <c r="AQ1551" i="2"/>
  <c r="AR1551" i="2" s="1"/>
  <c r="AW1551" i="2" s="1"/>
  <c r="BE1529" i="2"/>
  <c r="BF1529" i="2" s="1"/>
  <c r="BJ1529" i="2" s="1"/>
  <c r="AM1548" i="2"/>
  <c r="AN1548" i="2" s="1"/>
  <c r="AU1548" i="2" s="1"/>
  <c r="M1528" i="2"/>
  <c r="AE1528" i="2" s="1"/>
  <c r="Q1513" i="2"/>
  <c r="AI1513" i="2" s="1"/>
  <c r="AM1521" i="2"/>
  <c r="AN1521" i="2" s="1"/>
  <c r="AU1521" i="2" s="1"/>
  <c r="BS1542" i="2"/>
  <c r="CJ1542" i="2" s="1"/>
  <c r="Q1532" i="2"/>
  <c r="AI1532" i="2" s="1"/>
  <c r="BS1518" i="2"/>
  <c r="CJ1518" i="2" s="1"/>
  <c r="BR1509" i="2"/>
  <c r="CI1509" i="2" s="1"/>
  <c r="C1514" i="2"/>
  <c r="U1514" i="2" s="1"/>
  <c r="BS1551" i="2"/>
  <c r="CJ1551" i="2" s="1"/>
  <c r="Q1563" i="2"/>
  <c r="AI1563" i="2" s="1"/>
  <c r="E1536" i="2"/>
  <c r="W1536" i="2" s="1"/>
  <c r="BA1551" i="2"/>
  <c r="BB1551" i="2" s="1"/>
  <c r="BH1551" i="2" s="1"/>
  <c r="AM1518" i="2"/>
  <c r="AN1518" i="2" s="1"/>
  <c r="AU1518" i="2" s="1"/>
  <c r="M1517" i="2"/>
  <c r="AE1517" i="2" s="1"/>
  <c r="BM1562" i="2"/>
  <c r="CD1562" i="2" s="1"/>
  <c r="F1540" i="2"/>
  <c r="X1540" i="2" s="1"/>
  <c r="BV1521" i="2"/>
  <c r="CM1521" i="2" s="1"/>
  <c r="AO1563" i="2"/>
  <c r="AP1563" i="2" s="1"/>
  <c r="AV1563" i="2" s="1"/>
  <c r="I1551" i="2"/>
  <c r="AA1551" i="2" s="1"/>
  <c r="AK1544" i="2"/>
  <c r="AL1544" i="2" s="1"/>
  <c r="AT1544" i="2" s="1"/>
  <c r="P1529" i="2"/>
  <c r="AH1529" i="2" s="1"/>
  <c r="AY1550" i="2"/>
  <c r="AZ1550" i="2" s="1"/>
  <c r="BG1550" i="2" s="1"/>
  <c r="AY1522" i="2"/>
  <c r="AZ1522" i="2" s="1"/>
  <c r="BG1522" i="2" s="1"/>
  <c r="I1558" i="2"/>
  <c r="AA1558" i="2" s="1"/>
  <c r="BT1558" i="2"/>
  <c r="CK1558" i="2" s="1"/>
  <c r="AK1545" i="2"/>
  <c r="AL1545" i="2" s="1"/>
  <c r="AT1545" i="2" s="1"/>
  <c r="AY1540" i="2"/>
  <c r="AZ1540" i="2" s="1"/>
  <c r="BG1540" i="2" s="1"/>
  <c r="BA1542" i="2"/>
  <c r="BB1542" i="2" s="1"/>
  <c r="BH1542" i="2" s="1"/>
  <c r="BO1545" i="2"/>
  <c r="CF1545" i="2" s="1"/>
  <c r="M1512" i="2"/>
  <c r="AE1512" i="2" s="1"/>
  <c r="F1550" i="2"/>
  <c r="X1550" i="2" s="1"/>
  <c r="AK1560" i="2"/>
  <c r="AL1560" i="2" s="1"/>
  <c r="AT1560" i="2" s="1"/>
  <c r="D1548" i="2"/>
  <c r="V1548" i="2" s="1"/>
  <c r="P1550" i="2"/>
  <c r="AH1550" i="2" s="1"/>
  <c r="BS1548" i="2"/>
  <c r="CJ1548" i="2" s="1"/>
  <c r="AQ1539" i="2"/>
  <c r="AR1539" i="2" s="1"/>
  <c r="AW1539" i="2" s="1"/>
  <c r="BC1550" i="2"/>
  <c r="BD1550" i="2" s="1"/>
  <c r="BI1550" i="2" s="1"/>
  <c r="BS1509" i="2"/>
  <c r="CJ1509" i="2" s="1"/>
  <c r="BL1538" i="2"/>
  <c r="CC1538" i="2" s="1"/>
  <c r="G1513" i="2"/>
  <c r="Y1513" i="2" s="1"/>
  <c r="AO1519" i="2"/>
  <c r="AP1519" i="2" s="1"/>
  <c r="AV1519" i="2" s="1"/>
  <c r="BP1550" i="2"/>
  <c r="CG1550" i="2" s="1"/>
  <c r="CA1538" i="2"/>
  <c r="CR1538" i="2" s="1"/>
  <c r="BX1510" i="2"/>
  <c r="CO1510" i="2" s="1"/>
  <c r="C1518" i="2"/>
  <c r="U1518" i="2" s="1"/>
  <c r="BT1557" i="2"/>
  <c r="CK1557" i="2" s="1"/>
  <c r="BS1532" i="2"/>
  <c r="CJ1532" i="2" s="1"/>
  <c r="E1523" i="2"/>
  <c r="W1523" i="2" s="1"/>
  <c r="F1537" i="2"/>
  <c r="X1537" i="2" s="1"/>
  <c r="BS1565" i="2"/>
  <c r="CJ1565" i="2" s="1"/>
  <c r="O1515" i="2"/>
  <c r="AG1515" i="2" s="1"/>
  <c r="D1555" i="2"/>
  <c r="V1555" i="2" s="1"/>
  <c r="BT1524" i="2"/>
  <c r="CK1524" i="2" s="1"/>
  <c r="AM1522" i="2"/>
  <c r="AN1522" i="2" s="1"/>
  <c r="AU1522" i="2" s="1"/>
  <c r="BP1565" i="2"/>
  <c r="CG1565" i="2" s="1"/>
  <c r="BX1520" i="2"/>
  <c r="CO1520" i="2" s="1"/>
  <c r="H1552" i="2"/>
  <c r="Z1552" i="2" s="1"/>
  <c r="D1543" i="2"/>
  <c r="V1543" i="2" s="1"/>
  <c r="BU1517" i="2"/>
  <c r="CL1517" i="2" s="1"/>
  <c r="I1546" i="2"/>
  <c r="AA1546" i="2" s="1"/>
  <c r="O1530" i="2"/>
  <c r="AG1530" i="2" s="1"/>
  <c r="D1562" i="2"/>
  <c r="V1562" i="2" s="1"/>
  <c r="R1560" i="2"/>
  <c r="AJ1560" i="2" s="1"/>
  <c r="CA1527" i="2"/>
  <c r="CR1527" i="2" s="1"/>
  <c r="BW1534" i="2"/>
  <c r="CN1534" i="2" s="1"/>
  <c r="R1547" i="2"/>
  <c r="AJ1547" i="2" s="1"/>
  <c r="G1543" i="2"/>
  <c r="Y1543" i="2" s="1"/>
  <c r="BE1510" i="2"/>
  <c r="BF1510" i="2" s="1"/>
  <c r="BJ1510" i="2" s="1"/>
  <c r="H1554" i="2"/>
  <c r="Z1554" i="2" s="1"/>
  <c r="BV1538" i="2"/>
  <c r="CM1538" i="2" s="1"/>
  <c r="BY1509" i="2"/>
  <c r="CP1509" i="2" s="1"/>
  <c r="BA1532" i="2"/>
  <c r="BB1532" i="2" s="1"/>
  <c r="BH1532" i="2" s="1"/>
  <c r="BN1510" i="2"/>
  <c r="CE1510" i="2" s="1"/>
  <c r="BO1519" i="2"/>
  <c r="CF1519" i="2" s="1"/>
  <c r="H1562" i="2"/>
  <c r="Z1562" i="2" s="1"/>
  <c r="I1535" i="2"/>
  <c r="AA1535" i="2" s="1"/>
  <c r="AY1528" i="2"/>
  <c r="AZ1528" i="2" s="1"/>
  <c r="BG1528" i="2" s="1"/>
  <c r="N1565" i="2"/>
  <c r="AF1565" i="2" s="1"/>
  <c r="BN1563" i="2"/>
  <c r="CE1563" i="2" s="1"/>
  <c r="BL1529" i="2"/>
  <c r="CC1529" i="2" s="1"/>
  <c r="BM1513" i="2"/>
  <c r="CD1513" i="2" s="1"/>
  <c r="AQ1565" i="2"/>
  <c r="AR1565" i="2" s="1"/>
  <c r="AW1565" i="2" s="1"/>
  <c r="CA1557" i="2"/>
  <c r="CR1557" i="2" s="1"/>
  <c r="BR1556" i="2"/>
  <c r="CI1556" i="2" s="1"/>
  <c r="AM1544" i="2"/>
  <c r="AN1544" i="2" s="1"/>
  <c r="AU1544" i="2" s="1"/>
  <c r="BC1534" i="2"/>
  <c r="BD1534" i="2" s="1"/>
  <c r="BI1534" i="2" s="1"/>
  <c r="BW1547" i="2"/>
  <c r="CN1547" i="2" s="1"/>
  <c r="BR1541" i="2"/>
  <c r="CI1541" i="2" s="1"/>
  <c r="F1558" i="2"/>
  <c r="X1558" i="2" s="1"/>
  <c r="BT1541" i="2"/>
  <c r="CK1541" i="2" s="1"/>
  <c r="BT1533" i="2"/>
  <c r="CK1533" i="2" s="1"/>
  <c r="Q1548" i="2"/>
  <c r="AI1548" i="2" s="1"/>
  <c r="K1518" i="2"/>
  <c r="AC1518" i="2" s="1"/>
  <c r="BL1511" i="2"/>
  <c r="CC1511" i="2" s="1"/>
  <c r="BY1524" i="2"/>
  <c r="CP1524" i="2" s="1"/>
  <c r="AM1552" i="2"/>
  <c r="AN1552" i="2" s="1"/>
  <c r="AU1552" i="2" s="1"/>
  <c r="AO1547" i="2"/>
  <c r="AP1547" i="2" s="1"/>
  <c r="AV1547" i="2" s="1"/>
  <c r="BX1514" i="2"/>
  <c r="CO1514" i="2" s="1"/>
  <c r="AY1547" i="2"/>
  <c r="AZ1547" i="2" s="1"/>
  <c r="BG1547" i="2" s="1"/>
  <c r="BU1554" i="2"/>
  <c r="CL1554" i="2" s="1"/>
  <c r="J1532" i="2"/>
  <c r="AB1532" i="2" s="1"/>
  <c r="BM1561" i="2"/>
  <c r="CD1561" i="2" s="1"/>
  <c r="BE1545" i="2"/>
  <c r="BF1545" i="2" s="1"/>
  <c r="BJ1545" i="2" s="1"/>
  <c r="AM1534" i="2"/>
  <c r="AN1534" i="2" s="1"/>
  <c r="AU1534" i="2" s="1"/>
  <c r="BO1513" i="2"/>
  <c r="CF1513" i="2" s="1"/>
  <c r="BO1541" i="2"/>
  <c r="CF1541" i="2" s="1"/>
  <c r="J1510" i="2"/>
  <c r="AB1510" i="2" s="1"/>
  <c r="K1536" i="2"/>
  <c r="AC1536" i="2" s="1"/>
  <c r="BU1533" i="2"/>
  <c r="CL1533" i="2" s="1"/>
  <c r="BW1562" i="2"/>
  <c r="CN1562" i="2" s="1"/>
  <c r="BR1549" i="2"/>
  <c r="CI1549" i="2" s="1"/>
  <c r="AM1516" i="2"/>
  <c r="AN1516" i="2" s="1"/>
  <c r="AU1516" i="2" s="1"/>
  <c r="BW1524" i="2"/>
  <c r="CN1524" i="2" s="1"/>
  <c r="G1554" i="2"/>
  <c r="Y1554" i="2" s="1"/>
  <c r="H1534" i="2"/>
  <c r="Z1534" i="2" s="1"/>
  <c r="M1531" i="2"/>
  <c r="AE1531" i="2" s="1"/>
  <c r="BR1529" i="2"/>
  <c r="CI1529" i="2" s="1"/>
  <c r="Q1531" i="2"/>
  <c r="AI1531" i="2" s="1"/>
  <c r="BU1559" i="2"/>
  <c r="CL1559" i="2" s="1"/>
  <c r="BN1557" i="2"/>
  <c r="CE1557" i="2" s="1"/>
  <c r="AQ1549" i="2"/>
  <c r="AR1549" i="2" s="1"/>
  <c r="AW1549" i="2" s="1"/>
  <c r="I1525" i="2"/>
  <c r="AA1525" i="2" s="1"/>
  <c r="R1543" i="2"/>
  <c r="AJ1543" i="2" s="1"/>
  <c r="BZ1513" i="2"/>
  <c r="CQ1513" i="2" s="1"/>
  <c r="F1562" i="2"/>
  <c r="X1562" i="2" s="1"/>
  <c r="P1551" i="2"/>
  <c r="AH1551" i="2" s="1"/>
  <c r="BP1545" i="2"/>
  <c r="CG1545" i="2" s="1"/>
  <c r="AQ1554" i="2"/>
  <c r="AR1554" i="2" s="1"/>
  <c r="AW1554" i="2" s="1"/>
  <c r="H1539" i="2"/>
  <c r="Z1539" i="2" s="1"/>
  <c r="AY1511" i="2"/>
  <c r="AZ1511" i="2" s="1"/>
  <c r="BG1511" i="2" s="1"/>
  <c r="BW1545" i="2"/>
  <c r="CN1545" i="2" s="1"/>
  <c r="BY1516" i="2"/>
  <c r="CP1516" i="2" s="1"/>
  <c r="Q1559" i="2"/>
  <c r="AI1559" i="2" s="1"/>
  <c r="BU1512" i="2"/>
  <c r="CL1512" i="2" s="1"/>
  <c r="H1527" i="2"/>
  <c r="Z1527" i="2" s="1"/>
  <c r="P1516" i="2"/>
  <c r="AH1516" i="2" s="1"/>
  <c r="G1553" i="2"/>
  <c r="Y1553" i="2" s="1"/>
  <c r="P1522" i="2"/>
  <c r="AH1522" i="2" s="1"/>
  <c r="G1526" i="2"/>
  <c r="Y1526" i="2" s="1"/>
  <c r="E1525" i="2"/>
  <c r="W1525" i="2" s="1"/>
  <c r="AY1517" i="2"/>
  <c r="AZ1517" i="2" s="1"/>
  <c r="BG1517" i="2" s="1"/>
  <c r="O1505" i="2"/>
  <c r="AG1505" i="2" s="1"/>
  <c r="H1384" i="2" s="1"/>
  <c r="L1384" i="2" s="1"/>
  <c r="R1384" i="2" s="1"/>
  <c r="Q1509" i="2"/>
  <c r="AI1509" i="2" s="1"/>
  <c r="BX1511" i="2"/>
  <c r="CO1511" i="2" s="1"/>
  <c r="BV1554" i="2"/>
  <c r="CM1554" i="2" s="1"/>
  <c r="BS1553" i="2"/>
  <c r="CJ1553" i="2" s="1"/>
  <c r="K1521" i="2"/>
  <c r="AC1521" i="2" s="1"/>
  <c r="E1550" i="2"/>
  <c r="W1550" i="2" s="1"/>
  <c r="AM1560" i="2"/>
  <c r="AN1560" i="2" s="1"/>
  <c r="AU1560" i="2" s="1"/>
  <c r="BL1518" i="2"/>
  <c r="CC1518" i="2" s="1"/>
  <c r="BY1552" i="2"/>
  <c r="CP1552" i="2" s="1"/>
  <c r="O1544" i="2"/>
  <c r="AG1544" i="2" s="1"/>
  <c r="BU1537" i="2"/>
  <c r="CL1537" i="2" s="1"/>
  <c r="E1539" i="2"/>
  <c r="W1539" i="2" s="1"/>
  <c r="G1522" i="2"/>
  <c r="Y1522" i="2" s="1"/>
  <c r="D1553" i="2"/>
  <c r="V1553" i="2" s="1"/>
  <c r="P1527" i="2"/>
  <c r="AH1527" i="2" s="1"/>
  <c r="F1545" i="2"/>
  <c r="X1545" i="2" s="1"/>
  <c r="K1517" i="2"/>
  <c r="AC1517" i="2" s="1"/>
  <c r="D1509" i="2"/>
  <c r="V1509" i="2" s="1"/>
  <c r="BS1539" i="2"/>
  <c r="CJ1539" i="2" s="1"/>
  <c r="BT1544" i="2"/>
  <c r="CK1544" i="2" s="1"/>
  <c r="R1508" i="2"/>
  <c r="AJ1508" i="2" s="1"/>
  <c r="AM1558" i="2"/>
  <c r="AN1558" i="2" s="1"/>
  <c r="AU1558" i="2" s="1"/>
  <c r="Q1511" i="2"/>
  <c r="AI1511" i="2" s="1"/>
  <c r="BZ1557" i="2"/>
  <c r="CQ1557" i="2" s="1"/>
  <c r="BQ1515" i="2"/>
  <c r="CH1515" i="2" s="1"/>
  <c r="BR1558" i="2"/>
  <c r="CI1558" i="2" s="1"/>
  <c r="O1561" i="2"/>
  <c r="AG1561" i="2" s="1"/>
  <c r="BL1551" i="2"/>
  <c r="CC1551" i="2" s="1"/>
  <c r="BN1532" i="2"/>
  <c r="CE1532" i="2" s="1"/>
  <c r="BT1552" i="2"/>
  <c r="CK1552" i="2" s="1"/>
  <c r="CA1542" i="2"/>
  <c r="CR1542" i="2" s="1"/>
  <c r="G1508" i="2"/>
  <c r="Y1508" i="2" s="1"/>
  <c r="J1543" i="2"/>
  <c r="AB1543" i="2" s="1"/>
  <c r="BA1534" i="2"/>
  <c r="BB1534" i="2" s="1"/>
  <c r="BH1534" i="2" s="1"/>
  <c r="AM1536" i="2"/>
  <c r="AN1536" i="2" s="1"/>
  <c r="AU1536" i="2" s="1"/>
  <c r="C1553" i="2"/>
  <c r="U1553" i="2" s="1"/>
  <c r="BV1563" i="2"/>
  <c r="CM1563" i="2" s="1"/>
  <c r="BE1536" i="2"/>
  <c r="BF1536" i="2" s="1"/>
  <c r="BJ1536" i="2" s="1"/>
  <c r="AK1527" i="2"/>
  <c r="AL1527" i="2" s="1"/>
  <c r="AT1527" i="2" s="1"/>
  <c r="BS1530" i="2"/>
  <c r="CJ1530" i="2" s="1"/>
  <c r="BV1516" i="2"/>
  <c r="CM1516" i="2" s="1"/>
  <c r="BW1509" i="2"/>
  <c r="CN1509" i="2" s="1"/>
  <c r="BU1555" i="2"/>
  <c r="CL1555" i="2" s="1"/>
  <c r="G1509" i="2"/>
  <c r="Y1509" i="2" s="1"/>
  <c r="AQ1523" i="2"/>
  <c r="AR1523" i="2" s="1"/>
  <c r="AW1523" i="2" s="1"/>
  <c r="AO1559" i="2"/>
  <c r="AP1559" i="2" s="1"/>
  <c r="AV1559" i="2" s="1"/>
  <c r="AO1557" i="2"/>
  <c r="AP1557" i="2" s="1"/>
  <c r="AV1557" i="2" s="1"/>
  <c r="BO1523" i="2"/>
  <c r="CF1523" i="2" s="1"/>
  <c r="J1530" i="2"/>
  <c r="AB1530" i="2" s="1"/>
  <c r="BA1512" i="2"/>
  <c r="BB1512" i="2" s="1"/>
  <c r="BH1512" i="2" s="1"/>
  <c r="BV1564" i="2"/>
  <c r="CM1564" i="2" s="1"/>
  <c r="E1552" i="2"/>
  <c r="W1552" i="2" s="1"/>
  <c r="BE1538" i="2"/>
  <c r="BF1538" i="2" s="1"/>
  <c r="BJ1538" i="2" s="1"/>
  <c r="P1531" i="2"/>
  <c r="AH1531" i="2" s="1"/>
  <c r="BR1523" i="2"/>
  <c r="CI1523" i="2" s="1"/>
  <c r="H1530" i="2"/>
  <c r="Z1530" i="2" s="1"/>
  <c r="D1511" i="2"/>
  <c r="V1511" i="2" s="1"/>
  <c r="BO1518" i="2"/>
  <c r="CF1518" i="2" s="1"/>
  <c r="AM1525" i="2"/>
  <c r="AN1525" i="2" s="1"/>
  <c r="AU1525" i="2" s="1"/>
  <c r="H1521" i="2"/>
  <c r="Z1521" i="2" s="1"/>
  <c r="BS1558" i="2"/>
  <c r="CJ1558" i="2" s="1"/>
  <c r="H1528" i="2"/>
  <c r="Z1528" i="2" s="1"/>
  <c r="BQ1508" i="2"/>
  <c r="CH1508" i="2" s="1"/>
  <c r="D1530" i="2"/>
  <c r="V1530" i="2" s="1"/>
  <c r="BP1541" i="2"/>
  <c r="CG1541" i="2" s="1"/>
  <c r="BX1528" i="2"/>
  <c r="CO1528" i="2" s="1"/>
  <c r="H1514" i="2"/>
  <c r="Z1514" i="2" s="1"/>
  <c r="BL1510" i="2"/>
  <c r="CC1510" i="2" s="1"/>
  <c r="BC1537" i="2"/>
  <c r="BD1537" i="2" s="1"/>
  <c r="BI1537" i="2" s="1"/>
  <c r="O1553" i="2"/>
  <c r="AG1553" i="2" s="1"/>
  <c r="AY1514" i="2"/>
  <c r="AZ1514" i="2" s="1"/>
  <c r="BG1514" i="2" s="1"/>
  <c r="P1545" i="2"/>
  <c r="AH1545" i="2" s="1"/>
  <c r="BQ1521" i="2"/>
  <c r="CH1521" i="2" s="1"/>
  <c r="M1555" i="2"/>
  <c r="AE1555" i="2" s="1"/>
  <c r="P1521" i="2"/>
  <c r="AH1521" i="2" s="1"/>
  <c r="G1533" i="2"/>
  <c r="Y1533" i="2" s="1"/>
  <c r="BA1524" i="2"/>
  <c r="BB1524" i="2" s="1"/>
  <c r="BH1524" i="2" s="1"/>
  <c r="C1540" i="2"/>
  <c r="U1540" i="2" s="1"/>
  <c r="BP1517" i="2"/>
  <c r="CG1517" i="2" s="1"/>
  <c r="BZ1546" i="2"/>
  <c r="CQ1546" i="2" s="1"/>
  <c r="BU1539" i="2"/>
  <c r="CL1539" i="2" s="1"/>
  <c r="BA1541" i="2"/>
  <c r="BB1541" i="2" s="1"/>
  <c r="BH1541" i="2" s="1"/>
  <c r="BU1525" i="2"/>
  <c r="CL1525" i="2" s="1"/>
  <c r="K1534" i="2"/>
  <c r="AC1534" i="2" s="1"/>
  <c r="C1539" i="2"/>
  <c r="U1539" i="2" s="1"/>
  <c r="K1543" i="2"/>
  <c r="AC1543" i="2" s="1"/>
  <c r="BY1560" i="2"/>
  <c r="CP1560" i="2" s="1"/>
  <c r="BY1543" i="2"/>
  <c r="CP1543" i="2" s="1"/>
  <c r="M1560" i="2"/>
  <c r="AE1560" i="2" s="1"/>
  <c r="I1550" i="2"/>
  <c r="AA1550" i="2" s="1"/>
  <c r="C1544" i="2"/>
  <c r="U1544" i="2" s="1"/>
  <c r="BV1556" i="2"/>
  <c r="CM1556" i="2" s="1"/>
  <c r="D1539" i="2"/>
  <c r="V1539" i="2" s="1"/>
  <c r="C1533" i="2"/>
  <c r="U1533" i="2" s="1"/>
  <c r="BU1546" i="2"/>
  <c r="CL1546" i="2" s="1"/>
  <c r="J1542" i="2"/>
  <c r="AB1542" i="2" s="1"/>
  <c r="BV1509" i="2"/>
  <c r="CM1509" i="2" s="1"/>
  <c r="BM1546" i="2"/>
  <c r="CD1546" i="2" s="1"/>
  <c r="H1520" i="2"/>
  <c r="Z1520" i="2" s="1"/>
  <c r="BX1513" i="2"/>
  <c r="CO1513" i="2" s="1"/>
  <c r="AO1556" i="2"/>
  <c r="AP1556" i="2" s="1"/>
  <c r="AV1556" i="2" s="1"/>
  <c r="BY1538" i="2"/>
  <c r="CP1538" i="2" s="1"/>
  <c r="BV1539" i="2"/>
  <c r="CM1539" i="2" s="1"/>
  <c r="BR1564" i="2"/>
  <c r="CI1564" i="2" s="1"/>
  <c r="C1525" i="2"/>
  <c r="U1525" i="2" s="1"/>
  <c r="C1523" i="2"/>
  <c r="U1523" i="2" s="1"/>
  <c r="AM1510" i="2"/>
  <c r="AN1510" i="2" s="1"/>
  <c r="AU1510" i="2" s="1"/>
  <c r="O1517" i="2"/>
  <c r="AG1517" i="2" s="1"/>
  <c r="BP1564" i="2"/>
  <c r="CG1564" i="2" s="1"/>
  <c r="BC1558" i="2"/>
  <c r="BD1558" i="2" s="1"/>
  <c r="BI1558" i="2" s="1"/>
  <c r="E1508" i="2"/>
  <c r="W1508" i="2" s="1"/>
  <c r="CA1523" i="2"/>
  <c r="CR1523" i="2" s="1"/>
  <c r="Q1551" i="2"/>
  <c r="AI1551" i="2" s="1"/>
  <c r="BW1516" i="2"/>
  <c r="CN1516" i="2" s="1"/>
  <c r="I1565" i="2"/>
  <c r="AA1565" i="2" s="1"/>
  <c r="L1555" i="2"/>
  <c r="AD1555" i="2" s="1"/>
  <c r="BQ1520" i="2"/>
  <c r="CH1520" i="2" s="1"/>
  <c r="G1550" i="2"/>
  <c r="Y1550" i="2" s="1"/>
  <c r="BW1551" i="2"/>
  <c r="CN1551" i="2" s="1"/>
  <c r="AM1538" i="2"/>
  <c r="AN1538" i="2" s="1"/>
  <c r="AU1538" i="2" s="1"/>
  <c r="K1565" i="2"/>
  <c r="AC1565" i="2" s="1"/>
  <c r="N1521" i="2"/>
  <c r="AF1521" i="2" s="1"/>
  <c r="E1512" i="2"/>
  <c r="W1512" i="2" s="1"/>
  <c r="BE1530" i="2"/>
  <c r="BF1530" i="2" s="1"/>
  <c r="BJ1530" i="2" s="1"/>
  <c r="BA1556" i="2"/>
  <c r="BB1556" i="2" s="1"/>
  <c r="BH1556" i="2" s="1"/>
  <c r="BT1530" i="2"/>
  <c r="CK1530" i="2" s="1"/>
  <c r="BS1564" i="2"/>
  <c r="CJ1564" i="2" s="1"/>
  <c r="BC1543" i="2"/>
  <c r="BD1543" i="2" s="1"/>
  <c r="BI1543" i="2" s="1"/>
  <c r="P1565" i="2"/>
  <c r="AH1565" i="2" s="1"/>
  <c r="R1537" i="2"/>
  <c r="AJ1537" i="2" s="1"/>
  <c r="I1542" i="2"/>
  <c r="AA1542" i="2" s="1"/>
  <c r="BX1515" i="2"/>
  <c r="CO1515" i="2" s="1"/>
  <c r="CA1563" i="2"/>
  <c r="CR1563" i="2" s="1"/>
  <c r="AK1513" i="2"/>
  <c r="AL1513" i="2" s="1"/>
  <c r="AT1513" i="2" s="1"/>
  <c r="BP1547" i="2"/>
  <c r="CG1547" i="2" s="1"/>
  <c r="I1549" i="2"/>
  <c r="AA1549" i="2" s="1"/>
  <c r="AO1530" i="2"/>
  <c r="AP1530" i="2" s="1"/>
  <c r="AV1530" i="2" s="1"/>
  <c r="BZ1564" i="2"/>
  <c r="CQ1564" i="2" s="1"/>
  <c r="D1557" i="2"/>
  <c r="V1557" i="2" s="1"/>
  <c r="D1558" i="2"/>
  <c r="V1558" i="2" s="1"/>
  <c r="G1523" i="2"/>
  <c r="Y1523" i="2" s="1"/>
  <c r="BT1509" i="2"/>
  <c r="CK1509" i="2" s="1"/>
  <c r="AK1508" i="2"/>
  <c r="AL1508" i="2" s="1"/>
  <c r="AT1508" i="2" s="1"/>
  <c r="H1555" i="2"/>
  <c r="Z1555" i="2" s="1"/>
  <c r="BV1532" i="2"/>
  <c r="CM1532" i="2" s="1"/>
  <c r="K1561" i="2"/>
  <c r="AC1561" i="2" s="1"/>
  <c r="BT1535" i="2"/>
  <c r="CK1535" i="2" s="1"/>
  <c r="H1529" i="2"/>
  <c r="Z1529" i="2" s="1"/>
  <c r="BC1561" i="2"/>
  <c r="BD1561" i="2" s="1"/>
  <c r="BI1561" i="2" s="1"/>
  <c r="E1557" i="2"/>
  <c r="W1557" i="2" s="1"/>
  <c r="R1511" i="2"/>
  <c r="AJ1511" i="2" s="1"/>
  <c r="Q1516" i="2"/>
  <c r="AI1516" i="2" s="1"/>
  <c r="BP1515" i="2"/>
  <c r="CG1515" i="2" s="1"/>
  <c r="BT1508" i="2"/>
  <c r="CK1508" i="2" s="1"/>
  <c r="E1534" i="2"/>
  <c r="W1534" i="2" s="1"/>
  <c r="H1543" i="2"/>
  <c r="Z1543" i="2" s="1"/>
  <c r="I1557" i="2"/>
  <c r="AA1557" i="2" s="1"/>
  <c r="CA1546" i="2"/>
  <c r="CR1546" i="2" s="1"/>
  <c r="R1523" i="2"/>
  <c r="AJ1523" i="2" s="1"/>
  <c r="H1532" i="2"/>
  <c r="Z1532" i="2" s="1"/>
  <c r="M1551" i="2"/>
  <c r="AE1551" i="2" s="1"/>
  <c r="O1527" i="2"/>
  <c r="AG1527" i="2" s="1"/>
  <c r="BL1561" i="2"/>
  <c r="CC1561" i="2" s="1"/>
  <c r="BR1539" i="2"/>
  <c r="CI1539" i="2" s="1"/>
  <c r="I1529" i="2"/>
  <c r="AA1529" i="2" s="1"/>
  <c r="BC1512" i="2"/>
  <c r="BD1512" i="2" s="1"/>
  <c r="BI1512" i="2" s="1"/>
  <c r="BZ1520" i="2"/>
  <c r="CQ1520" i="2" s="1"/>
  <c r="BC1541" i="2"/>
  <c r="BD1541" i="2" s="1"/>
  <c r="BI1541" i="2" s="1"/>
  <c r="N1522" i="2"/>
  <c r="AF1522" i="2" s="1"/>
  <c r="BT1549" i="2"/>
  <c r="CK1549" i="2" s="1"/>
  <c r="C1548" i="2"/>
  <c r="U1548" i="2" s="1"/>
  <c r="AK1520" i="2"/>
  <c r="AL1520" i="2" s="1"/>
  <c r="AT1520" i="2" s="1"/>
  <c r="M1510" i="2"/>
  <c r="AE1510" i="2" s="1"/>
  <c r="AK1565" i="2"/>
  <c r="AL1565" i="2" s="1"/>
  <c r="AT1565" i="2" s="1"/>
  <c r="AQ1526" i="2"/>
  <c r="AR1526" i="2" s="1"/>
  <c r="AW1526" i="2" s="1"/>
  <c r="BC1553" i="2"/>
  <c r="BD1553" i="2" s="1"/>
  <c r="BI1553" i="2" s="1"/>
  <c r="AQ1518" i="2"/>
  <c r="AR1518" i="2" s="1"/>
  <c r="AW1518" i="2" s="1"/>
  <c r="O1556" i="2"/>
  <c r="AG1556" i="2" s="1"/>
  <c r="BP1554" i="2"/>
  <c r="CG1554" i="2" s="1"/>
  <c r="AO1505" i="2"/>
  <c r="AP1505" i="2" s="1"/>
  <c r="AV1505" i="2" s="1"/>
  <c r="M1383" i="2" s="1"/>
  <c r="AM1559" i="2"/>
  <c r="AN1559" i="2" s="1"/>
  <c r="AU1559" i="2" s="1"/>
  <c r="BN1518" i="2"/>
  <c r="CE1518" i="2" s="1"/>
  <c r="AK1558" i="2"/>
  <c r="AL1558" i="2" s="1"/>
  <c r="AT1558" i="2" s="1"/>
  <c r="I1534" i="2"/>
  <c r="AA1534" i="2" s="1"/>
  <c r="AK1564" i="2"/>
  <c r="AL1564" i="2" s="1"/>
  <c r="AT1564" i="2" s="1"/>
  <c r="J1509" i="2"/>
  <c r="AB1509" i="2" s="1"/>
  <c r="BY1555" i="2"/>
  <c r="CP1555" i="2" s="1"/>
  <c r="L1510" i="2"/>
  <c r="AD1510" i="2" s="1"/>
  <c r="AY1555" i="2"/>
  <c r="AZ1555" i="2" s="1"/>
  <c r="BG1555" i="2" s="1"/>
  <c r="BY1546" i="2"/>
  <c r="CP1546" i="2" s="1"/>
  <c r="AY1545" i="2"/>
  <c r="AZ1545" i="2" s="1"/>
  <c r="BG1545" i="2" s="1"/>
  <c r="BE1511" i="2"/>
  <c r="BF1511" i="2" s="1"/>
  <c r="BJ1511" i="2" s="1"/>
  <c r="O1510" i="2"/>
  <c r="AG1510" i="2" s="1"/>
  <c r="L1518" i="2"/>
  <c r="AD1518" i="2" s="1"/>
  <c r="BQ1519" i="2"/>
  <c r="CH1519" i="2" s="1"/>
  <c r="AY1534" i="2"/>
  <c r="AZ1534" i="2" s="1"/>
  <c r="BG1534" i="2" s="1"/>
  <c r="M1557" i="2"/>
  <c r="AE1557" i="2" s="1"/>
  <c r="BN1529" i="2"/>
  <c r="CE1529" i="2" s="1"/>
  <c r="BZ1562" i="2"/>
  <c r="CQ1562" i="2" s="1"/>
  <c r="CA1531" i="2"/>
  <c r="CR1531" i="2" s="1"/>
  <c r="CA1518" i="2"/>
  <c r="CR1518" i="2" s="1"/>
  <c r="BV1549" i="2"/>
  <c r="CM1549" i="2" s="1"/>
  <c r="M1546" i="2"/>
  <c r="AE1546" i="2" s="1"/>
  <c r="BT1545" i="2"/>
  <c r="CK1545" i="2" s="1"/>
  <c r="C1562" i="2"/>
  <c r="U1562" i="2" s="1"/>
  <c r="BS1517" i="2"/>
  <c r="CJ1517" i="2" s="1"/>
  <c r="C1517" i="2"/>
  <c r="U1517" i="2" s="1"/>
  <c r="AQ1519" i="2"/>
  <c r="AR1519" i="2" s="1"/>
  <c r="AW1519" i="2" s="1"/>
  <c r="AO1554" i="2"/>
  <c r="AP1554" i="2" s="1"/>
  <c r="AV1554" i="2" s="1"/>
  <c r="H1545" i="2"/>
  <c r="Z1545" i="2" s="1"/>
  <c r="BW1554" i="2"/>
  <c r="CN1554" i="2" s="1"/>
  <c r="Q1554" i="2"/>
  <c r="AI1554" i="2" s="1"/>
  <c r="O1526" i="2"/>
  <c r="AG1526" i="2" s="1"/>
  <c r="C1516" i="2"/>
  <c r="U1516" i="2" s="1"/>
  <c r="K1562" i="2"/>
  <c r="AC1562" i="2" s="1"/>
  <c r="I1513" i="2"/>
  <c r="AA1513" i="2" s="1"/>
  <c r="M1540" i="2"/>
  <c r="AE1540" i="2" s="1"/>
  <c r="BR1535" i="2"/>
  <c r="CI1535" i="2" s="1"/>
  <c r="BA1526" i="2"/>
  <c r="BB1526" i="2" s="1"/>
  <c r="BH1526" i="2" s="1"/>
  <c r="AQ1528" i="2"/>
  <c r="AR1528" i="2" s="1"/>
  <c r="AW1528" i="2" s="1"/>
  <c r="BW1563" i="2"/>
  <c r="CN1563" i="2" s="1"/>
  <c r="BU1526" i="2"/>
  <c r="CL1526" i="2" s="1"/>
  <c r="D1527" i="2"/>
  <c r="V1527" i="2" s="1"/>
  <c r="BX1535" i="2"/>
  <c r="CO1535" i="2" s="1"/>
  <c r="BA1538" i="2"/>
  <c r="BB1538" i="2" s="1"/>
  <c r="BH1538" i="2" s="1"/>
  <c r="H1511" i="2"/>
  <c r="Z1511" i="2" s="1"/>
  <c r="BM1527" i="2"/>
  <c r="CD1527" i="2" s="1"/>
  <c r="CA1537" i="2"/>
  <c r="CR1537" i="2" s="1"/>
  <c r="I1556" i="2"/>
  <c r="AA1556" i="2" s="1"/>
  <c r="AY1544" i="2"/>
  <c r="AZ1544" i="2" s="1"/>
  <c r="BG1544" i="2" s="1"/>
  <c r="N1508" i="2"/>
  <c r="AF1508" i="2" s="1"/>
  <c r="L1508" i="2"/>
  <c r="AD1508" i="2" s="1"/>
  <c r="BA1545" i="2"/>
  <c r="BB1545" i="2" s="1"/>
  <c r="BH1545" i="2" s="1"/>
  <c r="D1538" i="2"/>
  <c r="V1538" i="2" s="1"/>
  <c r="BQ1530" i="2"/>
  <c r="CH1530" i="2" s="1"/>
  <c r="O1542" i="2"/>
  <c r="AG1542" i="2" s="1"/>
  <c r="AY1509" i="2"/>
  <c r="AZ1509" i="2" s="1"/>
  <c r="BG1509" i="2" s="1"/>
  <c r="BV1515" i="2"/>
  <c r="CM1515" i="2" s="1"/>
  <c r="BN1513" i="2"/>
  <c r="CE1513" i="2" s="1"/>
  <c r="BX1533" i="2"/>
  <c r="CO1533" i="2" s="1"/>
  <c r="D1542" i="2"/>
  <c r="V1542" i="2" s="1"/>
  <c r="BW1529" i="2"/>
  <c r="CN1529" i="2" s="1"/>
  <c r="C1555" i="2"/>
  <c r="U1555" i="2" s="1"/>
  <c r="AK1559" i="2"/>
  <c r="AL1559" i="2" s="1"/>
  <c r="AT1559" i="2" s="1"/>
  <c r="BA1525" i="2"/>
  <c r="BB1525" i="2" s="1"/>
  <c r="BH1525" i="2" s="1"/>
  <c r="F1527" i="2"/>
  <c r="X1527" i="2" s="1"/>
  <c r="BM1519" i="2"/>
  <c r="CD1519" i="2" s="1"/>
  <c r="E1511" i="2"/>
  <c r="W1511" i="2" s="1"/>
  <c r="BZ1551" i="2"/>
  <c r="CQ1551" i="2" s="1"/>
  <c r="BC1522" i="2"/>
  <c r="BD1522" i="2" s="1"/>
  <c r="BI1522" i="2" s="1"/>
  <c r="BX1544" i="2"/>
  <c r="CO1544" i="2" s="1"/>
  <c r="BV1525" i="2"/>
  <c r="CM1525" i="2" s="1"/>
  <c r="BT1513" i="2"/>
  <c r="CK1513" i="2" s="1"/>
  <c r="E1528" i="2"/>
  <c r="W1528" i="2" s="1"/>
  <c r="BN1509" i="2"/>
  <c r="CE1509" i="2" s="1"/>
  <c r="AO1558" i="2"/>
  <c r="AP1558" i="2" s="1"/>
  <c r="AV1558" i="2" s="1"/>
  <c r="BL1540" i="2"/>
  <c r="CC1540" i="2" s="1"/>
  <c r="E1510" i="2"/>
  <c r="W1510" i="2" s="1"/>
  <c r="BE1525" i="2"/>
  <c r="BF1525" i="2" s="1"/>
  <c r="BJ1525" i="2" s="1"/>
  <c r="M1527" i="2"/>
  <c r="AE1527" i="2" s="1"/>
  <c r="AO1543" i="2"/>
  <c r="AP1543" i="2" s="1"/>
  <c r="AV1543" i="2" s="1"/>
  <c r="BL1526" i="2"/>
  <c r="CC1526" i="2" s="1"/>
  <c r="C1530" i="2"/>
  <c r="U1530" i="2" s="1"/>
  <c r="E1521" i="2"/>
  <c r="W1521" i="2" s="1"/>
  <c r="BL1535" i="2"/>
  <c r="CC1535" i="2" s="1"/>
  <c r="BV1552" i="2"/>
  <c r="CM1552" i="2" s="1"/>
  <c r="P1528" i="2"/>
  <c r="AH1528" i="2" s="1"/>
  <c r="L1520" i="2"/>
  <c r="AD1520" i="2" s="1"/>
  <c r="BC1557" i="2"/>
  <c r="BD1557" i="2" s="1"/>
  <c r="BI1557" i="2" s="1"/>
  <c r="BR1559" i="2"/>
  <c r="CI1559" i="2" s="1"/>
  <c r="N1548" i="2"/>
  <c r="AF1548" i="2" s="1"/>
  <c r="BA1505" i="2"/>
  <c r="BB1505" i="2" s="1"/>
  <c r="BH1505" i="2" s="1"/>
  <c r="O1382" i="2" s="1"/>
  <c r="I1560" i="2"/>
  <c r="AA1560" i="2" s="1"/>
  <c r="D1556" i="2"/>
  <c r="V1556" i="2" s="1"/>
  <c r="K1545" i="2"/>
  <c r="AC1545" i="2" s="1"/>
  <c r="G1529" i="2"/>
  <c r="Y1529" i="2" s="1"/>
  <c r="BO1539" i="2"/>
  <c r="CF1539" i="2" s="1"/>
  <c r="AM1505" i="2"/>
  <c r="AN1505" i="2" s="1"/>
  <c r="AU1505" i="2" s="1"/>
  <c r="M1382" i="2" s="1"/>
  <c r="F1526" i="2"/>
  <c r="X1526" i="2" s="1"/>
  <c r="AM1508" i="2"/>
  <c r="AN1508" i="2" s="1"/>
  <c r="AU1508" i="2" s="1"/>
  <c r="BY1530" i="2"/>
  <c r="CP1530" i="2" s="1"/>
  <c r="BW1540" i="2"/>
  <c r="CN1540" i="2" s="1"/>
  <c r="O1523" i="2"/>
  <c r="AG1523" i="2" s="1"/>
  <c r="BE1548" i="2"/>
  <c r="BF1548" i="2" s="1"/>
  <c r="BJ1548" i="2" s="1"/>
  <c r="N1560" i="2"/>
  <c r="AF1560" i="2" s="1"/>
  <c r="BP1563" i="2"/>
  <c r="CG1563" i="2" s="1"/>
  <c r="J1559" i="2"/>
  <c r="AB1559" i="2" s="1"/>
  <c r="I1537" i="2"/>
  <c r="AA1537" i="2" s="1"/>
  <c r="BM1526" i="2"/>
  <c r="CD1526" i="2" s="1"/>
  <c r="E1529" i="2"/>
  <c r="W1529" i="2" s="1"/>
  <c r="BN1539" i="2"/>
  <c r="CE1539" i="2" s="1"/>
  <c r="BN1524" i="2"/>
  <c r="CE1524" i="2" s="1"/>
  <c r="P1556" i="2"/>
  <c r="AH1556" i="2" s="1"/>
  <c r="BR1508" i="2"/>
  <c r="CI1508" i="2" s="1"/>
  <c r="M1541" i="2"/>
  <c r="AE1541" i="2" s="1"/>
  <c r="Q1549" i="2"/>
  <c r="AI1549" i="2" s="1"/>
  <c r="BA1564" i="2"/>
  <c r="BB1564" i="2" s="1"/>
  <c r="BH1564" i="2" s="1"/>
  <c r="AK1531" i="2"/>
  <c r="AL1531" i="2" s="1"/>
  <c r="AT1531" i="2" s="1"/>
  <c r="K1556" i="2"/>
  <c r="AC1556" i="2" s="1"/>
  <c r="AK1543" i="2"/>
  <c r="AL1543" i="2" s="1"/>
  <c r="AT1543" i="2" s="1"/>
  <c r="BN1558" i="2"/>
  <c r="CE1558" i="2" s="1"/>
  <c r="BR1548" i="2"/>
  <c r="CI1548" i="2" s="1"/>
  <c r="BZ1541" i="2"/>
  <c r="CQ1541" i="2" s="1"/>
  <c r="BX1560" i="2"/>
  <c r="CO1560" i="2" s="1"/>
  <c r="BP1527" i="2"/>
  <c r="CG1527" i="2" s="1"/>
  <c r="BQ1551" i="2"/>
  <c r="CH1551" i="2" s="1"/>
  <c r="BN1560" i="2"/>
  <c r="CE1560" i="2" s="1"/>
  <c r="BC1525" i="2"/>
  <c r="BD1525" i="2" s="1"/>
  <c r="BI1525" i="2" s="1"/>
  <c r="I1555" i="2"/>
  <c r="AA1555" i="2" s="1"/>
  <c r="H1547" i="2"/>
  <c r="Z1547" i="2" s="1"/>
  <c r="H1549" i="2"/>
  <c r="Z1549" i="2" s="1"/>
  <c r="BA1520" i="2"/>
  <c r="BB1520" i="2" s="1"/>
  <c r="BH1520" i="2" s="1"/>
  <c r="K1541" i="2"/>
  <c r="AC1541" i="2" s="1"/>
  <c r="F1552" i="2"/>
  <c r="X1552" i="2" s="1"/>
  <c r="BO1533" i="2"/>
  <c r="CF1533" i="2" s="1"/>
  <c r="BT1543" i="2"/>
  <c r="CK1543" i="2" s="1"/>
  <c r="F1559" i="2"/>
  <c r="X1559" i="2" s="1"/>
  <c r="CA1512" i="2"/>
  <c r="CR1512" i="2" s="1"/>
  <c r="CA1521" i="2"/>
  <c r="CR1521" i="2" s="1"/>
  <c r="D1541" i="2"/>
  <c r="V1541" i="2" s="1"/>
  <c r="AO1546" i="2"/>
  <c r="AP1546" i="2" s="1"/>
  <c r="AV1546" i="2" s="1"/>
  <c r="BM1537" i="2"/>
  <c r="CD1537" i="2" s="1"/>
  <c r="D1515" i="2"/>
  <c r="V1515" i="2" s="1"/>
  <c r="R1528" i="2"/>
  <c r="AJ1528" i="2" s="1"/>
  <c r="E1530" i="2"/>
  <c r="W1530" i="2" s="1"/>
  <c r="J1536" i="2"/>
  <c r="AB1536" i="2" s="1"/>
  <c r="P1562" i="2"/>
  <c r="AH1562" i="2" s="1"/>
  <c r="BX1553" i="2"/>
  <c r="CO1553" i="2" s="1"/>
  <c r="L1519" i="2"/>
  <c r="AD1519" i="2" s="1"/>
  <c r="BM1518" i="2"/>
  <c r="CD1518" i="2" s="1"/>
  <c r="H1536" i="2"/>
  <c r="Z1536" i="2" s="1"/>
  <c r="BX1529" i="2"/>
  <c r="CO1529" i="2" s="1"/>
  <c r="E1540" i="2"/>
  <c r="W1540" i="2" s="1"/>
  <c r="BP1539" i="2"/>
  <c r="CG1539" i="2" s="1"/>
  <c r="BT1542" i="2"/>
  <c r="CK1542" i="2" s="1"/>
  <c r="J1563" i="2"/>
  <c r="AB1563" i="2" s="1"/>
  <c r="BA1513" i="2"/>
  <c r="BB1513" i="2" s="1"/>
  <c r="BH1513" i="2" s="1"/>
  <c r="BN1536" i="2"/>
  <c r="CE1536" i="2" s="1"/>
  <c r="BM1522" i="2"/>
  <c r="CD1522" i="2" s="1"/>
  <c r="P1557" i="2"/>
  <c r="AH1557" i="2" s="1"/>
  <c r="CA1536" i="2"/>
  <c r="CR1536" i="2" s="1"/>
  <c r="BV1513" i="2"/>
  <c r="CM1513" i="2" s="1"/>
  <c r="BP1519" i="2"/>
  <c r="CG1519" i="2" s="1"/>
  <c r="BW1537" i="2"/>
  <c r="CN1537" i="2" s="1"/>
  <c r="E1519" i="2"/>
  <c r="W1519" i="2" s="1"/>
  <c r="AQ1512" i="2"/>
  <c r="AR1512" i="2" s="1"/>
  <c r="AW1512" i="2" s="1"/>
  <c r="J1557" i="2"/>
  <c r="AB1557" i="2" s="1"/>
  <c r="CA1529" i="2"/>
  <c r="CR1529" i="2" s="1"/>
  <c r="BV1528" i="2"/>
  <c r="CM1528" i="2" s="1"/>
  <c r="BL1541" i="2"/>
  <c r="CC1541" i="2" s="1"/>
  <c r="BL1522" i="2"/>
  <c r="CC1522" i="2" s="1"/>
  <c r="CA1528" i="2"/>
  <c r="CR1528" i="2" s="1"/>
  <c r="M1545" i="2"/>
  <c r="AE1545" i="2" s="1"/>
  <c r="BZ1558" i="2"/>
  <c r="CQ1558" i="2" s="1"/>
  <c r="Q1525" i="2"/>
  <c r="AI1525" i="2" s="1"/>
  <c r="AK1554" i="2"/>
  <c r="AL1554" i="2" s="1"/>
  <c r="AT1554" i="2" s="1"/>
  <c r="H1540" i="2"/>
  <c r="Z1540" i="2" s="1"/>
  <c r="P1509" i="2"/>
  <c r="AH1509" i="2" s="1"/>
  <c r="BV1565" i="2"/>
  <c r="CM1565" i="2" s="1"/>
  <c r="BO1557" i="2"/>
  <c r="CF1557" i="2" s="1"/>
  <c r="Q1510" i="2"/>
  <c r="AI1510" i="2" s="1"/>
  <c r="BL1512" i="2"/>
  <c r="CC1512" i="2" s="1"/>
  <c r="K1513" i="2"/>
  <c r="AC1513" i="2" s="1"/>
  <c r="BX1536" i="2"/>
  <c r="CO1536" i="2" s="1"/>
  <c r="BL1550" i="2"/>
  <c r="CC1550" i="2" s="1"/>
  <c r="N1519" i="2"/>
  <c r="AF1519" i="2" s="1"/>
  <c r="BM1548" i="2"/>
  <c r="CD1548" i="2" s="1"/>
  <c r="CA1509" i="2"/>
  <c r="CR1509" i="2" s="1"/>
  <c r="BQ1541" i="2"/>
  <c r="CH1541" i="2" s="1"/>
  <c r="CA1558" i="2"/>
  <c r="CR1558" i="2" s="1"/>
  <c r="I1523" i="2"/>
  <c r="AA1523" i="2" s="1"/>
  <c r="J1539" i="2"/>
  <c r="AB1539" i="2" s="1"/>
  <c r="AO1528" i="2"/>
  <c r="AP1528" i="2" s="1"/>
  <c r="AV1528" i="2" s="1"/>
  <c r="P1511" i="2"/>
  <c r="AH1511" i="2" s="1"/>
  <c r="N1512" i="2"/>
  <c r="AF1512" i="2" s="1"/>
  <c r="BN1541" i="2"/>
  <c r="CE1541" i="2" s="1"/>
  <c r="BO1520" i="2"/>
  <c r="CF1520" i="2" s="1"/>
  <c r="BE1561" i="2"/>
  <c r="BF1561" i="2" s="1"/>
  <c r="BJ1561" i="2" s="1"/>
  <c r="BO1556" i="2"/>
  <c r="CF1556" i="2" s="1"/>
  <c r="BQ1512" i="2"/>
  <c r="CH1512" i="2" s="1"/>
  <c r="BY1554" i="2"/>
  <c r="CP1554" i="2" s="1"/>
  <c r="N1556" i="2"/>
  <c r="AF1556" i="2" s="1"/>
  <c r="BP1516" i="2"/>
  <c r="CG1516" i="2" s="1"/>
  <c r="J1549" i="2"/>
  <c r="AB1549" i="2" s="1"/>
  <c r="E1520" i="2"/>
  <c r="W1520" i="2" s="1"/>
  <c r="BY1551" i="2"/>
  <c r="CP1551" i="2" s="1"/>
  <c r="BP1549" i="2"/>
  <c r="CG1549" i="2" s="1"/>
  <c r="E1556" i="2"/>
  <c r="W1556" i="2" s="1"/>
  <c r="BR1538" i="2"/>
  <c r="CI1538" i="2" s="1"/>
  <c r="BU1541" i="2"/>
  <c r="CL1541" i="2" s="1"/>
  <c r="G1527" i="2"/>
  <c r="Y1527" i="2" s="1"/>
  <c r="E1522" i="2"/>
  <c r="W1522" i="2" s="1"/>
  <c r="BY1522" i="2"/>
  <c r="CP1522" i="2" s="1"/>
  <c r="J1551" i="2"/>
  <c r="AB1551" i="2" s="1"/>
  <c r="AY1552" i="2"/>
  <c r="AZ1552" i="2" s="1"/>
  <c r="BG1552" i="2" s="1"/>
  <c r="BS1520" i="2"/>
  <c r="CJ1520" i="2" s="1"/>
  <c r="R1552" i="2"/>
  <c r="AJ1552" i="2" s="1"/>
  <c r="BS1543" i="2"/>
  <c r="CJ1543" i="2" s="1"/>
  <c r="J1513" i="2"/>
  <c r="AB1513" i="2" s="1"/>
  <c r="I1543" i="2"/>
  <c r="AA1543" i="2" s="1"/>
  <c r="BY1521" i="2"/>
  <c r="CP1521" i="2" s="1"/>
  <c r="E1514" i="2"/>
  <c r="W1514" i="2" s="1"/>
  <c r="BU1535" i="2"/>
  <c r="CL1535" i="2" s="1"/>
  <c r="AQ1529" i="2"/>
  <c r="AR1529" i="2" s="1"/>
  <c r="AW1529" i="2" s="1"/>
  <c r="F1517" i="2"/>
  <c r="X1517" i="2" s="1"/>
  <c r="BN1515" i="2"/>
  <c r="CE1515" i="2" s="1"/>
  <c r="BT1538" i="2"/>
  <c r="CK1538" i="2" s="1"/>
  <c r="L1533" i="2"/>
  <c r="AD1533" i="2" s="1"/>
  <c r="BO1528" i="2"/>
  <c r="CF1528" i="2" s="1"/>
  <c r="BU1511" i="2"/>
  <c r="CL1511" i="2" s="1"/>
  <c r="BP1520" i="2"/>
  <c r="CG1520" i="2" s="1"/>
  <c r="BL1537" i="2"/>
  <c r="CC1537" i="2" s="1"/>
  <c r="BA1517" i="2"/>
  <c r="BB1517" i="2" s="1"/>
  <c r="BH1517" i="2" s="1"/>
  <c r="N1545" i="2"/>
  <c r="AF1545" i="2" s="1"/>
  <c r="AM1514" i="2"/>
  <c r="AN1514" i="2" s="1"/>
  <c r="AU1514" i="2" s="1"/>
  <c r="BV1527" i="2"/>
  <c r="CM1527" i="2" s="1"/>
  <c r="BT1523" i="2"/>
  <c r="CK1523" i="2" s="1"/>
  <c r="AO1544" i="2"/>
  <c r="AP1544" i="2" s="1"/>
  <c r="AV1544" i="2" s="1"/>
  <c r="BR1540" i="2"/>
  <c r="CI1540" i="2" s="1"/>
  <c r="AO1537" i="2"/>
  <c r="AP1537" i="2" s="1"/>
  <c r="AV1537" i="2" s="1"/>
  <c r="O1545" i="2"/>
  <c r="AG1545" i="2" s="1"/>
  <c r="BP1534" i="2"/>
  <c r="CG1534" i="2" s="1"/>
  <c r="BC1547" i="2"/>
  <c r="BD1547" i="2" s="1"/>
  <c r="BI1547" i="2" s="1"/>
  <c r="K1524" i="2"/>
  <c r="AC1524" i="2" s="1"/>
  <c r="BW1519" i="2"/>
  <c r="CN1519" i="2" s="1"/>
  <c r="BP1556" i="2"/>
  <c r="CG1556" i="2" s="1"/>
  <c r="I1539" i="2"/>
  <c r="AA1539" i="2" s="1"/>
  <c r="G1535" i="2"/>
  <c r="Y1535" i="2" s="1"/>
  <c r="BU1542" i="2"/>
  <c r="CL1542" i="2" s="1"/>
  <c r="BO1538" i="2"/>
  <c r="CF1538" i="2" s="1"/>
  <c r="P1534" i="2"/>
  <c r="AH1534" i="2" s="1"/>
  <c r="BZ1547" i="2"/>
  <c r="CQ1547" i="2" s="1"/>
  <c r="BY1553" i="2"/>
  <c r="CP1553" i="2" s="1"/>
  <c r="BQ1563" i="2"/>
  <c r="CH1563" i="2" s="1"/>
  <c r="F1532" i="2"/>
  <c r="X1532" i="2" s="1"/>
  <c r="BX1554" i="2"/>
  <c r="CO1554" i="2" s="1"/>
  <c r="G1565" i="2"/>
  <c r="Y1565" i="2" s="1"/>
  <c r="BN1522" i="2"/>
  <c r="CE1522" i="2" s="1"/>
  <c r="BX1534" i="2"/>
  <c r="CO1534" i="2" s="1"/>
  <c r="AY1558" i="2"/>
  <c r="AZ1558" i="2" s="1"/>
  <c r="BG1558" i="2" s="1"/>
  <c r="BN1526" i="2"/>
  <c r="CE1526" i="2" s="1"/>
  <c r="BS1541" i="2"/>
  <c r="CJ1541" i="2" s="1"/>
  <c r="BX1531" i="2"/>
  <c r="CO1531" i="2" s="1"/>
  <c r="BA1554" i="2"/>
  <c r="BB1554" i="2" s="1"/>
  <c r="BH1554" i="2" s="1"/>
  <c r="BX1555" i="2"/>
  <c r="CO1555" i="2" s="1"/>
  <c r="BA1529" i="2"/>
  <c r="BB1529" i="2" s="1"/>
  <c r="BH1529" i="2" s="1"/>
  <c r="BW1521" i="2"/>
  <c r="CN1521" i="2" s="1"/>
  <c r="AQ1557" i="2"/>
  <c r="AR1557" i="2" s="1"/>
  <c r="AW1557" i="2" s="1"/>
  <c r="AK1556" i="2"/>
  <c r="AL1556" i="2" s="1"/>
  <c r="AT1556" i="2" s="1"/>
  <c r="BL1539" i="2"/>
  <c r="CC1539" i="2" s="1"/>
  <c r="D1514" i="2"/>
  <c r="V1514" i="2" s="1"/>
  <c r="AO1555" i="2"/>
  <c r="AP1555" i="2" s="1"/>
  <c r="AV1555" i="2" s="1"/>
  <c r="O1539" i="2"/>
  <c r="AG1539" i="2" s="1"/>
  <c r="N1525" i="2"/>
  <c r="AF1525" i="2" s="1"/>
  <c r="C1528" i="2"/>
  <c r="U1528" i="2" s="1"/>
  <c r="BL1560" i="2"/>
  <c r="CC1560" i="2" s="1"/>
  <c r="F1551" i="2"/>
  <c r="X1551" i="2" s="1"/>
  <c r="BL1517" i="2"/>
  <c r="CC1517" i="2" s="1"/>
  <c r="O1524" i="2"/>
  <c r="AG1524" i="2" s="1"/>
  <c r="BM1525" i="2"/>
  <c r="CD1525" i="2" s="1"/>
  <c r="BE1559" i="2"/>
  <c r="BF1559" i="2" s="1"/>
  <c r="BJ1559" i="2" s="1"/>
  <c r="BX1516" i="2"/>
  <c r="CO1516" i="2" s="1"/>
  <c r="BM1523" i="2"/>
  <c r="CD1523" i="2" s="1"/>
  <c r="F1525" i="2"/>
  <c r="X1525" i="2" s="1"/>
  <c r="M1542" i="2"/>
  <c r="AE1542" i="2" s="1"/>
  <c r="Q1518" i="2"/>
  <c r="AI1518" i="2" s="1"/>
  <c r="J1552" i="2"/>
  <c r="AB1552" i="2" s="1"/>
  <c r="O1532" i="2"/>
  <c r="AG1532" i="2" s="1"/>
  <c r="AO1515" i="2"/>
  <c r="AP1515" i="2" s="1"/>
  <c r="AV1515" i="2" s="1"/>
  <c r="Q1529" i="2"/>
  <c r="AI1529" i="2" s="1"/>
  <c r="L1535" i="2"/>
  <c r="AD1535" i="2" s="1"/>
  <c r="BO1553" i="2"/>
  <c r="CF1553" i="2" s="1"/>
  <c r="F1514" i="2"/>
  <c r="X1514" i="2" s="1"/>
  <c r="N1552" i="2"/>
  <c r="AF1552" i="2" s="1"/>
  <c r="AO1560" i="2"/>
  <c r="AP1560" i="2" s="1"/>
  <c r="AV1560" i="2" s="1"/>
  <c r="BZ1545" i="2"/>
  <c r="CQ1545" i="2" s="1"/>
  <c r="BA1519" i="2"/>
  <c r="BB1519" i="2" s="1"/>
  <c r="BH1519" i="2" s="1"/>
  <c r="BC1526" i="2"/>
  <c r="BD1526" i="2" s="1"/>
  <c r="BI1526" i="2" s="1"/>
  <c r="H1509" i="2"/>
  <c r="Z1509" i="2" s="1"/>
  <c r="BN1535" i="2"/>
  <c r="CE1535" i="2" s="1"/>
  <c r="AM1543" i="2"/>
  <c r="AN1543" i="2" s="1"/>
  <c r="AU1543" i="2" s="1"/>
  <c r="D1522" i="2"/>
  <c r="V1522" i="2" s="1"/>
  <c r="F1539" i="2"/>
  <c r="X1539" i="2" s="1"/>
  <c r="AO1540" i="2"/>
  <c r="AP1540" i="2" s="1"/>
  <c r="AV1540" i="2" s="1"/>
  <c r="BW1549" i="2"/>
  <c r="CN1549" i="2" s="1"/>
  <c r="BZ1535" i="2"/>
  <c r="CQ1535" i="2" s="1"/>
  <c r="BV1533" i="2"/>
  <c r="CM1533" i="2" s="1"/>
  <c r="AM1509" i="2"/>
  <c r="AN1509" i="2" s="1"/>
  <c r="AU1509" i="2" s="1"/>
  <c r="G1528" i="2"/>
  <c r="Y1528" i="2" s="1"/>
  <c r="BX1552" i="2"/>
  <c r="CO1552" i="2" s="1"/>
  <c r="P1505" i="2"/>
  <c r="AH1505" i="2" s="1"/>
  <c r="BY1548" i="2"/>
  <c r="CP1548" i="2" s="1"/>
  <c r="CA1564" i="2"/>
  <c r="CR1564" i="2" s="1"/>
  <c r="BC1560" i="2"/>
  <c r="BD1560" i="2" s="1"/>
  <c r="BI1560" i="2" s="1"/>
  <c r="BE1523" i="2"/>
  <c r="BF1523" i="2" s="1"/>
  <c r="BJ1523" i="2" s="1"/>
  <c r="BT1527" i="2"/>
  <c r="CK1527" i="2" s="1"/>
  <c r="L1556" i="2"/>
  <c r="AD1556" i="2" s="1"/>
  <c r="M1550" i="2"/>
  <c r="AE1550" i="2" s="1"/>
  <c r="BN1544" i="2"/>
  <c r="CE1544" i="2" s="1"/>
  <c r="AK1536" i="2"/>
  <c r="AL1536" i="2" s="1"/>
  <c r="AT1536" i="2" s="1"/>
  <c r="AO1561" i="2"/>
  <c r="AP1561" i="2" s="1"/>
  <c r="AV1561" i="2" s="1"/>
  <c r="BR1525" i="2"/>
  <c r="CI1525" i="2" s="1"/>
  <c r="G1562" i="2"/>
  <c r="Y1562" i="2" s="1"/>
  <c r="BN1540" i="2"/>
  <c r="CE1540" i="2" s="1"/>
  <c r="BR1561" i="2"/>
  <c r="CI1561" i="2" s="1"/>
  <c r="BS1511" i="2"/>
  <c r="CJ1511" i="2" s="1"/>
  <c r="BS1545" i="2"/>
  <c r="CJ1545" i="2" s="1"/>
  <c r="BT1547" i="2"/>
  <c r="CK1547" i="2" s="1"/>
  <c r="L1542" i="2"/>
  <c r="AD1542" i="2" s="1"/>
  <c r="Q1560" i="2"/>
  <c r="AI1560" i="2" s="1"/>
  <c r="BR1534" i="2"/>
  <c r="CI1534" i="2" s="1"/>
  <c r="E1537" i="2"/>
  <c r="W1537" i="2" s="1"/>
  <c r="Q1512" i="2"/>
  <c r="AI1512" i="2" s="1"/>
  <c r="D1537" i="2"/>
  <c r="V1537" i="2" s="1"/>
  <c r="AY1559" i="2"/>
  <c r="AZ1559" i="2" s="1"/>
  <c r="BG1559" i="2" s="1"/>
  <c r="BA1555" i="2"/>
  <c r="BB1555" i="2" s="1"/>
  <c r="BH1555" i="2" s="1"/>
  <c r="AK1505" i="2"/>
  <c r="AL1505" i="2" s="1"/>
  <c r="AT1505" i="2" s="1"/>
  <c r="M1381" i="2" s="1"/>
  <c r="AO1542" i="2"/>
  <c r="AP1542" i="2" s="1"/>
  <c r="AV1542" i="2" s="1"/>
  <c r="BS1514" i="2"/>
  <c r="CJ1514" i="2" s="1"/>
  <c r="BN1514" i="2"/>
  <c r="CE1514" i="2" s="1"/>
  <c r="E1564" i="2"/>
  <c r="W1564" i="2" s="1"/>
  <c r="K1516" i="2"/>
  <c r="AC1516" i="2" s="1"/>
  <c r="BL1523" i="2"/>
  <c r="CC1523" i="2" s="1"/>
  <c r="BR1532" i="2"/>
  <c r="CI1532" i="2" s="1"/>
  <c r="BP1546" i="2"/>
  <c r="CG1546" i="2" s="1"/>
  <c r="J1534" i="2"/>
  <c r="AB1534" i="2" s="1"/>
  <c r="BY1513" i="2"/>
  <c r="CP1513" i="2" s="1"/>
  <c r="BS1526" i="2"/>
  <c r="CJ1526" i="2" s="1"/>
  <c r="BT1525" i="2"/>
  <c r="CK1525" i="2" s="1"/>
  <c r="BC1517" i="2"/>
  <c r="BD1517" i="2" s="1"/>
  <c r="BI1517" i="2" s="1"/>
  <c r="M1544" i="2"/>
  <c r="AE1544" i="2" s="1"/>
  <c r="BU1519" i="2"/>
  <c r="CL1519" i="2" s="1"/>
  <c r="BZ1554" i="2"/>
  <c r="CQ1554" i="2" s="1"/>
  <c r="AK1537" i="2"/>
  <c r="AL1537" i="2" s="1"/>
  <c r="AT1537" i="2" s="1"/>
  <c r="BS1537" i="2"/>
  <c r="CJ1537" i="2" s="1"/>
  <c r="AK1540" i="2"/>
  <c r="AL1540" i="2" s="1"/>
  <c r="AT1540" i="2" s="1"/>
  <c r="F1522" i="2"/>
  <c r="X1522" i="2" s="1"/>
  <c r="C1521" i="2"/>
  <c r="U1521" i="2" s="1"/>
  <c r="E1549" i="2"/>
  <c r="W1549" i="2" s="1"/>
  <c r="D1532" i="2"/>
  <c r="V1532" i="2" s="1"/>
  <c r="AK1535" i="2"/>
  <c r="AL1535" i="2" s="1"/>
  <c r="AT1535" i="2" s="1"/>
  <c r="BT1539" i="2"/>
  <c r="CK1539" i="2" s="1"/>
  <c r="D1533" i="2"/>
  <c r="V1533" i="2" s="1"/>
  <c r="AQ1541" i="2"/>
  <c r="AR1541" i="2" s="1"/>
  <c r="AW1541" i="2" s="1"/>
  <c r="O1514" i="2"/>
  <c r="AG1514" i="2" s="1"/>
  <c r="AY1561" i="2"/>
  <c r="AZ1561" i="2" s="1"/>
  <c r="BG1561" i="2" s="1"/>
  <c r="BY1526" i="2"/>
  <c r="CP1526" i="2" s="1"/>
  <c r="BS1531" i="2"/>
  <c r="CJ1531" i="2" s="1"/>
  <c r="AO1548" i="2"/>
  <c r="AP1548" i="2" s="1"/>
  <c r="AV1548" i="2" s="1"/>
  <c r="AQ1548" i="2"/>
  <c r="AR1548" i="2" s="1"/>
  <c r="AW1548" i="2" s="1"/>
  <c r="BQ1555" i="2"/>
  <c r="CH1555" i="2" s="1"/>
  <c r="F1546" i="2"/>
  <c r="X1546" i="2" s="1"/>
  <c r="BO1561" i="2"/>
  <c r="CF1561" i="2" s="1"/>
  <c r="BS1557" i="2"/>
  <c r="CJ1557" i="2" s="1"/>
  <c r="G1544" i="2"/>
  <c r="Y1544" i="2" s="1"/>
  <c r="H1544" i="2"/>
  <c r="Z1544" i="2" s="1"/>
  <c r="BT1534" i="2"/>
  <c r="CK1534" i="2" s="1"/>
  <c r="BN1552" i="2"/>
  <c r="CE1552" i="2" s="1"/>
  <c r="J1520" i="2"/>
  <c r="AB1520" i="2" s="1"/>
  <c r="AO1510" i="2"/>
  <c r="AP1510" i="2" s="1"/>
  <c r="AV1510" i="2" s="1"/>
  <c r="BR1520" i="2"/>
  <c r="CI1520" i="2" s="1"/>
  <c r="Q1543" i="2"/>
  <c r="AI1543" i="2" s="1"/>
  <c r="BR1522" i="2"/>
  <c r="CI1522" i="2" s="1"/>
  <c r="BL1516" i="2"/>
  <c r="CC1516" i="2" s="1"/>
  <c r="L1516" i="2"/>
  <c r="AD1516" i="2" s="1"/>
  <c r="CA1554" i="2"/>
  <c r="CR1554" i="2" s="1"/>
  <c r="BC1524" i="2"/>
  <c r="BD1524" i="2" s="1"/>
  <c r="BI1524" i="2" s="1"/>
  <c r="BY1527" i="2"/>
  <c r="CP1527" i="2" s="1"/>
  <c r="BO1515" i="2"/>
  <c r="CF1515" i="2" s="1"/>
  <c r="BX1521" i="2"/>
  <c r="CO1521" i="2" s="1"/>
  <c r="AQ1543" i="2"/>
  <c r="AR1543" i="2" s="1"/>
  <c r="AW1543" i="2" s="1"/>
  <c r="I1516" i="2"/>
  <c r="AA1516" i="2" s="1"/>
  <c r="BN1559" i="2"/>
  <c r="CE1559" i="2" s="1"/>
  <c r="I1563" i="2"/>
  <c r="AA1563" i="2" s="1"/>
  <c r="AO1527" i="2"/>
  <c r="AP1527" i="2" s="1"/>
  <c r="AV1527" i="2" s="1"/>
  <c r="BU1528" i="2"/>
  <c r="CL1528" i="2" s="1"/>
  <c r="BT1521" i="2"/>
  <c r="CK1521" i="2" s="1"/>
  <c r="BC1519" i="2"/>
  <c r="BD1519" i="2" s="1"/>
  <c r="BI1519" i="2" s="1"/>
  <c r="BQ1561" i="2"/>
  <c r="CH1561" i="2" s="1"/>
  <c r="BM1542" i="2"/>
  <c r="CD1542" i="2" s="1"/>
  <c r="BP1511" i="2"/>
  <c r="CG1511" i="2" s="1"/>
  <c r="BA1531" i="2"/>
  <c r="BB1531" i="2" s="1"/>
  <c r="BH1531" i="2" s="1"/>
  <c r="BE1515" i="2"/>
  <c r="BF1515" i="2" s="1"/>
  <c r="BJ1515" i="2" s="1"/>
  <c r="N1553" i="2"/>
  <c r="AF1553" i="2" s="1"/>
  <c r="BN1531" i="2"/>
  <c r="CE1531" i="2" s="1"/>
  <c r="BS1529" i="2"/>
  <c r="CJ1529" i="2" s="1"/>
  <c r="BL1564" i="2"/>
  <c r="CC1564" i="2" s="1"/>
  <c r="H1548" i="2"/>
  <c r="Z1548" i="2" s="1"/>
  <c r="BQ1553" i="2"/>
  <c r="CH1553" i="2" s="1"/>
  <c r="BN1516" i="2"/>
  <c r="CE1516" i="2" s="1"/>
  <c r="N1533" i="2"/>
  <c r="AF1533" i="2" s="1"/>
  <c r="BL1520" i="2"/>
  <c r="CC1520" i="2" s="1"/>
  <c r="AM1550" i="2"/>
  <c r="AN1550" i="2" s="1"/>
  <c r="AU1550" i="2" s="1"/>
  <c r="AY1536" i="2"/>
  <c r="AZ1536" i="2" s="1"/>
  <c r="BG1536" i="2" s="1"/>
  <c r="H1542" i="2"/>
  <c r="Z1542" i="2" s="1"/>
  <c r="BQ1535" i="2"/>
  <c r="CH1535" i="2" s="1"/>
  <c r="BV1541" i="2"/>
  <c r="CM1541" i="2" s="1"/>
  <c r="N1510" i="2"/>
  <c r="AF1510" i="2" s="1"/>
  <c r="BE1557" i="2"/>
  <c r="BF1557" i="2" s="1"/>
  <c r="BJ1557" i="2" s="1"/>
  <c r="BM1516" i="2"/>
  <c r="CD1516" i="2" s="1"/>
  <c r="BO1558" i="2"/>
  <c r="CF1558" i="2" s="1"/>
  <c r="BQ1526" i="2"/>
  <c r="CH1526" i="2" s="1"/>
  <c r="BU1520" i="2"/>
  <c r="CL1520" i="2" s="1"/>
  <c r="BL1555" i="2"/>
  <c r="CC1555" i="2" s="1"/>
  <c r="BX1558" i="2"/>
  <c r="CO1558" i="2" s="1"/>
  <c r="AQ1560" i="2"/>
  <c r="AR1560" i="2" s="1"/>
  <c r="AW1560" i="2" s="1"/>
  <c r="O1560" i="2"/>
  <c r="AG1560" i="2" s="1"/>
  <c r="G1531" i="2"/>
  <c r="Y1531" i="2" s="1"/>
  <c r="H1557" i="2"/>
  <c r="Z1557" i="2" s="1"/>
  <c r="BN1530" i="2"/>
  <c r="CE1530" i="2" s="1"/>
  <c r="J1558" i="2"/>
  <c r="AB1558" i="2" s="1"/>
  <c r="BO1509" i="2"/>
  <c r="CF1509" i="2" s="1"/>
  <c r="BP1535" i="2"/>
  <c r="CG1535" i="2" s="1"/>
  <c r="AM1545" i="2"/>
  <c r="AN1545" i="2" s="1"/>
  <c r="AU1545" i="2" s="1"/>
  <c r="BP1560" i="2"/>
  <c r="CG1560" i="2" s="1"/>
  <c r="BM1530" i="2"/>
  <c r="CD1530" i="2" s="1"/>
  <c r="N1542" i="2"/>
  <c r="AF1542" i="2" s="1"/>
  <c r="O1564" i="2"/>
  <c r="AG1564" i="2" s="1"/>
  <c r="BV1559" i="2"/>
  <c r="CM1559" i="2" s="1"/>
  <c r="P1555" i="2"/>
  <c r="AH1555" i="2" s="1"/>
  <c r="AM1561" i="2"/>
  <c r="AN1561" i="2" s="1"/>
  <c r="AU1561" i="2" s="1"/>
  <c r="BM1550" i="2"/>
  <c r="CD1550" i="2" s="1"/>
  <c r="BW1543" i="2"/>
  <c r="CN1543" i="2" s="1"/>
  <c r="AY1532" i="2"/>
  <c r="AZ1532" i="2" s="1"/>
  <c r="BG1532" i="2" s="1"/>
  <c r="AY1505" i="2"/>
  <c r="AZ1505" i="2" s="1"/>
  <c r="BG1505" i="2" s="1"/>
  <c r="O1381" i="2" s="1"/>
  <c r="AM1523" i="2"/>
  <c r="AN1523" i="2" s="1"/>
  <c r="AU1523" i="2" s="1"/>
  <c r="AY1565" i="2"/>
  <c r="AZ1565" i="2" s="1"/>
  <c r="BG1565" i="2" s="1"/>
  <c r="H1541" i="2"/>
  <c r="Z1541" i="2" s="1"/>
  <c r="BE1553" i="2"/>
  <c r="BF1553" i="2" s="1"/>
  <c r="BJ1553" i="2" s="1"/>
  <c r="G1542" i="2"/>
  <c r="Y1542" i="2" s="1"/>
  <c r="BP1524" i="2"/>
  <c r="CG1524" i="2" s="1"/>
  <c r="BX1518" i="2"/>
  <c r="CO1518" i="2" s="1"/>
  <c r="BQ1548" i="2"/>
  <c r="CH1548" i="2" s="1"/>
  <c r="BX1539" i="2"/>
  <c r="CO1539" i="2" s="1"/>
  <c r="BX1524" i="2"/>
  <c r="CO1524" i="2" s="1"/>
  <c r="BC1559" i="2"/>
  <c r="BD1559" i="2" s="1"/>
  <c r="BI1559" i="2" s="1"/>
  <c r="K1549" i="2"/>
  <c r="AC1549" i="2" s="1"/>
  <c r="AO1529" i="2"/>
  <c r="AP1529" i="2" s="1"/>
  <c r="AV1529" i="2" s="1"/>
  <c r="BT1531" i="2"/>
  <c r="CK1531" i="2" s="1"/>
  <c r="BC1518" i="2"/>
  <c r="BD1518" i="2" s="1"/>
  <c r="BI1518" i="2" s="1"/>
  <c r="BO1551" i="2"/>
  <c r="CF1551" i="2" s="1"/>
  <c r="BQ1538" i="2"/>
  <c r="CH1538" i="2" s="1"/>
  <c r="P1535" i="2"/>
  <c r="AH1535" i="2" s="1"/>
  <c r="BQ1510" i="2"/>
  <c r="CH1510" i="2" s="1"/>
  <c r="AM1520" i="2"/>
  <c r="AN1520" i="2" s="1"/>
  <c r="AU1520" i="2" s="1"/>
  <c r="BO1525" i="2"/>
  <c r="CF1525" i="2" s="1"/>
  <c r="BT1554" i="2"/>
  <c r="CK1554" i="2" s="1"/>
  <c r="BR1512" i="2"/>
  <c r="CI1512" i="2" s="1"/>
  <c r="M1562" i="2"/>
  <c r="AE1562" i="2" s="1"/>
  <c r="BS1554" i="2"/>
  <c r="CJ1554" i="2" s="1"/>
  <c r="BY1559" i="2"/>
  <c r="CP1559" i="2" s="1"/>
  <c r="BP1509" i="2"/>
  <c r="CG1509" i="2" s="1"/>
  <c r="BU1515" i="2"/>
  <c r="CL1515" i="2" s="1"/>
  <c r="BS1544" i="2"/>
  <c r="CJ1544" i="2" s="1"/>
  <c r="J1547" i="2"/>
  <c r="AB1547" i="2" s="1"/>
  <c r="BW1514" i="2"/>
  <c r="CN1514" i="2" s="1"/>
  <c r="BL1528" i="2"/>
  <c r="CC1528" i="2" s="1"/>
  <c r="C1564" i="2"/>
  <c r="U1564" i="2" s="1"/>
  <c r="BT1532" i="2"/>
  <c r="CK1532" i="2" s="1"/>
  <c r="N1532" i="2"/>
  <c r="AF1532" i="2" s="1"/>
  <c r="O1535" i="2"/>
  <c r="AG1535" i="2" s="1"/>
  <c r="AY1518" i="2"/>
  <c r="AZ1518" i="2" s="1"/>
  <c r="BG1518" i="2" s="1"/>
  <c r="N1564" i="2"/>
  <c r="AF1564" i="2" s="1"/>
  <c r="R1556" i="2"/>
  <c r="AJ1556" i="2" s="1"/>
  <c r="BA1515" i="2"/>
  <c r="BB1515" i="2" s="1"/>
  <c r="BH1515" i="2" s="1"/>
  <c r="J1560" i="2"/>
  <c r="AB1560" i="2" s="1"/>
  <c r="R1538" i="2"/>
  <c r="AJ1538" i="2" s="1"/>
  <c r="R1544" i="2"/>
  <c r="AJ1544" i="2" s="1"/>
  <c r="C1557" i="2"/>
  <c r="U1557" i="2" s="1"/>
  <c r="AQ1533" i="2"/>
  <c r="AR1533" i="2" s="1"/>
  <c r="AW1533" i="2" s="1"/>
  <c r="P1510" i="2"/>
  <c r="AH1510" i="2" s="1"/>
  <c r="N1543" i="2"/>
  <c r="AF1543" i="2" s="1"/>
  <c r="BM1521" i="2"/>
  <c r="CD1521" i="2" s="1"/>
  <c r="BA1535" i="2"/>
  <c r="BB1535" i="2" s="1"/>
  <c r="BH1535" i="2" s="1"/>
  <c r="CA1522" i="2"/>
  <c r="CR1522" i="2" s="1"/>
  <c r="BC1515" i="2"/>
  <c r="BD1515" i="2" s="1"/>
  <c r="BI1515" i="2" s="1"/>
  <c r="D1552" i="2"/>
  <c r="V1552" i="2" s="1"/>
  <c r="O1521" i="2"/>
  <c r="AG1521" i="2" s="1"/>
  <c r="BY1536" i="2"/>
  <c r="CP1536" i="2" s="1"/>
  <c r="BQ1539" i="2"/>
  <c r="CH1539" i="2" s="1"/>
  <c r="BL1519" i="2"/>
  <c r="CC1519" i="2" s="1"/>
  <c r="J1535" i="2"/>
  <c r="AB1535" i="2" s="1"/>
  <c r="AY1562" i="2"/>
  <c r="AZ1562" i="2" s="1"/>
  <c r="BG1562" i="2" s="1"/>
  <c r="BY1512" i="2"/>
  <c r="CP1512" i="2" s="1"/>
  <c r="R1521" i="2"/>
  <c r="AJ1521" i="2" s="1"/>
  <c r="BY1563" i="2"/>
  <c r="CP1563" i="2" s="1"/>
  <c r="J1529" i="2"/>
  <c r="AB1529" i="2" s="1"/>
  <c r="Q1550" i="2"/>
  <c r="AI1550" i="2" s="1"/>
  <c r="Q1542" i="2"/>
  <c r="AI1542" i="2" s="1"/>
  <c r="BM1528" i="2"/>
  <c r="CD1528" i="2" s="1"/>
  <c r="O1537" i="2"/>
  <c r="AG1537" i="2" s="1"/>
  <c r="BO1526" i="2"/>
  <c r="CF1526" i="2" s="1"/>
  <c r="O1565" i="2"/>
  <c r="AG1565" i="2" s="1"/>
  <c r="CA1551" i="2"/>
  <c r="CR1551" i="2" s="1"/>
  <c r="BZ1550" i="2"/>
  <c r="CQ1550" i="2" s="1"/>
  <c r="R1532" i="2"/>
  <c r="AJ1532" i="2" s="1"/>
  <c r="BW1520" i="2"/>
  <c r="CN1520" i="2" s="1"/>
  <c r="AK1522" i="2"/>
  <c r="AL1522" i="2" s="1"/>
  <c r="AT1522" i="2" s="1"/>
  <c r="BE1524" i="2"/>
  <c r="BF1524" i="2" s="1"/>
  <c r="BJ1524" i="2" s="1"/>
  <c r="C1531" i="2"/>
  <c r="U1531" i="2" s="1"/>
  <c r="AQ1527" i="2"/>
  <c r="AR1527" i="2" s="1"/>
  <c r="AW1527" i="2" s="1"/>
  <c r="AY1557" i="2"/>
  <c r="AZ1557" i="2" s="1"/>
  <c r="BG1557" i="2" s="1"/>
  <c r="BY1541" i="2"/>
  <c r="CP1541" i="2" s="1"/>
  <c r="BO1527" i="2"/>
  <c r="CF1527" i="2" s="1"/>
  <c r="BS1525" i="2"/>
  <c r="CJ1525" i="2" s="1"/>
  <c r="CA1514" i="2"/>
  <c r="CR1514" i="2" s="1"/>
  <c r="P1517" i="2"/>
  <c r="AH1517" i="2" s="1"/>
  <c r="BO1550" i="2"/>
  <c r="CF1550" i="2" s="1"/>
  <c r="BM1531" i="2"/>
  <c r="CD1531" i="2" s="1"/>
  <c r="BO1529" i="2"/>
  <c r="CF1529" i="2" s="1"/>
  <c r="BP1557" i="2"/>
  <c r="CG1557" i="2" s="1"/>
  <c r="Q1561" i="2"/>
  <c r="AI1561" i="2" s="1"/>
  <c r="I1522" i="2"/>
  <c r="AA1522" i="2" s="1"/>
  <c r="BM1565" i="2"/>
  <c r="CD1565" i="2" s="1"/>
  <c r="BX1563" i="2"/>
  <c r="CO1563" i="2" s="1"/>
  <c r="AY1538" i="2"/>
  <c r="AZ1538" i="2" s="1"/>
  <c r="BG1538" i="2" s="1"/>
  <c r="I1547" i="2"/>
  <c r="AA1547" i="2" s="1"/>
  <c r="E1546" i="2"/>
  <c r="W1546" i="2" s="1"/>
  <c r="R1564" i="2"/>
  <c r="AJ1564" i="2" s="1"/>
  <c r="N1549" i="2"/>
  <c r="AF1549" i="2" s="1"/>
  <c r="E1527" i="2"/>
  <c r="W1527" i="2" s="1"/>
  <c r="N1550" i="2"/>
  <c r="AF1550" i="2" s="1"/>
  <c r="C1547" i="2"/>
  <c r="U1547" i="2" s="1"/>
  <c r="BM1560" i="2"/>
  <c r="CD1560" i="2" s="1"/>
  <c r="BE1532" i="2"/>
  <c r="BF1532" i="2" s="1"/>
  <c r="BJ1532" i="2" s="1"/>
  <c r="H1519" i="2"/>
  <c r="Z1519" i="2" s="1"/>
  <c r="AY1542" i="2"/>
  <c r="AZ1542" i="2" s="1"/>
  <c r="BG1542" i="2" s="1"/>
  <c r="BO1531" i="2"/>
  <c r="CF1531" i="2" s="1"/>
  <c r="F1519" i="2"/>
  <c r="X1519" i="2" s="1"/>
  <c r="BY1545" i="2"/>
  <c r="CP1545" i="2" s="1"/>
  <c r="L1540" i="2"/>
  <c r="AD1540" i="2" s="1"/>
  <c r="BM1564" i="2"/>
  <c r="CD1564" i="2" s="1"/>
  <c r="BR1530" i="2"/>
  <c r="CI1530" i="2" s="1"/>
  <c r="BM1520" i="2"/>
  <c r="CD1520" i="2" s="1"/>
  <c r="BA1562" i="2"/>
  <c r="BB1562" i="2" s="1"/>
  <c r="BH1562" i="2" s="1"/>
  <c r="BS1555" i="2"/>
  <c r="CJ1555" i="2" s="1"/>
  <c r="P1543" i="2"/>
  <c r="AH1543" i="2" s="1"/>
  <c r="AM1554" i="2"/>
  <c r="AN1554" i="2" s="1"/>
  <c r="AU1554" i="2" s="1"/>
  <c r="R1526" i="2"/>
  <c r="AJ1526" i="2" s="1"/>
  <c r="R1540" i="2"/>
  <c r="AJ1540" i="2" s="1"/>
  <c r="BC1538" i="2"/>
  <c r="BD1538" i="2" s="1"/>
  <c r="BI1538" i="2" s="1"/>
  <c r="BW1511" i="2"/>
  <c r="CN1511" i="2" s="1"/>
  <c r="F1521" i="2"/>
  <c r="X1521" i="2" s="1"/>
  <c r="BM1515" i="2"/>
  <c r="CD1515" i="2" s="1"/>
  <c r="R1515" i="2"/>
  <c r="AJ1515" i="2" s="1"/>
  <c r="R1533" i="2"/>
  <c r="AJ1533" i="2" s="1"/>
  <c r="BV1530" i="2"/>
  <c r="CM1530" i="2" s="1"/>
  <c r="BQ1524" i="2"/>
  <c r="CH1524" i="2" s="1"/>
  <c r="O1549" i="2"/>
  <c r="AG1549" i="2" s="1"/>
  <c r="AK1514" i="2"/>
  <c r="AL1514" i="2" s="1"/>
  <c r="AT1514" i="2" s="1"/>
  <c r="I1520" i="2"/>
  <c r="AA1520" i="2" s="1"/>
  <c r="BA1558" i="2"/>
  <c r="BB1558" i="2" s="1"/>
  <c r="BH1558" i="2" s="1"/>
  <c r="AM1553" i="2"/>
  <c r="AN1553" i="2" s="1"/>
  <c r="AU1553" i="2" s="1"/>
  <c r="I1531" i="2"/>
  <c r="AA1531" i="2" s="1"/>
  <c r="H1546" i="2"/>
  <c r="Z1546" i="2" s="1"/>
  <c r="P1524" i="2"/>
  <c r="AH1524" i="2" s="1"/>
  <c r="CA1534" i="2"/>
  <c r="CR1534" i="2" s="1"/>
  <c r="BT1515" i="2"/>
  <c r="CK1515" i="2" s="1"/>
  <c r="BW1523" i="2"/>
  <c r="CN1523" i="2" s="1"/>
  <c r="K1548" i="2"/>
  <c r="AC1548" i="2" s="1"/>
  <c r="E1553" i="2"/>
  <c r="W1553" i="2" s="1"/>
  <c r="BM1549" i="2"/>
  <c r="CD1549" i="2" s="1"/>
  <c r="K1538" i="2"/>
  <c r="AC1538" i="2" s="1"/>
  <c r="BO1563" i="2"/>
  <c r="CF1563" i="2" s="1"/>
  <c r="AK1541" i="2"/>
  <c r="AL1541" i="2" s="1"/>
  <c r="AT1541" i="2" s="1"/>
  <c r="BY1557" i="2"/>
  <c r="CP1557" i="2" s="1"/>
  <c r="H1515" i="2"/>
  <c r="Z1515" i="2" s="1"/>
  <c r="BU1564" i="2"/>
  <c r="CL1564" i="2" s="1"/>
  <c r="AY1510" i="2"/>
  <c r="AZ1510" i="2" s="1"/>
  <c r="BG1510" i="2" s="1"/>
  <c r="BQ1509" i="2"/>
  <c r="CH1509" i="2" s="1"/>
  <c r="BO1517" i="2"/>
  <c r="CF1517" i="2" s="1"/>
  <c r="O1557" i="2"/>
  <c r="AG1557" i="2" s="1"/>
  <c r="AQ1564" i="2"/>
  <c r="AR1564" i="2" s="1"/>
  <c r="AW1564" i="2" s="1"/>
  <c r="M1516" i="2"/>
  <c r="AE1516" i="2" s="1"/>
  <c r="F1530" i="2"/>
  <c r="X1530" i="2" s="1"/>
  <c r="BY1525" i="2"/>
  <c r="CP1525" i="2" s="1"/>
  <c r="BS1510" i="2"/>
  <c r="CJ1510" i="2" s="1"/>
  <c r="R1512" i="2"/>
  <c r="AJ1512" i="2" s="1"/>
  <c r="C1561" i="2"/>
  <c r="U1561" i="2" s="1"/>
  <c r="F1534" i="2"/>
  <c r="X1534" i="2" s="1"/>
  <c r="R1535" i="2"/>
  <c r="AJ1535" i="2" s="1"/>
  <c r="M1563" i="2"/>
  <c r="AE1563" i="2" s="1"/>
  <c r="K1554" i="2"/>
  <c r="AC1554" i="2" s="1"/>
  <c r="BL1527" i="2"/>
  <c r="CC1527" i="2" s="1"/>
  <c r="BZ1553" i="2"/>
  <c r="CQ1553" i="2" s="1"/>
  <c r="BE1546" i="2"/>
  <c r="BF1546" i="2" s="1"/>
  <c r="BJ1546" i="2" s="1"/>
  <c r="AM1562" i="2"/>
  <c r="AN1562" i="2" s="1"/>
  <c r="AU1562" i="2" s="1"/>
  <c r="BV1551" i="2"/>
  <c r="CM1551" i="2" s="1"/>
  <c r="M1524" i="2"/>
  <c r="AE1524" i="2" s="1"/>
  <c r="BA1530" i="2"/>
  <c r="BB1530" i="2" s="1"/>
  <c r="BH1530" i="2" s="1"/>
  <c r="BC1531" i="2"/>
  <c r="BD1531" i="2" s="1"/>
  <c r="BI1531" i="2" s="1"/>
  <c r="AK1553" i="2"/>
  <c r="AL1553" i="2" s="1"/>
  <c r="AT1553" i="2" s="1"/>
  <c r="BN1554" i="2"/>
  <c r="CE1554" i="2" s="1"/>
  <c r="BY1540" i="2"/>
  <c r="CP1540" i="2" s="1"/>
  <c r="K1533" i="2"/>
  <c r="AC1533" i="2" s="1"/>
  <c r="BS1550" i="2"/>
  <c r="CJ1550" i="2" s="1"/>
  <c r="BW1553" i="2"/>
  <c r="CN1553" i="2" s="1"/>
  <c r="AK1562" i="2"/>
  <c r="AL1562" i="2" s="1"/>
  <c r="AT1562" i="2" s="1"/>
  <c r="BR1524" i="2"/>
  <c r="CI1524" i="2" s="1"/>
  <c r="AY1512" i="2"/>
  <c r="AZ1512" i="2" s="1"/>
  <c r="BG1512" i="2" s="1"/>
  <c r="CA1513" i="2"/>
  <c r="CR1513" i="2" s="1"/>
  <c r="M1529" i="2"/>
  <c r="AE1529" i="2" s="1"/>
  <c r="M1536" i="2"/>
  <c r="AE1536" i="2" s="1"/>
  <c r="BP1553" i="2"/>
  <c r="CG1553" i="2" s="1"/>
  <c r="AM1533" i="2"/>
  <c r="AN1533" i="2" s="1"/>
  <c r="AU1533" i="2" s="1"/>
  <c r="BO1552" i="2"/>
  <c r="CF1552" i="2" s="1"/>
  <c r="BA1563" i="2"/>
  <c r="BB1563" i="2" s="1"/>
  <c r="BH1563" i="2" s="1"/>
  <c r="CA1516" i="2"/>
  <c r="CR1516" i="2" s="1"/>
  <c r="P1513" i="2"/>
  <c r="AH1513" i="2" s="1"/>
  <c r="R1536" i="2"/>
  <c r="AJ1536" i="2" s="1"/>
  <c r="AQ1558" i="2"/>
  <c r="AR1558" i="2" s="1"/>
  <c r="AW1558" i="2" s="1"/>
  <c r="M1556" i="2"/>
  <c r="AE1556" i="2" s="1"/>
  <c r="BY1565" i="2"/>
  <c r="CP1565" i="2" s="1"/>
  <c r="AQ1514" i="2"/>
  <c r="AR1514" i="2" s="1"/>
  <c r="AW1514" i="2" s="1"/>
  <c r="R1531" i="2"/>
  <c r="AJ1531" i="2" s="1"/>
  <c r="AK1561" i="2"/>
  <c r="AL1561" i="2" s="1"/>
  <c r="AT1561" i="2" s="1"/>
  <c r="Q1565" i="2"/>
  <c r="AI1565" i="2" s="1"/>
  <c r="BV1524" i="2"/>
  <c r="CM1524" i="2" s="1"/>
  <c r="D1519" i="2"/>
  <c r="V1519" i="2" s="1"/>
  <c r="BA1553" i="2"/>
  <c r="BB1553" i="2" s="1"/>
  <c r="BH1553" i="2" s="1"/>
  <c r="R1516" i="2"/>
  <c r="AJ1516" i="2" s="1"/>
  <c r="BN1550" i="2"/>
  <c r="CE1550" i="2" s="1"/>
  <c r="BN1519" i="2"/>
  <c r="CE1519" i="2" s="1"/>
  <c r="BX1545" i="2"/>
  <c r="CO1545" i="2" s="1"/>
  <c r="J1528" i="2"/>
  <c r="AB1528" i="2" s="1"/>
  <c r="AO1549" i="2"/>
  <c r="AP1549" i="2" s="1"/>
  <c r="AV1549" i="2" s="1"/>
  <c r="L1543" i="2"/>
  <c r="AD1543" i="2" s="1"/>
  <c r="M1520" i="2"/>
  <c r="AE1520" i="2" s="1"/>
  <c r="BT1514" i="2"/>
  <c r="CK1514" i="2" s="1"/>
  <c r="Q1535" i="2"/>
  <c r="AI1535" i="2" s="1"/>
  <c r="I1517" i="2"/>
  <c r="AA1517" i="2" s="1"/>
  <c r="BL1532" i="2"/>
  <c r="CC1532" i="2" s="1"/>
  <c r="O1541" i="2"/>
  <c r="AG1541" i="2" s="1"/>
  <c r="I1545" i="2"/>
  <c r="AA1545" i="2" s="1"/>
  <c r="BW1531" i="2"/>
  <c r="CN1531" i="2" s="1"/>
  <c r="CA1544" i="2"/>
  <c r="CR1544" i="2" s="1"/>
  <c r="AM1517" i="2"/>
  <c r="AN1517" i="2" s="1"/>
  <c r="AU1517" i="2" s="1"/>
  <c r="N1518" i="2"/>
  <c r="AF1518" i="2" s="1"/>
  <c r="BR1563" i="2"/>
  <c r="CI1563" i="2" s="1"/>
  <c r="BN1517" i="2"/>
  <c r="CE1517" i="2" s="1"/>
  <c r="O1540" i="2"/>
  <c r="AG1540" i="2" s="1"/>
  <c r="R1527" i="2"/>
  <c r="AJ1527" i="2" s="1"/>
  <c r="BA1547" i="2"/>
  <c r="BB1547" i="2" s="1"/>
  <c r="BH1547" i="2" s="1"/>
  <c r="AQ1546" i="2"/>
  <c r="AR1546" i="2" s="1"/>
  <c r="AW1546" i="2" s="1"/>
  <c r="BC1556" i="2"/>
  <c r="BD1556" i="2" s="1"/>
  <c r="BI1556" i="2" s="1"/>
  <c r="BE1522" i="2"/>
  <c r="BF1522" i="2" s="1"/>
  <c r="BJ1522" i="2" s="1"/>
  <c r="J1527" i="2"/>
  <c r="AB1527" i="2" s="1"/>
  <c r="N1557" i="2"/>
  <c r="AF1557" i="2" s="1"/>
  <c r="I1527" i="2"/>
  <c r="AA1527" i="2" s="1"/>
  <c r="BU1513" i="2"/>
  <c r="CL1513" i="2" s="1"/>
  <c r="I1530" i="2"/>
  <c r="AA1530" i="2" s="1"/>
  <c r="BS1535" i="2"/>
  <c r="CJ1535" i="2" s="1"/>
  <c r="J1516" i="2"/>
  <c r="AB1516" i="2" s="1"/>
  <c r="BE1534" i="2"/>
  <c r="BF1534" i="2" s="1"/>
  <c r="BJ1534" i="2" s="1"/>
  <c r="BU1538" i="2"/>
  <c r="CL1538" i="2" s="1"/>
  <c r="BC1533" i="2"/>
  <c r="BD1533" i="2" s="1"/>
  <c r="BI1533" i="2" s="1"/>
  <c r="I1561" i="2"/>
  <c r="AA1561" i="2" s="1"/>
  <c r="Q1520" i="2"/>
  <c r="AI1520" i="2" s="1"/>
  <c r="L1558" i="2"/>
  <c r="AD1558" i="2" s="1"/>
  <c r="BT1518" i="2"/>
  <c r="CK1518" i="2" s="1"/>
  <c r="BE1565" i="2"/>
  <c r="BF1565" i="2" s="1"/>
  <c r="BJ1565" i="2" s="1"/>
  <c r="BM1510" i="2"/>
  <c r="CD1510" i="2" s="1"/>
  <c r="AY1543" i="2"/>
  <c r="AZ1543" i="2" s="1"/>
  <c r="BG1543" i="2" s="1"/>
  <c r="J1561" i="2"/>
  <c r="AB1561" i="2" s="1"/>
  <c r="M1534" i="2"/>
  <c r="AE1534" i="2" s="1"/>
  <c r="BE1551" i="2"/>
  <c r="BF1551" i="2" s="1"/>
  <c r="BJ1551" i="2" s="1"/>
  <c r="BU1551" i="2"/>
  <c r="CL1551" i="2" s="1"/>
  <c r="P1518" i="2"/>
  <c r="AH1518" i="2" s="1"/>
  <c r="BV1562" i="2"/>
  <c r="CM1562" i="2" s="1"/>
  <c r="R1529" i="2"/>
  <c r="AJ1529" i="2" s="1"/>
  <c r="AM1531" i="2"/>
  <c r="AN1531" i="2" s="1"/>
  <c r="AU1531" i="2" s="1"/>
  <c r="BW1527" i="2"/>
  <c r="CN1527" i="2" s="1"/>
  <c r="P1542" i="2"/>
  <c r="AH1542" i="2" s="1"/>
  <c r="AQ1545" i="2"/>
  <c r="AR1545" i="2" s="1"/>
  <c r="AW1545" i="2" s="1"/>
  <c r="O1520" i="2"/>
  <c r="AG1520" i="2" s="1"/>
  <c r="BP1521" i="2"/>
  <c r="CG1521" i="2" s="1"/>
  <c r="K1564" i="2"/>
  <c r="AC1564" i="2" s="1"/>
  <c r="BT1510" i="2"/>
  <c r="CK1510" i="2" s="1"/>
  <c r="BN1528" i="2"/>
  <c r="CE1528" i="2" s="1"/>
  <c r="BZ1540" i="2"/>
  <c r="CQ1540" i="2" s="1"/>
  <c r="CA1540" i="2"/>
  <c r="CR1540" i="2" s="1"/>
  <c r="C1520" i="2"/>
  <c r="U1520" i="2" s="1"/>
  <c r="BP1514" i="2"/>
  <c r="CG1514" i="2" s="1"/>
  <c r="P1547" i="2"/>
  <c r="AH1547" i="2" s="1"/>
  <c r="E1532" i="2"/>
  <c r="W1532" i="2" s="1"/>
  <c r="BL1525" i="2"/>
  <c r="CC1525" i="2" s="1"/>
  <c r="BY1510" i="2"/>
  <c r="CP1510" i="2" s="1"/>
  <c r="BP1533" i="2"/>
  <c r="CG1533" i="2" s="1"/>
  <c r="BT1550" i="2"/>
  <c r="CK1550" i="2" s="1"/>
  <c r="D1520" i="2"/>
  <c r="V1520" i="2" s="1"/>
  <c r="H1526" i="2"/>
  <c r="Z1526" i="2" s="1"/>
  <c r="BN1521" i="2"/>
  <c r="CE1521" i="2" s="1"/>
  <c r="BP1530" i="2"/>
  <c r="CG1530" i="2" s="1"/>
  <c r="K1531" i="2"/>
  <c r="AC1531" i="2" s="1"/>
  <c r="BP1548" i="2"/>
  <c r="CG1548" i="2" s="1"/>
  <c r="K1544" i="2"/>
  <c r="AC1544" i="2" s="1"/>
  <c r="BZ1518" i="2"/>
  <c r="CQ1518" i="2" s="1"/>
  <c r="BN1525" i="2"/>
  <c r="CE1525" i="2" s="1"/>
  <c r="J1550" i="2"/>
  <c r="AB1550" i="2" s="1"/>
  <c r="L1523" i="2"/>
  <c r="AD1523" i="2" s="1"/>
  <c r="M1553" i="2"/>
  <c r="AE1553" i="2" s="1"/>
  <c r="CA1549" i="2"/>
  <c r="CR1549" i="2" s="1"/>
  <c r="BV1547" i="2"/>
  <c r="CM1547" i="2" s="1"/>
  <c r="BE1528" i="2"/>
  <c r="BF1528" i="2" s="1"/>
  <c r="BJ1528" i="2" s="1"/>
  <c r="BV1512" i="2"/>
  <c r="CM1512" i="2" s="1"/>
  <c r="AY1525" i="2"/>
  <c r="AZ1525" i="2" s="1"/>
  <c r="BG1525" i="2" s="1"/>
  <c r="D1524" i="2"/>
  <c r="V1524" i="2" s="1"/>
  <c r="BZ1511" i="2"/>
  <c r="CQ1511" i="2" s="1"/>
  <c r="BY1518" i="2"/>
  <c r="CP1518" i="2" s="1"/>
  <c r="R1513" i="2"/>
  <c r="AJ1513" i="2" s="1"/>
  <c r="H1533" i="2"/>
  <c r="Z1533" i="2" s="1"/>
  <c r="AM1540" i="2"/>
  <c r="AN1540" i="2" s="1"/>
  <c r="AU1540" i="2" s="1"/>
  <c r="BA1550" i="2"/>
  <c r="BB1550" i="2" s="1"/>
  <c r="BH1550" i="2" s="1"/>
  <c r="BP1518" i="2"/>
  <c r="CG1518" i="2" s="1"/>
  <c r="BW1541" i="2"/>
  <c r="CN1541" i="2" s="1"/>
  <c r="BT1517" i="2"/>
  <c r="CK1517" i="2" s="1"/>
  <c r="D1516" i="2"/>
  <c r="V1516" i="2" s="1"/>
  <c r="AQ1531" i="2"/>
  <c r="AR1531" i="2" s="1"/>
  <c r="AW1531" i="2" s="1"/>
  <c r="O1528" i="2"/>
  <c r="AG1528" i="2" s="1"/>
  <c r="BL1547" i="2"/>
  <c r="CC1547" i="2" s="1"/>
  <c r="M1559" i="2"/>
  <c r="AE1559" i="2" s="1"/>
  <c r="E1545" i="2"/>
  <c r="W1545" i="2" s="1"/>
  <c r="BO1543" i="2"/>
  <c r="CF1543" i="2" s="1"/>
  <c r="AM1555" i="2"/>
  <c r="AN1555" i="2" s="1"/>
  <c r="AU1555" i="2" s="1"/>
  <c r="L1548" i="2"/>
  <c r="AD1548" i="2" s="1"/>
  <c r="AY1551" i="2"/>
  <c r="AZ1551" i="2" s="1"/>
  <c r="BG1551" i="2" s="1"/>
  <c r="BC1562" i="2"/>
  <c r="BD1562" i="2" s="1"/>
  <c r="BI1562" i="2" s="1"/>
  <c r="N1562" i="2"/>
  <c r="AF1562" i="2" s="1"/>
  <c r="BQ1554" i="2"/>
  <c r="CH1554" i="2" s="1"/>
  <c r="K1542" i="2"/>
  <c r="AC1542" i="2" s="1"/>
  <c r="H1561" i="2"/>
  <c r="Z1561" i="2" s="1"/>
  <c r="I1512" i="2"/>
  <c r="AA1512" i="2" s="1"/>
  <c r="BM1512" i="2"/>
  <c r="CD1512" i="2" s="1"/>
  <c r="BZ1512" i="2"/>
  <c r="CQ1512" i="2" s="1"/>
  <c r="K1551" i="2"/>
  <c r="AC1551" i="2" s="1"/>
  <c r="BR1560" i="2"/>
  <c r="CI1560" i="2" s="1"/>
  <c r="BW1564" i="2"/>
  <c r="CN1564" i="2" s="1"/>
  <c r="BY1549" i="2"/>
  <c r="CP1549" i="2" s="1"/>
  <c r="E1551" i="2"/>
  <c r="W1551" i="2" s="1"/>
  <c r="BE1558" i="2"/>
  <c r="BF1558" i="2" s="1"/>
  <c r="BJ1558" i="2" s="1"/>
  <c r="AQ1521" i="2"/>
  <c r="AR1521" i="2" s="1"/>
  <c r="AW1521" i="2" s="1"/>
  <c r="O1559" i="2"/>
  <c r="AG1559" i="2" s="1"/>
  <c r="AK1528" i="2"/>
  <c r="AL1528" i="2" s="1"/>
  <c r="AT1528" i="2" s="1"/>
  <c r="BY1533" i="2"/>
  <c r="CP1533" i="2" s="1"/>
  <c r="BS1546" i="2"/>
  <c r="CJ1546" i="2" s="1"/>
  <c r="AM1529" i="2"/>
  <c r="AN1529" i="2" s="1"/>
  <c r="AU1529" i="2" s="1"/>
  <c r="BV1523" i="2"/>
  <c r="CM1523" i="2" s="1"/>
  <c r="I1526" i="2"/>
  <c r="AA1526" i="2" s="1"/>
  <c r="BU1509" i="2"/>
  <c r="CL1509" i="2" s="1"/>
  <c r="K1519" i="2"/>
  <c r="AC1519" i="2" s="1"/>
  <c r="BW1556" i="2"/>
  <c r="CN1556" i="2" s="1"/>
  <c r="N1563" i="2"/>
  <c r="AF1563" i="2" s="1"/>
  <c r="BQ1556" i="2"/>
  <c r="CH1556" i="2" s="1"/>
  <c r="CA1545" i="2"/>
  <c r="CR1545" i="2" s="1"/>
  <c r="BU1562" i="2"/>
  <c r="CL1562" i="2" s="1"/>
  <c r="F1518" i="2"/>
  <c r="X1518" i="2" s="1"/>
  <c r="P1515" i="2"/>
  <c r="AH1515" i="2" s="1"/>
  <c r="BV1560" i="2"/>
  <c r="CM1560" i="2" s="1"/>
  <c r="L1557" i="2"/>
  <c r="AD1557" i="2" s="1"/>
  <c r="J1533" i="2"/>
  <c r="AB1533" i="2" s="1"/>
  <c r="BZ1552" i="2"/>
  <c r="CQ1552" i="2" s="1"/>
  <c r="BL1549" i="2"/>
  <c r="CC1549" i="2" s="1"/>
  <c r="F1541" i="2"/>
  <c r="X1541" i="2" s="1"/>
  <c r="AY1537" i="2"/>
  <c r="AZ1537" i="2" s="1"/>
  <c r="BG1537" i="2" s="1"/>
  <c r="BL1563" i="2"/>
  <c r="CC1563" i="2" s="1"/>
  <c r="Q1526" i="2"/>
  <c r="AI1526" i="2" s="1"/>
  <c r="AO1521" i="2"/>
  <c r="AP1521" i="2" s="1"/>
  <c r="AV1521" i="2" s="1"/>
  <c r="BW1518" i="2"/>
  <c r="CN1518" i="2" s="1"/>
  <c r="L1541" i="2"/>
  <c r="AD1541" i="2" s="1"/>
  <c r="K1510" i="2"/>
  <c r="AC1510" i="2" s="1"/>
  <c r="G1525" i="2"/>
  <c r="Y1525" i="2" s="1"/>
  <c r="CA1524" i="2"/>
  <c r="CR1524" i="2" s="1"/>
  <c r="H1551" i="2"/>
  <c r="Z1551" i="2" s="1"/>
  <c r="N1537" i="2"/>
  <c r="AF1537" i="2" s="1"/>
  <c r="L1509" i="2"/>
  <c r="AD1509" i="2" s="1"/>
  <c r="AQ1524" i="2"/>
  <c r="AR1524" i="2" s="1"/>
  <c r="AW1524" i="2" s="1"/>
  <c r="BP1528" i="2"/>
  <c r="CG1528" i="2" s="1"/>
  <c r="F1531" i="2"/>
  <c r="X1531" i="2" s="1"/>
  <c r="BW1557" i="2"/>
  <c r="CN1557" i="2" s="1"/>
  <c r="BS1563" i="2"/>
  <c r="CJ1563" i="2" s="1"/>
  <c r="BW1546" i="2"/>
  <c r="CN1546" i="2" s="1"/>
  <c r="BO1549" i="2"/>
  <c r="CF1549" i="2" s="1"/>
  <c r="BM1533" i="2"/>
  <c r="CD1533" i="2" s="1"/>
  <c r="BZ1542" i="2"/>
  <c r="CQ1542" i="2" s="1"/>
  <c r="C1541" i="2"/>
  <c r="U1541" i="2" s="1"/>
  <c r="BX1509" i="2"/>
  <c r="CO1509" i="2" s="1"/>
  <c r="R1542" i="2"/>
  <c r="AJ1542" i="2" s="1"/>
  <c r="G1510" i="2"/>
  <c r="Y1510" i="2" s="1"/>
  <c r="D1540" i="2"/>
  <c r="V1540" i="2" s="1"/>
  <c r="AQ1509" i="2"/>
  <c r="AR1509" i="2" s="1"/>
  <c r="AW1509" i="2" s="1"/>
  <c r="BM1554" i="2"/>
  <c r="CD1554" i="2" s="1"/>
  <c r="O1529" i="2"/>
  <c r="AG1529" i="2" s="1"/>
  <c r="M1554" i="2"/>
  <c r="AE1554" i="2" s="1"/>
  <c r="BY1531" i="2"/>
  <c r="CP1531" i="2" s="1"/>
  <c r="BN1534" i="2"/>
  <c r="CE1534" i="2" s="1"/>
  <c r="BC1564" i="2"/>
  <c r="BD1564" i="2" s="1"/>
  <c r="BI1564" i="2" s="1"/>
  <c r="BA1522" i="2"/>
  <c r="BB1522" i="2" s="1"/>
  <c r="BH1522" i="2" s="1"/>
  <c r="CA1525" i="2"/>
  <c r="CR1525" i="2" s="1"/>
  <c r="BP1562" i="2"/>
  <c r="CG1562" i="2" s="1"/>
  <c r="AK1524" i="2"/>
  <c r="AL1524" i="2" s="1"/>
  <c r="AT1524" i="2" s="1"/>
  <c r="G1551" i="2"/>
  <c r="Y1551" i="2" s="1"/>
  <c r="M1509" i="2"/>
  <c r="AE1509" i="2" s="1"/>
  <c r="BV1553" i="2"/>
  <c r="CM1553" i="2" s="1"/>
  <c r="L1565" i="2"/>
  <c r="AD1565" i="2" s="1"/>
  <c r="M1530" i="2"/>
  <c r="AE1530" i="2" s="1"/>
  <c r="K1525" i="2"/>
  <c r="AC1525" i="2" s="1"/>
  <c r="BS1508" i="2"/>
  <c r="CJ1508" i="2" s="1"/>
  <c r="O1522" i="2"/>
  <c r="AG1522" i="2" s="1"/>
  <c r="CA1550" i="2"/>
  <c r="CR1550" i="2" s="1"/>
  <c r="F1561" i="2"/>
  <c r="X1561" i="2" s="1"/>
  <c r="G1521" i="2"/>
  <c r="Y1521" i="2" s="1"/>
  <c r="BO1512" i="2"/>
  <c r="CF1512" i="2" s="1"/>
  <c r="BU1560" i="2"/>
  <c r="CL1560" i="2" s="1"/>
  <c r="L1545" i="2"/>
  <c r="AD1545" i="2" s="1"/>
  <c r="CA1510" i="2"/>
  <c r="CR1510" i="2" s="1"/>
  <c r="BE1543" i="2"/>
  <c r="BF1543" i="2" s="1"/>
  <c r="BJ1543" i="2" s="1"/>
  <c r="AQ1530" i="2"/>
  <c r="AR1530" i="2" s="1"/>
  <c r="AW1530" i="2" s="1"/>
  <c r="O1555" i="2"/>
  <c r="AG1555" i="2" s="1"/>
  <c r="Q1524" i="2"/>
  <c r="AI1524" i="2" s="1"/>
  <c r="C1560" i="2"/>
  <c r="U1560" i="2" s="1"/>
  <c r="BX1537" i="2"/>
  <c r="CO1537" i="2" s="1"/>
  <c r="R1559" i="2"/>
  <c r="AJ1559" i="2" s="1"/>
  <c r="Q1515" i="2"/>
  <c r="AI1515" i="2" s="1"/>
  <c r="K1523" i="2"/>
  <c r="AC1523" i="2" s="1"/>
  <c r="Q1533" i="2"/>
  <c r="AI1533" i="2" s="1"/>
  <c r="E1516" i="2"/>
  <c r="W1516" i="2" s="1"/>
  <c r="AO1539" i="2"/>
  <c r="AP1539" i="2" s="1"/>
  <c r="AV1539" i="2" s="1"/>
  <c r="BZ1522" i="2"/>
  <c r="CQ1522" i="2" s="1"/>
  <c r="M1552" i="2"/>
  <c r="AE1552" i="2" s="1"/>
  <c r="P1530" i="2"/>
  <c r="AH1530" i="2" s="1"/>
  <c r="AK1557" i="2"/>
  <c r="AL1557" i="2" s="1"/>
  <c r="AT1557" i="2" s="1"/>
  <c r="P1546" i="2"/>
  <c r="AH1546" i="2" s="1"/>
  <c r="I1559" i="2"/>
  <c r="AA1559" i="2" s="1"/>
  <c r="BC1523" i="2"/>
  <c r="BD1523" i="2" s="1"/>
  <c r="BI1523" i="2" s="1"/>
  <c r="BV1555" i="2"/>
  <c r="CM1555" i="2" s="1"/>
  <c r="BM1547" i="2"/>
  <c r="CD1547" i="2" s="1"/>
  <c r="BL1554" i="2"/>
  <c r="CC1554" i="2" s="1"/>
  <c r="AK1532" i="2"/>
  <c r="AL1532" i="2" s="1"/>
  <c r="AT1532" i="2" s="1"/>
  <c r="AO1525" i="2"/>
  <c r="AP1525" i="2" s="1"/>
  <c r="AV1525" i="2" s="1"/>
  <c r="G1534" i="2"/>
  <c r="Y1534" i="2" s="1"/>
  <c r="AO1512" i="2"/>
  <c r="AP1512" i="2" s="1"/>
  <c r="AV1512" i="2" s="1"/>
  <c r="BL1515" i="2"/>
  <c r="CC1515" i="2" s="1"/>
  <c r="O1562" i="2"/>
  <c r="AG1562" i="2" s="1"/>
  <c r="AK1542" i="2"/>
  <c r="AL1542" i="2" s="1"/>
  <c r="AT1542" i="2" s="1"/>
  <c r="L1553" i="2"/>
  <c r="AD1553" i="2" s="1"/>
  <c r="BZ1533" i="2"/>
  <c r="CQ1533" i="2" s="1"/>
  <c r="CA1533" i="2"/>
  <c r="CR1533" i="2" s="1"/>
  <c r="AM1526" i="2"/>
  <c r="AN1526" i="2" s="1"/>
  <c r="AU1526" i="2" s="1"/>
  <c r="C1556" i="2"/>
  <c r="U1556" i="2" s="1"/>
  <c r="G1560" i="2"/>
  <c r="Y1560" i="2" s="1"/>
  <c r="G1536" i="2"/>
  <c r="Y1536" i="2" s="1"/>
  <c r="BS1527" i="2"/>
  <c r="CJ1527" i="2" s="1"/>
  <c r="BQ1511" i="2"/>
  <c r="CH1511" i="2" s="1"/>
  <c r="N1540" i="2"/>
  <c r="AF1540" i="2" s="1"/>
  <c r="BO1536" i="2"/>
  <c r="CF1536" i="2" s="1"/>
  <c r="BQ1559" i="2"/>
  <c r="CH1559" i="2" s="1"/>
  <c r="J1565" i="2"/>
  <c r="AB1565" i="2" s="1"/>
  <c r="BE1544" i="2"/>
  <c r="BF1544" i="2" s="1"/>
  <c r="BJ1544" i="2" s="1"/>
  <c r="M1519" i="2"/>
  <c r="AE1519" i="2" s="1"/>
  <c r="BX1526" i="2"/>
  <c r="CO1526" i="2" s="1"/>
  <c r="BN1538" i="2"/>
  <c r="CE1538" i="2" s="1"/>
  <c r="BX1538" i="2"/>
  <c r="CO1538" i="2" s="1"/>
  <c r="BL1559" i="2"/>
  <c r="CC1559" i="2" s="1"/>
  <c r="BO1530" i="2"/>
  <c r="CF1530" i="2" s="1"/>
  <c r="BA1516" i="2"/>
  <c r="BB1516" i="2" s="1"/>
  <c r="BH1516" i="2" s="1"/>
  <c r="BR1565" i="2"/>
  <c r="CI1565" i="2" s="1"/>
  <c r="K1537" i="2"/>
  <c r="AC1537" i="2" s="1"/>
  <c r="K1559" i="2"/>
  <c r="AC1559" i="2" s="1"/>
  <c r="BA1518" i="2"/>
  <c r="BB1518" i="2" s="1"/>
  <c r="BH1518" i="2" s="1"/>
  <c r="N1561" i="2"/>
  <c r="AF1561" i="2" s="1"/>
  <c r="G1537" i="2"/>
  <c r="Y1537" i="2" s="1"/>
  <c r="BM1555" i="2"/>
  <c r="CD1555" i="2" s="1"/>
  <c r="BL1552" i="2"/>
  <c r="CC1552" i="2" s="1"/>
  <c r="BY1534" i="2"/>
  <c r="CP1534" i="2" s="1"/>
  <c r="F1547" i="2"/>
  <c r="X1547" i="2" s="1"/>
  <c r="BZ1527" i="2"/>
  <c r="CQ1527" i="2" s="1"/>
  <c r="I1528" i="2"/>
  <c r="AA1528" i="2" s="1"/>
  <c r="I1524" i="2"/>
  <c r="AA1524" i="2" s="1"/>
  <c r="BS1561" i="2"/>
  <c r="CJ1561" i="2" s="1"/>
  <c r="C1543" i="2"/>
  <c r="U1543" i="2" s="1"/>
  <c r="F1528" i="2"/>
  <c r="X1528" i="2" s="1"/>
  <c r="BE1516" i="2"/>
  <c r="BF1516" i="2" s="1"/>
  <c r="BJ1516" i="2" s="1"/>
  <c r="CA1547" i="2"/>
  <c r="CR1547" i="2" s="1"/>
  <c r="BZ1510" i="2"/>
  <c r="CQ1510" i="2" s="1"/>
  <c r="C1510" i="2"/>
  <c r="U1510" i="2" s="1"/>
  <c r="L1513" i="2"/>
  <c r="AD1513" i="2" s="1"/>
  <c r="BV1518" i="2"/>
  <c r="CM1518" i="2" s="1"/>
  <c r="L1515" i="2"/>
  <c r="AD1515" i="2" s="1"/>
  <c r="G1516" i="2"/>
  <c r="Y1516" i="2" s="1"/>
  <c r="AK1539" i="2"/>
  <c r="AL1539" i="2" s="1"/>
  <c r="AT1539" i="2" s="1"/>
  <c r="L1522" i="2"/>
  <c r="AD1522" i="2" s="1"/>
  <c r="BE1509" i="2"/>
  <c r="BF1509" i="2" s="1"/>
  <c r="BJ1509" i="2" s="1"/>
  <c r="BU1561" i="2"/>
  <c r="CL1561" i="2" s="1"/>
  <c r="E1560" i="2"/>
  <c r="W1560" i="2" s="1"/>
  <c r="BR1546" i="2"/>
  <c r="CI1546" i="2" s="1"/>
  <c r="Q1530" i="2"/>
  <c r="AI1530" i="2" s="1"/>
  <c r="BZ1536" i="2"/>
  <c r="CQ1536" i="2" s="1"/>
  <c r="BX1540" i="2"/>
  <c r="CO1540" i="2" s="1"/>
  <c r="E1541" i="2"/>
  <c r="W1541" i="2" s="1"/>
  <c r="L1521" i="2"/>
  <c r="AD1521" i="2" s="1"/>
  <c r="BU1544" i="2"/>
  <c r="CL1544" i="2" s="1"/>
  <c r="BL1556" i="2"/>
  <c r="CC1556" i="2" s="1"/>
  <c r="M1533" i="2"/>
  <c r="AE1533" i="2" s="1"/>
  <c r="J1518" i="2"/>
  <c r="AB1518" i="2" s="1"/>
  <c r="O1518" i="2"/>
  <c r="AG1518" i="2" s="1"/>
  <c r="L1532" i="2"/>
  <c r="AD1532" i="2" s="1"/>
  <c r="M1521" i="2"/>
  <c r="AE1521" i="2" s="1"/>
  <c r="BV1561" i="2"/>
  <c r="CM1561" i="2" s="1"/>
  <c r="G1511" i="2"/>
  <c r="Y1511" i="2" s="1"/>
  <c r="BP1510" i="2"/>
  <c r="CG1510" i="2" s="1"/>
  <c r="BN1542" i="2"/>
  <c r="CE1542" i="2" s="1"/>
  <c r="BR1552" i="2"/>
  <c r="CI1552" i="2" s="1"/>
  <c r="BQ1546" i="2"/>
  <c r="CH1546" i="2" s="1"/>
  <c r="F1535" i="2"/>
  <c r="X1535" i="2" s="1"/>
  <c r="BO1542" i="2"/>
  <c r="CF1542" i="2" s="1"/>
  <c r="I1514" i="2"/>
  <c r="AA1514" i="2" s="1"/>
  <c r="AO1524" i="2"/>
  <c r="AP1524" i="2" s="1"/>
  <c r="AV1524" i="2" s="1"/>
  <c r="O1525" i="2"/>
  <c r="AG1525" i="2" s="1"/>
  <c r="BU1553" i="2"/>
  <c r="CL1553" i="2" s="1"/>
  <c r="K1515" i="2"/>
  <c r="AC1515" i="2" s="1"/>
  <c r="BZ1538" i="2"/>
  <c r="CQ1538" i="2" s="1"/>
  <c r="BW1513" i="2"/>
  <c r="CN1513" i="2" s="1"/>
  <c r="R1561" i="2"/>
  <c r="AJ1561" i="2" s="1"/>
  <c r="R1519" i="2"/>
  <c r="AJ1519" i="2" s="1"/>
  <c r="AO1534" i="2"/>
  <c r="AP1534" i="2" s="1"/>
  <c r="AV1534" i="2" s="1"/>
  <c r="AY1516" i="2"/>
  <c r="AZ1516" i="2" s="1"/>
  <c r="BG1516" i="2" s="1"/>
  <c r="AQ1536" i="2"/>
  <c r="AR1536" i="2" s="1"/>
  <c r="AW1536" i="2" s="1"/>
  <c r="C1508" i="2"/>
  <c r="U1508" i="2" s="1"/>
  <c r="C1672" i="2"/>
  <c r="G1669" i="2"/>
  <c r="BU1736" i="2"/>
  <c r="BU1734" i="2"/>
  <c r="BU1740" i="2"/>
  <c r="BU1747" i="2"/>
  <c r="BU1756" i="2"/>
  <c r="BU1732" i="2"/>
  <c r="BU1742" i="2"/>
  <c r="BU1746" i="2"/>
  <c r="BU1758" i="2"/>
  <c r="BU1737" i="2"/>
  <c r="BU1739" i="2"/>
  <c r="BU1753" i="2"/>
  <c r="BU1757" i="2"/>
  <c r="BU1743" i="2"/>
  <c r="BU1733" i="2"/>
  <c r="BU1741" i="2"/>
  <c r="BU1750" i="2"/>
  <c r="BU1749" i="2"/>
  <c r="BU1735" i="2"/>
  <c r="BU1745" i="2"/>
  <c r="BU1751" i="2"/>
  <c r="BU1755" i="2"/>
  <c r="BU1738" i="2"/>
  <c r="BU1748" i="2"/>
  <c r="BU1731" i="2"/>
  <c r="BU1752" i="2"/>
  <c r="BU1754" i="2"/>
  <c r="BU1744" i="2"/>
  <c r="B1675" i="2"/>
  <c r="E1666" i="2"/>
  <c r="H1726" i="2"/>
  <c r="BQ1500" i="2"/>
  <c r="BX1505" i="2" s="1"/>
  <c r="CO1505" i="2" s="1"/>
  <c r="B1601" i="2"/>
  <c r="D1415" i="2" s="1"/>
  <c r="B1415" i="2" s="1"/>
  <c r="B1592" i="2"/>
  <c r="D1406" i="2" s="1"/>
  <c r="B1406" i="2" s="1"/>
  <c r="B1588" i="2"/>
  <c r="D1402" i="2" s="1"/>
  <c r="B1402" i="2" s="1"/>
  <c r="BT1734" i="2"/>
  <c r="BT1733" i="2"/>
  <c r="BT1737" i="2"/>
  <c r="BT1745" i="2"/>
  <c r="BT1754" i="2"/>
  <c r="BT1732" i="2"/>
  <c r="BT1742" i="2"/>
  <c r="BT1746" i="2"/>
  <c r="BT1758" i="2"/>
  <c r="BT1751" i="2"/>
  <c r="BT1755" i="2"/>
  <c r="BT1735" i="2"/>
  <c r="BT1744" i="2"/>
  <c r="BT1743" i="2"/>
  <c r="BT1752" i="2"/>
  <c r="BT1736" i="2"/>
  <c r="BT1731" i="2"/>
  <c r="BT1741" i="2"/>
  <c r="BT1748" i="2"/>
  <c r="BT1749" i="2"/>
  <c r="BT1739" i="2"/>
  <c r="BT1753" i="2"/>
  <c r="BT1738" i="2"/>
  <c r="BT1756" i="2"/>
  <c r="BT1747" i="2"/>
  <c r="BT1740" i="2"/>
  <c r="BT1757" i="2"/>
  <c r="BT1750" i="2"/>
  <c r="E1672" i="2"/>
  <c r="R1402" i="2"/>
  <c r="L1382" i="2"/>
  <c r="R1382" i="2" s="1"/>
  <c r="J1725" i="2"/>
  <c r="BS1499" i="2"/>
  <c r="BV1505" i="2" s="1"/>
  <c r="CM1505" i="2" s="1"/>
  <c r="B1585" i="2"/>
  <c r="D1399" i="2" s="1"/>
  <c r="B1399" i="2" s="1"/>
  <c r="B1583" i="2"/>
  <c r="D1397" i="2" s="1"/>
  <c r="B1397" i="2" s="1"/>
  <c r="B1577" i="2"/>
  <c r="D1391" i="2" s="1"/>
  <c r="B1391" i="2" s="1"/>
  <c r="D1672" i="2"/>
  <c r="H1725" i="2"/>
  <c r="BQ1499" i="2"/>
  <c r="BT1505" i="2" s="1"/>
  <c r="CK1505" i="2" s="1"/>
  <c r="J1726" i="2"/>
  <c r="BS1500" i="2"/>
  <c r="BZ1505" i="2" s="1"/>
  <c r="CQ1505" i="2" s="1"/>
  <c r="N1696" i="2"/>
  <c r="K1701" i="2" s="1"/>
  <c r="AJ13" i="15" s="1"/>
  <c r="AB54" i="15" s="1"/>
  <c r="BS1731" i="2"/>
  <c r="BS1732" i="2"/>
  <c r="BS1739" i="2"/>
  <c r="BS1743" i="2"/>
  <c r="BS1752" i="2"/>
  <c r="BS1751" i="2"/>
  <c r="BS1755" i="2"/>
  <c r="BS1733" i="2"/>
  <c r="BS1738" i="2"/>
  <c r="BS1741" i="2"/>
  <c r="BS1750" i="2"/>
  <c r="BS1740" i="2"/>
  <c r="BS1736" i="2"/>
  <c r="BS1747" i="2"/>
  <c r="BS1756" i="2"/>
  <c r="BS1746" i="2"/>
  <c r="BS1735" i="2"/>
  <c r="BS1744" i="2"/>
  <c r="BS1749" i="2"/>
  <c r="BS1753" i="2"/>
  <c r="BS1742" i="2"/>
  <c r="BS1745" i="2"/>
  <c r="BS1734" i="2"/>
  <c r="BS1748" i="2"/>
  <c r="BS1737" i="2"/>
  <c r="BS1757" i="2"/>
  <c r="BS1754" i="2"/>
  <c r="BS1758" i="2"/>
  <c r="B1607" i="2"/>
  <c r="D1421" i="2" s="1"/>
  <c r="B1421" i="2" s="1"/>
  <c r="B1581" i="2"/>
  <c r="D1395" i="2" s="1"/>
  <c r="B1395" i="2" s="1"/>
  <c r="B1578" i="2"/>
  <c r="D1392" i="2" s="1"/>
  <c r="B1392" i="2" s="1"/>
  <c r="B1605" i="2"/>
  <c r="D1419" i="2" s="1"/>
  <c r="B1419" i="2" s="1"/>
  <c r="B1584" i="2"/>
  <c r="D1398" i="2" s="1"/>
  <c r="B1398" i="2" s="1"/>
  <c r="B1589" i="2"/>
  <c r="D1403" i="2" s="1"/>
  <c r="B1403" i="2" s="1"/>
  <c r="B1596" i="2"/>
  <c r="D1410" i="2" s="1"/>
  <c r="B1410" i="2" s="1"/>
  <c r="F1428" i="2"/>
  <c r="P1418" i="2"/>
  <c r="O1418" i="2" s="1"/>
  <c r="R1401" i="2"/>
  <c r="Y1387" i="2" l="1"/>
  <c r="K1370" i="2" s="1"/>
  <c r="N1370" i="2" s="1"/>
  <c r="R1370" i="2" s="1"/>
  <c r="S1370" i="2" s="1"/>
  <c r="Z1387" i="2"/>
  <c r="K1371" i="2" s="1"/>
  <c r="I1485" i="2"/>
  <c r="I1486" i="2" s="1"/>
  <c r="I1487" i="2" s="1"/>
  <c r="I1488" i="2" s="1"/>
  <c r="V1387" i="2"/>
  <c r="V34" i="15" s="1"/>
  <c r="AA34" i="15"/>
  <c r="G1485" i="2"/>
  <c r="G1486" i="2" s="1"/>
  <c r="G1487" i="2" s="1"/>
  <c r="G1488" i="2" s="1"/>
  <c r="H1485" i="2"/>
  <c r="H1486" i="2" s="1"/>
  <c r="H1487" i="2" s="1"/>
  <c r="H1488" i="2" s="1"/>
  <c r="AA1388" i="2"/>
  <c r="Z1404" i="2" a="1"/>
  <c r="Z1404" i="2" s="1"/>
  <c r="V1401" i="2"/>
  <c r="V1399" i="2" s="1"/>
  <c r="Y1404" i="2" a="1"/>
  <c r="Y1404" i="2" s="1"/>
  <c r="W1404" i="2" a="1"/>
  <c r="W1404" i="2" s="1"/>
  <c r="V1404" i="2"/>
  <c r="W1401" i="2"/>
  <c r="W1399" i="2" s="1"/>
  <c r="L1368" i="2" s="1"/>
  <c r="N1368" i="2" s="1"/>
  <c r="R1368" i="2" s="1"/>
  <c r="B1463" i="2" s="1"/>
  <c r="A1463" i="2" s="1"/>
  <c r="X1404" i="2" a="1"/>
  <c r="X1404" i="2" s="1"/>
  <c r="Z1401" i="2"/>
  <c r="Z1399" i="2" s="1"/>
  <c r="L1371" i="2" s="1"/>
  <c r="X1401" i="2"/>
  <c r="X1399" i="2" s="1"/>
  <c r="L1369" i="2" s="1"/>
  <c r="N1369" i="2" s="1"/>
  <c r="R1369" i="2" s="1"/>
  <c r="S1369" i="2" s="1"/>
  <c r="AB1654" i="2" s="1"/>
  <c r="AF1654" i="2" s="1"/>
  <c r="P1701" i="2"/>
  <c r="AJ23" i="15" s="1"/>
  <c r="V54" i="15" s="1"/>
  <c r="A1510" i="2"/>
  <c r="L1392" i="2" s="1"/>
  <c r="I1392" i="2" s="1"/>
  <c r="A1557" i="2"/>
  <c r="L1439" i="2" s="1"/>
  <c r="I1439" i="2" s="1"/>
  <c r="A1563" i="2"/>
  <c r="L1445" i="2" s="1"/>
  <c r="I1445" i="2" s="1"/>
  <c r="A1542" i="2"/>
  <c r="L1424" i="2" s="1"/>
  <c r="I1424" i="2" s="1"/>
  <c r="L1381" i="2"/>
  <c r="R1381" i="2" s="1"/>
  <c r="A1560" i="2"/>
  <c r="L1442" i="2" s="1"/>
  <c r="I1442" i="2" s="1"/>
  <c r="A1531" i="2"/>
  <c r="L1413" i="2" s="1"/>
  <c r="I1413" i="2" s="1"/>
  <c r="A1553" i="2"/>
  <c r="L1435" i="2" s="1"/>
  <c r="I1435" i="2" s="1"/>
  <c r="A1552" i="2"/>
  <c r="L1434" i="2" s="1"/>
  <c r="I1434" i="2" s="1"/>
  <c r="A1522" i="2"/>
  <c r="L1404" i="2" s="1"/>
  <c r="I1404" i="2" s="1"/>
  <c r="A1558" i="2"/>
  <c r="L1440" i="2" s="1"/>
  <c r="I1440" i="2" s="1"/>
  <c r="A1529" i="2"/>
  <c r="L1411" i="2" s="1"/>
  <c r="I1411" i="2" s="1"/>
  <c r="A1549" i="2"/>
  <c r="L1431" i="2" s="1"/>
  <c r="I1431" i="2" s="1"/>
  <c r="A1526" i="2"/>
  <c r="L1408" i="2" s="1"/>
  <c r="I1408" i="2" s="1"/>
  <c r="A1554" i="2"/>
  <c r="L1436" i="2" s="1"/>
  <c r="I1436" i="2" s="1"/>
  <c r="G1731" i="2"/>
  <c r="Y1731" i="2" s="1"/>
  <c r="K1732" i="2"/>
  <c r="AC1732" i="2" s="1"/>
  <c r="H1733" i="2"/>
  <c r="Z1733" i="2" s="1"/>
  <c r="P1733" i="2"/>
  <c r="AH1733" i="2" s="1"/>
  <c r="D1734" i="2"/>
  <c r="V1734" i="2" s="1"/>
  <c r="L1734" i="2"/>
  <c r="AD1734" i="2" s="1"/>
  <c r="I1735" i="2"/>
  <c r="AA1735" i="2" s="1"/>
  <c r="Q1735" i="2"/>
  <c r="AI1735" i="2" s="1"/>
  <c r="E1736" i="2"/>
  <c r="W1736" i="2" s="1"/>
  <c r="M1736" i="2"/>
  <c r="AE1736" i="2" s="1"/>
  <c r="J1737" i="2"/>
  <c r="AB1737" i="2" s="1"/>
  <c r="R1737" i="2"/>
  <c r="AJ1737" i="2" s="1"/>
  <c r="F1738" i="2"/>
  <c r="X1738" i="2" s="1"/>
  <c r="N1738" i="2"/>
  <c r="AF1738" i="2" s="1"/>
  <c r="C1739" i="2"/>
  <c r="U1739" i="2" s="1"/>
  <c r="K1739" i="2"/>
  <c r="AC1739" i="2" s="1"/>
  <c r="G1740" i="2"/>
  <c r="Y1740" i="2" s="1"/>
  <c r="O1740" i="2"/>
  <c r="AG1740" i="2" s="1"/>
  <c r="M1731" i="2"/>
  <c r="AE1731" i="2" s="1"/>
  <c r="E1732" i="2"/>
  <c r="W1732" i="2" s="1"/>
  <c r="N1732" i="2"/>
  <c r="AF1732" i="2" s="1"/>
  <c r="G1733" i="2"/>
  <c r="Y1733" i="2" s="1"/>
  <c r="Q1733" i="2"/>
  <c r="AI1733" i="2" s="1"/>
  <c r="I1734" i="2"/>
  <c r="AA1734" i="2" s="1"/>
  <c r="R1734" i="2"/>
  <c r="AJ1734" i="2" s="1"/>
  <c r="C1735" i="2"/>
  <c r="U1735" i="2" s="1"/>
  <c r="L1735" i="2"/>
  <c r="AD1735" i="2" s="1"/>
  <c r="D1736" i="2"/>
  <c r="V1736" i="2" s="1"/>
  <c r="N1736" i="2"/>
  <c r="AF1736" i="2" s="1"/>
  <c r="G1737" i="2"/>
  <c r="Y1737" i="2" s="1"/>
  <c r="P1737" i="2"/>
  <c r="AH1737" i="2" s="1"/>
  <c r="I1738" i="2"/>
  <c r="AA1738" i="2" s="1"/>
  <c r="R1738" i="2"/>
  <c r="AJ1738" i="2" s="1"/>
  <c r="G1732" i="2"/>
  <c r="Y1732" i="2" s="1"/>
  <c r="Q1732" i="2"/>
  <c r="AI1732" i="2" s="1"/>
  <c r="E1733" i="2"/>
  <c r="W1733" i="2" s="1"/>
  <c r="O1733" i="2"/>
  <c r="AG1733" i="2" s="1"/>
  <c r="C1734" i="2"/>
  <c r="U1734" i="2" s="1"/>
  <c r="N1734" i="2"/>
  <c r="AF1734" i="2" s="1"/>
  <c r="M1735" i="2"/>
  <c r="AE1735" i="2" s="1"/>
  <c r="J1736" i="2"/>
  <c r="AB1736" i="2" s="1"/>
  <c r="E1731" i="2"/>
  <c r="W1731" i="2" s="1"/>
  <c r="J1731" i="2"/>
  <c r="AB1731" i="2" s="1"/>
  <c r="R1731" i="2"/>
  <c r="AJ1731" i="2" s="1"/>
  <c r="M1732" i="2"/>
  <c r="AE1732" i="2" s="1"/>
  <c r="L1733" i="2"/>
  <c r="AD1733" i="2" s="1"/>
  <c r="J1734" i="2"/>
  <c r="AB1734" i="2" s="1"/>
  <c r="H1735" i="2"/>
  <c r="Z1735" i="2" s="1"/>
  <c r="G1736" i="2"/>
  <c r="Y1736" i="2" s="1"/>
  <c r="Q1736" i="2"/>
  <c r="AI1736" i="2" s="1"/>
  <c r="E1737" i="2"/>
  <c r="W1737" i="2" s="1"/>
  <c r="O1737" i="2"/>
  <c r="AG1737" i="2" s="1"/>
  <c r="C1738" i="2"/>
  <c r="U1738" i="2" s="1"/>
  <c r="M1738" i="2"/>
  <c r="AE1738" i="2" s="1"/>
  <c r="H1739" i="2"/>
  <c r="Z1739" i="2" s="1"/>
  <c r="Q1739" i="2"/>
  <c r="AI1739" i="2" s="1"/>
  <c r="J1740" i="2"/>
  <c r="AB1740" i="2" s="1"/>
  <c r="C1741" i="2"/>
  <c r="U1741" i="2" s="1"/>
  <c r="K1741" i="2"/>
  <c r="AC1741" i="2" s="1"/>
  <c r="G1742" i="2"/>
  <c r="Y1742" i="2" s="1"/>
  <c r="O1742" i="2"/>
  <c r="AG1742" i="2" s="1"/>
  <c r="D1743" i="2"/>
  <c r="V1743" i="2" s="1"/>
  <c r="L1743" i="2"/>
  <c r="AD1743" i="2" s="1"/>
  <c r="H1744" i="2"/>
  <c r="Z1744" i="2" s="1"/>
  <c r="P1744" i="2"/>
  <c r="AH1744" i="2" s="1"/>
  <c r="E1745" i="2"/>
  <c r="W1745" i="2" s="1"/>
  <c r="M1745" i="2"/>
  <c r="AE1745" i="2" s="1"/>
  <c r="I1746" i="2"/>
  <c r="AA1746" i="2" s="1"/>
  <c r="Q1746" i="2"/>
  <c r="AI1746" i="2" s="1"/>
  <c r="F1747" i="2"/>
  <c r="X1747" i="2" s="1"/>
  <c r="N1747" i="2"/>
  <c r="AF1747" i="2" s="1"/>
  <c r="J1748" i="2"/>
  <c r="AB1748" i="2" s="1"/>
  <c r="R1748" i="2"/>
  <c r="AJ1748" i="2" s="1"/>
  <c r="G1749" i="2"/>
  <c r="Y1749" i="2" s="1"/>
  <c r="O1749" i="2"/>
  <c r="AG1749" i="2" s="1"/>
  <c r="J1750" i="2"/>
  <c r="AB1750" i="2" s="1"/>
  <c r="R1750" i="2"/>
  <c r="AJ1750" i="2" s="1"/>
  <c r="G1751" i="2"/>
  <c r="Y1751" i="2" s="1"/>
  <c r="O1751" i="2"/>
  <c r="AG1751" i="2" s="1"/>
  <c r="C1752" i="2"/>
  <c r="U1752" i="2" s="1"/>
  <c r="K1752" i="2"/>
  <c r="AC1752" i="2" s="1"/>
  <c r="H1753" i="2"/>
  <c r="Z1753" i="2" s="1"/>
  <c r="P1753" i="2"/>
  <c r="AH1753" i="2" s="1"/>
  <c r="D1754" i="2"/>
  <c r="V1754" i="2" s="1"/>
  <c r="L1754" i="2"/>
  <c r="AD1754" i="2" s="1"/>
  <c r="I1755" i="2"/>
  <c r="AA1755" i="2" s="1"/>
  <c r="Q1755" i="2"/>
  <c r="AI1755" i="2" s="1"/>
  <c r="E1756" i="2"/>
  <c r="W1756" i="2" s="1"/>
  <c r="M1756" i="2"/>
  <c r="AE1756" i="2" s="1"/>
  <c r="J1757" i="2"/>
  <c r="AB1757" i="2" s="1"/>
  <c r="R1757" i="2"/>
  <c r="AJ1757" i="2" s="1"/>
  <c r="H1731" i="2"/>
  <c r="Z1731" i="2" s="1"/>
  <c r="L1731" i="2"/>
  <c r="AD1731" i="2" s="1"/>
  <c r="H1732" i="2"/>
  <c r="Z1732" i="2" s="1"/>
  <c r="F1733" i="2"/>
  <c r="X1733" i="2" s="1"/>
  <c r="E1734" i="2"/>
  <c r="W1734" i="2" s="1"/>
  <c r="Q1734" i="2"/>
  <c r="AI1734" i="2" s="1"/>
  <c r="D1735" i="2"/>
  <c r="V1735" i="2" s="1"/>
  <c r="P1735" i="2"/>
  <c r="AH1735" i="2" s="1"/>
  <c r="O1736" i="2"/>
  <c r="AG1736" i="2" s="1"/>
  <c r="H1737" i="2"/>
  <c r="Z1737" i="2" s="1"/>
  <c r="K1738" i="2"/>
  <c r="AC1738" i="2" s="1"/>
  <c r="L1739" i="2"/>
  <c r="AD1739" i="2" s="1"/>
  <c r="I1740" i="2"/>
  <c r="AA1740" i="2" s="1"/>
  <c r="G1741" i="2"/>
  <c r="Y1741" i="2" s="1"/>
  <c r="P1741" i="2"/>
  <c r="AH1741" i="2" s="1"/>
  <c r="I1742" i="2"/>
  <c r="AA1742" i="2" s="1"/>
  <c r="R1742" i="2"/>
  <c r="AJ1742" i="2" s="1"/>
  <c r="K1743" i="2"/>
  <c r="AC1743" i="2" s="1"/>
  <c r="D1744" i="2"/>
  <c r="V1744" i="2" s="1"/>
  <c r="M1744" i="2"/>
  <c r="AE1744" i="2" s="1"/>
  <c r="G1745" i="2"/>
  <c r="Y1745" i="2" s="1"/>
  <c r="P1745" i="2"/>
  <c r="AH1745" i="2" s="1"/>
  <c r="H1746" i="2"/>
  <c r="Z1746" i="2" s="1"/>
  <c r="R1746" i="2"/>
  <c r="AJ1746" i="2" s="1"/>
  <c r="K1747" i="2"/>
  <c r="AC1747" i="2" s="1"/>
  <c r="D1748" i="2"/>
  <c r="V1748" i="2" s="1"/>
  <c r="M1748" i="2"/>
  <c r="AE1748" i="2" s="1"/>
  <c r="F1749" i="2"/>
  <c r="X1749" i="2" s="1"/>
  <c r="P1749" i="2"/>
  <c r="AH1749" i="2" s="1"/>
  <c r="F1750" i="2"/>
  <c r="X1750" i="2" s="1"/>
  <c r="O1750" i="2"/>
  <c r="AG1750" i="2" s="1"/>
  <c r="I1751" i="2"/>
  <c r="AA1751" i="2" s="1"/>
  <c r="R1751" i="2"/>
  <c r="AJ1751" i="2" s="1"/>
  <c r="J1752" i="2"/>
  <c r="AB1752" i="2" s="1"/>
  <c r="D1753" i="2"/>
  <c r="V1753" i="2" s="1"/>
  <c r="M1753" i="2"/>
  <c r="AE1753" i="2" s="1"/>
  <c r="F1754" i="2"/>
  <c r="X1754" i="2" s="1"/>
  <c r="O1754" i="2"/>
  <c r="AG1754" i="2" s="1"/>
  <c r="H1755" i="2"/>
  <c r="Z1755" i="2" s="1"/>
  <c r="R1755" i="2"/>
  <c r="AJ1755" i="2" s="1"/>
  <c r="J1756" i="2"/>
  <c r="AB1756" i="2" s="1"/>
  <c r="D1757" i="2"/>
  <c r="V1757" i="2" s="1"/>
  <c r="M1757" i="2"/>
  <c r="AE1757" i="2" s="1"/>
  <c r="D1758" i="2"/>
  <c r="V1758" i="2" s="1"/>
  <c r="L1758" i="2"/>
  <c r="AD1758" i="2" s="1"/>
  <c r="P1731" i="2"/>
  <c r="AH1731" i="2" s="1"/>
  <c r="I1732" i="2"/>
  <c r="AA1732" i="2" s="1"/>
  <c r="I1733" i="2"/>
  <c r="AA1733" i="2" s="1"/>
  <c r="F1734" i="2"/>
  <c r="X1734" i="2" s="1"/>
  <c r="E1735" i="2"/>
  <c r="W1735" i="2" s="1"/>
  <c r="R1735" i="2"/>
  <c r="AJ1735" i="2" s="1"/>
  <c r="P1736" i="2"/>
  <c r="AH1736" i="2" s="1"/>
  <c r="I1737" i="2"/>
  <c r="AA1737" i="2" s="1"/>
  <c r="L1738" i="2"/>
  <c r="AD1738" i="2" s="1"/>
  <c r="M1739" i="2"/>
  <c r="AE1739" i="2" s="1"/>
  <c r="K1740" i="2"/>
  <c r="AC1740" i="2" s="1"/>
  <c r="H1741" i="2"/>
  <c r="Z1741" i="2" s="1"/>
  <c r="Q1741" i="2"/>
  <c r="AI1741" i="2" s="1"/>
  <c r="J1742" i="2"/>
  <c r="AB1742" i="2" s="1"/>
  <c r="C1743" i="2"/>
  <c r="U1743" i="2" s="1"/>
  <c r="M1743" i="2"/>
  <c r="AE1743" i="2" s="1"/>
  <c r="E1744" i="2"/>
  <c r="W1744" i="2" s="1"/>
  <c r="N1744" i="2"/>
  <c r="AF1744" i="2" s="1"/>
  <c r="H1745" i="2"/>
  <c r="Z1745" i="2" s="1"/>
  <c r="Q1745" i="2"/>
  <c r="AI1745" i="2" s="1"/>
  <c r="J1746" i="2"/>
  <c r="AB1746" i="2" s="1"/>
  <c r="C1747" i="2"/>
  <c r="U1747" i="2" s="1"/>
  <c r="L1747" i="2"/>
  <c r="AD1747" i="2" s="1"/>
  <c r="E1748" i="2"/>
  <c r="W1748" i="2" s="1"/>
  <c r="N1748" i="2"/>
  <c r="AF1748" i="2" s="1"/>
  <c r="H1749" i="2"/>
  <c r="Z1749" i="2" s="1"/>
  <c r="Q1749" i="2"/>
  <c r="AI1749" i="2" s="1"/>
  <c r="G1750" i="2"/>
  <c r="Y1750" i="2" s="1"/>
  <c r="P1750" i="2"/>
  <c r="AH1750" i="2" s="1"/>
  <c r="J1751" i="2"/>
  <c r="AB1751" i="2" s="1"/>
  <c r="L1752" i="2"/>
  <c r="AD1752" i="2" s="1"/>
  <c r="E1753" i="2"/>
  <c r="W1753" i="2" s="1"/>
  <c r="N1753" i="2"/>
  <c r="AF1753" i="2" s="1"/>
  <c r="G1754" i="2"/>
  <c r="Y1754" i="2" s="1"/>
  <c r="P1754" i="2"/>
  <c r="AH1754" i="2" s="1"/>
  <c r="J1755" i="2"/>
  <c r="AB1755" i="2" s="1"/>
  <c r="K1756" i="2"/>
  <c r="AC1756" i="2" s="1"/>
  <c r="E1757" i="2"/>
  <c r="W1757" i="2" s="1"/>
  <c r="N1757" i="2"/>
  <c r="AF1757" i="2" s="1"/>
  <c r="E1758" i="2"/>
  <c r="W1758" i="2" s="1"/>
  <c r="M1758" i="2"/>
  <c r="AE1758" i="2" s="1"/>
  <c r="D1731" i="2"/>
  <c r="V1731" i="2" s="1"/>
  <c r="N1731" i="2"/>
  <c r="AF1731" i="2" s="1"/>
  <c r="O1732" i="2"/>
  <c r="AG1732" i="2" s="1"/>
  <c r="M1733" i="2"/>
  <c r="AE1733" i="2" s="1"/>
  <c r="K1734" i="2"/>
  <c r="AC1734" i="2" s="1"/>
  <c r="J1735" i="2"/>
  <c r="AB1735" i="2" s="1"/>
  <c r="H1736" i="2"/>
  <c r="Z1736" i="2" s="1"/>
  <c r="M1737" i="2"/>
  <c r="AE1737" i="2" s="1"/>
  <c r="E1738" i="2"/>
  <c r="W1738" i="2" s="1"/>
  <c r="Q1738" i="2"/>
  <c r="AI1738" i="2" s="1"/>
  <c r="F1739" i="2"/>
  <c r="X1739" i="2" s="1"/>
  <c r="P1739" i="2"/>
  <c r="AH1739" i="2" s="1"/>
  <c r="D1740" i="2"/>
  <c r="V1740" i="2" s="1"/>
  <c r="N1740" i="2"/>
  <c r="AF1740" i="2" s="1"/>
  <c r="L1741" i="2"/>
  <c r="AD1741" i="2" s="1"/>
  <c r="D1742" i="2"/>
  <c r="V1742" i="2" s="1"/>
  <c r="M1742" i="2"/>
  <c r="AE1742" i="2" s="1"/>
  <c r="G1743" i="2"/>
  <c r="Y1743" i="2" s="1"/>
  <c r="P1743" i="2"/>
  <c r="AH1743" i="2" s="1"/>
  <c r="I1744" i="2"/>
  <c r="AA1744" i="2" s="1"/>
  <c r="R1744" i="2"/>
  <c r="AJ1744" i="2" s="1"/>
  <c r="K1745" i="2"/>
  <c r="AC1745" i="2" s="1"/>
  <c r="D1746" i="2"/>
  <c r="V1746" i="2" s="1"/>
  <c r="M1746" i="2"/>
  <c r="AE1746" i="2" s="1"/>
  <c r="G1747" i="2"/>
  <c r="Y1747" i="2" s="1"/>
  <c r="P1747" i="2"/>
  <c r="AH1747" i="2" s="1"/>
  <c r="D1732" i="2"/>
  <c r="V1732" i="2" s="1"/>
  <c r="R1732" i="2"/>
  <c r="AJ1732" i="2" s="1"/>
  <c r="C1733" i="2"/>
  <c r="U1733" i="2" s="1"/>
  <c r="R1733" i="2"/>
  <c r="AJ1733" i="2" s="1"/>
  <c r="O1734" i="2"/>
  <c r="AG1734" i="2" s="1"/>
  <c r="N1735" i="2"/>
  <c r="AF1735" i="2" s="1"/>
  <c r="K1736" i="2"/>
  <c r="AC1736" i="2" s="1"/>
  <c r="D1737" i="2"/>
  <c r="V1737" i="2" s="1"/>
  <c r="Q1737" i="2"/>
  <c r="AI1737" i="2" s="1"/>
  <c r="H1738" i="2"/>
  <c r="Z1738" i="2" s="1"/>
  <c r="I1739" i="2"/>
  <c r="AA1739" i="2" s="1"/>
  <c r="F1740" i="2"/>
  <c r="X1740" i="2" s="1"/>
  <c r="Q1740" i="2"/>
  <c r="AI1740" i="2" s="1"/>
  <c r="E1741" i="2"/>
  <c r="W1741" i="2" s="1"/>
  <c r="N1741" i="2"/>
  <c r="AF1741" i="2" s="1"/>
  <c r="F1742" i="2"/>
  <c r="X1742" i="2" s="1"/>
  <c r="P1742" i="2"/>
  <c r="AH1742" i="2" s="1"/>
  <c r="I1743" i="2"/>
  <c r="AA1743" i="2" s="1"/>
  <c r="R1743" i="2"/>
  <c r="AJ1743" i="2" s="1"/>
  <c r="K1744" i="2"/>
  <c r="AC1744" i="2" s="1"/>
  <c r="D1745" i="2"/>
  <c r="V1745" i="2" s="1"/>
  <c r="N1745" i="2"/>
  <c r="AF1745" i="2" s="1"/>
  <c r="F1746" i="2"/>
  <c r="X1746" i="2" s="1"/>
  <c r="O1746" i="2"/>
  <c r="AG1746" i="2" s="1"/>
  <c r="I1747" i="2"/>
  <c r="AA1747" i="2" s="1"/>
  <c r="R1747" i="2"/>
  <c r="AJ1747" i="2" s="1"/>
  <c r="K1748" i="2"/>
  <c r="AC1748" i="2" s="1"/>
  <c r="D1749" i="2"/>
  <c r="V1749" i="2" s="1"/>
  <c r="M1749" i="2"/>
  <c r="AE1749" i="2" s="1"/>
  <c r="D1750" i="2"/>
  <c r="V1750" i="2" s="1"/>
  <c r="M1750" i="2"/>
  <c r="AE1750" i="2" s="1"/>
  <c r="F1751" i="2"/>
  <c r="X1751" i="2" s="1"/>
  <c r="P1751" i="2"/>
  <c r="AH1751" i="2" s="1"/>
  <c r="H1752" i="2"/>
  <c r="Z1752" i="2" s="1"/>
  <c r="Q1752" i="2"/>
  <c r="AI1752" i="2" s="1"/>
  <c r="K1753" i="2"/>
  <c r="AC1753" i="2" s="1"/>
  <c r="C1754" i="2"/>
  <c r="U1754" i="2" s="1"/>
  <c r="M1754" i="2"/>
  <c r="AE1754" i="2" s="1"/>
  <c r="F1755" i="2"/>
  <c r="X1755" i="2" s="1"/>
  <c r="O1755" i="2"/>
  <c r="AG1755" i="2" s="1"/>
  <c r="H1756" i="2"/>
  <c r="Z1756" i="2" s="1"/>
  <c r="Q1756" i="2"/>
  <c r="AI1756" i="2" s="1"/>
  <c r="K1757" i="2"/>
  <c r="AC1757" i="2" s="1"/>
  <c r="J1758" i="2"/>
  <c r="AB1758" i="2" s="1"/>
  <c r="R1758" i="2"/>
  <c r="AJ1758" i="2" s="1"/>
  <c r="D1733" i="2"/>
  <c r="V1733" i="2" s="1"/>
  <c r="P1734" i="2"/>
  <c r="AH1734" i="2" s="1"/>
  <c r="L1736" i="2"/>
  <c r="AD1736" i="2" s="1"/>
  <c r="R1740" i="2"/>
  <c r="AJ1740" i="2" s="1"/>
  <c r="O1741" i="2"/>
  <c r="AG1741" i="2" s="1"/>
  <c r="H1742" i="2"/>
  <c r="Z1742" i="2" s="1"/>
  <c r="L1744" i="2"/>
  <c r="AD1744" i="2" s="1"/>
  <c r="F1745" i="2"/>
  <c r="X1745" i="2" s="1"/>
  <c r="P1746" i="2"/>
  <c r="AH1746" i="2" s="1"/>
  <c r="J1747" i="2"/>
  <c r="AB1747" i="2" s="1"/>
  <c r="C1748" i="2"/>
  <c r="U1748" i="2" s="1"/>
  <c r="Q1748" i="2"/>
  <c r="AI1748" i="2" s="1"/>
  <c r="C1749" i="2"/>
  <c r="U1749" i="2" s="1"/>
  <c r="K1750" i="2"/>
  <c r="AC1750" i="2" s="1"/>
  <c r="L1751" i="2"/>
  <c r="AD1751" i="2" s="1"/>
  <c r="M1752" i="2"/>
  <c r="AE1752" i="2" s="1"/>
  <c r="J1733" i="2"/>
  <c r="AB1733" i="2" s="1"/>
  <c r="F1735" i="2"/>
  <c r="X1735" i="2" s="1"/>
  <c r="R1736" i="2"/>
  <c r="AJ1736" i="2" s="1"/>
  <c r="D1739" i="2"/>
  <c r="V1739" i="2" s="1"/>
  <c r="R1741" i="2"/>
  <c r="AJ1741" i="2" s="1"/>
  <c r="K1742" i="2"/>
  <c r="AC1742" i="2" s="1"/>
  <c r="E1743" i="2"/>
  <c r="W1743" i="2" s="1"/>
  <c r="K1733" i="2"/>
  <c r="AC1733" i="2" s="1"/>
  <c r="G1735" i="2"/>
  <c r="Y1735" i="2" s="1"/>
  <c r="D1738" i="2"/>
  <c r="V1738" i="2" s="1"/>
  <c r="E1739" i="2"/>
  <c r="W1739" i="2" s="1"/>
  <c r="C1740" i="2"/>
  <c r="U1740" i="2" s="1"/>
  <c r="L1742" i="2"/>
  <c r="AD1742" i="2" s="1"/>
  <c r="F1743" i="2"/>
  <c r="X1743" i="2" s="1"/>
  <c r="Q1744" i="2"/>
  <c r="AI1744" i="2" s="1"/>
  <c r="J1745" i="2"/>
  <c r="AB1745" i="2" s="1"/>
  <c r="C1746" i="2"/>
  <c r="U1746" i="2" s="1"/>
  <c r="O1747" i="2"/>
  <c r="AG1747" i="2" s="1"/>
  <c r="G1748" i="2"/>
  <c r="Y1748" i="2" s="1"/>
  <c r="I1749" i="2"/>
  <c r="AA1749" i="2" s="1"/>
  <c r="N1750" i="2"/>
  <c r="AF1750" i="2" s="1"/>
  <c r="N1751" i="2"/>
  <c r="AF1751" i="2" s="1"/>
  <c r="O1752" i="2"/>
  <c r="AG1752" i="2" s="1"/>
  <c r="Q1753" i="2"/>
  <c r="AI1753" i="2" s="1"/>
  <c r="Q1754" i="2"/>
  <c r="AI1754" i="2" s="1"/>
  <c r="C1755" i="2"/>
  <c r="U1755" i="2" s="1"/>
  <c r="P1755" i="2"/>
  <c r="AH1755" i="2" s="1"/>
  <c r="C1756" i="2"/>
  <c r="U1756" i="2" s="1"/>
  <c r="P1756" i="2"/>
  <c r="AH1756" i="2" s="1"/>
  <c r="C1757" i="2"/>
  <c r="U1757" i="2" s="1"/>
  <c r="Q1757" i="2"/>
  <c r="AI1757" i="2" s="1"/>
  <c r="O1758" i="2"/>
  <c r="AG1758" i="2" s="1"/>
  <c r="P1732" i="2"/>
  <c r="AH1732" i="2" s="1"/>
  <c r="N1737" i="2"/>
  <c r="AF1737" i="2" s="1"/>
  <c r="O1738" i="2"/>
  <c r="AG1738" i="2" s="1"/>
  <c r="G1739" i="2"/>
  <c r="Y1739" i="2" s="1"/>
  <c r="M1741" i="2"/>
  <c r="AE1741" i="2" s="1"/>
  <c r="O1743" i="2"/>
  <c r="AG1743" i="2" s="1"/>
  <c r="C1744" i="2"/>
  <c r="U1744" i="2" s="1"/>
  <c r="I1745" i="2"/>
  <c r="AA1745" i="2" s="1"/>
  <c r="L1746" i="2"/>
  <c r="AD1746" i="2" s="1"/>
  <c r="N1749" i="2"/>
  <c r="AF1749" i="2" s="1"/>
  <c r="M1751" i="2"/>
  <c r="AE1751" i="2" s="1"/>
  <c r="G1752" i="2"/>
  <c r="Y1752" i="2" s="1"/>
  <c r="C1753" i="2"/>
  <c r="U1753" i="2" s="1"/>
  <c r="I1754" i="2"/>
  <c r="AA1754" i="2" s="1"/>
  <c r="N1755" i="2"/>
  <c r="AF1755" i="2" s="1"/>
  <c r="F1756" i="2"/>
  <c r="X1756" i="2" s="1"/>
  <c r="L1757" i="2"/>
  <c r="AD1757" i="2" s="1"/>
  <c r="P1758" i="2"/>
  <c r="AH1758" i="2" s="1"/>
  <c r="K1731" i="2"/>
  <c r="AC1731" i="2" s="1"/>
  <c r="P1738" i="2"/>
  <c r="AH1738" i="2" s="1"/>
  <c r="J1739" i="2"/>
  <c r="AB1739" i="2" s="1"/>
  <c r="C1742" i="2"/>
  <c r="U1742" i="2" s="1"/>
  <c r="Q1743" i="2"/>
  <c r="AI1743" i="2" s="1"/>
  <c r="F1744" i="2"/>
  <c r="X1744" i="2" s="1"/>
  <c r="L1745" i="2"/>
  <c r="AD1745" i="2" s="1"/>
  <c r="N1746" i="2"/>
  <c r="AF1746" i="2" s="1"/>
  <c r="R1749" i="2"/>
  <c r="AJ1749" i="2" s="1"/>
  <c r="Q1751" i="2"/>
  <c r="AI1751" i="2" s="1"/>
  <c r="I1752" i="2"/>
  <c r="AA1752" i="2" s="1"/>
  <c r="F1753" i="2"/>
  <c r="X1753" i="2" s="1"/>
  <c r="J1754" i="2"/>
  <c r="AB1754" i="2" s="1"/>
  <c r="G1756" i="2"/>
  <c r="Y1756" i="2" s="1"/>
  <c r="O1757" i="2"/>
  <c r="AG1757" i="2" s="1"/>
  <c r="C1758" i="2"/>
  <c r="U1758" i="2" s="1"/>
  <c r="Q1758" i="2"/>
  <c r="AI1758" i="2" s="1"/>
  <c r="N1739" i="2"/>
  <c r="AF1739" i="2" s="1"/>
  <c r="E1740" i="2"/>
  <c r="W1740" i="2" s="1"/>
  <c r="E1742" i="2"/>
  <c r="W1742" i="2" s="1"/>
  <c r="G1744" i="2"/>
  <c r="Y1744" i="2" s="1"/>
  <c r="O1745" i="2"/>
  <c r="AG1745" i="2" s="1"/>
  <c r="F1748" i="2"/>
  <c r="X1748" i="2" s="1"/>
  <c r="C1750" i="2"/>
  <c r="U1750" i="2" s="1"/>
  <c r="N1752" i="2"/>
  <c r="AF1752" i="2" s="1"/>
  <c r="G1753" i="2"/>
  <c r="Y1753" i="2" s="1"/>
  <c r="K1754" i="2"/>
  <c r="AC1754" i="2" s="1"/>
  <c r="D1755" i="2"/>
  <c r="V1755" i="2" s="1"/>
  <c r="I1756" i="2"/>
  <c r="AA1756" i="2" s="1"/>
  <c r="P1757" i="2"/>
  <c r="AH1757" i="2" s="1"/>
  <c r="F1758" i="2"/>
  <c r="X1758" i="2" s="1"/>
  <c r="Q1731" i="2"/>
  <c r="AI1731" i="2" s="1"/>
  <c r="H1734" i="2"/>
  <c r="Z1734" i="2" s="1"/>
  <c r="C1736" i="2"/>
  <c r="U1736" i="2" s="1"/>
  <c r="L1737" i="2"/>
  <c r="AD1737" i="2" s="1"/>
  <c r="H1740" i="2"/>
  <c r="Z1740" i="2" s="1"/>
  <c r="I1741" i="2"/>
  <c r="AA1741" i="2" s="1"/>
  <c r="Q1742" i="2"/>
  <c r="AI1742" i="2" s="1"/>
  <c r="N1743" i="2"/>
  <c r="AF1743" i="2" s="1"/>
  <c r="R1745" i="2"/>
  <c r="AJ1745" i="2" s="1"/>
  <c r="G1746" i="2"/>
  <c r="Y1746" i="2" s="1"/>
  <c r="E1747" i="2"/>
  <c r="W1747" i="2" s="1"/>
  <c r="L1750" i="2"/>
  <c r="AD1750" i="2" s="1"/>
  <c r="D1751" i="2"/>
  <c r="V1751" i="2" s="1"/>
  <c r="I1753" i="2"/>
  <c r="AA1753" i="2" s="1"/>
  <c r="R1754" i="2"/>
  <c r="AJ1754" i="2" s="1"/>
  <c r="L1756" i="2"/>
  <c r="AD1756" i="2" s="1"/>
  <c r="M1734" i="2"/>
  <c r="AE1734" i="2" s="1"/>
  <c r="F1736" i="2"/>
  <c r="X1736" i="2" s="1"/>
  <c r="L1740" i="2"/>
  <c r="AD1740" i="2" s="1"/>
  <c r="J1741" i="2"/>
  <c r="AB1741" i="2" s="1"/>
  <c r="K1746" i="2"/>
  <c r="AC1746" i="2" s="1"/>
  <c r="H1747" i="2"/>
  <c r="Z1747" i="2" s="1"/>
  <c r="H1748" i="2"/>
  <c r="Z1748" i="2" s="1"/>
  <c r="Q1750" i="2"/>
  <c r="AI1750" i="2" s="1"/>
  <c r="E1751" i="2"/>
  <c r="W1751" i="2" s="1"/>
  <c r="J1753" i="2"/>
  <c r="AB1753" i="2" s="1"/>
  <c r="E1755" i="2"/>
  <c r="W1755" i="2" s="1"/>
  <c r="N1756" i="2"/>
  <c r="AF1756" i="2" s="1"/>
  <c r="G1758" i="2"/>
  <c r="Y1758" i="2" s="1"/>
  <c r="I1736" i="2"/>
  <c r="AA1736" i="2" s="1"/>
  <c r="M1740" i="2"/>
  <c r="AE1740" i="2" s="1"/>
  <c r="M1747" i="2"/>
  <c r="AE1747" i="2" s="1"/>
  <c r="I1748" i="2"/>
  <c r="AA1748" i="2" s="1"/>
  <c r="H1751" i="2"/>
  <c r="Z1751" i="2" s="1"/>
  <c r="L1753" i="2"/>
  <c r="AD1753" i="2" s="1"/>
  <c r="G1755" i="2"/>
  <c r="Y1755" i="2" s="1"/>
  <c r="O1756" i="2"/>
  <c r="AG1756" i="2" s="1"/>
  <c r="H1758" i="2"/>
  <c r="Z1758" i="2" s="1"/>
  <c r="L1732" i="2"/>
  <c r="AD1732" i="2" s="1"/>
  <c r="G1734" i="2"/>
  <c r="Y1734" i="2" s="1"/>
  <c r="K1737" i="2"/>
  <c r="AC1737" i="2" s="1"/>
  <c r="F1741" i="2"/>
  <c r="X1741" i="2" s="1"/>
  <c r="N1742" i="2"/>
  <c r="AF1742" i="2" s="1"/>
  <c r="J1743" i="2"/>
  <c r="AB1743" i="2" s="1"/>
  <c r="O1744" i="2"/>
  <c r="AG1744" i="2" s="1"/>
  <c r="C1745" i="2"/>
  <c r="U1745" i="2" s="1"/>
  <c r="E1746" i="2"/>
  <c r="W1746" i="2" s="1"/>
  <c r="D1747" i="2"/>
  <c r="V1747" i="2" s="1"/>
  <c r="L1749" i="2"/>
  <c r="AD1749" i="2" s="1"/>
  <c r="I1750" i="2"/>
  <c r="AA1750" i="2" s="1"/>
  <c r="C1751" i="2"/>
  <c r="U1751" i="2" s="1"/>
  <c r="R1752" i="2"/>
  <c r="AJ1752" i="2" s="1"/>
  <c r="N1754" i="2"/>
  <c r="AF1754" i="2" s="1"/>
  <c r="D1756" i="2"/>
  <c r="V1756" i="2" s="1"/>
  <c r="K1735" i="2"/>
  <c r="AC1735" i="2" s="1"/>
  <c r="G1738" i="2"/>
  <c r="Y1738" i="2" s="1"/>
  <c r="O1748" i="2"/>
  <c r="AG1748" i="2" s="1"/>
  <c r="L1755" i="2"/>
  <c r="AD1755" i="2" s="1"/>
  <c r="F1732" i="2"/>
  <c r="X1732" i="2" s="1"/>
  <c r="O1735" i="2"/>
  <c r="AG1735" i="2" s="1"/>
  <c r="J1738" i="2"/>
  <c r="AB1738" i="2" s="1"/>
  <c r="P1748" i="2"/>
  <c r="AH1748" i="2" s="1"/>
  <c r="E1750" i="2"/>
  <c r="W1750" i="2" s="1"/>
  <c r="E1754" i="2"/>
  <c r="W1754" i="2" s="1"/>
  <c r="M1755" i="2"/>
  <c r="AE1755" i="2" s="1"/>
  <c r="J1732" i="2"/>
  <c r="AB1732" i="2" s="1"/>
  <c r="D1741" i="2"/>
  <c r="V1741" i="2" s="1"/>
  <c r="H1743" i="2"/>
  <c r="Z1743" i="2" s="1"/>
  <c r="H1750" i="2"/>
  <c r="Z1750" i="2" s="1"/>
  <c r="H1754" i="2"/>
  <c r="Z1754" i="2" s="1"/>
  <c r="O1731" i="2"/>
  <c r="AG1731" i="2" s="1"/>
  <c r="F1737" i="2"/>
  <c r="X1737" i="2" s="1"/>
  <c r="J1744" i="2"/>
  <c r="AB1744" i="2" s="1"/>
  <c r="K1749" i="2"/>
  <c r="AC1749" i="2" s="1"/>
  <c r="P1752" i="2"/>
  <c r="AH1752" i="2" s="1"/>
  <c r="I1757" i="2"/>
  <c r="AA1757" i="2" s="1"/>
  <c r="I1731" i="2"/>
  <c r="AA1731" i="2" s="1"/>
  <c r="C1737" i="2"/>
  <c r="U1737" i="2" s="1"/>
  <c r="J1749" i="2"/>
  <c r="AB1749" i="2" s="1"/>
  <c r="F1752" i="2"/>
  <c r="X1752" i="2" s="1"/>
  <c r="H1757" i="2"/>
  <c r="Z1757" i="2" s="1"/>
  <c r="K1755" i="2"/>
  <c r="AC1755" i="2" s="1"/>
  <c r="N1733" i="2"/>
  <c r="AF1733" i="2" s="1"/>
  <c r="O1739" i="2"/>
  <c r="AG1739" i="2" s="1"/>
  <c r="Q1747" i="2"/>
  <c r="AI1747" i="2" s="1"/>
  <c r="O1753" i="2"/>
  <c r="AG1753" i="2" s="1"/>
  <c r="I1758" i="2"/>
  <c r="AA1758" i="2" s="1"/>
  <c r="D1752" i="2"/>
  <c r="V1752" i="2" s="1"/>
  <c r="F1757" i="2"/>
  <c r="X1757" i="2" s="1"/>
  <c r="N1758" i="2"/>
  <c r="AF1758" i="2" s="1"/>
  <c r="P1740" i="2"/>
  <c r="AH1740" i="2" s="1"/>
  <c r="L1748" i="2"/>
  <c r="AD1748" i="2" s="1"/>
  <c r="E1752" i="2"/>
  <c r="W1752" i="2" s="1"/>
  <c r="G1757" i="2"/>
  <c r="Y1757" i="2" s="1"/>
  <c r="F1731" i="2"/>
  <c r="X1731" i="2" s="1"/>
  <c r="E1749" i="2"/>
  <c r="W1749" i="2" s="1"/>
  <c r="K1751" i="2"/>
  <c r="AC1751" i="2" s="1"/>
  <c r="R1756" i="2"/>
  <c r="AJ1756" i="2" s="1"/>
  <c r="K1758" i="2"/>
  <c r="AC1758" i="2" s="1"/>
  <c r="R1739" i="2"/>
  <c r="AJ1739" i="2" s="1"/>
  <c r="R1753" i="2"/>
  <c r="AJ1753" i="2" s="1"/>
  <c r="C1731" i="2"/>
  <c r="U1731" i="2" s="1"/>
  <c r="A1539" i="2"/>
  <c r="L1421" i="2" s="1"/>
  <c r="I1421" i="2" s="1"/>
  <c r="A1519" i="2"/>
  <c r="L1401" i="2" s="1"/>
  <c r="I1401" i="2" s="1"/>
  <c r="A1551" i="2"/>
  <c r="L1433" i="2" s="1"/>
  <c r="I1433" i="2" s="1"/>
  <c r="A1556" i="2"/>
  <c r="L1438" i="2" s="1"/>
  <c r="I1438" i="2" s="1"/>
  <c r="A1541" i="2"/>
  <c r="L1423" i="2" s="1"/>
  <c r="I1423" i="2" s="1"/>
  <c r="A1525" i="2"/>
  <c r="L1407" i="2" s="1"/>
  <c r="I1407" i="2" s="1"/>
  <c r="A1534" i="2"/>
  <c r="L1416" i="2" s="1"/>
  <c r="I1416" i="2" s="1"/>
  <c r="A1555" i="2"/>
  <c r="L1437" i="2" s="1"/>
  <c r="I1437" i="2" s="1"/>
  <c r="A1548" i="2"/>
  <c r="L1430" i="2" s="1"/>
  <c r="I1430" i="2" s="1"/>
  <c r="A1512" i="2"/>
  <c r="L1394" i="2" s="1"/>
  <c r="I1394" i="2" s="1"/>
  <c r="A1546" i="2"/>
  <c r="L1428" i="2" s="1"/>
  <c r="I1428" i="2" s="1"/>
  <c r="C1625" i="2"/>
  <c r="B1624" i="2"/>
  <c r="D1437" i="2" s="1"/>
  <c r="B1437" i="2" s="1"/>
  <c r="A1514" i="2"/>
  <c r="L1396" i="2" s="1"/>
  <c r="I1396" i="2" s="1"/>
  <c r="A1559" i="2"/>
  <c r="L1441" i="2" s="1"/>
  <c r="I1441" i="2" s="1"/>
  <c r="A1527" i="2"/>
  <c r="L1409" i="2" s="1"/>
  <c r="I1409" i="2" s="1"/>
  <c r="A1536" i="2"/>
  <c r="L1418" i="2" s="1"/>
  <c r="I1418" i="2" s="1"/>
  <c r="A1513" i="2"/>
  <c r="L1395" i="2" s="1"/>
  <c r="I1395" i="2" s="1"/>
  <c r="A1547" i="2"/>
  <c r="L1429" i="2" s="1"/>
  <c r="I1429" i="2" s="1"/>
  <c r="A1544" i="2"/>
  <c r="L1426" i="2" s="1"/>
  <c r="I1426" i="2" s="1"/>
  <c r="A1511" i="2"/>
  <c r="L1393" i="2" s="1"/>
  <c r="I1393" i="2" s="1"/>
  <c r="A1523" i="2"/>
  <c r="L1405" i="2" s="1"/>
  <c r="I1405" i="2" s="1"/>
  <c r="A1508" i="2"/>
  <c r="L1390" i="2" s="1"/>
  <c r="A1543" i="2"/>
  <c r="L1425" i="2" s="1"/>
  <c r="I1425" i="2" s="1"/>
  <c r="A1528" i="2"/>
  <c r="L1410" i="2" s="1"/>
  <c r="I1410" i="2" s="1"/>
  <c r="A1530" i="2"/>
  <c r="L1412" i="2" s="1"/>
  <c r="I1412" i="2" s="1"/>
  <c r="A1517" i="2"/>
  <c r="L1399" i="2" s="1"/>
  <c r="I1399" i="2" s="1"/>
  <c r="A1518" i="2"/>
  <c r="L1400" i="2" s="1"/>
  <c r="I1400" i="2" s="1"/>
  <c r="A1550" i="2"/>
  <c r="L1432" i="2" s="1"/>
  <c r="I1432" i="2" s="1"/>
  <c r="A1545" i="2"/>
  <c r="L1427" i="2" s="1"/>
  <c r="I1427" i="2" s="1"/>
  <c r="A1524" i="2"/>
  <c r="L1406" i="2" s="1"/>
  <c r="I1406" i="2" s="1"/>
  <c r="A1562" i="2"/>
  <c r="L1444" i="2" s="1"/>
  <c r="I1444" i="2" s="1"/>
  <c r="A1561" i="2"/>
  <c r="L1443" i="2" s="1"/>
  <c r="I1443" i="2" s="1"/>
  <c r="A1509" i="2"/>
  <c r="L1391" i="2" s="1"/>
  <c r="I1391" i="2" s="1"/>
  <c r="A1520" i="2"/>
  <c r="L1402" i="2" s="1"/>
  <c r="I1402" i="2" s="1"/>
  <c r="A1564" i="2"/>
  <c r="L1446" i="2" s="1"/>
  <c r="I1446" i="2" s="1"/>
  <c r="A1521" i="2"/>
  <c r="L1403" i="2" s="1"/>
  <c r="I1403" i="2" s="1"/>
  <c r="A1516" i="2"/>
  <c r="L1398" i="2" s="1"/>
  <c r="I1398" i="2" s="1"/>
  <c r="A1533" i="2"/>
  <c r="L1415" i="2" s="1"/>
  <c r="I1415" i="2" s="1"/>
  <c r="A1540" i="2"/>
  <c r="L1422" i="2" s="1"/>
  <c r="I1422" i="2" s="1"/>
  <c r="A1515" i="2"/>
  <c r="L1397" i="2" s="1"/>
  <c r="I1397" i="2" s="1"/>
  <c r="A1532" i="2"/>
  <c r="L1414" i="2" s="1"/>
  <c r="I1414" i="2" s="1"/>
  <c r="A1537" i="2"/>
  <c r="L1419" i="2" s="1"/>
  <c r="I1419" i="2" s="1"/>
  <c r="A1538" i="2"/>
  <c r="L1420" i="2" s="1"/>
  <c r="I1420" i="2" s="1"/>
  <c r="A1535" i="2"/>
  <c r="L1417" i="2" s="1"/>
  <c r="I1417" i="2" s="1"/>
  <c r="A1565" i="2"/>
  <c r="L1447" i="2" s="1"/>
  <c r="I1447" i="2" s="1"/>
  <c r="N1371" i="2" l="1"/>
  <c r="R1371" i="2" s="1"/>
  <c r="B1466" i="2" s="1"/>
  <c r="A1466" i="2" s="1"/>
  <c r="C1485" i="2"/>
  <c r="C1486" i="2" s="1"/>
  <c r="C1487" i="2" s="1"/>
  <c r="C1488" i="2" s="1"/>
  <c r="AG1374" i="2"/>
  <c r="AG1376" i="2" s="1"/>
  <c r="AG1378" i="2" s="1"/>
  <c r="AG1380" i="2" s="1"/>
  <c r="T1369" i="2"/>
  <c r="AF1376" i="2" s="1"/>
  <c r="AA1369" i="2"/>
  <c r="F1667" i="2" s="1"/>
  <c r="AB1369" i="2"/>
  <c r="G1667" i="2" s="1"/>
  <c r="L1667" i="2"/>
  <c r="B1465" i="2"/>
  <c r="A1465" i="2" s="1"/>
  <c r="X1369" i="2"/>
  <c r="B1667" i="2" s="1"/>
  <c r="B1464" i="2"/>
  <c r="A1464" i="2" s="1"/>
  <c r="Z1369" i="2"/>
  <c r="E1667" i="2" s="1"/>
  <c r="W1369" i="2"/>
  <c r="D1667" i="2" s="1"/>
  <c r="Y1369" i="2"/>
  <c r="V1369" i="2"/>
  <c r="D1485" i="2"/>
  <c r="D1486" i="2" s="1"/>
  <c r="D1487" i="2" s="1"/>
  <c r="D1488" i="2" s="1"/>
  <c r="E1485" i="2"/>
  <c r="E1486" i="2" s="1"/>
  <c r="E1487" i="2" s="1"/>
  <c r="E1488" i="2" s="1"/>
  <c r="AH34" i="15"/>
  <c r="F1485" i="2"/>
  <c r="F1486" i="2" s="1"/>
  <c r="F1487" i="2" s="1"/>
  <c r="F1488" i="2" s="1"/>
  <c r="A1732" i="2"/>
  <c r="Q1391" i="2" s="1"/>
  <c r="S1368" i="2"/>
  <c r="A1748" i="2"/>
  <c r="Q1407" i="2" s="1"/>
  <c r="O1407" i="2" s="1"/>
  <c r="A1750" i="2"/>
  <c r="Q1409" i="2" s="1"/>
  <c r="O1409" i="2" s="1"/>
  <c r="A1758" i="2"/>
  <c r="Q1417" i="2" s="1"/>
  <c r="O1417" i="2" s="1"/>
  <c r="A1755" i="2"/>
  <c r="Q1414" i="2" s="1"/>
  <c r="O1414" i="2" s="1"/>
  <c r="A1741" i="2"/>
  <c r="Q1400" i="2" s="1"/>
  <c r="O1400" i="2" s="1"/>
  <c r="A1735" i="2"/>
  <c r="Q1394" i="2" s="1"/>
  <c r="O1394" i="2" s="1"/>
  <c r="A1746" i="2"/>
  <c r="Q1405" i="2" s="1"/>
  <c r="O1405" i="2" s="1"/>
  <c r="B1625" i="2"/>
  <c r="D1438" i="2" s="1"/>
  <c r="B1438" i="2" s="1"/>
  <c r="C1626" i="2"/>
  <c r="A1731" i="2"/>
  <c r="Q1390" i="2" s="1"/>
  <c r="A1745" i="2"/>
  <c r="Q1404" i="2" s="1"/>
  <c r="O1404" i="2" s="1"/>
  <c r="A1744" i="2"/>
  <c r="Q1403" i="2" s="1"/>
  <c r="O1403" i="2" s="1"/>
  <c r="A1743" i="2"/>
  <c r="Q1402" i="2" s="1"/>
  <c r="O1402" i="2" s="1"/>
  <c r="A1739" i="2"/>
  <c r="Q1398" i="2" s="1"/>
  <c r="O1398" i="2" s="1"/>
  <c r="A1752" i="2"/>
  <c r="Q1411" i="2" s="1"/>
  <c r="O1411" i="2" s="1"/>
  <c r="A1742" i="2"/>
  <c r="Q1401" i="2" s="1"/>
  <c r="O1401" i="2" s="1"/>
  <c r="A1757" i="2"/>
  <c r="Q1416" i="2" s="1"/>
  <c r="O1416" i="2" s="1"/>
  <c r="A1733" i="2"/>
  <c r="Q1392" i="2" s="1"/>
  <c r="O1392" i="2" s="1"/>
  <c r="A1747" i="2"/>
  <c r="Q1406" i="2" s="1"/>
  <c r="O1406" i="2" s="1"/>
  <c r="A1734" i="2"/>
  <c r="Q1393" i="2" s="1"/>
  <c r="O1393" i="2" s="1"/>
  <c r="L1389" i="2"/>
  <c r="I1390" i="2"/>
  <c r="I1389" i="2" s="1"/>
  <c r="A1754" i="2"/>
  <c r="Q1413" i="2" s="1"/>
  <c r="O1413" i="2" s="1"/>
  <c r="A1737" i="2"/>
  <c r="Q1396" i="2" s="1"/>
  <c r="O1396" i="2" s="1"/>
  <c r="A1753" i="2"/>
  <c r="Q1412" i="2" s="1"/>
  <c r="O1412" i="2" s="1"/>
  <c r="A1749" i="2"/>
  <c r="Q1408" i="2" s="1"/>
  <c r="O1408" i="2" s="1"/>
  <c r="A1738" i="2"/>
  <c r="Q1397" i="2" s="1"/>
  <c r="O1397" i="2" s="1"/>
  <c r="AB1655" i="2"/>
  <c r="AF1655" i="2" s="1"/>
  <c r="T1370" i="2"/>
  <c r="Y1370" i="2"/>
  <c r="AB1370" i="2"/>
  <c r="G1670" i="2" s="1"/>
  <c r="V1370" i="2"/>
  <c r="W1370" i="2"/>
  <c r="D1670" i="2" s="1"/>
  <c r="L1670" i="2"/>
  <c r="AA1370" i="2"/>
  <c r="F1670" i="2" s="1"/>
  <c r="Z1370" i="2"/>
  <c r="E1670" i="2" s="1"/>
  <c r="X1370" i="2"/>
  <c r="B1670" i="2" s="1"/>
  <c r="A1751" i="2"/>
  <c r="Q1410" i="2" s="1"/>
  <c r="O1410" i="2" s="1"/>
  <c r="A1736" i="2"/>
  <c r="Q1395" i="2" s="1"/>
  <c r="O1395" i="2" s="1"/>
  <c r="A1756" i="2"/>
  <c r="Q1415" i="2" s="1"/>
  <c r="O1415" i="2" s="1"/>
  <c r="A1740" i="2"/>
  <c r="Q1399" i="2" s="1"/>
  <c r="O1399" i="2" s="1"/>
  <c r="S1371" i="2" l="1"/>
  <c r="AB1656" i="2" s="1"/>
  <c r="AF1656" i="2" s="1"/>
  <c r="C1670" i="2"/>
  <c r="AD1370" i="2"/>
  <c r="C1667" i="2"/>
  <c r="AD1369" i="2"/>
  <c r="A1480" i="2"/>
  <c r="U1369" i="2"/>
  <c r="D1464" i="2" a="1"/>
  <c r="D1464" i="2" s="1"/>
  <c r="X5" i="15" s="1"/>
  <c r="D1463" i="2" a="1"/>
  <c r="D1463" i="2" s="1"/>
  <c r="W5" i="15" s="1"/>
  <c r="D1465" i="2" a="1"/>
  <c r="D1465" i="2" s="1"/>
  <c r="Y5" i="15" s="1"/>
  <c r="D1466" i="2" a="1"/>
  <c r="D1466" i="2" s="1"/>
  <c r="Z5" i="15" s="1"/>
  <c r="O1389" i="2"/>
  <c r="T1368" i="2"/>
  <c r="AB1653" i="2"/>
  <c r="AF1653" i="2" s="1"/>
  <c r="O1391" i="2"/>
  <c r="L1664" i="2"/>
  <c r="X1376" i="2"/>
  <c r="Y1376" i="2"/>
  <c r="W1376" i="2"/>
  <c r="V1376" i="2"/>
  <c r="U1370" i="2"/>
  <c r="AF1378" i="2"/>
  <c r="O1390" i="2"/>
  <c r="Q1389" i="2"/>
  <c r="B1626" i="2"/>
  <c r="D1439" i="2" s="1"/>
  <c r="B1439" i="2" s="1"/>
  <c r="C1627" i="2"/>
  <c r="AN8" i="10" l="1"/>
  <c r="AO8" i="10" s="1"/>
  <c r="AN13" i="10"/>
  <c r="AO13" i="10" s="1"/>
  <c r="AN37" i="10"/>
  <c r="AO37" i="10" s="1"/>
  <c r="AN104" i="10"/>
  <c r="AO104" i="10" s="1"/>
  <c r="AN72" i="10"/>
  <c r="AO72" i="10" s="1"/>
  <c r="AN91" i="10"/>
  <c r="AO91" i="10" s="1"/>
  <c r="AN73" i="10"/>
  <c r="AO73" i="10" s="1"/>
  <c r="AN24" i="10"/>
  <c r="AO24" i="10" s="1"/>
  <c r="AN102" i="10"/>
  <c r="AO102" i="10" s="1"/>
  <c r="AN29" i="10"/>
  <c r="AO29" i="10" s="1"/>
  <c r="AN19" i="10"/>
  <c r="AO19" i="10" s="1"/>
  <c r="AN39" i="10"/>
  <c r="AO39" i="10" s="1"/>
  <c r="AN15" i="10"/>
  <c r="AO15" i="10" s="1"/>
  <c r="AN42" i="10"/>
  <c r="AO42" i="10" s="1"/>
  <c r="AN57" i="10"/>
  <c r="AO57" i="10" s="1"/>
  <c r="AN54" i="10"/>
  <c r="AO54" i="10" s="1"/>
  <c r="AN93" i="10"/>
  <c r="AO93" i="10" s="1"/>
  <c r="AN80" i="10"/>
  <c r="AO80" i="10" s="1"/>
  <c r="AN70" i="10"/>
  <c r="AO70" i="10" s="1"/>
  <c r="AN22" i="10"/>
  <c r="AO22" i="10" s="1"/>
  <c r="AN43" i="10"/>
  <c r="AO43" i="10" s="1"/>
  <c r="AN109" i="10"/>
  <c r="AO109" i="10" s="1"/>
  <c r="AN26" i="10"/>
  <c r="AO26" i="10" s="1"/>
  <c r="AN78" i="10"/>
  <c r="AO78" i="10" s="1"/>
  <c r="AN9" i="10"/>
  <c r="AO9" i="10" s="1"/>
  <c r="AN4" i="10"/>
  <c r="AO4" i="10" s="1"/>
  <c r="AN106" i="10"/>
  <c r="AO106" i="10" s="1"/>
  <c r="AN3" i="10"/>
  <c r="AO3" i="10" s="1"/>
  <c r="AN111" i="10"/>
  <c r="AO111" i="10" s="1"/>
  <c r="AN62" i="10"/>
  <c r="AO62" i="10" s="1"/>
  <c r="AN68" i="10"/>
  <c r="AO68" i="10" s="1"/>
  <c r="AN60" i="10"/>
  <c r="AO60" i="10" s="1"/>
  <c r="AN6" i="10"/>
  <c r="AO6" i="10" s="1"/>
  <c r="AN103" i="10"/>
  <c r="AO103" i="10" s="1"/>
  <c r="AN92" i="10"/>
  <c r="AO92" i="10" s="1"/>
  <c r="AN41" i="10"/>
  <c r="AO41" i="10" s="1"/>
  <c r="AN67" i="10"/>
  <c r="AO67" i="10" s="1"/>
  <c r="T1371" i="2"/>
  <c r="AF1380" i="2" s="1"/>
  <c r="V1380" i="2" s="1"/>
  <c r="V1371" i="2" s="1"/>
  <c r="C1673" i="2" s="1"/>
  <c r="AN25" i="10"/>
  <c r="AO25" i="10" s="1"/>
  <c r="AN94" i="10"/>
  <c r="AO94" i="10" s="1"/>
  <c r="AN99" i="10"/>
  <c r="AO99" i="10" s="1"/>
  <c r="AN47" i="10"/>
  <c r="AO47" i="10" s="1"/>
  <c r="AN59" i="10"/>
  <c r="AO59" i="10" s="1"/>
  <c r="AN66" i="10"/>
  <c r="AO66" i="10" s="1"/>
  <c r="AN53" i="10"/>
  <c r="AO53" i="10" s="1"/>
  <c r="AN55" i="10"/>
  <c r="AO55" i="10" s="1"/>
  <c r="AN11" i="10"/>
  <c r="AO11" i="10" s="1"/>
  <c r="AN21" i="10"/>
  <c r="AO21" i="10" s="1"/>
  <c r="AN81" i="10"/>
  <c r="AO81" i="10" s="1"/>
  <c r="AN84" i="10"/>
  <c r="AO84" i="10" s="1"/>
  <c r="AN38" i="10"/>
  <c r="AO38" i="10" s="1"/>
  <c r="AN14" i="10"/>
  <c r="AO14" i="10" s="1"/>
  <c r="AN7" i="10"/>
  <c r="AO7" i="10" s="1"/>
  <c r="AN50" i="10"/>
  <c r="AO50" i="10" s="1"/>
  <c r="AN48" i="10"/>
  <c r="AO48" i="10" s="1"/>
  <c r="AN112" i="10"/>
  <c r="AO112" i="10" s="1"/>
  <c r="AN28" i="10"/>
  <c r="AO28" i="10" s="1"/>
  <c r="AN18" i="10"/>
  <c r="AO18" i="10" s="1"/>
  <c r="AN83" i="10"/>
  <c r="AO83" i="10" s="1"/>
  <c r="AN79" i="10"/>
  <c r="AO79" i="10" s="1"/>
  <c r="AN51" i="10"/>
  <c r="AO51" i="10" s="1"/>
  <c r="AN87" i="10"/>
  <c r="AO87" i="10" s="1"/>
  <c r="AN90" i="10"/>
  <c r="AO90" i="10" s="1"/>
  <c r="AN82" i="10"/>
  <c r="AO82" i="10" s="1"/>
  <c r="AN89" i="10"/>
  <c r="AO89" i="10" s="1"/>
  <c r="AN95" i="10"/>
  <c r="AO95" i="10" s="1"/>
  <c r="AN33" i="10"/>
  <c r="AO33" i="10" s="1"/>
  <c r="AN49" i="10"/>
  <c r="AO49" i="10" s="1"/>
  <c r="AN23" i="10"/>
  <c r="AO23" i="10" s="1"/>
  <c r="AN77" i="10"/>
  <c r="AO77" i="10" s="1"/>
  <c r="AN45" i="10"/>
  <c r="AO45" i="10" s="1"/>
  <c r="AN36" i="10"/>
  <c r="AO36" i="10" s="1"/>
  <c r="AN30" i="10"/>
  <c r="AO30" i="10" s="1"/>
  <c r="AN97" i="10"/>
  <c r="AO97" i="10" s="1"/>
  <c r="AN101" i="10"/>
  <c r="AO101" i="10" s="1"/>
  <c r="AN16" i="10"/>
  <c r="AO16" i="10" s="1"/>
  <c r="AN100" i="10"/>
  <c r="AO100" i="10" s="1"/>
  <c r="AN108" i="10"/>
  <c r="AO108" i="10" s="1"/>
  <c r="AN34" i="10"/>
  <c r="AO34" i="10" s="1"/>
  <c r="AN10" i="10"/>
  <c r="AO10" i="10" s="1"/>
  <c r="AN40" i="10"/>
  <c r="AO40" i="10" s="1"/>
  <c r="AN69" i="10"/>
  <c r="AO69" i="10" s="1"/>
  <c r="AN20" i="10"/>
  <c r="AO20" i="10" s="1"/>
  <c r="AN76" i="10"/>
  <c r="AO76" i="10" s="1"/>
  <c r="AN56" i="10"/>
  <c r="AO56" i="10" s="1"/>
  <c r="AN2" i="10"/>
  <c r="AO2" i="10" s="1"/>
  <c r="AN65" i="10"/>
  <c r="AO65" i="10" s="1"/>
  <c r="L1673" i="2"/>
  <c r="AN98" i="10"/>
  <c r="AO98" i="10" s="1"/>
  <c r="AN71" i="10"/>
  <c r="AO71" i="10" s="1"/>
  <c r="AN5" i="10"/>
  <c r="AO5" i="10" s="1"/>
  <c r="AN63" i="10"/>
  <c r="AO63" i="10" s="1"/>
  <c r="AN61" i="10"/>
  <c r="AO61" i="10" s="1"/>
  <c r="AN52" i="10"/>
  <c r="AO52" i="10" s="1"/>
  <c r="AN44" i="10"/>
  <c r="AO44" i="10" s="1"/>
  <c r="AN12" i="10"/>
  <c r="AO12" i="10" s="1"/>
  <c r="AN75" i="10"/>
  <c r="AO75" i="10" s="1"/>
  <c r="AN31" i="10"/>
  <c r="AO31" i="10" s="1"/>
  <c r="AN27" i="10"/>
  <c r="AO27" i="10" s="1"/>
  <c r="AN88" i="10"/>
  <c r="AO88" i="10" s="1"/>
  <c r="AN32" i="10"/>
  <c r="AO32" i="10" s="1"/>
  <c r="AN74" i="10"/>
  <c r="AO74" i="10" s="1"/>
  <c r="AN64" i="10"/>
  <c r="AO64" i="10" s="1"/>
  <c r="AN46" i="10"/>
  <c r="AO46" i="10" s="1"/>
  <c r="AN17" i="10"/>
  <c r="AO17" i="10" s="1"/>
  <c r="AN35" i="10"/>
  <c r="AO35" i="10" s="1"/>
  <c r="AN105" i="10"/>
  <c r="AO105" i="10" s="1"/>
  <c r="AN58" i="10"/>
  <c r="AO58" i="10" s="1"/>
  <c r="AN107" i="10"/>
  <c r="AO107" i="10" s="1"/>
  <c r="AN96" i="10"/>
  <c r="AO96" i="10" s="1"/>
  <c r="AN86" i="10"/>
  <c r="AO86" i="10" s="1"/>
  <c r="AN110" i="10"/>
  <c r="AO110" i="10" s="1"/>
  <c r="AN85" i="10"/>
  <c r="AO85" i="10" s="1"/>
  <c r="AC1650" i="2"/>
  <c r="E1428" i="2" s="1"/>
  <c r="D1428" i="2" s="1"/>
  <c r="AA1650" i="2"/>
  <c r="E1429" i="2" s="1"/>
  <c r="D1429" i="2" s="1"/>
  <c r="B1429" i="2" s="1"/>
  <c r="G1458" i="2" s="1"/>
  <c r="O1387" i="2"/>
  <c r="I1387" i="2" s="1"/>
  <c r="AF1374" i="2"/>
  <c r="V1374" i="2" s="1"/>
  <c r="V1368" i="2" s="1"/>
  <c r="V1378" i="2"/>
  <c r="X1378" i="2"/>
  <c r="W1378" i="2"/>
  <c r="Y1378" i="2"/>
  <c r="AG1650" i="2"/>
  <c r="E1431" i="2" s="1"/>
  <c r="D1431" i="2" s="1"/>
  <c r="B1431" i="2" s="1"/>
  <c r="G1460" i="2" s="1"/>
  <c r="AE1650" i="2"/>
  <c r="E1430" i="2" s="1"/>
  <c r="D1430" i="2" s="1"/>
  <c r="B1430" i="2" s="1"/>
  <c r="G1459" i="2" s="1"/>
  <c r="C1628" i="2"/>
  <c r="B1627" i="2"/>
  <c r="D1440" i="2" s="1"/>
  <c r="B1440" i="2" s="1"/>
  <c r="AA1376" i="2"/>
  <c r="AB1376" i="2"/>
  <c r="Z1376" i="2"/>
  <c r="W1380" i="2" l="1"/>
  <c r="W1371" i="2" s="1"/>
  <c r="D1673" i="2" s="1"/>
  <c r="Y1380" i="2"/>
  <c r="AA1380" i="2" s="1"/>
  <c r="AA1371" i="2" s="1"/>
  <c r="F1673" i="2" s="1"/>
  <c r="U1368" i="2"/>
  <c r="T1373" i="2" s="1"/>
  <c r="AL5" i="15" s="1"/>
  <c r="X1380" i="2"/>
  <c r="X1371" i="2" s="1"/>
  <c r="B1673" i="2" s="1"/>
  <c r="AD1371" i="2"/>
  <c r="J1650" i="2" a="1"/>
  <c r="J1650" i="2" s="1"/>
  <c r="O1659" i="2" a="1"/>
  <c r="O1659" i="2" s="1"/>
  <c r="H1659" i="2" s="1"/>
  <c r="J1658" i="2" a="1"/>
  <c r="J1658" i="2" s="1"/>
  <c r="N1652" i="2" a="1"/>
  <c r="N1652" i="2" s="1"/>
  <c r="O1651" i="2" a="1"/>
  <c r="O1651" i="2" s="1"/>
  <c r="H1651" i="2" s="1"/>
  <c r="R1650" i="2" a="1"/>
  <c r="R1650" i="2" s="1"/>
  <c r="O1658" i="2" a="1"/>
  <c r="O1658" i="2" s="1"/>
  <c r="H1658" i="2" s="1"/>
  <c r="Q1653" i="2" a="1"/>
  <c r="Q1653" i="2" s="1"/>
  <c r="M1653" i="2" a="1"/>
  <c r="M1653" i="2" s="1"/>
  <c r="R1656" i="2" a="1"/>
  <c r="R1656" i="2" s="1"/>
  <c r="K1655" i="2" a="1"/>
  <c r="K1655" i="2" s="1"/>
  <c r="I1648" i="2" a="1"/>
  <c r="I1648" i="2" s="1"/>
  <c r="J1657" i="2" a="1"/>
  <c r="J1657" i="2" s="1"/>
  <c r="N1657" i="2" a="1"/>
  <c r="N1657" i="2" s="1"/>
  <c r="M1652" i="2" a="1"/>
  <c r="M1652" i="2" s="1"/>
  <c r="R1645" i="2" a="1"/>
  <c r="R1645" i="2" s="1"/>
  <c r="L1654" i="2" a="1"/>
  <c r="L1654" i="2" s="1"/>
  <c r="J1651" i="2" a="1"/>
  <c r="J1651" i="2" s="1"/>
  <c r="O1657" i="2" a="1"/>
  <c r="O1657" i="2" s="1"/>
  <c r="H1657" i="2" s="1"/>
  <c r="J1652" i="2" a="1"/>
  <c r="J1652" i="2" s="1"/>
  <c r="S1645" i="2" a="1"/>
  <c r="S1645" i="2" s="1"/>
  <c r="S1648" i="2" a="1"/>
  <c r="S1648" i="2" s="1"/>
  <c r="I1646" i="2" a="1"/>
  <c r="I1646" i="2" s="1"/>
  <c r="K1651" i="2" a="1"/>
  <c r="K1651" i="2" s="1"/>
  <c r="O1645" i="2" a="1"/>
  <c r="O1645" i="2" s="1"/>
  <c r="H1645" i="2" s="1"/>
  <c r="I1651" i="2" a="1"/>
  <c r="I1651" i="2" s="1"/>
  <c r="L1658" i="2" a="1"/>
  <c r="L1658" i="2" s="1"/>
  <c r="T1657" i="2" a="1"/>
  <c r="T1657" i="2" s="1"/>
  <c r="V1657" i="2" s="1"/>
  <c r="S1652" i="2" a="1"/>
  <c r="S1652" i="2" s="1"/>
  <c r="Q1648" i="2" a="1"/>
  <c r="Q1648" i="2" s="1"/>
  <c r="Q1652" i="2" a="1"/>
  <c r="Q1652" i="2" s="1"/>
  <c r="T1656" i="2" a="1"/>
  <c r="T1656" i="2" s="1"/>
  <c r="V1656" i="2" s="1"/>
  <c r="I1657" i="2" a="1"/>
  <c r="I1657" i="2" s="1"/>
  <c r="L1655" i="2" a="1"/>
  <c r="L1655" i="2" s="1"/>
  <c r="Q1656" i="2" a="1"/>
  <c r="Q1656" i="2" s="1"/>
  <c r="L1649" i="2" a="1"/>
  <c r="L1649" i="2" s="1"/>
  <c r="S1653" i="2" a="1"/>
  <c r="S1653" i="2" s="1"/>
  <c r="N1649" i="2" a="1"/>
  <c r="N1649" i="2" s="1"/>
  <c r="I1652" i="2" a="1"/>
  <c r="I1652" i="2" s="1"/>
  <c r="J1655" i="2" a="1"/>
  <c r="J1655" i="2" s="1"/>
  <c r="R1648" i="2" a="1"/>
  <c r="R1648" i="2" s="1"/>
  <c r="R1647" i="2" a="1"/>
  <c r="R1647" i="2" s="1"/>
  <c r="S1659" i="2" a="1"/>
  <c r="S1659" i="2" s="1"/>
  <c r="P1650" i="2" a="1"/>
  <c r="P1650" i="2" s="1"/>
  <c r="R1652" i="2" a="1"/>
  <c r="R1652" i="2" s="1"/>
  <c r="Q1645" i="2" a="1"/>
  <c r="Q1645" i="2" s="1"/>
  <c r="T1655" i="2" a="1"/>
  <c r="T1655" i="2" s="1"/>
  <c r="S1655" i="2" a="1"/>
  <c r="S1655" i="2" s="1"/>
  <c r="J1649" i="2" a="1"/>
  <c r="J1649" i="2" s="1"/>
  <c r="T1650" i="2" a="1"/>
  <c r="T1650" i="2" s="1"/>
  <c r="V1650" i="2" s="1"/>
  <c r="K1649" i="2" a="1"/>
  <c r="K1649" i="2" s="1"/>
  <c r="P1659" i="2" a="1"/>
  <c r="P1659" i="2" s="1"/>
  <c r="P1648" i="2" a="1"/>
  <c r="P1648" i="2" s="1"/>
  <c r="T1649" i="2" a="1"/>
  <c r="T1649" i="2" s="1"/>
  <c r="V1649" i="2" s="1"/>
  <c r="Q1646" i="2" a="1"/>
  <c r="Q1646" i="2" s="1"/>
  <c r="I1655" i="2" a="1"/>
  <c r="I1655" i="2" s="1"/>
  <c r="O1654" i="2" a="1"/>
  <c r="O1654" i="2" s="1"/>
  <c r="H1654" i="2" s="1"/>
  <c r="O1655" i="2" a="1"/>
  <c r="O1655" i="2" s="1"/>
  <c r="H1655" i="2" s="1"/>
  <c r="R1657" i="2" a="1"/>
  <c r="R1657" i="2" s="1"/>
  <c r="T1651" i="2" a="1"/>
  <c r="T1651" i="2" s="1"/>
  <c r="V1651" i="2" s="1"/>
  <c r="R1655" i="2" a="1"/>
  <c r="R1655" i="2" s="1"/>
  <c r="L1648" i="2" a="1"/>
  <c r="L1648" i="2" s="1"/>
  <c r="L1656" i="2" a="1"/>
  <c r="L1656" i="2" s="1"/>
  <c r="J1648" i="2" a="1"/>
  <c r="J1648" i="2" s="1"/>
  <c r="T1652" i="2" a="1"/>
  <c r="T1652" i="2" s="1"/>
  <c r="V1652" i="2" s="1"/>
  <c r="M1656" i="2" a="1"/>
  <c r="M1656" i="2" s="1"/>
  <c r="K1656" i="2" a="1"/>
  <c r="K1656" i="2" s="1"/>
  <c r="T1646" i="2" a="1"/>
  <c r="T1646" i="2" s="1"/>
  <c r="O1646" i="2" a="1"/>
  <c r="O1646" i="2" s="1"/>
  <c r="H1646" i="2" s="1"/>
  <c r="S1646" i="2" a="1"/>
  <c r="S1646" i="2" s="1"/>
  <c r="T1648" i="2" a="1"/>
  <c r="T1648" i="2" s="1"/>
  <c r="V1648" i="2" s="1"/>
  <c r="P1651" i="2" a="1"/>
  <c r="P1651" i="2" s="1"/>
  <c r="K1652" i="2" a="1"/>
  <c r="K1652" i="2" s="1"/>
  <c r="K1650" i="2" a="1"/>
  <c r="K1650" i="2" s="1"/>
  <c r="M1645" i="2" a="1"/>
  <c r="M1645" i="2" s="1"/>
  <c r="J1656" i="2" a="1"/>
  <c r="J1656" i="2" s="1"/>
  <c r="R1646" i="2" a="1"/>
  <c r="R1646" i="2" s="1"/>
  <c r="S1647" i="2" a="1"/>
  <c r="S1647" i="2" s="1"/>
  <c r="M1655" i="2" a="1"/>
  <c r="M1655" i="2" s="1"/>
  <c r="K1653" i="2" a="1"/>
  <c r="K1653" i="2" s="1"/>
  <c r="M1649" i="2" a="1"/>
  <c r="M1649" i="2" s="1"/>
  <c r="N1651" i="2" a="1"/>
  <c r="N1651" i="2" s="1"/>
  <c r="I1647" i="2" a="1"/>
  <c r="I1647" i="2" s="1"/>
  <c r="J1646" i="2" a="1"/>
  <c r="J1646" i="2" s="1"/>
  <c r="S1651" i="2" a="1"/>
  <c r="S1651" i="2" s="1"/>
  <c r="P1653" i="2" a="1"/>
  <c r="P1653" i="2" s="1"/>
  <c r="I1645" i="2" a="1"/>
  <c r="I1645" i="2" s="1"/>
  <c r="I1659" i="2" a="1"/>
  <c r="I1659" i="2" s="1"/>
  <c r="K1648" i="2" a="1"/>
  <c r="K1648" i="2" s="1"/>
  <c r="M1648" i="2" a="1"/>
  <c r="M1648" i="2" s="1"/>
  <c r="N1658" i="2" a="1"/>
  <c r="N1658" i="2" s="1"/>
  <c r="L1645" i="2" a="1"/>
  <c r="L1645" i="2" s="1"/>
  <c r="P1657" i="2" a="1"/>
  <c r="P1657" i="2" s="1"/>
  <c r="L1657" i="2" a="1"/>
  <c r="L1657" i="2" s="1"/>
  <c r="I1653" i="2" a="1"/>
  <c r="I1653" i="2" s="1"/>
  <c r="L1653" i="2" a="1"/>
  <c r="L1653" i="2" s="1"/>
  <c r="J1645" i="2" a="1"/>
  <c r="J1645" i="2" s="1"/>
  <c r="T1653" i="2" a="1"/>
  <c r="T1653" i="2" s="1"/>
  <c r="V1653" i="2" s="1"/>
  <c r="P1656" i="2" a="1"/>
  <c r="P1656" i="2" s="1"/>
  <c r="S1658" i="2" a="1"/>
  <c r="S1658" i="2" s="1"/>
  <c r="Q1657" i="2" a="1"/>
  <c r="Q1657" i="2" s="1"/>
  <c r="N1653" i="2" a="1"/>
  <c r="N1653" i="2" s="1"/>
  <c r="I1649" i="2" a="1"/>
  <c r="I1649" i="2" s="1"/>
  <c r="R1651" i="2" a="1"/>
  <c r="R1651" i="2" s="1"/>
  <c r="N1646" i="2" a="1"/>
  <c r="N1646" i="2" s="1"/>
  <c r="N1659" i="2" a="1"/>
  <c r="N1659" i="2" s="1"/>
  <c r="M1647" i="2" a="1"/>
  <c r="M1647" i="2" s="1"/>
  <c r="Q1647" i="2" a="1"/>
  <c r="Q1647" i="2" s="1"/>
  <c r="O1648" i="2" a="1"/>
  <c r="O1648" i="2" s="1"/>
  <c r="H1648" i="2" s="1"/>
  <c r="O1653" i="2" a="1"/>
  <c r="O1653" i="2" s="1"/>
  <c r="H1653" i="2" s="1"/>
  <c r="M1654" i="2" a="1"/>
  <c r="M1654" i="2" s="1"/>
  <c r="T1654" i="2" a="1"/>
  <c r="T1654" i="2" s="1"/>
  <c r="V1654" i="2" s="1"/>
  <c r="T1647" i="2" a="1"/>
  <c r="T1647" i="2" s="1"/>
  <c r="V1647" i="2" s="1"/>
  <c r="L1646" i="2" a="1"/>
  <c r="L1646" i="2" s="1"/>
  <c r="K1657" i="2" a="1"/>
  <c r="K1657" i="2" s="1"/>
  <c r="S1654" i="2" a="1"/>
  <c r="S1654" i="2" s="1"/>
  <c r="P1658" i="2" a="1"/>
  <c r="P1658" i="2" s="1"/>
  <c r="Q1650" i="2" a="1"/>
  <c r="Q1650" i="2" s="1"/>
  <c r="N1656" i="2" a="1"/>
  <c r="N1656" i="2" s="1"/>
  <c r="K1659" i="2" a="1"/>
  <c r="K1659" i="2" s="1"/>
  <c r="J1654" i="2" a="1"/>
  <c r="J1654" i="2" s="1"/>
  <c r="P1649" i="2" a="1"/>
  <c r="P1649" i="2" s="1"/>
  <c r="S1656" i="2" a="1"/>
  <c r="S1656" i="2" s="1"/>
  <c r="Q1649" i="2" a="1"/>
  <c r="Q1649" i="2" s="1"/>
  <c r="J1647" i="2" a="1"/>
  <c r="J1647" i="2" s="1"/>
  <c r="I1656" i="2" a="1"/>
  <c r="I1656" i="2" s="1"/>
  <c r="Q1654" i="2" a="1"/>
  <c r="Q1654" i="2" s="1"/>
  <c r="K1645" i="2" a="1"/>
  <c r="K1645" i="2" s="1"/>
  <c r="M1646" i="2" a="1"/>
  <c r="M1646" i="2" s="1"/>
  <c r="S1649" i="2" a="1"/>
  <c r="S1649" i="2" s="1"/>
  <c r="Q1658" i="2" a="1"/>
  <c r="Q1658" i="2" s="1"/>
  <c r="P1654" i="2" a="1"/>
  <c r="P1654" i="2" s="1"/>
  <c r="L1651" i="2" a="1"/>
  <c r="L1651" i="2" s="1"/>
  <c r="P1646" i="2" a="1"/>
  <c r="P1646" i="2" s="1"/>
  <c r="R1649" i="2" a="1"/>
  <c r="R1649" i="2" s="1"/>
  <c r="R1659" i="2" a="1"/>
  <c r="R1659" i="2" s="1"/>
  <c r="M1651" i="2" a="1"/>
  <c r="M1651" i="2" s="1"/>
  <c r="N1648" i="2" a="1"/>
  <c r="N1648" i="2" s="1"/>
  <c r="L1647" i="2" a="1"/>
  <c r="L1647" i="2" s="1"/>
  <c r="K1647" i="2" a="1"/>
  <c r="K1647" i="2" s="1"/>
  <c r="R1658" i="2" a="1"/>
  <c r="R1658" i="2" s="1"/>
  <c r="I1650" i="2" a="1"/>
  <c r="I1650" i="2" s="1"/>
  <c r="M1659" i="2" a="1"/>
  <c r="M1659" i="2" s="1"/>
  <c r="O1652" i="2" a="1"/>
  <c r="O1652" i="2" s="1"/>
  <c r="H1652" i="2" s="1"/>
  <c r="S1650" i="2" a="1"/>
  <c r="S1650" i="2" s="1"/>
  <c r="M1650" i="2" a="1"/>
  <c r="M1650" i="2" s="1"/>
  <c r="R1653" i="2" a="1"/>
  <c r="R1653" i="2" s="1"/>
  <c r="L1659" i="2" a="1"/>
  <c r="L1659" i="2" s="1"/>
  <c r="K1654" i="2" a="1"/>
  <c r="K1654" i="2" s="1"/>
  <c r="M1658" i="2" a="1"/>
  <c r="M1658" i="2" s="1"/>
  <c r="P1645" i="2" a="1"/>
  <c r="P1645" i="2" s="1"/>
  <c r="T1645" i="2" a="1"/>
  <c r="T1645" i="2" s="1"/>
  <c r="V1645" i="2" s="1"/>
  <c r="P1647" i="2" a="1"/>
  <c r="P1647" i="2" s="1"/>
  <c r="P1655" i="2" a="1"/>
  <c r="P1655" i="2" s="1"/>
  <c r="K1646" i="2" a="1"/>
  <c r="K1646" i="2" s="1"/>
  <c r="O1650" i="2" a="1"/>
  <c r="O1650" i="2" s="1"/>
  <c r="H1650" i="2" s="1"/>
  <c r="O1656" i="2" a="1"/>
  <c r="O1656" i="2" s="1"/>
  <c r="H1656" i="2" s="1"/>
  <c r="M1657" i="2" a="1"/>
  <c r="M1657" i="2" s="1"/>
  <c r="T1659" i="2" a="1"/>
  <c r="T1659" i="2" s="1"/>
  <c r="V1659" i="2" s="1"/>
  <c r="O1647" i="2" a="1"/>
  <c r="O1647" i="2" s="1"/>
  <c r="H1647" i="2" s="1"/>
  <c r="Q1655" i="2" a="1"/>
  <c r="Q1655" i="2" s="1"/>
  <c r="I1654" i="2" a="1"/>
  <c r="I1654" i="2" s="1"/>
  <c r="Q1659" i="2" a="1"/>
  <c r="Q1659" i="2" s="1"/>
  <c r="J1659" i="2" a="1"/>
  <c r="J1659" i="2" s="1"/>
  <c r="L1652" i="2" a="1"/>
  <c r="L1652" i="2" s="1"/>
  <c r="L1650" i="2" a="1"/>
  <c r="L1650" i="2" s="1"/>
  <c r="N1645" i="2" a="1"/>
  <c r="N1645" i="2" s="1"/>
  <c r="K1658" i="2" a="1"/>
  <c r="K1658" i="2" s="1"/>
  <c r="T1658" i="2" a="1"/>
  <c r="T1658" i="2" s="1"/>
  <c r="S1657" i="2" a="1"/>
  <c r="S1657" i="2" s="1"/>
  <c r="N1647" i="2" a="1"/>
  <c r="N1647" i="2" s="1"/>
  <c r="Q1651" i="2" a="1"/>
  <c r="Q1651" i="2" s="1"/>
  <c r="N1655" i="2" a="1"/>
  <c r="N1655" i="2" s="1"/>
  <c r="J1653" i="2" a="1"/>
  <c r="J1653" i="2" s="1"/>
  <c r="I1658" i="2" a="1"/>
  <c r="I1658" i="2" s="1"/>
  <c r="N1654" i="2" a="1"/>
  <c r="N1654" i="2" s="1"/>
  <c r="R1654" i="2" a="1"/>
  <c r="R1654" i="2" s="1"/>
  <c r="P1652" i="2" a="1"/>
  <c r="P1652" i="2" s="1"/>
  <c r="N1650" i="2" a="1"/>
  <c r="N1650" i="2" s="1"/>
  <c r="O1649" i="2" a="1"/>
  <c r="O1649" i="2" s="1"/>
  <c r="H1649" i="2" s="1"/>
  <c r="C1664" i="2"/>
  <c r="AD1368" i="2"/>
  <c r="Y1371" i="2"/>
  <c r="H37" i="15"/>
  <c r="I36" i="15" s="1"/>
  <c r="V1386" i="2"/>
  <c r="U31" i="15" s="1"/>
  <c r="I1475" i="2"/>
  <c r="N28" i="15"/>
  <c r="O27" i="15" s="1"/>
  <c r="I1474" i="2"/>
  <c r="Y1374" i="2"/>
  <c r="Z1374" i="2" s="1"/>
  <c r="Z1368" i="2" s="1"/>
  <c r="E1664" i="2" s="1"/>
  <c r="X1374" i="2"/>
  <c r="X1368" i="2" s="1"/>
  <c r="B1664" i="2" s="1"/>
  <c r="W1374" i="2"/>
  <c r="W1368" i="2" s="1"/>
  <c r="D1664" i="2" s="1"/>
  <c r="E1432" i="2"/>
  <c r="B1428" i="2"/>
  <c r="D1432" i="2"/>
  <c r="AA1378" i="2"/>
  <c r="Z1378" i="2"/>
  <c r="AB1378" i="2"/>
  <c r="B1628" i="2"/>
  <c r="D1441" i="2" s="1"/>
  <c r="B1441" i="2" s="1"/>
  <c r="C1629" i="2"/>
  <c r="AB1380" i="2" l="1"/>
  <c r="AB1371" i="2" s="1"/>
  <c r="G1673" i="2" s="1"/>
  <c r="Z1380" i="2"/>
  <c r="Z1371" i="2" s="1"/>
  <c r="E1673" i="2" s="1"/>
  <c r="S1373" i="2"/>
  <c r="AA5" i="15" s="1"/>
  <c r="AG41" i="15" s="1"/>
  <c r="AD1367" i="2"/>
  <c r="AF1367" i="2" s="1"/>
  <c r="D1658" i="2"/>
  <c r="E1649" i="2"/>
  <c r="D1652" i="2"/>
  <c r="F1647" i="2"/>
  <c r="G1647" i="2"/>
  <c r="G1654" i="2"/>
  <c r="E1654" i="2"/>
  <c r="F1656" i="2"/>
  <c r="D1645" i="2"/>
  <c r="B1665" i="2" s="1"/>
  <c r="D1651" i="2"/>
  <c r="D1656" i="2"/>
  <c r="G1656" i="2"/>
  <c r="V1658" i="2"/>
  <c r="F1658" i="2"/>
  <c r="D1650" i="2"/>
  <c r="E1645" i="2"/>
  <c r="E1656" i="2"/>
  <c r="D1653" i="2"/>
  <c r="E1657" i="2"/>
  <c r="D1654" i="2"/>
  <c r="G1645" i="2"/>
  <c r="E1652" i="2"/>
  <c r="G1658" i="2"/>
  <c r="S1660" i="2"/>
  <c r="D1477" i="2" s="1"/>
  <c r="B1477" i="2" s="1"/>
  <c r="F1654" i="2"/>
  <c r="E1658" i="2"/>
  <c r="F1652" i="2"/>
  <c r="G1652" i="2"/>
  <c r="E1647" i="2"/>
  <c r="D1647" i="2"/>
  <c r="G1646" i="2"/>
  <c r="E1650" i="2"/>
  <c r="F1645" i="2"/>
  <c r="F1657" i="2"/>
  <c r="G1651" i="2"/>
  <c r="V1646" i="2"/>
  <c r="E1653" i="2"/>
  <c r="D1646" i="2"/>
  <c r="E1651" i="2"/>
  <c r="E1646" i="2"/>
  <c r="P1660" i="2"/>
  <c r="D1474" i="2" s="1"/>
  <c r="B1474" i="2" s="1"/>
  <c r="R1660" i="2"/>
  <c r="D1476" i="2" s="1"/>
  <c r="B1476" i="2" s="1"/>
  <c r="Q1660" i="2"/>
  <c r="D1475" i="2" s="1"/>
  <c r="B1475" i="2" s="1"/>
  <c r="F1655" i="2"/>
  <c r="D1649" i="2"/>
  <c r="F1653" i="2"/>
  <c r="F1649" i="2"/>
  <c r="G1649" i="2"/>
  <c r="G1655" i="2"/>
  <c r="D1655" i="2"/>
  <c r="F1659" i="2"/>
  <c r="F1646" i="2"/>
  <c r="F1650" i="2"/>
  <c r="F1651" i="2"/>
  <c r="D1657" i="2"/>
  <c r="G1653" i="2"/>
  <c r="G1657" i="2"/>
  <c r="D1648" i="2"/>
  <c r="E1659" i="2"/>
  <c r="V1655" i="2"/>
  <c r="D1659" i="2"/>
  <c r="E1648" i="2"/>
  <c r="O1660" i="2"/>
  <c r="D1473" i="2" s="1"/>
  <c r="B1473" i="2" s="1"/>
  <c r="B1472" i="2" s="1"/>
  <c r="V47" i="15" s="1"/>
  <c r="F1648" i="2"/>
  <c r="G1648" i="2"/>
  <c r="G1650" i="2"/>
  <c r="G1659" i="2"/>
  <c r="E1655" i="2"/>
  <c r="V1398" i="2"/>
  <c r="AH33" i="15" s="1"/>
  <c r="V1406" i="2"/>
  <c r="AA37" i="15" s="1"/>
  <c r="Y1368" i="2"/>
  <c r="AA1374" i="2"/>
  <c r="AA1368" i="2" s="1"/>
  <c r="F1664" i="2" s="1"/>
  <c r="AB1374" i="2"/>
  <c r="AB1368" i="2" s="1"/>
  <c r="G1664" i="2" s="1"/>
  <c r="W1365" i="2"/>
  <c r="D1427" i="2"/>
  <c r="V40" i="15" s="1"/>
  <c r="U42" i="15" s="1"/>
  <c r="B1427" i="2"/>
  <c r="G1457" i="2"/>
  <c r="C1630" i="2"/>
  <c r="B1630" i="2" s="1"/>
  <c r="D1443" i="2" s="1"/>
  <c r="B1443" i="2" s="1"/>
  <c r="B1629" i="2"/>
  <c r="D1442" i="2" s="1"/>
  <c r="B1442" i="2" s="1"/>
  <c r="C1665" i="2" l="1"/>
  <c r="E1665" i="2"/>
  <c r="G1665" i="2"/>
  <c r="F1665" i="2"/>
  <c r="V1644" i="2"/>
  <c r="W1644" i="2" s="1"/>
  <c r="B57" i="15" s="1"/>
  <c r="D1665" i="2"/>
  <c r="D1671" i="2"/>
  <c r="D1674" i="2"/>
  <c r="E1668" i="2"/>
  <c r="B1668" i="2"/>
  <c r="F1674" i="2"/>
  <c r="E1674" i="2"/>
  <c r="D1668" i="2"/>
  <c r="F1671" i="2"/>
  <c r="G1668" i="2"/>
  <c r="G1671" i="2"/>
  <c r="C1668" i="2"/>
  <c r="C1671" i="2"/>
  <c r="C1674" i="2"/>
  <c r="B1671" i="2"/>
  <c r="E1671" i="2"/>
  <c r="F1668" i="2"/>
  <c r="B1674" i="2"/>
  <c r="G1674" i="2"/>
  <c r="I1476" i="2"/>
  <c r="D1472" i="2"/>
  <c r="I1478" i="2" s="1"/>
  <c r="I1479" i="2" l="1"/>
  <c r="A1674" i="2" s="1"/>
  <c r="V51" i="15"/>
  <c r="A1668" i="2" l="1"/>
  <c r="A1675" i="2"/>
  <c r="A1664" i="2"/>
  <c r="A1672" i="2"/>
  <c r="A1667" i="2"/>
  <c r="A1665" i="2"/>
  <c r="A1670" i="2"/>
  <c r="A1666" i="2"/>
  <c r="A1669" i="2"/>
  <c r="A1673" i="2"/>
  <c r="A1671" i="2"/>
  <c r="C1683" i="2" l="1" a="1"/>
  <c r="C1683" i="2" s="1"/>
  <c r="J61" i="15" s="1"/>
  <c r="F1689" i="2" a="1"/>
  <c r="F1689" i="2" s="1"/>
  <c r="D1684" i="2" a="1"/>
  <c r="D1684" i="2" s="1"/>
  <c r="Z62" i="15" s="1"/>
  <c r="H1686" i="2" a="1"/>
  <c r="H1686" i="2" s="1"/>
  <c r="A64" i="15" s="1"/>
  <c r="D1688" i="2" a="1"/>
  <c r="D1688" i="2" s="1"/>
  <c r="D1689" i="2" a="1"/>
  <c r="D1689" i="2" s="1"/>
  <c r="C1690" i="2" a="1"/>
  <c r="C1690" i="2" s="1"/>
  <c r="G1682" i="2" a="1"/>
  <c r="G1682" i="2" s="1"/>
  <c r="AK60" i="15" s="1"/>
  <c r="H1689" i="2" a="1"/>
  <c r="H1689" i="2" s="1"/>
  <c r="C1680" i="2" a="1"/>
  <c r="C1680" i="2" s="1"/>
  <c r="J58" i="15" s="1"/>
  <c r="H1684" i="2" a="1"/>
  <c r="H1684" i="2" s="1"/>
  <c r="A62" i="15" s="1"/>
  <c r="D1685" i="2" a="1"/>
  <c r="D1685" i="2" s="1"/>
  <c r="Z63" i="15" s="1"/>
  <c r="G1684" i="2" a="1"/>
  <c r="G1684" i="2" s="1"/>
  <c r="AK62" i="15" s="1"/>
  <c r="B1681" i="2" a="1"/>
  <c r="B1681" i="2" s="1"/>
  <c r="B59" i="15" s="1"/>
  <c r="C1691" i="2" a="1"/>
  <c r="C1691" i="2" s="1"/>
  <c r="C1687" i="2" a="1"/>
  <c r="C1687" i="2" s="1"/>
  <c r="F1685" i="2" a="1"/>
  <c r="F1685" i="2" s="1"/>
  <c r="AJ63" i="15" s="1"/>
  <c r="E1683" i="2" a="1"/>
  <c r="E1683" i="2" s="1"/>
  <c r="AH61" i="15" s="1"/>
  <c r="H1687" i="2" a="1"/>
  <c r="H1687" i="2" s="1"/>
  <c r="F1691" i="2" a="1"/>
  <c r="F1691" i="2" s="1"/>
  <c r="C1684" i="2" a="1"/>
  <c r="C1684" i="2" s="1"/>
  <c r="J62" i="15" s="1"/>
  <c r="H1683" i="2" a="1"/>
  <c r="H1683" i="2" s="1"/>
  <c r="A61" i="15" s="1"/>
  <c r="E1685" i="2" a="1"/>
  <c r="E1685" i="2" s="1"/>
  <c r="AH63" i="15" s="1"/>
  <c r="B1685" i="2" a="1"/>
  <c r="B1685" i="2" s="1"/>
  <c r="B63" i="15" s="1"/>
  <c r="E1691" i="2" a="1"/>
  <c r="E1691" i="2" s="1"/>
  <c r="H1681" i="2" a="1"/>
  <c r="H1681" i="2" s="1"/>
  <c r="A59" i="15" s="1"/>
  <c r="D1690" i="2" a="1"/>
  <c r="D1690" i="2" s="1"/>
  <c r="D1687" i="2" a="1"/>
  <c r="D1687" i="2" s="1"/>
  <c r="B1684" i="2" a="1"/>
  <c r="B1684" i="2" s="1"/>
  <c r="B62" i="15" s="1"/>
  <c r="D1681" i="2" a="1"/>
  <c r="D1681" i="2" s="1"/>
  <c r="Z59" i="15" s="1"/>
  <c r="H1680" i="2" a="1"/>
  <c r="H1680" i="2" s="1"/>
  <c r="A58" i="15" s="1"/>
  <c r="G1683" i="2" a="1"/>
  <c r="G1683" i="2" s="1"/>
  <c r="AK61" i="15" s="1"/>
  <c r="H1691" i="2" a="1"/>
  <c r="H1691" i="2" s="1"/>
  <c r="G1685" i="2" a="1"/>
  <c r="G1685" i="2" s="1"/>
  <c r="AK63" i="15" s="1"/>
  <c r="B1687" i="2" a="1"/>
  <c r="B1687" i="2" s="1"/>
  <c r="C1681" i="2" a="1"/>
  <c r="C1681" i="2" s="1"/>
  <c r="J59" i="15" s="1"/>
  <c r="C1689" i="2" a="1"/>
  <c r="C1689" i="2" s="1"/>
  <c r="C1682" i="2" a="1"/>
  <c r="C1682" i="2" s="1"/>
  <c r="J60" i="15" s="1"/>
  <c r="B1686" i="2" a="1"/>
  <c r="B1686" i="2" s="1"/>
  <c r="B64" i="15" s="1"/>
  <c r="E1681" i="2" a="1"/>
  <c r="E1681" i="2" s="1"/>
  <c r="AH59" i="15" s="1"/>
  <c r="E1689" i="2" a="1"/>
  <c r="E1689" i="2" s="1"/>
  <c r="D1680" i="2" a="1"/>
  <c r="D1680" i="2" s="1"/>
  <c r="Z58" i="15" s="1"/>
  <c r="F1684" i="2" a="1"/>
  <c r="F1684" i="2" s="1"/>
  <c r="AJ62" i="15" s="1"/>
  <c r="G1686" i="2" a="1"/>
  <c r="G1686" i="2" s="1"/>
  <c r="AK64" i="15" s="1"/>
  <c r="G1689" i="2" a="1"/>
  <c r="G1689" i="2" s="1"/>
  <c r="F1687" i="2" a="1"/>
  <c r="F1687" i="2" s="1"/>
  <c r="B1690" i="2" a="1"/>
  <c r="B1690" i="2" s="1"/>
  <c r="C1685" i="2" a="1"/>
  <c r="C1685" i="2" s="1"/>
  <c r="J63" i="15" s="1"/>
  <c r="G1691" i="2" a="1"/>
  <c r="G1691" i="2" s="1"/>
  <c r="G1680" i="2" a="1"/>
  <c r="G1680" i="2" s="1"/>
  <c r="AK58" i="15" s="1"/>
  <c r="E1686" i="2" a="1"/>
  <c r="E1686" i="2" s="1"/>
  <c r="AH64" i="15" s="1"/>
  <c r="E1680" i="2" a="1"/>
  <c r="E1680" i="2" s="1"/>
  <c r="AH58" i="15" s="1"/>
  <c r="D1686" i="2" a="1"/>
  <c r="D1686" i="2" s="1"/>
  <c r="Z64" i="15" s="1"/>
  <c r="B1683" i="2" a="1"/>
  <c r="B1683" i="2" s="1"/>
  <c r="B61" i="15" s="1"/>
  <c r="D1682" i="2" a="1"/>
  <c r="D1682" i="2" s="1"/>
  <c r="Z60" i="15" s="1"/>
  <c r="G1681" i="2" a="1"/>
  <c r="G1681" i="2" s="1"/>
  <c r="AK59" i="15" s="1"/>
  <c r="E1687" i="2" a="1"/>
  <c r="E1687" i="2" s="1"/>
  <c r="F1682" i="2" a="1"/>
  <c r="F1682" i="2" s="1"/>
  <c r="AJ60" i="15" s="1"/>
  <c r="B1688" i="2" a="1"/>
  <c r="B1688" i="2" s="1"/>
  <c r="C1688" i="2" a="1"/>
  <c r="C1688" i="2" s="1"/>
  <c r="H1682" i="2" a="1"/>
  <c r="H1682" i="2" s="1"/>
  <c r="A60" i="15" s="1"/>
  <c r="F1683" i="2" a="1"/>
  <c r="F1683" i="2" s="1"/>
  <c r="AJ61" i="15" s="1"/>
  <c r="F1690" i="2" a="1"/>
  <c r="F1690" i="2" s="1"/>
  <c r="E1688" i="2" a="1"/>
  <c r="E1688" i="2" s="1"/>
  <c r="B1682" i="2" a="1"/>
  <c r="B1682" i="2" s="1"/>
  <c r="B60" i="15" s="1"/>
  <c r="E1682" i="2" a="1"/>
  <c r="E1682" i="2" s="1"/>
  <c r="AH60" i="15" s="1"/>
  <c r="G1687" i="2" a="1"/>
  <c r="G1687" i="2" s="1"/>
  <c r="B1691" i="2" a="1"/>
  <c r="B1691" i="2" s="1"/>
  <c r="H1685" i="2" a="1"/>
  <c r="H1685" i="2" s="1"/>
  <c r="A63" i="15" s="1"/>
  <c r="C1686" i="2" a="1"/>
  <c r="C1686" i="2" s="1"/>
  <c r="J64" i="15" s="1"/>
  <c r="G1688" i="2" a="1"/>
  <c r="G1688" i="2" s="1"/>
  <c r="G1690" i="2" a="1"/>
  <c r="G1690" i="2" s="1"/>
  <c r="E1684" i="2" a="1"/>
  <c r="E1684" i="2" s="1"/>
  <c r="AH62" i="15" s="1"/>
  <c r="B1680" i="2" a="1"/>
  <c r="B1680" i="2" s="1"/>
  <c r="B58" i="15" s="1"/>
  <c r="E1690" i="2" a="1"/>
  <c r="E1690" i="2" s="1"/>
  <c r="H1690" i="2" a="1"/>
  <c r="H1690" i="2" s="1"/>
  <c r="F1681" i="2" a="1"/>
  <c r="F1681" i="2" s="1"/>
  <c r="AJ59" i="15" s="1"/>
  <c r="D1691" i="2" a="1"/>
  <c r="D1691" i="2" s="1"/>
  <c r="B1689" i="2" a="1"/>
  <c r="B1689" i="2" s="1"/>
  <c r="H1688" i="2" a="1"/>
  <c r="H1688" i="2" s="1"/>
  <c r="F1688" i="2" a="1"/>
  <c r="F1688" i="2" s="1"/>
  <c r="F1686" i="2" a="1"/>
  <c r="F1686" i="2" s="1"/>
  <c r="AJ64" i="15" s="1"/>
  <c r="F1680" i="2" a="1"/>
  <c r="F1680" i="2" s="1"/>
  <c r="AJ58" i="15" s="1"/>
  <c r="D1683" i="2" a="1"/>
  <c r="D1683" i="2" s="1"/>
  <c r="Z61" i="15" s="1"/>
</calcChain>
</file>

<file path=xl/comments1.xml><?xml version="1.0" encoding="utf-8"?>
<comments xmlns="http://schemas.openxmlformats.org/spreadsheetml/2006/main">
  <authors>
    <author>Harald Nitz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Achtung C377 anpassen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zeichenfolge für nicht vorhanden
</t>
        </r>
      </text>
    </comment>
    <comment ref="G3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entfällt bei schlüsselvergabe, da bereits Nr 20</t>
        </r>
      </text>
    </comment>
    <comment ref="AH4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Bestimmung Scharniertyp</t>
        </r>
      </text>
    </comment>
    <comment ref="K5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nur 160 hat 10 alle anderen nur bis 7 möglich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 Montageplatte = (ta + offset - 15-Topfabst) x -1 - Kröpfung
muss größer als -2 sein
Ta = Türauflage Eingabewert
N44=4 bei Inset nur 9,5 Kröpfung möglich
</t>
        </r>
      </text>
    </comment>
    <comment ref="L7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
- Bei keinem Ergebnis da sonst "" als Lösung gilt</t>
        </r>
      </text>
    </comment>
    <comment ref="AD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Mintageplattetyp
Kreuz, linear, Delta,..
</t>
        </r>
      </text>
    </comment>
    <comment ref="AE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Montageplattenhöhe
MPH Standard, Mph Winkel…
</t>
        </r>
      </text>
    </comment>
    <comment ref="AG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Bohrbild Montageplatte
Auswahl</t>
        </r>
      </text>
    </comment>
    <comment ref="AK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Text verlinken
Scharnierbefestigung II</t>
        </r>
      </text>
    </comment>
    <comment ref="AM9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Bezug auf Scharnierbefestigung II Zahlenwert 1-5</t>
        </r>
      </text>
    </comment>
    <comment ref="A120" authorId="0">
      <text>
        <r>
          <rPr>
            <b/>
            <sz val="9"/>
            <color indexed="81"/>
            <rFont val="Tahoma"/>
            <family val="2"/>
          </rPr>
          <t>Harald Nitz:
nächste lösung mit - offset k0-k19
achtung bei inset beded nur K9,5 zulässig</t>
        </r>
      </text>
    </comment>
    <comment ref="C1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nächste lösung mit - offset k3
</t>
        </r>
      </text>
    </comment>
    <comment ref="E1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nächste lösung mit - offset k0</t>
        </r>
      </text>
    </comment>
    <comment ref="G1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nächste lösung mit - offset k9,5</t>
        </r>
      </text>
    </comment>
    <comment ref="I1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nächste lösung mit - offset k19</t>
        </r>
      </text>
    </comment>
    <comment ref="B1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alle
</t>
        </r>
      </text>
    </comment>
    <comment ref="F1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in box links und liste alle mit 1</t>
        </r>
      </text>
    </comment>
    <comment ref="B17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k19
</t>
        </r>
      </text>
    </comment>
    <comment ref="B17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k9,5
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k0</t>
        </r>
      </text>
    </comment>
    <comment ref="B18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K3</t>
        </r>
      </text>
    </comment>
    <comment ref="G18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kopie von auswahl</t>
        </r>
      </text>
    </comment>
    <comment ref="J18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0 gar keine lösung
</t>
        </r>
      </text>
    </comment>
    <comment ref="J18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0 nur eine lösung
</t>
        </r>
      </text>
    </comment>
    <comment ref="J18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0 keine, 1 nur eine, 2 2 lösungen</t>
        </r>
      </text>
    </comment>
    <comment ref="G31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Graue Felder mit Inhalt = 0
leer = 1</t>
        </r>
      </text>
    </comment>
    <comment ref="P31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türstärke</t>
        </r>
      </text>
    </comment>
    <comment ref="AQ31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muster</t>
        </r>
      </text>
    </comment>
    <comment ref="AO3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vormal u340</t>
        </r>
      </text>
    </comment>
    <comment ref="AQ3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aktueller wert</t>
        </r>
      </text>
    </comment>
    <comment ref="BA33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bohrbild abhängig von Befestigung
</t>
        </r>
      </text>
    </comment>
    <comment ref="AT33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M33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1,0 - 1,49 = 1,0
1,5 - 1,99 = 1,5</t>
        </r>
      </text>
    </comment>
    <comment ref="A36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Scharnier wird nach Gruppenschlüssel, Bohrbild, Befestigung und Dämpfung ausgewählt
</t>
        </r>
      </text>
    </comment>
    <comment ref="Q37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zahlenshema zum Text</t>
        </r>
      </text>
    </comment>
    <comment ref="W37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Min
KL: ein-Min
 Fehler
  ein&lt;=min sonst max
Max
GR:Max-Ein
 Fehler
  ein&gt;=max sonst min
</t>
        </r>
      </text>
    </comment>
    <comment ref="C3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Bei Änderung von Ja hier Anpassungen vornehmen
</t>
        </r>
      </text>
    </comment>
    <comment ref="D3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ursprüngliche lösung v341</t>
        </r>
      </text>
    </comment>
    <comment ref="P37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Zuordnung Text
Nur Info</t>
        </r>
      </text>
    </comment>
    <comment ref="M40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Abzug wegen Montageplatte</t>
        </r>
      </text>
    </comment>
    <comment ref="O44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</t>
        </r>
      </text>
    </comment>
    <comment ref="AU45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AM47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alte lösung
</t>
        </r>
      </text>
    </comment>
    <comment ref="AU56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R56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</t>
        </r>
      </text>
    </comment>
    <comment ref="AL57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alte berechnung
</t>
        </r>
      </text>
    </comment>
    <comment ref="O74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pcc hat keine Auflage</t>
        </r>
      </text>
    </comment>
    <comment ref="G74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Graue Felder mit Inhalt = 0
leer = 1</t>
        </r>
      </text>
    </comment>
    <comment ref="AC74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Bestimmung Scharniertyp</t>
        </r>
      </text>
    </comment>
    <comment ref="K75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Für M0 -42</t>
        </r>
      </text>
    </comment>
    <comment ref="A78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Scharnier wird nach Gruppenschlüssel, Bohrbild, Befestigung und Dämpfung ausgewählt
</t>
        </r>
      </text>
    </comment>
    <comment ref="U78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1,0 - 1,49 = 1,0
1,5 - 1,99 = 1,5</t>
        </r>
      </text>
    </comment>
    <comment ref="Y79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Mintageplattetyp
Kreuz, linear, Delta,..
</t>
        </r>
      </text>
    </comment>
    <comment ref="Z79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Montageplattenhöhe
MPH Standard, Mph Winkel…
</t>
        </r>
      </text>
    </comment>
    <comment ref="AB79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Bohrbild Montageplatte
Auswahl</t>
        </r>
      </text>
    </comment>
    <comment ref="AF79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Text verlinken
Scharnierbefestigung II</t>
        </r>
      </text>
    </comment>
    <comment ref="B79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 Montageplatte = (ta + offset - 15-Topfabst) x -1 - Kröpfung
muss größer als -2 sein
Ta = Türauflage Eingabewert</t>
        </r>
      </text>
    </comment>
    <comment ref="C79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höhe MP  und randbedingungen 
sind erfüllt
randbedingungen = Typ und befestigung passt
Typ MP = h16 (1-4)
Befestigung = L15 (1-5)
</t>
        </r>
      </text>
    </comment>
    <comment ref="Q79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zahlenshema zum Text</t>
        </r>
      </text>
    </comment>
    <comment ref="F80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</t>
        </r>
      </text>
    </comment>
    <comment ref="O80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AH81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Bezug auf Scharnierbefestigung II Zahlenwert 1-5</t>
        </r>
      </text>
    </comment>
    <comment ref="L81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für pcc gibt es nur MPH 0</t>
        </r>
      </text>
    </comment>
    <comment ref="M92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Abzug wegen Montageplatte</t>
        </r>
      </text>
    </comment>
    <comment ref="N92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Diese Möglichkeiten verschwinden, wenn keine Lösung gefunden wird
</t>
        </r>
      </text>
    </comment>
    <comment ref="O92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Möglichkeiten aus Datenbanksuche zeigt immer eine Auswahl</t>
        </r>
      </text>
    </comment>
    <comment ref="O94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=6 dann montageplatte möglich in scharnier = 0
also keine Anzeige</t>
        </r>
      </text>
    </comment>
    <comment ref="K96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K97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* für mehrfachkröpfung
</t>
        </r>
      </text>
    </comment>
    <comment ref="G97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Graue Felder mit Inhalt = 0
leer = 1</t>
        </r>
      </text>
    </comment>
    <comment ref="J99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Anzahl Platten
</t>
        </r>
      </text>
    </comment>
    <comment ref="Q100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1,0 - 1,49 = 1,0
1,5 - 1,99 = 1,5</t>
        </r>
      </text>
    </comment>
    <comment ref="A101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Scharnier wird nach Gruppenschlüssel, Bohrbild, Befestigung und Dämpfung ausgewählt
</t>
        </r>
      </text>
    </comment>
    <comment ref="Q10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zahlenshema zum Text</t>
        </r>
      </text>
    </comment>
    <comment ref="Y103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Kreuz, Linear, Delta…
</t>
        </r>
      </text>
    </comment>
    <comment ref="AB103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Befestigung MTP</t>
        </r>
      </text>
    </comment>
    <comment ref="B103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 Montageplatte = (ta + offset - 15-Topfabst) x -1 - Kröpfung
muss größer als -2 sein
Ta = Türauflage Eingabewert</t>
        </r>
      </text>
    </comment>
    <comment ref="C103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höhe MP  und randbedingungen 
sind erfüllt
randbedingungen = Typ und befestigung passt
Typ MP = h16 (1-4)
Befestigung = L15 (1-5)
</t>
        </r>
      </text>
    </comment>
    <comment ref="F104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</t>
        </r>
      </text>
    </comment>
    <comment ref="O104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suchblock für datenbank</t>
        </r>
      </text>
    </comment>
    <comment ref="L105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AL110 gehen alle - ist nicht von Topf abhängig.
0 wird als MPH gesetzt, weil dies passt.
Nur bei vorhandenen Werten links</t>
        </r>
      </text>
    </comment>
    <comment ref="M116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Abzug wegen Montageplatte</t>
        </r>
      </text>
    </comment>
    <comment ref="Q117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Text bei -02</t>
        </r>
      </text>
    </comment>
    <comment ref="O118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=6 dann montageplatte möglich in scharnier = 0
also keine Anzeige</t>
        </r>
      </text>
    </comment>
    <comment ref="Q120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mehrere Kröpfungen zur Lösung führen
</t>
        </r>
      </text>
    </comment>
    <comment ref="M1216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nach Randbedingung = 1 
Ausgabe Montageplattenhöhe</t>
        </r>
      </text>
    </comment>
    <comment ref="B13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alle
</t>
        </r>
      </text>
    </comment>
    <comment ref="F13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suche in box links und liste alle mit 1</t>
        </r>
      </text>
    </comment>
    <comment ref="B132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K3</t>
        </r>
      </text>
    </comment>
    <comment ref="B132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k0</t>
        </r>
      </text>
    </comment>
    <comment ref="B132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k9,5
</t>
        </r>
      </text>
    </comment>
    <comment ref="B132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k19
</t>
        </r>
      </text>
    </comment>
    <comment ref="D133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winkel von Tür zur seite</t>
        </r>
      </text>
    </comment>
    <comment ref="U133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Summe &lt;&gt;0 = Winkelscharnier</t>
        </r>
      </text>
    </comment>
    <comment ref="K134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öffnungswinkel scharnier</t>
        </r>
      </text>
    </comment>
    <comment ref="O1349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*davor = mit öffnungswinkelbegrenzer</t>
        </r>
      </text>
    </comment>
    <comment ref="L135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="" bei "*"
</t>
        </r>
      </text>
    </comment>
    <comment ref="AD136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S1-S4 =#Wert passt die Kröpfung nicht
Alle anderen Kriterien sind abgefragt
Hier tritt ein Fehler auf, der eine 1 erzeugt.
Ist die Summe &gt;0 stimmt die Kröpfung nicht und wird rot</t>
        </r>
      </text>
    </comment>
    <comment ref="H138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mögliche lösungen = 1
</t>
        </r>
      </text>
    </comment>
    <comment ref="L138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wird von links nach rechts ausgewählt. Grösste Kröpfung bleibt übrig
</t>
        </r>
      </text>
    </comment>
    <comment ref="R138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1 und 7 sind aus der selben Berechnung werden aber mit bereichverschieben aus der berechnungsnummer gewählt</t>
        </r>
      </text>
    </comment>
    <comment ref="V141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alter formel für flex darstellung in box ungeeignet für auswahl
</t>
        </r>
      </text>
    </comment>
    <comment ref="U142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=WENN(Q1427&gt;0;1;"")</t>
        </r>
      </text>
    </comment>
    <comment ref="U145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=WENN(Q1457&gt;0;1;"")</t>
        </r>
      </text>
    </comment>
    <comment ref="H145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zuordnung Typ/Befestigung</t>
        </r>
      </text>
    </comment>
    <comment ref="C1500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 Montageplatte = (ta + offset - 15-Topfabst) x -1 - Kröpfung
muss größer als -2 sein
Ta = Türauflage Eingabewert</t>
        </r>
      </text>
    </comment>
    <comment ref="C1508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Lösung für --- mit 0 da Montaheplattenhöhe 0 geht</t>
        </r>
      </text>
    </comment>
    <comment ref="B157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MPH ist aus Katalog, also immer eine Lösung</t>
        </r>
      </text>
    </comment>
    <comment ref="I157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nur zahlenlösung, sonst auswahlfehler oben</t>
        </r>
      </text>
    </comment>
    <comment ref="C157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scharniernummer
muss 8 10 oder 12 sein
</t>
        </r>
      </text>
    </comment>
    <comment ref="J157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Scharniernummer</t>
        </r>
      </text>
    </comment>
    <comment ref="J166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Nur Info</t>
        </r>
      </text>
    </comment>
    <comment ref="L1663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Wenn Mph vorhanden gibt es eine Lösung</t>
        </r>
      </text>
    </comment>
    <comment ref="C1725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 Montageplatte = (ta + offset - 15-Topfabst) x -1 - Kröpfung
muss größer als -2 sein
Ta = Türauflage Eingabewert</t>
        </r>
      </text>
    </comment>
  </commentList>
</comments>
</file>

<file path=xl/comments2.xml><?xml version="1.0" encoding="utf-8"?>
<comments xmlns="http://schemas.openxmlformats.org/spreadsheetml/2006/main">
  <authors>
    <author>Harald Nitz</author>
  </authors>
  <commentList>
    <comment ref="Q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Harald Nitz:
bei 110° und 120°
 geht nur TS bis 24 nur mit ÖWB geht 36
</t>
        </r>
      </text>
    </comment>
    <comment ref="R4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Harald Nitz:
bei 110° und 120°
 geht nur TS bis 24 nur mit ÖWB geht 36
</t>
        </r>
      </text>
    </comment>
    <comment ref="D37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=BEREICH.VERSCHIEBEN(C37;select!$I$1388;0)</t>
        </r>
      </text>
    </comment>
  </commentList>
</comments>
</file>

<file path=xl/comments3.xml><?xml version="1.0" encoding="utf-8"?>
<comments xmlns="http://schemas.openxmlformats.org/spreadsheetml/2006/main">
  <authors>
    <author>Harald Nitz</author>
  </authors>
  <commentList>
    <comment ref="AO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1 = Standard
2 = Winkel
3 = Glas/Spiegel
4 = spezial</t>
        </r>
      </text>
    </comment>
    <comment ref="BF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begriff
</t>
        </r>
      </text>
    </comment>
    <comment ref="BG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zeile Sprachdatenblatt</t>
        </r>
      </text>
    </comment>
    <comment ref="BH1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formel
</t>
        </r>
      </text>
    </comment>
  </commentList>
</comments>
</file>

<file path=xl/comments4.xml><?xml version="1.0" encoding="utf-8"?>
<comments xmlns="http://schemas.openxmlformats.org/spreadsheetml/2006/main">
  <authors>
    <author>Harald Nitz</author>
  </authors>
  <commentList>
    <comment ref="AM2" author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benötigt für mögliche MPH bei berechnung</t>
        </r>
      </text>
    </comment>
  </commentList>
</comments>
</file>

<file path=xl/sharedStrings.xml><?xml version="1.0" encoding="utf-8"?>
<sst xmlns="http://schemas.openxmlformats.org/spreadsheetml/2006/main" count="8947" uniqueCount="4029">
  <si>
    <t>Türauflage</t>
  </si>
  <si>
    <t>Topfabstand</t>
  </si>
  <si>
    <t>Bohrbild</t>
  </si>
  <si>
    <t>45/9,5</t>
  </si>
  <si>
    <t>Montageplattenhöhe</t>
  </si>
  <si>
    <t>Kröpfung</t>
  </si>
  <si>
    <t>Kreuzmontageplatte</t>
  </si>
  <si>
    <t>Linearmontageplatte</t>
  </si>
  <si>
    <t>48/9</t>
  </si>
  <si>
    <t>42/11</t>
  </si>
  <si>
    <t>52/5,5</t>
  </si>
  <si>
    <t>48/6</t>
  </si>
  <si>
    <t xml:space="preserve"> Scharnierbefestigung </t>
  </si>
  <si>
    <t>Scharniertyp</t>
  </si>
  <si>
    <t>mit Soft Close</t>
  </si>
  <si>
    <t>ohne Soft Close</t>
  </si>
  <si>
    <t>Tipmatic</t>
  </si>
  <si>
    <t>Deutsch</t>
  </si>
  <si>
    <t>Sprache</t>
  </si>
  <si>
    <t>German</t>
  </si>
  <si>
    <t>Montageplatte</t>
  </si>
  <si>
    <t xml:space="preserve">Scharnierbefestigung </t>
  </si>
  <si>
    <t>95°</t>
  </si>
  <si>
    <t>110°</t>
  </si>
  <si>
    <t>120°</t>
  </si>
  <si>
    <t>160°</t>
  </si>
  <si>
    <t>Scharnier</t>
  </si>
  <si>
    <t>Montageplattentyp</t>
  </si>
  <si>
    <t>ohne Feder</t>
  </si>
  <si>
    <t>Anschrauben</t>
  </si>
  <si>
    <t>Einpressen</t>
  </si>
  <si>
    <t>Werkzeuglos</t>
  </si>
  <si>
    <t>Bestellnummer</t>
  </si>
  <si>
    <t>F028138519</t>
  </si>
  <si>
    <t>F028138523</t>
  </si>
  <si>
    <t>F017139329</t>
  </si>
  <si>
    <t>F045138461</t>
  </si>
  <si>
    <t>F034139300</t>
  </si>
  <si>
    <t>F046138579</t>
  </si>
  <si>
    <t>F035139357</t>
  </si>
  <si>
    <t>37/32</t>
  </si>
  <si>
    <t>28/32</t>
  </si>
  <si>
    <t>Höhe</t>
  </si>
  <si>
    <t>F058139751</t>
  </si>
  <si>
    <t>F058139752</t>
  </si>
  <si>
    <t>F058139753</t>
  </si>
  <si>
    <t>F058139754</t>
  </si>
  <si>
    <t>F058139796</t>
  </si>
  <si>
    <t>F058139797</t>
  </si>
  <si>
    <t>F058139798</t>
  </si>
  <si>
    <t>F058139799</t>
  </si>
  <si>
    <t>Linear</t>
  </si>
  <si>
    <t>Kreuz</t>
  </si>
  <si>
    <t>Winkel</t>
  </si>
  <si>
    <t>Bezeichnung 1</t>
  </si>
  <si>
    <t>Bezeichnung 2</t>
  </si>
  <si>
    <t>Bezeichnung TGr</t>
  </si>
  <si>
    <t>mit Dämpfung</t>
  </si>
  <si>
    <t>ohne Dämpfung</t>
  </si>
  <si>
    <t>110°, MB-BB, K00, ni</t>
  </si>
  <si>
    <t>Tiomos Impresso Scharniere</t>
  </si>
  <si>
    <t>F017139330</t>
  </si>
  <si>
    <t>110°, MB-BB, K03, ni</t>
  </si>
  <si>
    <t>F017139331</t>
  </si>
  <si>
    <t>F017139332</t>
  </si>
  <si>
    <t>110°, MB-BB, K19, ni</t>
  </si>
  <si>
    <t>F017139343</t>
  </si>
  <si>
    <t>120°, MB-BB, K00, ni</t>
  </si>
  <si>
    <t>F017139344</t>
  </si>
  <si>
    <t>120°, MB-BB, K03, ni</t>
  </si>
  <si>
    <t>F017139345</t>
  </si>
  <si>
    <t>F017139346</t>
  </si>
  <si>
    <t>120°, MB-BB, K19, ni</t>
  </si>
  <si>
    <t>F017139350</t>
  </si>
  <si>
    <t>160°, MB-BB, K00, ni</t>
  </si>
  <si>
    <t>F017139351</t>
  </si>
  <si>
    <t>160°, MB-BB, K03, ni</t>
  </si>
  <si>
    <t>F017139352</t>
  </si>
  <si>
    <t>F017139353</t>
  </si>
  <si>
    <t>95°, MB-BB, K00, ni</t>
  </si>
  <si>
    <t>F017139354</t>
  </si>
  <si>
    <t>95°, MB-BB, K03, ni</t>
  </si>
  <si>
    <t>F017139355</t>
  </si>
  <si>
    <t>F017139356</t>
  </si>
  <si>
    <t>95°, MB-BB, K19, ni</t>
  </si>
  <si>
    <t>F017139414</t>
  </si>
  <si>
    <t>110°, GB-BB, K00, ni</t>
  </si>
  <si>
    <t>F017139415</t>
  </si>
  <si>
    <t>110°, GB-BB, K03, ni</t>
  </si>
  <si>
    <t>F017139416</t>
  </si>
  <si>
    <t>F017139417</t>
  </si>
  <si>
    <t>110°, GB-BB, K19, ni</t>
  </si>
  <si>
    <t>F017139428</t>
  </si>
  <si>
    <t>120°, GB-BB, K00, ni</t>
  </si>
  <si>
    <t>F017139429</t>
  </si>
  <si>
    <t>120°, GB-BB, K03, ni</t>
  </si>
  <si>
    <t>F017139430</t>
  </si>
  <si>
    <t>F017139435</t>
  </si>
  <si>
    <t>160°, GB-BB, K00, ni</t>
  </si>
  <si>
    <t>F017139436</t>
  </si>
  <si>
    <t>160°, GB-BB, K03, ni</t>
  </si>
  <si>
    <t>F017139437</t>
  </si>
  <si>
    <t>F017139438</t>
  </si>
  <si>
    <t>95°, GB-BB, K00, ni</t>
  </si>
  <si>
    <t>F017139439</t>
  </si>
  <si>
    <t>95°, GB-BB, K03, ni</t>
  </si>
  <si>
    <t>F017139440</t>
  </si>
  <si>
    <t>F017139441</t>
  </si>
  <si>
    <t>95°, GB-BB, K19, ni</t>
  </si>
  <si>
    <t>F017139499</t>
  </si>
  <si>
    <t>110°, HS-BB, K00, ni</t>
  </si>
  <si>
    <t>F017139500</t>
  </si>
  <si>
    <t>110°, HS-BB, K03, ni</t>
  </si>
  <si>
    <t>F017139501</t>
  </si>
  <si>
    <t>F017139502</t>
  </si>
  <si>
    <t>110°, HS-BB, K19, ni</t>
  </si>
  <si>
    <t>F017139513</t>
  </si>
  <si>
    <t>120°, HS-BB, K00, ni</t>
  </si>
  <si>
    <t>F017139514</t>
  </si>
  <si>
    <t>120°, HS-BB, K03, ni</t>
  </si>
  <si>
    <t>F017139515</t>
  </si>
  <si>
    <t>F017139520</t>
  </si>
  <si>
    <t>160°, HS-BB, K00, ni</t>
  </si>
  <si>
    <t>F017139521</t>
  </si>
  <si>
    <t>160°, HS-BB, K03, ni</t>
  </si>
  <si>
    <t>F017139522</t>
  </si>
  <si>
    <t>F017139523</t>
  </si>
  <si>
    <t>95°, HS-BB, K00, ni</t>
  </si>
  <si>
    <t>F017139524</t>
  </si>
  <si>
    <t>95°, HS-BB, K03, ni</t>
  </si>
  <si>
    <t>F017139525</t>
  </si>
  <si>
    <t>F017139526</t>
  </si>
  <si>
    <t>95°, HS-BB, K19, ni</t>
  </si>
  <si>
    <t>F017139555</t>
  </si>
  <si>
    <t>120°, HS-BB, K19, ni</t>
  </si>
  <si>
    <t>F017139558</t>
  </si>
  <si>
    <t>120°, GB-BB, K19, ni</t>
  </si>
  <si>
    <t>F034139301</t>
  </si>
  <si>
    <t>F034139302</t>
  </si>
  <si>
    <t>F034139303</t>
  </si>
  <si>
    <t>F034139314</t>
  </si>
  <si>
    <t>F034139315</t>
  </si>
  <si>
    <t>F034139316</t>
  </si>
  <si>
    <t>F034139317</t>
  </si>
  <si>
    <t>F034139321</t>
  </si>
  <si>
    <t>F034139322</t>
  </si>
  <si>
    <t>F034139323</t>
  </si>
  <si>
    <t>F034139324</t>
  </si>
  <si>
    <t>F034139325</t>
  </si>
  <si>
    <t>F034139326</t>
  </si>
  <si>
    <t>F034139327</t>
  </si>
  <si>
    <t>F034139385</t>
  </si>
  <si>
    <t>F034139386</t>
  </si>
  <si>
    <t>F034139387</t>
  </si>
  <si>
    <t>F034139388</t>
  </si>
  <si>
    <t>F034139399</t>
  </si>
  <si>
    <t>F034139400</t>
  </si>
  <si>
    <t>F034139401</t>
  </si>
  <si>
    <t>F034139406</t>
  </si>
  <si>
    <t>F034139407</t>
  </si>
  <si>
    <t>F034139408</t>
  </si>
  <si>
    <t>F034139409</t>
  </si>
  <si>
    <t>F034139410</t>
  </si>
  <si>
    <t>F034139411</t>
  </si>
  <si>
    <t>F034139412</t>
  </si>
  <si>
    <t>F034139470</t>
  </si>
  <si>
    <t>F034139471</t>
  </si>
  <si>
    <t>F034139472</t>
  </si>
  <si>
    <t>F034139473</t>
  </si>
  <si>
    <t>F034139484</t>
  </si>
  <si>
    <t>F034139485</t>
  </si>
  <si>
    <t>F034139486</t>
  </si>
  <si>
    <t>F034139491</t>
  </si>
  <si>
    <t>F034139492</t>
  </si>
  <si>
    <t>F034139493</t>
  </si>
  <si>
    <t>F034139494</t>
  </si>
  <si>
    <t>F034139495</t>
  </si>
  <si>
    <t>F034139496</t>
  </si>
  <si>
    <t>F034139497</t>
  </si>
  <si>
    <t>F034139556</t>
  </si>
  <si>
    <t>F034139559</t>
  </si>
  <si>
    <t>F035139358</t>
  </si>
  <si>
    <t>F035139359</t>
  </si>
  <si>
    <t>F035139360</t>
  </si>
  <si>
    <t>F035139371</t>
  </si>
  <si>
    <t>F035139372</t>
  </si>
  <si>
    <t>F035139373</t>
  </si>
  <si>
    <t>F035139374</t>
  </si>
  <si>
    <t>F035139378</t>
  </si>
  <si>
    <t>F035139379</t>
  </si>
  <si>
    <t>F035139380</t>
  </si>
  <si>
    <t>F035139381</t>
  </si>
  <si>
    <t>F035139382</t>
  </si>
  <si>
    <t>F035139383</t>
  </si>
  <si>
    <t>F035139384</t>
  </si>
  <si>
    <t>F035139442</t>
  </si>
  <si>
    <t>F035139443</t>
  </si>
  <si>
    <t>F035139444</t>
  </si>
  <si>
    <t>F035139445</t>
  </si>
  <si>
    <t>F035139456</t>
  </si>
  <si>
    <t>F035139457</t>
  </si>
  <si>
    <t>F035139458</t>
  </si>
  <si>
    <t>F035139463</t>
  </si>
  <si>
    <t>F035139464</t>
  </si>
  <si>
    <t>F035139465</t>
  </si>
  <si>
    <t>F035139466</t>
  </si>
  <si>
    <t>F035139467</t>
  </si>
  <si>
    <t>F035139468</t>
  </si>
  <si>
    <t>F035139469</t>
  </si>
  <si>
    <t>F035139527</t>
  </si>
  <si>
    <t>F035139528</t>
  </si>
  <si>
    <t>F035139529</t>
  </si>
  <si>
    <t>F035139530</t>
  </si>
  <si>
    <t>F035139541</t>
  </si>
  <si>
    <t>F035139542</t>
  </si>
  <si>
    <t>F035139543</t>
  </si>
  <si>
    <t>F035139548</t>
  </si>
  <si>
    <t>F035139549</t>
  </si>
  <si>
    <t>F035139550</t>
  </si>
  <si>
    <t>F035139551</t>
  </si>
  <si>
    <t>F035139552</t>
  </si>
  <si>
    <t>F035139553</t>
  </si>
  <si>
    <t>F035139554</t>
  </si>
  <si>
    <t>F035139557</t>
  </si>
  <si>
    <t>F035139560</t>
  </si>
  <si>
    <t>F028138093</t>
  </si>
  <si>
    <t>110°, M-BB, K00, ni</t>
  </si>
  <si>
    <t>Tiomos Click-On Scharniere</t>
  </si>
  <si>
    <t>F028138094</t>
  </si>
  <si>
    <t>110°, M-BB, K03, ni</t>
  </si>
  <si>
    <t>F028138095</t>
  </si>
  <si>
    <t>F028138096</t>
  </si>
  <si>
    <t>110°, M-BB, K19, ni</t>
  </si>
  <si>
    <t>F028138097</t>
  </si>
  <si>
    <t>F028138098</t>
  </si>
  <si>
    <t>F028138099</t>
  </si>
  <si>
    <t>F028138100</t>
  </si>
  <si>
    <t>F028138121</t>
  </si>
  <si>
    <t>120°, M-BB, K00, ni</t>
  </si>
  <si>
    <t>F028138122</t>
  </si>
  <si>
    <t>120°, M-BB, K03, ni</t>
  </si>
  <si>
    <t>F028138123</t>
  </si>
  <si>
    <t>F028138125</t>
  </si>
  <si>
    <t>F028138126</t>
  </si>
  <si>
    <t>F028138127</t>
  </si>
  <si>
    <t>F028138135</t>
  </si>
  <si>
    <t>160°, M-BB, K00, ni</t>
  </si>
  <si>
    <t>F028138136</t>
  </si>
  <si>
    <t>160°, M-BB, K03, ni</t>
  </si>
  <si>
    <t>F028138137</t>
  </si>
  <si>
    <t>F028138138</t>
  </si>
  <si>
    <t>F028138139</t>
  </si>
  <si>
    <t>F028138140</t>
  </si>
  <si>
    <t>F028138141</t>
  </si>
  <si>
    <t>95°, M-BB, K00, ni</t>
  </si>
  <si>
    <t>F028138142</t>
  </si>
  <si>
    <t>95°, M-BB, K03, ni</t>
  </si>
  <si>
    <t>F028138143</t>
  </si>
  <si>
    <t>F028138144</t>
  </si>
  <si>
    <t>95°, M-BB, K19, ni</t>
  </si>
  <si>
    <t>F028138145</t>
  </si>
  <si>
    <t>F028138146</t>
  </si>
  <si>
    <t>F028138147</t>
  </si>
  <si>
    <t>F028138148</t>
  </si>
  <si>
    <t>F028138337</t>
  </si>
  <si>
    <t>110°, G-BB, K00, ni</t>
  </si>
  <si>
    <t>F028138338</t>
  </si>
  <si>
    <t>110°, G-BB, K03, ni</t>
  </si>
  <si>
    <t>F028138339</t>
  </si>
  <si>
    <t>F028138340</t>
  </si>
  <si>
    <t>110°, G-BB, K19, ni</t>
  </si>
  <si>
    <t>F028138341</t>
  </si>
  <si>
    <t>F028138342</t>
  </si>
  <si>
    <t>F028138343</t>
  </si>
  <si>
    <t>F028138344</t>
  </si>
  <si>
    <t>F028138365</t>
  </si>
  <si>
    <t>120°, G-BB, K00, ni</t>
  </si>
  <si>
    <t>F028138366</t>
  </si>
  <si>
    <t>120°, G-BB, K03, ni</t>
  </si>
  <si>
    <t>F028138367</t>
  </si>
  <si>
    <t>F028138369</t>
  </si>
  <si>
    <t>F028138370</t>
  </si>
  <si>
    <t>F028138371</t>
  </si>
  <si>
    <t>F028138379</t>
  </si>
  <si>
    <t>160°, G-BB, K00, ni</t>
  </si>
  <si>
    <t>F028138380</t>
  </si>
  <si>
    <t>160°, G-BB, K03, ni</t>
  </si>
  <si>
    <t>F028138381</t>
  </si>
  <si>
    <t>F028138382</t>
  </si>
  <si>
    <t>F028138383</t>
  </si>
  <si>
    <t>F028138384</t>
  </si>
  <si>
    <t>F028138385</t>
  </si>
  <si>
    <t>95°, G-BB, K00, ni</t>
  </si>
  <si>
    <t>F028138386</t>
  </si>
  <si>
    <t>95°, G-BB, K03, ni</t>
  </si>
  <si>
    <t>F028138387</t>
  </si>
  <si>
    <t>F028138388</t>
  </si>
  <si>
    <t>95°, G-BB, K19, ni</t>
  </si>
  <si>
    <t>F028138389</t>
  </si>
  <si>
    <t>F028138390</t>
  </si>
  <si>
    <t>F028138391</t>
  </si>
  <si>
    <t>F028138392</t>
  </si>
  <si>
    <t>110°, B-BB, K00, ni</t>
  </si>
  <si>
    <t>F028138520</t>
  </si>
  <si>
    <t>110°, B-BB, K03, ni</t>
  </si>
  <si>
    <t>F028138521</t>
  </si>
  <si>
    <t>F028138522</t>
  </si>
  <si>
    <t>110°, B-BB, K19, ni</t>
  </si>
  <si>
    <t>F028138524</t>
  </si>
  <si>
    <t>F028138525</t>
  </si>
  <si>
    <t>F028138526</t>
  </si>
  <si>
    <t>F028138547</t>
  </si>
  <si>
    <t>120°, B-BB, K00, ni</t>
  </si>
  <si>
    <t>F028138548</t>
  </si>
  <si>
    <t>120°, B-BB, K03, ni</t>
  </si>
  <si>
    <t>F028138549</t>
  </si>
  <si>
    <t>F028138550</t>
  </si>
  <si>
    <t>120°, B-BB, K19, ni</t>
  </si>
  <si>
    <t>F028138551</t>
  </si>
  <si>
    <t>F028138552</t>
  </si>
  <si>
    <t>F028138553</t>
  </si>
  <si>
    <t>F028138554</t>
  </si>
  <si>
    <t>F028138561</t>
  </si>
  <si>
    <t>160°, B-BB, K00, ni</t>
  </si>
  <si>
    <t>F028138562</t>
  </si>
  <si>
    <t>160°, B-BB, K03, ni</t>
  </si>
  <si>
    <t>F028138563</t>
  </si>
  <si>
    <t>F028138564</t>
  </si>
  <si>
    <t>F028138565</t>
  </si>
  <si>
    <t>F028138566</t>
  </si>
  <si>
    <t>F028138567</t>
  </si>
  <si>
    <t>95°, B-BB, K00, ni</t>
  </si>
  <si>
    <t>F028138568</t>
  </si>
  <si>
    <t>95°, B-BB, K03, ni</t>
  </si>
  <si>
    <t>F028138569</t>
  </si>
  <si>
    <t>F028138570</t>
  </si>
  <si>
    <t>95°, B-BB, K19, ni</t>
  </si>
  <si>
    <t>F028138571</t>
  </si>
  <si>
    <t>F028138572</t>
  </si>
  <si>
    <t>F028138573</t>
  </si>
  <si>
    <t>F028138574</t>
  </si>
  <si>
    <t>F028138701</t>
  </si>
  <si>
    <t>110°, H-BB, K00, ni</t>
  </si>
  <si>
    <t>F028138702</t>
  </si>
  <si>
    <t>110°, H-BB, K03, ni</t>
  </si>
  <si>
    <t>F028138703</t>
  </si>
  <si>
    <t>F028138704</t>
  </si>
  <si>
    <t>110°, H-BB, K19, ni</t>
  </si>
  <si>
    <t>F028138705</t>
  </si>
  <si>
    <t>F028138706</t>
  </si>
  <si>
    <t>F028138707</t>
  </si>
  <si>
    <t>F028138708</t>
  </si>
  <si>
    <t>F028138729</t>
  </si>
  <si>
    <t>120°, H-BB, K00, ni</t>
  </si>
  <si>
    <t>F028138730</t>
  </si>
  <si>
    <t>120°, H-BB, K03, ni</t>
  </si>
  <si>
    <t>F028138731</t>
  </si>
  <si>
    <t>F028138733</t>
  </si>
  <si>
    <t>F028138734</t>
  </si>
  <si>
    <t>F028138735</t>
  </si>
  <si>
    <t>F028138743</t>
  </si>
  <si>
    <t>160°, H-BB, K00, ni</t>
  </si>
  <si>
    <t>F028138744</t>
  </si>
  <si>
    <t>160°, H-BB, K03, ni</t>
  </si>
  <si>
    <t>F028138745</t>
  </si>
  <si>
    <t>F028138746</t>
  </si>
  <si>
    <t>F028138747</t>
  </si>
  <si>
    <t>F028138748</t>
  </si>
  <si>
    <t>F028138749</t>
  </si>
  <si>
    <t>95°, H-BB, K00, ni</t>
  </si>
  <si>
    <t>F028138750</t>
  </si>
  <si>
    <t>95°, H-BB, K03, ni</t>
  </si>
  <si>
    <t>F028138751</t>
  </si>
  <si>
    <t>F028138752</t>
  </si>
  <si>
    <t>95°, H-BB, K19, ni</t>
  </si>
  <si>
    <t>F028138753</t>
  </si>
  <si>
    <t>F028138754</t>
  </si>
  <si>
    <t>F028138755</t>
  </si>
  <si>
    <t>F028138756</t>
  </si>
  <si>
    <t>F028138883</t>
  </si>
  <si>
    <t>110°, S-BB, K00, ni</t>
  </si>
  <si>
    <t>F028138884</t>
  </si>
  <si>
    <t>110°, S-BB, K03, ni</t>
  </si>
  <si>
    <t>F028138885</t>
  </si>
  <si>
    <t>F028138886</t>
  </si>
  <si>
    <t>110°, S-BB, K19, ni</t>
  </si>
  <si>
    <t>F028138887</t>
  </si>
  <si>
    <t>F028138888</t>
  </si>
  <si>
    <t>F028138889</t>
  </si>
  <si>
    <t>F028138890</t>
  </si>
  <si>
    <t>F028138911</t>
  </si>
  <si>
    <t>120°, S-BB, K00, ni</t>
  </si>
  <si>
    <t>F028138912</t>
  </si>
  <si>
    <t>120°, S-BB, K03, ni</t>
  </si>
  <si>
    <t>F028138913</t>
  </si>
  <si>
    <t>F028138915</t>
  </si>
  <si>
    <t>F028138916</t>
  </si>
  <si>
    <t>F028138917</t>
  </si>
  <si>
    <t>F028138925</t>
  </si>
  <si>
    <t>160°, S-BB, K00, ni</t>
  </si>
  <si>
    <t>F028138926</t>
  </si>
  <si>
    <t>160°, S-BB, K03, ni</t>
  </si>
  <si>
    <t>F028138927</t>
  </si>
  <si>
    <t>F028138928</t>
  </si>
  <si>
    <t>F028138929</t>
  </si>
  <si>
    <t>F028138930</t>
  </si>
  <si>
    <t>F028138931</t>
  </si>
  <si>
    <t>95°, S-BB, K00, ni</t>
  </si>
  <si>
    <t>F028138932</t>
  </si>
  <si>
    <t>95°, S-BB, K03, ni</t>
  </si>
  <si>
    <t>F028138933</t>
  </si>
  <si>
    <t>F028138934</t>
  </si>
  <si>
    <t>95°, S-BB, K19, ni</t>
  </si>
  <si>
    <t>F028138935</t>
  </si>
  <si>
    <t>F028138936</t>
  </si>
  <si>
    <t>F028138937</t>
  </si>
  <si>
    <t>F028138938</t>
  </si>
  <si>
    <t>F028139017</t>
  </si>
  <si>
    <t>120°, M-BB, K19, ni</t>
  </si>
  <si>
    <t>F028139018</t>
  </si>
  <si>
    <t>F028139022</t>
  </si>
  <si>
    <t>120°, H-BB, K19, ni</t>
  </si>
  <si>
    <t>F028139023</t>
  </si>
  <si>
    <t>F028139027</t>
  </si>
  <si>
    <t>120°, G-BB, K19, ni</t>
  </si>
  <si>
    <t>F028139028</t>
  </si>
  <si>
    <t>F028139032</t>
  </si>
  <si>
    <t>120°, S-BB, K19, ni</t>
  </si>
  <si>
    <t>F028139033</t>
  </si>
  <si>
    <t>F045138000</t>
  </si>
  <si>
    <t>F045138001</t>
  </si>
  <si>
    <t>F045138002</t>
  </si>
  <si>
    <t>F045138003</t>
  </si>
  <si>
    <t>F045138004</t>
  </si>
  <si>
    <t>F045138005</t>
  </si>
  <si>
    <t>F045138006</t>
  </si>
  <si>
    <t>F045138007</t>
  </si>
  <si>
    <t>F045138028</t>
  </si>
  <si>
    <t>F045138029</t>
  </si>
  <si>
    <t>F045138030</t>
  </si>
  <si>
    <t>F045138032</t>
  </si>
  <si>
    <t>F045138033</t>
  </si>
  <si>
    <t>F045138034</t>
  </si>
  <si>
    <t>F045138042</t>
  </si>
  <si>
    <t>F045138043</t>
  </si>
  <si>
    <t>F045138044</t>
  </si>
  <si>
    <t>F045138045</t>
  </si>
  <si>
    <t>F045138046</t>
  </si>
  <si>
    <t>F045138047</t>
  </si>
  <si>
    <t>F045138048</t>
  </si>
  <si>
    <t>F045138049</t>
  </si>
  <si>
    <t>F045138050</t>
  </si>
  <si>
    <t>F045138051</t>
  </si>
  <si>
    <t>F045138052</t>
  </si>
  <si>
    <t>F045138053</t>
  </si>
  <si>
    <t>F045138054</t>
  </si>
  <si>
    <t>F045138055</t>
  </si>
  <si>
    <t>F045138275</t>
  </si>
  <si>
    <t>F045138276</t>
  </si>
  <si>
    <t>F045138277</t>
  </si>
  <si>
    <t>F045138278</t>
  </si>
  <si>
    <t>F045138279</t>
  </si>
  <si>
    <t>F045138280</t>
  </si>
  <si>
    <t>F045138281</t>
  </si>
  <si>
    <t>F045138282</t>
  </si>
  <si>
    <t>F045138303</t>
  </si>
  <si>
    <t>F045138304</t>
  </si>
  <si>
    <t>F045138305</t>
  </si>
  <si>
    <t>F045138307</t>
  </si>
  <si>
    <t>F045138308</t>
  </si>
  <si>
    <t>F045138309</t>
  </si>
  <si>
    <t>F045138317</t>
  </si>
  <si>
    <t>F045138318</t>
  </si>
  <si>
    <t>F045138319</t>
  </si>
  <si>
    <t>F045138320</t>
  </si>
  <si>
    <t>F045138321</t>
  </si>
  <si>
    <t>F045138322</t>
  </si>
  <si>
    <t>F045138323</t>
  </si>
  <si>
    <t>F045138324</t>
  </si>
  <si>
    <t>F045138325</t>
  </si>
  <si>
    <t>F045138326</t>
  </si>
  <si>
    <t>F045138327</t>
  </si>
  <si>
    <t>F045138328</t>
  </si>
  <si>
    <t>F045138329</t>
  </si>
  <si>
    <t>F045138330</t>
  </si>
  <si>
    <t>F045138457</t>
  </si>
  <si>
    <t>F045138458</t>
  </si>
  <si>
    <t>F045138459</t>
  </si>
  <si>
    <t>F045138460</t>
  </si>
  <si>
    <t>F045138462</t>
  </si>
  <si>
    <t>F045138463</t>
  </si>
  <si>
    <t>F045138464</t>
  </si>
  <si>
    <t>F045138485</t>
  </si>
  <si>
    <t>F045138486</t>
  </si>
  <si>
    <t>F045138487</t>
  </si>
  <si>
    <t>F045138488</t>
  </si>
  <si>
    <t>F045138489</t>
  </si>
  <si>
    <t>F045138490</t>
  </si>
  <si>
    <t>F045138491</t>
  </si>
  <si>
    <t>F045138492</t>
  </si>
  <si>
    <t>F045138499</t>
  </si>
  <si>
    <t>F045138500</t>
  </si>
  <si>
    <t>F045138501</t>
  </si>
  <si>
    <t>F045138502</t>
  </si>
  <si>
    <t>F045138503</t>
  </si>
  <si>
    <t>F045138504</t>
  </si>
  <si>
    <t>F045138505</t>
  </si>
  <si>
    <t>F045138506</t>
  </si>
  <si>
    <t>F045138507</t>
  </si>
  <si>
    <t>F045138508</t>
  </si>
  <si>
    <t>F045138509</t>
  </si>
  <si>
    <t>F045138510</t>
  </si>
  <si>
    <t>F045138511</t>
  </si>
  <si>
    <t>F045138512</t>
  </si>
  <si>
    <t>F045138639</t>
  </si>
  <si>
    <t>F045138640</t>
  </si>
  <si>
    <t>F045138641</t>
  </si>
  <si>
    <t>F045138642</t>
  </si>
  <si>
    <t>F045138643</t>
  </si>
  <si>
    <t>F045138644</t>
  </si>
  <si>
    <t>F045138645</t>
  </si>
  <si>
    <t>F045138646</t>
  </si>
  <si>
    <t>F045138667</t>
  </si>
  <si>
    <t>F045138668</t>
  </si>
  <si>
    <t>F045138669</t>
  </si>
  <si>
    <t>F045138671</t>
  </si>
  <si>
    <t>F045138672</t>
  </si>
  <si>
    <t>F045138673</t>
  </si>
  <si>
    <t>F045138681</t>
  </si>
  <si>
    <t>F045138682</t>
  </si>
  <si>
    <t>F045138683</t>
  </si>
  <si>
    <t>F045138684</t>
  </si>
  <si>
    <t>F045138685</t>
  </si>
  <si>
    <t>F045138686</t>
  </si>
  <si>
    <t>F045138687</t>
  </si>
  <si>
    <t>F045138688</t>
  </si>
  <si>
    <t>F045138689</t>
  </si>
  <si>
    <t>F045138690</t>
  </si>
  <si>
    <t>F045138691</t>
  </si>
  <si>
    <t>F045138692</t>
  </si>
  <si>
    <t>F045138693</t>
  </si>
  <si>
    <t>F045138694</t>
  </si>
  <si>
    <t>F045138821</t>
  </si>
  <si>
    <t>F045138822</t>
  </si>
  <si>
    <t>F045138823</t>
  </si>
  <si>
    <t>F045138824</t>
  </si>
  <si>
    <t>F045138825</t>
  </si>
  <si>
    <t>F045138826</t>
  </si>
  <si>
    <t>F045138827</t>
  </si>
  <si>
    <t>F045138828</t>
  </si>
  <si>
    <t>F045138849</t>
  </si>
  <si>
    <t>F045138850</t>
  </si>
  <si>
    <t>F045138851</t>
  </si>
  <si>
    <t>F045138853</t>
  </si>
  <si>
    <t>F045138854</t>
  </si>
  <si>
    <t>F045138855</t>
  </si>
  <si>
    <t>F045138863</t>
  </si>
  <si>
    <t>F045138864</t>
  </si>
  <si>
    <t>F045138865</t>
  </si>
  <si>
    <t>F045138866</t>
  </si>
  <si>
    <t>F045138867</t>
  </si>
  <si>
    <t>F045138868</t>
  </si>
  <si>
    <t>F045138869</t>
  </si>
  <si>
    <t>F045138870</t>
  </si>
  <si>
    <t>F045138871</t>
  </si>
  <si>
    <t>F045138872</t>
  </si>
  <si>
    <t>F045138873</t>
  </si>
  <si>
    <t>F045138874</t>
  </si>
  <si>
    <t>F045138875</t>
  </si>
  <si>
    <t>F045138876</t>
  </si>
  <si>
    <t>F045139019</t>
  </si>
  <si>
    <t>F045139020</t>
  </si>
  <si>
    <t>F045139024</t>
  </si>
  <si>
    <t>F045139025</t>
  </si>
  <si>
    <t>F045139029</t>
  </si>
  <si>
    <t>F045139030</t>
  </si>
  <si>
    <t>F045139034</t>
  </si>
  <si>
    <t>F045139035</t>
  </si>
  <si>
    <t>F045139039</t>
  </si>
  <si>
    <t>F045139043</t>
  </si>
  <si>
    <t>Scharnier T Click-on 110°</t>
  </si>
  <si>
    <t>F046138184</t>
  </si>
  <si>
    <t>F046138185</t>
  </si>
  <si>
    <t>F046138186</t>
  </si>
  <si>
    <t>F046138187</t>
  </si>
  <si>
    <t>F046138188</t>
  </si>
  <si>
    <t>F046138189</t>
  </si>
  <si>
    <t>F046138190</t>
  </si>
  <si>
    <t>F046138191</t>
  </si>
  <si>
    <t>F046138212</t>
  </si>
  <si>
    <t>F046138213</t>
  </si>
  <si>
    <t>F046138214</t>
  </si>
  <si>
    <t>F046138216</t>
  </si>
  <si>
    <t>F046138217</t>
  </si>
  <si>
    <t>F046138218</t>
  </si>
  <si>
    <t>F046138226</t>
  </si>
  <si>
    <t>F046138227</t>
  </si>
  <si>
    <t>F046138228</t>
  </si>
  <si>
    <t>F046138229</t>
  </si>
  <si>
    <t>F046138230</t>
  </si>
  <si>
    <t>F046138231</t>
  </si>
  <si>
    <t>F046138232</t>
  </si>
  <si>
    <t>F046138233</t>
  </si>
  <si>
    <t>F046138234</t>
  </si>
  <si>
    <t>F046138235</t>
  </si>
  <si>
    <t>F046138236</t>
  </si>
  <si>
    <t>F046138237</t>
  </si>
  <si>
    <t>F046138238</t>
  </si>
  <si>
    <t>F046138239</t>
  </si>
  <si>
    <t>F046138397</t>
  </si>
  <si>
    <t>F046138398</t>
  </si>
  <si>
    <t>F046138399</t>
  </si>
  <si>
    <t>F046138400</t>
  </si>
  <si>
    <t>F046138401</t>
  </si>
  <si>
    <t>F046138402</t>
  </si>
  <si>
    <t>F046138403</t>
  </si>
  <si>
    <t>F046138404</t>
  </si>
  <si>
    <t>F046138425</t>
  </si>
  <si>
    <t>F046138426</t>
  </si>
  <si>
    <t>F046138427</t>
  </si>
  <si>
    <t>F046138429</t>
  </si>
  <si>
    <t>F046138430</t>
  </si>
  <si>
    <t>F046138431</t>
  </si>
  <si>
    <t>F046138439</t>
  </si>
  <si>
    <t>F046138440</t>
  </si>
  <si>
    <t>F046138441</t>
  </si>
  <si>
    <t>F046138442</t>
  </si>
  <si>
    <t>F046138443</t>
  </si>
  <si>
    <t>F046138444</t>
  </si>
  <si>
    <t>F046138445</t>
  </si>
  <si>
    <t>F046138446</t>
  </si>
  <si>
    <t>F046138447</t>
  </si>
  <si>
    <t>F046138448</t>
  </si>
  <si>
    <t>F046138449</t>
  </si>
  <si>
    <t>F046138450</t>
  </si>
  <si>
    <t>F046138451</t>
  </si>
  <si>
    <t>F046138452</t>
  </si>
  <si>
    <t>F046138580</t>
  </si>
  <si>
    <t>F046138581</t>
  </si>
  <si>
    <t>F046138582</t>
  </si>
  <si>
    <t>F046138583</t>
  </si>
  <si>
    <t>F046138584</t>
  </si>
  <si>
    <t>F046138585</t>
  </si>
  <si>
    <t>F046138586</t>
  </si>
  <si>
    <t>F046138607</t>
  </si>
  <si>
    <t>F046138608</t>
  </si>
  <si>
    <t>F046138609</t>
  </si>
  <si>
    <t>F046138610</t>
  </si>
  <si>
    <t>F046138611</t>
  </si>
  <si>
    <t>F046138612</t>
  </si>
  <si>
    <t>F046138613</t>
  </si>
  <si>
    <t>F046138614</t>
  </si>
  <si>
    <t>F046138621</t>
  </si>
  <si>
    <t>F046138622</t>
  </si>
  <si>
    <t>F046138623</t>
  </si>
  <si>
    <t>F046138624</t>
  </si>
  <si>
    <t>F046138625</t>
  </si>
  <si>
    <t>F046138626</t>
  </si>
  <si>
    <t>F046138627</t>
  </si>
  <si>
    <t>F046138628</t>
  </si>
  <si>
    <t>F046138629</t>
  </si>
  <si>
    <t>F046138630</t>
  </si>
  <si>
    <t>F046138631</t>
  </si>
  <si>
    <t>F046138632</t>
  </si>
  <si>
    <t>F046138633</t>
  </si>
  <si>
    <t>F046138634</t>
  </si>
  <si>
    <t>F046138761</t>
  </si>
  <si>
    <t>F046138762</t>
  </si>
  <si>
    <t>F046138763</t>
  </si>
  <si>
    <t>F046138764</t>
  </si>
  <si>
    <t>F046138765</t>
  </si>
  <si>
    <t>F046138766</t>
  </si>
  <si>
    <t>F046138767</t>
  </si>
  <si>
    <t>F046138768</t>
  </si>
  <si>
    <t>F046138789</t>
  </si>
  <si>
    <t>F046138790</t>
  </si>
  <si>
    <t>F046138791</t>
  </si>
  <si>
    <t>F046138793</t>
  </si>
  <si>
    <t>F046138794</t>
  </si>
  <si>
    <t>F046138795</t>
  </si>
  <si>
    <t>F046138803</t>
  </si>
  <si>
    <t>F046138804</t>
  </si>
  <si>
    <t>F046138805</t>
  </si>
  <si>
    <t>F046138806</t>
  </si>
  <si>
    <t>F046138807</t>
  </si>
  <si>
    <t>F046138808</t>
  </si>
  <si>
    <t>F046138809</t>
  </si>
  <si>
    <t>F046138810</t>
  </si>
  <si>
    <t>F046138811</t>
  </si>
  <si>
    <t>F046138812</t>
  </si>
  <si>
    <t>F046138813</t>
  </si>
  <si>
    <t>F046138814</t>
  </si>
  <si>
    <t>F046138815</t>
  </si>
  <si>
    <t>F046138816</t>
  </si>
  <si>
    <t>F046138943</t>
  </si>
  <si>
    <t>F046138944</t>
  </si>
  <si>
    <t>F046138945</t>
  </si>
  <si>
    <t>F046138946</t>
  </si>
  <si>
    <t>F046138947</t>
  </si>
  <si>
    <t>F046138948</t>
  </si>
  <si>
    <t>F046138949</t>
  </si>
  <si>
    <t>F046138950</t>
  </si>
  <si>
    <t>F046138971</t>
  </si>
  <si>
    <t>F046138972</t>
  </si>
  <si>
    <t>F046138973</t>
  </si>
  <si>
    <t>F046138975</t>
  </si>
  <si>
    <t>F046138976</t>
  </si>
  <si>
    <t>F046138977</t>
  </si>
  <si>
    <t>F046138985</t>
  </si>
  <si>
    <t>F046138986</t>
  </si>
  <si>
    <t>F046138987</t>
  </si>
  <si>
    <t>F046138988</t>
  </si>
  <si>
    <t>F046138989</t>
  </si>
  <si>
    <t>F046138990</t>
  </si>
  <si>
    <t>F046138991</t>
  </si>
  <si>
    <t>F046138992</t>
  </si>
  <si>
    <t>F046138993</t>
  </si>
  <si>
    <t>F046138994</t>
  </si>
  <si>
    <t>F046138995</t>
  </si>
  <si>
    <t>F046138996</t>
  </si>
  <si>
    <t>F046138997</t>
  </si>
  <si>
    <t>F046138998</t>
  </si>
  <si>
    <t>F046139021</t>
  </si>
  <si>
    <t>F046139026</t>
  </si>
  <si>
    <t>F046139031</t>
  </si>
  <si>
    <t>F046139036</t>
  </si>
  <si>
    <t>Teil</t>
  </si>
  <si>
    <t>zum einpressen</t>
  </si>
  <si>
    <t>zum anschrauben mit Holzschrauben</t>
  </si>
  <si>
    <t>zum anschrauben mit Euroschrauben</t>
  </si>
  <si>
    <t>vorm. Euro [13,5]</t>
  </si>
  <si>
    <t>vorm. Euro [10,5]</t>
  </si>
  <si>
    <t>F058139720</t>
  </si>
  <si>
    <t>Eco Kreuz Mtg-Platte TIOMOS</t>
  </si>
  <si>
    <t>H-02, ni /37</t>
  </si>
  <si>
    <t>Tiomos Montageplatten</t>
  </si>
  <si>
    <t>F058139721</t>
  </si>
  <si>
    <t>H 00, ni /37</t>
  </si>
  <si>
    <t>F058139722</t>
  </si>
  <si>
    <t>H 02, ni /37</t>
  </si>
  <si>
    <t>F058139723</t>
  </si>
  <si>
    <t>H 03, ni /37</t>
  </si>
  <si>
    <t>F058139724</t>
  </si>
  <si>
    <t>F058139725</t>
  </si>
  <si>
    <t>H-02, 10mm Dübel, ni /37</t>
  </si>
  <si>
    <t>F058139726</t>
  </si>
  <si>
    <t>H 00, 10mm Dübel, ni /37</t>
  </si>
  <si>
    <t>F058139727</t>
  </si>
  <si>
    <t>H 02, 10mm Dübel, ni /37</t>
  </si>
  <si>
    <t>F058139728</t>
  </si>
  <si>
    <t>H 03, 10mm Dübel, ni /37</t>
  </si>
  <si>
    <t>F058139729</t>
  </si>
  <si>
    <t>F058139735</t>
  </si>
  <si>
    <t>H-02, vorm. PH Euro, ni /37</t>
  </si>
  <si>
    <t>F058139736</t>
  </si>
  <si>
    <t>H 00, vorm. PH Euro, ni /37</t>
  </si>
  <si>
    <t>F058139737</t>
  </si>
  <si>
    <t>H 02, vorm. PH Euro, ni /37</t>
  </si>
  <si>
    <t>F058139738</t>
  </si>
  <si>
    <t>H 03, vorm. PH Euro, ni /37</t>
  </si>
  <si>
    <t>F058139739</t>
  </si>
  <si>
    <t>F058139746</t>
  </si>
  <si>
    <t>1D Kreuz Mtg-Platte TIOMOS</t>
  </si>
  <si>
    <t>F058139747</t>
  </si>
  <si>
    <t>F058139748</t>
  </si>
  <si>
    <t>F058139749</t>
  </si>
  <si>
    <t>F058139756</t>
  </si>
  <si>
    <t>H 00, Euro, ni /37</t>
  </si>
  <si>
    <t>F058139757</t>
  </si>
  <si>
    <t>H 02, Euro, ni /37</t>
  </si>
  <si>
    <t>F058139758</t>
  </si>
  <si>
    <t>H 03, Euro, ni /37</t>
  </si>
  <si>
    <t>F058139759</t>
  </si>
  <si>
    <t>F058139761</t>
  </si>
  <si>
    <t>F058139762</t>
  </si>
  <si>
    <t>F058139763</t>
  </si>
  <si>
    <t>F058139764</t>
  </si>
  <si>
    <t>F058139785</t>
  </si>
  <si>
    <t>H-02, vorm. PH Euro, ni /28</t>
  </si>
  <si>
    <t>F058139786</t>
  </si>
  <si>
    <t>H 00, vorm. PH Euro, ni /28</t>
  </si>
  <si>
    <t>F058139787</t>
  </si>
  <si>
    <t>H 02, vorm. PH Euro, ni /28</t>
  </si>
  <si>
    <t>F058139788</t>
  </si>
  <si>
    <t>H 03, vorm. PH Euro, ni /28</t>
  </si>
  <si>
    <t>F058139789</t>
  </si>
  <si>
    <t>H 00, ni /28</t>
  </si>
  <si>
    <t>H 02, ni /28</t>
  </si>
  <si>
    <t>H 03, ni /28</t>
  </si>
  <si>
    <t>F058139801</t>
  </si>
  <si>
    <t>H 00, 10mm Dübel, ni /28</t>
  </si>
  <si>
    <t>F058139802</t>
  </si>
  <si>
    <t>H 02, 10mm Dübel, ni /28</t>
  </si>
  <si>
    <t>F058139803</t>
  </si>
  <si>
    <t>H 03, 10mm Dübel, ni /28</t>
  </si>
  <si>
    <t>F058139804</t>
  </si>
  <si>
    <t>F058139811</t>
  </si>
  <si>
    <t>F058139812</t>
  </si>
  <si>
    <t>F058139813</t>
  </si>
  <si>
    <t>F058139814</t>
  </si>
  <si>
    <t>F058139857</t>
  </si>
  <si>
    <t>H-02, vorm. PH Euro kr, ni /37</t>
  </si>
  <si>
    <t>F058139858</t>
  </si>
  <si>
    <t>H 00, vorm. PH Euro kr, ni /37</t>
  </si>
  <si>
    <t>F058139859</t>
  </si>
  <si>
    <t>H 02, vorm. PH Euro kr, ni /37</t>
  </si>
  <si>
    <t>F058139860</t>
  </si>
  <si>
    <t>H 03, vorm. PH Euro kr, ni /37</t>
  </si>
  <si>
    <t>F058139861</t>
  </si>
  <si>
    <t>F058139863</t>
  </si>
  <si>
    <t>F058139864</t>
  </si>
  <si>
    <t>F058139865</t>
  </si>
  <si>
    <t>F058139866</t>
  </si>
  <si>
    <t>F058139873</t>
  </si>
  <si>
    <t>F058139874</t>
  </si>
  <si>
    <t>F058139875</t>
  </si>
  <si>
    <t>F058139879</t>
  </si>
  <si>
    <t>F058139880</t>
  </si>
  <si>
    <t>F058139881</t>
  </si>
  <si>
    <t>F058139882</t>
  </si>
  <si>
    <t>F058139883</t>
  </si>
  <si>
    <t>F058139884</t>
  </si>
  <si>
    <t>F058139885</t>
  </si>
  <si>
    <t>F058139886</t>
  </si>
  <si>
    <t>H 08, ni /37</t>
  </si>
  <si>
    <t>F058139887</t>
  </si>
  <si>
    <t>H 09, ni /37</t>
  </si>
  <si>
    <t>F058139888</t>
  </si>
  <si>
    <t>F058139889</t>
  </si>
  <si>
    <t>H 14, ni /37</t>
  </si>
  <si>
    <t>F058139890</t>
  </si>
  <si>
    <t>H 15, ni /37</t>
  </si>
  <si>
    <t>F058139891</t>
  </si>
  <si>
    <t>H 15.5, ni /37</t>
  </si>
  <si>
    <t>F058139892</t>
  </si>
  <si>
    <t>H 06, ni /37</t>
  </si>
  <si>
    <t>F058139893</t>
  </si>
  <si>
    <t>H 12, ni /37</t>
  </si>
  <si>
    <t>F058139894</t>
  </si>
  <si>
    <t>H 19, ni /37</t>
  </si>
  <si>
    <t>F058139895</t>
  </si>
  <si>
    <t>H 21, ni /37</t>
  </si>
  <si>
    <t>F058139896</t>
  </si>
  <si>
    <t>F059139701</t>
  </si>
  <si>
    <t>H 00, ni</t>
  </si>
  <si>
    <t>F059139702</t>
  </si>
  <si>
    <t>H 02, ni</t>
  </si>
  <si>
    <t>F059139703</t>
  </si>
  <si>
    <t>H 03, ni</t>
  </si>
  <si>
    <t>F059139704</t>
  </si>
  <si>
    <t>F059139706</t>
  </si>
  <si>
    <t>H 00, 10mm Dübel, ni</t>
  </si>
  <si>
    <t>F059139707</t>
  </si>
  <si>
    <t>H 02, 10mm Dübel, ni</t>
  </si>
  <si>
    <t>F059139708</t>
  </si>
  <si>
    <t>H 03, 10mm Dübel, ni</t>
  </si>
  <si>
    <t>F059139709</t>
  </si>
  <si>
    <t>F059139711</t>
  </si>
  <si>
    <t>F059139712</t>
  </si>
  <si>
    <t>F059139713</t>
  </si>
  <si>
    <t>F059139714</t>
  </si>
  <si>
    <t>Sprache 12</t>
  </si>
  <si>
    <t>Sprache 13</t>
  </si>
  <si>
    <t>Sprache 14</t>
  </si>
  <si>
    <t>vorm. Euro</t>
  </si>
  <si>
    <t>vorm. Euro kurz</t>
  </si>
  <si>
    <t>Dübel</t>
  </si>
  <si>
    <t>Spreizdübel</t>
  </si>
  <si>
    <t>Multilock</t>
  </si>
  <si>
    <t>Spalte1</t>
  </si>
  <si>
    <t>Spalte2</t>
  </si>
  <si>
    <t>Spalte3</t>
  </si>
  <si>
    <t>2te Wahl Befestigung</t>
  </si>
  <si>
    <t>Befestigung</t>
  </si>
  <si>
    <t>Kröpfung 3</t>
  </si>
  <si>
    <t>Kröpfung 0</t>
  </si>
  <si>
    <t>Kröpfung 9,5</t>
  </si>
  <si>
    <t>Kröpfung 19</t>
  </si>
  <si>
    <t>Randbedingungen</t>
  </si>
  <si>
    <t>Gesamt</t>
  </si>
  <si>
    <t>Ergebnis</t>
  </si>
  <si>
    <t>alle</t>
  </si>
  <si>
    <t>Kröpfung auswahl</t>
  </si>
  <si>
    <t>h</t>
  </si>
  <si>
    <t>Lösungen</t>
  </si>
  <si>
    <t>offset</t>
  </si>
  <si>
    <t>Kröpfungauswahlmenü</t>
  </si>
  <si>
    <t>Lösung Montageplatte</t>
  </si>
  <si>
    <t>Impresso</t>
  </si>
  <si>
    <t>Click-on Einpressen</t>
  </si>
  <si>
    <t>Click-on Anschrauben</t>
  </si>
  <si>
    <t>Scharnier befestigung</t>
  </si>
  <si>
    <t>Scharnierbefestigung</t>
  </si>
  <si>
    <t>Scharnierauswahl</t>
  </si>
  <si>
    <t>Anordnung</t>
  </si>
  <si>
    <t xml:space="preserve">Befestigung </t>
  </si>
  <si>
    <t>mm</t>
  </si>
  <si>
    <t>kg</t>
  </si>
  <si>
    <t>Türgewicht</t>
  </si>
  <si>
    <t>Türhöhe</t>
  </si>
  <si>
    <t>Türbreite</t>
  </si>
  <si>
    <t>600 mm</t>
  </si>
  <si>
    <t>Für die Scharnierzahl entscheidende Faktoren</t>
  </si>
  <si>
    <t>sind Türhöhe, Türgewicht, Materialqualität, Topf-</t>
  </si>
  <si>
    <t>und Montageplattenbefestigung</t>
  </si>
  <si>
    <t xml:space="preserve">Die Belastungs- und Höhenangaben beziehen sich </t>
  </si>
  <si>
    <t>auf Normtürbreiten von 600mm. Im Zweifelsfall</t>
  </si>
  <si>
    <t>ist die Scharnierzahl durch einen Probeanschlag</t>
  </si>
  <si>
    <t>zu ermitteln.</t>
  </si>
  <si>
    <t>Beispiel:</t>
  </si>
  <si>
    <t>Bei einer Tür mit den Maßen 2000 x 600 mm und</t>
  </si>
  <si>
    <t>einem Gewicht von 13 kg wird der Einsatz von</t>
  </si>
  <si>
    <t>4 Scharnieren empfohlen.</t>
  </si>
  <si>
    <t>ohne integrierte Dämpfung.</t>
  </si>
  <si>
    <t>Englisch</t>
  </si>
  <si>
    <t>Schwedisch</t>
  </si>
  <si>
    <t>Italienisch</t>
  </si>
  <si>
    <t>Spanisch</t>
  </si>
  <si>
    <t>Portugiesisch</t>
  </si>
  <si>
    <t>Türkisch</t>
  </si>
  <si>
    <t>中文</t>
  </si>
  <si>
    <t>Russisch</t>
  </si>
  <si>
    <t>Språk</t>
  </si>
  <si>
    <t>Lingua</t>
  </si>
  <si>
    <t>Langue</t>
  </si>
  <si>
    <t>Idioma</t>
  </si>
  <si>
    <t>Lisan</t>
  </si>
  <si>
    <t>语言</t>
  </si>
  <si>
    <t>Язык</t>
  </si>
  <si>
    <t>Tyska</t>
  </si>
  <si>
    <t>Tedesco</t>
  </si>
  <si>
    <t>Allemand</t>
  </si>
  <si>
    <t xml:space="preserve">Alemão </t>
  </si>
  <si>
    <t>Almanca</t>
  </si>
  <si>
    <t>德语</t>
  </si>
  <si>
    <t>English</t>
  </si>
  <si>
    <t>Engelska</t>
  </si>
  <si>
    <t>Inglese</t>
  </si>
  <si>
    <t>Anglais</t>
  </si>
  <si>
    <t>Inglês</t>
  </si>
  <si>
    <t>İngilizce</t>
  </si>
  <si>
    <t>英语</t>
  </si>
  <si>
    <t>Swedish</t>
  </si>
  <si>
    <t>Svenska</t>
  </si>
  <si>
    <t>Svedese</t>
  </si>
  <si>
    <t>Suédois</t>
  </si>
  <si>
    <t>Sueco</t>
  </si>
  <si>
    <t>İsveççe</t>
  </si>
  <si>
    <t>瑞典语</t>
  </si>
  <si>
    <t>Italian</t>
  </si>
  <si>
    <t>Italienska</t>
  </si>
  <si>
    <t>Italiano</t>
  </si>
  <si>
    <t>Italien</t>
  </si>
  <si>
    <t>İtalyanca</t>
  </si>
  <si>
    <t>意大利语</t>
  </si>
  <si>
    <t>French</t>
  </si>
  <si>
    <t>Franska</t>
  </si>
  <si>
    <t>Francese</t>
  </si>
  <si>
    <t>Français</t>
  </si>
  <si>
    <t>Frances</t>
  </si>
  <si>
    <t>Fransızca</t>
  </si>
  <si>
    <t>法语</t>
  </si>
  <si>
    <t>Spanish</t>
  </si>
  <si>
    <t>Spanska</t>
  </si>
  <si>
    <t>Spagnolo</t>
  </si>
  <si>
    <t>Espagnol</t>
  </si>
  <si>
    <t>Español</t>
  </si>
  <si>
    <t>Espanhol</t>
  </si>
  <si>
    <t>İspanyolca</t>
  </si>
  <si>
    <t>西班牙语</t>
  </si>
  <si>
    <t>Portuguese</t>
  </si>
  <si>
    <t>Portugisiska</t>
  </si>
  <si>
    <t>Portoghese</t>
  </si>
  <si>
    <t>Portugais</t>
  </si>
  <si>
    <t>Portugués</t>
  </si>
  <si>
    <t>Português</t>
  </si>
  <si>
    <t>Portekizce</t>
  </si>
  <si>
    <t>葡萄牙语</t>
  </si>
  <si>
    <t>Turkish</t>
  </si>
  <si>
    <t>Turkiska</t>
  </si>
  <si>
    <t>Turco</t>
  </si>
  <si>
    <t>Turc</t>
  </si>
  <si>
    <t>Türkçe</t>
  </si>
  <si>
    <t>土耳其语</t>
  </si>
  <si>
    <t>Chinesisch</t>
  </si>
  <si>
    <t>Chinese</t>
  </si>
  <si>
    <t>Kinesiska</t>
  </si>
  <si>
    <t>Cinese</t>
  </si>
  <si>
    <t>Chinois</t>
  </si>
  <si>
    <t>Chino</t>
  </si>
  <si>
    <t>Chinês</t>
  </si>
  <si>
    <t>Çince</t>
  </si>
  <si>
    <t>Russian</t>
  </si>
  <si>
    <t>Rysk</t>
  </si>
  <si>
    <t>Russo</t>
  </si>
  <si>
    <t>Russe</t>
  </si>
  <si>
    <t>Ruso</t>
  </si>
  <si>
    <t>Rusça</t>
  </si>
  <si>
    <t xml:space="preserve"> 俄语</t>
  </si>
  <si>
    <t>MDF-Werkstoff</t>
  </si>
  <si>
    <t>MDF material</t>
  </si>
  <si>
    <t>Materiale MDF</t>
  </si>
  <si>
    <t>Matériau MDF</t>
  </si>
  <si>
    <t>Material de MDF</t>
  </si>
  <si>
    <t>MDF</t>
  </si>
  <si>
    <t>中纤板材料</t>
  </si>
  <si>
    <t>Материал МДФ</t>
  </si>
  <si>
    <t>Spanplatte</t>
  </si>
  <si>
    <t>Chipboard</t>
  </si>
  <si>
    <t>spånskiva</t>
  </si>
  <si>
    <t>Pannello di truciolato</t>
  </si>
  <si>
    <t>Panneaux de particules</t>
  </si>
  <si>
    <t>Aglomerado</t>
  </si>
  <si>
    <t>Sunta</t>
  </si>
  <si>
    <t>刨花板</t>
  </si>
  <si>
    <t>ДСП</t>
  </si>
  <si>
    <t>Fichte / Kiefer</t>
  </si>
  <si>
    <t>Spruce / Pine</t>
  </si>
  <si>
    <t>Gran / Fur</t>
  </si>
  <si>
    <t>Abete rosso/ pino</t>
  </si>
  <si>
    <t>Pin / Epicéa</t>
  </si>
  <si>
    <t>Abeto/ Pinheiro</t>
  </si>
  <si>
    <t>Massiv</t>
  </si>
  <si>
    <t>杉木/松木</t>
  </si>
  <si>
    <t>Ель/сосна</t>
  </si>
  <si>
    <t>Glas</t>
  </si>
  <si>
    <t>Glass</t>
  </si>
  <si>
    <t>glas</t>
  </si>
  <si>
    <t>vetro</t>
  </si>
  <si>
    <t>verre</t>
  </si>
  <si>
    <t>Vidro</t>
  </si>
  <si>
    <t>Cam</t>
  </si>
  <si>
    <t>玻璃</t>
  </si>
  <si>
    <t>Стекло</t>
  </si>
  <si>
    <t>-----------------</t>
  </si>
  <si>
    <t>Afrormosia</t>
  </si>
  <si>
    <t>Afromosia</t>
  </si>
  <si>
    <t>红豆木</t>
  </si>
  <si>
    <t>Афромозия</t>
  </si>
  <si>
    <t>Ahorn</t>
  </si>
  <si>
    <t>Maple</t>
  </si>
  <si>
    <t>Lönn</t>
  </si>
  <si>
    <t>Acero</t>
  </si>
  <si>
    <t>L´érable</t>
  </si>
  <si>
    <t>Ácer</t>
  </si>
  <si>
    <t>İsfendan ağacı</t>
  </si>
  <si>
    <t>枫木</t>
  </si>
  <si>
    <t>Клен</t>
  </si>
  <si>
    <t>Amerikanische Linde</t>
  </si>
  <si>
    <t>Basswood</t>
  </si>
  <si>
    <t>Lind</t>
  </si>
  <si>
    <t>Tiglio americano</t>
  </si>
  <si>
    <t>Ttilleul</t>
  </si>
  <si>
    <t>Tília americana</t>
  </si>
  <si>
    <t>Amerikan ıhlamur ağacı</t>
  </si>
  <si>
    <t>椴木</t>
  </si>
  <si>
    <t>Американская липа</t>
  </si>
  <si>
    <t>Apfel</t>
  </si>
  <si>
    <t>Apple</t>
  </si>
  <si>
    <t>Apel</t>
  </si>
  <si>
    <t>Melo</t>
  </si>
  <si>
    <t>Pommier</t>
  </si>
  <si>
    <t>maçã</t>
  </si>
  <si>
    <t>Elma Ağacı</t>
  </si>
  <si>
    <t>苹果木</t>
  </si>
  <si>
    <t>Яблоня</t>
  </si>
  <si>
    <t>Balsa</t>
  </si>
  <si>
    <t>Balsam</t>
  </si>
  <si>
    <t>巴尔沙木</t>
  </si>
  <si>
    <t>Бальза</t>
  </si>
  <si>
    <t>Bambus</t>
  </si>
  <si>
    <t>Bamboo</t>
  </si>
  <si>
    <t>Bambu</t>
  </si>
  <si>
    <t>Bambù</t>
  </si>
  <si>
    <t>Bambou</t>
  </si>
  <si>
    <t>Bambu ağacı</t>
  </si>
  <si>
    <t>竹</t>
  </si>
  <si>
    <t>Бамбук</t>
  </si>
  <si>
    <t>Birke</t>
  </si>
  <si>
    <t>Birch</t>
  </si>
  <si>
    <t>Björk</t>
  </si>
  <si>
    <t>Betulla</t>
  </si>
  <si>
    <t>Bouleau</t>
  </si>
  <si>
    <t>Bétula</t>
  </si>
  <si>
    <t>Huş ağacı</t>
  </si>
  <si>
    <t>桦木</t>
  </si>
  <si>
    <t>Береза</t>
  </si>
  <si>
    <t>Birne</t>
  </si>
  <si>
    <t>Pear</t>
  </si>
  <si>
    <t>Päron</t>
  </si>
  <si>
    <t>Pero</t>
  </si>
  <si>
    <t>Poire</t>
  </si>
  <si>
    <t>Pêra</t>
  </si>
  <si>
    <t>Armut ağacı</t>
  </si>
  <si>
    <t>梨木</t>
  </si>
  <si>
    <t>Груша</t>
  </si>
  <si>
    <t>Buche</t>
  </si>
  <si>
    <t>Beech</t>
  </si>
  <si>
    <t>Bok</t>
  </si>
  <si>
    <t>Faggio</t>
  </si>
  <si>
    <t>Hêtre</t>
  </si>
  <si>
    <t>Faia</t>
  </si>
  <si>
    <t>Kayın ağacı</t>
  </si>
  <si>
    <t>山毛榉</t>
  </si>
  <si>
    <t>Бук</t>
  </si>
  <si>
    <t>Douglasie</t>
  </si>
  <si>
    <t>Douglas Fir</t>
  </si>
  <si>
    <t>Douglas trä</t>
  </si>
  <si>
    <t>Douglasia costiera</t>
  </si>
  <si>
    <t>Pin douglas</t>
  </si>
  <si>
    <t>Douglasia</t>
  </si>
  <si>
    <t>花旗松</t>
  </si>
  <si>
    <t>Ebenholz</t>
  </si>
  <si>
    <t>Ebony</t>
  </si>
  <si>
    <t>Ebenholts</t>
  </si>
  <si>
    <t>Ebano</t>
  </si>
  <si>
    <t>Ébène</t>
  </si>
  <si>
    <t>Pau-preto</t>
  </si>
  <si>
    <t>Abanoz ağacı</t>
  </si>
  <si>
    <t>乌木</t>
  </si>
  <si>
    <t>Эбеновое дерево</t>
  </si>
  <si>
    <t>Erle</t>
  </si>
  <si>
    <t>Alder</t>
  </si>
  <si>
    <t>Al</t>
  </si>
  <si>
    <t>Ontano</t>
  </si>
  <si>
    <t>Aulne</t>
  </si>
  <si>
    <t>Amieiro</t>
  </si>
  <si>
    <t>Kızıl ağacı</t>
  </si>
  <si>
    <t>赤杨木</t>
  </si>
  <si>
    <t>Ольха</t>
  </si>
  <si>
    <t>Esche</t>
  </si>
  <si>
    <t>Ash</t>
  </si>
  <si>
    <t>Ask</t>
  </si>
  <si>
    <t>Frassino</t>
  </si>
  <si>
    <t>Frêne</t>
  </si>
  <si>
    <t>Freixo</t>
  </si>
  <si>
    <t>Dişbudak ağacı</t>
  </si>
  <si>
    <t>白蜡木</t>
  </si>
  <si>
    <t>Ясень</t>
  </si>
  <si>
    <t>Espe</t>
  </si>
  <si>
    <t>Aspen</t>
  </si>
  <si>
    <t>Asp</t>
  </si>
  <si>
    <t>Tremolo</t>
  </si>
  <si>
    <t>Tremble</t>
  </si>
  <si>
    <t xml:space="preserve">Álamo </t>
  </si>
  <si>
    <t>Kavak Ağacı</t>
  </si>
  <si>
    <t>山杨木</t>
  </si>
  <si>
    <t>Осина</t>
  </si>
  <si>
    <t>Fichte</t>
  </si>
  <si>
    <t>Spruce</t>
  </si>
  <si>
    <t xml:space="preserve">Gran  </t>
  </si>
  <si>
    <t>Abete rosso</t>
  </si>
  <si>
    <t>Sapin Rouge</t>
  </si>
  <si>
    <t>Abeto</t>
  </si>
  <si>
    <t>Ladin ağacı</t>
  </si>
  <si>
    <t>云杉</t>
  </si>
  <si>
    <t>Ель</t>
  </si>
  <si>
    <t>Gabun</t>
  </si>
  <si>
    <t>Gaboon</t>
  </si>
  <si>
    <t>Gabon</t>
  </si>
  <si>
    <t>Legno del Gabon</t>
  </si>
  <si>
    <t xml:space="preserve">Gabão </t>
  </si>
  <si>
    <t>加班木</t>
  </si>
  <si>
    <t>Hemlock</t>
  </si>
  <si>
    <t>Tsuga</t>
  </si>
  <si>
    <t>铁杉</t>
  </si>
  <si>
    <t>Тсуга</t>
  </si>
  <si>
    <t>Iroko</t>
  </si>
  <si>
    <t>Madeira de iroko</t>
  </si>
  <si>
    <t>绿柄桑</t>
  </si>
  <si>
    <t>Ироко</t>
  </si>
  <si>
    <t>Kastanie</t>
  </si>
  <si>
    <t>Chestnut</t>
  </si>
  <si>
    <t>Kastanj</t>
  </si>
  <si>
    <t>Castagno</t>
  </si>
  <si>
    <t>Marron</t>
  </si>
  <si>
    <t>Castanha</t>
  </si>
  <si>
    <t>Kestane Ağacı</t>
  </si>
  <si>
    <t>栗木</t>
  </si>
  <si>
    <t>Каштан</t>
  </si>
  <si>
    <t>Kiefer</t>
  </si>
  <si>
    <t>Pine</t>
  </si>
  <si>
    <t>Furu</t>
  </si>
  <si>
    <t>Pino</t>
  </si>
  <si>
    <t>Pin</t>
  </si>
  <si>
    <t>Pinheiro</t>
  </si>
  <si>
    <t>Çam ağacı</t>
  </si>
  <si>
    <t>松</t>
  </si>
  <si>
    <t>Сосна</t>
  </si>
  <si>
    <t>Kirsche</t>
  </si>
  <si>
    <t>Cherry</t>
  </si>
  <si>
    <t>Körsbär</t>
  </si>
  <si>
    <t>Ciliegio</t>
  </si>
  <si>
    <t>Cerise</t>
  </si>
  <si>
    <t xml:space="preserve">Cereja </t>
  </si>
  <si>
    <t>Kiraz ağacı</t>
  </si>
  <si>
    <t>樱桃木</t>
  </si>
  <si>
    <t>Вишня</t>
  </si>
  <si>
    <t>Lärche</t>
  </si>
  <si>
    <t>Larch</t>
  </si>
  <si>
    <t>Lärkträ</t>
  </si>
  <si>
    <t>Larice</t>
  </si>
  <si>
    <t>Mélèze</t>
  </si>
  <si>
    <t>Pinheiro lariço</t>
  </si>
  <si>
    <t>Karaçam ağacı</t>
  </si>
  <si>
    <t>落叶松木</t>
  </si>
  <si>
    <t>Лиственница</t>
  </si>
  <si>
    <t>Mahagonie</t>
  </si>
  <si>
    <t>Mahogany</t>
  </si>
  <si>
    <t>Mahongny</t>
  </si>
  <si>
    <t>Mogano</t>
  </si>
  <si>
    <t>Acajou</t>
  </si>
  <si>
    <t>Mogno</t>
  </si>
  <si>
    <t>Maun ağacı</t>
  </si>
  <si>
    <t>红木</t>
  </si>
  <si>
    <t>Красное дерево</t>
  </si>
  <si>
    <t>Mammutbaum</t>
  </si>
  <si>
    <t>Redwood</t>
  </si>
  <si>
    <t>Mammutträ</t>
  </si>
  <si>
    <t>Sequoia</t>
  </si>
  <si>
    <t>Séquoia géant</t>
  </si>
  <si>
    <t>Sequoias</t>
  </si>
  <si>
    <t>Mamut ağacı</t>
  </si>
  <si>
    <t>红杉</t>
  </si>
  <si>
    <t>Секвойя</t>
  </si>
  <si>
    <t>Pappel</t>
  </si>
  <si>
    <t>Poplar</t>
  </si>
  <si>
    <t>Poppel</t>
  </si>
  <si>
    <t>Pioppo</t>
  </si>
  <si>
    <t>Peuplier</t>
  </si>
  <si>
    <t>Kavak ağacı</t>
  </si>
  <si>
    <t>白杨木</t>
  </si>
  <si>
    <t>Тополь</t>
  </si>
  <si>
    <t>Pappel, kanadisch</t>
  </si>
  <si>
    <t>Cottonwood</t>
  </si>
  <si>
    <t>Poppel, kanadensisk</t>
  </si>
  <si>
    <t>Pioppo canadese</t>
  </si>
  <si>
    <t>Peuplier canadien</t>
  </si>
  <si>
    <t xml:space="preserve">Álamo canadense </t>
  </si>
  <si>
    <t xml:space="preserve">Kavak ağacı, Kanada'ya ait </t>
  </si>
  <si>
    <t>杨木</t>
  </si>
  <si>
    <t>Канадский тополь</t>
  </si>
  <si>
    <t>Pekannussbaum</t>
  </si>
  <si>
    <t>Pecan</t>
  </si>
  <si>
    <t>Pekan</t>
  </si>
  <si>
    <t>Noix de pécan</t>
  </si>
  <si>
    <t>Arvore pecam</t>
  </si>
  <si>
    <t>胡桃木</t>
  </si>
  <si>
    <t>Кария-пекан</t>
  </si>
  <si>
    <t>Platane</t>
  </si>
  <si>
    <t>Sycamore</t>
  </si>
  <si>
    <t>Platansläktet</t>
  </si>
  <si>
    <t>Platano</t>
  </si>
  <si>
    <t xml:space="preserve">Plátano </t>
  </si>
  <si>
    <t>梧桐木</t>
  </si>
  <si>
    <t>Платан</t>
  </si>
  <si>
    <t>Pockholz</t>
  </si>
  <si>
    <t>Lignum Vitae</t>
  </si>
  <si>
    <t>Legno di guaiaco</t>
  </si>
  <si>
    <t>Guaiacum</t>
  </si>
  <si>
    <t xml:space="preserve">Pau-santo </t>
  </si>
  <si>
    <t>愈创木</t>
  </si>
  <si>
    <t>Бакаут</t>
  </si>
  <si>
    <t>Ramin</t>
  </si>
  <si>
    <t>-</t>
  </si>
  <si>
    <t>Legno ramino</t>
  </si>
  <si>
    <t>Madeira de ramin</t>
  </si>
  <si>
    <t>白木</t>
  </si>
  <si>
    <t>Рамин</t>
  </si>
  <si>
    <t>Robinie</t>
  </si>
  <si>
    <t>Locust</t>
  </si>
  <si>
    <t>Robinia</t>
  </si>
  <si>
    <t>Robinier</t>
  </si>
  <si>
    <t>洋槐</t>
  </si>
  <si>
    <t>Белая акация</t>
  </si>
  <si>
    <t>Particle Board</t>
  </si>
  <si>
    <t>Spånskiva</t>
  </si>
  <si>
    <t xml:space="preserve">Aglomerado </t>
  </si>
  <si>
    <t>Tanne</t>
  </si>
  <si>
    <t>Fir</t>
  </si>
  <si>
    <t>Ädelgran</t>
  </si>
  <si>
    <t>Abete</t>
  </si>
  <si>
    <t>Sapin</t>
  </si>
  <si>
    <t>冷杉</t>
  </si>
  <si>
    <t>Пихта</t>
  </si>
  <si>
    <t>Teak</t>
  </si>
  <si>
    <t>Teca</t>
  </si>
  <si>
    <t>Tik ağacı</t>
  </si>
  <si>
    <t>柚木</t>
  </si>
  <si>
    <t>Тик</t>
  </si>
  <si>
    <t>Ulme</t>
  </si>
  <si>
    <t>Elm</t>
  </si>
  <si>
    <t>Alm</t>
  </si>
  <si>
    <t>Olmo</t>
  </si>
  <si>
    <t>Orme</t>
  </si>
  <si>
    <t>Karaağaç</t>
  </si>
  <si>
    <t>榆木</t>
  </si>
  <si>
    <t>Вяз</t>
  </si>
  <si>
    <t>Walnuss</t>
  </si>
  <si>
    <t>Hickory</t>
  </si>
  <si>
    <t>Valnöt</t>
  </si>
  <si>
    <t>Noce</t>
  </si>
  <si>
    <t>Noyer commun</t>
  </si>
  <si>
    <t>Noz</t>
  </si>
  <si>
    <t>Ceviz ağacı</t>
  </si>
  <si>
    <t>山核桃木</t>
  </si>
  <si>
    <t>Weide</t>
  </si>
  <si>
    <t>Willow</t>
  </si>
  <si>
    <t>Vide</t>
  </si>
  <si>
    <t>Salice</t>
  </si>
  <si>
    <t>Saule</t>
  </si>
  <si>
    <t xml:space="preserve">Salgueiro </t>
  </si>
  <si>
    <t>Söğüt ağacı</t>
  </si>
  <si>
    <t>柳木</t>
  </si>
  <si>
    <t>Ива</t>
  </si>
  <si>
    <t>Zeder</t>
  </si>
  <si>
    <t>Cedar</t>
  </si>
  <si>
    <t>Ceder</t>
  </si>
  <si>
    <t>Cedro</t>
  </si>
  <si>
    <t>Cèdre rouge</t>
  </si>
  <si>
    <t xml:space="preserve">Cedro </t>
  </si>
  <si>
    <t>Sedir ağacı</t>
  </si>
  <si>
    <t>雪松</t>
  </si>
  <si>
    <t>Кедр</t>
  </si>
  <si>
    <t>Zypresse</t>
  </si>
  <si>
    <t>Cypress</t>
  </si>
  <si>
    <t>Cipresso</t>
  </si>
  <si>
    <t>Cyprès</t>
  </si>
  <si>
    <t xml:space="preserve">Cipreste </t>
  </si>
  <si>
    <t xml:space="preserve">Selvi ağacı </t>
  </si>
  <si>
    <t>柏木</t>
  </si>
  <si>
    <t>Кипарис</t>
  </si>
  <si>
    <t>dichte</t>
  </si>
  <si>
    <t>Material</t>
  </si>
  <si>
    <t>Breite</t>
  </si>
  <si>
    <t>Dicke</t>
  </si>
  <si>
    <t>Limit</t>
  </si>
  <si>
    <t>min</t>
  </si>
  <si>
    <t>max</t>
  </si>
  <si>
    <t>volumen</t>
  </si>
  <si>
    <t>Gewicht</t>
  </si>
  <si>
    <t>Anzahl Scharniere</t>
  </si>
  <si>
    <t>Scharnieranzahl</t>
  </si>
  <si>
    <t>Sortiert</t>
  </si>
  <si>
    <t>TIOMOS SELECTOR erstellt von SYS33 EDV Dienstleistung im Auftrag von GRASS Reinheim</t>
  </si>
  <si>
    <t>auswahl K</t>
  </si>
  <si>
    <t>voll aufliegend (K0)</t>
  </si>
  <si>
    <t>aufliegend (K3)</t>
  </si>
  <si>
    <t>halb aufliegend (K9.5)</t>
  </si>
  <si>
    <t>einliegend (K19)</t>
  </si>
  <si>
    <t>montageplatten müssen nach Höhe aufsteigend gefiltert sein und Randbedingungen entsprechen</t>
  </si>
  <si>
    <t>oder</t>
  </si>
  <si>
    <t>sort</t>
  </si>
  <si>
    <t>Konfigurator</t>
  </si>
  <si>
    <t>Standardscharnier</t>
  </si>
  <si>
    <t>Winkelscharnier</t>
  </si>
  <si>
    <t>Alu-/Glas- &amp; Spiegelscharnier</t>
  </si>
  <si>
    <t>Spezialscharnier</t>
  </si>
  <si>
    <t>20/32</t>
  </si>
  <si>
    <t>x</t>
  </si>
  <si>
    <t>Delta</t>
  </si>
  <si>
    <t>9,5/32</t>
  </si>
  <si>
    <t>Deltamontageplatte</t>
  </si>
  <si>
    <t>F058139825</t>
  </si>
  <si>
    <t>F058139826</t>
  </si>
  <si>
    <t>F058139827</t>
  </si>
  <si>
    <t>F058139828</t>
  </si>
  <si>
    <t>Quick</t>
  </si>
  <si>
    <t>Click-on Quick</t>
  </si>
  <si>
    <t>Für Click-on Quick bitte Bohrbild 48/9 wählen</t>
  </si>
  <si>
    <t>10/32</t>
  </si>
  <si>
    <t>INSET Beaded Mtg-Platte TIOMOS</t>
  </si>
  <si>
    <t>H 00, ni / 10</t>
  </si>
  <si>
    <t>INSET</t>
  </si>
  <si>
    <t>F058139831</t>
  </si>
  <si>
    <t>Inset Beaded (Rahmenkonstruktion)</t>
  </si>
  <si>
    <t>Typ</t>
  </si>
  <si>
    <t>aktuell</t>
  </si>
  <si>
    <t>kleiner</t>
  </si>
  <si>
    <t>größer</t>
  </si>
  <si>
    <t>Ändern Sie Montageplattentyp, Befestigung oder Topfabstand</t>
  </si>
  <si>
    <t>Nur anschrauben mit Holzschrauben möglich</t>
  </si>
  <si>
    <t>Bitte Auswahl ändern!</t>
  </si>
  <si>
    <t>Weitwinkel</t>
  </si>
  <si>
    <t>Tiomos 110/90A</t>
  </si>
  <si>
    <t>Tiomos 110/90E</t>
  </si>
  <si>
    <t>Tiomos 110/30E</t>
  </si>
  <si>
    <t>Tiomos 110/30A</t>
  </si>
  <si>
    <t>Tiomos 110/37A</t>
  </si>
  <si>
    <t>Tiomos 110/37E</t>
  </si>
  <si>
    <t>Tiomos 110/45A</t>
  </si>
  <si>
    <t>Tiomos 110/45E</t>
  </si>
  <si>
    <t>Tiomos 95 Mini</t>
  </si>
  <si>
    <t>Tiomos 110 AL</t>
  </si>
  <si>
    <t>Tiomos M0</t>
  </si>
  <si>
    <t>Tiomos PCC</t>
  </si>
  <si>
    <t>Tiomos M9</t>
  </si>
  <si>
    <t>Tiomos 100</t>
  </si>
  <si>
    <t>Tiomos Mirro Spiegel</t>
  </si>
  <si>
    <t>mph</t>
  </si>
  <si>
    <t>Türstärke</t>
  </si>
  <si>
    <t>Mindestfuge</t>
  </si>
  <si>
    <t>110/30E</t>
  </si>
  <si>
    <t>Schnellauswahl</t>
  </si>
  <si>
    <t>Tiomos 120/-15A</t>
  </si>
  <si>
    <t>Tiomos 120/-30A</t>
  </si>
  <si>
    <t>Tiomos 120/-45A</t>
  </si>
  <si>
    <t>Türfuge</t>
  </si>
  <si>
    <t>Faktor</t>
  </si>
  <si>
    <t>Bez</t>
  </si>
  <si>
    <t>Min</t>
  </si>
  <si>
    <t>Max</t>
  </si>
  <si>
    <t>Preview</t>
  </si>
  <si>
    <t>Eingabefeld</t>
  </si>
  <si>
    <t>X</t>
  </si>
  <si>
    <t>Bohrabstand (X)</t>
  </si>
  <si>
    <t>Feld 1</t>
  </si>
  <si>
    <t>Feld 2</t>
  </si>
  <si>
    <t>MPH</t>
  </si>
  <si>
    <t>wert+</t>
  </si>
  <si>
    <t>wert-</t>
  </si>
  <si>
    <t>Mindestspalt</t>
  </si>
  <si>
    <t>MPH Winkel</t>
  </si>
  <si>
    <t>nein</t>
  </si>
  <si>
    <t>ja</t>
  </si>
  <si>
    <t>F028138535</t>
  </si>
  <si>
    <t>F028138545</t>
  </si>
  <si>
    <t>F017139341</t>
  </si>
  <si>
    <t>Gesamt_Winkel</t>
  </si>
  <si>
    <t>Schbefest_Winkel</t>
  </si>
  <si>
    <t>Bohrbild_Winkel</t>
  </si>
  <si>
    <t>Dämpfung_Winkel</t>
  </si>
  <si>
    <t>Scharnierart</t>
  </si>
  <si>
    <t>winkelscharnier</t>
  </si>
  <si>
    <t>Befest_Winkel</t>
  </si>
  <si>
    <t>Typ_winkel</t>
  </si>
  <si>
    <t>Winkel_ges</t>
  </si>
  <si>
    <t>1= Standard</t>
  </si>
  <si>
    <t>2= Winkel</t>
  </si>
  <si>
    <t>Gruppenschlüssel</t>
  </si>
  <si>
    <t>-&gt;&gt;&gt;&gt; Gruppenschlüssel</t>
  </si>
  <si>
    <t>FNR</t>
  </si>
  <si>
    <t>o</t>
  </si>
  <si>
    <t>|</t>
  </si>
  <si>
    <t>Lösungen Montageplatten nach mph</t>
  </si>
  <si>
    <t>Anz</t>
  </si>
  <si>
    <t>Anzahl Kreuzplatten</t>
  </si>
  <si>
    <t>Anzahl Linear platten</t>
  </si>
  <si>
    <t>Anzahl Deltaplatten</t>
  </si>
  <si>
    <t>Anzahl Inset</t>
  </si>
  <si>
    <t>Möglichkeiten</t>
  </si>
  <si>
    <t>Maß X</t>
  </si>
  <si>
    <t>.</t>
  </si>
  <si>
    <t>F028138536</t>
  </si>
  <si>
    <t>F028138546</t>
  </si>
  <si>
    <t>F017139342</t>
  </si>
  <si>
    <t>Maß x nach MPH eingestellt</t>
  </si>
  <si>
    <t>Türauflage und Topfabstand geben Mindestspalt vor</t>
  </si>
  <si>
    <t>MPH wird aus Türstärke, Mindestfuge und Standardwert ermittelt (Mindestfuge wir nicht berücksichtig)</t>
  </si>
  <si>
    <t>Über Mindestfuge und Topfabstand wird die Türstärke berechnet</t>
  </si>
  <si>
    <t>winkel</t>
  </si>
  <si>
    <t>y</t>
  </si>
  <si>
    <t>Spalt</t>
  </si>
  <si>
    <t>Auflage</t>
  </si>
  <si>
    <t>Topfabst</t>
  </si>
  <si>
    <t>real</t>
  </si>
  <si>
    <t>runden .5</t>
  </si>
  <si>
    <t>aufrunden</t>
  </si>
  <si>
    <t>abrunden</t>
  </si>
  <si>
    <t>runden mittelwert</t>
  </si>
  <si>
    <t>minus max</t>
  </si>
  <si>
    <t>Kröpfung_sel</t>
  </si>
  <si>
    <t>Däpfung_sel</t>
  </si>
  <si>
    <t>Bohrbild_sel</t>
  </si>
  <si>
    <t>Winkel_sel</t>
  </si>
  <si>
    <t>Gesamt_standard</t>
  </si>
  <si>
    <t>ArtikelNR</t>
  </si>
  <si>
    <t>auf</t>
  </si>
  <si>
    <t>ab</t>
  </si>
  <si>
    <t>.5</t>
  </si>
  <si>
    <t>diff</t>
  </si>
  <si>
    <t>rm-0.5</t>
  </si>
  <si>
    <t>rmittel</t>
  </si>
  <si>
    <t>re</t>
  </si>
  <si>
    <t>dif</t>
  </si>
  <si>
    <t>Winkel_rand</t>
  </si>
  <si>
    <t>F028138529</t>
  </si>
  <si>
    <t>Text2</t>
  </si>
  <si>
    <t>keine</t>
  </si>
  <si>
    <t>110</t>
  </si>
  <si>
    <t>F017139335</t>
  </si>
  <si>
    <t>F017139336</t>
  </si>
  <si>
    <t>F017139337</t>
  </si>
  <si>
    <t>F017139338</t>
  </si>
  <si>
    <t>F017139339</t>
  </si>
  <si>
    <t>F017139340</t>
  </si>
  <si>
    <t>120</t>
  </si>
  <si>
    <t>F017139347</t>
  </si>
  <si>
    <t>F017139348</t>
  </si>
  <si>
    <t>F017139349</t>
  </si>
  <si>
    <t>F017139420</t>
  </si>
  <si>
    <t>F017139421</t>
  </si>
  <si>
    <t>F017139422</t>
  </si>
  <si>
    <t>F017139423</t>
  </si>
  <si>
    <t>F017139424</t>
  </si>
  <si>
    <t>F017139425</t>
  </si>
  <si>
    <t>F017139426</t>
  </si>
  <si>
    <t>F017139427</t>
  </si>
  <si>
    <t>Tiomos Quick Scharnier</t>
  </si>
  <si>
    <t>F022140090</t>
  </si>
  <si>
    <t>F022140091</t>
  </si>
  <si>
    <t>F022140092</t>
  </si>
  <si>
    <t>F022140093</t>
  </si>
  <si>
    <t>F028138103</t>
  </si>
  <si>
    <t>F028138104</t>
  </si>
  <si>
    <t>F028138105</t>
  </si>
  <si>
    <t>F028138106</t>
  </si>
  <si>
    <t>F028138107</t>
  </si>
  <si>
    <t>F028138108</t>
  </si>
  <si>
    <t>F028138109</t>
  </si>
  <si>
    <t>F028138110</t>
  </si>
  <si>
    <t>F028138119</t>
  </si>
  <si>
    <t>F028138120</t>
  </si>
  <si>
    <t>F028138129</t>
  </si>
  <si>
    <t>F028138130</t>
  </si>
  <si>
    <t>F028138131</t>
  </si>
  <si>
    <t>110°, AL, K00, ni</t>
  </si>
  <si>
    <t>F028138154</t>
  </si>
  <si>
    <t>110°, AL, K03, ni</t>
  </si>
  <si>
    <t>F028138155</t>
  </si>
  <si>
    <t>F028138156</t>
  </si>
  <si>
    <t>110°, AL, K19, ni</t>
  </si>
  <si>
    <t>F028138157</t>
  </si>
  <si>
    <t>F028138347</t>
  </si>
  <si>
    <t>F028138348</t>
  </si>
  <si>
    <t>F028138349</t>
  </si>
  <si>
    <t>F028138350</t>
  </si>
  <si>
    <t>F028138351</t>
  </si>
  <si>
    <t>F028138352</t>
  </si>
  <si>
    <t>F028138353</t>
  </si>
  <si>
    <t>F028138354</t>
  </si>
  <si>
    <t>F028138363</t>
  </si>
  <si>
    <t>F028138364</t>
  </si>
  <si>
    <t>F028138373</t>
  </si>
  <si>
    <t>F028138374</t>
  </si>
  <si>
    <t>F028138375</t>
  </si>
  <si>
    <t>F028138530</t>
  </si>
  <si>
    <t>F028138531</t>
  </si>
  <si>
    <t>F028138532</t>
  </si>
  <si>
    <t>F028138533</t>
  </si>
  <si>
    <t>F028138534</t>
  </si>
  <si>
    <t>F028138555</t>
  </si>
  <si>
    <t>F028138556</t>
  </si>
  <si>
    <t>F028138557</t>
  </si>
  <si>
    <t>F028138711</t>
  </si>
  <si>
    <t>F028138712</t>
  </si>
  <si>
    <t>F028138713</t>
  </si>
  <si>
    <t>F028138714</t>
  </si>
  <si>
    <t>F028138715</t>
  </si>
  <si>
    <t>F028138716</t>
  </si>
  <si>
    <t>F028138717</t>
  </si>
  <si>
    <t>F028138718</t>
  </si>
  <si>
    <t>F028138727</t>
  </si>
  <si>
    <t>F028138728</t>
  </si>
  <si>
    <t>F028138737</t>
  </si>
  <si>
    <t>F028138738</t>
  </si>
  <si>
    <t>F028138739</t>
  </si>
  <si>
    <t>F028138893</t>
  </si>
  <si>
    <t>F028138894</t>
  </si>
  <si>
    <t>F028138895</t>
  </si>
  <si>
    <t>F028138896</t>
  </si>
  <si>
    <t>F028138897</t>
  </si>
  <si>
    <t>F028138898</t>
  </si>
  <si>
    <t>F028138899</t>
  </si>
  <si>
    <t>F028138900</t>
  </si>
  <si>
    <t>F028138909</t>
  </si>
  <si>
    <t>F028138910</t>
  </si>
  <si>
    <t>F028138919</t>
  </si>
  <si>
    <t>F028138920</t>
  </si>
  <si>
    <t>F028138921</t>
  </si>
  <si>
    <t>Tiomos Scharnier TS M0 125°</t>
  </si>
  <si>
    <t>F029140331</t>
  </si>
  <si>
    <t>Tiomos Scharnier TS M9 110°</t>
  </si>
  <si>
    <t>B-BB, K14, ni,</t>
  </si>
  <si>
    <t>F029140338</t>
  </si>
  <si>
    <t>F029140341</t>
  </si>
  <si>
    <t>F017139432</t>
  </si>
  <si>
    <t>F017139433</t>
  </si>
  <si>
    <t>F017139434</t>
  </si>
  <si>
    <t>F017139505</t>
  </si>
  <si>
    <t>F017139506</t>
  </si>
  <si>
    <t>F017139507</t>
  </si>
  <si>
    <t>F017139508</t>
  </si>
  <si>
    <t>F017139509</t>
  </si>
  <si>
    <t>F017139510</t>
  </si>
  <si>
    <t>F017139511</t>
  </si>
  <si>
    <t>F017139512</t>
  </si>
  <si>
    <t>F017139517</t>
  </si>
  <si>
    <t>F017139518</t>
  </si>
  <si>
    <t>F017139519</t>
  </si>
  <si>
    <t>F034139306</t>
  </si>
  <si>
    <t>F034139307</t>
  </si>
  <si>
    <t>F034139308</t>
  </si>
  <si>
    <t>F034139309</t>
  </si>
  <si>
    <t>F034139310</t>
  </si>
  <si>
    <t>F034139311</t>
  </si>
  <si>
    <t>F034139312</t>
  </si>
  <si>
    <t>F034139313</t>
  </si>
  <si>
    <t>F034139318</t>
  </si>
  <si>
    <t>F034139319</t>
  </si>
  <si>
    <t>F034139320</t>
  </si>
  <si>
    <t>F039140030</t>
  </si>
  <si>
    <t>F039140031</t>
  </si>
  <si>
    <t>F039140032</t>
  </si>
  <si>
    <t>F039140033</t>
  </si>
  <si>
    <t>F045138010</t>
  </si>
  <si>
    <t>F045138011</t>
  </si>
  <si>
    <t>F045138012</t>
  </si>
  <si>
    <t>F045138013</t>
  </si>
  <si>
    <t>F045138014</t>
  </si>
  <si>
    <t>F045138015</t>
  </si>
  <si>
    <t>F045138016</t>
  </si>
  <si>
    <t>F045138017</t>
  </si>
  <si>
    <t>F045138026</t>
  </si>
  <si>
    <t>F045138027</t>
  </si>
  <si>
    <t>F045138036</t>
  </si>
  <si>
    <t>F045138037</t>
  </si>
  <si>
    <t>F045138038</t>
  </si>
  <si>
    <t>F045138061</t>
  </si>
  <si>
    <t>F045138062</t>
  </si>
  <si>
    <t>F045138063</t>
  </si>
  <si>
    <t>F045138064</t>
  </si>
  <si>
    <t>F045138091</t>
  </si>
  <si>
    <t>F045138092</t>
  </si>
  <si>
    <t>F045138285</t>
  </si>
  <si>
    <t>F045138286</t>
  </si>
  <si>
    <t>F045138287</t>
  </si>
  <si>
    <t>F045138288</t>
  </si>
  <si>
    <t>F045138289</t>
  </si>
  <si>
    <t>F045138290</t>
  </si>
  <si>
    <t>F045138291</t>
  </si>
  <si>
    <t>F045138292</t>
  </si>
  <si>
    <t>F045138301</t>
  </si>
  <si>
    <t>F045138302</t>
  </si>
  <si>
    <t>F045138311</t>
  </si>
  <si>
    <t>F045138312</t>
  </si>
  <si>
    <t>F045138313</t>
  </si>
  <si>
    <t>F045138335</t>
  </si>
  <si>
    <t>F045138336</t>
  </si>
  <si>
    <t>F045138467</t>
  </si>
  <si>
    <t>F045138468</t>
  </si>
  <si>
    <t>F045138469</t>
  </si>
  <si>
    <t>F045138470</t>
  </si>
  <si>
    <t>F045138471</t>
  </si>
  <si>
    <t>F045138472</t>
  </si>
  <si>
    <t>F045138473</t>
  </si>
  <si>
    <t>F045138474</t>
  </si>
  <si>
    <t>F045138484</t>
  </si>
  <si>
    <t>F045138493</t>
  </si>
  <si>
    <t>F045138494</t>
  </si>
  <si>
    <t>F045138495</t>
  </si>
  <si>
    <t>F045138517</t>
  </si>
  <si>
    <t>F045138518</t>
  </si>
  <si>
    <t>F045138649</t>
  </si>
  <si>
    <t>F045138650</t>
  </si>
  <si>
    <t>F045138651</t>
  </si>
  <si>
    <t>F045138652</t>
  </si>
  <si>
    <t>F045138653</t>
  </si>
  <si>
    <t>F045138654</t>
  </si>
  <si>
    <t>F045138655</t>
  </si>
  <si>
    <t>F045138656</t>
  </si>
  <si>
    <t>F045138665</t>
  </si>
  <si>
    <t>F045138666</t>
  </si>
  <si>
    <t>F045138675</t>
  </si>
  <si>
    <t>F045138676</t>
  </si>
  <si>
    <t>F045138677</t>
  </si>
  <si>
    <t>F045138699</t>
  </si>
  <si>
    <t>F045138700</t>
  </si>
  <si>
    <t>F045138831</t>
  </si>
  <si>
    <t>F045138832</t>
  </si>
  <si>
    <t>F045138833</t>
  </si>
  <si>
    <t>F045138834</t>
  </si>
  <si>
    <t>F045138835</t>
  </si>
  <si>
    <t>F045138836</t>
  </si>
  <si>
    <t>F045138837</t>
  </si>
  <si>
    <t>F045138838</t>
  </si>
  <si>
    <t>F045138847</t>
  </si>
  <si>
    <t>F045138848</t>
  </si>
  <si>
    <t>F045138857</t>
  </si>
  <si>
    <t>F045138858</t>
  </si>
  <si>
    <t>F045138859</t>
  </si>
  <si>
    <t>F045138881</t>
  </si>
  <si>
    <t>F045138882</t>
  </si>
  <si>
    <t>36/7,5</t>
  </si>
  <si>
    <t>F045139064</t>
  </si>
  <si>
    <t>100</t>
  </si>
  <si>
    <t>F045139071</t>
  </si>
  <si>
    <t>F045139072</t>
  </si>
  <si>
    <t>F045139073</t>
  </si>
  <si>
    <t>F045139074</t>
  </si>
  <si>
    <t>F046138194</t>
  </si>
  <si>
    <t>F046138195</t>
  </si>
  <si>
    <t>F046138196</t>
  </si>
  <si>
    <t>F046138197</t>
  </si>
  <si>
    <t>F046138198</t>
  </si>
  <si>
    <t>F046138199</t>
  </si>
  <si>
    <t>F046138201</t>
  </si>
  <si>
    <t>F046138245</t>
  </si>
  <si>
    <t>F046138246</t>
  </si>
  <si>
    <t>F046138247</t>
  </si>
  <si>
    <t>F046138248</t>
  </si>
  <si>
    <t>F046138407</t>
  </si>
  <si>
    <t>F046138408</t>
  </si>
  <si>
    <t>F046138409</t>
  </si>
  <si>
    <t>F046138410</t>
  </si>
  <si>
    <t>F046138411</t>
  </si>
  <si>
    <t>F046138412</t>
  </si>
  <si>
    <t>F046138414</t>
  </si>
  <si>
    <t>F046138589</t>
  </si>
  <si>
    <t>F046138590</t>
  </si>
  <si>
    <t>F046138591</t>
  </si>
  <si>
    <t>F046138592</t>
  </si>
  <si>
    <t>F046138593</t>
  </si>
  <si>
    <t>F046138594</t>
  </si>
  <si>
    <t>F046138596</t>
  </si>
  <si>
    <t>F046138771</t>
  </si>
  <si>
    <t>F046138772</t>
  </si>
  <si>
    <t>F046138773</t>
  </si>
  <si>
    <t>F046138774</t>
  </si>
  <si>
    <t>F046138775</t>
  </si>
  <si>
    <t>F046138776</t>
  </si>
  <si>
    <t>F046138778</t>
  </si>
  <si>
    <t>F046138953</t>
  </si>
  <si>
    <t>F046138954</t>
  </si>
  <si>
    <t>F046138955</t>
  </si>
  <si>
    <t>F046138956</t>
  </si>
  <si>
    <t>F046138957</t>
  </si>
  <si>
    <t>F046138958</t>
  </si>
  <si>
    <t>F046138960</t>
  </si>
  <si>
    <t>Tiomos Scharnier T Mirro 125°</t>
  </si>
  <si>
    <t>K14, ni</t>
  </si>
  <si>
    <t>F047140326</t>
  </si>
  <si>
    <t>Tiomos Scharnier T M0 125°</t>
  </si>
  <si>
    <t>F047140332</t>
  </si>
  <si>
    <t>Tiomos Scharnier T M9 110°</t>
  </si>
  <si>
    <t>F047140335</t>
  </si>
  <si>
    <t>F047140339</t>
  </si>
  <si>
    <t>F047140342</t>
  </si>
  <si>
    <t>Tiomos Scharnier TT Mirro 125°</t>
  </si>
  <si>
    <t>F049140327</t>
  </si>
  <si>
    <t>Tiomos Scharnier TT M0 125°</t>
  </si>
  <si>
    <t>F049140333</t>
  </si>
  <si>
    <t>Tiomos Scharnier TT M9 110°</t>
  </si>
  <si>
    <t>F049140336</t>
  </si>
  <si>
    <t>F049140340</t>
  </si>
  <si>
    <t>F049140343</t>
  </si>
  <si>
    <t>F034139391</t>
  </si>
  <si>
    <t>F034139392</t>
  </si>
  <si>
    <t>F034139393</t>
  </si>
  <si>
    <t>F034139394</t>
  </si>
  <si>
    <t>F034139395</t>
  </si>
  <si>
    <t>F034139396</t>
  </si>
  <si>
    <t>F034139397</t>
  </si>
  <si>
    <t>F034139398</t>
  </si>
  <si>
    <t>F034139403</t>
  </si>
  <si>
    <t>F034139404</t>
  </si>
  <si>
    <t>F034139405</t>
  </si>
  <si>
    <t>F034139476</t>
  </si>
  <si>
    <t>F034139477</t>
  </si>
  <si>
    <t>F034139478</t>
  </si>
  <si>
    <t>F034139479</t>
  </si>
  <si>
    <t>F034139480</t>
  </si>
  <si>
    <t>F034139481</t>
  </si>
  <si>
    <t>F034139482</t>
  </si>
  <si>
    <t>F034139483</t>
  </si>
  <si>
    <t>F034139488</t>
  </si>
  <si>
    <t>F034139489</t>
  </si>
  <si>
    <t>F034139490</t>
  </si>
  <si>
    <t>aufl.</t>
  </si>
  <si>
    <t>einl.</t>
  </si>
  <si>
    <t>Kühlsch.</t>
  </si>
  <si>
    <t>Mini</t>
  </si>
  <si>
    <t>F045138483</t>
  </si>
  <si>
    <t>Tiomos Scharnier TS Mirro 125°</t>
  </si>
  <si>
    <t>F029140325</t>
  </si>
  <si>
    <t>F029140334</t>
  </si>
  <si>
    <t>95°, GL, K03, ni</t>
  </si>
  <si>
    <t>F045138079</t>
  </si>
  <si>
    <t>100°</t>
  </si>
  <si>
    <t>F045139052</t>
  </si>
  <si>
    <t>F045139053</t>
  </si>
  <si>
    <t>F045139054</t>
  </si>
  <si>
    <t>F045139055</t>
  </si>
  <si>
    <t>F045139056</t>
  </si>
  <si>
    <t>F045139063</t>
  </si>
  <si>
    <t>F045139075</t>
  </si>
  <si>
    <t>M-BB, K14, ni</t>
  </si>
  <si>
    <t>S-BB, K14, ni</t>
  </si>
  <si>
    <t>Gruppe</t>
  </si>
  <si>
    <t>plus max</t>
  </si>
  <si>
    <t>real-0,5</t>
  </si>
  <si>
    <t>(wert+Topfabstand-Auflage)*COS(-(-winkel)*PI()/180)</t>
  </si>
  <si>
    <t>wert</t>
  </si>
  <si>
    <t>TA</t>
  </si>
  <si>
    <t>grenzen</t>
  </si>
  <si>
    <t>&gt;=</t>
  </si>
  <si>
    <t>&lt;</t>
  </si>
  <si>
    <t>split</t>
  </si>
  <si>
    <t>wx</t>
  </si>
  <si>
    <t>wx+mph*TAN(-(-winkel)/180*PI())</t>
  </si>
  <si>
    <t>Wert (x)</t>
  </si>
  <si>
    <t>ganz</t>
  </si>
  <si>
    <t>ganz2</t>
  </si>
  <si>
    <t>Türstärke wird über Mindestfuge und Topfabstand ermittelt und hier für 3,5,7,9,10,11</t>
  </si>
  <si>
    <t>Montageplattenhöhe wird über Topfabstand und Türauflage ermitelt hier 3,5,7</t>
  </si>
  <si>
    <t>Montageplattenhöhe wird über Topfabstand und Türauflage ermitelt hier 9,10,11 (andere Formel</t>
  </si>
  <si>
    <t>Tiomos 95 GL  Mini</t>
  </si>
  <si>
    <t>3= Spezial</t>
  </si>
  <si>
    <t>4= Alu/Glas</t>
  </si>
  <si>
    <t>Spezial</t>
  </si>
  <si>
    <t>Standard</t>
  </si>
  <si>
    <t>Allgemein</t>
  </si>
  <si>
    <t>montageplatte möglich</t>
  </si>
  <si>
    <t>zurück</t>
  </si>
  <si>
    <t>Es sind Lösungen möglich! Bitte oben Auswahl ändern.</t>
  </si>
  <si>
    <t>MPH Spezial</t>
  </si>
  <si>
    <t>Typ Spezial</t>
  </si>
  <si>
    <t>Befest Spezial</t>
  </si>
  <si>
    <t>Randbed Spezial</t>
  </si>
  <si>
    <t>Gesamt spezial</t>
  </si>
  <si>
    <t>mpl spezial mögl</t>
  </si>
  <si>
    <t>spezial dämpf</t>
  </si>
  <si>
    <t>spezial bohrbild</t>
  </si>
  <si>
    <t>spezial befest</t>
  </si>
  <si>
    <t>spezial gesamt</t>
  </si>
  <si>
    <t>Fehler</t>
  </si>
  <si>
    <t>topf</t>
  </si>
  <si>
    <t>tür</t>
  </si>
  <si>
    <t>mindestspalt</t>
  </si>
  <si>
    <t>Korpus</t>
  </si>
  <si>
    <t>Korpusstärke</t>
  </si>
  <si>
    <t>Text</t>
  </si>
  <si>
    <t>Türstärkeabweichung</t>
  </si>
  <si>
    <t>änderungen Türstärke</t>
  </si>
  <si>
    <t>Änderung</t>
  </si>
  <si>
    <t>erlaubt</t>
  </si>
  <si>
    <t>mindestfuge</t>
  </si>
  <si>
    <t>Alle</t>
  </si>
  <si>
    <t>Funktioniert mit 3 für innen bündig</t>
  </si>
  <si>
    <t>ist aussen Bündig und Korpus zu Türstärke unterschiedlich gleicht die MP das hier aus</t>
  </si>
  <si>
    <t>Topfab</t>
  </si>
  <si>
    <t>text über maß x</t>
  </si>
  <si>
    <t>maß x</t>
  </si>
  <si>
    <t>Maß x</t>
  </si>
  <si>
    <t>Türst text</t>
  </si>
  <si>
    <t>Funktioniert nur mit MPH = 0</t>
  </si>
  <si>
    <t>Topfabstand 3,5</t>
  </si>
  <si>
    <t>H 1.5, ni /9,5</t>
  </si>
  <si>
    <t>PCC</t>
  </si>
  <si>
    <t>95 mini</t>
  </si>
  <si>
    <t>M9</t>
  </si>
  <si>
    <t>M0</t>
  </si>
  <si>
    <t>Änderung durch variable Kröpfung und Austauschwerte in der Auswahl</t>
  </si>
  <si>
    <t>keine zusätzlichen Aufbauten</t>
  </si>
  <si>
    <t>Tiomos Mirro</t>
  </si>
  <si>
    <t>95 gl</t>
  </si>
  <si>
    <t>mirro</t>
  </si>
  <si>
    <t>110al</t>
  </si>
  <si>
    <t>Aluprofil</t>
  </si>
  <si>
    <t>Offset</t>
  </si>
  <si>
    <t>AG K0</t>
  </si>
  <si>
    <t>AG K3</t>
  </si>
  <si>
    <t>AG K9,5</t>
  </si>
  <si>
    <t>AG K19</t>
  </si>
  <si>
    <t>AG Typ</t>
  </si>
  <si>
    <t>AG Bef</t>
  </si>
  <si>
    <t>AG gesamt</t>
  </si>
  <si>
    <t>AG Rand</t>
  </si>
  <si>
    <t>AG Ausw K</t>
  </si>
  <si>
    <t>Lösung</t>
  </si>
  <si>
    <t>AG Kröpfung</t>
  </si>
  <si>
    <t>AG Dämpfung</t>
  </si>
  <si>
    <t>AG Bohrbild</t>
  </si>
  <si>
    <t>AG Befest</t>
  </si>
  <si>
    <t>AG Gesamt</t>
  </si>
  <si>
    <t>AG Scharnier</t>
  </si>
  <si>
    <t>AG MPL Möglich</t>
  </si>
  <si>
    <t>*</t>
  </si>
  <si>
    <t>AG MPH</t>
  </si>
  <si>
    <t>AG Ges2</t>
  </si>
  <si>
    <t>AG Ges1</t>
  </si>
  <si>
    <t>MPH nach Kröpfung</t>
  </si>
  <si>
    <t>Korrektur Z</t>
  </si>
  <si>
    <t>Materialauswahl Tür</t>
  </si>
  <si>
    <t>Winkel von Tür zur Seite</t>
  </si>
  <si>
    <t>Öffnungswinkel Scharnier</t>
  </si>
  <si>
    <t>Fuge</t>
  </si>
  <si>
    <t>Produktempfehlung</t>
  </si>
  <si>
    <t>Glas / Spiegel</t>
  </si>
  <si>
    <t>Aluminium</t>
  </si>
  <si>
    <t>Material Sortiert</t>
  </si>
  <si>
    <t>Dichte</t>
  </si>
  <si>
    <t>WTS</t>
  </si>
  <si>
    <t xml:space="preserve"> + 30°</t>
  </si>
  <si>
    <t xml:space="preserve"> + 37°</t>
  </si>
  <si>
    <t xml:space="preserve"> + 45°</t>
  </si>
  <si>
    <t xml:space="preserve"> - 15°</t>
  </si>
  <si>
    <t xml:space="preserve"> - 30°</t>
  </si>
  <si>
    <t xml:space="preserve"> - 45°</t>
  </si>
  <si>
    <t>ÖWS</t>
  </si>
  <si>
    <t>schlüssel</t>
  </si>
  <si>
    <t>öws</t>
  </si>
  <si>
    <t>Mineralwerkstoff</t>
  </si>
  <si>
    <t>alu</t>
  </si>
  <si>
    <t>mineral</t>
  </si>
  <si>
    <t>wahl</t>
  </si>
  <si>
    <t/>
  </si>
  <si>
    <t>GSchlüssel</t>
  </si>
  <si>
    <t>*20</t>
  </si>
  <si>
    <t>*2</t>
  </si>
  <si>
    <t>*3</t>
  </si>
  <si>
    <t>mit Öffnungswinkelbegrenzer</t>
  </si>
  <si>
    <t>Berechnung</t>
  </si>
  <si>
    <t>110°, B-BB, K9.5, ni</t>
  </si>
  <si>
    <t>110°, G-BB, K9.5, ni</t>
  </si>
  <si>
    <t>110°, GB-BB, K9.5, ni</t>
  </si>
  <si>
    <t>110°, H-BB, K9.5, ni</t>
  </si>
  <si>
    <t>110°, HS-BB, K9.5, ni</t>
  </si>
  <si>
    <t>110°, M-BB, K9.5, ni</t>
  </si>
  <si>
    <t>110°, MB-BB, K9.5, ni</t>
  </si>
  <si>
    <t>110°, S-BB, K9.5, ni</t>
  </si>
  <si>
    <t>120°, B-BB, K9.5, ni</t>
  </si>
  <si>
    <t>120°, G-BB, K9.5, ni</t>
  </si>
  <si>
    <t>120°, GB-BB, K9.5, ni</t>
  </si>
  <si>
    <t>120°, H-BB, K9.5, ni</t>
  </si>
  <si>
    <t>120°, HS-BB, K9.5, ni</t>
  </si>
  <si>
    <t>120°, M-BB, K9.5, ni</t>
  </si>
  <si>
    <t>120°, MB-BB, K9.5, ni</t>
  </si>
  <si>
    <t>120°, S-BB, K9.5, ni</t>
  </si>
  <si>
    <t>160°, B-BB, K9.5, ni</t>
  </si>
  <si>
    <t>160°, G-BB, K9.5, ni</t>
  </si>
  <si>
    <t>160°, GB-BB, K9.5, ni</t>
  </si>
  <si>
    <t>160°, H-BB, K9.5, ni</t>
  </si>
  <si>
    <t>160°, HS-BB, K9.5, ni</t>
  </si>
  <si>
    <t>160°, M-BB, K9.5, ni</t>
  </si>
  <si>
    <t>160°, MB-BB, K9.5, ni</t>
  </si>
  <si>
    <t>160°, S-BB, K9.5, ni</t>
  </si>
  <si>
    <t>95°, B-BB, K9.5, ni</t>
  </si>
  <si>
    <t>95°, G-BB, K9.5, ni</t>
  </si>
  <si>
    <t>95°, GB-BB, K9.5, ni</t>
  </si>
  <si>
    <t>95°, H-BB, K9.5, ni</t>
  </si>
  <si>
    <t>95°, HS-BB, K9.5, ni</t>
  </si>
  <si>
    <t>95°, M-BB, K9.5, ni</t>
  </si>
  <si>
    <t>95°, MB-BB, K9.5, ni</t>
  </si>
  <si>
    <t>95°, S-BB, K9.5, ni</t>
  </si>
  <si>
    <t>110°, AL, K9.5, ni</t>
  </si>
  <si>
    <t>Aufl.</t>
  </si>
  <si>
    <t>Anschraubmaß (Z)</t>
  </si>
  <si>
    <t>Berechnung 1</t>
  </si>
  <si>
    <t>Kröpfung 1</t>
  </si>
  <si>
    <t>Kröpfung 2</t>
  </si>
  <si>
    <t>Kröpfung 4</t>
  </si>
  <si>
    <t>lösung</t>
  </si>
  <si>
    <t>Klebemaß</t>
  </si>
  <si>
    <t>Rahmenbreite</t>
  </si>
  <si>
    <t>Rahmenstärke</t>
  </si>
  <si>
    <t>110° mit 85° ÖWB</t>
  </si>
  <si>
    <t>110° K0</t>
  </si>
  <si>
    <t>110° K3</t>
  </si>
  <si>
    <t>110° K9.5</t>
  </si>
  <si>
    <t>110° K19</t>
  </si>
  <si>
    <t>*1</t>
  </si>
  <si>
    <t>Scharnierwahl 1</t>
  </si>
  <si>
    <t>Scharnierwahl 2</t>
  </si>
  <si>
    <t>Scharnierwahl 3</t>
  </si>
  <si>
    <t>Scharnierwahl 4</t>
  </si>
  <si>
    <t>Summe</t>
  </si>
  <si>
    <t>Nr</t>
  </si>
  <si>
    <t>120° K0</t>
  </si>
  <si>
    <t>120°K3</t>
  </si>
  <si>
    <t>120°k9.5</t>
  </si>
  <si>
    <t>120°K19</t>
  </si>
  <si>
    <t>120°mit 85° ÖWB</t>
  </si>
  <si>
    <t>110° 90A</t>
  </si>
  <si>
    <t>160°K0</t>
  </si>
  <si>
    <t>160°K3</t>
  </si>
  <si>
    <t>160°K9.5</t>
  </si>
  <si>
    <t>95°K0</t>
  </si>
  <si>
    <t>95°K3</t>
  </si>
  <si>
    <t>95°K9.5</t>
  </si>
  <si>
    <t>95°K19</t>
  </si>
  <si>
    <t>110°90E</t>
  </si>
  <si>
    <t>110°30A</t>
  </si>
  <si>
    <t>110°30E</t>
  </si>
  <si>
    <t>110°37A</t>
  </si>
  <si>
    <t>110°37E</t>
  </si>
  <si>
    <t>110°45A</t>
  </si>
  <si>
    <t>110°45E</t>
  </si>
  <si>
    <t>120°-15A</t>
  </si>
  <si>
    <t>120°-30A</t>
  </si>
  <si>
    <t>120°-45A</t>
  </si>
  <si>
    <t>95°Mini</t>
  </si>
  <si>
    <t>GL MINI</t>
  </si>
  <si>
    <t>Mirro</t>
  </si>
  <si>
    <t>110°ALK0</t>
  </si>
  <si>
    <t>110°ALK3</t>
  </si>
  <si>
    <t>110°ALK9.5</t>
  </si>
  <si>
    <t>110°ALK19</t>
  </si>
  <si>
    <t>Korrektur Z zu Topfab.</t>
  </si>
  <si>
    <t>Beschr.</t>
  </si>
  <si>
    <t>gültig alle</t>
  </si>
  <si>
    <t>ausgewählt</t>
  </si>
  <si>
    <t>+</t>
  </si>
  <si>
    <t>nächste +</t>
  </si>
  <si>
    <t>nächste -</t>
  </si>
  <si>
    <t>nächste+/-</t>
  </si>
  <si>
    <t>vorhanden</t>
  </si>
  <si>
    <t>Bitte eine Türstärke auswählen</t>
  </si>
  <si>
    <t>Bitte ein Bohrbild auswählen</t>
  </si>
  <si>
    <t>Bitte die Scharnierbefestigung wählen</t>
  </si>
  <si>
    <t>Bitte den Scharniertyp auswählen</t>
  </si>
  <si>
    <t>Bitte den Winkel von der Tür zur Seite auswählen</t>
  </si>
  <si>
    <t>Bitte ein Materialwerkstoff auswählen</t>
  </si>
  <si>
    <t>Bitte den Öffnungswinkel auswählen</t>
  </si>
  <si>
    <t>Auswahl Scharnier</t>
  </si>
  <si>
    <t>berechnung</t>
  </si>
  <si>
    <t>weitere</t>
  </si>
  <si>
    <t>konf Scharnier</t>
  </si>
  <si>
    <t>Konf MPL Möglich</t>
  </si>
  <si>
    <t>Konf Dämpf</t>
  </si>
  <si>
    <t>Konf BB</t>
  </si>
  <si>
    <t>Konf Befest</t>
  </si>
  <si>
    <t>Konf Kröpf</t>
  </si>
  <si>
    <t>konf Scharnier 1</t>
  </si>
  <si>
    <t>konf Scharnier 2</t>
  </si>
  <si>
    <t>konf Scharnier 3</t>
  </si>
  <si>
    <t>konf Scharnier 4</t>
  </si>
  <si>
    <t>KR1</t>
  </si>
  <si>
    <t>KR2</t>
  </si>
  <si>
    <t>KR3</t>
  </si>
  <si>
    <t>KR4</t>
  </si>
  <si>
    <t>Auflagen</t>
  </si>
  <si>
    <t>Ber K1S1</t>
  </si>
  <si>
    <t>Ber K2S1</t>
  </si>
  <si>
    <t>Ber K3S1</t>
  </si>
  <si>
    <t>Ber K1S2</t>
  </si>
  <si>
    <t>Ber K1S3</t>
  </si>
  <si>
    <t>Ber K1S4</t>
  </si>
  <si>
    <t>Ber K2S2</t>
  </si>
  <si>
    <t>Ber K2S3</t>
  </si>
  <si>
    <t>Ber K2S4</t>
  </si>
  <si>
    <t>Ber K3S2</t>
  </si>
  <si>
    <t>Ber K3S3</t>
  </si>
  <si>
    <t>Ber K3S4</t>
  </si>
  <si>
    <t>Ber K4S1</t>
  </si>
  <si>
    <t>Ber K4S2</t>
  </si>
  <si>
    <t>Ber K4S3</t>
  </si>
  <si>
    <t>Ber K4S4</t>
  </si>
  <si>
    <t>konf Typ</t>
  </si>
  <si>
    <t>konf Befest</t>
  </si>
  <si>
    <t>konf Rahmenbed</t>
  </si>
  <si>
    <t>MPH möglich</t>
  </si>
  <si>
    <t>L K1S1</t>
  </si>
  <si>
    <t>L K1S2</t>
  </si>
  <si>
    <t>L K1S3</t>
  </si>
  <si>
    <t>L K1S4</t>
  </si>
  <si>
    <t>L K2S1</t>
  </si>
  <si>
    <t>L K2S2</t>
  </si>
  <si>
    <t>L K2S3</t>
  </si>
  <si>
    <t>L K2S4</t>
  </si>
  <si>
    <t>L K3S1</t>
  </si>
  <si>
    <t>L K3S2</t>
  </si>
  <si>
    <t>L K3S3</t>
  </si>
  <si>
    <t>L K3S4</t>
  </si>
  <si>
    <t>L K4S1</t>
  </si>
  <si>
    <t>L K4S2</t>
  </si>
  <si>
    <t>L K4S3</t>
  </si>
  <si>
    <t>L K4S4</t>
  </si>
  <si>
    <t>Berechnung 2</t>
  </si>
  <si>
    <t>Gschlüssel</t>
  </si>
  <si>
    <t>Berechnungsparameter</t>
  </si>
  <si>
    <t>BerS1</t>
  </si>
  <si>
    <t>BerS2</t>
  </si>
  <si>
    <t>BerS3</t>
  </si>
  <si>
    <t>BerS4</t>
  </si>
  <si>
    <t>Y</t>
  </si>
  <si>
    <t>Lös S1</t>
  </si>
  <si>
    <t>Lös S2</t>
  </si>
  <si>
    <t>Lös S3</t>
  </si>
  <si>
    <t>Lös S4</t>
  </si>
  <si>
    <t>MPH wird über Winkel und Fixmaß Y berechnent</t>
  </si>
  <si>
    <t>Berechnung 3</t>
  </si>
  <si>
    <t>Türstärken</t>
  </si>
  <si>
    <t>110/37e</t>
  </si>
  <si>
    <t>110/45e</t>
  </si>
  <si>
    <t>Nr 1</t>
  </si>
  <si>
    <t>Nr 2</t>
  </si>
  <si>
    <t>Nr 3</t>
  </si>
  <si>
    <t>Nr 4</t>
  </si>
  <si>
    <t>Selekt</t>
  </si>
  <si>
    <t>Berechnung 4</t>
  </si>
  <si>
    <t>Berechnung 5</t>
  </si>
  <si>
    <t>90a</t>
  </si>
  <si>
    <t>90e</t>
  </si>
  <si>
    <t>Berechnung 6</t>
  </si>
  <si>
    <t>Hier nur Mph = 0</t>
  </si>
  <si>
    <t>S1</t>
  </si>
  <si>
    <t>S2</t>
  </si>
  <si>
    <t>S3</t>
  </si>
  <si>
    <t>S4</t>
  </si>
  <si>
    <t>L</t>
  </si>
  <si>
    <t>MP B2</t>
  </si>
  <si>
    <t>MP B3</t>
  </si>
  <si>
    <t>MP B4</t>
  </si>
  <si>
    <t>MP B5</t>
  </si>
  <si>
    <t>MP B6</t>
  </si>
  <si>
    <t>Kröpf</t>
  </si>
  <si>
    <t>Filter</t>
  </si>
  <si>
    <t>---------</t>
  </si>
  <si>
    <t>ohne</t>
  </si>
  <si>
    <t>Inset</t>
  </si>
  <si>
    <t>Bitte einen Montageplatten-Typ wählen</t>
  </si>
  <si>
    <t>einpressen</t>
  </si>
  <si>
    <t>dübel</t>
  </si>
  <si>
    <t>Platzhalter Leer</t>
  </si>
  <si>
    <t>konf MPH</t>
  </si>
  <si>
    <t>konf_ges</t>
  </si>
  <si>
    <t>Bohrbild MTP</t>
  </si>
  <si>
    <t>BB</t>
  </si>
  <si>
    <t>S1 H+bb</t>
  </si>
  <si>
    <t>S2 H+bb</t>
  </si>
  <si>
    <t>S3 H+bb</t>
  </si>
  <si>
    <t>S4 H+bb</t>
  </si>
  <si>
    <t>WENN(B1508=Sprache!A213;0;(B1508-15-$E$1498)*-1-$H$1498)</t>
  </si>
  <si>
    <t>Topfa</t>
  </si>
  <si>
    <t>mit öwb</t>
  </si>
  <si>
    <t>110AL</t>
  </si>
  <si>
    <t>MP B7</t>
  </si>
  <si>
    <t>Berechnung 7</t>
  </si>
  <si>
    <t>MPB1/7 K0</t>
  </si>
  <si>
    <t>MPb1/7 K3</t>
  </si>
  <si>
    <t>MPb1/7 K9,5</t>
  </si>
  <si>
    <t>MPb1/7 K19</t>
  </si>
  <si>
    <t>MP B1/B7</t>
  </si>
  <si>
    <t>WENN(AA1505=1;I1505;"")</t>
  </si>
  <si>
    <t>hier feld für rahmenbreite?</t>
  </si>
  <si>
    <t>110° 90E</t>
  </si>
  <si>
    <t>110° 30A</t>
  </si>
  <si>
    <t>110° 30E</t>
  </si>
  <si>
    <t>110° 37A</t>
  </si>
  <si>
    <t>110° 37E</t>
  </si>
  <si>
    <t>110° 45A</t>
  </si>
  <si>
    <t>110° 45E</t>
  </si>
  <si>
    <t>120° -15A</t>
  </si>
  <si>
    <t>120° -30A</t>
  </si>
  <si>
    <t>120° -45A</t>
  </si>
  <si>
    <t>95° Mini</t>
  </si>
  <si>
    <t>95° GL Mini</t>
  </si>
  <si>
    <t>keine Angaben</t>
  </si>
  <si>
    <t>schlüssel Standard</t>
  </si>
  <si>
    <t>Schlüssel Glas</t>
  </si>
  <si>
    <t>Schlüssel Alu</t>
  </si>
  <si>
    <t>Schlüssel Mineral</t>
  </si>
  <si>
    <t>schlüssel Winkel</t>
  </si>
  <si>
    <t>*22</t>
  </si>
  <si>
    <t>Trennzeichen</t>
  </si>
  <si>
    <t>Stärke</t>
  </si>
  <si>
    <t>korrektur</t>
  </si>
  <si>
    <t>txt</t>
  </si>
  <si>
    <t>*5,1</t>
  </si>
  <si>
    <t>*6,3</t>
  </si>
  <si>
    <t>*16</t>
  </si>
  <si>
    <t>*4,7</t>
  </si>
  <si>
    <t>*15</t>
  </si>
  <si>
    <t>*12</t>
  </si>
  <si>
    <t>*14</t>
  </si>
  <si>
    <t>*13</t>
  </si>
  <si>
    <t>*11</t>
  </si>
  <si>
    <t>*10</t>
  </si>
  <si>
    <t>+ÖWB</t>
  </si>
  <si>
    <t>nur mit rahmenbreite</t>
  </si>
  <si>
    <t>keine angaben</t>
  </si>
  <si>
    <t>Fuge und Spalt</t>
  </si>
  <si>
    <t>s1</t>
  </si>
  <si>
    <t>s2</t>
  </si>
  <si>
    <t>s3</t>
  </si>
  <si>
    <t>s4</t>
  </si>
  <si>
    <t>trenner</t>
  </si>
  <si>
    <t>kein öwb</t>
  </si>
  <si>
    <t>Anzahl</t>
  </si>
  <si>
    <t>möglich</t>
  </si>
  <si>
    <t>Tiomos 110°</t>
  </si>
  <si>
    <t>Tiomos 120°</t>
  </si>
  <si>
    <t>Tiomos 160°</t>
  </si>
  <si>
    <t>Tiomos 95°</t>
  </si>
  <si>
    <t>Topfabstände</t>
  </si>
  <si>
    <t>110/37E</t>
  </si>
  <si>
    <t>110/45E</t>
  </si>
  <si>
    <t>S Nr1</t>
  </si>
  <si>
    <t>S Nr2</t>
  </si>
  <si>
    <t>S Nr3</t>
  </si>
  <si>
    <t>S Nr4</t>
  </si>
  <si>
    <t>Lös</t>
  </si>
  <si>
    <t>Bitte Zahlenwert auswählen</t>
  </si>
  <si>
    <t>Bitte einen passenden Topfabstand auswählen</t>
  </si>
  <si>
    <t>Bitte eine passende Türauflage auswählen</t>
  </si>
  <si>
    <t>Bitte die passende Befestigung einstellen</t>
  </si>
  <si>
    <t>Versuchen Sie mit diesem</t>
  </si>
  <si>
    <t>Anzeige</t>
  </si>
  <si>
    <t>Topf</t>
  </si>
  <si>
    <t>mph 1</t>
  </si>
  <si>
    <t>Bitte die passende Kröpfung auswählen</t>
  </si>
  <si>
    <t>K</t>
  </si>
  <si>
    <t>sel</t>
  </si>
  <si>
    <t>3-5-7</t>
  </si>
  <si>
    <t>9-10-11</t>
  </si>
  <si>
    <t>türstärkr</t>
  </si>
  <si>
    <t>90A</t>
  </si>
  <si>
    <t>90E</t>
  </si>
  <si>
    <t>30A</t>
  </si>
  <si>
    <t>30E</t>
  </si>
  <si>
    <t>37A</t>
  </si>
  <si>
    <t>37E</t>
  </si>
  <si>
    <t>45A</t>
  </si>
  <si>
    <t>45E</t>
  </si>
  <si>
    <t>-15A</t>
  </si>
  <si>
    <t>-30A</t>
  </si>
  <si>
    <t>-45A</t>
  </si>
  <si>
    <t>Bitte nächst möglichen Wert einstellen</t>
  </si>
  <si>
    <t>Scharnieranzahlberechnung</t>
  </si>
  <si>
    <t>H 9,5, ni /37</t>
  </si>
  <si>
    <t>H 4,5, ni /9,5</t>
  </si>
  <si>
    <t>H 5,0, ni / 9,5</t>
  </si>
  <si>
    <t>H 3,5, ni / 9,5</t>
  </si>
  <si>
    <t>H 3,5, ni /37</t>
  </si>
  <si>
    <t>H 3,5, 10mm Dübel, ni /37</t>
  </si>
  <si>
    <t>H 3,5, vorm. PH Euro, ni /37</t>
  </si>
  <si>
    <t>H 3,5, Euro, ni /37</t>
  </si>
  <si>
    <t>H 3,5, vorm. PH Euro, ni /28</t>
  </si>
  <si>
    <t>H 3,5, ni /28</t>
  </si>
  <si>
    <t>H 3,5, 10mm Dübel, ni /28</t>
  </si>
  <si>
    <t>H 3,5, vorm. PH Euro kr, ni /37</t>
  </si>
  <si>
    <t>H 3,5, ni</t>
  </si>
  <si>
    <t>H 3,5, 10mm Dübel, ni</t>
  </si>
  <si>
    <t>Kg</t>
  </si>
  <si>
    <t>Scharniere</t>
  </si>
  <si>
    <t>*19</t>
  </si>
  <si>
    <t xml:space="preserve">Min </t>
  </si>
  <si>
    <t>Achtung ! Technisch schwierig umzusetzen.</t>
  </si>
  <si>
    <t>Sort</t>
  </si>
  <si>
    <t>Sie finden hier zum download die aktuelle Version</t>
  </si>
  <si>
    <t>Achtung: Version ist nicht aktuell</t>
  </si>
  <si>
    <t>MPH_Standard</t>
  </si>
  <si>
    <t>AluGlas</t>
  </si>
  <si>
    <t xml:space="preserve">Wir empfehlen einen Probeanschlag. Bei Fragen oder Unklarheiten kontaktieren Sie bitte unsere Fachleute. </t>
  </si>
  <si>
    <t xml:space="preserve">Mindestfuge für Türen mit angefasten Kanten (R=1 mm) bei Werkseinstellung. </t>
  </si>
  <si>
    <t xml:space="preserve">Scharniermaße und Fugenberechnung bei Werkseinstellung. </t>
  </si>
  <si>
    <t>Texte in roter Farbe weisen auf Einstellungen hin, die verändert werden sollten, um eine Produktempfehlung zu erhalten.</t>
  </si>
  <si>
    <t xml:space="preserve">erscheint als Kennzeichnung für eine Auswahl, die zu einer Produktempfehlung führt. </t>
  </si>
  <si>
    <t xml:space="preserve">Änderungen, Fehler und Irrtümer vorbehalten. Die Nutzung des Konfigurators erfolgt auf eigenes Risiko. </t>
  </si>
  <si>
    <t xml:space="preserve">Haftungsansprüche gegenüber Grass GmbH &amp; Co. KG sind ausgeschlossen. Es handelt sich um unverbindliche Empfehlungen. </t>
  </si>
  <si>
    <t>Das angenommene, spezifische Gewicht entspricht einem Durchschnittswert.</t>
  </si>
  <si>
    <t>Tatsächliche Werte können variieren. Wir empfehlen einen Probeanschlag.</t>
  </si>
  <si>
    <t>F - Nummer</t>
  </si>
  <si>
    <t>Für:</t>
  </si>
  <si>
    <t>Öffnungswinkelbegrenzer</t>
  </si>
  <si>
    <t>Tiomos, 85°</t>
  </si>
  <si>
    <t>Standard 110 &amp; 120 °</t>
  </si>
  <si>
    <t>Tiomos, 120°</t>
  </si>
  <si>
    <t>Standard 160°</t>
  </si>
  <si>
    <t>90° Winkelbegrenzer</t>
  </si>
  <si>
    <t>Mirro, M0, M9</t>
  </si>
  <si>
    <t>FNr Öffnungswinkelbegrenzer</t>
  </si>
  <si>
    <t>Maße in mm</t>
  </si>
  <si>
    <t>S</t>
  </si>
  <si>
    <t>M</t>
  </si>
  <si>
    <t>O</t>
  </si>
  <si>
    <t>Lösung Scharnierbefestigung I</t>
  </si>
  <si>
    <t>Zuordnung und Lösung SB II</t>
  </si>
  <si>
    <t>Lösung Bohrbild</t>
  </si>
  <si>
    <t>Lösung Scharniertyp</t>
  </si>
  <si>
    <t>Lösung Scharnierbefestigung</t>
  </si>
  <si>
    <t>Tabelle für Fehlermeldung Scharnierbefestigung</t>
  </si>
  <si>
    <t>Lösung Montageplatte Befestigung</t>
  </si>
  <si>
    <t>Lösung Montageplattentyp</t>
  </si>
  <si>
    <t>Möglich</t>
  </si>
  <si>
    <t>Anz Lösungen</t>
  </si>
  <si>
    <t>Lösungsfinder grüne Zahl</t>
  </si>
  <si>
    <t>?</t>
  </si>
  <si>
    <t>Kühlschrank</t>
  </si>
  <si>
    <t>Faltschrank</t>
  </si>
  <si>
    <t>vormontierte Euroschrauben [13,5]</t>
  </si>
  <si>
    <t>vormontierte Euroschrauben [10,5]</t>
  </si>
  <si>
    <t>Zum Anschrauben mit Holzschrauben</t>
  </si>
  <si>
    <t>Zum Anschrauben mit Euroschrauben</t>
  </si>
  <si>
    <t>90° PCC, B-BB, ni</t>
  </si>
  <si>
    <t>90° PCC, G-BB, ni</t>
  </si>
  <si>
    <t>90° PCC, H-BB, ni</t>
  </si>
  <si>
    <t>90° PCC, M-BB, ni</t>
  </si>
  <si>
    <t>90° PCC, S-BB, ni</t>
  </si>
  <si>
    <t>ÖWB</t>
  </si>
  <si>
    <t>Profil</t>
  </si>
  <si>
    <t>Multi</t>
  </si>
  <si>
    <t>F072135751</t>
  </si>
  <si>
    <t>F072135753</t>
  </si>
  <si>
    <t>F072135871</t>
  </si>
  <si>
    <t>Zum Anschrauben</t>
  </si>
  <si>
    <t>Zum Einpressen</t>
  </si>
  <si>
    <t>Für 5 mm Lochreihe</t>
  </si>
  <si>
    <t>*23</t>
  </si>
  <si>
    <t>Klebemaß (Z)</t>
  </si>
  <si>
    <t>TGR</t>
  </si>
  <si>
    <t>Spreizdübel 11 mm</t>
  </si>
  <si>
    <t>Zwillingsmontageplatte (Spreizdübel 7,5 mm)</t>
  </si>
  <si>
    <t>H 00, 5mm Quick L, ni /37</t>
  </si>
  <si>
    <t>F058139741</t>
  </si>
  <si>
    <t>H 02, 5mm Quick L, ni /37</t>
  </si>
  <si>
    <t>F058139742</t>
  </si>
  <si>
    <t>H 03, 5mm Quick L, ni /37</t>
  </si>
  <si>
    <t>F058139743</t>
  </si>
  <si>
    <t>F058139744</t>
  </si>
  <si>
    <t>F058139766</t>
  </si>
  <si>
    <t>F058139767</t>
  </si>
  <si>
    <t>F058139768</t>
  </si>
  <si>
    <t>F058139769</t>
  </si>
  <si>
    <t>H 00, 5mm Quick kurz, ni /37</t>
  </si>
  <si>
    <t>F058139927</t>
  </si>
  <si>
    <t>H 02, 5mm Quick kurz, ni /37</t>
  </si>
  <si>
    <t>F058139928</t>
  </si>
  <si>
    <t>H 03, 5mm Quick kurz, ni /37</t>
  </si>
  <si>
    <t>F058139929</t>
  </si>
  <si>
    <t>F058139930</t>
  </si>
  <si>
    <t>F058139931</t>
  </si>
  <si>
    <t>F058139932</t>
  </si>
  <si>
    <t>F058139933</t>
  </si>
  <si>
    <t>F058139934</t>
  </si>
  <si>
    <t>=WENN($A$981&lt;&gt;3;($P$1008-15-K1054)*-1-$B$1034;WENN(K1054&lt;&gt;"";0;"-"))</t>
  </si>
  <si>
    <t>H 3.5, 5mm Quick L, ni /37</t>
  </si>
  <si>
    <t>H 3.5, 5mm Quick kurz, ni /37</t>
  </si>
  <si>
    <t>-02 Meldung</t>
  </si>
  <si>
    <t>-2 Verstellbereich</t>
  </si>
  <si>
    <t>-2</t>
  </si>
  <si>
    <t>Language 12</t>
  </si>
  <si>
    <t>Language 13</t>
  </si>
  <si>
    <t>Language 14</t>
  </si>
  <si>
    <t xml:space="preserve">Language </t>
  </si>
  <si>
    <t>Dieses Scharnier ist nur ohne Soft-close auswählbar</t>
  </si>
  <si>
    <t>mit Soft-close</t>
  </si>
  <si>
    <t>ohne Soft-close</t>
  </si>
  <si>
    <t>Tiomos Scharnier T Click-on</t>
  </si>
  <si>
    <t>Tiomos Scharnier T Impresso</t>
  </si>
  <si>
    <t>Tiomos Scharnier TS Click-on</t>
  </si>
  <si>
    <t>Tiomos Scharnier TS Impresso</t>
  </si>
  <si>
    <t>Tiomos Scharnier TT Click-on</t>
  </si>
  <si>
    <t>Tiomos Scharnier TT Impresso</t>
  </si>
  <si>
    <t>Tiomos Scharnier T Quick</t>
  </si>
  <si>
    <t>Tiomos Scharnier TS Quick</t>
  </si>
  <si>
    <t>1D Kreuz Mtg-Platte</t>
  </si>
  <si>
    <t>Eco Kreuz Mtg-Platte</t>
  </si>
  <si>
    <t>1D Linear Mtg-Platte</t>
  </si>
  <si>
    <t>Linear Distanzplatte</t>
  </si>
  <si>
    <t>1D Delta Mtg-Platte</t>
  </si>
  <si>
    <t>N.B.: Version is not up to date</t>
  </si>
  <si>
    <t>The latest version is available for download here</t>
  </si>
  <si>
    <t>Subject to change without notice. All errors &amp; omissions excepted. Use of the configurator is at the user's own risk.</t>
  </si>
  <si>
    <t>All liability claims against Grass GmbH &amp; Co. are excluded. The recommendations provided are non-binding.</t>
  </si>
  <si>
    <t>Minimum reveal for doors with bevelled edges (R=1 mm) with original factory setting.</t>
  </si>
  <si>
    <t>Hinge dimensions and reveal calculation with original factory setting.</t>
  </si>
  <si>
    <t>We recommend a trial fitting. Please contact our experts in the case of questions or unclarity.</t>
  </si>
  <si>
    <t>indicates a selection that leads to a product recommendation.</t>
  </si>
  <si>
    <t>Texts in red show settings that should be changed to obtain a product recommendation.</t>
  </si>
  <si>
    <t>The assumed specific weight is an average weight.</t>
  </si>
  <si>
    <t>Actual values may vary. We recommend a trial fitting.</t>
  </si>
  <si>
    <t>Solutions are possible! Please change selection above.</t>
  </si>
  <si>
    <t>Please change mounting plate type, fixing or cup distance</t>
  </si>
  <si>
    <t>Only screw fitting with wood screws possible</t>
  </si>
  <si>
    <t>For Clip-on Quick, please select drilling pattern 48/9</t>
  </si>
  <si>
    <t>Please try with this</t>
  </si>
  <si>
    <t>This hinge can only be selected without Soft-close</t>
  </si>
  <si>
    <t>N.B.: Technically difficult to implement.</t>
  </si>
  <si>
    <t>Please change selection!</t>
  </si>
  <si>
    <t>Please enter next possible value</t>
  </si>
  <si>
    <t>Please select a suitable cup distance</t>
  </si>
  <si>
    <t>Please select a suitable door thickness</t>
  </si>
  <si>
    <t>Please select a suitable door overlay</t>
  </si>
  <si>
    <t>Please select a drilling pattern</t>
  </si>
  <si>
    <t>Please select the hinge fixing</t>
  </si>
  <si>
    <t>Please select the hinge type</t>
  </si>
  <si>
    <t>Please select the angle from door to side panel</t>
  </si>
  <si>
    <t>Please select a material</t>
  </si>
  <si>
    <t>Please select the opening angle</t>
  </si>
  <si>
    <t>Please select a numerical value</t>
  </si>
  <si>
    <t>Please select a mounting plate type</t>
  </si>
  <si>
    <t>Please select a suitable fixing</t>
  </si>
  <si>
    <t>Please select a suitable crank</t>
  </si>
  <si>
    <t>Back</t>
  </si>
  <si>
    <t>Without</t>
  </si>
  <si>
    <t>Or</t>
  </si>
  <si>
    <t xml:space="preserve">No </t>
  </si>
  <si>
    <t>All</t>
  </si>
  <si>
    <t>Overlay</t>
  </si>
  <si>
    <t>Screw on (wood screws)</t>
  </si>
  <si>
    <t>Screw on (Euro screws)</t>
  </si>
  <si>
    <t>For press fitting</t>
  </si>
  <si>
    <t>With pre-assembled Euro screws [13.5]</t>
  </si>
  <si>
    <t>With pre-assembled Euro screws [10.5]</t>
  </si>
  <si>
    <t>Prem. Euro screws</t>
  </si>
  <si>
    <t>Prem. short Euro screws</t>
  </si>
  <si>
    <t>With Soft-close</t>
  </si>
  <si>
    <t>Without Soft-close</t>
  </si>
  <si>
    <t>With opening angle reduction clip</t>
  </si>
  <si>
    <t>The number of hinges is determined by the door</t>
  </si>
  <si>
    <t>height, door weight, quality of the material and the</t>
  </si>
  <si>
    <t>fixing of the cup and mounting plate</t>
  </si>
  <si>
    <t>The load and height data refer to 600 mm stand-</t>
  </si>
  <si>
    <t>ard door widths. In case of doubt, the number of</t>
  </si>
  <si>
    <t>hinges should be determined with a trial fitting.</t>
  </si>
  <si>
    <t>Example:</t>
  </si>
  <si>
    <t>For doors measuring 2000 x 600 mm and weighing</t>
  </si>
  <si>
    <t xml:space="preserve">13 kg we recommend the installation </t>
  </si>
  <si>
    <t>of 4 hinges.</t>
  </si>
  <si>
    <t>Hinge</t>
  </si>
  <si>
    <t>Standard hinge</t>
  </si>
  <si>
    <t>Special hinge</t>
  </si>
  <si>
    <t>Number of hinges</t>
  </si>
  <si>
    <t>Opening angle of the hinge</t>
  </si>
  <si>
    <t>Opening angle reduction clip</t>
  </si>
  <si>
    <t>Fixing method</t>
  </si>
  <si>
    <t>Hinge type</t>
  </si>
  <si>
    <t>Tiomos Quick hinge</t>
  </si>
  <si>
    <t>Tiomos Click-on hinges</t>
  </si>
  <si>
    <t>T Click-on 110° hinge</t>
  </si>
  <si>
    <t>90° opening angle reduction clip</t>
  </si>
  <si>
    <t>Tiomos hinge T Click-on</t>
  </si>
  <si>
    <t>Tiomos hinge T Impresso</t>
  </si>
  <si>
    <t>Tiomos hinge TS Click-on</t>
  </si>
  <si>
    <t>Tiomos hinge TS Impresso</t>
  </si>
  <si>
    <t>Tiomos hinge TT Click-on</t>
  </si>
  <si>
    <t>Tiomos hinge TT Impresso</t>
  </si>
  <si>
    <t>Tiomos hinges Impresso</t>
  </si>
  <si>
    <t xml:space="preserve">Tiomos hinge T M9 110° </t>
  </si>
  <si>
    <t>Tiomos hinge T M0 125°</t>
  </si>
  <si>
    <t>Tiomos hinge T Mirro 125°</t>
  </si>
  <si>
    <t>Tiomos hinge T Quick</t>
  </si>
  <si>
    <t>Tiomos hinge TS M0 125°</t>
  </si>
  <si>
    <t>Tiomos hinge TS M9 110°</t>
  </si>
  <si>
    <t>Tiomos hinge TS Quick</t>
  </si>
  <si>
    <t>Tiomos hinge TT M0 125°</t>
  </si>
  <si>
    <t>Tiomos hinge TT M9 110°</t>
  </si>
  <si>
    <t>Tiomos hinge TT Mirro 125°</t>
  </si>
  <si>
    <t>Tiomos hinge TS Mirro 125°</t>
  </si>
  <si>
    <t>Mounting plate</t>
  </si>
  <si>
    <t>Mounting plate height</t>
  </si>
  <si>
    <t>Mounting plate type</t>
  </si>
  <si>
    <t>Tiomos mounting plates</t>
  </si>
  <si>
    <t>Cross mounting plate</t>
  </si>
  <si>
    <t>1D cross mounting plate</t>
  </si>
  <si>
    <t>Eco cross mounting plate</t>
  </si>
  <si>
    <t>Linear mounting plate</t>
  </si>
  <si>
    <t>1D linear mounting plate</t>
  </si>
  <si>
    <t>Linear distance plate</t>
  </si>
  <si>
    <t>Delta mounting plate</t>
  </si>
  <si>
    <t>1D delta mounting plate</t>
  </si>
  <si>
    <t>Inset beaded (for frame construction)</t>
  </si>
  <si>
    <t>Rapid selection</t>
  </si>
  <si>
    <t>Configurator</t>
  </si>
  <si>
    <t>Solutions</t>
  </si>
  <si>
    <t>Possibilities</t>
  </si>
  <si>
    <t>Product recommendation</t>
  </si>
  <si>
    <t>Item No.</t>
  </si>
  <si>
    <t>Fixing</t>
  </si>
  <si>
    <t>Angle from door to side panel</t>
  </si>
  <si>
    <t>Material selection for door</t>
  </si>
  <si>
    <t>Door overlay</t>
  </si>
  <si>
    <t>Door reveal</t>
  </si>
  <si>
    <t>Door weight</t>
  </si>
  <si>
    <t>Hinge number calculation</t>
  </si>
  <si>
    <t>Door height</t>
  </si>
  <si>
    <t>Door width</t>
  </si>
  <si>
    <t>Door thickness</t>
  </si>
  <si>
    <t>Frame thickness</t>
  </si>
  <si>
    <t>Height</t>
  </si>
  <si>
    <t>Cup distance</t>
  </si>
  <si>
    <t>Screwing dimension</t>
  </si>
  <si>
    <t>Gluing dimension</t>
  </si>
  <si>
    <t>Side thickness</t>
  </si>
  <si>
    <t>Cranking</t>
  </si>
  <si>
    <t>Reveal</t>
  </si>
  <si>
    <t>Gap</t>
  </si>
  <si>
    <t>Refrigerator</t>
  </si>
  <si>
    <t>Pie-cut corner</t>
  </si>
  <si>
    <t>Drilling pattern</t>
  </si>
  <si>
    <t>Minimum reveal</t>
  </si>
  <si>
    <t>Minimum gap</t>
  </si>
  <si>
    <t>For screw fixing</t>
  </si>
  <si>
    <t>Dowel</t>
  </si>
  <si>
    <t>For 5 mm hole spacing</t>
  </si>
  <si>
    <t>Expansion dowel</t>
  </si>
  <si>
    <t>Click-on for screw fixing</t>
  </si>
  <si>
    <t>Click-on for press fitting</t>
  </si>
  <si>
    <t>Dimensions in millimetres</t>
  </si>
  <si>
    <t>Aluminium profile</t>
  </si>
  <si>
    <t>Glass / Mirror</t>
  </si>
  <si>
    <t>Mineral composite</t>
  </si>
  <si>
    <t>Full overlay (K0)</t>
  </si>
  <si>
    <t>Overlay (K3)</t>
  </si>
  <si>
    <t>Half overlay (K9.5)</t>
  </si>
  <si>
    <t>Inset (K19)</t>
  </si>
  <si>
    <t>Corner cabinet
hinge</t>
  </si>
  <si>
    <t xml:space="preserve">Das Diagramm bezieht sich auf Scharniere mit und </t>
  </si>
  <si>
    <t xml:space="preserve">The table refers to hinges with and </t>
  </si>
  <si>
    <t>without integrated damper.</t>
  </si>
  <si>
    <t>Gewichtsangaben gelten nicht für Mirro- und M0 Scharniere!</t>
  </si>
  <si>
    <t>Stated weights do not apply for Mirro and M0 hinges!</t>
  </si>
  <si>
    <t>Expansion dowel 11 mm</t>
  </si>
  <si>
    <t>Twin mounting plate (expansion dowel 7,5 mm)</t>
  </si>
  <si>
    <t>Achtung: Der Verstellbereich ist bei einer Montageplattenhöhe von -2,0 eingeschränkt!</t>
  </si>
  <si>
    <t>N.B.: The adjustment range is limited in the case of mounting plate height -2.0 mm!</t>
  </si>
  <si>
    <t>Aluminium / glass &amp; mirror door hinge</t>
  </si>
  <si>
    <t>± 5° Keile und Zubehör sind nicht berücksichtigt.</t>
  </si>
  <si>
    <t>± 5 ° wedges and accessories are not included.</t>
  </si>
  <si>
    <t>Notizen</t>
  </si>
  <si>
    <t>notes</t>
  </si>
  <si>
    <t>Griffgewicht</t>
  </si>
  <si>
    <t>additional weight</t>
  </si>
  <si>
    <t>Zusätzl. Gewicht</t>
  </si>
  <si>
    <t>Select</t>
  </si>
  <si>
    <t>Bohrbild abhängig von Scharniertyp</t>
  </si>
  <si>
    <t>Niemiecki</t>
  </si>
  <si>
    <t>Angielski</t>
  </si>
  <si>
    <t>Szwedzki</t>
  </si>
  <si>
    <t>Włoski</t>
  </si>
  <si>
    <t>Francuski</t>
  </si>
  <si>
    <t>Hiszpański</t>
  </si>
  <si>
    <t>Portugalski</t>
  </si>
  <si>
    <t>Turecki</t>
  </si>
  <si>
    <t>Chiński</t>
  </si>
  <si>
    <t>Rosyjski</t>
  </si>
  <si>
    <t>Polski</t>
  </si>
  <si>
    <t>Język 12</t>
  </si>
  <si>
    <t>Język 13</t>
  </si>
  <si>
    <t>Język 14</t>
  </si>
  <si>
    <t>Język</t>
  </si>
  <si>
    <t>Uwaga: Wersja nie jest aktualna</t>
  </si>
  <si>
    <t>Wersja aktualna do pobrania</t>
  </si>
  <si>
    <t>Zastrzegamy możliwość wprowadzenie zmian. Możliwość wystąpienia błędów i pomyłek. Użytkowanie konfiguratora tylko na własną odpowiedzialność</t>
  </si>
  <si>
    <t xml:space="preserve">Firma GRASS GmbH &amp; Co. nie ponosi odpowiedzialności z błędny wynik konfiguratora. Wyniki konfiguratora należy traktować tylko jako rekomendację. </t>
  </si>
  <si>
    <t>Podkładki prowadników ± 5° oraz inne elementy dodatkowe nie są uwzględnione.</t>
  </si>
  <si>
    <t>pojawia się jako wskazówka wyboru, prowadząca do rekomendacji produktu</t>
  </si>
  <si>
    <t xml:space="preserve">Teksty czerwoną czcionką są wskazówkami do zmian danych, koniecznych do uzyskania wyniku.    </t>
  </si>
  <si>
    <t>Przyjęty ciężar właściwy odpowiada średnim wartościom</t>
  </si>
  <si>
    <t>rzeczywiste wartości mogą odbiegać od wyliczenia. Zalecane wykonanie próby.</t>
  </si>
  <si>
    <t>Proszę spróbować z tym</t>
  </si>
  <si>
    <t>Ten zawias występuje tylko bez mechanizmu Soft-close</t>
  </si>
  <si>
    <t>Uwaga! Technicznie trudne do wykonania</t>
  </si>
  <si>
    <t>Proszę zmienić wybór!</t>
  </si>
  <si>
    <t>Proszę wybrać następną możliwą wartość</t>
  </si>
  <si>
    <t>Proszę wybrać pasujący odstęp puszki od krawędzi</t>
  </si>
  <si>
    <t>Proszę wybrać grubość frontu</t>
  </si>
  <si>
    <t>Proszę wybrać pasujące nałożenie frontu na korpus</t>
  </si>
  <si>
    <t>Proszę wybrać rozstaw otworów mocujących zawiasu</t>
  </si>
  <si>
    <t>Proszę wybrać sposób mocowania zawiasu</t>
  </si>
  <si>
    <t>Proszę wybrać rodzaj zawiasu</t>
  </si>
  <si>
    <t>Proszę wybrać kąt pomiędzy frontem i korpusem</t>
  </si>
  <si>
    <t>Proszę wybrać materiał</t>
  </si>
  <si>
    <t>Proszę wybrać kąt otwarcia</t>
  </si>
  <si>
    <t>Proszę wybrać wartość numeryczną</t>
  </si>
  <si>
    <t>Proszę wybrać typ prowadnika</t>
  </si>
  <si>
    <t xml:space="preserve">Proszę wybrać odpowiedni rodzaj mocowania </t>
  </si>
  <si>
    <t>Proszę wybrać pasujące odchylenie ramienia zawiasu</t>
  </si>
  <si>
    <t>Powrót</t>
  </si>
  <si>
    <t>bez</t>
  </si>
  <si>
    <t>lub</t>
  </si>
  <si>
    <t>wszystkie</t>
  </si>
  <si>
    <t>Nakładane</t>
  </si>
  <si>
    <t>Nakładane pełne (K0)</t>
  </si>
  <si>
    <t>Nakładane (K3)</t>
  </si>
  <si>
    <t>Nakładane bliźniacze (K9,5)</t>
  </si>
  <si>
    <t>Wpuszczane</t>
  </si>
  <si>
    <t>Wpuszczane (k19)</t>
  </si>
  <si>
    <t>Do przykręcania wkrętami</t>
  </si>
  <si>
    <t>Do przykręcania EURO wkrętami</t>
  </si>
  <si>
    <t>Do wprasowania</t>
  </si>
  <si>
    <t>Zamontowane  wkręty Euro [13,5mm]</t>
  </si>
  <si>
    <t>Zamontowane wkręty Euro [10,5mm]</t>
  </si>
  <si>
    <t>Kołki rozporowe 11mm</t>
  </si>
  <si>
    <t>Kołki rozporowe 7,5mm (prowadnik bliźniaczy)</t>
  </si>
  <si>
    <t>Zamontowane  wkręty Euro</t>
  </si>
  <si>
    <t>Zamontowane  wkręty Euro, krótkie</t>
  </si>
  <si>
    <t>z ogranicznikiem kąta otwarcia</t>
  </si>
  <si>
    <t xml:space="preserve">wysokość frontów, waga frontu, typ materiału, </t>
  </si>
  <si>
    <t>sposób mocowania zawiasu i prowadnika</t>
  </si>
  <si>
    <t>Waga oraz wysokość frontu w obliczeniach</t>
  </si>
  <si>
    <t>traktowane są jako dane standardowych frontów szerokości 600mm.</t>
  </si>
  <si>
    <t xml:space="preserve">W razie wątpliwości oraz w przypadkach szczególnych </t>
  </si>
  <si>
    <t xml:space="preserve">zalecane jest wykonanie prób. </t>
  </si>
  <si>
    <t>Uwagi!</t>
  </si>
  <si>
    <t>Dodatkowa waga</t>
  </si>
  <si>
    <t>Przykład:</t>
  </si>
  <si>
    <t xml:space="preserve">Dla frontu o wymiarach 2000 x 600 mm </t>
  </si>
  <si>
    <t>Dane dotyczące wagi nie odnoszą się do zawiasów do szkła i zawiasu M0</t>
  </si>
  <si>
    <t xml:space="preserve">Wykres odnosi się do zawiasów z  i </t>
  </si>
  <si>
    <t>Zawias</t>
  </si>
  <si>
    <t>Ilość zawiasów</t>
  </si>
  <si>
    <t xml:space="preserve">Kąt otwarcia </t>
  </si>
  <si>
    <t>Ogranicznik kąta otwarcia</t>
  </si>
  <si>
    <t>Mocowanie zawiasu</t>
  </si>
  <si>
    <t>Typ zawiasu</t>
  </si>
  <si>
    <t>Tiomos Quick</t>
  </si>
  <si>
    <t xml:space="preserve">Tiomos Click-on </t>
  </si>
  <si>
    <t xml:space="preserve">T Click-on 110° </t>
  </si>
  <si>
    <t xml:space="preserve">Ograniczniki kąta otwarcia 90° </t>
  </si>
  <si>
    <t>Tiomos T Click-on</t>
  </si>
  <si>
    <t>Tiomos T Impresso</t>
  </si>
  <si>
    <t>Tiomos TS Click-on</t>
  </si>
  <si>
    <t>Tiomos TS Impresso</t>
  </si>
  <si>
    <t>Tiomos TT Click-on</t>
  </si>
  <si>
    <t>Tiomos TT Impresso</t>
  </si>
  <si>
    <t>Tiomos Impresso</t>
  </si>
  <si>
    <t xml:space="preserve">Tiomos T M9 110° </t>
  </si>
  <si>
    <t>Tiomos T M0 125°</t>
  </si>
  <si>
    <t xml:space="preserve">Tiomos  T M9 110° </t>
  </si>
  <si>
    <t>Tiomos T Mirro 125°</t>
  </si>
  <si>
    <t>Tiomos T Quick</t>
  </si>
  <si>
    <t>Tiomos TS M0 125°</t>
  </si>
  <si>
    <t>Tiomos TS M9 110°</t>
  </si>
  <si>
    <t>Tiomos TS Quick</t>
  </si>
  <si>
    <t>Tiomos TT M0 125°</t>
  </si>
  <si>
    <t>Tiomos TT M9 110°</t>
  </si>
  <si>
    <t>Tiomos TT Mirro 125°</t>
  </si>
  <si>
    <t>Tiomos TS Mirro 125°</t>
  </si>
  <si>
    <t>Prowadnik</t>
  </si>
  <si>
    <t>Wysokość prowadnika</t>
  </si>
  <si>
    <t>Typ prowadnika</t>
  </si>
  <si>
    <t>Prowadnik Tiomos</t>
  </si>
  <si>
    <t>Prowadnik krzyżowy</t>
  </si>
  <si>
    <t>Prowadnik krzyżowy 1 D</t>
  </si>
  <si>
    <t>Prowadnik krzyżowy Eco</t>
  </si>
  <si>
    <t>Prowadnik liniowy</t>
  </si>
  <si>
    <t>Prowadnik liniowy 1D</t>
  </si>
  <si>
    <t>Podkładka dystansowa</t>
  </si>
  <si>
    <t>Prowadnik Delta</t>
  </si>
  <si>
    <t>Prowadnik Delta 1D</t>
  </si>
  <si>
    <t xml:space="preserve">Prowadnik specjalny </t>
  </si>
  <si>
    <t>Szybki wybór</t>
  </si>
  <si>
    <t>Możliwości</t>
  </si>
  <si>
    <t>Polecane produkty</t>
  </si>
  <si>
    <t>Nr artykułu</t>
  </si>
  <si>
    <t>Mocowanie</t>
  </si>
  <si>
    <t>Kąt pomiędzy frontem i korpusem</t>
  </si>
  <si>
    <t>Materiał frontu</t>
  </si>
  <si>
    <t>Nałożenie drzwi na korpus</t>
  </si>
  <si>
    <t>Szczelina</t>
  </si>
  <si>
    <t>Waga frontu</t>
  </si>
  <si>
    <t>Wyliczenie ilości zawiasów</t>
  </si>
  <si>
    <t>Wysokość frontu</t>
  </si>
  <si>
    <t>Szerokość frontu</t>
  </si>
  <si>
    <t>Grubość frontu</t>
  </si>
  <si>
    <t>Grubość ramy</t>
  </si>
  <si>
    <t>Wysokość</t>
  </si>
  <si>
    <t>Odstęp otworów X</t>
  </si>
  <si>
    <t>Wymiar przykręcenia (Z)</t>
  </si>
  <si>
    <t>Wymiar klejenia (Z)</t>
  </si>
  <si>
    <t>Odgięcie zawiasu</t>
  </si>
  <si>
    <t>Lodówka</t>
  </si>
  <si>
    <t xml:space="preserve">Lodówka </t>
  </si>
  <si>
    <t>Fronty łamane</t>
  </si>
  <si>
    <t>Odstęp puszki od krawędzi</t>
  </si>
  <si>
    <t xml:space="preserve">Do przykręcania </t>
  </si>
  <si>
    <t>Kołki</t>
  </si>
  <si>
    <t>Kołki rozporowe</t>
  </si>
  <si>
    <t>Click-on do przykręcania</t>
  </si>
  <si>
    <t>Click-on do wprasowania</t>
  </si>
  <si>
    <t>Wymiary w mm</t>
  </si>
  <si>
    <t>Uwaga! Zakres regulacji zawiasu, w przypadku prowadnika (-2) jest ograniczony</t>
  </si>
  <si>
    <t>Profil aluminiowy</t>
  </si>
  <si>
    <t>Szkło/lustro</t>
  </si>
  <si>
    <t>Kompozyt mineralny</t>
  </si>
  <si>
    <t>Materiał</t>
  </si>
  <si>
    <t>Płyta MDF</t>
  </si>
  <si>
    <t>Płyta wiórowa</t>
  </si>
  <si>
    <t>Świerk/sosna</t>
  </si>
  <si>
    <t>Szkło</t>
  </si>
  <si>
    <t>Klon</t>
  </si>
  <si>
    <t>Lipa amerykańska</t>
  </si>
  <si>
    <t>Jabłoń</t>
  </si>
  <si>
    <t>Brzoza</t>
  </si>
  <si>
    <t>Grusza</t>
  </si>
  <si>
    <t>Buk</t>
  </si>
  <si>
    <t xml:space="preserve">Daglezja </t>
  </si>
  <si>
    <t>Heban</t>
  </si>
  <si>
    <t>Olcha</t>
  </si>
  <si>
    <t>Jesion</t>
  </si>
  <si>
    <t>Osika</t>
  </si>
  <si>
    <t>Okume</t>
  </si>
  <si>
    <t>Jodła kanadyjska / Hemlock</t>
  </si>
  <si>
    <t>Kasztan</t>
  </si>
  <si>
    <t>Sosna</t>
  </si>
  <si>
    <t>Czereśnia</t>
  </si>
  <si>
    <t>Modrzew</t>
  </si>
  <si>
    <t>Mahoń</t>
  </si>
  <si>
    <t>Sekwoja</t>
  </si>
  <si>
    <t>Topola</t>
  </si>
  <si>
    <t>Topola kanadyjska</t>
  </si>
  <si>
    <t>Platan</t>
  </si>
  <si>
    <t>Gwajak</t>
  </si>
  <si>
    <t>Jodła</t>
  </si>
  <si>
    <t>Wiąz</t>
  </si>
  <si>
    <t>Hikora</t>
  </si>
  <si>
    <t>Wierzba</t>
  </si>
  <si>
    <t>Cedr</t>
  </si>
  <si>
    <t>Cyprys</t>
  </si>
  <si>
    <t>Polnisch</t>
  </si>
  <si>
    <t>Polish</t>
  </si>
  <si>
    <t xml:space="preserve">Minimalna szczelina dla frontu z fazowaną krawędzią (R=1 mm), przy ustawieniach fabrycznych. </t>
  </si>
  <si>
    <t>Zalecenia montażowe i wyliczenie szczelin obowiązują dla ustawień fabrycznych.</t>
  </si>
  <si>
    <t>Zalecamy wykonanie prób. W przypadku pytań lub niejasności prosimy o kontakt z konsultantami.</t>
  </si>
  <si>
    <t>Występują możliwe rozwiązania! Proszę zmienić ustawienia powyżej.</t>
  </si>
  <si>
    <t>Proszę zmienić typ prowadnika, mocowanie lub odstęp puszki od krawędzi.</t>
  </si>
  <si>
    <t>Możliwe mocowanie tylko za pomocą wkrętów.</t>
  </si>
  <si>
    <t>Dla wersji Click-on Quick proszę wybrać rozstaw otworów 48/9 .</t>
  </si>
  <si>
    <t>brak</t>
  </si>
  <si>
    <t>z Soft-close</t>
  </si>
  <si>
    <t>bez Soft-close</t>
  </si>
  <si>
    <t>bez hamulca</t>
  </si>
  <si>
    <t xml:space="preserve">O właściwym doborze ilości zawiasów decydują </t>
  </si>
  <si>
    <t>oraz wadze 13 kg zalecane jest</t>
  </si>
  <si>
    <t>użycie 4 zawiasów</t>
  </si>
  <si>
    <t>Zawiasy standardowe</t>
  </si>
  <si>
    <t>Zawiasy kątowe</t>
  </si>
  <si>
    <t>Zawiasy do aluminium / do szkła</t>
  </si>
  <si>
    <t>Zawiasy specjalne</t>
  </si>
  <si>
    <t>rozwiązania</t>
  </si>
  <si>
    <t>Grubość boku</t>
  </si>
  <si>
    <t>Szczelina-front</t>
  </si>
  <si>
    <t>Szczelina-bok</t>
  </si>
  <si>
    <t>Wymiary mocowania</t>
  </si>
  <si>
    <t>Min. szczelina - front</t>
  </si>
  <si>
    <t>Min. szczelina - bok</t>
  </si>
  <si>
    <t>Rząd otworów 5mm</t>
  </si>
  <si>
    <t>Dikkat: Verziyon güncel değildir</t>
  </si>
  <si>
    <t>Burada güncel verziyonu yükleyebilirsiniz</t>
  </si>
  <si>
    <t>Değişiklikler ve hata haklarımız saklıdır. Konfiguratör kullanımından doağacak olan zarar sorumluluğu sizdedir.</t>
  </si>
  <si>
    <t>Hatalardan Grass GmbH &amp; Co. KG sorumlu tutulamaz. Konfiguratör sadece öneriler içerir.</t>
  </si>
  <si>
    <t>± 5° Kama ve Aksesuarlar dikkate alınmadı.</t>
  </si>
  <si>
    <t xml:space="preserve">Fuga değerleri 1mm kenar yarı çapı (Kapak) </t>
  </si>
  <si>
    <t>Menteşe ölçüleri ve fugalar fabrika ayarından hesaplanmıştır</t>
  </si>
  <si>
    <t>Deneme uygulaması önerilir. Sorularınız için lütfen yetkili personellerle irtibata geçiniz.</t>
  </si>
  <si>
    <t>ürün önerisine giden bir seçenek için görünür</t>
  </si>
  <si>
    <t>Öneri alabilmeniz için kırmızı yazılı ayarları değiştirmeniz gerekiyor</t>
  </si>
  <si>
    <t>Kullanılan ağırlık ortalama değerdir</t>
  </si>
  <si>
    <t>Gerçek değerler farklılık gösterebilir. Deneme uygulama tavsiye ediyoruz.</t>
  </si>
  <si>
    <t>Çözümler mümkün! Yukarıda seçimi değiştirin.</t>
  </si>
  <si>
    <t>Taban tipini, montaj şeklini veya tas mesafesini değiştirin</t>
  </si>
  <si>
    <t>Sadece sunta vidası ile monte edilebilir</t>
  </si>
  <si>
    <t>Click-On Quick için delik şeması 48/9 seçin</t>
  </si>
  <si>
    <t>Bununla deneyin</t>
  </si>
  <si>
    <t>Bu menteşe sadece frensiz olarak mevcut</t>
  </si>
  <si>
    <t>Dikkat! Teknik olarak uygulaması zor.</t>
  </si>
  <si>
    <t>Lütfen seçiminizi değiştirin</t>
  </si>
  <si>
    <t>Lütfen bir sonraki değeri seçin</t>
  </si>
  <si>
    <t>Lütfen Tas mesafesini seçin</t>
  </si>
  <si>
    <t>Lütfen kapak kalınlığını seçin</t>
  </si>
  <si>
    <t>Lütfen biniyi seçin</t>
  </si>
  <si>
    <t>Lütfen delik şemasını seçin</t>
  </si>
  <si>
    <t>Lütfen montaj şeklini seçin</t>
  </si>
  <si>
    <t>Lütfen menteşe tipini seçin</t>
  </si>
  <si>
    <t>Lütfen kapak dan yana olan açıyı seçin</t>
  </si>
  <si>
    <t>Lütfen malzemeyi seçin</t>
  </si>
  <si>
    <t>Lütfen açıyı seçin</t>
  </si>
  <si>
    <t>Lütfen rakam seçin</t>
  </si>
  <si>
    <t>Lütfen taban tipini seçin</t>
  </si>
  <si>
    <t>Lütfen uygun montaj şeklini seçin</t>
  </si>
  <si>
    <t>Lütfen uygun deveboynunu seçiniz</t>
  </si>
  <si>
    <t>geri</t>
  </si>
  <si>
    <t>hariç</t>
  </si>
  <si>
    <t>veya</t>
  </si>
  <si>
    <t>yok</t>
  </si>
  <si>
    <t>tümü</t>
  </si>
  <si>
    <t>Köşe Bini</t>
  </si>
  <si>
    <t>Tam Bini</t>
  </si>
  <si>
    <t>Yarım Bini</t>
  </si>
  <si>
    <t>İçerlek</t>
  </si>
  <si>
    <t>Sunta vidası ile vidalanabilir</t>
  </si>
  <si>
    <t>Euro vida ile vidalanabilir</t>
  </si>
  <si>
    <t>Dübelli</t>
  </si>
  <si>
    <t>ön monteli Euro Vida (13,5)</t>
  </si>
  <si>
    <t>ön monteli Euro Vida (10,5)</t>
  </si>
  <si>
    <t>Açılır Dübel 11mm</t>
  </si>
  <si>
    <t>Ikiz Taban (Açılır Dübel 7,5mm)</t>
  </si>
  <si>
    <t>ön montajlı Euro vida</t>
  </si>
  <si>
    <t>ön montajlı Euro vida kısa</t>
  </si>
  <si>
    <t>frenli</t>
  </si>
  <si>
    <t>frensiz</t>
  </si>
  <si>
    <t>Açı sınırlayıcılı</t>
  </si>
  <si>
    <t>Notlar</t>
  </si>
  <si>
    <t>İlave Ağırlık</t>
  </si>
  <si>
    <t>Örnek</t>
  </si>
  <si>
    <t>Ağırlık bilgileri Mirro ve M0 menteşeler için geçerli değildir!</t>
  </si>
  <si>
    <t>Menteşe</t>
  </si>
  <si>
    <t>Standard Menteşe</t>
  </si>
  <si>
    <t>Açılı Menteşe</t>
  </si>
  <si>
    <t>Alü-/Cam- ve Ayna Menteşe</t>
  </si>
  <si>
    <t>Özel Menteşe</t>
  </si>
  <si>
    <t>Menteşe Sayısı</t>
  </si>
  <si>
    <t>Menteşe açılımı</t>
  </si>
  <si>
    <t>Açılım sınırlayıcı</t>
  </si>
  <si>
    <t>Menteşe Bağlantısı</t>
  </si>
  <si>
    <t>Menteşe Tipi</t>
  </si>
  <si>
    <t>Tiomos Quick Menteşe</t>
  </si>
  <si>
    <t>Tiomos Click-On Menteşe</t>
  </si>
  <si>
    <t>Menteşe T Click-On 110°</t>
  </si>
  <si>
    <t>90° Açı sınırlayıcı</t>
  </si>
  <si>
    <t>Açı sınırlayıcı</t>
  </si>
  <si>
    <t>Tiomos Menteşe T Click-on</t>
  </si>
  <si>
    <t>Tiomos Menteşe T Impresso</t>
  </si>
  <si>
    <t>Tiomos Menteşe TS Click-on</t>
  </si>
  <si>
    <t>Tiomos Menteşe TS Impresso</t>
  </si>
  <si>
    <t>Tiomos Menteşe TT Click-on</t>
  </si>
  <si>
    <t>Tiomos Menteşe TT Impresso</t>
  </si>
  <si>
    <t>Tiomos Impresso Menteşee</t>
  </si>
  <si>
    <t>Tiomos Menteşe T M9 110°</t>
  </si>
  <si>
    <t>Tiomos Menteşe T M0 125°</t>
  </si>
  <si>
    <t>Tiomos Menteşe T Mirro 125°</t>
  </si>
  <si>
    <t>Tiomos Menteşe T Quick</t>
  </si>
  <si>
    <t>Tiomos Menteşe TS M0 125°</t>
  </si>
  <si>
    <t>Tiomos Menteşe TS M9 110°</t>
  </si>
  <si>
    <t>Tiomos Menteşe TS Quick</t>
  </si>
  <si>
    <t>Tiomos Menteşe TT M0 125°</t>
  </si>
  <si>
    <t>Tiomos Menteşe TT M9 110°</t>
  </si>
  <si>
    <t>Tiomos Menteşe TT Mirro 125°</t>
  </si>
  <si>
    <t>Tiomos Menteşe TS Mirro 125°</t>
  </si>
  <si>
    <t>Taban</t>
  </si>
  <si>
    <t>Taban Yüskekliği</t>
  </si>
  <si>
    <t>Taban Tipi</t>
  </si>
  <si>
    <t>Tiomos Tabanlar</t>
  </si>
  <si>
    <t>Haç Taban</t>
  </si>
  <si>
    <t>1D Haç Taban</t>
  </si>
  <si>
    <t>Eco Haç Taban</t>
  </si>
  <si>
    <t>Düz Taban</t>
  </si>
  <si>
    <t>1D Düz Taban</t>
  </si>
  <si>
    <t>Düz Mesafelik</t>
  </si>
  <si>
    <t>Delta Taban</t>
  </si>
  <si>
    <t>1D Delta Taban</t>
  </si>
  <si>
    <t>İçerlek Taban (Çerçeveler için)</t>
  </si>
  <si>
    <t>Hızlı Seçim</t>
  </si>
  <si>
    <t>Konfigüratör</t>
  </si>
  <si>
    <t>Çözümler</t>
  </si>
  <si>
    <t>Seçenekler</t>
  </si>
  <si>
    <t xml:space="preserve">Standard </t>
  </si>
  <si>
    <t>Ürün Tavsiyesi</t>
  </si>
  <si>
    <t>Sipariş no.</t>
  </si>
  <si>
    <t>Montaj</t>
  </si>
  <si>
    <t>Kapaktdan Yana Açı</t>
  </si>
  <si>
    <t>Kapak Malzeme Seçimi</t>
  </si>
  <si>
    <t>Bini</t>
  </si>
  <si>
    <t>Fuga</t>
  </si>
  <si>
    <t>Ağırlık</t>
  </si>
  <si>
    <t>Menteşe Sayı hesaplama</t>
  </si>
  <si>
    <t>Kapak Yüksekliği</t>
  </si>
  <si>
    <t>Kapak Genişliği</t>
  </si>
  <si>
    <t>Kapak Kalınlığı</t>
  </si>
  <si>
    <t>Çerçeve Kalınlığı</t>
  </si>
  <si>
    <t>Yükseklik</t>
  </si>
  <si>
    <t>Delik Delme Mesafesi (X)</t>
  </si>
  <si>
    <t>Vidalama Mesafesi (Z)</t>
  </si>
  <si>
    <t>Yapıştırma Mesafesi (Z)</t>
  </si>
  <si>
    <t>Gövde Kalınlığı</t>
  </si>
  <si>
    <t>Deveboynu</t>
  </si>
  <si>
    <t>Aralık</t>
  </si>
  <si>
    <t>Buzdolabı</t>
  </si>
  <si>
    <t>Katlanır Dolap</t>
  </si>
  <si>
    <t>Delik Mesafesi</t>
  </si>
  <si>
    <t>Tas Mesafesi</t>
  </si>
  <si>
    <t>Minimum Fuga</t>
  </si>
  <si>
    <t>Minimum Aralık</t>
  </si>
  <si>
    <t>Vidalanabilir</t>
  </si>
  <si>
    <t>5mm Delik şeması için</t>
  </si>
  <si>
    <t>Açılır Dübel</t>
  </si>
  <si>
    <t>Vidalanabilir Click-On</t>
  </si>
  <si>
    <t>Dübelli Click-On</t>
  </si>
  <si>
    <t>Quick Click-On</t>
  </si>
  <si>
    <t>Ölçüler mm cinsinden</t>
  </si>
  <si>
    <t>Dikkat: H-02 Tabanlarda ayar imkanları kısıtlı</t>
  </si>
  <si>
    <t>Tipmatik</t>
  </si>
  <si>
    <t>Alüminyum Profil</t>
  </si>
  <si>
    <t>Cam / Ayna</t>
  </si>
  <si>
    <t>Alüminyum</t>
  </si>
  <si>
    <t>Solid</t>
  </si>
  <si>
    <t>Malzeme</t>
  </si>
  <si>
    <t xml:space="preserve">Menteşe sayısını belirleyen faktörler kapak </t>
  </si>
  <si>
    <t xml:space="preserve">yüksekliği, kapak ağırlığı, materyal kalitesi, </t>
  </si>
  <si>
    <t>tasın ve tablanın sabitlenmesidir.</t>
  </si>
  <si>
    <t>Yük ve yükseklikle ilgili bilgiler 600mm standart</t>
  </si>
  <si>
    <t xml:space="preserve"> kapak genişlikleri içindir. Şüphe durumunda </t>
  </si>
  <si>
    <t>menteşe sayısı bir deneme yapılarak belirlenmelidir.</t>
  </si>
  <si>
    <t xml:space="preserve">2000x600mm ve 13kg kapaklar </t>
  </si>
  <si>
    <t>için 4 menteşe kullanımı önerilir</t>
  </si>
  <si>
    <t xml:space="preserve">Diyagram hem frenli hem fresniz menteşeler </t>
  </si>
  <si>
    <t>için geçerlidir frensiz</t>
  </si>
  <si>
    <t>Lisan 14</t>
  </si>
  <si>
    <t>Lisan 12</t>
  </si>
  <si>
    <t>Lisan 13</t>
  </si>
  <si>
    <t>Lehçe</t>
  </si>
  <si>
    <t>Französisch</t>
  </si>
  <si>
    <t>Portugisisch</t>
  </si>
  <si>
    <t>Attention: Version non actuelle</t>
  </si>
  <si>
    <t>La dernière version peut être téléchargée ici</t>
  </si>
  <si>
    <t>Sous réserve de modifications. Toutes erreurs et omissions exceptées. Utilisation du configurateur est aux risques de l'utilisateur.</t>
  </si>
  <si>
    <t>Toutes responsabilité contre GRASS GmbH &amp; Co. sont exclus. Les recommandations fournies ne sont pas contraignantes.</t>
  </si>
  <si>
    <t>Embases ± 5 ° et accessoires ne sont pas inclus.</t>
  </si>
  <si>
    <t>Jeu minimum de porte à chants arrondis (R=1 mm) avec réglages d'usine.</t>
  </si>
  <si>
    <t>Dimension de charnière et calcul de jeu réalisé avec les paramètres d'usine.</t>
  </si>
  <si>
    <t>Nous recommandons un montage d'essai. S'il vous plaît contacter nos experts en cas de questions ou de manque de clarté.</t>
  </si>
  <si>
    <t>indique une sélection qui conduit à une recommandation de produit.</t>
  </si>
  <si>
    <t>Les textes en rouge montrent des paramètres qui devraient être modifiées pour obtenir une recommandation de produit.</t>
  </si>
  <si>
    <t>Le poids utilisé est un poids moyen.</t>
  </si>
  <si>
    <t>Les valeurs réelles peuvent varier. Nous recommandons un montage d'essai.</t>
  </si>
  <si>
    <t>Les solutions sont possibles! S'il vous plaît changer la sélection ci-dessus.</t>
  </si>
  <si>
    <t>S'il vous plaît changer le type d'embase, de fixation ou la distance au bord.</t>
  </si>
  <si>
    <t>Fixation uniquement avec vis à bois</t>
  </si>
  <si>
    <t>Pour Clip-on Quick, merci de sélectionner l'entraxe 48/9</t>
  </si>
  <si>
    <t>Merci d'essayer avec</t>
  </si>
  <si>
    <t>Cette charnière ne peut uniquement être sélectionnée sans Soft-Close</t>
  </si>
  <si>
    <t>N.B.: Techniquement difficile à implementer</t>
  </si>
  <si>
    <t>Merci de changer votre sélection!</t>
  </si>
  <si>
    <t>Merci d'entrer la prochaine valeur possible</t>
  </si>
  <si>
    <t>Merci de sélectionner la distance au bord appropriée</t>
  </si>
  <si>
    <t>Merci de sélectionner une épaisseur de porte appropriée</t>
  </si>
  <si>
    <t>Merci de sélectionner un recouvrement de porte approprié</t>
  </si>
  <si>
    <t>Merci de sélectionner un entraxe de percage</t>
  </si>
  <si>
    <t>Merci de sélectionner un type de fixation de charnière</t>
  </si>
  <si>
    <t>Merci de sélectionner un type de charnière</t>
  </si>
  <si>
    <t>Merci de renseigner  l'angle entre la porte et le panneau latéral</t>
  </si>
  <si>
    <t>Merci de sélectionner le matériel utilisé</t>
  </si>
  <si>
    <t>Merci de sélectionner l'angle d'ouverture</t>
  </si>
  <si>
    <t>Merci de rensigner une valeur numérique</t>
  </si>
  <si>
    <t>Merci de sélectionner un type d'embase</t>
  </si>
  <si>
    <t>Merci de sélectionner une fixation appropriée</t>
  </si>
  <si>
    <t>Merci de sélectionner une coudure appropriée</t>
  </si>
  <si>
    <t>Retour</t>
  </si>
  <si>
    <t>Sans</t>
  </si>
  <si>
    <t>Ou</t>
  </si>
  <si>
    <t xml:space="preserve">Tout </t>
  </si>
  <si>
    <t>Recouvrement</t>
  </si>
  <si>
    <t>En applique totale (K0)</t>
  </si>
  <si>
    <t>En applique</t>
  </si>
  <si>
    <t>En semi-applique</t>
  </si>
  <si>
    <t>À encastrer</t>
  </si>
  <si>
    <t>À encastrer (K19)</t>
  </si>
  <si>
    <t>À visser (vis à bois)</t>
  </si>
  <si>
    <t>À visser (vis euro)</t>
  </si>
  <si>
    <t>À presser</t>
  </si>
  <si>
    <t>Avec vis euro pré-montées (13,5)</t>
  </si>
  <si>
    <t>Avec vis euro pré-montées (10,5)</t>
  </si>
  <si>
    <t>Cheville à expension 11 mm</t>
  </si>
  <si>
    <t>Embase Twin (cheville à expension 7,5 mm)</t>
  </si>
  <si>
    <t>Vis euro pré-montées</t>
  </si>
  <si>
    <t>Vis euro courte pré-montées</t>
  </si>
  <si>
    <t>Avec Soft-Close</t>
  </si>
  <si>
    <t>Sans Soft-Close</t>
  </si>
  <si>
    <t>Sans frein intégré</t>
  </si>
  <si>
    <t>Avec limitateur d'angle d'ouverture</t>
  </si>
  <si>
    <t>Le nombre d'articulations est déterminée par porte</t>
  </si>
  <si>
    <t>sont la taille, le poids de la porteet la qualité du matériau</t>
  </si>
  <si>
    <t>Fixation de la charnière et de l'embase</t>
  </si>
  <si>
    <t>Les données de charge et de hauteur se rapportent à</t>
  </si>
  <si>
    <t>la largeur de porte standard de 600 mm. En cas de doute</t>
  </si>
  <si>
    <t>le nombre de charnière devra être vérifier par un montage test.</t>
  </si>
  <si>
    <t>Poids additionnel</t>
  </si>
  <si>
    <t>Exemple :</t>
  </si>
  <si>
    <t>Pour des portes mesurant 2000 x 6000 et pesant</t>
  </si>
  <si>
    <t>13 kg, nous recommandons l'installation</t>
  </si>
  <si>
    <t>de 4 charnières</t>
  </si>
  <si>
    <t>Poids indiqués non applicables aux charnières M0 et MIRRO!</t>
  </si>
  <si>
    <t>Le tableau se réfère aux charnières avec et</t>
  </si>
  <si>
    <t>Charnière</t>
  </si>
  <si>
    <t>Charnière standard</t>
  </si>
  <si>
    <t>Charnière d'angle</t>
  </si>
  <si>
    <t>Charnière pour miroir, verre ou aluminium</t>
  </si>
  <si>
    <t>Charnière spéciale</t>
  </si>
  <si>
    <t>Nombre de charnière</t>
  </si>
  <si>
    <t>Angle d'ouverture charnière</t>
  </si>
  <si>
    <t>Limitateur d'angle d'ouverture</t>
  </si>
  <si>
    <t>Fixation de charnière</t>
  </si>
  <si>
    <t>Type de charnière</t>
  </si>
  <si>
    <t>Charnière Tiomos Quick</t>
  </si>
  <si>
    <t>Charnière Tiomos Click-On</t>
  </si>
  <si>
    <t>Charnière T Click-On 110°</t>
  </si>
  <si>
    <t>limitateur d'ouverture 90°</t>
  </si>
  <si>
    <t>Charnière Tiomos T Click-on</t>
  </si>
  <si>
    <t>Charnière Tiomos T Impresso</t>
  </si>
  <si>
    <t>Charnière Tiomos TS Click-on</t>
  </si>
  <si>
    <t>Charnière Tiomos TS Impresso</t>
  </si>
  <si>
    <t>Charnière Tiomos TT Click-on</t>
  </si>
  <si>
    <t>Charnière Tiomos TT Impresso</t>
  </si>
  <si>
    <t>Charnière Tiomos Impresso</t>
  </si>
  <si>
    <t>Charnière Tiomos T M9 110°</t>
  </si>
  <si>
    <t>Charnière Tiomos T M0 125°</t>
  </si>
  <si>
    <t>Charnière Tiomos T Mirro 125°</t>
  </si>
  <si>
    <t>Charnière Tiomos T Quick</t>
  </si>
  <si>
    <t>Charnière Tiomos TS M0 125°</t>
  </si>
  <si>
    <t>Charnière Tiomos TS M9 110°</t>
  </si>
  <si>
    <t>Charnière Tiomos TS Quick</t>
  </si>
  <si>
    <t>Charnière Tiomos TT M0 125°</t>
  </si>
  <si>
    <t>Charnière Tiomos TT M9 110°</t>
  </si>
  <si>
    <t>Charnière Tiomos TT Mirro 125°</t>
  </si>
  <si>
    <t>Charnière Tiomos TS Mirro 125°</t>
  </si>
  <si>
    <t>Embase</t>
  </si>
  <si>
    <t>Hauteur d'embase</t>
  </si>
  <si>
    <t>Type d'embase</t>
  </si>
  <si>
    <t>Embase Tiomos</t>
  </si>
  <si>
    <t>Embase en croix</t>
  </si>
  <si>
    <t>Embase en croix 1D</t>
  </si>
  <si>
    <t>Embase en croix ECO</t>
  </si>
  <si>
    <t>Embase linéaire</t>
  </si>
  <si>
    <t>Embase linéaire 1D</t>
  </si>
  <si>
    <t>Embase pour cadre</t>
  </si>
  <si>
    <t>Embase pour cadre 1D</t>
  </si>
  <si>
    <t>Sélection rapide</t>
  </si>
  <si>
    <t>Konfigurateur</t>
  </si>
  <si>
    <t>Possibilités</t>
  </si>
  <si>
    <t>Conseil produit</t>
  </si>
  <si>
    <t>Numéro de commande</t>
  </si>
  <si>
    <t>Fixation</t>
  </si>
  <si>
    <t>Angle de la porte vers le côté</t>
  </si>
  <si>
    <t>Sélection du matériaux de la porte</t>
  </si>
  <si>
    <t>Recouvrement de porte</t>
  </si>
  <si>
    <t>Jeu de porte</t>
  </si>
  <si>
    <t>Poid de porte</t>
  </si>
  <si>
    <t>Calcul du nombre de charnière</t>
  </si>
  <si>
    <t>Hauteur de porte</t>
  </si>
  <si>
    <t>Largeur de porte</t>
  </si>
  <si>
    <t>Épaisseur de porte</t>
  </si>
  <si>
    <t>Épaisseur du cadre</t>
  </si>
  <si>
    <t>Hauteur</t>
  </si>
  <si>
    <t>Distance de percage (X)</t>
  </si>
  <si>
    <t>Mesure de vissage (Z)</t>
  </si>
  <si>
    <t>Mesure de collage (Z)</t>
  </si>
  <si>
    <t>Épaisseur du caisson</t>
  </si>
  <si>
    <t>Coudure</t>
  </si>
  <si>
    <t xml:space="preserve">Jeu   </t>
  </si>
  <si>
    <t>Jeu</t>
  </si>
  <si>
    <t>Réfrigérateur</t>
  </si>
  <si>
    <t>Entraxe</t>
  </si>
  <si>
    <t>Distance au bord</t>
  </si>
  <si>
    <t>Jeu minimum</t>
  </si>
  <si>
    <t>À visser</t>
  </si>
  <si>
    <t>Cheville</t>
  </si>
  <si>
    <t>Pour rangée de percage 5 mm</t>
  </si>
  <si>
    <t>Cheville à expension</t>
  </si>
  <si>
    <t>Click-on à visser</t>
  </si>
  <si>
    <t>Click-on à presser</t>
  </si>
  <si>
    <t>Mesure en mm</t>
  </si>
  <si>
    <t>Attention: la plage de régle des embase est limitée à -2,0!</t>
  </si>
  <si>
    <t>Profil alu</t>
  </si>
  <si>
    <t>Verre / miroir</t>
  </si>
  <si>
    <t>Matériau mineral</t>
  </si>
  <si>
    <t>Matériau</t>
  </si>
  <si>
    <t>Langue 12</t>
  </si>
  <si>
    <t>Langue 13</t>
  </si>
  <si>
    <t>Langue 14</t>
  </si>
  <si>
    <t>OBS! Ej aktuell</t>
  </si>
  <si>
    <t>Aktuell version finns att ladda ned här</t>
  </si>
  <si>
    <t>Med förbehåll för ändringar och feltryck. Resultatet av konfigureringar används på användarens risk.</t>
  </si>
  <si>
    <t>Grass GmbH står inte för några garantier. Det handlar här om rekommendationer.</t>
  </si>
  <si>
    <t>± 5 ° kilar eller tillbehör är ej inkluderade.</t>
  </si>
  <si>
    <t>Minsta fog för radiedörrar (R=1mm) vid fabriksinställningar</t>
  </si>
  <si>
    <t>Mått på gångjärn och fogberäkning vid fabriksinställning.</t>
  </si>
  <si>
    <t>Vi rekommenderar testmontage. Vid frågor kontakta Din Grass representant.</t>
  </si>
  <si>
    <t>Indikerar ett val som leder till en rekommendation.</t>
  </si>
  <si>
    <t>Rödmarkerad text visar de ändringar som måste göras för att få en produkt rekommendation.</t>
  </si>
  <si>
    <t>Angiven vikt avser ett genomsnittsvärde.</t>
  </si>
  <si>
    <t>Verkliga värden kann variera. Vi rekommenderar testmontering.</t>
  </si>
  <si>
    <t>Det finns en lösning! Ändra uppgifter ovan.</t>
  </si>
  <si>
    <t>Ändra monteringsplatta, infästning eller grytavstånd.</t>
  </si>
  <si>
    <t>Endast montering med träskruv är möjlig.</t>
  </si>
  <si>
    <t>För clip-on Quick, välj borrbild 48/9</t>
  </si>
  <si>
    <t>Försök med detta</t>
  </si>
  <si>
    <t>Detta gångjärn kann endast väljas med Soft-close</t>
  </si>
  <si>
    <t>OBS! Tekniskt komplicerad användning.</t>
  </si>
  <si>
    <t>Vänligen ändra urval!</t>
  </si>
  <si>
    <t>Vänligen fyll i nästa möjliga värde!</t>
  </si>
  <si>
    <t>Välj ett lämpligt grytborrningsavstånd</t>
  </si>
  <si>
    <t>Välj en läplig dörrtjocklek</t>
  </si>
  <si>
    <t>Välj en  lämplig täckning av dörren</t>
  </si>
  <si>
    <t>Välj en borrbild</t>
  </si>
  <si>
    <t>Välj infästnings metod för gångjärnet</t>
  </si>
  <si>
    <t>Välj gångjärnstyp</t>
  </si>
  <si>
    <t>Välj vinkel från dörr mot skåpssida</t>
  </si>
  <si>
    <t>Välj ett material</t>
  </si>
  <si>
    <t>Välj öppningsvinkel</t>
  </si>
  <si>
    <t>Välj ett numersikt värde.</t>
  </si>
  <si>
    <t>Välj typ av monteringsplatta</t>
  </si>
  <si>
    <t>Välj en lämpliginfästningsmetod</t>
  </si>
  <si>
    <t>Välj lämplig krökning av gångjärnsarmen</t>
  </si>
  <si>
    <t>tillbaka</t>
  </si>
  <si>
    <t>utan</t>
  </si>
  <si>
    <t>eller</t>
  </si>
  <si>
    <t>nej</t>
  </si>
  <si>
    <t>allt</t>
  </si>
  <si>
    <t>täckning</t>
  </si>
  <si>
    <t>heltäckande</t>
  </si>
  <si>
    <t>täckande</t>
  </si>
  <si>
    <t>halvtäckande</t>
  </si>
  <si>
    <t>innanförliggande</t>
  </si>
  <si>
    <t>innanförliggande (K19)</t>
  </si>
  <si>
    <t>skruvfixering (träskruv)</t>
  </si>
  <si>
    <t>skruvfixering (systemskruv)</t>
  </si>
  <si>
    <t>för inpressning</t>
  </si>
  <si>
    <t>med förmonterade systemskruv [13.5]</t>
  </si>
  <si>
    <t>med förmonterade systemskruv [10.5]</t>
  </si>
  <si>
    <t>expanderande plugg 11 mm</t>
  </si>
  <si>
    <t>tvillingmontering (expanderande plugg 7,5 mm)</t>
  </si>
  <si>
    <t>förm. systemskruv</t>
  </si>
  <si>
    <t>förm. kort systemskruv</t>
  </si>
  <si>
    <t>med softclose</t>
  </si>
  <si>
    <t>utan softclose</t>
  </si>
  <si>
    <t>med integrerad dämpning</t>
  </si>
  <si>
    <t>med clips för öppningsvinkelreducering</t>
  </si>
  <si>
    <t>faktorer som avgör antal gångjärn</t>
  </si>
  <si>
    <t xml:space="preserve">höjd, dörrvikt, kvalite på material och </t>
  </si>
  <si>
    <t>fixering av gryta och monteringsplatta</t>
  </si>
  <si>
    <t>Belastnings och höjdangivelser baseras på</t>
  </si>
  <si>
    <t>standard dörrbredder. Vid tveksamhet</t>
  </si>
  <si>
    <t>skall en provmonteringgöras för att avgöra</t>
  </si>
  <si>
    <t>antal gångjärn som bör användas.</t>
  </si>
  <si>
    <t>Noteringar</t>
  </si>
  <si>
    <t>ytterligare vikt</t>
  </si>
  <si>
    <t>exempel:</t>
  </si>
  <si>
    <t xml:space="preserve">Till en dörr med mått 2000 x 600 och en </t>
  </si>
  <si>
    <t>vikt av 13 kg rekommenderar vi att</t>
  </si>
  <si>
    <t>4 gångjärn monteras.</t>
  </si>
  <si>
    <t>angivna vikter gäller ej Mirro eller M0 gångjärn!</t>
  </si>
  <si>
    <t>Tabellen anger gångjärn med och</t>
  </si>
  <si>
    <t>Gångjärn</t>
  </si>
  <si>
    <t>standard gångjärn</t>
  </si>
  <si>
    <t>vinkelgångjärn</t>
  </si>
  <si>
    <t>Gångjärn för aluminium/ glas &amp; spegel</t>
  </si>
  <si>
    <t>Specialgångjärn</t>
  </si>
  <si>
    <t>antal gångjärn</t>
  </si>
  <si>
    <t>Gångjärnets öppningsvinkel</t>
  </si>
  <si>
    <t>öppninsvinkelbegränsning</t>
  </si>
  <si>
    <t>fixerings metod</t>
  </si>
  <si>
    <t>gångjärnstyp</t>
  </si>
  <si>
    <t>Tiomos Quick gångjärn</t>
  </si>
  <si>
    <t>Tiomos click-on gångjärn</t>
  </si>
  <si>
    <t>T click-on 110° gångjärn</t>
  </si>
  <si>
    <t>90° öppningsvinkelbegränsning</t>
  </si>
  <si>
    <t>Monteringsplatta</t>
  </si>
  <si>
    <t>Monteringsplattans höjd</t>
  </si>
  <si>
    <t>Typ av monteringsplatta</t>
  </si>
  <si>
    <t>Tiomos monteringsplattor</t>
  </si>
  <si>
    <t>Kryss monteringsplatta</t>
  </si>
  <si>
    <t>1D kryss monteringsplatta</t>
  </si>
  <si>
    <t>Eco kryss monteringsplatta</t>
  </si>
  <si>
    <t>Rak monteringsplatta</t>
  </si>
  <si>
    <t>1D rak monteringsplatta</t>
  </si>
  <si>
    <t>Rak distansplatta</t>
  </si>
  <si>
    <t>Renoveringsplattaa</t>
  </si>
  <si>
    <t>1D renoveringsplatta</t>
  </si>
  <si>
    <t>Innerförliggande montering (ramkonstruktion)</t>
  </si>
  <si>
    <t>snabbval</t>
  </si>
  <si>
    <t>konfigurator</t>
  </si>
  <si>
    <t>lösningar</t>
  </si>
  <si>
    <t>möjligheter</t>
  </si>
  <si>
    <t>standard</t>
  </si>
  <si>
    <t>skydds rekommendation</t>
  </si>
  <si>
    <t>art nummer</t>
  </si>
  <si>
    <t>fixering</t>
  </si>
  <si>
    <t>vinkel från dörr till stomme</t>
  </si>
  <si>
    <t>materialval dörr</t>
  </si>
  <si>
    <t>dörrens täckning</t>
  </si>
  <si>
    <t>dörr fog</t>
  </si>
  <si>
    <t>dörr vikt</t>
  </si>
  <si>
    <t>beräkning av antal gångjärn</t>
  </si>
  <si>
    <t>dörrhöjd</t>
  </si>
  <si>
    <t>dörr bredd</t>
  </si>
  <si>
    <t>dörr tjocklek</t>
  </si>
  <si>
    <t>tjocklek ram</t>
  </si>
  <si>
    <t>höjd</t>
  </si>
  <si>
    <t>inborrning</t>
  </si>
  <si>
    <t>skruvmått</t>
  </si>
  <si>
    <t>limmått</t>
  </si>
  <si>
    <t>stomtjocklek</t>
  </si>
  <si>
    <t>krökning</t>
  </si>
  <si>
    <t>fog</t>
  </si>
  <si>
    <t>spalt</t>
  </si>
  <si>
    <t>kylskåp</t>
  </si>
  <si>
    <t>vikdörr</t>
  </si>
  <si>
    <t>mini</t>
  </si>
  <si>
    <t>borrbild</t>
  </si>
  <si>
    <t>minsta fog</t>
  </si>
  <si>
    <t>minsta spalt</t>
  </si>
  <si>
    <t>för skruvfixering</t>
  </si>
  <si>
    <t>plugg</t>
  </si>
  <si>
    <t>för 5 mm hålrad</t>
  </si>
  <si>
    <t>expanderande plugg</t>
  </si>
  <si>
    <t>Click-on för skruvfixering</t>
  </si>
  <si>
    <t>Click-on för inpressning</t>
  </si>
  <si>
    <t>mått i millimeter</t>
  </si>
  <si>
    <t>OBS! Justeringsmöjligheten är begränsad vid användning av mont platta -2,0 mm!</t>
  </si>
  <si>
    <t>Aluminium profil</t>
  </si>
  <si>
    <t>Glas/ Spegel</t>
  </si>
  <si>
    <t>Composite mineral</t>
  </si>
  <si>
    <t>Språk 12</t>
  </si>
  <si>
    <t>Språk 13</t>
  </si>
  <si>
    <t>Språk 14</t>
  </si>
  <si>
    <t>友情提示：最新版本</t>
  </si>
  <si>
    <t>在此可下载最新版本</t>
  </si>
  <si>
    <t>除非有错误或遗漏，否则我们不会预先通知，保留更改的权利</t>
  </si>
  <si>
    <t>± 5 °垫片和配件不包含在此</t>
  </si>
  <si>
    <t>最小门侧，门的导角（R=1)，工厂预先设置</t>
  </si>
  <si>
    <t>铰链的尺寸和门侧的计算，工厂预先设置</t>
  </si>
  <si>
    <t>我们建议试装，有任何问题或不清楚的地方，请咨询我们公司的相关人员</t>
  </si>
  <si>
    <t>选择表会给客户提供产品使用建议</t>
  </si>
  <si>
    <t>用红色标志的文本应该变化为了得到产品的建议</t>
  </si>
  <si>
    <t>文中所提到的重量是平均重量</t>
  </si>
  <si>
    <t>实际应用可能会发生变化，我们建议先试装</t>
  </si>
  <si>
    <t>解决方案的变化，可以更改选择表中的描述</t>
  </si>
  <si>
    <t>请选择安装底座的种类、固定方式或铰杯距离</t>
  </si>
  <si>
    <t>木工螺丝固定，钻孔尺寸48/9</t>
  </si>
  <si>
    <t>请用此试</t>
  </si>
  <si>
    <t>此种类型铰链只有不带阻尼的供选择</t>
  </si>
  <si>
    <t>友情提示：技术上实现，有些困难</t>
  </si>
  <si>
    <t>请改变选择</t>
  </si>
  <si>
    <t>请选择一种合适的铰杯距离</t>
  </si>
  <si>
    <t>请选择一种合适的门板厚度</t>
  </si>
  <si>
    <t>请选择一种合适的覆盖</t>
  </si>
  <si>
    <t>请选择一种合适的钻孔尺寸</t>
  </si>
  <si>
    <t>请选择铰链的固定方式</t>
  </si>
  <si>
    <t>请选择铰链的种类</t>
  </si>
  <si>
    <t>请选择从门板到柜体侧板的角度</t>
  </si>
  <si>
    <t>请选择一种材料</t>
  </si>
  <si>
    <t>请选择铰链的开启角度</t>
  </si>
  <si>
    <t>请选择数值</t>
  </si>
  <si>
    <t>请选择一种安装底座的类型</t>
  </si>
  <si>
    <t>请选择一种合适的固定方式</t>
  </si>
  <si>
    <t>请选择一种合适的弯曲度</t>
  </si>
  <si>
    <t>后部</t>
  </si>
  <si>
    <t>没有</t>
  </si>
  <si>
    <t>或者</t>
  </si>
  <si>
    <t>所有</t>
  </si>
  <si>
    <t>覆盖</t>
  </si>
  <si>
    <t>超级盖（K0）</t>
  </si>
  <si>
    <t>全盖（K3）</t>
  </si>
  <si>
    <t>半盖（9.5)</t>
  </si>
  <si>
    <t>内侧</t>
  </si>
  <si>
    <t>内侧（K19)</t>
  </si>
  <si>
    <t>螺丝式（木工螺丝）</t>
  </si>
  <si>
    <t>螺丝式（欧洲螺丝）</t>
  </si>
  <si>
    <t>压入式</t>
  </si>
  <si>
    <t>带预埋欧洲螺丝[13.5]</t>
  </si>
  <si>
    <t>带预埋欧洲螺丝[10.5]</t>
  </si>
  <si>
    <t>涨开式预埋件 11 mm</t>
  </si>
  <si>
    <t>双底座(膨胀预埋件 7,5 mm)</t>
  </si>
  <si>
    <t>预埋欧洲螺丝</t>
  </si>
  <si>
    <t>短的预埋欧洲螺丝</t>
  </si>
  <si>
    <t>带阻尼</t>
  </si>
  <si>
    <t>没有阻尼</t>
  </si>
  <si>
    <t>带角度限制器</t>
  </si>
  <si>
    <t>铰链的数量根据门板来的</t>
  </si>
  <si>
    <t>门板高度，门板重量，门板材质</t>
  </si>
  <si>
    <t>铰杯的固定和安装底座</t>
  </si>
  <si>
    <t>载重和高度的数据是以600mm</t>
  </si>
  <si>
    <t>标准门的宽度，</t>
  </si>
  <si>
    <t>建议先做测试,在不确定情况下</t>
  </si>
  <si>
    <t>友情提示</t>
  </si>
  <si>
    <t>附加重量</t>
  </si>
  <si>
    <t>例如：</t>
  </si>
  <si>
    <t>门板尺寸 2000 x 600 mm，重量</t>
  </si>
  <si>
    <t>13kg ,建议使用</t>
  </si>
  <si>
    <t>4个铰链</t>
  </si>
  <si>
    <t>稳定的重量不适用于镜面和M0铰链</t>
  </si>
  <si>
    <t>表格适用于带阻尼和不带阻尼</t>
  </si>
  <si>
    <t>没有集成阻尼</t>
  </si>
  <si>
    <t>铰链</t>
  </si>
  <si>
    <t>标准铰链</t>
  </si>
  <si>
    <t>铝框/玻璃&amp;镜面铰链</t>
  </si>
  <si>
    <t>特别铰链</t>
  </si>
  <si>
    <t>铰链数量</t>
  </si>
  <si>
    <t>铰链开启角度</t>
  </si>
  <si>
    <t>角度限制器</t>
  </si>
  <si>
    <t>固定方式</t>
  </si>
  <si>
    <t>铰链种类</t>
  </si>
  <si>
    <t>“天魔师”特殊快装式</t>
  </si>
  <si>
    <t>“天魔师”快装式</t>
  </si>
  <si>
    <t>“天魔师”110°快装式</t>
  </si>
  <si>
    <t>“天魔师”镜面铰链</t>
  </si>
  <si>
    <t>“天魔师”85°</t>
  </si>
  <si>
    <t>“天魔师”120°</t>
  </si>
  <si>
    <t>90°角度限制器</t>
  </si>
  <si>
    <t>“天魔师”无集成阻尼铰链快装式</t>
  </si>
  <si>
    <t>“天魔师”无集成阻尼铰链双快装式</t>
  </si>
  <si>
    <t>“天魔师”集成阻尼铰链快装式</t>
  </si>
  <si>
    <t>“天魔师”集成阻尼铰链双快装式</t>
  </si>
  <si>
    <t>“天魔师”无弹簧铰链快装式</t>
  </si>
  <si>
    <t>“天魔师”无弹簧铰链双快装式</t>
  </si>
  <si>
    <t>“天魔师”铰链双快装式</t>
  </si>
  <si>
    <t>“天魔师”M9无集成阻尼铰链110°</t>
  </si>
  <si>
    <t>“天魔师”M0无集成阻尼铰链125°</t>
  </si>
  <si>
    <t>“天魔师”镜面无集成阻尼铰链125°</t>
  </si>
  <si>
    <t>“天魔师”无集成阻尼铰链特殊快装式</t>
  </si>
  <si>
    <t>“天魔师”M0集成阻尼铰链125°</t>
  </si>
  <si>
    <t>“天魔师”M9集成阻尼铰链110°</t>
  </si>
  <si>
    <t>“天魔师”集成阻尼铰链特殊快装式</t>
  </si>
  <si>
    <t>“天魔师”M0无弹簧铰链125°</t>
  </si>
  <si>
    <t>“天魔师”M9无弹簧铰链110°</t>
  </si>
  <si>
    <t>“天魔师”镜面无弹簧铰链125°</t>
  </si>
  <si>
    <t>“天魔师”镜面集成阻尼铰链125°</t>
  </si>
  <si>
    <t>安装底座</t>
  </si>
  <si>
    <t>安装底座高度</t>
  </si>
  <si>
    <t>安装底座种类</t>
  </si>
  <si>
    <t>“天魔师”安装底座</t>
  </si>
  <si>
    <t>十字型安装底座</t>
  </si>
  <si>
    <t>1D十字型安装底座</t>
  </si>
  <si>
    <t>Eco十字型安装底座</t>
  </si>
  <si>
    <t>一字型安装底座</t>
  </si>
  <si>
    <t>1D一字型安装底座</t>
  </si>
  <si>
    <t>一字型安装底座距离</t>
  </si>
  <si>
    <t>三角型安装底座</t>
  </si>
  <si>
    <t>1D三角型安装底座</t>
  </si>
  <si>
    <t>内侧球状底座（适用于框门）</t>
  </si>
  <si>
    <t>快速选择</t>
  </si>
  <si>
    <t>配置</t>
  </si>
  <si>
    <t>解决方案</t>
  </si>
  <si>
    <t>可能性</t>
  </si>
  <si>
    <t>标准</t>
  </si>
  <si>
    <t>产品建议</t>
  </si>
  <si>
    <t>货号</t>
  </si>
  <si>
    <t>从门板到柜体侧板的角度</t>
  </si>
  <si>
    <t>门板材质选择</t>
  </si>
  <si>
    <t>门板覆盖</t>
  </si>
  <si>
    <t>门侧</t>
  </si>
  <si>
    <t>门板重量</t>
  </si>
  <si>
    <t>铰链数量计算</t>
  </si>
  <si>
    <t>门板宽度</t>
  </si>
  <si>
    <t>门板厚度</t>
  </si>
  <si>
    <t>门板高度</t>
  </si>
  <si>
    <t>框厚度</t>
  </si>
  <si>
    <t>高度</t>
  </si>
  <si>
    <t>铰杯距离</t>
  </si>
  <si>
    <t>固定尺寸</t>
  </si>
  <si>
    <t>粘贴尺寸</t>
  </si>
  <si>
    <t>侧板厚度</t>
  </si>
  <si>
    <t>弯曲度</t>
  </si>
  <si>
    <t>缝隙</t>
  </si>
  <si>
    <t>冰箱</t>
  </si>
  <si>
    <t>转角联动门</t>
  </si>
  <si>
    <t>迷你</t>
  </si>
  <si>
    <t>钻孔尺寸</t>
  </si>
  <si>
    <t>最小门侧</t>
  </si>
  <si>
    <t>最小缝隙</t>
  </si>
  <si>
    <t>适用于螺丝式</t>
  </si>
  <si>
    <t>适用于压入式</t>
  </si>
  <si>
    <t>预埋件</t>
  </si>
  <si>
    <t>适用于5mm的钻孔</t>
  </si>
  <si>
    <t>膨胀式预埋件</t>
  </si>
  <si>
    <t>快装适用于螺丝式固定</t>
  </si>
  <si>
    <t>快装适用于压入式固定</t>
  </si>
  <si>
    <t>特殊快装</t>
  </si>
  <si>
    <t>所有尺寸以mm</t>
  </si>
  <si>
    <t>友情提示：使用-2.0 mm，调节范围是有限的</t>
  </si>
  <si>
    <t>双快装</t>
  </si>
  <si>
    <t>反弹</t>
  </si>
  <si>
    <t>组合</t>
  </si>
  <si>
    <t>铝型材</t>
  </si>
  <si>
    <t>玻璃/镜子</t>
  </si>
  <si>
    <t>铝合金</t>
  </si>
  <si>
    <t>矿物复合材料</t>
  </si>
  <si>
    <t>矿物</t>
  </si>
  <si>
    <t>语言12</t>
  </si>
  <si>
    <t>语言13</t>
  </si>
  <si>
    <t>语言14</t>
  </si>
  <si>
    <t>coming soon</t>
  </si>
  <si>
    <t>polacco</t>
  </si>
  <si>
    <t>Aleman</t>
  </si>
  <si>
    <t>ingles</t>
  </si>
  <si>
    <t>N.B: Version no actualizada</t>
  </si>
  <si>
    <t>La última versión se puede descargar aquí.</t>
  </si>
  <si>
    <t>Sujeto a cambios sin previo aviso. Todos los errors y omisiones. El uso del configurador es por riesgo propio del usuario.</t>
  </si>
  <si>
    <t>Grass GmbH &amp; Co está libre de responsabilidad hacia qualquier reclamación. Las recomendaciones aportadas no son vinculantes.</t>
  </si>
  <si>
    <t>Cuñas de +-5º y los accesorios no están incluidos.</t>
  </si>
  <si>
    <t>Minima fuga para puertas con radio 1mm con factores de ajuste de fábrica.</t>
  </si>
  <si>
    <t>Dimensiones de la bisagra y calculo de la fuga con factors de ajuste de fábrica.</t>
  </si>
  <si>
    <t>Recomendamos un accesorio de prueba. Por favor, contacte con nuestros expertos.</t>
  </si>
  <si>
    <t>Indicar una selección que nos lleve al producto recomendado.</t>
  </si>
  <si>
    <t>Los testos en rojo muestran ajustes que pueden ser cambiados para obtener una recomendación de producto.</t>
  </si>
  <si>
    <t>El peso especifico asumido es una media de peso.</t>
  </si>
  <si>
    <t>Los valores actuales pueden variar. Recomendamos una prueba del producto.</t>
  </si>
  <si>
    <t>La solución es posible! Por favor, cambie la selección siguiente.</t>
  </si>
  <si>
    <t>Por favor, cambie el tipo de base de montaje, la instalación o la distancia a cazoleta.</t>
  </si>
  <si>
    <t>Solo es posible la instalación con tornillos para madera.</t>
  </si>
  <si>
    <t>Para Click - on Quick seleccione el paso 48/9.</t>
  </si>
  <si>
    <t>Por favor, intente con esto</t>
  </si>
  <si>
    <t>Esta bisagra solo se puede usar con Soft Close.</t>
  </si>
  <si>
    <t>N.B: Implementar difuclatad técnica.</t>
  </si>
  <si>
    <t>Por favor, cambie la selección.</t>
  </si>
  <si>
    <t>Por favor, introducir el próximo posible valor.</t>
  </si>
  <si>
    <t>Por favor, seleccione una distancia de cazoleta posible.</t>
  </si>
  <si>
    <t>Por favor, seleccione un espesor de puerta posible.</t>
  </si>
  <si>
    <t>Por favor, seleccione un solape posible.</t>
  </si>
  <si>
    <t>Por favor, seleccione un paso de bisagra.</t>
  </si>
  <si>
    <t>Por favor, seleccione como quiere instalar la bisagra.</t>
  </si>
  <si>
    <t>Por favor, seleccione el modelo de bisagra.</t>
  </si>
  <si>
    <t>Por favor, seleccione el angulo desde la puerta al lateral del mueble.</t>
  </si>
  <si>
    <t>Por favor, seleccione el material.</t>
  </si>
  <si>
    <t>Por favor, seleccione el angulo de apertura.</t>
  </si>
  <si>
    <t>Por favor, seleccione un valor numérico.</t>
  </si>
  <si>
    <t>Por favor, seleccione el tipo de base.</t>
  </si>
  <si>
    <t>Por favor, seleccione el tipo de instalación.</t>
  </si>
  <si>
    <t>Por favor, seleccione un cubrimiento posible.</t>
  </si>
  <si>
    <t>Volver</t>
  </si>
  <si>
    <t>Sin</t>
  </si>
  <si>
    <t>Todo</t>
  </si>
  <si>
    <t xml:space="preserve">Cubrimiento  </t>
  </si>
  <si>
    <t>Cubrimiento completo ( K0 )</t>
  </si>
  <si>
    <t>Cubrimiento ( K3 )</t>
  </si>
  <si>
    <t>Cubrimiento medio ( K9.5)</t>
  </si>
  <si>
    <t xml:space="preserve">Interior </t>
  </si>
  <si>
    <t>Interior (K19)</t>
  </si>
  <si>
    <t>Atornillable ( tornillos para madera )</t>
  </si>
  <si>
    <t>Atornillable ( tornillos Euro )</t>
  </si>
  <si>
    <t>Insertar a presión</t>
  </si>
  <si>
    <t>Con Tornillos Euro premontados (13.5)</t>
  </si>
  <si>
    <t>Con Tornillos Euro premontados (10.5)</t>
  </si>
  <si>
    <t>Teton expandible de 11mm</t>
  </si>
  <si>
    <t>base gemela ( tetón expandible de 7,5mm )</t>
  </si>
  <si>
    <t>Tornillo Euro premontado</t>
  </si>
  <si>
    <t>Tornillo Euro corto premontado</t>
  </si>
  <si>
    <t>Con Soft Close</t>
  </si>
  <si>
    <t>Sin Soft Close</t>
  </si>
  <si>
    <t>Con amortiguación integrada</t>
  </si>
  <si>
    <t>Con limitador de angulo de apertura</t>
  </si>
  <si>
    <t>El número de bisagras es deternimado por la puerta</t>
  </si>
  <si>
    <t>altura,peso de puerta,calidad del material y el</t>
  </si>
  <si>
    <t>fijación en la cazoleta y base de montaje</t>
  </si>
  <si>
    <t>El dato de carga y peso se refieren a 600 mm de ancho de puerta estándar. En caso de dudas, el número de bisagras debe ser determinado por una prueba.</t>
  </si>
  <si>
    <t>Anotación.</t>
  </si>
  <si>
    <t>Peso adicional</t>
  </si>
  <si>
    <t>Ejemplo:</t>
  </si>
  <si>
    <t>Para puertas con dimensiones 2.000x600mm y peso 13kg recomendamos instalar 4 bisagras.</t>
  </si>
  <si>
    <t>Peso no recomendado para bisagras Mirro y M0</t>
  </si>
  <si>
    <t>La tabla se refiere a bisagras con y</t>
  </si>
  <si>
    <t>Bisagra</t>
  </si>
  <si>
    <t>Bisagra estándar</t>
  </si>
  <si>
    <t>Bisagra para Aluminio / cristal y espejo</t>
  </si>
  <si>
    <t>Bisagra especial</t>
  </si>
  <si>
    <t>Número de bisagras</t>
  </si>
  <si>
    <t>Ángulo de apertura de la bisagra</t>
  </si>
  <si>
    <t>Limitador del ángulo de  apertura</t>
  </si>
  <si>
    <t>Metodo de fijación</t>
  </si>
  <si>
    <t>Tipo de bisagra</t>
  </si>
  <si>
    <t>Bisagra Timos Quick</t>
  </si>
  <si>
    <t>Bisgras Timos Click-on</t>
  </si>
  <si>
    <t xml:space="preserve">Bisagra T Click-on 110º </t>
  </si>
  <si>
    <t>Timos 85º</t>
  </si>
  <si>
    <t>Tiomos 120º</t>
  </si>
  <si>
    <t>Limitador del ángulo de apertura 90º</t>
  </si>
  <si>
    <t xml:space="preserve">Limitador del ángulo de apertura  </t>
  </si>
  <si>
    <t>Bisagra Timos T Click-on</t>
  </si>
  <si>
    <t>Bisagra Timos T Impresso</t>
  </si>
  <si>
    <t>Bisagra Timos TS Click-on</t>
  </si>
  <si>
    <t>Bisagra Tiomos TS Impresso</t>
  </si>
  <si>
    <t>Bisagra Timos TT Click-on</t>
  </si>
  <si>
    <t>Bisagra Tiomos TT Impresso</t>
  </si>
  <si>
    <t>Bisagra Tiomos Impresso</t>
  </si>
  <si>
    <t>Bisagra Tiomos T m9 110º</t>
  </si>
  <si>
    <t>Bisagra Tiomos T Click-on</t>
  </si>
  <si>
    <t>Bisagra Tiomos T Impresso</t>
  </si>
  <si>
    <t>Bisagra Tiomos T M0 125º</t>
  </si>
  <si>
    <t>Bisagra Timos T M9 110º</t>
  </si>
  <si>
    <t>Bisagra Tiomos T Mirro 125º</t>
  </si>
  <si>
    <t>Bisagra Tiomos T Quick</t>
  </si>
  <si>
    <t>Bisagra Tiomos TS M0 125º</t>
  </si>
  <si>
    <t>Bisagra Tiomos TS M9 110º</t>
  </si>
  <si>
    <t>Bisagra Tiomos TS Quick</t>
  </si>
  <si>
    <t>Bisagra Tiomos TT M0 125º</t>
  </si>
  <si>
    <t>Bisagra Timos TT M9 110º</t>
  </si>
  <si>
    <t>Bisagra Tiomos TT Mirro 125º</t>
  </si>
  <si>
    <t>Bisagra Tiomos TS Mirro 125º</t>
  </si>
  <si>
    <t>Base de montaje</t>
  </si>
  <si>
    <t>Altura base de montaje</t>
  </si>
  <si>
    <t>Tipo de base de montaje</t>
  </si>
  <si>
    <t>Bases de montaje Tiomos</t>
  </si>
  <si>
    <t>Base de montaje en cruz</t>
  </si>
  <si>
    <t>1D base de montaje en cruz</t>
  </si>
  <si>
    <t>Base de montaje en cruz Eco</t>
  </si>
  <si>
    <t>Base de montaje lineal</t>
  </si>
  <si>
    <t>1D base de montaje lineal</t>
  </si>
  <si>
    <t>Distancia de la base de montaje lineal</t>
  </si>
  <si>
    <t>Base de montaje Delta</t>
  </si>
  <si>
    <t>1D Base de montaje Delta</t>
  </si>
  <si>
    <t>Enmarcado</t>
  </si>
  <si>
    <t>Rápdia selección</t>
  </si>
  <si>
    <t>Configurador</t>
  </si>
  <si>
    <t>Soluciones</t>
  </si>
  <si>
    <t>Posibilidades</t>
  </si>
  <si>
    <t>Estándar</t>
  </si>
  <si>
    <t>Recomendación de producto</t>
  </si>
  <si>
    <t>Artículo Nº</t>
  </si>
  <si>
    <t xml:space="preserve">Fijación   </t>
  </si>
  <si>
    <t>Ángulo de la puerta al lateral del mueble</t>
  </si>
  <si>
    <t>Selección de material para al puerta</t>
  </si>
  <si>
    <t>Cubrimiento de puerta</t>
  </si>
  <si>
    <t>Peso de puerta</t>
  </si>
  <si>
    <t>Cálculo del número de bisagras</t>
  </si>
  <si>
    <t>Altura de puerta</t>
  </si>
  <si>
    <t>Ancho de puerta</t>
  </si>
  <si>
    <t>Espesor de puerta</t>
  </si>
  <si>
    <t>Espesor del marco</t>
  </si>
  <si>
    <t>Altura</t>
  </si>
  <si>
    <t>Distancia de cazoleta</t>
  </si>
  <si>
    <t>Dimensiones del tornillo</t>
  </si>
  <si>
    <t>Dimensiones del encolado</t>
  </si>
  <si>
    <t>Espesor lateral</t>
  </si>
  <si>
    <t>Cubrimiento</t>
  </si>
  <si>
    <t>Holgura</t>
  </si>
  <si>
    <t>Frigorífico</t>
  </si>
  <si>
    <t>Corte de esquina</t>
  </si>
  <si>
    <t xml:space="preserve">Mini </t>
  </si>
  <si>
    <t>Paso entre taladros</t>
  </si>
  <si>
    <t>Mínima fuga</t>
  </si>
  <si>
    <t>Mínima holgura</t>
  </si>
  <si>
    <t>Para fijación atornillable</t>
  </si>
  <si>
    <t>Para fijación a presión</t>
  </si>
  <si>
    <t>Tetón</t>
  </si>
  <si>
    <t>Para orificio de 5mm</t>
  </si>
  <si>
    <t>Tetón expandible</t>
  </si>
  <si>
    <t>Click-on para atornillar</t>
  </si>
  <si>
    <t>Click-on para presión</t>
  </si>
  <si>
    <t>Dimensiones en milimetros</t>
  </si>
  <si>
    <t>N.B.: El rango de ajuste esta limitado en el caso de un base de montaje con altura -2.0mm!</t>
  </si>
  <si>
    <t>Marco de aluminio</t>
  </si>
  <si>
    <t>Cristal / Espejo</t>
  </si>
  <si>
    <t>Aluminio</t>
  </si>
  <si>
    <t>Compuesto mineral</t>
  </si>
  <si>
    <t>Idioma 12</t>
  </si>
  <si>
    <t>Idioma 13</t>
  </si>
  <si>
    <t>Idioma 14</t>
  </si>
  <si>
    <t>Mateial</t>
  </si>
  <si>
    <t>波兰语</t>
  </si>
  <si>
    <t>Polaco</t>
  </si>
  <si>
    <t>Polonês</t>
  </si>
  <si>
    <t>Polska</t>
  </si>
  <si>
    <t>Polonais</t>
  </si>
  <si>
    <t>Plaque de distance</t>
  </si>
  <si>
    <t>Embase coudée (construction à cadre)</t>
  </si>
  <si>
    <t>Meuble d‘angle</t>
  </si>
  <si>
    <t>Версия не обновлена</t>
  </si>
  <si>
    <t>Последняя Версия доступна для скачивания здесь</t>
  </si>
  <si>
    <t>Подлежит изменению без предварительного уведомления. Все ошибки и пропуски исключены. Использование конфигуратора на собственный риск пользователя.</t>
  </si>
  <si>
    <t>Все претензии к компании Grass GmbH &amp; Co. исключены. Указанные рекомендации не являются обязательными.</t>
  </si>
  <si>
    <t>± 5° клинья и аксессуары не включены.</t>
  </si>
  <si>
    <t>Минимальная фуга для дверей со скошенными краями (R=1 мм) при заводских настройках.</t>
  </si>
  <si>
    <t>Рассчеты для установки петель при заводсиких настройках.</t>
  </si>
  <si>
    <t>Мы рекомендуем пробную установку. Свяжитесь с нашими специалистами в случае возникновения вопросов.</t>
  </si>
  <si>
    <t>Отметте выбранное, это приведет к рекомендованному продукту</t>
  </si>
  <si>
    <t>Выделенное красным цветом показывает, что необходимо изменить для получения результата</t>
  </si>
  <si>
    <t>Принятый удельный вес соответствует среднему значению.</t>
  </si>
  <si>
    <t>Фактические значения могут варьироваться. Мы рекомендуем пробную установку.</t>
  </si>
  <si>
    <t>Решения возможны. Пожалуйста, измените выше выбор</t>
  </si>
  <si>
    <t>Пожалуйста измените тип ответной планки, крепление, расстояние до чашки петли</t>
  </si>
  <si>
    <t>Возможна установка только на саморезы для дерева</t>
  </si>
  <si>
    <t>Для птель Clip-on Quick выберете присадку 48/9</t>
  </si>
  <si>
    <t>Пожалуйста попробуйте это</t>
  </si>
  <si>
    <t xml:space="preserve">Использование этой петли возможно только без системы </t>
  </si>
  <si>
    <t>Внимание. Это трудно реализовать технически</t>
  </si>
  <si>
    <t>Пожалуйста измените выбор</t>
  </si>
  <si>
    <t>Пожалуйста, введите следующие возможные значения:</t>
  </si>
  <si>
    <t>Пожалуйста, выберите необходимое расстояние до чашки петли</t>
  </si>
  <si>
    <t>Пожалуйста, выберите необходимую толщину двери</t>
  </si>
  <si>
    <t>Пожалуйста, выберите необходимое наложение двери</t>
  </si>
  <si>
    <t>Пожалуйста, выберите присадку</t>
  </si>
  <si>
    <t>Пожалуйста, выберите крепление</t>
  </si>
  <si>
    <t>Пожалуйста, выберите тип петли</t>
  </si>
  <si>
    <t>Пожалуйста, выберите угол между дверью и боковой стенкой</t>
  </si>
  <si>
    <t>Пожалуйста, выберите материал</t>
  </si>
  <si>
    <t>Пожалуйста, выберите угол открывания</t>
  </si>
  <si>
    <t>Пожалуйста, выбрать числовое значение</t>
  </si>
  <si>
    <t>Пожалуйста, выбрать ответную планку</t>
  </si>
  <si>
    <t>Пожалуйста, выберите подходящие крепления</t>
  </si>
  <si>
    <t xml:space="preserve">Пожалуйста, выберите изгиб </t>
  </si>
  <si>
    <t xml:space="preserve">назад </t>
  </si>
  <si>
    <t>без</t>
  </si>
  <si>
    <t>или</t>
  </si>
  <si>
    <t>нет</t>
  </si>
  <si>
    <t>все</t>
  </si>
  <si>
    <t>наложение</t>
  </si>
  <si>
    <t>полнонакладная (К0)</t>
  </si>
  <si>
    <t>накладная (К3)</t>
  </si>
  <si>
    <t>полунакладная (К9,5)</t>
  </si>
  <si>
    <t>вкладная</t>
  </si>
  <si>
    <t>вкладная (К19)</t>
  </si>
  <si>
    <t>крепление на саморезы</t>
  </si>
  <si>
    <t>крепление на евровинты</t>
  </si>
  <si>
    <t>крепление под запрессовку</t>
  </si>
  <si>
    <t>крепление на предустановленные евровинты (13,5)</t>
  </si>
  <si>
    <t>крепление на предустановленные евровинты (10,5)</t>
  </si>
  <si>
    <t>Распорный дюбель 11 мм</t>
  </si>
  <si>
    <t>Крестовая ответная планка (распорный дюбель 7,5)</t>
  </si>
  <si>
    <t>евровинты</t>
  </si>
  <si>
    <t>короткие евровинты</t>
  </si>
  <si>
    <t>с системой Soft-close</t>
  </si>
  <si>
    <t>без системы Soft-close</t>
  </si>
  <si>
    <t>без встроенного демпфера</t>
  </si>
  <si>
    <t>с ограничителем угла открывания</t>
  </si>
  <si>
    <t>Количество петель зависит от двери</t>
  </si>
  <si>
    <t>Размер, вес двери, качество материала</t>
  </si>
  <si>
    <t>крепление чашки и отвтной планки</t>
  </si>
  <si>
    <t xml:space="preserve">Нагрузка и высота двери рассчитываются исходя из стандарт - 600мм). В случае сомнений, количество петель определяется методом пробной установки. </t>
  </si>
  <si>
    <t>Примечания</t>
  </si>
  <si>
    <t>дополнительный вес</t>
  </si>
  <si>
    <t>пример</t>
  </si>
  <si>
    <t>Для двери Размером: 2000 x 600 мм и весом 13 kg мы рекомендуем ипользовать 4 петли</t>
  </si>
  <si>
    <t>Это не касается петель Mirro and M0!</t>
  </si>
  <si>
    <t>Таблица относится к петлям с и</t>
  </si>
  <si>
    <t>Петля</t>
  </si>
  <si>
    <t>Стандартная петля</t>
  </si>
  <si>
    <t>Угловая Петля</t>
  </si>
  <si>
    <t>Петля для стекла/зеркала, алюминевой рамки</t>
  </si>
  <si>
    <t>специальная петля</t>
  </si>
  <si>
    <t>количество петель</t>
  </si>
  <si>
    <t>Угол открывания</t>
  </si>
  <si>
    <t>Ограничитель угла открывания</t>
  </si>
  <si>
    <t>метод крепления</t>
  </si>
  <si>
    <t>тип петли</t>
  </si>
  <si>
    <t>Tiomos Click-on</t>
  </si>
  <si>
    <t>90° ограничитель угла открывания</t>
  </si>
  <si>
    <t>ограничитель угла открывания</t>
  </si>
  <si>
    <t xml:space="preserve">Tiomos TS Click-on </t>
  </si>
  <si>
    <t xml:space="preserve">TiomosT M9 110° </t>
  </si>
  <si>
    <t>Ответная планка</t>
  </si>
  <si>
    <t>Высота ответной планки</t>
  </si>
  <si>
    <t>Тип ответной планки</t>
  </si>
  <si>
    <t>Tiomos ответная планка</t>
  </si>
  <si>
    <t>крестовая ответная планка</t>
  </si>
  <si>
    <t>1D крестовая ответная планка</t>
  </si>
  <si>
    <t>Eco крестовая ответная планка</t>
  </si>
  <si>
    <t>Линейная ответная планка</t>
  </si>
  <si>
    <t>1D Линейная ответная планка</t>
  </si>
  <si>
    <t>Линейная ответная планка на платформе</t>
  </si>
  <si>
    <t>Delta ответная планка</t>
  </si>
  <si>
    <t>1D Delta ответная планка</t>
  </si>
  <si>
    <t>Рамочная конструкция</t>
  </si>
  <si>
    <t>Быстрый подбор</t>
  </si>
  <si>
    <t>конфигуратор</t>
  </si>
  <si>
    <t>Решения</t>
  </si>
  <si>
    <t>Варианты</t>
  </si>
  <si>
    <t xml:space="preserve">Стандарт </t>
  </si>
  <si>
    <t>Рекомендованный продукт</t>
  </si>
  <si>
    <t>Номер для заказа</t>
  </si>
  <si>
    <t>Крепление</t>
  </si>
  <si>
    <t>Угол двери к боковой стенке</t>
  </si>
  <si>
    <t>Материал двери</t>
  </si>
  <si>
    <t>наложение двери</t>
  </si>
  <si>
    <t>Дверная фуга</t>
  </si>
  <si>
    <t>Вес двери</t>
  </si>
  <si>
    <t>Высота двери</t>
  </si>
  <si>
    <t>Ширина двери</t>
  </si>
  <si>
    <t>Толщина двери</t>
  </si>
  <si>
    <t>Тлщина боковины</t>
  </si>
  <si>
    <t>Высота</t>
  </si>
  <si>
    <t>Расстояние до чашки петли</t>
  </si>
  <si>
    <t>Размеры для сверления</t>
  </si>
  <si>
    <t>Размеры для наклеивания</t>
  </si>
  <si>
    <t>Толщина боковой стеннки</t>
  </si>
  <si>
    <t>Изгиб</t>
  </si>
  <si>
    <t>Фуга</t>
  </si>
  <si>
    <t>Зазор</t>
  </si>
  <si>
    <t>Холодильник</t>
  </si>
  <si>
    <t>Фальшпанель</t>
  </si>
  <si>
    <t>Мини</t>
  </si>
  <si>
    <t>Присадка</t>
  </si>
  <si>
    <t>минимальная фуга</t>
  </si>
  <si>
    <t>минимальный зазор</t>
  </si>
  <si>
    <t>крепление под саморезы</t>
  </si>
  <si>
    <t>дюбель</t>
  </si>
  <si>
    <t>отверстие 5 мм</t>
  </si>
  <si>
    <t>предустановленный дюбель</t>
  </si>
  <si>
    <t>Click-on под саморезы</t>
  </si>
  <si>
    <t>Click-on под запрессовку</t>
  </si>
  <si>
    <t>размеры в миллиметрах</t>
  </si>
  <si>
    <t>Внимание: диапазон регулировки по высоте  на ответной планке ограничен  -2,0 мм</t>
  </si>
  <si>
    <t xml:space="preserve">алюминиевый профиль </t>
  </si>
  <si>
    <t>стекло/зеркало</t>
  </si>
  <si>
    <t>алюминий</t>
  </si>
  <si>
    <t>Камень</t>
  </si>
  <si>
    <t>Материал</t>
  </si>
  <si>
    <t>Габон</t>
  </si>
  <si>
    <t>Грецкий орех</t>
  </si>
  <si>
    <t>Дугласия Пихта</t>
  </si>
  <si>
    <t>немецкий</t>
  </si>
  <si>
    <t>английский</t>
  </si>
  <si>
    <t>швецкий</t>
  </si>
  <si>
    <t>итальянский</t>
  </si>
  <si>
    <t>французский</t>
  </si>
  <si>
    <t>испаский</t>
  </si>
  <si>
    <t>португальский</t>
  </si>
  <si>
    <t>турецкий</t>
  </si>
  <si>
    <t>китайский</t>
  </si>
  <si>
    <t>русский</t>
  </si>
  <si>
    <t>Польский</t>
  </si>
  <si>
    <t>Attenzione: la versione non è attuale</t>
  </si>
  <si>
    <t>Qui è disponibile la versione attuale da scaricare</t>
  </si>
  <si>
    <t>Con riserva di modifiche ed errori. L'utilizzo del configuratore è a proprio rischio e pericolo.</t>
  </si>
  <si>
    <t>Si escludono diritti a garanzia nei confronti di Grass GmbH &amp; Co. KG. Si tratta di consigli non vincolanti.</t>
  </si>
  <si>
    <t>Cunei e accessori ± 5° non sono stati considerati.</t>
  </si>
  <si>
    <t>Fuga minima per ante con bordi smussati (B= 1 mm) con la regolazione di fabbrica.</t>
  </si>
  <si>
    <t>Misure cerniera e calcolo fughe nella regolazione di fabbrica.</t>
  </si>
  <si>
    <t>Consigliamo una battuta di prova. In caso di domande o punti non chiari si prega di contattare il nostro personale specializzato.</t>
  </si>
  <si>
    <t>appare come identificazione per una selezione che porta ad un consiglio del prodotto.</t>
  </si>
  <si>
    <t>I testi in rosso indicano le impostazioni da modificare per ricevere un consiglio di prodotto.</t>
  </si>
  <si>
    <t>Il peso specifico accettato corrisponde ad un valore medio.</t>
  </si>
  <si>
    <t>I valori effettivi possono variare. Consigliamo una battuta di prova.</t>
  </si>
  <si>
    <t>Sono possibili soluzioni! Modificare la selezione sopra.</t>
  </si>
  <si>
    <t>Modificare il tipo di piastrina di montaggio, il fissaggio o la distanza tazza</t>
  </si>
  <si>
    <t>Avvitamento possibile solo con viti per legno.</t>
  </si>
  <si>
    <t>Per Click-on Quick selezionare lo schema di foratura 48/9</t>
  </si>
  <si>
    <t>Provare con questo</t>
  </si>
  <si>
    <t>Questa cerniera è selezionabile solo senza Soft-close</t>
  </si>
  <si>
    <t>Attenzione! Difficile da realizzare tecnicamente.</t>
  </si>
  <si>
    <t>Modificare la selezione!</t>
  </si>
  <si>
    <t>Si prega di impostare il valore successivo</t>
  </si>
  <si>
    <t>Selezionare una distanza tazza adatta</t>
  </si>
  <si>
    <t>Selezionare uno spessore anta</t>
  </si>
  <si>
    <t>Selezionare un sormonto anta adatto</t>
  </si>
  <si>
    <t>Selezionare uno schema fori</t>
  </si>
  <si>
    <t>Selezionare il fissaggio cerniere</t>
  </si>
  <si>
    <t>Selezionare il tipo di cerniera</t>
  </si>
  <si>
    <t>Selezionare l'angolo dall'anta al lato</t>
  </si>
  <si>
    <t>Selezionare un materiale</t>
  </si>
  <si>
    <t>Selezionare l'angolo di apertura</t>
  </si>
  <si>
    <t>Selezionare il valore dei numeri</t>
  </si>
  <si>
    <t>Selezionare il tipo di piastrina di montaggio</t>
  </si>
  <si>
    <t>Regolare il fissaggio adatto</t>
  </si>
  <si>
    <t>Selezionare la piegatura a gomito adatta</t>
  </si>
  <si>
    <t>indietro</t>
  </si>
  <si>
    <t>senza</t>
  </si>
  <si>
    <t>nessuno/a</t>
  </si>
  <si>
    <t>tutti/e</t>
  </si>
  <si>
    <t>in luce</t>
  </si>
  <si>
    <t>a filo</t>
  </si>
  <si>
    <t>Da avvitare con viti per legno</t>
  </si>
  <si>
    <t xml:space="preserve">Da avvitare con euroviti </t>
  </si>
  <si>
    <t>Da inserire a pressione</t>
  </si>
  <si>
    <t>Euroviti premontate (13,5)</t>
  </si>
  <si>
    <t>Euroviti premontate (10,5)</t>
  </si>
  <si>
    <t>Tassello ad espansione 11 mm</t>
  </si>
  <si>
    <t>Piastrine di montaggio doppie (tassello ad espansione 7,5 mm)</t>
  </si>
  <si>
    <t>euro prem.</t>
  </si>
  <si>
    <t>euro prem. corta</t>
  </si>
  <si>
    <t>con Soft-close</t>
  </si>
  <si>
    <t>senza frenata integrata</t>
  </si>
  <si>
    <t>senza ammortizzatore integrato.</t>
  </si>
  <si>
    <t>con limitatore di angolo d'apertura</t>
  </si>
  <si>
    <t>Fattori decisivi per il numero di cerniere</t>
  </si>
  <si>
    <t>sono l'altezza anta, il peso anta, la qualità del materiale</t>
  </si>
  <si>
    <t>il fissaggio della tazza e della piastrina di montaggio</t>
  </si>
  <si>
    <t>I dati dell'altezza e del carico si riferiscono</t>
  </si>
  <si>
    <t>a larghezze di anta standard di 600 mm. In caso di dubbi</t>
  </si>
  <si>
    <t>occorre determinare il numero di cerniere attraverso</t>
  </si>
  <si>
    <t>una battuta di prova.</t>
  </si>
  <si>
    <t>Note</t>
  </si>
  <si>
    <t>Peso supplementare</t>
  </si>
  <si>
    <t>Esempio:</t>
  </si>
  <si>
    <t>Con un'anta con misure di 2000 x 600 mm e</t>
  </si>
  <si>
    <t>un peso di 13 kg si raccomanda</t>
  </si>
  <si>
    <t>l'uso di 4 cerniere.</t>
  </si>
  <si>
    <t>I dati del peso non valgono per le cerniere Mirro e M0!</t>
  </si>
  <si>
    <t>Il diagramma si riferisce alle cerniere con e</t>
  </si>
  <si>
    <t>cerniera</t>
  </si>
  <si>
    <t>Cerniera standard</t>
  </si>
  <si>
    <t>Cerniera angolare</t>
  </si>
  <si>
    <t>Cerniera per ante di alluminio, di vetro e a specchio</t>
  </si>
  <si>
    <t>Cerniera speciale</t>
  </si>
  <si>
    <t>Numero di cerniere</t>
  </si>
  <si>
    <t>Angolo di apertura cerniera</t>
  </si>
  <si>
    <t>Limitatore angolo di apertura</t>
  </si>
  <si>
    <t>Fissaggio cerniere</t>
  </si>
  <si>
    <t>Tipo di cerniere</t>
  </si>
  <si>
    <t>Cerniera Tiomos Quick</t>
  </si>
  <si>
    <t>Cerniera Tiomos Click-on</t>
  </si>
  <si>
    <t>Cerniere T Click-on 110°</t>
  </si>
  <si>
    <t>Tiomos 85°</t>
  </si>
  <si>
    <t>Limitatore angolo 90°</t>
  </si>
  <si>
    <t>Cerniera Tiomos T Click-on</t>
  </si>
  <si>
    <t>Cerniera Tiomos T Impresso</t>
  </si>
  <si>
    <t>Cerniera Tiomos TS Click-on</t>
  </si>
  <si>
    <t>Cerniera Tiomos TS Impresso</t>
  </si>
  <si>
    <t>Cerniera Tiomos TT Click-on</t>
  </si>
  <si>
    <t>Cerniera Tiomos TT Impresso</t>
  </si>
  <si>
    <t>Cerniere Tiomos Impresso</t>
  </si>
  <si>
    <t>Cerniera Tiomos T M9 110°</t>
  </si>
  <si>
    <t>Cerniera Tiomos T M0 125°</t>
  </si>
  <si>
    <t>Cerniera Tiomos T Mirro 125°</t>
  </si>
  <si>
    <t>Cerniera Tiomos T Quick</t>
  </si>
  <si>
    <t>Cerniera Tiomos TS M0 125°</t>
  </si>
  <si>
    <t>Cerniera Tiomos TS M9 110°</t>
  </si>
  <si>
    <t>Cerniera Tiomos TS Quick</t>
  </si>
  <si>
    <t>Cerniera Tiomos TT M0 125°</t>
  </si>
  <si>
    <t>Cerniera Tiomos TT M9 110°</t>
  </si>
  <si>
    <t>Cerniera Tiomos TT Mirro 125°</t>
  </si>
  <si>
    <t>Cerniera Tiomos TS Mirro 125°</t>
  </si>
  <si>
    <t>Piastrina di montaggio</t>
  </si>
  <si>
    <t>Altezza piastrina di montaggio</t>
  </si>
  <si>
    <t>Tipo di piastrina di montaggio</t>
  </si>
  <si>
    <t>Piastrine di montaggio Tiomos</t>
  </si>
  <si>
    <t>Piastrina di montaggio a croce</t>
  </si>
  <si>
    <t>Piastrina di montaggio a croce 1D</t>
  </si>
  <si>
    <t>Piastrina di montaggio a croce economica</t>
  </si>
  <si>
    <t>Piastrina di montaggio lineare</t>
  </si>
  <si>
    <t>Piastrina di montaggio lineare 1D</t>
  </si>
  <si>
    <t>Piastrina distanziale lineare</t>
  </si>
  <si>
    <t>Piastrina di montaggio a delta</t>
  </si>
  <si>
    <t>Piastrina di montaggio a delta 1D</t>
  </si>
  <si>
    <t>Inset Beaded (struttura a telaio)</t>
  </si>
  <si>
    <t>Selezione rapida</t>
  </si>
  <si>
    <t>Configuratore</t>
  </si>
  <si>
    <t>Soluzioni</t>
  </si>
  <si>
    <t>Possibilità</t>
  </si>
  <si>
    <t>Consiglio di prodotto</t>
  </si>
  <si>
    <t>Numero d'ordine</t>
  </si>
  <si>
    <t xml:space="preserve">Fissaggio </t>
  </si>
  <si>
    <t>Angolo dall'anta al lato</t>
  </si>
  <si>
    <t>Selezione del materiale dell'anta</t>
  </si>
  <si>
    <t>Sormonto anta</t>
  </si>
  <si>
    <t>Fuga anta</t>
  </si>
  <si>
    <t>Peso anta</t>
  </si>
  <si>
    <t>Calcolo del numero di cerniere</t>
  </si>
  <si>
    <t>Altezza anta</t>
  </si>
  <si>
    <t>Larghezza anta</t>
  </si>
  <si>
    <t>Spessore anta</t>
  </si>
  <si>
    <t>Spessore telaio</t>
  </si>
  <si>
    <t>Altezza</t>
  </si>
  <si>
    <t>Distanza di foratura (X)</t>
  </si>
  <si>
    <t>Misura di avvitamento (X)</t>
  </si>
  <si>
    <t>Misura di incollaggio (Z)</t>
  </si>
  <si>
    <t>Spessore mobile</t>
  </si>
  <si>
    <t>Piegatura a gomito</t>
  </si>
  <si>
    <t>Gioco</t>
  </si>
  <si>
    <t>Frig.</t>
  </si>
  <si>
    <t>Frigorifero</t>
  </si>
  <si>
    <t>Armadio con ante pieghevoli</t>
  </si>
  <si>
    <t>Maschera di foratura</t>
  </si>
  <si>
    <t>Distanza tazza</t>
  </si>
  <si>
    <t>Fuga minima</t>
  </si>
  <si>
    <t>Gioco minimo</t>
  </si>
  <si>
    <t>Da avvitare</t>
  </si>
  <si>
    <t>Tassello</t>
  </si>
  <si>
    <t>Per serie di fori da 5 mm</t>
  </si>
  <si>
    <t>Tassello a espansione</t>
  </si>
  <si>
    <t>Avvitamento Click-on</t>
  </si>
  <si>
    <t>Inserimento a pressione Click-on</t>
  </si>
  <si>
    <t>Misure in mm</t>
  </si>
  <si>
    <t>Attenzione: la regolazione è limitata con un'altezza della piastrina di montaggio di -2,0.</t>
  </si>
  <si>
    <t>Profilo di alluminio</t>
  </si>
  <si>
    <t>Vetro/specchio</t>
  </si>
  <si>
    <t>Alluminio</t>
  </si>
  <si>
    <t>Materiale minerale</t>
  </si>
  <si>
    <t>Materiale</t>
  </si>
  <si>
    <t>Französich</t>
  </si>
  <si>
    <t>Completamente in battuta (K00)</t>
  </si>
  <si>
    <t>In battuta (K03)</t>
  </si>
  <si>
    <t>Battuta centrale (K9,5)</t>
  </si>
  <si>
    <t>In luce (K19)</t>
  </si>
  <si>
    <t>Eiche</t>
  </si>
  <si>
    <t>oak</t>
  </si>
  <si>
    <t>ek</t>
  </si>
  <si>
    <t>roble</t>
  </si>
  <si>
    <t>carvalho</t>
  </si>
  <si>
    <t>chene</t>
  </si>
  <si>
    <t>dąb</t>
  </si>
  <si>
    <t>mese</t>
  </si>
  <si>
    <t>橡木</t>
  </si>
  <si>
    <t>Rovere</t>
  </si>
  <si>
    <t>Эйхе</t>
  </si>
  <si>
    <t>N.B: Versão não atualizada.</t>
  </si>
  <si>
    <t>A última versão pode se descarregar aquí.</t>
  </si>
  <si>
    <t>Sujeito a alterações sem aviso prévio. Todos os erros e omissões. O uso do configurador é de próprio risco do usuário.</t>
  </si>
  <si>
    <t>Grass GmbH &amp; Co está livre de responsabilidade de qualquer reclamação. As recomendações feitas não são vinculativas.</t>
  </si>
  <si>
    <t>Cunhas de +-5º e os acessórios não estão incluidos.</t>
  </si>
  <si>
    <t xml:space="preserve">Folga mínima para as portas com um radio de 1mm </t>
  </si>
  <si>
    <t>Dimensões da dobradiça e cálculo da folga.</t>
  </si>
  <si>
    <t xml:space="preserve">Recomendamos um acessório de prova. Por favor, entre em contacto com os nossos especialistas. </t>
  </si>
  <si>
    <t>Indicar uma selecção que nos leve ao produto recomendado.</t>
  </si>
  <si>
    <t>Os textos em vermello mostram ajustes que podem ser alterados para obter uma recomendação do produto.</t>
  </si>
  <si>
    <t>O peso especifico assumido é uma media de peso.</t>
  </si>
  <si>
    <t>Os valores actuais podem variar. Recomendamos uma prova do produto.</t>
  </si>
  <si>
    <t>A solução é possível. Por favor, escolha a selecção seguinte.</t>
  </si>
  <si>
    <t>Por favor, escolha o tipo de calço de montagem, a instalação ou a distância do copo.</t>
  </si>
  <si>
    <t>Só é possível a instalação com parafusos para madeira.</t>
  </si>
  <si>
    <t>Para Click - on Quick escolha a distância 48/9.</t>
  </si>
  <si>
    <t>Por favor, tente com isto.</t>
  </si>
  <si>
    <t>Esta dobradiça só pode ser utilizada com Soft Close.</t>
  </si>
  <si>
    <t>N.B: Implementar dificuldade técnica.</t>
  </si>
  <si>
    <t>Por favor, escolha a selecção</t>
  </si>
  <si>
    <t>Por favor, introduzir o próximo valor possível.</t>
  </si>
  <si>
    <t>Por favor, escolha uma distância de copo possível.</t>
  </si>
  <si>
    <t>Por favor, escolha uma espessura de porta possível.</t>
  </si>
  <si>
    <t>Por favor, escolha uma Ilharga possível.</t>
  </si>
  <si>
    <t>Por favor, escolha uma distância de dobradiça.</t>
  </si>
  <si>
    <t>Por favor, escolhe como deseja instalar a dobradiça.</t>
  </si>
  <si>
    <t>Por favor, escolha o modelo da dobradiça.</t>
  </si>
  <si>
    <t>Por favor, escolha o ângulo desde à porta até a Ilharga do móvel.</t>
  </si>
  <si>
    <t>Por favor, escolha o material.</t>
  </si>
  <si>
    <t>Por favor, escolha o ângulo de abertura.</t>
  </si>
  <si>
    <t>Por favor, escolha um valor numérico.</t>
  </si>
  <si>
    <t>Por favor, escolha um calço.</t>
  </si>
  <si>
    <t>Por favor, escolha um tipo de instalação.</t>
  </si>
  <si>
    <t>Por favor, escolha um cobremento possível.</t>
  </si>
  <si>
    <t>Voltar</t>
  </si>
  <si>
    <t>Sem</t>
  </si>
  <si>
    <t>Não</t>
  </si>
  <si>
    <t>Tudo</t>
  </si>
  <si>
    <t>Carregamento</t>
  </si>
  <si>
    <t>Carregamento completo (K0)</t>
  </si>
  <si>
    <t>Carregamento (K3)</t>
  </si>
  <si>
    <t>Carregamento médio (K 9.5)</t>
  </si>
  <si>
    <t>Interior</t>
  </si>
  <si>
    <t>Aparafusar (parafusos para madeira)</t>
  </si>
  <si>
    <t>Aparafusar (parafusos euro)</t>
  </si>
  <si>
    <t>Insertar a pressão</t>
  </si>
  <si>
    <t>Com parafusos Euro pré -montados (13.5)</t>
  </si>
  <si>
    <t>Com parafusos Euro pré - montados (10.5)</t>
  </si>
  <si>
    <t>Busha expandível de 11mm</t>
  </si>
  <si>
    <t>Calço gémea</t>
  </si>
  <si>
    <t>Parafuso Euro pré - montado</t>
  </si>
  <si>
    <t>Parafuso Euro curto pré - montado</t>
  </si>
  <si>
    <t>Com amortecedor Soft Close</t>
  </si>
  <si>
    <t>Sem amortecedor Soft Close</t>
  </si>
  <si>
    <t>Com amortecedor integrado</t>
  </si>
  <si>
    <t>Com limitador de ângulo de abertura</t>
  </si>
  <si>
    <t>O número de dobradiças é determinado pela porta</t>
  </si>
  <si>
    <t xml:space="preserve">altura, peso da porta, qualidade do material e </t>
  </si>
  <si>
    <t>a fixação do copo e calço de montagem</t>
  </si>
  <si>
    <t>Anotação</t>
  </si>
  <si>
    <t>Exemplo:</t>
  </si>
  <si>
    <t>Peso não recomendado para dobradiças Mirro e M0</t>
  </si>
  <si>
    <t>A tabela refere se as dobradiças com e</t>
  </si>
  <si>
    <t>Dobradiça</t>
  </si>
  <si>
    <t>Dobradiça standard</t>
  </si>
  <si>
    <t>Dobradiça para Alumínio/vidro e espelho</t>
  </si>
  <si>
    <t>Dobradiça especial</t>
  </si>
  <si>
    <t>Número de dobradiças</t>
  </si>
  <si>
    <t>Ângulo de abertura da dobradiça</t>
  </si>
  <si>
    <t>Limitador de ângulo de abertura</t>
  </si>
  <si>
    <t>Método de fixação</t>
  </si>
  <si>
    <t>Tipo de dobradiça</t>
  </si>
  <si>
    <t>Dobradiça Tiomos Quick</t>
  </si>
  <si>
    <t>Dobradiças Tiomos Click-On</t>
  </si>
  <si>
    <t>Dobradiça T Click - On 110º</t>
  </si>
  <si>
    <t>Tiomos 85º</t>
  </si>
  <si>
    <t>Limitador de ângulo de abertura 90º</t>
  </si>
  <si>
    <t xml:space="preserve">Dobradiça T Click - On </t>
  </si>
  <si>
    <t>Dobradiça Tiomos T Impresso</t>
  </si>
  <si>
    <t>Dobradiça Tiomos TS Click-On</t>
  </si>
  <si>
    <t>Dobradiça Tiomos TS Impresso</t>
  </si>
  <si>
    <t>Dobradiça Timos TT Click-on</t>
  </si>
  <si>
    <t>Dobradiça Tiomos TT Impresso</t>
  </si>
  <si>
    <t>Dobradiça Tiomos Impresso</t>
  </si>
  <si>
    <t>Dobradiça Tiomos T m9 110º</t>
  </si>
  <si>
    <t>Dobradiça Tiomos T Click-on</t>
  </si>
  <si>
    <t>Dobradiça Tiomos T M0 125º</t>
  </si>
  <si>
    <t>Dobradiça Timos T M9 110º</t>
  </si>
  <si>
    <t>Dobradiça Tiomos T Mirro 125º</t>
  </si>
  <si>
    <t>Dobradiça Tiomos T Quick</t>
  </si>
  <si>
    <t>Dobradiça Tiomos TS M0 125º</t>
  </si>
  <si>
    <t>Dobradiça Tiomos TS M9 110º</t>
  </si>
  <si>
    <t>Dobradiça Tiomos TS Quick</t>
  </si>
  <si>
    <t>Dobradiça Tiomos TT M0 125º</t>
  </si>
  <si>
    <t>Dobradiça Timos TT M9 110º</t>
  </si>
  <si>
    <t>Dobradiça Tiomos TT Mirro 125º</t>
  </si>
  <si>
    <t>Dobradiça Tiomos TS Mirro 125º</t>
  </si>
  <si>
    <t>Calço de montagem</t>
  </si>
  <si>
    <t>Altura de calço de montagem</t>
  </si>
  <si>
    <t>Tipo de calço de montagem</t>
  </si>
  <si>
    <t>Calços de montagem Tiomos</t>
  </si>
  <si>
    <t>Calços de montagem em cruz</t>
  </si>
  <si>
    <t>1D Calço de montagem em cruz</t>
  </si>
  <si>
    <t>Calço de montagem em cruz Eco</t>
  </si>
  <si>
    <t>Calço de montagem linear</t>
  </si>
  <si>
    <t>1D Calço de montagem linear</t>
  </si>
  <si>
    <t>Distância do calço de montagem linear</t>
  </si>
  <si>
    <t>Calço de montagem Delta</t>
  </si>
  <si>
    <t>1D Calço de montagem Delta</t>
  </si>
  <si>
    <t>Enquadrado</t>
  </si>
  <si>
    <t>Rápida selecção</t>
  </si>
  <si>
    <t>Soluções</t>
  </si>
  <si>
    <t>Possibilidades</t>
  </si>
  <si>
    <t>Recomendação do produto</t>
  </si>
  <si>
    <t>Fixação</t>
  </si>
  <si>
    <t>Ângulo da porta à Ilharga do móvel</t>
  </si>
  <si>
    <t>Selecção do material para a porta</t>
  </si>
  <si>
    <t>Carregamento de porta</t>
  </si>
  <si>
    <t>Peso da porta</t>
  </si>
  <si>
    <t>Cálculo do número de dobradiças</t>
  </si>
  <si>
    <t>Altura da porta</t>
  </si>
  <si>
    <t>Largura da porta</t>
  </si>
  <si>
    <t>Espessura da porta</t>
  </si>
  <si>
    <t>Espessura do caixilho</t>
  </si>
  <si>
    <t>Distância do copo</t>
  </si>
  <si>
    <t>Dimensões do parafuso</t>
  </si>
  <si>
    <t>Dimensões de colagem</t>
  </si>
  <si>
    <t>Espessura de Ilharga</t>
  </si>
  <si>
    <t>Folga</t>
  </si>
  <si>
    <t>Largura</t>
  </si>
  <si>
    <t>Corte de canto</t>
  </si>
  <si>
    <t>Distância entre furos</t>
  </si>
  <si>
    <t>Folga mínima</t>
  </si>
  <si>
    <t>Largura mínima</t>
  </si>
  <si>
    <t>Para afixar aparafusar</t>
  </si>
  <si>
    <t>Para afixar pressionar</t>
  </si>
  <si>
    <t>Busha</t>
  </si>
  <si>
    <t>Para furo de 5mm</t>
  </si>
  <si>
    <t>Busha expandível</t>
  </si>
  <si>
    <t>Click-On para aparafusar</t>
  </si>
  <si>
    <t>Click-On para pressionar</t>
  </si>
  <si>
    <t>Dimensões em milímetros</t>
  </si>
  <si>
    <t>N.B: A distância de afinação está limitada no caso que o calço de montagem seja com altura -2.0mm!</t>
  </si>
  <si>
    <t xml:space="preserve">Para portas com dimensão 2.000x600mm e peso 13Kg </t>
  </si>
  <si>
    <t>recomendamos instalar 4 dobradiças.</t>
  </si>
  <si>
    <t xml:space="preserve">O carregamento e peso refere se ao 600mm de largura de porta standard. </t>
  </si>
  <si>
    <t>Em caso de dúvidas, o número de dobradiças tem que ser determinado numa prova.</t>
  </si>
  <si>
    <t>Caixilho de alumínio</t>
  </si>
  <si>
    <t>Vidro/Espelho</t>
  </si>
  <si>
    <t>Alumínio</t>
  </si>
  <si>
    <t>Composto mineral</t>
  </si>
  <si>
    <t>V2.5.4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</si>
</sst>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0.0"/>
    <numFmt numFmtId="165" formatCode="0.0\ &quot;kg&quot;"/>
    <numFmt numFmtId="166" formatCode="0.0\ &quot;mm&quot;"/>
    <numFmt numFmtId="167" formatCode="0\°"/>
    <numFmt numFmtId="168" formatCode="0&quot;°&quot;"/>
    <numFmt numFmtId="169" formatCode="0\ &quot;mm&quot;"/>
    <numFmt numFmtId="170" formatCode="0.00\ &quot;kg&quot;"/>
  </numFmts>
  <fonts count="6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3F3F3F"/>
      <name val="Calibri"/>
      <family val="2"/>
      <scheme val="minor"/>
    </font>
    <font>
      <b/>
      <sz val="11"/>
      <color indexed="8"/>
      <name val="Calibri"/>
      <family val="2"/>
    </font>
    <font>
      <sz val="4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0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8228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"/>
      <color rgb="FF00822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FFF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imSun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22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 tint="0.499984740745262"/>
        <bgColor indexed="64"/>
      </patternFill>
    </fill>
  </fills>
  <borders count="1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3F3F3F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rgb="FF008228"/>
      </left>
      <right/>
      <top style="thin">
        <color rgb="FF008228"/>
      </top>
      <bottom/>
      <diagonal/>
    </border>
    <border>
      <left/>
      <right/>
      <top style="thin">
        <color rgb="FF008228"/>
      </top>
      <bottom/>
      <diagonal/>
    </border>
    <border>
      <left/>
      <right style="thin">
        <color rgb="FF008228"/>
      </right>
      <top style="thin">
        <color rgb="FF008228"/>
      </top>
      <bottom/>
      <diagonal/>
    </border>
    <border>
      <left style="thin">
        <color rgb="FF008228"/>
      </left>
      <right/>
      <top/>
      <bottom/>
      <diagonal/>
    </border>
    <border>
      <left/>
      <right style="thin">
        <color rgb="FF008228"/>
      </right>
      <top/>
      <bottom/>
      <diagonal/>
    </border>
    <border>
      <left style="thin">
        <color rgb="FF008228"/>
      </left>
      <right/>
      <top/>
      <bottom style="thin">
        <color rgb="FF008228"/>
      </bottom>
      <diagonal/>
    </border>
    <border>
      <left/>
      <right/>
      <top/>
      <bottom style="thin">
        <color rgb="FF008228"/>
      </bottom>
      <diagonal/>
    </border>
    <border>
      <left/>
      <right style="thin">
        <color rgb="FF008228"/>
      </right>
      <top/>
      <bottom style="thin">
        <color rgb="FF008228"/>
      </bottom>
      <diagonal/>
    </border>
    <border>
      <left/>
      <right style="thin">
        <color rgb="FF008228"/>
      </right>
      <top style="thin">
        <color rgb="FF008228"/>
      </top>
      <bottom style="thin">
        <color rgb="FF008228"/>
      </bottom>
      <diagonal/>
    </border>
    <border>
      <left/>
      <right/>
      <top style="thin">
        <color rgb="FF008228"/>
      </top>
      <bottom style="thin">
        <color rgb="FF008228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8228"/>
      </left>
      <right style="thin">
        <color rgb="FF008228"/>
      </right>
      <top style="thin">
        <color rgb="FF008228"/>
      </top>
      <bottom/>
      <diagonal/>
    </border>
    <border>
      <left style="thin">
        <color rgb="FF008228"/>
      </left>
      <right style="thin">
        <color rgb="FF008228"/>
      </right>
      <top/>
      <bottom/>
      <diagonal/>
    </border>
    <border>
      <left style="thin">
        <color rgb="FF008228"/>
      </left>
      <right style="thin">
        <color rgb="FF008228"/>
      </right>
      <top/>
      <bottom style="thin">
        <color rgb="FF008228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/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rgb="FF3F3F3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24994659260841701"/>
      </bottom>
      <diagonal/>
    </border>
    <border>
      <left/>
      <right/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008228"/>
      </left>
      <right/>
      <top style="medium">
        <color rgb="FF008228"/>
      </top>
      <bottom/>
      <diagonal/>
    </border>
    <border>
      <left/>
      <right/>
      <top style="medium">
        <color rgb="FF008228"/>
      </top>
      <bottom/>
      <diagonal/>
    </border>
    <border>
      <left/>
      <right style="medium">
        <color rgb="FF008228"/>
      </right>
      <top style="medium">
        <color rgb="FF008228"/>
      </top>
      <bottom/>
      <diagonal/>
    </border>
    <border>
      <left style="medium">
        <color rgb="FF008228"/>
      </left>
      <right/>
      <top/>
      <bottom/>
      <diagonal/>
    </border>
    <border>
      <left/>
      <right style="medium">
        <color rgb="FF008228"/>
      </right>
      <top/>
      <bottom/>
      <diagonal/>
    </border>
    <border>
      <left style="medium">
        <color rgb="FF008228"/>
      </left>
      <right/>
      <top/>
      <bottom style="medium">
        <color rgb="FF008228"/>
      </bottom>
      <diagonal/>
    </border>
    <border>
      <left/>
      <right/>
      <top/>
      <bottom style="medium">
        <color rgb="FF008228"/>
      </bottom>
      <diagonal/>
    </border>
    <border>
      <left/>
      <right style="medium">
        <color rgb="FF008228"/>
      </right>
      <top/>
      <bottom style="medium">
        <color rgb="FF008228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499984740745262"/>
      </bottom>
      <diagonal/>
    </border>
    <border>
      <left/>
      <right/>
      <top style="medium">
        <color theme="0" tint="-0.14996795556505021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14996795556505021"/>
      </top>
      <bottom style="medium">
        <color theme="0" tint="-0.4999847407452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0" tint="-0.1499374370555742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1" tint="0.499984740745262"/>
      </left>
      <right/>
      <top/>
      <bottom style="thick">
        <color theme="0" tint="-0.14993743705557422"/>
      </bottom>
      <diagonal/>
    </border>
    <border>
      <left/>
      <right/>
      <top/>
      <bottom style="thick">
        <color theme="0" tint="-0.14993743705557422"/>
      </bottom>
      <diagonal/>
    </border>
    <border>
      <left/>
      <right style="thick">
        <color theme="0" tint="-0.14993743705557422"/>
      </right>
      <top/>
      <bottom style="thick">
        <color theme="0" tint="-0.149937437055574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double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auto="1"/>
      </left>
      <right style="thick">
        <color auto="1"/>
      </right>
      <top/>
      <bottom style="thin">
        <color indexed="64"/>
      </bottom>
      <diagonal/>
    </border>
    <border>
      <left style="double">
        <color auto="1"/>
      </left>
      <right style="thick">
        <color auto="1"/>
      </right>
      <top style="thin">
        <color indexed="64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1499374370555742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14993743705557422"/>
      </bottom>
      <diagonal/>
    </border>
    <border>
      <left/>
      <right/>
      <top style="thin">
        <color theme="0" tint="-0.49998474074526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thin">
        <color theme="0" tint="-0.499984740745262"/>
      </top>
      <bottom style="medium">
        <color theme="0" tint="-0.1499374370555742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1499374370555742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auto="1"/>
      </left>
      <right/>
      <top/>
      <bottom/>
      <diagonal/>
    </border>
  </borders>
  <cellStyleXfs count="6">
    <xf numFmtId="0" fontId="0" fillId="0" borderId="0"/>
    <xf numFmtId="0" fontId="3" fillId="4" borderId="6" applyNumberFormat="0" applyAlignment="0" applyProtection="0"/>
    <xf numFmtId="0" fontId="5" fillId="0" borderId="0"/>
    <xf numFmtId="0" fontId="5" fillId="0" borderId="0"/>
    <xf numFmtId="44" fontId="21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110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0" xfId="0" applyAlignment="1">
      <alignment textRotation="90"/>
    </xf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6" fillId="0" borderId="7" xfId="3" applyFont="1" applyFill="1" applyBorder="1" applyAlignment="1">
      <alignment wrapText="1"/>
    </xf>
    <xf numFmtId="49" fontId="3" fillId="4" borderId="6" xfId="1" applyNumberFormat="1" applyAlignment="1">
      <alignment vertical="top"/>
    </xf>
    <xf numFmtId="0" fontId="0" fillId="0" borderId="0" xfId="0" applyAlignment="1">
      <alignment vertical="top"/>
    </xf>
    <xf numFmtId="0" fontId="3" fillId="4" borderId="6" xfId="1" applyNumberFormat="1" applyAlignment="1">
      <alignment vertical="top" textRotation="90"/>
    </xf>
    <xf numFmtId="0" fontId="3" fillId="3" borderId="6" xfId="1" applyFill="1" applyAlignment="1">
      <alignment vertical="top" textRotation="90"/>
    </xf>
    <xf numFmtId="0" fontId="3" fillId="4" borderId="6" xfId="1" applyAlignment="1">
      <alignment vertical="top" textRotation="90"/>
    </xf>
    <xf numFmtId="0" fontId="0" fillId="0" borderId="0" xfId="0" applyAlignment="1">
      <alignment vertical="top" textRotation="90"/>
    </xf>
    <xf numFmtId="0" fontId="0" fillId="5" borderId="0" xfId="0" applyFill="1"/>
    <xf numFmtId="0" fontId="0" fillId="0" borderId="0" xfId="0" applyFont="1"/>
    <xf numFmtId="49" fontId="3" fillId="4" borderId="9" xfId="1" applyNumberFormat="1" applyBorder="1" applyAlignment="1">
      <alignment vertical="top"/>
    </xf>
    <xf numFmtId="0" fontId="0" fillId="6" borderId="0" xfId="0" applyFill="1"/>
    <xf numFmtId="0" fontId="0" fillId="6" borderId="0" xfId="0" applyFill="1" applyBorder="1"/>
    <xf numFmtId="0" fontId="4" fillId="0" borderId="0" xfId="0" applyFont="1" applyAlignment="1">
      <alignment vertical="top" textRotation="90"/>
    </xf>
    <xf numFmtId="0" fontId="4" fillId="0" borderId="0" xfId="0" applyFont="1"/>
    <xf numFmtId="49" fontId="3" fillId="4" borderId="10" xfId="1" applyNumberFormat="1" applyBorder="1" applyAlignment="1">
      <alignment vertical="top"/>
    </xf>
    <xf numFmtId="0" fontId="0" fillId="0" borderId="11" xfId="0" applyBorder="1"/>
    <xf numFmtId="0" fontId="0" fillId="0" borderId="0" xfId="0" applyFont="1" applyAlignment="1">
      <alignment vertical="top" textRotation="90"/>
    </xf>
    <xf numFmtId="0" fontId="3" fillId="5" borderId="6" xfId="1" applyFill="1" applyAlignment="1">
      <alignment vertical="top" textRotation="90"/>
    </xf>
    <xf numFmtId="0" fontId="3" fillId="2" borderId="6" xfId="1" applyFill="1" applyAlignment="1">
      <alignment vertical="top" textRotation="90"/>
    </xf>
    <xf numFmtId="0" fontId="0" fillId="0" borderId="13" xfId="0" applyBorder="1"/>
    <xf numFmtId="0" fontId="0" fillId="0" borderId="14" xfId="0" applyBorder="1"/>
    <xf numFmtId="0" fontId="0" fillId="0" borderId="15" xfId="0" applyFont="1" applyBorder="1" applyAlignment="1">
      <alignment vertical="top" textRotation="90"/>
    </xf>
    <xf numFmtId="0" fontId="0" fillId="0" borderId="15" xfId="0" applyFont="1" applyBorder="1"/>
    <xf numFmtId="0" fontId="0" fillId="0" borderId="0" xfId="0" applyBorder="1"/>
    <xf numFmtId="0" fontId="6" fillId="0" borderId="0" xfId="2" applyFont="1" applyFill="1" applyBorder="1" applyAlignment="1">
      <alignment wrapText="1"/>
    </xf>
    <xf numFmtId="49" fontId="3" fillId="4" borderId="9" xfId="1" applyNumberFormat="1" applyFont="1" applyBorder="1" applyAlignment="1">
      <alignment vertical="top"/>
    </xf>
    <xf numFmtId="0" fontId="8" fillId="0" borderId="0" xfId="2" applyFont="1" applyFill="1" applyBorder="1" applyAlignment="1">
      <alignment wrapText="1"/>
    </xf>
    <xf numFmtId="49" fontId="7" fillId="4" borderId="9" xfId="1" applyNumberFormat="1" applyFont="1" applyBorder="1" applyAlignment="1">
      <alignment vertical="top" textRotation="90"/>
    </xf>
    <xf numFmtId="0" fontId="0" fillId="7" borderId="0" xfId="0" applyFill="1"/>
    <xf numFmtId="0" fontId="0" fillId="8" borderId="0" xfId="0" applyFill="1"/>
    <xf numFmtId="0" fontId="0" fillId="0" borderId="20" xfId="0" applyBorder="1"/>
    <xf numFmtId="0" fontId="0" fillId="0" borderId="0" xfId="0" applyAlignment="1">
      <alignment horizontal="center"/>
    </xf>
    <xf numFmtId="0" fontId="4" fillId="0" borderId="2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0" xfId="0" applyFont="1" applyBorder="1"/>
    <xf numFmtId="0" fontId="4" fillId="0" borderId="0" xfId="0" applyFont="1" applyBorder="1"/>
    <xf numFmtId="0" fontId="4" fillId="0" borderId="2" xfId="0" applyFont="1" applyBorder="1"/>
    <xf numFmtId="0" fontId="0" fillId="0" borderId="0" xfId="0" applyFont="1" applyFill="1"/>
    <xf numFmtId="0" fontId="1" fillId="0" borderId="8" xfId="0" applyFont="1" applyBorder="1"/>
    <xf numFmtId="0" fontId="0" fillId="0" borderId="8" xfId="0" applyBorder="1"/>
    <xf numFmtId="0" fontId="0" fillId="0" borderId="3" xfId="0" applyBorder="1" applyAlignment="1">
      <alignment horizontal="right"/>
    </xf>
    <xf numFmtId="0" fontId="0" fillId="8" borderId="0" xfId="0" applyFill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9" borderId="0" xfId="0" applyFill="1"/>
    <xf numFmtId="0" fontId="10" fillId="9" borderId="0" xfId="0" applyFont="1" applyFill="1"/>
    <xf numFmtId="0" fontId="11" fillId="9" borderId="0" xfId="0" applyFont="1" applyFill="1"/>
    <xf numFmtId="0" fontId="10" fillId="0" borderId="0" xfId="0" applyFont="1" applyFill="1"/>
    <xf numFmtId="0" fontId="13" fillId="0" borderId="20" xfId="0" applyFont="1" applyBorder="1"/>
    <xf numFmtId="0" fontId="13" fillId="0" borderId="0" xfId="0" applyFont="1" applyBorder="1"/>
    <xf numFmtId="0" fontId="13" fillId="0" borderId="2" xfId="0" applyFont="1" applyBorder="1"/>
    <xf numFmtId="0" fontId="0" fillId="0" borderId="17" xfId="0" applyFont="1" applyBorder="1"/>
    <xf numFmtId="0" fontId="0" fillId="0" borderId="20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2" xfId="0" applyFont="1" applyBorder="1"/>
    <xf numFmtId="0" fontId="0" fillId="9" borderId="0" xfId="0" applyFill="1" applyBorder="1"/>
    <xf numFmtId="0" fontId="0" fillId="0" borderId="24" xfId="0" applyBorder="1"/>
    <xf numFmtId="0" fontId="0" fillId="10" borderId="0" xfId="0" applyFill="1"/>
    <xf numFmtId="0" fontId="4" fillId="10" borderId="0" xfId="0" applyFont="1" applyFill="1"/>
    <xf numFmtId="0" fontId="11" fillId="0" borderId="0" xfId="0" applyFont="1" applyFill="1"/>
    <xf numFmtId="0" fontId="11" fillId="0" borderId="0" xfId="0" applyFont="1"/>
    <xf numFmtId="166" fontId="0" fillId="0" borderId="0" xfId="0" applyNumberFormat="1"/>
    <xf numFmtId="0" fontId="15" fillId="0" borderId="0" xfId="0" applyFont="1"/>
    <xf numFmtId="0" fontId="0" fillId="12" borderId="0" xfId="0" applyFill="1"/>
    <xf numFmtId="0" fontId="17" fillId="0" borderId="8" xfId="0" applyFont="1" applyBorder="1"/>
    <xf numFmtId="0" fontId="17" fillId="0" borderId="0" xfId="0" applyFont="1" applyBorder="1"/>
    <xf numFmtId="0" fontId="0" fillId="0" borderId="24" xfId="0" applyFont="1" applyBorder="1"/>
    <xf numFmtId="0" fontId="6" fillId="0" borderId="16" xfId="3" applyFont="1" applyFill="1" applyBorder="1" applyAlignment="1">
      <alignment wrapText="1"/>
    </xf>
    <xf numFmtId="0" fontId="4" fillId="0" borderId="0" xfId="0" applyFont="1" applyFill="1"/>
    <xf numFmtId="0" fontId="0" fillId="0" borderId="0" xfId="0" applyAlignment="1">
      <alignment horizontal="center"/>
    </xf>
    <xf numFmtId="17" fontId="3" fillId="3" borderId="6" xfId="1" quotePrefix="1" applyNumberFormat="1" applyFill="1" applyAlignment="1">
      <alignment vertical="top" textRotation="90"/>
    </xf>
    <xf numFmtId="17" fontId="0" fillId="0" borderId="0" xfId="0" quotePrefix="1" applyNumberFormat="1"/>
    <xf numFmtId="0" fontId="0" fillId="0" borderId="0" xfId="0" quotePrefix="1"/>
    <xf numFmtId="0" fontId="0" fillId="2" borderId="13" xfId="0" applyFill="1" applyBorder="1"/>
    <xf numFmtId="0" fontId="0" fillId="2" borderId="3" xfId="0" applyFill="1" applyBorder="1"/>
    <xf numFmtId="0" fontId="0" fillId="0" borderId="5" xfId="0" applyBorder="1" applyAlignment="1">
      <alignment horizontal="right"/>
    </xf>
    <xf numFmtId="0" fontId="0" fillId="0" borderId="17" xfId="0" applyBorder="1"/>
    <xf numFmtId="0" fontId="0" fillId="0" borderId="5" xfId="0" applyBorder="1"/>
    <xf numFmtId="0" fontId="20" fillId="0" borderId="13" xfId="0" applyFont="1" applyBorder="1"/>
    <xf numFmtId="0" fontId="20" fillId="8" borderId="3" xfId="0" applyFont="1" applyFill="1" applyBorder="1"/>
    <xf numFmtId="0" fontId="20" fillId="0" borderId="3" xfId="0" applyFont="1" applyBorder="1"/>
    <xf numFmtId="0" fontId="20" fillId="0" borderId="3" xfId="0" applyFont="1" applyBorder="1" applyAlignment="1">
      <alignment horizontal="right"/>
    </xf>
    <xf numFmtId="0" fontId="20" fillId="8" borderId="14" xfId="0" applyFont="1" applyFill="1" applyBorder="1"/>
    <xf numFmtId="0" fontId="20" fillId="0" borderId="0" xfId="0" applyFont="1"/>
    <xf numFmtId="164" fontId="0" fillId="0" borderId="0" xfId="0" applyNumberFormat="1" applyAlignment="1"/>
    <xf numFmtId="0" fontId="0" fillId="0" borderId="0" xfId="0" applyAlignment="1"/>
    <xf numFmtId="0" fontId="0" fillId="0" borderId="25" xfId="0" applyBorder="1" applyAlignment="1">
      <alignment horizontal="left"/>
    </xf>
    <xf numFmtId="2" fontId="0" fillId="0" borderId="26" xfId="0" applyNumberFormat="1" applyBorder="1" applyAlignment="1">
      <alignment horizontal="left"/>
    </xf>
    <xf numFmtId="0" fontId="10" fillId="9" borderId="0" xfId="0" applyFont="1" applyFill="1" applyAlignment="1">
      <alignment horizontal="left"/>
    </xf>
    <xf numFmtId="0" fontId="0" fillId="0" borderId="27" xfId="0" applyBorder="1"/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33" xfId="0" applyFont="1" applyBorder="1"/>
    <xf numFmtId="0" fontId="11" fillId="0" borderId="0" xfId="0" applyFont="1" applyBorder="1"/>
    <xf numFmtId="0" fontId="11" fillId="0" borderId="35" xfId="0" applyFont="1" applyBorder="1"/>
    <xf numFmtId="0" fontId="11" fillId="0" borderId="36" xfId="0" applyFont="1" applyBorder="1"/>
    <xf numFmtId="0" fontId="11" fillId="0" borderId="32" xfId="0" applyFont="1" applyBorder="1"/>
    <xf numFmtId="0" fontId="11" fillId="0" borderId="34" xfId="0" applyFont="1" applyBorder="1"/>
    <xf numFmtId="0" fontId="0" fillId="0" borderId="12" xfId="0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40" xfId="0" applyBorder="1"/>
    <xf numFmtId="164" fontId="0" fillId="0" borderId="40" xfId="0" applyNumberFormat="1" applyBorder="1"/>
    <xf numFmtId="0" fontId="0" fillId="0" borderId="41" xfId="0" applyBorder="1"/>
    <xf numFmtId="0" fontId="0" fillId="8" borderId="5" xfId="0" applyFill="1" applyBorder="1"/>
    <xf numFmtId="0" fontId="0" fillId="0" borderId="42" xfId="0" applyFill="1" applyBorder="1"/>
    <xf numFmtId="0" fontId="0" fillId="0" borderId="5" xfId="0" applyFill="1" applyBorder="1"/>
    <xf numFmtId="0" fontId="0" fillId="0" borderId="21" xfId="0" applyFill="1" applyBorder="1"/>
    <xf numFmtId="0" fontId="0" fillId="0" borderId="0" xfId="0" applyAlignment="1">
      <alignment vertical="center"/>
    </xf>
    <xf numFmtId="164" fontId="22" fillId="0" borderId="0" xfId="0" applyNumberFormat="1" applyFont="1" applyBorder="1" applyAlignment="1">
      <alignment vertical="center" shrinkToFit="1"/>
    </xf>
    <xf numFmtId="0" fontId="0" fillId="15" borderId="0" xfId="0" applyFont="1" applyFill="1" applyBorder="1" applyAlignment="1">
      <alignment vertical="top" textRotation="90"/>
    </xf>
    <xf numFmtId="0" fontId="0" fillId="0" borderId="26" xfId="0" applyBorder="1"/>
    <xf numFmtId="0" fontId="0" fillId="13" borderId="0" xfId="0" applyFill="1"/>
    <xf numFmtId="0" fontId="0" fillId="17" borderId="0" xfId="0" applyFill="1"/>
    <xf numFmtId="0" fontId="0" fillId="18" borderId="19" xfId="0" applyFill="1" applyBorder="1"/>
    <xf numFmtId="0" fontId="0" fillId="18" borderId="0" xfId="0" applyFill="1" applyBorder="1"/>
    <xf numFmtId="49" fontId="7" fillId="14" borderId="9" xfId="1" applyNumberFormat="1" applyFont="1" applyFill="1" applyBorder="1" applyAlignment="1">
      <alignment vertical="top" textRotation="90"/>
    </xf>
    <xf numFmtId="0" fontId="6" fillId="14" borderId="0" xfId="2" applyFont="1" applyFill="1" applyBorder="1" applyAlignment="1">
      <alignment wrapText="1"/>
    </xf>
    <xf numFmtId="0" fontId="0" fillId="14" borderId="0" xfId="0" applyFont="1" applyFill="1"/>
    <xf numFmtId="49" fontId="7" fillId="4" borderId="22" xfId="1" applyNumberFormat="1" applyFont="1" applyBorder="1" applyAlignment="1">
      <alignment vertical="top" textRotation="90"/>
    </xf>
    <xf numFmtId="49" fontId="7" fillId="14" borderId="23" xfId="1" applyNumberFormat="1" applyFont="1" applyFill="1" applyBorder="1" applyAlignment="1">
      <alignment vertical="top" textRotation="90"/>
    </xf>
    <xf numFmtId="0" fontId="6" fillId="14" borderId="4" xfId="2" applyFont="1" applyFill="1" applyBorder="1" applyAlignment="1">
      <alignment wrapText="1"/>
    </xf>
    <xf numFmtId="0" fontId="0" fillId="14" borderId="4" xfId="0" applyFont="1" applyFill="1" applyBorder="1"/>
    <xf numFmtId="49" fontId="7" fillId="14" borderId="22" xfId="1" applyNumberFormat="1" applyFont="1" applyFill="1" applyBorder="1" applyAlignment="1">
      <alignment vertical="top" textRotation="90"/>
    </xf>
    <xf numFmtId="0" fontId="4" fillId="0" borderId="4" xfId="0" applyFont="1" applyBorder="1"/>
    <xf numFmtId="0" fontId="6" fillId="0" borderId="49" xfId="2" applyFont="1" applyFill="1" applyBorder="1" applyAlignment="1">
      <alignment wrapText="1"/>
    </xf>
    <xf numFmtId="0" fontId="6" fillId="0" borderId="50" xfId="2" applyFont="1" applyFill="1" applyBorder="1" applyAlignment="1">
      <alignment wrapText="1"/>
    </xf>
    <xf numFmtId="49" fontId="7" fillId="11" borderId="51" xfId="1" applyNumberFormat="1" applyFont="1" applyFill="1" applyBorder="1" applyAlignment="1">
      <alignment vertical="top" textRotation="90"/>
    </xf>
    <xf numFmtId="0" fontId="6" fillId="11" borderId="0" xfId="2" applyFont="1" applyFill="1" applyBorder="1" applyAlignment="1">
      <alignment wrapText="1"/>
    </xf>
    <xf numFmtId="0" fontId="0" fillId="11" borderId="0" xfId="0" applyFont="1" applyFill="1"/>
    <xf numFmtId="49" fontId="7" fillId="14" borderId="53" xfId="1" applyNumberFormat="1" applyFont="1" applyFill="1" applyBorder="1" applyAlignment="1">
      <alignment vertical="top" textRotation="90"/>
    </xf>
    <xf numFmtId="0" fontId="6" fillId="14" borderId="52" xfId="2" applyFont="1" applyFill="1" applyBorder="1" applyAlignment="1">
      <alignment wrapText="1"/>
    </xf>
    <xf numFmtId="0" fontId="0" fillId="14" borderId="52" xfId="0" applyFont="1" applyFill="1" applyBorder="1"/>
    <xf numFmtId="0" fontId="4" fillId="0" borderId="0" xfId="0" applyFont="1" applyFill="1" applyBorder="1"/>
    <xf numFmtId="0" fontId="23" fillId="0" borderId="20" xfId="0" applyFont="1" applyBorder="1" applyAlignment="1">
      <alignment horizontal="right"/>
    </xf>
    <xf numFmtId="0" fontId="23" fillId="0" borderId="20" xfId="0" applyFont="1" applyBorder="1"/>
    <xf numFmtId="0" fontId="13" fillId="0" borderId="18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/>
    <xf numFmtId="0" fontId="13" fillId="0" borderId="19" xfId="0" applyFont="1" applyBorder="1"/>
    <xf numFmtId="0" fontId="23" fillId="0" borderId="2" xfId="0" applyFont="1" applyBorder="1" applyAlignment="1">
      <alignment horizontal="right"/>
    </xf>
    <xf numFmtId="0" fontId="23" fillId="0" borderId="2" xfId="0" applyFont="1" applyBorder="1"/>
    <xf numFmtId="0" fontId="13" fillId="0" borderId="21" xfId="0" applyFont="1" applyBorder="1"/>
    <xf numFmtId="0" fontId="13" fillId="0" borderId="2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16" borderId="13" xfId="0" applyFill="1" applyBorder="1" applyAlignment="1">
      <alignment horizontal="left" vertical="center" indent="2"/>
    </xf>
    <xf numFmtId="0" fontId="0" fillId="16" borderId="3" xfId="0" applyFill="1" applyBorder="1"/>
    <xf numFmtId="0" fontId="0" fillId="16" borderId="14" xfId="0" applyFill="1" applyBorder="1"/>
    <xf numFmtId="0" fontId="0" fillId="3" borderId="0" xfId="0" applyFill="1" applyAlignment="1">
      <alignment horizontal="left"/>
    </xf>
    <xf numFmtId="0" fontId="0" fillId="15" borderId="24" xfId="0" applyFont="1" applyFill="1" applyBorder="1" applyAlignment="1">
      <alignment vertical="top" textRotation="90"/>
    </xf>
    <xf numFmtId="0" fontId="0" fillId="0" borderId="52" xfId="0" applyBorder="1"/>
    <xf numFmtId="0" fontId="0" fillId="3" borderId="0" xfId="0" applyFill="1" applyAlignment="1">
      <alignment horizontal="center"/>
    </xf>
    <xf numFmtId="0" fontId="0" fillId="18" borderId="4" xfId="0" applyFill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6" xfId="0" applyBorder="1"/>
    <xf numFmtId="0" fontId="0" fillId="0" borderId="55" xfId="0" applyBorder="1"/>
    <xf numFmtId="0" fontId="0" fillId="3" borderId="56" xfId="0" applyFill="1" applyBorder="1"/>
    <xf numFmtId="0" fontId="0" fillId="3" borderId="56" xfId="0" applyFill="1" applyBorder="1" applyAlignment="1">
      <alignment horizontal="right"/>
    </xf>
    <xf numFmtId="0" fontId="0" fillId="0" borderId="57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left" indent="3"/>
    </xf>
    <xf numFmtId="0" fontId="0" fillId="0" borderId="59" xfId="0" applyBorder="1"/>
    <xf numFmtId="0" fontId="0" fillId="0" borderId="60" xfId="0" applyBorder="1"/>
    <xf numFmtId="0" fontId="0" fillId="20" borderId="59" xfId="0" applyFill="1" applyBorder="1"/>
    <xf numFmtId="0" fontId="0" fillId="21" borderId="59" xfId="0" applyFill="1" applyBorder="1"/>
    <xf numFmtId="0" fontId="0" fillId="21" borderId="12" xfId="0" applyFill="1" applyBorder="1"/>
    <xf numFmtId="0" fontId="0" fillId="0" borderId="57" xfId="0" applyBorder="1"/>
    <xf numFmtId="0" fontId="0" fillId="0" borderId="54" xfId="0" applyBorder="1"/>
    <xf numFmtId="0" fontId="0" fillId="19" borderId="54" xfId="0" applyFill="1" applyBorder="1"/>
    <xf numFmtId="0" fontId="0" fillId="0" borderId="58" xfId="0" applyBorder="1"/>
    <xf numFmtId="0" fontId="0" fillId="19" borderId="0" xfId="0" applyFill="1" applyBorder="1"/>
    <xf numFmtId="0" fontId="0" fillId="19" borderId="2" xfId="0" applyFill="1" applyBorder="1"/>
    <xf numFmtId="0" fontId="0" fillId="0" borderId="24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19" xfId="0" applyFill="1" applyBorder="1" applyAlignment="1">
      <alignment horizontal="left" indent="2"/>
    </xf>
    <xf numFmtId="0" fontId="25" fillId="7" borderId="0" xfId="0" applyFont="1" applyFill="1" applyAlignment="1">
      <alignment horizontal="center"/>
    </xf>
    <xf numFmtId="0" fontId="13" fillId="0" borderId="0" xfId="0" applyFont="1" applyAlignment="1">
      <alignment horizontal="left" vertical="center" indent="1"/>
    </xf>
    <xf numFmtId="166" fontId="0" fillId="0" borderId="52" xfId="0" applyNumberFormat="1" applyBorder="1"/>
    <xf numFmtId="166" fontId="0" fillId="0" borderId="26" xfId="0" applyNumberFormat="1" applyBorder="1"/>
    <xf numFmtId="0" fontId="0" fillId="22" borderId="0" xfId="0" applyFill="1"/>
    <xf numFmtId="0" fontId="26" fillId="0" borderId="12" xfId="0" applyFont="1" applyBorder="1"/>
    <xf numFmtId="0" fontId="0" fillId="0" borderId="63" xfId="0" applyBorder="1"/>
    <xf numFmtId="0" fontId="0" fillId="0" borderId="0" xfId="0" applyFill="1" applyAlignment="1"/>
    <xf numFmtId="0" fontId="0" fillId="23" borderId="63" xfId="0" applyFill="1" applyBorder="1"/>
    <xf numFmtId="0" fontId="24" fillId="0" borderId="0" xfId="0" applyFont="1"/>
    <xf numFmtId="49" fontId="3" fillId="4" borderId="23" xfId="1" applyNumberFormat="1" applyBorder="1" applyAlignment="1">
      <alignment horizontal="center" vertical="center"/>
    </xf>
    <xf numFmtId="49" fontId="3" fillId="4" borderId="9" xfId="1" applyNumberFormat="1" applyBorder="1" applyAlignment="1">
      <alignment horizontal="center" vertical="center"/>
    </xf>
    <xf numFmtId="0" fontId="3" fillId="3" borderId="22" xfId="1" applyFill="1" applyBorder="1" applyAlignment="1">
      <alignment horizontal="center" vertical="center" textRotation="90"/>
    </xf>
    <xf numFmtId="0" fontId="3" fillId="3" borderId="23" xfId="1" applyFill="1" applyBorder="1" applyAlignment="1">
      <alignment horizontal="center" vertical="center" textRotation="90"/>
    </xf>
    <xf numFmtId="0" fontId="3" fillId="3" borderId="9" xfId="1" applyFill="1" applyBorder="1" applyAlignment="1">
      <alignment horizontal="center" vertical="center" textRotation="90"/>
    </xf>
    <xf numFmtId="49" fontId="3" fillId="4" borderId="23" xfId="1" applyNumberFormat="1" applyBorder="1" applyAlignment="1">
      <alignment horizontal="center" vertical="center" textRotation="90"/>
    </xf>
    <xf numFmtId="0" fontId="0" fillId="2" borderId="13" xfId="0" applyFill="1" applyBorder="1" applyAlignment="1">
      <alignment horizontal="right"/>
    </xf>
    <xf numFmtId="0" fontId="0" fillId="0" borderId="64" xfId="0" applyBorder="1"/>
    <xf numFmtId="0" fontId="0" fillId="0" borderId="13" xfId="0" applyFill="1" applyBorder="1" applyAlignment="1">
      <alignment horizontal="right"/>
    </xf>
    <xf numFmtId="0" fontId="6" fillId="14" borderId="24" xfId="2" applyFont="1" applyFill="1" applyBorder="1" applyAlignment="1">
      <alignment wrapText="1"/>
    </xf>
    <xf numFmtId="0" fontId="0" fillId="16" borderId="65" xfId="0" applyFill="1" applyBorder="1" applyAlignment="1">
      <alignment horizontal="left" vertical="center" indent="1"/>
    </xf>
    <xf numFmtId="0" fontId="10" fillId="24" borderId="0" xfId="0" applyFont="1" applyFill="1"/>
    <xf numFmtId="0" fontId="11" fillId="24" borderId="0" xfId="0" applyFont="1" applyFill="1"/>
    <xf numFmtId="0" fontId="0" fillId="2" borderId="0" xfId="0" applyFill="1" applyAlignment="1">
      <alignment vertical="top"/>
    </xf>
    <xf numFmtId="0" fontId="27" fillId="0" borderId="0" xfId="0" applyFont="1" applyAlignment="1">
      <alignment vertical="top"/>
    </xf>
    <xf numFmtId="0" fontId="0" fillId="0" borderId="0" xfId="0" applyBorder="1" applyAlignment="1">
      <alignment horizontal="center"/>
    </xf>
    <xf numFmtId="0" fontId="28" fillId="0" borderId="0" xfId="0" applyFont="1"/>
    <xf numFmtId="0" fontId="0" fillId="0" borderId="24" xfId="0" applyBorder="1" applyAlignment="1">
      <alignment horizontal="right"/>
    </xf>
    <xf numFmtId="0" fontId="0" fillId="2" borderId="0" xfId="0" applyFill="1" applyAlignment="1">
      <alignment horizontal="right"/>
    </xf>
    <xf numFmtId="164" fontId="0" fillId="0" borderId="19" xfId="0" applyNumberFormat="1" applyFill="1" applyBorder="1"/>
    <xf numFmtId="0" fontId="0" fillId="0" borderId="69" xfId="0" applyBorder="1"/>
    <xf numFmtId="0" fontId="0" fillId="0" borderId="71" xfId="0" applyBorder="1"/>
    <xf numFmtId="0" fontId="0" fillId="0" borderId="70" xfId="0" applyBorder="1"/>
    <xf numFmtId="0" fontId="0" fillId="0" borderId="72" xfId="0" applyBorder="1"/>
    <xf numFmtId="0" fontId="0" fillId="18" borderId="0" xfId="0" applyFill="1"/>
    <xf numFmtId="0" fontId="0" fillId="26" borderId="0" xfId="0" applyFill="1"/>
    <xf numFmtId="0" fontId="0" fillId="0" borderId="73" xfId="0" applyBorder="1" applyAlignment="1">
      <alignment horizontal="right"/>
    </xf>
    <xf numFmtId="0" fontId="0" fillId="0" borderId="75" xfId="0" applyBorder="1" applyAlignment="1">
      <alignment horizontal="right"/>
    </xf>
    <xf numFmtId="0" fontId="0" fillId="18" borderId="12" xfId="0" applyFill="1" applyBorder="1"/>
    <xf numFmtId="0" fontId="0" fillId="27" borderId="12" xfId="0" applyFill="1" applyBorder="1"/>
    <xf numFmtId="0" fontId="0" fillId="29" borderId="12" xfId="0" applyFill="1" applyBorder="1"/>
    <xf numFmtId="0" fontId="0" fillId="30" borderId="12" xfId="0" applyFill="1" applyBorder="1"/>
    <xf numFmtId="0" fontId="0" fillId="31" borderId="12" xfId="0" applyFill="1" applyBorder="1"/>
    <xf numFmtId="0" fontId="0" fillId="30" borderId="0" xfId="0" applyFill="1"/>
    <xf numFmtId="0" fontId="0" fillId="31" borderId="0" xfId="0" applyFill="1" applyBorder="1"/>
    <xf numFmtId="0" fontId="0" fillId="31" borderId="0" xfId="0" applyFill="1"/>
    <xf numFmtId="0" fontId="0" fillId="29" borderId="0" xfId="0" applyFill="1"/>
    <xf numFmtId="0" fontId="0" fillId="30" borderId="52" xfId="0" applyFill="1" applyBorder="1"/>
    <xf numFmtId="0" fontId="0" fillId="31" borderId="52" xfId="0" applyFill="1" applyBorder="1"/>
    <xf numFmtId="0" fontId="0" fillId="30" borderId="69" xfId="0" applyFill="1" applyBorder="1"/>
    <xf numFmtId="0" fontId="0" fillId="31" borderId="69" xfId="0" applyFill="1" applyBorder="1"/>
    <xf numFmtId="0" fontId="0" fillId="18" borderId="69" xfId="0" applyFill="1" applyBorder="1"/>
    <xf numFmtId="0" fontId="0" fillId="26" borderId="69" xfId="0" applyFill="1" applyBorder="1"/>
    <xf numFmtId="0" fontId="0" fillId="29" borderId="69" xfId="0" applyFill="1" applyBorder="1"/>
    <xf numFmtId="0" fontId="0" fillId="23" borderId="69" xfId="0" applyFill="1" applyBorder="1"/>
    <xf numFmtId="0" fontId="0" fillId="28" borderId="0" xfId="0" applyFill="1"/>
    <xf numFmtId="0" fontId="0" fillId="28" borderId="69" xfId="0" applyFill="1" applyBorder="1"/>
    <xf numFmtId="0" fontId="0" fillId="32" borderId="0" xfId="0" applyFill="1"/>
    <xf numFmtId="0" fontId="0" fillId="32" borderId="69" xfId="0" applyFill="1" applyBorder="1"/>
    <xf numFmtId="0" fontId="0" fillId="30" borderId="26" xfId="0" applyFill="1" applyBorder="1"/>
    <xf numFmtId="0" fontId="0" fillId="32" borderId="52" xfId="0" applyFill="1" applyBorder="1"/>
    <xf numFmtId="0" fontId="0" fillId="32" borderId="26" xfId="0" applyFill="1" applyBorder="1"/>
    <xf numFmtId="0" fontId="1" fillId="0" borderId="0" xfId="0" applyFont="1" applyBorder="1"/>
    <xf numFmtId="0" fontId="0" fillId="0" borderId="2" xfId="0" applyBorder="1" applyAlignment="1">
      <alignment horizontal="right"/>
    </xf>
    <xf numFmtId="0" fontId="0" fillId="0" borderId="13" xfId="0" applyFill="1" applyBorder="1"/>
    <xf numFmtId="49" fontId="7" fillId="14" borderId="81" xfId="1" applyNumberFormat="1" applyFont="1" applyFill="1" applyBorder="1" applyAlignment="1">
      <alignment vertical="top" textRotation="90"/>
    </xf>
    <xf numFmtId="0" fontId="0" fillId="0" borderId="0" xfId="0" applyAlignment="1">
      <alignment horizontal="center"/>
    </xf>
    <xf numFmtId="0" fontId="0" fillId="0" borderId="83" xfId="0" applyBorder="1"/>
    <xf numFmtId="0" fontId="0" fillId="0" borderId="82" xfId="0" applyBorder="1"/>
    <xf numFmtId="0" fontId="0" fillId="0" borderId="84" xfId="0" applyBorder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36" xfId="0" applyFont="1" applyBorder="1" applyAlignment="1">
      <alignment vertical="top"/>
    </xf>
    <xf numFmtId="0" fontId="13" fillId="0" borderId="82" xfId="0" applyFont="1" applyBorder="1"/>
    <xf numFmtId="0" fontId="10" fillId="9" borderId="0" xfId="0" applyFont="1" applyFill="1" applyAlignment="1">
      <alignment horizontal="left" indent="2"/>
    </xf>
    <xf numFmtId="0" fontId="29" fillId="0" borderId="0" xfId="0" applyFont="1"/>
    <xf numFmtId="0" fontId="30" fillId="0" borderId="0" xfId="0" applyFont="1" applyFill="1" applyAlignment="1">
      <alignment horizontal="left" vertical="top"/>
    </xf>
    <xf numFmtId="0" fontId="30" fillId="0" borderId="0" xfId="0" applyFont="1" applyAlignment="1">
      <alignment vertical="top" wrapText="1"/>
    </xf>
    <xf numFmtId="0" fontId="30" fillId="0" borderId="0" xfId="0" applyFont="1" applyFill="1" applyAlignment="1"/>
    <xf numFmtId="0" fontId="14" fillId="0" borderId="0" xfId="0" applyFont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4" fillId="0" borderId="85" xfId="0" applyFont="1" applyBorder="1"/>
    <xf numFmtId="0" fontId="0" fillId="13" borderId="85" xfId="0" applyFill="1" applyBorder="1"/>
    <xf numFmtId="0" fontId="0" fillId="3" borderId="85" xfId="0" applyFill="1" applyBorder="1"/>
    <xf numFmtId="0" fontId="0" fillId="2" borderId="85" xfId="0" applyFill="1" applyBorder="1"/>
    <xf numFmtId="164" fontId="0" fillId="0" borderId="0" xfId="0" applyNumberFormat="1" applyFill="1" applyBorder="1"/>
    <xf numFmtId="0" fontId="0" fillId="0" borderId="85" xfId="0" applyBorder="1"/>
    <xf numFmtId="0" fontId="0" fillId="0" borderId="0" xfId="0" applyFill="1" applyBorder="1" applyAlignment="1">
      <alignment horizontal="right"/>
    </xf>
    <xf numFmtId="0" fontId="0" fillId="0" borderId="12" xfId="0" applyFill="1" applyBorder="1"/>
    <xf numFmtId="0" fontId="0" fillId="0" borderId="69" xfId="0" applyFill="1" applyBorder="1"/>
    <xf numFmtId="0" fontId="0" fillId="0" borderId="80" xfId="0" applyFill="1" applyBorder="1"/>
    <xf numFmtId="0" fontId="0" fillId="18" borderId="0" xfId="0" applyFont="1" applyFill="1" applyBorder="1" applyAlignment="1">
      <alignment vertical="top" textRotation="90"/>
    </xf>
    <xf numFmtId="0" fontId="0" fillId="18" borderId="87" xfId="0" applyFont="1" applyFill="1" applyBorder="1" applyAlignment="1">
      <alignment vertical="top" textRotation="90"/>
    </xf>
    <xf numFmtId="0" fontId="0" fillId="0" borderId="87" xfId="0" applyFont="1" applyBorder="1"/>
    <xf numFmtId="0" fontId="0" fillId="34" borderId="0" xfId="0" applyFill="1"/>
    <xf numFmtId="49" fontId="7" fillId="26" borderId="51" xfId="1" applyNumberFormat="1" applyFont="1" applyFill="1" applyBorder="1" applyAlignment="1">
      <alignment vertical="top" textRotation="90"/>
    </xf>
    <xf numFmtId="0" fontId="6" fillId="26" borderId="0" xfId="2" applyFont="1" applyFill="1" applyBorder="1" applyAlignment="1">
      <alignment wrapText="1"/>
    </xf>
    <xf numFmtId="0" fontId="0" fillId="26" borderId="0" xfId="0" applyFont="1" applyFill="1"/>
    <xf numFmtId="0" fontId="0" fillId="0" borderId="86" xfId="0" applyBorder="1"/>
    <xf numFmtId="0" fontId="0" fillId="33" borderId="0" xfId="0" applyFill="1"/>
    <xf numFmtId="0" fontId="13" fillId="0" borderId="86" xfId="0" applyFont="1" applyBorder="1"/>
    <xf numFmtId="0" fontId="0" fillId="11" borderId="0" xfId="0" applyFill="1"/>
    <xf numFmtId="0" fontId="0" fillId="20" borderId="0" xfId="0" applyFill="1" applyBorder="1"/>
    <xf numFmtId="0" fontId="0" fillId="0" borderId="95" xfId="0" applyBorder="1"/>
    <xf numFmtId="0" fontId="0" fillId="0" borderId="93" xfId="0" applyBorder="1"/>
    <xf numFmtId="0" fontId="0" fillId="0" borderId="96" xfId="0" applyBorder="1"/>
    <xf numFmtId="0" fontId="0" fillId="0" borderId="92" xfId="0" applyBorder="1"/>
    <xf numFmtId="0" fontId="0" fillId="0" borderId="94" xfId="0" applyBorder="1"/>
    <xf numFmtId="0" fontId="0" fillId="0" borderId="90" xfId="0" applyFill="1" applyBorder="1"/>
    <xf numFmtId="0" fontId="0" fillId="0" borderId="52" xfId="0" applyFill="1" applyBorder="1"/>
    <xf numFmtId="0" fontId="0" fillId="0" borderId="26" xfId="0" applyFill="1" applyBorder="1"/>
    <xf numFmtId="0" fontId="20" fillId="0" borderId="0" xfId="0" applyFont="1" applyFill="1" applyBorder="1"/>
    <xf numFmtId="0" fontId="31" fillId="5" borderId="54" xfId="0" applyFont="1" applyFill="1" applyBorder="1"/>
    <xf numFmtId="0" fontId="31" fillId="5" borderId="0" xfId="0" applyFont="1" applyFill="1" applyBorder="1"/>
    <xf numFmtId="0" fontId="31" fillId="5" borderId="2" xfId="0" applyFont="1" applyFill="1" applyBorder="1"/>
    <xf numFmtId="164" fontId="4" fillId="5" borderId="0" xfId="0" applyNumberFormat="1" applyFont="1" applyFill="1" applyBorder="1"/>
    <xf numFmtId="164" fontId="4" fillId="5" borderId="19" xfId="0" applyNumberFormat="1" applyFont="1" applyFill="1" applyBorder="1"/>
    <xf numFmtId="164" fontId="4" fillId="5" borderId="2" xfId="0" applyNumberFormat="1" applyFont="1" applyFill="1" applyBorder="1"/>
    <xf numFmtId="164" fontId="4" fillId="5" borderId="21" xfId="0" applyNumberFormat="1" applyFont="1" applyFill="1" applyBorder="1"/>
    <xf numFmtId="0" fontId="0" fillId="0" borderId="89" xfId="0" applyBorder="1"/>
    <xf numFmtId="0" fontId="20" fillId="31" borderId="0" xfId="0" applyFont="1" applyFill="1"/>
    <xf numFmtId="0" fontId="0" fillId="0" borderId="0" xfId="0" applyBorder="1" applyAlignment="1">
      <alignment horizontal="right"/>
    </xf>
    <xf numFmtId="164" fontId="20" fillId="0" borderId="0" xfId="0" applyNumberFormat="1" applyFont="1" applyFill="1" applyBorder="1"/>
    <xf numFmtId="0" fontId="0" fillId="21" borderId="2" xfId="0" applyFill="1" applyBorder="1"/>
    <xf numFmtId="0" fontId="0" fillId="0" borderId="95" xfId="0" applyFill="1" applyBorder="1"/>
    <xf numFmtId="0" fontId="0" fillId="0" borderId="91" xfId="0" applyBorder="1" applyAlignment="1">
      <alignment horizontal="center"/>
    </xf>
    <xf numFmtId="0" fontId="0" fillId="0" borderId="0" xfId="0" applyBorder="1" applyAlignment="1"/>
    <xf numFmtId="166" fontId="0" fillId="0" borderId="0" xfId="0" applyNumberFormat="1" applyFill="1"/>
    <xf numFmtId="0" fontId="0" fillId="0" borderId="0" xfId="0" applyFill="1" applyBorder="1" applyAlignment="1">
      <alignment textRotation="45"/>
    </xf>
    <xf numFmtId="166" fontId="0" fillId="0" borderId="0" xfId="0" applyNumberFormat="1" applyFill="1" applyBorder="1"/>
    <xf numFmtId="164" fontId="24" fillId="0" borderId="0" xfId="0" quotePrefix="1" applyNumberFormat="1" applyFont="1" applyFill="1" applyBorder="1"/>
    <xf numFmtId="0" fontId="0" fillId="0" borderId="89" xfId="0" applyFill="1" applyBorder="1" applyAlignment="1">
      <alignment horizontal="right"/>
    </xf>
    <xf numFmtId="0" fontId="0" fillId="0" borderId="0" xfId="0" applyFill="1" applyBorder="1" applyAlignment="1"/>
    <xf numFmtId="0" fontId="0" fillId="24" borderId="0" xfId="0" applyFill="1"/>
    <xf numFmtId="0" fontId="0" fillId="0" borderId="89" xfId="0" applyBorder="1" applyAlignment="1">
      <alignment horizontal="center"/>
    </xf>
    <xf numFmtId="0" fontId="4" fillId="5" borderId="89" xfId="0" applyFont="1" applyFill="1" applyBorder="1" applyAlignment="1">
      <alignment horizontal="center"/>
    </xf>
    <xf numFmtId="0" fontId="4" fillId="5" borderId="91" xfId="0" applyFont="1" applyFill="1" applyBorder="1" applyAlignment="1">
      <alignment horizontal="center"/>
    </xf>
    <xf numFmtId="0" fontId="0" fillId="0" borderId="97" xfId="0" applyBorder="1" applyAlignment="1">
      <alignment horizontal="center"/>
    </xf>
    <xf numFmtId="0" fontId="4" fillId="5" borderId="97" xfId="0" applyFont="1" applyFill="1" applyBorder="1" applyAlignment="1">
      <alignment horizontal="center"/>
    </xf>
    <xf numFmtId="0" fontId="0" fillId="0" borderId="90" xfId="0" applyBorder="1"/>
    <xf numFmtId="0" fontId="0" fillId="0" borderId="0" xfId="0" applyAlignment="1">
      <alignment horizontal="center"/>
    </xf>
    <xf numFmtId="0" fontId="0" fillId="35" borderId="0" xfId="0" applyFill="1"/>
    <xf numFmtId="0" fontId="0" fillId="0" borderId="95" xfId="0" applyBorder="1" applyAlignment="1">
      <alignment horizontal="right"/>
    </xf>
    <xf numFmtId="0" fontId="0" fillId="0" borderId="93" xfId="0" applyBorder="1" applyAlignment="1">
      <alignment horizontal="right"/>
    </xf>
    <xf numFmtId="0" fontId="0" fillId="0" borderId="93" xfId="0" applyFill="1" applyBorder="1" applyAlignment="1">
      <alignment horizontal="right"/>
    </xf>
    <xf numFmtId="0" fontId="0" fillId="0" borderId="96" xfId="0" applyFill="1" applyBorder="1" applyAlignment="1">
      <alignment horizontal="right"/>
    </xf>
    <xf numFmtId="164" fontId="0" fillId="0" borderId="13" xfId="0" applyNumberFormat="1" applyBorder="1"/>
    <xf numFmtId="166" fontId="0" fillId="8" borderId="0" xfId="0" applyNumberFormat="1" applyFill="1"/>
    <xf numFmtId="0" fontId="0" fillId="0" borderId="19" xfId="0" applyFill="1" applyBorder="1"/>
    <xf numFmtId="0" fontId="0" fillId="11" borderId="0" xfId="0" applyFill="1" applyAlignment="1">
      <alignment horizontal="right"/>
    </xf>
    <xf numFmtId="0" fontId="0" fillId="30" borderId="0" xfId="0" applyFont="1" applyFill="1" applyBorder="1" applyAlignment="1">
      <alignment vertical="top" textRotation="90"/>
    </xf>
    <xf numFmtId="0" fontId="0" fillId="8" borderId="0" xfId="0" applyFill="1" applyBorder="1" applyAlignment="1">
      <alignment horizontal="right"/>
    </xf>
    <xf numFmtId="0" fontId="0" fillId="0" borderId="85" xfId="0" applyFill="1" applyBorder="1"/>
    <xf numFmtId="0" fontId="0" fillId="3" borderId="0" xfId="0" applyFill="1" applyBorder="1"/>
    <xf numFmtId="0" fontId="0" fillId="0" borderId="100" xfId="0" applyBorder="1"/>
    <xf numFmtId="164" fontId="0" fillId="5" borderId="0" xfId="0" applyNumberFormat="1" applyFill="1"/>
    <xf numFmtId="49" fontId="7" fillId="30" borderId="51" xfId="1" applyNumberFormat="1" applyFont="1" applyFill="1" applyBorder="1" applyAlignment="1">
      <alignment vertical="top" textRotation="90"/>
    </xf>
    <xf numFmtId="0" fontId="6" fillId="30" borderId="0" xfId="2" applyFont="1" applyFill="1" applyBorder="1" applyAlignment="1">
      <alignment wrapText="1"/>
    </xf>
    <xf numFmtId="0" fontId="0" fillId="30" borderId="0" xfId="0" applyFont="1" applyFill="1"/>
    <xf numFmtId="0" fontId="6" fillId="33" borderId="0" xfId="2" applyFont="1" applyFill="1" applyBorder="1" applyAlignment="1">
      <alignment wrapText="1"/>
    </xf>
    <xf numFmtId="49" fontId="7" fillId="33" borderId="51" xfId="1" applyNumberFormat="1" applyFont="1" applyFill="1" applyBorder="1" applyAlignment="1">
      <alignment vertical="top" textRotation="90"/>
    </xf>
    <xf numFmtId="0" fontId="0" fillId="33" borderId="0" xfId="0" applyFont="1" applyFill="1"/>
    <xf numFmtId="0" fontId="0" fillId="0" borderId="100" xfId="0" applyFill="1" applyBorder="1"/>
    <xf numFmtId="0" fontId="34" fillId="0" borderId="0" xfId="0" applyFont="1" applyAlignment="1">
      <alignment vertical="top"/>
    </xf>
    <xf numFmtId="0" fontId="0" fillId="0" borderId="0" xfId="0" applyAlignment="1">
      <alignment horizontal="right" indent="1"/>
    </xf>
    <xf numFmtId="0" fontId="0" fillId="0" borderId="99" xfId="0" applyBorder="1"/>
    <xf numFmtId="0" fontId="4" fillId="0" borderId="99" xfId="0" applyFont="1" applyBorder="1"/>
    <xf numFmtId="0" fontId="0" fillId="0" borderId="102" xfId="0" applyBorder="1"/>
    <xf numFmtId="0" fontId="0" fillId="0" borderId="0" xfId="0" applyAlignment="1">
      <alignment horizontal="center"/>
    </xf>
    <xf numFmtId="0" fontId="0" fillId="0" borderId="52" xfId="0" quotePrefix="1" applyBorder="1"/>
    <xf numFmtId="0" fontId="0" fillId="0" borderId="26" xfId="0" quotePrefix="1" applyBorder="1"/>
    <xf numFmtId="0" fontId="0" fillId="0" borderId="0" xfId="0" quotePrefix="1" applyBorder="1"/>
    <xf numFmtId="0" fontId="0" fillId="8" borderId="0" xfId="0" applyFill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67" fontId="0" fillId="8" borderId="0" xfId="0" applyNumberFormat="1" applyFill="1"/>
    <xf numFmtId="0" fontId="0" fillId="0" borderId="0" xfId="0" applyNumberFormat="1"/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8" borderId="0" xfId="0" applyFill="1" applyAlignment="1">
      <alignment horizontal="left"/>
    </xf>
    <xf numFmtId="0" fontId="0" fillId="8" borderId="0" xfId="0" quotePrefix="1" applyFill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36" borderId="0" xfId="0" applyFill="1"/>
    <xf numFmtId="0" fontId="4" fillId="36" borderId="0" xfId="0" applyFont="1" applyFill="1"/>
    <xf numFmtId="0" fontId="0" fillId="32" borderId="2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6" borderId="0" xfId="0" applyFill="1"/>
    <xf numFmtId="0" fontId="4" fillId="0" borderId="0" xfId="0" applyFont="1" applyFill="1" applyAlignment="1">
      <alignment horizontal="center" vertical="center"/>
    </xf>
    <xf numFmtId="0" fontId="0" fillId="0" borderId="103" xfId="0" applyBorder="1"/>
    <xf numFmtId="0" fontId="1" fillId="0" borderId="0" xfId="0" applyFont="1" applyAlignment="1">
      <alignment vertical="center" textRotation="90"/>
    </xf>
    <xf numFmtId="0" fontId="0" fillId="0" borderId="24" xfId="0" applyBorder="1" applyAlignment="1">
      <alignment textRotation="90"/>
    </xf>
    <xf numFmtId="0" fontId="1" fillId="0" borderId="2" xfId="0" applyFont="1" applyBorder="1" applyAlignment="1">
      <alignment vertical="center" textRotation="90"/>
    </xf>
    <xf numFmtId="0" fontId="0" fillId="0" borderId="104" xfId="0" applyBorder="1"/>
    <xf numFmtId="0" fontId="0" fillId="7" borderId="106" xfId="0" applyFill="1" applyBorder="1" applyAlignment="1">
      <alignment horizontal="center"/>
    </xf>
    <xf numFmtId="0" fontId="0" fillId="7" borderId="52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11" borderId="0" xfId="0" applyFill="1" applyAlignment="1">
      <alignment textRotation="90"/>
    </xf>
    <xf numFmtId="0" fontId="0" fillId="11" borderId="19" xfId="0" applyFill="1" applyBorder="1" applyAlignment="1">
      <alignment textRotation="90"/>
    </xf>
    <xf numFmtId="0" fontId="0" fillId="11" borderId="0" xfId="0" applyFill="1" applyBorder="1" applyAlignment="1">
      <alignment textRotation="90"/>
    </xf>
    <xf numFmtId="0" fontId="0" fillId="0" borderId="106" xfId="0" applyBorder="1"/>
    <xf numFmtId="0" fontId="0" fillId="11" borderId="19" xfId="0" applyFill="1" applyBorder="1"/>
    <xf numFmtId="0" fontId="0" fillId="11" borderId="24" xfId="0" applyFill="1" applyBorder="1"/>
    <xf numFmtId="0" fontId="0" fillId="11" borderId="0" xfId="0" applyFill="1" applyBorder="1"/>
    <xf numFmtId="0" fontId="4" fillId="11" borderId="24" xfId="0" applyFont="1" applyFill="1" applyBorder="1"/>
    <xf numFmtId="0" fontId="1" fillId="0" borderId="24" xfId="0" applyFont="1" applyBorder="1" applyAlignment="1">
      <alignment vertical="center" textRotation="90"/>
    </xf>
    <xf numFmtId="0" fontId="0" fillId="11" borderId="24" xfId="0" applyFill="1" applyBorder="1" applyAlignment="1">
      <alignment textRotation="90"/>
    </xf>
    <xf numFmtId="0" fontId="0" fillId="5" borderId="24" xfId="0" applyFill="1" applyBorder="1"/>
    <xf numFmtId="0" fontId="0" fillId="5" borderId="5" xfId="0" applyFill="1" applyBorder="1"/>
    <xf numFmtId="0" fontId="0" fillId="5" borderId="19" xfId="0" applyFill="1" applyBorder="1"/>
    <xf numFmtId="0" fontId="0" fillId="5" borderId="0" xfId="0" applyFill="1" applyBorder="1"/>
    <xf numFmtId="0" fontId="0" fillId="5" borderId="0" xfId="0" applyFill="1" applyAlignment="1">
      <alignment textRotation="90"/>
    </xf>
    <xf numFmtId="0" fontId="0" fillId="5" borderId="19" xfId="0" applyFill="1" applyBorder="1" applyAlignment="1">
      <alignment textRotation="90"/>
    </xf>
    <xf numFmtId="0" fontId="0" fillId="5" borderId="0" xfId="0" applyFill="1" applyBorder="1" applyAlignment="1">
      <alignment textRotation="90"/>
    </xf>
    <xf numFmtId="0" fontId="0" fillId="5" borderId="2" xfId="0" applyFill="1" applyBorder="1"/>
    <xf numFmtId="0" fontId="0" fillId="5" borderId="21" xfId="0" applyFill="1" applyBorder="1"/>
    <xf numFmtId="0" fontId="35" fillId="11" borderId="0" xfId="0" applyFont="1" applyFill="1" applyBorder="1" applyAlignment="1">
      <alignment horizontal="left" vertical="center"/>
    </xf>
    <xf numFmtId="0" fontId="0" fillId="0" borderId="105" xfId="0" applyFill="1" applyBorder="1" applyAlignment="1">
      <alignment horizontal="center" vertical="center"/>
    </xf>
    <xf numFmtId="166" fontId="0" fillId="0" borderId="0" xfId="0" applyNumberFormat="1" applyBorder="1"/>
    <xf numFmtId="0" fontId="0" fillId="0" borderId="19" xfId="0" applyFill="1" applyBorder="1" applyAlignment="1">
      <alignment horizontal="center" vertical="center"/>
    </xf>
    <xf numFmtId="166" fontId="0" fillId="0" borderId="2" xfId="0" applyNumberFormat="1" applyBorder="1"/>
    <xf numFmtId="0" fontId="0" fillId="0" borderId="21" xfId="0" applyFill="1" applyBorder="1" applyAlignment="1">
      <alignment horizontal="center" vertical="center"/>
    </xf>
    <xf numFmtId="0" fontId="0" fillId="0" borderId="105" xfId="0" applyBorder="1"/>
    <xf numFmtId="0" fontId="0" fillId="0" borderId="105" xfId="0" applyBorder="1" applyAlignment="1">
      <alignment horizontal="center"/>
    </xf>
    <xf numFmtId="166" fontId="0" fillId="21" borderId="2" xfId="0" applyNumberFormat="1" applyFill="1" applyBorder="1"/>
    <xf numFmtId="0" fontId="0" fillId="21" borderId="21" xfId="0" applyFill="1" applyBorder="1" applyAlignment="1">
      <alignment horizontal="center" vertical="center"/>
    </xf>
    <xf numFmtId="0" fontId="0" fillId="21" borderId="21" xfId="0" applyFill="1" applyBorder="1" applyAlignment="1">
      <alignment horizontal="center"/>
    </xf>
    <xf numFmtId="0" fontId="0" fillId="21" borderId="21" xfId="0" applyFill="1" applyBorder="1"/>
    <xf numFmtId="0" fontId="4" fillId="0" borderId="103" xfId="0" applyFont="1" applyBorder="1"/>
    <xf numFmtId="0" fontId="0" fillId="16" borderId="105" xfId="0" applyFill="1" applyBorder="1"/>
    <xf numFmtId="0" fontId="4" fillId="0" borderId="85" xfId="0" applyFont="1" applyFill="1" applyBorder="1"/>
    <xf numFmtId="0" fontId="4" fillId="0" borderId="103" xfId="0" applyFont="1" applyFill="1" applyBorder="1"/>
    <xf numFmtId="0" fontId="0" fillId="0" borderId="10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36" fillId="9" borderId="0" xfId="0" applyFont="1" applyFill="1" applyAlignment="1">
      <alignment vertical="top" textRotation="90"/>
    </xf>
    <xf numFmtId="0" fontId="0" fillId="10" borderId="0" xfId="0" applyFill="1" applyBorder="1"/>
    <xf numFmtId="0" fontId="0" fillId="0" borderId="9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0" xfId="0" applyBorder="1" applyAlignment="1">
      <alignment horizontal="center"/>
    </xf>
    <xf numFmtId="0" fontId="27" fillId="0" borderId="0" xfId="0" applyFont="1"/>
    <xf numFmtId="49" fontId="7" fillId="29" borderId="51" xfId="1" applyNumberFormat="1" applyFont="1" applyFill="1" applyBorder="1" applyAlignment="1">
      <alignment vertical="top" textRotation="90"/>
    </xf>
    <xf numFmtId="0" fontId="6" fillId="29" borderId="0" xfId="2" applyFont="1" applyFill="1" applyBorder="1" applyAlignment="1">
      <alignment wrapText="1"/>
    </xf>
    <xf numFmtId="0" fontId="0" fillId="29" borderId="0" xfId="0" applyFont="1" applyFill="1"/>
    <xf numFmtId="0" fontId="0" fillId="0" borderId="104" xfId="0" applyBorder="1" applyAlignment="1">
      <alignment horizontal="center"/>
    </xf>
    <xf numFmtId="0" fontId="0" fillId="20" borderId="0" xfId="0" applyFill="1"/>
    <xf numFmtId="0" fontId="0" fillId="29" borderId="0" xfId="0" applyFont="1" applyFill="1" applyBorder="1" applyAlignment="1">
      <alignment vertical="top" textRotation="90"/>
    </xf>
    <xf numFmtId="0" fontId="0" fillId="0" borderId="0" xfId="0" applyAlignment="1">
      <alignment horizontal="center" textRotation="90"/>
    </xf>
    <xf numFmtId="0" fontId="0" fillId="0" borderId="0" xfId="0" applyAlignment="1">
      <alignment shrinkToFi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0" fillId="0" borderId="92" xfId="0" applyBorder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 applyAlignment="1">
      <alignment horizontal="center"/>
    </xf>
    <xf numFmtId="0" fontId="0" fillId="0" borderId="19" xfId="0" applyFill="1" applyBorder="1" applyAlignment="1"/>
    <xf numFmtId="0" fontId="0" fillId="0" borderId="19" xfId="0" applyBorder="1" applyAlignment="1"/>
    <xf numFmtId="0" fontId="0" fillId="0" borderId="0" xfId="0" applyBorder="1" applyAlignment="1">
      <alignment horizontal="center"/>
    </xf>
    <xf numFmtId="0" fontId="0" fillId="0" borderId="107" xfId="0" applyFill="1" applyBorder="1"/>
    <xf numFmtId="0" fontId="0" fillId="0" borderId="92" xfId="0" applyFill="1" applyBorder="1"/>
    <xf numFmtId="0" fontId="0" fillId="0" borderId="111" xfId="0" applyBorder="1"/>
    <xf numFmtId="0" fontId="0" fillId="0" borderId="107" xfId="0" applyBorder="1"/>
    <xf numFmtId="0" fontId="0" fillId="0" borderId="108" xfId="0" applyBorder="1"/>
    <xf numFmtId="0" fontId="0" fillId="0" borderId="112" xfId="0" applyBorder="1"/>
    <xf numFmtId="0" fontId="0" fillId="0" borderId="114" xfId="0" applyFill="1" applyBorder="1"/>
    <xf numFmtId="0" fontId="0" fillId="0" borderId="108" xfId="0" applyFill="1" applyBorder="1"/>
    <xf numFmtId="2" fontId="0" fillId="0" borderId="97" xfId="0" applyNumberFormat="1" applyBorder="1" applyAlignment="1">
      <alignment horizontal="center"/>
    </xf>
    <xf numFmtId="0" fontId="0" fillId="0" borderId="112" xfId="0" applyBorder="1" applyAlignment="1">
      <alignment horizontal="center"/>
    </xf>
    <xf numFmtId="2" fontId="0" fillId="0" borderId="100" xfId="0" applyNumberFormat="1" applyBorder="1" applyAlignment="1">
      <alignment horizontal="center"/>
    </xf>
    <xf numFmtId="0" fontId="0" fillId="0" borderId="107" xfId="0" applyBorder="1" applyAlignment="1">
      <alignment horizontal="center"/>
    </xf>
    <xf numFmtId="2" fontId="0" fillId="0" borderId="0" xfId="0" applyNumberFormat="1" applyBorder="1"/>
    <xf numFmtId="2" fontId="0" fillId="0" borderId="108" xfId="0" applyNumberFormat="1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13" xfId="0" applyBorder="1"/>
    <xf numFmtId="0" fontId="0" fillId="37" borderId="113" xfId="0" applyFill="1" applyBorder="1"/>
    <xf numFmtId="0" fontId="0" fillId="37" borderId="92" xfId="0" applyFill="1" applyBorder="1"/>
    <xf numFmtId="0" fontId="0" fillId="37" borderId="112" xfId="0" applyFill="1" applyBorder="1"/>
    <xf numFmtId="0" fontId="0" fillId="37" borderId="24" xfId="0" applyFill="1" applyBorder="1"/>
    <xf numFmtId="0" fontId="0" fillId="37" borderId="0" xfId="0" applyFill="1"/>
    <xf numFmtId="0" fontId="0" fillId="37" borderId="2" xfId="0" applyFill="1" applyBorder="1"/>
    <xf numFmtId="0" fontId="0" fillId="37" borderId="114" xfId="0" applyFill="1" applyBorder="1"/>
    <xf numFmtId="0" fontId="0" fillId="37" borderId="108" xfId="0" applyFill="1" applyBorder="1"/>
    <xf numFmtId="0" fontId="0" fillId="37" borderId="114" xfId="0" applyFill="1" applyBorder="1" applyAlignment="1">
      <alignment horizontal="center"/>
    </xf>
    <xf numFmtId="0" fontId="0" fillId="37" borderId="92" xfId="0" applyFill="1" applyBorder="1" applyAlignment="1">
      <alignment horizontal="center"/>
    </xf>
    <xf numFmtId="0" fontId="0" fillId="37" borderId="10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Border="1" applyAlignment="1">
      <alignment horizontal="center" textRotation="90"/>
    </xf>
    <xf numFmtId="0" fontId="0" fillId="11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9" xfId="0" applyFill="1" applyBorder="1" applyAlignment="1">
      <alignment horizontal="center" textRotation="90"/>
    </xf>
    <xf numFmtId="0" fontId="0" fillId="11" borderId="19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52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52" xfId="0" applyFill="1" applyBorder="1" applyAlignment="1">
      <alignment horizontal="center" textRotation="90"/>
    </xf>
    <xf numFmtId="0" fontId="0" fillId="5" borderId="24" xfId="0" applyFill="1" applyBorder="1" applyAlignment="1">
      <alignment horizontal="center" textRotation="90"/>
    </xf>
    <xf numFmtId="0" fontId="0" fillId="11" borderId="0" xfId="0" applyFill="1" applyBorder="1" applyAlignment="1">
      <alignment horizontal="center" textRotation="90"/>
    </xf>
    <xf numFmtId="0" fontId="0" fillId="11" borderId="19" xfId="0" applyFill="1" applyBorder="1" applyAlignment="1">
      <alignment horizontal="center" textRotation="90"/>
    </xf>
    <xf numFmtId="0" fontId="0" fillId="11" borderId="52" xfId="0" applyFill="1" applyBorder="1" applyAlignment="1">
      <alignment horizontal="center" textRotation="90"/>
    </xf>
    <xf numFmtId="0" fontId="0" fillId="11" borderId="52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0" xfId="0" applyFill="1" applyAlignment="1">
      <alignment horizontal="center" textRotation="90"/>
    </xf>
    <xf numFmtId="0" fontId="0" fillId="8" borderId="19" xfId="0" applyFill="1" applyBorder="1" applyAlignment="1">
      <alignment horizontal="center" textRotation="90"/>
    </xf>
    <xf numFmtId="0" fontId="0" fillId="11" borderId="0" xfId="0" applyFill="1" applyAlignment="1">
      <alignment horizontal="center" shrinkToFit="1"/>
    </xf>
    <xf numFmtId="0" fontId="0" fillId="8" borderId="21" xfId="0" applyFill="1" applyBorder="1" applyAlignment="1">
      <alignment horizontal="center"/>
    </xf>
    <xf numFmtId="0" fontId="0" fillId="5" borderId="24" xfId="0" quotePrefix="1" applyFill="1" applyBorder="1" applyAlignment="1">
      <alignment horizontal="right"/>
    </xf>
    <xf numFmtId="166" fontId="0" fillId="0" borderId="106" xfId="0" applyNumberFormat="1" applyBorder="1"/>
    <xf numFmtId="0" fontId="0" fillId="37" borderId="100" xfId="0" applyFill="1" applyBorder="1"/>
    <xf numFmtId="0" fontId="0" fillId="37" borderId="100" xfId="0" applyFill="1" applyBorder="1" applyAlignment="1">
      <alignment horizontal="center"/>
    </xf>
    <xf numFmtId="0" fontId="0" fillId="0" borderId="115" xfId="0" applyBorder="1"/>
    <xf numFmtId="0" fontId="0" fillId="0" borderId="119" xfId="0" applyBorder="1"/>
    <xf numFmtId="0" fontId="0" fillId="0" borderId="120" xfId="0" applyBorder="1"/>
    <xf numFmtId="0" fontId="0" fillId="0" borderId="121" xfId="0" applyBorder="1"/>
    <xf numFmtId="0" fontId="0" fillId="0" borderId="117" xfId="0" applyBorder="1"/>
    <xf numFmtId="0" fontId="0" fillId="0" borderId="118" xfId="0" applyBorder="1"/>
    <xf numFmtId="0" fontId="0" fillId="0" borderId="122" xfId="0" applyBorder="1"/>
    <xf numFmtId="0" fontId="0" fillId="26" borderId="52" xfId="0" applyFill="1" applyBorder="1"/>
    <xf numFmtId="0" fontId="0" fillId="26" borderId="26" xfId="0" applyFill="1" applyBorder="1"/>
    <xf numFmtId="0" fontId="0" fillId="27" borderId="52" xfId="0" applyFill="1" applyBorder="1"/>
    <xf numFmtId="0" fontId="0" fillId="27" borderId="26" xfId="0" applyFill="1" applyBorder="1"/>
    <xf numFmtId="0" fontId="0" fillId="0" borderId="116" xfId="0" applyBorder="1"/>
    <xf numFmtId="166" fontId="0" fillId="0" borderId="119" xfId="0" applyNumberFormat="1" applyBorder="1"/>
    <xf numFmtId="166" fontId="0" fillId="0" borderId="24" xfId="0" applyNumberFormat="1" applyBorder="1"/>
    <xf numFmtId="166" fontId="0" fillId="0" borderId="5" xfId="0" applyNumberFormat="1" applyBorder="1"/>
    <xf numFmtId="0" fontId="10" fillId="38" borderId="0" xfId="0" applyFont="1" applyFill="1"/>
    <xf numFmtId="0" fontId="0" fillId="0" borderId="120" xfId="0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15" xfId="0" applyFill="1" applyBorder="1"/>
    <xf numFmtId="0" fontId="0" fillId="21" borderId="100" xfId="0" applyFill="1" applyBorder="1"/>
    <xf numFmtId="0" fontId="0" fillId="6" borderId="52" xfId="0" applyFill="1" applyBorder="1"/>
    <xf numFmtId="0" fontId="0" fillId="6" borderId="26" xfId="0" applyFill="1" applyBorder="1"/>
    <xf numFmtId="0" fontId="0" fillId="20" borderId="19" xfId="0" applyFill="1" applyBorder="1"/>
    <xf numFmtId="0" fontId="0" fillId="20" borderId="5" xfId="0" applyFill="1" applyBorder="1"/>
    <xf numFmtId="0" fontId="0" fillId="20" borderId="2" xfId="0" applyFill="1" applyBorder="1"/>
    <xf numFmtId="0" fontId="0" fillId="20" borderId="21" xfId="0" applyFill="1" applyBorder="1"/>
    <xf numFmtId="0" fontId="0" fillId="5" borderId="0" xfId="0" quotePrefix="1" applyFill="1" applyBorder="1" applyAlignment="1">
      <alignment horizontal="right"/>
    </xf>
    <xf numFmtId="166" fontId="0" fillId="20" borderId="2" xfId="0" applyNumberFormat="1" applyFill="1" applyBorder="1"/>
    <xf numFmtId="0" fontId="0" fillId="0" borderId="116" xfId="0" applyFill="1" applyBorder="1"/>
    <xf numFmtId="0" fontId="0" fillId="8" borderId="0" xfId="0" applyFill="1" applyBorder="1"/>
    <xf numFmtId="0" fontId="0" fillId="0" borderId="0" xfId="0" applyAlignment="1">
      <alignment horizontal="left" vertical="center"/>
    </xf>
    <xf numFmtId="0" fontId="0" fillId="0" borderId="123" xfId="0" applyBorder="1" applyAlignment="1">
      <alignment horizontal="center" vertical="center"/>
    </xf>
    <xf numFmtId="0" fontId="0" fillId="0" borderId="123" xfId="0" applyBorder="1"/>
    <xf numFmtId="0" fontId="1" fillId="0" borderId="0" xfId="0" applyFont="1" applyBorder="1" applyAlignment="1">
      <alignment horizontal="center" vertical="center" textRotation="90"/>
    </xf>
    <xf numFmtId="0" fontId="0" fillId="5" borderId="21" xfId="0" quotePrefix="1" applyFill="1" applyBorder="1" applyAlignment="1">
      <alignment horizontal="right"/>
    </xf>
    <xf numFmtId="166" fontId="0" fillId="0" borderId="116" xfId="0" applyNumberFormat="1" applyBorder="1" applyAlignment="1">
      <alignment shrinkToFit="1"/>
    </xf>
    <xf numFmtId="166" fontId="0" fillId="0" borderId="52" xfId="0" applyNumberFormat="1" applyBorder="1" applyAlignment="1">
      <alignment shrinkToFit="1"/>
    </xf>
    <xf numFmtId="166" fontId="0" fillId="0" borderId="26" xfId="0" applyNumberFormat="1" applyBorder="1" applyAlignment="1">
      <alignment shrinkToFit="1"/>
    </xf>
    <xf numFmtId="0" fontId="0" fillId="0" borderId="119" xfId="0" applyFill="1" applyBorder="1"/>
    <xf numFmtId="0" fontId="0" fillId="8" borderId="120" xfId="0" applyFill="1" applyBorder="1"/>
    <xf numFmtId="0" fontId="0" fillId="8" borderId="104" xfId="0" applyFill="1" applyBorder="1"/>
    <xf numFmtId="166" fontId="0" fillId="8" borderId="120" xfId="0" applyNumberFormat="1" applyFill="1" applyBorder="1"/>
    <xf numFmtId="166" fontId="0" fillId="8" borderId="0" xfId="0" applyNumberFormat="1" applyFill="1" applyBorder="1"/>
    <xf numFmtId="166" fontId="0" fillId="8" borderId="2" xfId="0" applyNumberFormat="1" applyFill="1" applyBorder="1"/>
    <xf numFmtId="0" fontId="0" fillId="8" borderId="106" xfId="0" applyFill="1" applyBorder="1"/>
    <xf numFmtId="0" fontId="0" fillId="8" borderId="26" xfId="0" applyFill="1" applyBorder="1"/>
    <xf numFmtId="0" fontId="0" fillId="8" borderId="4" xfId="0" applyFill="1" applyBorder="1"/>
    <xf numFmtId="0" fontId="0" fillId="10" borderId="0" xfId="0" applyFill="1" applyAlignment="1">
      <alignment horizontal="right"/>
    </xf>
    <xf numFmtId="0" fontId="4" fillId="10" borderId="0" xfId="0" applyFont="1" applyFill="1" applyAlignment="1">
      <alignment horizontal="left" indent="1"/>
    </xf>
    <xf numFmtId="0" fontId="4" fillId="10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11" fillId="38" borderId="0" xfId="0" applyFont="1" applyFill="1"/>
    <xf numFmtId="0" fontId="0" fillId="0" borderId="125" xfId="0" applyBorder="1"/>
    <xf numFmtId="0" fontId="0" fillId="0" borderId="124" xfId="0" applyFill="1" applyBorder="1" applyAlignment="1">
      <alignment horizontal="center"/>
    </xf>
    <xf numFmtId="0" fontId="13" fillId="10" borderId="0" xfId="0" applyFont="1" applyFill="1"/>
    <xf numFmtId="0" fontId="11" fillId="9" borderId="0" xfId="0" applyFont="1" applyFill="1" applyAlignment="1">
      <alignment horizontal="center"/>
    </xf>
    <xf numFmtId="0" fontId="0" fillId="0" borderId="24" xfId="0" applyBorder="1" applyAlignment="1">
      <alignment textRotation="90" wrapText="1"/>
    </xf>
    <xf numFmtId="0" fontId="0" fillId="0" borderId="127" xfId="0" applyBorder="1"/>
    <xf numFmtId="0" fontId="0" fillId="0" borderId="126" xfId="0" applyBorder="1"/>
    <xf numFmtId="0" fontId="0" fillId="0" borderId="126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0" xfId="0" quotePrefix="1" applyFill="1"/>
    <xf numFmtId="0" fontId="0" fillId="7" borderId="127" xfId="0" applyFill="1" applyBorder="1" applyAlignment="1">
      <alignment horizontal="center"/>
    </xf>
    <xf numFmtId="0" fontId="0" fillId="7" borderId="126" xfId="0" applyFill="1" applyBorder="1" applyAlignment="1">
      <alignment horizontal="center"/>
    </xf>
    <xf numFmtId="0" fontId="0" fillId="7" borderId="120" xfId="0" applyFill="1" applyBorder="1" applyAlignment="1">
      <alignment horizontal="center"/>
    </xf>
    <xf numFmtId="0" fontId="0" fillId="7" borderId="121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quotePrefix="1" applyFill="1" applyBorder="1" applyAlignment="1">
      <alignment horizontal="center"/>
    </xf>
    <xf numFmtId="0" fontId="0" fillId="7" borderId="19" xfId="0" quotePrefix="1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2" xfId="0" quotePrefix="1" applyFill="1" applyBorder="1" applyAlignment="1">
      <alignment horizontal="center"/>
    </xf>
    <xf numFmtId="0" fontId="0" fillId="7" borderId="21" xfId="0" quotePrefix="1" applyFill="1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24" xfId="0" applyFill="1" applyBorder="1" applyAlignment="1">
      <alignment shrinkToFit="1"/>
    </xf>
    <xf numFmtId="0" fontId="0" fillId="0" borderId="19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2" xfId="0" applyFill="1" applyBorder="1" applyAlignment="1">
      <alignment shrinkToFit="1"/>
    </xf>
    <xf numFmtId="0" fontId="0" fillId="0" borderId="21" xfId="0" applyFill="1" applyBorder="1" applyAlignment="1">
      <alignment shrinkToFit="1"/>
    </xf>
    <xf numFmtId="0" fontId="0" fillId="0" borderId="132" xfId="0" applyBorder="1"/>
    <xf numFmtId="0" fontId="0" fillId="0" borderId="129" xfId="0" applyBorder="1"/>
    <xf numFmtId="0" fontId="0" fillId="21" borderId="129" xfId="0" applyFill="1" applyBorder="1"/>
    <xf numFmtId="0" fontId="0" fillId="0" borderId="133" xfId="0" applyBorder="1"/>
    <xf numFmtId="0" fontId="0" fillId="21" borderId="0" xfId="0" applyFill="1" applyBorder="1"/>
    <xf numFmtId="0" fontId="0" fillId="0" borderId="132" xfId="0" applyFill="1" applyBorder="1" applyAlignment="1">
      <alignment horizontal="center"/>
    </xf>
    <xf numFmtId="0" fontId="0" fillId="0" borderId="133" xfId="0" applyFill="1" applyBorder="1" applyAlignment="1">
      <alignment horizontal="center"/>
    </xf>
    <xf numFmtId="0" fontId="0" fillId="0" borderId="133" xfId="0" applyBorder="1" applyAlignment="1">
      <alignment horizontal="center"/>
    </xf>
    <xf numFmtId="0" fontId="0" fillId="0" borderId="130" xfId="0" applyFill="1" applyBorder="1" applyAlignment="1">
      <alignment horizontal="center"/>
    </xf>
    <xf numFmtId="0" fontId="0" fillId="0" borderId="26" xfId="0" applyFill="1" applyBorder="1" applyAlignment="1">
      <alignment shrinkToFit="1"/>
    </xf>
    <xf numFmtId="0" fontId="0" fillId="11" borderId="0" xfId="0" quotePrefix="1" applyFill="1" applyAlignment="1">
      <alignment horizontal="center" shrinkToFit="1"/>
    </xf>
    <xf numFmtId="0" fontId="38" fillId="0" borderId="0" xfId="0" applyFont="1"/>
    <xf numFmtId="0" fontId="39" fillId="0" borderId="0" xfId="0" applyFont="1"/>
    <xf numFmtId="0" fontId="4" fillId="29" borderId="0" xfId="0" applyFont="1" applyFill="1"/>
    <xf numFmtId="0" fontId="0" fillId="0" borderId="130" xfId="0" applyBorder="1"/>
    <xf numFmtId="0" fontId="0" fillId="0" borderId="19" xfId="0" quotePrefix="1" applyBorder="1"/>
    <xf numFmtId="0" fontId="0" fillId="0" borderId="21" xfId="0" quotePrefix="1" applyBorder="1"/>
    <xf numFmtId="0" fontId="0" fillId="0" borderId="130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31" xfId="0" applyBorder="1"/>
    <xf numFmtId="0" fontId="0" fillId="0" borderId="134" xfId="0" applyBorder="1"/>
    <xf numFmtId="0" fontId="0" fillId="18" borderId="0" xfId="0" applyFill="1" applyAlignment="1">
      <alignment horizontal="center"/>
    </xf>
    <xf numFmtId="0" fontId="0" fillId="39" borderId="0" xfId="0" applyFill="1"/>
    <xf numFmtId="0" fontId="40" fillId="39" borderId="0" xfId="0" applyFont="1" applyFill="1"/>
    <xf numFmtId="0" fontId="0" fillId="37" borderId="0" xfId="0" applyFill="1" applyBorder="1"/>
    <xf numFmtId="0" fontId="0" fillId="37" borderId="118" xfId="0" applyFill="1" applyBorder="1"/>
    <xf numFmtId="0" fontId="27" fillId="0" borderId="103" xfId="0" applyFont="1" applyBorder="1"/>
    <xf numFmtId="0" fontId="27" fillId="0" borderId="104" xfId="0" applyFont="1" applyBorder="1"/>
    <xf numFmtId="0" fontId="27" fillId="0" borderId="105" xfId="0" applyFont="1" applyBorder="1"/>
    <xf numFmtId="0" fontId="27" fillId="0" borderId="24" xfId="0" applyFont="1" applyBorder="1"/>
    <xf numFmtId="0" fontId="27" fillId="0" borderId="0" xfId="0" applyFont="1" applyBorder="1"/>
    <xf numFmtId="0" fontId="27" fillId="0" borderId="5" xfId="0" applyFont="1" applyBorder="1"/>
    <xf numFmtId="0" fontId="27" fillId="0" borderId="2" xfId="0" applyFont="1" applyBorder="1"/>
    <xf numFmtId="0" fontId="27" fillId="0" borderId="21" xfId="0" applyFont="1" applyBorder="1"/>
    <xf numFmtId="0" fontId="27" fillId="0" borderId="0" xfId="0" applyFont="1" applyAlignment="1">
      <alignment horizontal="center"/>
    </xf>
    <xf numFmtId="0" fontId="27" fillId="0" borderId="116" xfId="0" applyFont="1" applyFill="1" applyBorder="1"/>
    <xf numFmtId="0" fontId="27" fillId="0" borderId="52" xfId="0" applyFont="1" applyFill="1" applyBorder="1"/>
    <xf numFmtId="0" fontId="27" fillId="0" borderId="26" xfId="0" applyFont="1" applyFill="1" applyBorder="1"/>
    <xf numFmtId="0" fontId="27" fillId="0" borderId="19" xfId="0" applyFont="1" applyBorder="1"/>
    <xf numFmtId="0" fontId="27" fillId="0" borderId="0" xfId="0" applyFont="1" applyBorder="1" applyAlignment="1">
      <alignment horizont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/>
    <xf numFmtId="0" fontId="0" fillId="39" borderId="0" xfId="0" applyFill="1" applyBorder="1"/>
    <xf numFmtId="0" fontId="10" fillId="40" borderId="0" xfId="0" applyFont="1" applyFill="1"/>
    <xf numFmtId="0" fontId="11" fillId="40" borderId="0" xfId="0" applyFont="1" applyFill="1"/>
    <xf numFmtId="0" fontId="0" fillId="0" borderId="118" xfId="0" applyBorder="1" applyAlignment="1"/>
    <xf numFmtId="0" fontId="0" fillId="0" borderId="134" xfId="0" applyBorder="1" applyAlignment="1"/>
    <xf numFmtId="0" fontId="0" fillId="0" borderId="132" xfId="0" applyFill="1" applyBorder="1"/>
    <xf numFmtId="0" fontId="0" fillId="0" borderId="129" xfId="0" applyFill="1" applyBorder="1"/>
    <xf numFmtId="0" fontId="0" fillId="0" borderId="129" xfId="0" applyFill="1" applyBorder="1" applyAlignment="1">
      <alignment horizontal="right"/>
    </xf>
    <xf numFmtId="0" fontId="0" fillId="0" borderId="24" xfId="0" applyBorder="1" applyAlignment="1"/>
    <xf numFmtId="0" fontId="0" fillId="37" borderId="132" xfId="0" applyFill="1" applyBorder="1"/>
    <xf numFmtId="0" fontId="0" fillId="37" borderId="129" xfId="0" applyFill="1" applyBorder="1"/>
    <xf numFmtId="0" fontId="0" fillId="37" borderId="133" xfId="0" applyFill="1" applyBorder="1"/>
    <xf numFmtId="0" fontId="0" fillId="37" borderId="19" xfId="0" applyFill="1" applyBorder="1"/>
    <xf numFmtId="0" fontId="0" fillId="37" borderId="5" xfId="0" applyFill="1" applyBorder="1"/>
    <xf numFmtId="0" fontId="0" fillId="37" borderId="21" xfId="0" applyFill="1" applyBorder="1"/>
    <xf numFmtId="0" fontId="0" fillId="0" borderId="123" xfId="0" applyFill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/>
    <xf numFmtId="0" fontId="10" fillId="10" borderId="0" xfId="0" applyFont="1" applyFill="1"/>
    <xf numFmtId="0" fontId="0" fillId="10" borderId="0" xfId="0" applyFill="1" applyBorder="1" applyAlignment="1"/>
    <xf numFmtId="0" fontId="10" fillId="10" borderId="0" xfId="0" applyFont="1" applyFill="1" applyAlignment="1">
      <alignment wrapText="1"/>
    </xf>
    <xf numFmtId="0" fontId="36" fillId="10" borderId="0" xfId="0" applyFont="1" applyFill="1" applyAlignment="1">
      <alignment vertical="top" textRotation="90"/>
    </xf>
    <xf numFmtId="0" fontId="11" fillId="10" borderId="0" xfId="0" applyFont="1" applyFill="1"/>
    <xf numFmtId="0" fontId="0" fillId="5" borderId="74" xfId="0" applyFill="1" applyBorder="1"/>
    <xf numFmtId="0" fontId="0" fillId="5" borderId="76" xfId="0" applyFill="1" applyBorder="1"/>
    <xf numFmtId="0" fontId="0" fillId="5" borderId="117" xfId="0" quotePrefix="1" applyFill="1" applyBorder="1"/>
    <xf numFmtId="0" fontId="0" fillId="5" borderId="127" xfId="0" quotePrefix="1" applyFill="1" applyBorder="1" applyAlignment="1">
      <alignment horizontal="center"/>
    </xf>
    <xf numFmtId="0" fontId="0" fillId="5" borderId="126" xfId="0" quotePrefix="1" applyFill="1" applyBorder="1" applyAlignment="1">
      <alignment horizontal="center"/>
    </xf>
    <xf numFmtId="0" fontId="0" fillId="5" borderId="128" xfId="0" quotePrefix="1" applyFill="1" applyBorder="1" applyAlignment="1">
      <alignment horizontal="center"/>
    </xf>
    <xf numFmtId="0" fontId="0" fillId="5" borderId="0" xfId="0" quotePrefix="1" applyFill="1" applyBorder="1" applyAlignment="1">
      <alignment horizontal="center"/>
    </xf>
    <xf numFmtId="0" fontId="0" fillId="5" borderId="2" xfId="0" quotePrefix="1" applyFill="1" applyBorder="1" applyAlignment="1">
      <alignment horizontal="center"/>
    </xf>
    <xf numFmtId="0" fontId="0" fillId="5" borderId="127" xfId="0" applyFill="1" applyBorder="1" applyAlignment="1">
      <alignment horizontal="center"/>
    </xf>
    <xf numFmtId="0" fontId="0" fillId="5" borderId="126" xfId="0" applyFill="1" applyBorder="1" applyAlignment="1">
      <alignment horizontal="center"/>
    </xf>
    <xf numFmtId="0" fontId="0" fillId="5" borderId="126" xfId="0" quotePrefix="1" applyFill="1" applyBorder="1" applyAlignment="1">
      <alignment horizontal="center" vertical="center"/>
    </xf>
    <xf numFmtId="0" fontId="0" fillId="5" borderId="19" xfId="0" quotePrefix="1" applyFill="1" applyBorder="1" applyAlignment="1">
      <alignment horizontal="center"/>
    </xf>
    <xf numFmtId="0" fontId="0" fillId="5" borderId="0" xfId="0" quotePrefix="1" applyFill="1" applyBorder="1" applyAlignment="1">
      <alignment horizontal="center" vertical="center"/>
    </xf>
    <xf numFmtId="0" fontId="0" fillId="5" borderId="24" xfId="0" quotePrefix="1" applyFill="1" applyBorder="1" applyAlignment="1">
      <alignment horizontal="center"/>
    </xf>
    <xf numFmtId="0" fontId="0" fillId="5" borderId="24" xfId="0" quotePrefix="1" applyFill="1" applyBorder="1" applyAlignment="1">
      <alignment horizontal="center" vertical="center"/>
    </xf>
    <xf numFmtId="0" fontId="0" fillId="5" borderId="19" xfId="0" quotePrefix="1" applyFill="1" applyBorder="1" applyAlignment="1">
      <alignment horizontal="center" vertical="center"/>
    </xf>
    <xf numFmtId="0" fontId="0" fillId="5" borderId="21" xfId="0" quotePrefix="1" applyFill="1" applyBorder="1" applyAlignment="1">
      <alignment horizontal="center"/>
    </xf>
    <xf numFmtId="0" fontId="0" fillId="5" borderId="5" xfId="0" quotePrefix="1" applyFill="1" applyBorder="1" applyAlignment="1">
      <alignment horizontal="center"/>
    </xf>
    <xf numFmtId="0" fontId="0" fillId="5" borderId="2" xfId="0" quotePrefix="1" applyFill="1" applyBorder="1" applyAlignment="1">
      <alignment horizontal="center" vertical="center"/>
    </xf>
    <xf numFmtId="0" fontId="0" fillId="5" borderId="21" xfId="0" quotePrefix="1" applyFill="1" applyBorder="1" applyAlignment="1">
      <alignment horizontal="center" vertical="center"/>
    </xf>
    <xf numFmtId="0" fontId="0" fillId="5" borderId="5" xfId="0" quotePrefix="1" applyFill="1" applyBorder="1" applyAlignment="1">
      <alignment horizontal="center" vertical="center"/>
    </xf>
    <xf numFmtId="0" fontId="24" fillId="36" borderId="0" xfId="0" applyFont="1" applyFill="1"/>
    <xf numFmtId="0" fontId="0" fillId="36" borderId="24" xfId="0" applyFill="1" applyBorder="1" applyAlignment="1">
      <alignment horizontal="right"/>
    </xf>
    <xf numFmtId="0" fontId="24" fillId="20" borderId="0" xfId="0" applyFont="1" applyFill="1"/>
    <xf numFmtId="0" fontId="0" fillId="20" borderId="0" xfId="0" applyFill="1" applyAlignment="1">
      <alignment horizontal="right"/>
    </xf>
    <xf numFmtId="0" fontId="36" fillId="10" borderId="0" xfId="0" applyFont="1" applyFill="1" applyBorder="1" applyAlignment="1"/>
    <xf numFmtId="0" fontId="30" fillId="10" borderId="0" xfId="0" applyFont="1" applyFill="1" applyBorder="1" applyAlignment="1"/>
    <xf numFmtId="0" fontId="11" fillId="10" borderId="0" xfId="0" quotePrefix="1" applyFont="1" applyFill="1" applyBorder="1" applyAlignment="1"/>
    <xf numFmtId="0" fontId="36" fillId="10" borderId="0" xfId="0" applyFont="1" applyFill="1" applyBorder="1" applyAlignment="1">
      <alignment vertical="top"/>
    </xf>
    <xf numFmtId="0" fontId="37" fillId="0" borderId="0" xfId="0" applyFont="1" applyFill="1" applyAlignment="1"/>
    <xf numFmtId="0" fontId="15" fillId="0" borderId="0" xfId="0" applyFont="1" applyFill="1" applyAlignment="1">
      <alignment horizontal="right"/>
    </xf>
    <xf numFmtId="0" fontId="14" fillId="0" borderId="0" xfId="0" applyFont="1" applyFill="1"/>
    <xf numFmtId="0" fontId="0" fillId="0" borderId="0" xfId="0" applyAlignment="1">
      <alignment horizontal="center"/>
    </xf>
    <xf numFmtId="0" fontId="0" fillId="0" borderId="24" xfId="0" quotePrefix="1" applyBorder="1"/>
    <xf numFmtId="0" fontId="0" fillId="0" borderId="5" xfId="0" quotePrefix="1" applyBorder="1"/>
    <xf numFmtId="0" fontId="0" fillId="0" borderId="2" xfId="0" quotePrefix="1" applyBorder="1"/>
    <xf numFmtId="0" fontId="34" fillId="0" borderId="0" xfId="0" applyFont="1" applyFill="1"/>
    <xf numFmtId="0" fontId="30" fillId="0" borderId="0" xfId="0" applyFont="1" applyFill="1"/>
    <xf numFmtId="0" fontId="34" fillId="0" borderId="0" xfId="0" applyFont="1"/>
    <xf numFmtId="0" fontId="24" fillId="0" borderId="0" xfId="0" applyFont="1" applyFill="1"/>
    <xf numFmtId="0" fontId="24" fillId="0" borderId="0" xfId="0" applyFont="1" applyFill="1" applyAlignment="1">
      <alignment horizontal="left" indent="1"/>
    </xf>
    <xf numFmtId="0" fontId="41" fillId="0" borderId="0" xfId="0" applyFont="1" applyFill="1"/>
    <xf numFmtId="0" fontId="0" fillId="17" borderId="0" xfId="0" applyFill="1" applyBorder="1"/>
    <xf numFmtId="0" fontId="34" fillId="0" borderId="0" xfId="0" applyFont="1" applyAlignment="1">
      <alignment horizontal="left" indent="1"/>
    </xf>
    <xf numFmtId="0" fontId="0" fillId="0" borderId="132" xfId="0" applyBorder="1" applyAlignment="1">
      <alignment horizontal="right"/>
    </xf>
    <xf numFmtId="0" fontId="0" fillId="0" borderId="129" xfId="0" applyBorder="1" applyAlignment="1">
      <alignment horizontal="right"/>
    </xf>
    <xf numFmtId="0" fontId="0" fillId="0" borderId="0" xfId="0" applyNumberFormat="1" applyFill="1"/>
    <xf numFmtId="166" fontId="0" fillId="0" borderId="132" xfId="0" applyNumberFormat="1" applyBorder="1"/>
    <xf numFmtId="166" fontId="0" fillId="0" borderId="4" xfId="0" applyNumberFormat="1" applyBorder="1"/>
    <xf numFmtId="0" fontId="0" fillId="0" borderId="132" xfId="0" applyNumberFormat="1" applyBorder="1"/>
    <xf numFmtId="0" fontId="0" fillId="0" borderId="4" xfId="0" applyNumberFormat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92" xfId="0" applyFont="1" applyBorder="1"/>
    <xf numFmtId="0" fontId="0" fillId="0" borderId="0" xfId="0" applyFont="1" applyFill="1" applyBorder="1" applyAlignment="1">
      <alignment horizontal="right"/>
    </xf>
    <xf numFmtId="14" fontId="0" fillId="0" borderId="0" xfId="0" quotePrefix="1" applyNumberFormat="1"/>
    <xf numFmtId="0" fontId="0" fillId="0" borderId="0" xfId="0" quotePrefix="1" applyAlignment="1">
      <alignment horizontal="center"/>
    </xf>
    <xf numFmtId="0" fontId="34" fillId="0" borderId="0" xfId="0" applyFont="1" applyAlignment="1"/>
    <xf numFmtId="0" fontId="30" fillId="0" borderId="0" xfId="0" applyFont="1"/>
    <xf numFmtId="0" fontId="42" fillId="9" borderId="0" xfId="0" applyFont="1" applyFill="1"/>
    <xf numFmtId="0" fontId="30" fillId="0" borderId="0" xfId="0" applyFont="1" applyFill="1" applyAlignment="1">
      <alignment horizontal="left" vertical="center" indent="1"/>
    </xf>
    <xf numFmtId="0" fontId="0" fillId="0" borderId="142" xfId="0" applyBorder="1"/>
    <xf numFmtId="0" fontId="0" fillId="13" borderId="142" xfId="0" applyFill="1" applyBorder="1"/>
    <xf numFmtId="0" fontId="0" fillId="0" borderId="143" xfId="0" applyFill="1" applyBorder="1"/>
    <xf numFmtId="0" fontId="0" fillId="0" borderId="144" xfId="0" applyFill="1" applyBorder="1"/>
    <xf numFmtId="0" fontId="0" fillId="0" borderId="145" xfId="0" applyFill="1" applyBorder="1"/>
    <xf numFmtId="0" fontId="0" fillId="0" borderId="146" xfId="0" applyFill="1" applyBorder="1"/>
    <xf numFmtId="0" fontId="0" fillId="0" borderId="147" xfId="0" applyFill="1" applyBorder="1"/>
    <xf numFmtId="0" fontId="0" fillId="0" borderId="151" xfId="0" applyFill="1" applyBorder="1"/>
    <xf numFmtId="0" fontId="0" fillId="0" borderId="152" xfId="0" applyFill="1" applyBorder="1"/>
    <xf numFmtId="0" fontId="0" fillId="0" borderId="153" xfId="0" applyFill="1" applyBorder="1"/>
    <xf numFmtId="0" fontId="0" fillId="0" borderId="154" xfId="0" applyFill="1" applyBorder="1"/>
    <xf numFmtId="0" fontId="0" fillId="0" borderId="0" xfId="0" applyFill="1" applyBorder="1" applyProtection="1">
      <protection hidden="1"/>
    </xf>
    <xf numFmtId="0" fontId="0" fillId="0" borderId="148" xfId="0" applyFill="1" applyBorder="1"/>
    <xf numFmtId="0" fontId="0" fillId="0" borderId="149" xfId="0" applyFill="1" applyBorder="1"/>
    <xf numFmtId="0" fontId="0" fillId="0" borderId="150" xfId="0" applyFill="1" applyBorder="1"/>
    <xf numFmtId="0" fontId="43" fillId="0" borderId="0" xfId="0" applyFont="1" applyFill="1" applyBorder="1"/>
    <xf numFmtId="0" fontId="43" fillId="0" borderId="154" xfId="0" applyFont="1" applyFill="1" applyBorder="1"/>
    <xf numFmtId="0" fontId="0" fillId="0" borderId="138" xfId="0" applyFill="1" applyBorder="1"/>
    <xf numFmtId="0" fontId="0" fillId="0" borderId="158" xfId="0" applyFill="1" applyBorder="1"/>
    <xf numFmtId="0" fontId="0" fillId="0" borderId="159" xfId="0" applyFill="1" applyBorder="1"/>
    <xf numFmtId="0" fontId="0" fillId="0" borderId="160" xfId="0" applyFill="1" applyBorder="1"/>
    <xf numFmtId="0" fontId="0" fillId="0" borderId="161" xfId="0" applyFill="1" applyBorder="1"/>
    <xf numFmtId="0" fontId="0" fillId="0" borderId="162" xfId="0" applyFill="1" applyBorder="1"/>
    <xf numFmtId="0" fontId="44" fillId="0" borderId="0" xfId="0" applyFont="1" applyAlignment="1"/>
    <xf numFmtId="0" fontId="32" fillId="0" borderId="0" xfId="0" applyFont="1" applyAlignment="1"/>
    <xf numFmtId="0" fontId="45" fillId="0" borderId="0" xfId="0" applyFont="1" applyFill="1" applyBorder="1" applyAlignment="1"/>
    <xf numFmtId="0" fontId="1" fillId="0" borderId="0" xfId="0" applyFont="1" applyFill="1" applyBorder="1"/>
    <xf numFmtId="0" fontId="0" fillId="0" borderId="163" xfId="0" applyBorder="1"/>
    <xf numFmtId="0" fontId="31" fillId="0" borderId="154" xfId="0" applyFont="1" applyFill="1" applyBorder="1"/>
    <xf numFmtId="0" fontId="46" fillId="0" borderId="0" xfId="5"/>
    <xf numFmtId="0" fontId="0" fillId="0" borderId="0" xfId="0" applyAlignment="1">
      <alignment horizontal="center"/>
    </xf>
    <xf numFmtId="0" fontId="35" fillId="10" borderId="0" xfId="0" applyFont="1" applyFill="1" applyBorder="1" applyAlignment="1">
      <alignment vertical="center" textRotation="90"/>
    </xf>
    <xf numFmtId="167" fontId="35" fillId="10" borderId="0" xfId="0" applyNumberFormat="1" applyFont="1" applyFill="1" applyBorder="1" applyAlignment="1">
      <alignment vertical="center" textRotation="135"/>
    </xf>
    <xf numFmtId="0" fontId="35" fillId="10" borderId="0" xfId="0" applyFont="1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5" borderId="116" xfId="0" quotePrefix="1" applyFill="1" applyBorder="1"/>
    <xf numFmtId="0" fontId="0" fillId="5" borderId="52" xfId="0" applyFill="1" applyBorder="1"/>
    <xf numFmtId="0" fontId="0" fillId="5" borderId="52" xfId="0" quotePrefix="1" applyFill="1" applyBorder="1"/>
    <xf numFmtId="0" fontId="0" fillId="5" borderId="26" xfId="0" quotePrefix="1" applyFill="1" applyBorder="1"/>
    <xf numFmtId="0" fontId="36" fillId="0" borderId="0" xfId="0" applyFont="1"/>
    <xf numFmtId="0" fontId="0" fillId="0" borderId="24" xfId="0" applyNumberFormat="1" applyBorder="1"/>
    <xf numFmtId="0" fontId="47" fillId="0" borderId="0" xfId="0" applyFont="1"/>
    <xf numFmtId="0" fontId="14" fillId="0" borderId="0" xfId="0" applyFont="1" applyFill="1" applyBorder="1"/>
    <xf numFmtId="0" fontId="43" fillId="0" borderId="0" xfId="0" applyFont="1"/>
    <xf numFmtId="0" fontId="0" fillId="11" borderId="19" xfId="0" applyFill="1" applyBorder="1" applyAlignment="1">
      <alignment horizontal="right"/>
    </xf>
    <xf numFmtId="0" fontId="0" fillId="11" borderId="21" xfId="0" applyFill="1" applyBorder="1" applyAlignment="1">
      <alignment horizontal="right"/>
    </xf>
    <xf numFmtId="0" fontId="48" fillId="0" borderId="0" xfId="0" applyFont="1" applyFill="1" applyBorder="1"/>
    <xf numFmtId="0" fontId="48" fillId="0" borderId="0" xfId="0" applyFont="1"/>
    <xf numFmtId="0" fontId="0" fillId="10" borderId="0" xfId="0" applyFill="1" applyBorder="1" applyAlignment="1">
      <alignment textRotation="90"/>
    </xf>
    <xf numFmtId="0" fontId="0" fillId="10" borderId="165" xfId="0" applyFill="1" applyBorder="1"/>
    <xf numFmtId="0" fontId="35" fillId="10" borderId="165" xfId="0" applyFont="1" applyFill="1" applyBorder="1" applyAlignment="1"/>
    <xf numFmtId="0" fontId="0" fillId="10" borderId="166" xfId="0" applyFill="1" applyBorder="1"/>
    <xf numFmtId="0" fontId="0" fillId="10" borderId="168" xfId="0" applyFill="1" applyBorder="1"/>
    <xf numFmtId="0" fontId="0" fillId="0" borderId="168" xfId="0" applyBorder="1"/>
    <xf numFmtId="0" fontId="0" fillId="10" borderId="167" xfId="0" applyFill="1" applyBorder="1"/>
    <xf numFmtId="0" fontId="35" fillId="10" borderId="167" xfId="0" applyFont="1" applyFill="1" applyBorder="1" applyAlignment="1">
      <alignment vertical="center" textRotation="90"/>
    </xf>
    <xf numFmtId="0" fontId="0" fillId="10" borderId="168" xfId="0" applyFill="1" applyBorder="1" applyAlignment="1"/>
    <xf numFmtId="0" fontId="0" fillId="10" borderId="168" xfId="0" applyFill="1" applyBorder="1" applyAlignment="1">
      <alignment vertical="center"/>
    </xf>
    <xf numFmtId="0" fontId="0" fillId="0" borderId="170" xfId="0" applyBorder="1"/>
    <xf numFmtId="0" fontId="0" fillId="10" borderId="170" xfId="0" applyFill="1" applyBorder="1"/>
    <xf numFmtId="0" fontId="0" fillId="0" borderId="164" xfId="0" applyBorder="1"/>
    <xf numFmtId="0" fontId="0" fillId="0" borderId="167" xfId="0" applyBorder="1"/>
    <xf numFmtId="0" fontId="0" fillId="0" borderId="0" xfId="0" applyAlignment="1">
      <alignment horizontal="center"/>
    </xf>
    <xf numFmtId="0" fontId="0" fillId="0" borderId="118" xfId="0" quotePrefix="1" applyBorder="1"/>
    <xf numFmtId="0" fontId="13" fillId="0" borderId="0" xfId="0" applyFont="1" applyFill="1"/>
    <xf numFmtId="0" fontId="4" fillId="0" borderId="0" xfId="0" applyFont="1" applyFill="1" applyAlignment="1">
      <alignment horizontal="left" indent="1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41" borderId="0" xfId="0" applyFont="1" applyFill="1"/>
    <xf numFmtId="0" fontId="13" fillId="41" borderId="0" xfId="0" applyFont="1" applyFill="1"/>
    <xf numFmtId="0" fontId="0" fillId="41" borderId="0" xfId="0" applyFill="1"/>
    <xf numFmtId="0" fontId="4" fillId="41" borderId="0" xfId="0" applyFont="1" applyFill="1" applyAlignment="1">
      <alignment horizontal="left" indent="1"/>
    </xf>
    <xf numFmtId="0" fontId="0" fillId="41" borderId="0" xfId="0" applyFill="1" applyAlignment="1">
      <alignment horizontal="right"/>
    </xf>
    <xf numFmtId="0" fontId="4" fillId="41" borderId="0" xfId="0" applyFont="1" applyFill="1" applyAlignment="1">
      <alignment horizontal="left"/>
    </xf>
    <xf numFmtId="164" fontId="0" fillId="0" borderId="130" xfId="0" applyNumberFormat="1" applyBorder="1"/>
    <xf numFmtId="164" fontId="0" fillId="0" borderId="52" xfId="0" applyNumberFormat="1" applyBorder="1"/>
    <xf numFmtId="164" fontId="0" fillId="0" borderId="26" xfId="0" applyNumberFormat="1" applyBorder="1"/>
    <xf numFmtId="0" fontId="27" fillId="10" borderId="171" xfId="0" applyFont="1" applyFill="1" applyBorder="1" applyAlignment="1">
      <alignment horizontal="right"/>
    </xf>
    <xf numFmtId="0" fontId="49" fillId="9" borderId="34" xfId="0" applyFont="1" applyFill="1" applyBorder="1"/>
    <xf numFmtId="0" fontId="0" fillId="0" borderId="0" xfId="0" applyNumberFormat="1" applyAlignment="1">
      <alignment horizontal="left"/>
    </xf>
    <xf numFmtId="0" fontId="29" fillId="0" borderId="0" xfId="0" applyFont="1" applyAlignment="1">
      <alignment vertical="top" wrapText="1"/>
    </xf>
    <xf numFmtId="0" fontId="0" fillId="25" borderId="0" xfId="0" applyFill="1"/>
    <xf numFmtId="0" fontId="29" fillId="0" borderId="0" xfId="0" applyFont="1" applyFill="1"/>
    <xf numFmtId="0" fontId="50" fillId="0" borderId="20" xfId="0" applyFont="1" applyBorder="1"/>
    <xf numFmtId="0" fontId="50" fillId="0" borderId="0" xfId="0" applyFont="1" applyBorder="1"/>
    <xf numFmtId="0" fontId="50" fillId="0" borderId="2" xfId="0" applyFont="1" applyBorder="1"/>
    <xf numFmtId="0" fontId="51" fillId="0" borderId="0" xfId="0" applyFont="1" applyFill="1" applyBorder="1"/>
    <xf numFmtId="0" fontId="51" fillId="0" borderId="0" xfId="0" applyFont="1"/>
    <xf numFmtId="0" fontId="52" fillId="0" borderId="0" xfId="0" applyFont="1" applyAlignment="1">
      <alignment horizontal="center"/>
    </xf>
    <xf numFmtId="0" fontId="52" fillId="0" borderId="0" xfId="0" applyFont="1"/>
    <xf numFmtId="0" fontId="0" fillId="0" borderId="129" xfId="0" applyBorder="1" applyAlignment="1">
      <alignment horizontal="left"/>
    </xf>
    <xf numFmtId="0" fontId="34" fillId="0" borderId="0" xfId="0" applyFont="1" applyAlignment="1">
      <alignment vertical="center"/>
    </xf>
    <xf numFmtId="0" fontId="30" fillId="0" borderId="0" xfId="0" applyFont="1" applyFill="1" applyAlignment="1">
      <alignment horizontal="left" indent="2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6" fillId="14" borderId="52" xfId="0" applyNumberFormat="1" applyFont="1" applyFill="1" applyBorder="1" applyAlignment="1" applyProtection="1">
      <alignment wrapText="1"/>
    </xf>
    <xf numFmtId="0" fontId="6" fillId="0" borderId="24" xfId="0" applyNumberFormat="1" applyFont="1" applyFill="1" applyBorder="1" applyAlignment="1" applyProtection="1">
      <alignment wrapText="1"/>
    </xf>
    <xf numFmtId="0" fontId="6" fillId="14" borderId="0" xfId="0" applyNumberFormat="1" applyFont="1" applyFill="1" applyBorder="1" applyAlignment="1" applyProtection="1">
      <alignment wrapText="1"/>
    </xf>
    <xf numFmtId="0" fontId="6" fillId="26" borderId="0" xfId="0" applyNumberFormat="1" applyFont="1" applyFill="1" applyBorder="1" applyAlignment="1" applyProtection="1">
      <alignment wrapText="1"/>
    </xf>
    <xf numFmtId="0" fontId="6" fillId="30" borderId="0" xfId="0" applyNumberFormat="1" applyFont="1" applyFill="1" applyBorder="1" applyAlignment="1" applyProtection="1">
      <alignment wrapText="1"/>
    </xf>
    <xf numFmtId="0" fontId="6" fillId="33" borderId="0" xfId="0" applyNumberFormat="1" applyFont="1" applyFill="1" applyBorder="1" applyAlignment="1" applyProtection="1">
      <alignment wrapText="1"/>
    </xf>
    <xf numFmtId="0" fontId="6" fillId="29" borderId="0" xfId="0" applyNumberFormat="1" applyFont="1" applyFill="1" applyBorder="1" applyAlignment="1" applyProtection="1">
      <alignment wrapText="1"/>
    </xf>
    <xf numFmtId="0" fontId="6" fillId="29" borderId="0" xfId="0" applyNumberFormat="1" applyFont="1" applyFill="1" applyAlignment="1" applyProtection="1">
      <alignment wrapText="1"/>
    </xf>
    <xf numFmtId="0" fontId="6" fillId="11" borderId="0" xfId="0" applyNumberFormat="1" applyFont="1" applyFill="1" applyBorder="1" applyAlignment="1" applyProtection="1">
      <alignment wrapText="1"/>
    </xf>
    <xf numFmtId="0" fontId="6" fillId="0" borderId="50" xfId="0" applyNumberFormat="1" applyFont="1" applyFill="1" applyBorder="1" applyAlignment="1" applyProtection="1">
      <alignment wrapText="1"/>
    </xf>
    <xf numFmtId="0" fontId="52" fillId="0" borderId="123" xfId="0" applyFont="1" applyBorder="1"/>
    <xf numFmtId="0" fontId="0" fillId="38" borderId="0" xfId="0" applyFill="1"/>
    <xf numFmtId="0" fontId="30" fillId="0" borderId="0" xfId="0" applyFont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quotePrefix="1" applyFill="1" applyAlignment="1">
      <alignment horizontal="center"/>
    </xf>
    <xf numFmtId="0" fontId="0" fillId="0" borderId="19" xfId="0" quotePrefix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5" borderId="52" xfId="0" quotePrefix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3" fillId="0" borderId="0" xfId="0" applyFont="1"/>
    <xf numFmtId="0" fontId="54" fillId="0" borderId="0" xfId="0" applyFont="1"/>
    <xf numFmtId="0" fontId="54" fillId="0" borderId="15" xfId="0" applyFont="1" applyBorder="1"/>
    <xf numFmtId="0" fontId="54" fillId="0" borderId="24" xfId="0" applyFont="1" applyBorder="1"/>
    <xf numFmtId="0" fontId="54" fillId="0" borderId="88" xfId="0" applyFont="1" applyBorder="1"/>
    <xf numFmtId="0" fontId="55" fillId="0" borderId="16" xfId="0" applyNumberFormat="1" applyFont="1" applyFill="1" applyBorder="1" applyAlignment="1" applyProtection="1">
      <alignment wrapText="1"/>
    </xf>
    <xf numFmtId="0" fontId="6" fillId="0" borderId="172" xfId="3" applyFont="1" applyFill="1" applyBorder="1" applyAlignment="1">
      <alignment wrapText="1"/>
    </xf>
    <xf numFmtId="0" fontId="0" fillId="5" borderId="11" xfId="0" applyFill="1" applyBorder="1"/>
    <xf numFmtId="0" fontId="0" fillId="0" borderId="173" xfId="0" applyBorder="1"/>
    <xf numFmtId="0" fontId="0" fillId="0" borderId="176" xfId="0" applyBorder="1"/>
    <xf numFmtId="0" fontId="14" fillId="0" borderId="0" xfId="0" applyFont="1"/>
    <xf numFmtId="0" fontId="14" fillId="10" borderId="0" xfId="0" applyFont="1" applyFill="1" applyAlignment="1">
      <alignment wrapText="1"/>
    </xf>
    <xf numFmtId="0" fontId="56" fillId="9" borderId="0" xfId="0" applyFont="1" applyFill="1"/>
    <xf numFmtId="0" fontId="0" fillId="0" borderId="0" xfId="0" quotePrefix="1" applyFill="1" applyBorder="1"/>
    <xf numFmtId="0" fontId="0" fillId="0" borderId="0" xfId="0" applyFill="1" applyBorder="1" applyAlignment="1">
      <alignment wrapText="1"/>
    </xf>
    <xf numFmtId="0" fontId="27" fillId="10" borderId="169" xfId="0" applyFont="1" applyFill="1" applyBorder="1"/>
    <xf numFmtId="0" fontId="0" fillId="0" borderId="0" xfId="0" applyBorder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0" fontId="31" fillId="10" borderId="0" xfId="0" applyFont="1" applyFill="1" applyBorder="1" applyAlignment="1">
      <alignment vertical="center"/>
    </xf>
    <xf numFmtId="0" fontId="0" fillId="10" borderId="8" xfId="0" applyFill="1" applyBorder="1"/>
    <xf numFmtId="0" fontId="0" fillId="10" borderId="8" xfId="0" applyFill="1" applyBorder="1" applyAlignment="1">
      <alignment horizontal="left" vertical="top"/>
    </xf>
    <xf numFmtId="0" fontId="0" fillId="10" borderId="8" xfId="0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45" fillId="0" borderId="8" xfId="0" applyFont="1" applyFill="1" applyBorder="1" applyAlignment="1"/>
    <xf numFmtId="0" fontId="37" fillId="0" borderId="8" xfId="0" applyFont="1" applyFill="1" applyBorder="1" applyAlignment="1"/>
    <xf numFmtId="0" fontId="43" fillId="0" borderId="8" xfId="0" applyFont="1" applyFill="1" applyBorder="1" applyAlignment="1">
      <alignment vertical="top"/>
    </xf>
    <xf numFmtId="0" fontId="57" fillId="0" borderId="0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42" borderId="0" xfId="0" applyFill="1"/>
    <xf numFmtId="0" fontId="0" fillId="43" borderId="0" xfId="0" applyFill="1"/>
    <xf numFmtId="166" fontId="0" fillId="43" borderId="0" xfId="0" applyNumberFormat="1" applyFill="1"/>
    <xf numFmtId="0" fontId="0" fillId="0" borderId="0" xfId="0" applyFill="1" applyAlignment="1">
      <alignment horizontal="left"/>
    </xf>
    <xf numFmtId="0" fontId="0" fillId="0" borderId="177" xfId="0" applyFill="1" applyBorder="1"/>
    <xf numFmtId="0" fontId="43" fillId="0" borderId="2" xfId="0" applyFont="1" applyFill="1" applyBorder="1"/>
    <xf numFmtId="0" fontId="43" fillId="0" borderId="0" xfId="0" applyFont="1" applyBorder="1"/>
    <xf numFmtId="0" fontId="0" fillId="0" borderId="0" xfId="0" applyFill="1" applyBorder="1"/>
    <xf numFmtId="0" fontId="0" fillId="0" borderId="177" xfId="0" applyFill="1" applyBorder="1"/>
    <xf numFmtId="0" fontId="0" fillId="0" borderId="2" xfId="0" applyFill="1" applyBorder="1"/>
    <xf numFmtId="0" fontId="0" fillId="0" borderId="87" xfId="0" applyBorder="1"/>
    <xf numFmtId="0" fontId="0" fillId="8" borderId="87" xfId="0" applyFill="1" applyBorder="1"/>
    <xf numFmtId="0" fontId="0" fillId="8" borderId="179" xfId="0" applyFill="1" applyBorder="1"/>
    <xf numFmtId="0" fontId="43" fillId="8" borderId="87" xfId="0" applyFont="1" applyFill="1" applyBorder="1"/>
    <xf numFmtId="0" fontId="0" fillId="8" borderId="180" xfId="0" applyFill="1" applyBorder="1"/>
    <xf numFmtId="0" fontId="0" fillId="11" borderId="87" xfId="0" applyFill="1" applyBorder="1"/>
    <xf numFmtId="0" fontId="0" fillId="11" borderId="179" xfId="0" applyFill="1" applyBorder="1"/>
    <xf numFmtId="0" fontId="0" fillId="0" borderId="87" xfId="0" applyFill="1" applyBorder="1"/>
    <xf numFmtId="0" fontId="0" fillId="8" borderId="73" xfId="0" applyFill="1" applyBorder="1"/>
    <xf numFmtId="0" fontId="0" fillId="8" borderId="182" xfId="0" applyFill="1" applyBorder="1"/>
    <xf numFmtId="0" fontId="0" fillId="0" borderId="182" xfId="0" applyBorder="1"/>
    <xf numFmtId="0" fontId="0" fillId="0" borderId="178" xfId="0" applyBorder="1"/>
    <xf numFmtId="0" fontId="0" fillId="0" borderId="181" xfId="0" applyBorder="1" applyAlignment="1">
      <alignment horizontal="center"/>
    </xf>
    <xf numFmtId="0" fontId="0" fillId="0" borderId="183" xfId="0" applyBorder="1" applyAlignment="1">
      <alignment horizontal="center"/>
    </xf>
    <xf numFmtId="0" fontId="0" fillId="0" borderId="184" xfId="0" applyBorder="1" applyAlignment="1">
      <alignment horizontal="center"/>
    </xf>
    <xf numFmtId="0" fontId="0" fillId="0" borderId="181" xfId="0" applyFill="1" applyBorder="1"/>
    <xf numFmtId="2" fontId="0" fillId="0" borderId="0" xfId="0" applyNumberFormat="1"/>
    <xf numFmtId="0" fontId="0" fillId="3" borderId="194" xfId="0" applyFill="1" applyBorder="1" applyAlignment="1">
      <alignment horizontal="center"/>
    </xf>
    <xf numFmtId="0" fontId="0" fillId="0" borderId="2" xfId="0" quotePrefix="1" applyFill="1" applyBorder="1"/>
    <xf numFmtId="0" fontId="43" fillId="3" borderId="87" xfId="0" applyFont="1" applyFill="1" applyBorder="1"/>
    <xf numFmtId="0" fontId="43" fillId="3" borderId="0" xfId="0" applyFont="1" applyFill="1"/>
    <xf numFmtId="0" fontId="58" fillId="0" borderId="0" xfId="0" applyFont="1"/>
    <xf numFmtId="0" fontId="59" fillId="0" borderId="0" xfId="0" applyFont="1" applyAlignment="1">
      <alignment vertical="center"/>
    </xf>
    <xf numFmtId="0" fontId="60" fillId="0" borderId="0" xfId="0" applyFont="1"/>
    <xf numFmtId="0" fontId="43" fillId="0" borderId="2" xfId="0" applyFont="1" applyBorder="1"/>
    <xf numFmtId="0" fontId="43" fillId="0" borderId="129" xfId="0" applyFont="1" applyFill="1" applyBorder="1"/>
    <xf numFmtId="0" fontId="0" fillId="0" borderId="174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0" fillId="0" borderId="174" xfId="0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8" borderId="12" xfId="0" applyNumberFormat="1" applyFill="1" applyBorder="1" applyAlignment="1">
      <alignment horizontal="center"/>
    </xf>
    <xf numFmtId="164" fontId="0" fillId="8" borderId="79" xfId="0" applyNumberFormat="1" applyFill="1" applyBorder="1" applyAlignment="1">
      <alignment horizontal="center"/>
    </xf>
    <xf numFmtId="164" fontId="0" fillId="8" borderId="13" xfId="0" applyNumberFormat="1" applyFill="1" applyBorder="1" applyAlignment="1">
      <alignment horizontal="center"/>
    </xf>
    <xf numFmtId="0" fontId="0" fillId="0" borderId="33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/>
    </xf>
    <xf numFmtId="0" fontId="0" fillId="0" borderId="34" xfId="0" applyFont="1" applyBorder="1" applyAlignment="1">
      <alignment horizontal="center" vertical="top"/>
    </xf>
    <xf numFmtId="0" fontId="0" fillId="0" borderId="33" xfId="0" applyFont="1" applyBorder="1" applyAlignment="1">
      <alignment horizontal="center" vertical="top"/>
    </xf>
    <xf numFmtId="0" fontId="0" fillId="0" borderId="35" xfId="0" applyFont="1" applyBorder="1" applyAlignment="1">
      <alignment horizontal="center" vertical="top"/>
    </xf>
    <xf numFmtId="0" fontId="0" fillId="0" borderId="36" xfId="0" applyFont="1" applyBorder="1" applyAlignment="1">
      <alignment horizontal="center" vertical="top"/>
    </xf>
    <xf numFmtId="0" fontId="0" fillId="0" borderId="37" xfId="0" applyFont="1" applyBorder="1" applyAlignment="1">
      <alignment horizontal="center" vertical="top"/>
    </xf>
    <xf numFmtId="164" fontId="16" fillId="0" borderId="77" xfId="0" applyNumberFormat="1" applyFont="1" applyBorder="1" applyAlignment="1">
      <alignment horizontal="center" vertical="center"/>
    </xf>
    <xf numFmtId="164" fontId="16" fillId="0" borderId="78" xfId="0" applyNumberFormat="1" applyFont="1" applyBorder="1" applyAlignment="1">
      <alignment horizontal="center" vertical="center"/>
    </xf>
    <xf numFmtId="164" fontId="16" fillId="0" borderId="24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/>
    </xf>
    <xf numFmtId="0" fontId="30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164" fontId="13" fillId="0" borderId="2" xfId="0" applyNumberFormat="1" applyFont="1" applyBorder="1" applyAlignment="1">
      <alignment horizontal="center"/>
    </xf>
    <xf numFmtId="0" fontId="0" fillId="0" borderId="31" xfId="0" applyFont="1" applyBorder="1" applyAlignment="1">
      <alignment horizontal="center" vertical="top" wrapText="1"/>
    </xf>
    <xf numFmtId="0" fontId="0" fillId="0" borderId="32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34" xfId="0" applyFont="1" applyBorder="1" applyAlignment="1">
      <alignment horizontal="center" vertical="top" wrapText="1"/>
    </xf>
    <xf numFmtId="0" fontId="0" fillId="0" borderId="36" xfId="0" applyFont="1" applyBorder="1" applyAlignment="1">
      <alignment horizontal="center" vertical="top" wrapText="1"/>
    </xf>
    <xf numFmtId="0" fontId="0" fillId="0" borderId="3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0" fillId="8" borderId="91" xfId="0" applyNumberFormat="1" applyFill="1" applyBorder="1" applyAlignment="1">
      <alignment horizontal="center"/>
    </xf>
    <xf numFmtId="164" fontId="0" fillId="8" borderId="92" xfId="0" applyNumberFormat="1" applyFill="1" applyBorder="1" applyAlignment="1">
      <alignment horizontal="center"/>
    </xf>
    <xf numFmtId="164" fontId="0" fillId="8" borderId="98" xfId="0" applyNumberFormat="1" applyFill="1" applyBorder="1" applyAlignment="1">
      <alignment horizontal="center"/>
    </xf>
    <xf numFmtId="0" fontId="0" fillId="0" borderId="39" xfId="0" applyBorder="1" applyAlignment="1">
      <alignment horizontal="center" vertical="top" wrapText="1"/>
    </xf>
    <xf numFmtId="0" fontId="0" fillId="0" borderId="39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9" xfId="4" applyNumberFormat="1" applyFont="1" applyBorder="1" applyAlignment="1">
      <alignment horizontal="center" vertical="top" wrapText="1"/>
    </xf>
    <xf numFmtId="0" fontId="0" fillId="0" borderId="39" xfId="4" applyNumberFormat="1" applyFont="1" applyBorder="1" applyAlignment="1">
      <alignment horizontal="center" vertical="top"/>
    </xf>
    <xf numFmtId="0" fontId="0" fillId="0" borderId="38" xfId="4" applyNumberFormat="1" applyFont="1" applyBorder="1" applyAlignment="1">
      <alignment horizontal="center" vertical="top"/>
    </xf>
    <xf numFmtId="0" fontId="0" fillId="0" borderId="43" xfId="0" applyBorder="1" applyAlignment="1">
      <alignment horizontal="center" vertical="center" textRotation="90"/>
    </xf>
    <xf numFmtId="0" fontId="0" fillId="0" borderId="44" xfId="0" applyBorder="1" applyAlignment="1">
      <alignment horizontal="center" vertical="center" textRotation="90"/>
    </xf>
    <xf numFmtId="0" fontId="0" fillId="0" borderId="45" xfId="0" applyBorder="1" applyAlignment="1">
      <alignment horizontal="center" vertical="center" textRotation="90"/>
    </xf>
    <xf numFmtId="0" fontId="0" fillId="0" borderId="0" xfId="0" applyAlignment="1">
      <alignment horizontal="center" shrinkToFit="1"/>
    </xf>
    <xf numFmtId="164" fontId="16" fillId="0" borderId="17" xfId="0" applyNumberFormat="1" applyFont="1" applyBorder="1" applyAlignment="1">
      <alignment horizontal="center" vertical="center"/>
    </xf>
    <xf numFmtId="164" fontId="16" fillId="0" borderId="20" xfId="0" applyNumberFormat="1" applyFont="1" applyBorder="1" applyAlignment="1">
      <alignment horizontal="center" vertical="center"/>
    </xf>
    <xf numFmtId="164" fontId="16" fillId="0" borderId="46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8" xfId="0" applyNumberFormat="1" applyFont="1" applyBorder="1" applyAlignment="1">
      <alignment horizontal="center" vertical="center"/>
    </xf>
    <xf numFmtId="0" fontId="36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0" fillId="0" borderId="31" xfId="0" applyBorder="1" applyAlignment="1">
      <alignment horizontal="center" vertical="top" wrapText="1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164" fontId="22" fillId="0" borderId="0" xfId="0" applyNumberFormat="1" applyFont="1" applyBorder="1" applyAlignment="1">
      <alignment horizontal="center" vertical="center" shrinkToFit="1"/>
    </xf>
    <xf numFmtId="0" fontId="0" fillId="0" borderId="139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13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/>
    </xf>
    <xf numFmtId="0" fontId="0" fillId="7" borderId="24" xfId="0" applyFill="1" applyBorder="1" applyAlignment="1">
      <alignment horizontal="center" shrinkToFit="1"/>
    </xf>
    <xf numFmtId="0" fontId="0" fillId="7" borderId="19" xfId="0" applyFill="1" applyBorder="1" applyAlignment="1">
      <alignment horizontal="center" shrinkToFit="1"/>
    </xf>
    <xf numFmtId="0" fontId="0" fillId="0" borderId="35" xfId="0" applyFont="1" applyBorder="1" applyAlignment="1">
      <alignment horizontal="center" vertical="top" wrapText="1"/>
    </xf>
    <xf numFmtId="164" fontId="16" fillId="0" borderId="83" xfId="0" applyNumberFormat="1" applyFont="1" applyBorder="1" applyAlignment="1">
      <alignment horizontal="center" vertical="center"/>
    </xf>
    <xf numFmtId="164" fontId="16" fillId="0" borderId="82" xfId="0" applyNumberFormat="1" applyFont="1" applyBorder="1" applyAlignment="1">
      <alignment horizontal="center" vertical="center"/>
    </xf>
    <xf numFmtId="164" fontId="16" fillId="0" borderId="84" xfId="0" applyNumberFormat="1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164" fontId="13" fillId="0" borderId="99" xfId="0" applyNumberFormat="1" applyFont="1" applyBorder="1" applyAlignment="1">
      <alignment horizontal="center"/>
    </xf>
    <xf numFmtId="0" fontId="36" fillId="0" borderId="0" xfId="0" applyFont="1" applyAlignment="1">
      <alignment horizontal="left" wrapText="1"/>
    </xf>
    <xf numFmtId="164" fontId="13" fillId="0" borderId="86" xfId="0" applyNumberFormat="1" applyFont="1" applyBorder="1" applyAlignment="1">
      <alignment horizontal="center"/>
    </xf>
    <xf numFmtId="0" fontId="1" fillId="0" borderId="78" xfId="0" applyFont="1" applyBorder="1" applyAlignment="1">
      <alignment horizontal="left"/>
    </xf>
    <xf numFmtId="0" fontId="0" fillId="10" borderId="165" xfId="0" applyFill="1" applyBorder="1" applyAlignment="1">
      <alignment horizontal="center" textRotation="90"/>
    </xf>
    <xf numFmtId="0" fontId="0" fillId="10" borderId="0" xfId="0" applyFill="1" applyBorder="1" applyAlignment="1">
      <alignment horizontal="center" textRotation="90"/>
    </xf>
    <xf numFmtId="0" fontId="0" fillId="10" borderId="0" xfId="0" applyFill="1" applyAlignment="1">
      <alignment horizontal="center" vertical="top"/>
    </xf>
    <xf numFmtId="0" fontId="10" fillId="9" borderId="0" xfId="0" applyFont="1" applyFill="1" applyAlignment="1">
      <alignment horizontal="left" shrinkToFit="1"/>
    </xf>
    <xf numFmtId="0" fontId="36" fillId="10" borderId="0" xfId="0" applyFont="1" applyFill="1" applyAlignment="1">
      <alignment horizontal="center" vertical="top" textRotation="90"/>
    </xf>
    <xf numFmtId="168" fontId="0" fillId="10" borderId="0" xfId="0" applyNumberFormat="1" applyFill="1" applyAlignment="1">
      <alignment horizontal="center" vertical="top"/>
    </xf>
    <xf numFmtId="166" fontId="0" fillId="10" borderId="0" xfId="0" applyNumberFormat="1" applyFill="1" applyAlignment="1">
      <alignment horizontal="center" vertical="top"/>
    </xf>
    <xf numFmtId="169" fontId="0" fillId="10" borderId="0" xfId="0" applyNumberFormat="1" applyFill="1" applyAlignment="1">
      <alignment horizontal="center" vertical="top"/>
    </xf>
    <xf numFmtId="0" fontId="0" fillId="0" borderId="165" xfId="0" applyBorder="1" applyAlignment="1">
      <alignment horizontal="center" vertical="top"/>
    </xf>
    <xf numFmtId="0" fontId="4" fillId="10" borderId="165" xfId="0" applyFont="1" applyFill="1" applyBorder="1" applyAlignment="1">
      <alignment horizontal="center" textRotation="90"/>
    </xf>
    <xf numFmtId="0" fontId="4" fillId="10" borderId="0" xfId="0" applyFont="1" applyFill="1" applyBorder="1" applyAlignment="1">
      <alignment horizontal="center" textRotation="90"/>
    </xf>
    <xf numFmtId="0" fontId="0" fillId="0" borderId="0" xfId="0" applyBorder="1" applyAlignment="1">
      <alignment horizontal="right" textRotation="90"/>
    </xf>
    <xf numFmtId="167" fontId="35" fillId="10" borderId="0" xfId="0" applyNumberFormat="1" applyFont="1" applyFill="1" applyBorder="1" applyAlignment="1">
      <alignment horizontal="center" vertical="center" textRotation="45"/>
    </xf>
    <xf numFmtId="0" fontId="36" fillId="10" borderId="0" xfId="0" applyFont="1" applyFill="1" applyBorder="1" applyAlignment="1">
      <alignment horizontal="left" wrapText="1"/>
    </xf>
    <xf numFmtId="0" fontId="0" fillId="0" borderId="165" xfId="0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0" fillId="0" borderId="0" xfId="0" applyAlignment="1">
      <alignment horizontal="center" textRotation="90"/>
    </xf>
    <xf numFmtId="0" fontId="0" fillId="0" borderId="0" xfId="0" applyBorder="1" applyAlignment="1">
      <alignment horizontal="center" textRotation="90"/>
    </xf>
    <xf numFmtId="0" fontId="0" fillId="0" borderId="137" xfId="0" applyBorder="1" applyAlignment="1">
      <alignment horizontal="center"/>
    </xf>
    <xf numFmtId="0" fontId="36" fillId="10" borderId="0" xfId="0" applyFont="1" applyFill="1" applyBorder="1" applyAlignment="1">
      <alignment horizontal="center" vertical="top" textRotation="90"/>
    </xf>
    <xf numFmtId="167" fontId="35" fillId="10" borderId="0" xfId="0" applyNumberFormat="1" applyFont="1" applyFill="1" applyBorder="1" applyAlignment="1">
      <alignment horizontal="center" vertical="center" textRotation="135"/>
    </xf>
    <xf numFmtId="0" fontId="10" fillId="9" borderId="0" xfId="0" applyFont="1" applyFill="1" applyAlignment="1">
      <alignment horizontal="left"/>
    </xf>
    <xf numFmtId="0" fontId="10" fillId="9" borderId="0" xfId="0" applyFont="1" applyFill="1" applyBorder="1" applyAlignment="1">
      <alignment horizontal="left" shrinkToFit="1"/>
    </xf>
    <xf numFmtId="0" fontId="0" fillId="0" borderId="0" xfId="0" applyBorder="1" applyAlignment="1">
      <alignment horizontal="left" indent="1"/>
    </xf>
    <xf numFmtId="0" fontId="0" fillId="0" borderId="168" xfId="0" applyBorder="1" applyAlignment="1">
      <alignment horizontal="left" indent="1"/>
    </xf>
    <xf numFmtId="0" fontId="0" fillId="0" borderId="0" xfId="0" applyBorder="1" applyAlignment="1">
      <alignment horizontal="center" vertical="center" textRotation="90"/>
    </xf>
    <xf numFmtId="0" fontId="0" fillId="0" borderId="2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74" xfId="0" applyBorder="1" applyAlignment="1" applyProtection="1">
      <alignment horizontal="center"/>
      <protection locked="0"/>
    </xf>
    <xf numFmtId="0" fontId="0" fillId="0" borderId="177" xfId="0" applyBorder="1" applyAlignment="1" applyProtection="1">
      <alignment horizontal="center"/>
      <protection locked="0"/>
    </xf>
    <xf numFmtId="0" fontId="0" fillId="0" borderId="175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1" fillId="9" borderId="0" xfId="0" applyFont="1" applyFill="1" applyAlignment="1">
      <alignment horizontal="center"/>
    </xf>
    <xf numFmtId="1" fontId="15" fillId="0" borderId="155" xfId="0" applyNumberFormat="1" applyFont="1" applyFill="1" applyBorder="1" applyAlignment="1" applyProtection="1">
      <alignment horizontal="center" vertical="center"/>
      <protection hidden="1"/>
    </xf>
    <xf numFmtId="1" fontId="15" fillId="0" borderId="156" xfId="0" applyNumberFormat="1" applyFont="1" applyFill="1" applyBorder="1" applyAlignment="1" applyProtection="1">
      <alignment horizontal="center" vertical="center"/>
      <protection hidden="1"/>
    </xf>
    <xf numFmtId="1" fontId="15" fillId="0" borderId="157" xfId="0" applyNumberFormat="1" applyFont="1" applyFill="1" applyBorder="1" applyAlignment="1" applyProtection="1">
      <alignment horizontal="center" vertical="center"/>
      <protection hidden="1"/>
    </xf>
    <xf numFmtId="0" fontId="31" fillId="0" borderId="138" xfId="0" applyFont="1" applyFill="1" applyBorder="1" applyAlignment="1" applyProtection="1">
      <alignment horizontal="left" vertical="center"/>
      <protection hidden="1"/>
    </xf>
    <xf numFmtId="0" fontId="14" fillId="0" borderId="188" xfId="0" applyFont="1" applyFill="1" applyBorder="1" applyAlignment="1" applyProtection="1">
      <alignment horizontal="center" vertical="center"/>
      <protection locked="0" hidden="1"/>
    </xf>
    <xf numFmtId="0" fontId="14" fillId="0" borderId="189" xfId="0" applyFont="1" applyFill="1" applyBorder="1" applyAlignment="1" applyProtection="1">
      <alignment horizontal="center" vertical="center"/>
      <protection locked="0" hidden="1"/>
    </xf>
    <xf numFmtId="0" fontId="14" fillId="0" borderId="190" xfId="0" applyFont="1" applyFill="1" applyBorder="1" applyAlignment="1" applyProtection="1">
      <alignment horizontal="center" vertical="center"/>
      <protection locked="0" hidden="1"/>
    </xf>
    <xf numFmtId="0" fontId="31" fillId="0" borderId="154" xfId="0" applyFont="1" applyFill="1" applyBorder="1" applyAlignment="1" applyProtection="1">
      <alignment horizontal="left" vertical="center"/>
      <protection hidden="1"/>
    </xf>
    <xf numFmtId="0" fontId="14" fillId="0" borderId="185" xfId="0" applyFont="1" applyFill="1" applyBorder="1" applyAlignment="1" applyProtection="1">
      <alignment horizontal="center" vertical="center"/>
      <protection locked="0" hidden="1"/>
    </xf>
    <xf numFmtId="0" fontId="14" fillId="0" borderId="186" xfId="0" applyFont="1" applyFill="1" applyBorder="1" applyAlignment="1" applyProtection="1">
      <alignment horizontal="center" vertical="center"/>
      <protection locked="0" hidden="1"/>
    </xf>
    <xf numFmtId="0" fontId="14" fillId="0" borderId="187" xfId="0" applyFont="1" applyFill="1" applyBorder="1" applyAlignment="1" applyProtection="1">
      <alignment horizontal="center" vertical="center"/>
      <protection locked="0" hidden="1"/>
    </xf>
    <xf numFmtId="0" fontId="14" fillId="0" borderId="191" xfId="0" applyFont="1" applyFill="1" applyBorder="1" applyAlignment="1" applyProtection="1">
      <alignment horizontal="center" vertical="center"/>
      <protection locked="0" hidden="1"/>
    </xf>
    <xf numFmtId="0" fontId="14" fillId="0" borderId="192" xfId="0" applyFont="1" applyFill="1" applyBorder="1" applyAlignment="1" applyProtection="1">
      <alignment horizontal="center" vertical="center"/>
      <protection locked="0" hidden="1"/>
    </xf>
    <xf numFmtId="0" fontId="14" fillId="0" borderId="193" xfId="0" applyFont="1" applyFill="1" applyBorder="1" applyAlignment="1" applyProtection="1">
      <alignment horizontal="center" vertical="center"/>
      <protection locked="0" hidden="1"/>
    </xf>
    <xf numFmtId="170" fontId="43" fillId="0" borderId="185" xfId="0" applyNumberFormat="1" applyFont="1" applyFill="1" applyBorder="1" applyAlignment="1" applyProtection="1">
      <alignment horizontal="center" vertical="center"/>
      <protection hidden="1"/>
    </xf>
    <xf numFmtId="170" fontId="43" fillId="0" borderId="186" xfId="0" applyNumberFormat="1" applyFont="1" applyFill="1" applyBorder="1" applyAlignment="1" applyProtection="1">
      <alignment horizontal="center" vertical="center"/>
      <protection hidden="1"/>
    </xf>
    <xf numFmtId="170" fontId="43" fillId="0" borderId="187" xfId="0" applyNumberFormat="1" applyFont="1" applyFill="1" applyBorder="1" applyAlignment="1" applyProtection="1">
      <alignment horizontal="center" vertical="center"/>
      <protection hidden="1"/>
    </xf>
    <xf numFmtId="165" fontId="15" fillId="0" borderId="155" xfId="0" applyNumberFormat="1" applyFont="1" applyFill="1" applyBorder="1" applyAlignment="1" applyProtection="1">
      <alignment horizontal="center" vertical="center"/>
      <protection hidden="1"/>
    </xf>
    <xf numFmtId="165" fontId="15" fillId="0" borderId="156" xfId="0" applyNumberFormat="1" applyFont="1" applyFill="1" applyBorder="1" applyAlignment="1" applyProtection="1">
      <alignment horizontal="center" vertical="center"/>
      <protection hidden="1"/>
    </xf>
    <xf numFmtId="165" fontId="15" fillId="0" borderId="15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0" borderId="101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0" xfId="0" applyAlignment="1">
      <alignment horizontal="left" vertical="top" textRotation="90"/>
    </xf>
    <xf numFmtId="0" fontId="33" fillId="0" borderId="1" xfId="0" applyFont="1" applyFill="1" applyBorder="1" applyAlignment="1">
      <alignment horizontal="center" vertical="center"/>
    </xf>
    <xf numFmtId="0" fontId="33" fillId="0" borderId="10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0" fillId="30" borderId="0" xfId="0" applyFill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0" borderId="100" xfId="0" applyBorder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1" fillId="0" borderId="12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</cellXfs>
  <cellStyles count="6">
    <cellStyle name="Ausgabe" xfId="1" builtinId="21"/>
    <cellStyle name="Hyperlink" xfId="5" builtinId="8"/>
    <cellStyle name="Standard" xfId="0" builtinId="0"/>
    <cellStyle name="Standard_MP Artikel#" xfId="3"/>
    <cellStyle name="Standard_Tabelle6" xfId="2"/>
    <cellStyle name="Währung" xfId="4" builtinId="4"/>
  </cellStyles>
  <dxfs count="344"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/>
        <i val="0"/>
        <color rgb="FFFF0000"/>
      </font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 tint="-0.34998626667073579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rgb="FF008228"/>
      </font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rgb="FF008228"/>
      </font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border>
        <left style="thin">
          <color theme="0" tint="-0.14996795556505021"/>
        </left>
        <right style="thin">
          <color theme="0" tint="-0.499984740745262"/>
        </right>
        <top style="thin">
          <color theme="0" tint="-0.14996795556505021"/>
        </top>
        <bottom style="thin">
          <color theme="0" tint="-0.499984740745262"/>
        </bottom>
        <vertical/>
        <horizontal/>
      </border>
    </dxf>
    <dxf>
      <font>
        <color rgb="FF92D050"/>
      </font>
    </dxf>
    <dxf>
      <font>
        <color rgb="FF92D050"/>
      </font>
    </dxf>
    <dxf>
      <font>
        <color theme="0" tint="-0.34998626667073579"/>
      </font>
    </dxf>
    <dxf>
      <font>
        <color theme="0" tint="-0.34998626667073579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rgb="FF008228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1"/>
      </font>
      <border>
        <left/>
        <right/>
        <bottom/>
      </border>
    </dxf>
    <dxf>
      <font>
        <color theme="1"/>
      </font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1"/>
      </font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 style="thin">
          <color theme="0" tint="-0.14996795556505021"/>
        </left>
        <right style="thin">
          <color theme="0" tint="-0.499984740745262"/>
        </right>
        <top style="thin">
          <color theme="0" tint="-0.14996795556505021"/>
        </top>
        <bottom style="thin">
          <color theme="0" tint="-0.499984740745262"/>
        </bottom>
        <vertical/>
        <horizontal/>
      </border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color rgb="FFEAEAEA"/>
      </font>
      <fill>
        <patternFill>
          <bgColor rgb="FFEAEAEA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rgb="FF008228"/>
      </font>
    </dxf>
    <dxf>
      <font>
        <color rgb="FFF0F0F0"/>
      </font>
      <fill>
        <patternFill>
          <bgColor rgb="FFF0F0F0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b/>
        <i/>
        <color theme="0"/>
      </font>
      <fill>
        <patternFill>
          <bgColor rgb="FF008228"/>
        </patternFill>
      </fill>
    </dxf>
    <dxf>
      <font>
        <color rgb="FFEAEAEA"/>
      </font>
      <fill>
        <patternFill>
          <bgColor rgb="FFEAEAE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ck">
          <color auto="1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ck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ck">
          <color rgb="FF3F3F3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rgb="FF92D050"/>
        </patternFill>
      </fill>
      <alignment horizontal="general" vertical="top" textRotation="9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22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 outline="0">
        <left style="thin">
          <color auto="1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 outline="0">
        <left style="thin">
          <color auto="1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numFmt numFmtId="0" formatCode="General"/>
    </dxf>
    <dxf>
      <border diagonalUp="0" diagonalDown="0" outline="0">
        <left style="thin">
          <color auto="1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1"/>
        <color indexed="8"/>
        <name val="Calibri"/>
        <scheme val="none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 outline="0">
        <top style="thin">
          <color rgb="FF3F3F3F"/>
        </top>
      </border>
    </dxf>
    <dxf>
      <border outline="0">
        <bottom style="thin">
          <color rgb="FF3F3F3F"/>
        </bottom>
      </border>
    </dxf>
    <dxf>
      <fill>
        <patternFill patternType="solid">
          <fgColor indexed="64"/>
          <bgColor rgb="FF92D050"/>
        </patternFill>
      </fill>
      <alignment horizontal="general" vertical="top" textRotation="9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</dxfs>
  <tableStyles count="0" defaultTableStyle="TableStyleMedium2" defaultPivotStyle="PivotStyleLight16"/>
  <colors>
    <mruColors>
      <color rgb="FF48AA5F"/>
      <color rgb="FFFF0000"/>
      <color rgb="FF008228"/>
      <color rgb="FFEAEAEA"/>
      <color rgb="FFF0F0F0"/>
      <color rgb="FF26A34E"/>
      <color rgb="FFECECEC"/>
      <color rgb="FF00AC35"/>
      <color rgb="FFFFDC6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5" dropStyle="combo" dx="16" fmlaLink="Sprache!$B$3" fmlaRange="Sprache!$A$4:$A$14" val="0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Drop" dropStyle="combo" dx="16" fmlaLink="select!$P$57" fmlaRange="select!$P$58:$P$61" val="0"/>
</file>

<file path=xl/ctrlProps/ctrlProp12.xml><?xml version="1.0" encoding="utf-8"?>
<formControlPr xmlns="http://schemas.microsoft.com/office/spreadsheetml/2009/9/main" objectType="List" dx="16" fmlaLink="select!$E$176" fmlaRange="select!$F$177:$F$181" val="0"/>
</file>

<file path=xl/ctrlProps/ctrlProp13.xml><?xml version="1.0" encoding="utf-8"?>
<formControlPr xmlns="http://schemas.microsoft.com/office/spreadsheetml/2009/9/main" objectType="Drop" dropStyle="combo" dx="16" fmlaLink="select!$F$48" fmlaRange="select!$H$49:$H$52" sel="2" val="0"/>
</file>

<file path=xl/ctrlProps/ctrlProp14.xml><?xml version="1.0" encoding="utf-8"?>
<formControlPr xmlns="http://schemas.microsoft.com/office/spreadsheetml/2009/9/main" objectType="List" dx="16" fmlaLink="select!$M$221" fmlaRange="select!$N$222:$N$226" val="0"/>
</file>

<file path=xl/ctrlProps/ctrlProp15.xml><?xml version="1.0" encoding="utf-8"?>
<formControlPr xmlns="http://schemas.microsoft.com/office/spreadsheetml/2009/9/main" objectType="Scroll" dx="16" fmlaLink="select!$F$44" max="96" noThreeD="1" page="2" val="52"/>
</file>

<file path=xl/ctrlProps/ctrlProp16.xml><?xml version="1.0" encoding="utf-8"?>
<formControlPr xmlns="http://schemas.microsoft.com/office/spreadsheetml/2009/9/main" objectType="Drop" dropStyle="combo" dx="16" fmlaLink="select!$O$335" fmlaRange="select!$Q$336:$Q$340" val="0"/>
</file>

<file path=xl/ctrlProps/ctrlProp17.xml><?xml version="1.0" encoding="utf-8"?>
<formControlPr xmlns="http://schemas.microsoft.com/office/spreadsheetml/2009/9/main" objectType="Drop" dropLines="9" dropStyle="combo" dx="16" fmlaLink="select!$A$347" fmlaRange="select!$C$348:$C$352" val="0"/>
</file>

<file path=xl/ctrlProps/ctrlProp18.xml><?xml version="1.0" encoding="utf-8"?>
<formControlPr xmlns="http://schemas.microsoft.com/office/spreadsheetml/2009/9/main" objectType="Drop" dropLines="3" dropStyle="combo" dx="16" fmlaLink="select!$I$364" fmlaRange="select!$K$365:$K$367" val="0"/>
</file>

<file path=xl/ctrlProps/ctrlProp19.xml><?xml version="1.0" encoding="utf-8"?>
<formControlPr xmlns="http://schemas.microsoft.com/office/spreadsheetml/2009/9/main" objectType="Drop" dropLines="3" dropStyle="combo" dx="16" fmlaLink="select!$A$362" fmlaRange="select!$C$363:$C$365" val="0"/>
</file>

<file path=xl/ctrlProps/ctrlProp2.xml><?xml version="1.0" encoding="utf-8"?>
<formControlPr xmlns="http://schemas.microsoft.com/office/spreadsheetml/2009/9/main" objectType="Drop" dropStyle="combo" dx="16" fmlaLink="select!$V$44" fmlaRange="select!$X$45:$X$49" val="0"/>
</file>

<file path=xl/ctrlProps/ctrlProp20.xml><?xml version="1.0" encoding="utf-8"?>
<formControlPr xmlns="http://schemas.microsoft.com/office/spreadsheetml/2009/9/main" objectType="Drop" dropLines="4" dropStyle="combo" dx="16" fmlaLink="select!$D$334" fmlaRange="select!$F$335:$F$336" val="0"/>
</file>

<file path=xl/ctrlProps/ctrlProp21.xml><?xml version="1.0" encoding="utf-8"?>
<formControlPr xmlns="http://schemas.microsoft.com/office/spreadsheetml/2009/9/main" objectType="Drop" dropStyle="combo" dx="16" fmlaLink="select!$N$364" fmlaRange="select!$N$365:$N$368" val="0"/>
</file>

<file path=xl/ctrlProps/ctrlProp22.xml><?xml version="1.0" encoding="utf-8"?>
<formControlPr xmlns="http://schemas.microsoft.com/office/spreadsheetml/2009/9/main" objectType="Drop" dropStyle="combo" dx="16" fmlaLink="select!$E$362" fmlaRange="select!$G$363:$G$366" val="0"/>
</file>

<file path=xl/ctrlProps/ctrlProp23.xml><?xml version="1.0" encoding="utf-8"?>
<formControlPr xmlns="http://schemas.microsoft.com/office/spreadsheetml/2009/9/main" objectType="List" dx="16" fmlaLink="select!$J$401" fmlaRange="select!$N$402:$N$406" val="0"/>
</file>

<file path=xl/ctrlProps/ctrlProp24.xml><?xml version="1.0" encoding="utf-8"?>
<formControlPr xmlns="http://schemas.microsoft.com/office/spreadsheetml/2009/9/main" objectType="List" dx="16" fmlaLink="select!$A$318" fmlaRange="select!$B$319:$B$329" val="0"/>
</file>

<file path=xl/ctrlProps/ctrlProp25.xml><?xml version="1.0" encoding="utf-8"?>
<formControlPr xmlns="http://schemas.microsoft.com/office/spreadsheetml/2009/9/main" objectType="Radio" checked="Checked" firstButton="1" fmlaLink="select!$A$318" lockText="1"/>
</file>

<file path=xl/ctrlProps/ctrlProp26.xml><?xml version="1.0" encoding="utf-8"?>
<formControlPr xmlns="http://schemas.microsoft.com/office/spreadsheetml/2009/9/main" objectType="Radio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Radio" lockText="1"/>
</file>

<file path=xl/ctrlProps/ctrlProp29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Drop" dropLines="15" dropStyle="combo" dx="16" fmlaLink="select!$J$44" fmlaRange="select!$L$45:$L$59" sel="5" val="0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Radio" lockText="1"/>
</file>

<file path=xl/ctrlProps/ctrlProp32.xml><?xml version="1.0" encoding="utf-8"?>
<formControlPr xmlns="http://schemas.microsoft.com/office/spreadsheetml/2009/9/main" objectType="Radio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Radio" lockText="1"/>
</file>

<file path=xl/ctrlProps/ctrlProp35.xml><?xml version="1.0" encoding="utf-8"?>
<formControlPr xmlns="http://schemas.microsoft.com/office/spreadsheetml/2009/9/main" objectType="Radio" lockText="1"/>
</file>

<file path=xl/ctrlProps/ctrlProp36.xml><?xml version="1.0" encoding="utf-8"?>
<formControlPr xmlns="http://schemas.microsoft.com/office/spreadsheetml/2009/9/main" objectType="Scroll" dx="16" fmlaLink="select!$K$334" max="96" noThreeD="1" page="2" val="45"/>
</file>

<file path=xl/ctrlProps/ctrlProp37.xml><?xml version="1.0" encoding="utf-8"?>
<formControlPr xmlns="http://schemas.microsoft.com/office/spreadsheetml/2009/9/main" objectType="List" dx="16" fmlaLink="select!$B$376" fmlaRange="select!$B$377:$B$384" sel="3" val="0"/>
</file>

<file path=xl/ctrlProps/ctrlProp38.xml><?xml version="1.0" encoding="utf-8"?>
<formControlPr xmlns="http://schemas.microsoft.com/office/spreadsheetml/2009/9/main" objectType="Spin" dx="16" fmlaLink="select!$K$339" max="20" page="10" val="10"/>
</file>

<file path=xl/ctrlProps/ctrlProp39.xml><?xml version="1.0" encoding="utf-8"?>
<formControlPr xmlns="http://schemas.microsoft.com/office/spreadsheetml/2009/9/main" objectType="Drop" dropStyle="combo" dx="16" fmlaLink="select!$A$990" fmlaRange="select!$C$991:$C$997" val="0"/>
</file>

<file path=xl/ctrlProps/ctrlProp4.xml><?xml version="1.0" encoding="utf-8"?>
<formControlPr xmlns="http://schemas.microsoft.com/office/spreadsheetml/2009/9/main" objectType="Drop" dropLines="3" dropStyle="combo" dx="16" fmlaLink="select!$A$57" fmlaRange="select!$C$58:$C$60" val="0"/>
</file>

<file path=xl/ctrlProps/ctrlProp40.xml><?xml version="1.0" encoding="utf-8"?>
<formControlPr xmlns="http://schemas.microsoft.com/office/spreadsheetml/2009/9/main" objectType="Drop" dropLines="15" dropStyle="combo" dx="16" fmlaLink="select!$K$989" fmlaRange="select!$R$990:$R$1003" val="0"/>
</file>

<file path=xl/ctrlProps/ctrlProp41.xml><?xml version="1.0" encoding="utf-8"?>
<formControlPr xmlns="http://schemas.microsoft.com/office/spreadsheetml/2009/9/main" objectType="Drop" dropLines="3" dropStyle="combo" dx="16" fmlaLink="select!$I$1014" fmlaRange="select!$K$1015:$K$1017" val="0"/>
</file>

<file path=xl/ctrlProps/ctrlProp42.xml><?xml version="1.0" encoding="utf-8"?>
<formControlPr xmlns="http://schemas.microsoft.com/office/spreadsheetml/2009/9/main" objectType="Drop" dropLines="3" dropStyle="combo" dx="16" fmlaLink="select!$A$1012" fmlaRange="select!$C$1013:$C$1015" sel="2" val="0"/>
</file>

<file path=xl/ctrlProps/ctrlProp43.xml><?xml version="1.0" encoding="utf-8"?>
<formControlPr xmlns="http://schemas.microsoft.com/office/spreadsheetml/2009/9/main" objectType="Drop" dropLines="4" dropStyle="combo" dx="16" fmlaLink="select!$E$991" fmlaRange="select!$G$992:$G$995" val="0"/>
</file>

<file path=xl/ctrlProps/ctrlProp44.xml><?xml version="1.0" encoding="utf-8"?>
<formControlPr xmlns="http://schemas.microsoft.com/office/spreadsheetml/2009/9/main" objectType="Radio" checked="Checked" firstButton="1" fmlaLink="select!$A$981" lockText="1"/>
</file>

<file path=xl/ctrlProps/ctrlProp45.xml><?xml version="1.0" encoding="utf-8"?>
<formControlPr xmlns="http://schemas.microsoft.com/office/spreadsheetml/2009/9/main" objectType="Drop" dropStyle="combo" dx="16" fmlaLink="select!$N$1014" fmlaRange="select!$N$1015:$N$1018" val="0"/>
</file>

<file path=xl/ctrlProps/ctrlProp46.xml><?xml version="1.0" encoding="utf-8"?>
<formControlPr xmlns="http://schemas.microsoft.com/office/spreadsheetml/2009/9/main" objectType="List" dx="16" fmlaLink="select!$E$1319" fmlaRange="select!$O$1320:$O$1324" val="0"/>
</file>

<file path=xl/ctrlProps/ctrlProp47.xml><?xml version="1.0" encoding="utf-8"?>
<formControlPr xmlns="http://schemas.microsoft.com/office/spreadsheetml/2009/9/main" objectType="Drop" dropStyle="combo" dx="16" fmlaLink="select!$A$1003" fmlaRange="select!$C$1004:$C$1007" val="0"/>
</file>

<file path=xl/ctrlProps/ctrlProp48.xml><?xml version="1.0" encoding="utf-8"?>
<formControlPr xmlns="http://schemas.microsoft.com/office/spreadsheetml/2009/9/main" objectType="List" dx="16" fmlaLink="select!$J$1162" fmlaRange="select!$K$1163:$K$1167" val="0"/>
</file>

<file path=xl/ctrlProps/ctrlProp4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Drop" dropLines="3" dropStyle="combo" dx="16" fmlaLink="select!$F$57" fmlaRange="select!$H$58:$H$60" sel="3" val="0"/>
</file>

<file path=xl/ctrlProps/ctrlProp50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Scroll" dx="16" fmlaLink="select!$O$1008" max="96" noThreeD="1" page="2" val="30"/>
</file>

<file path=xl/ctrlProps/ctrlProp53.xml><?xml version="1.0" encoding="utf-8"?>
<formControlPr xmlns="http://schemas.microsoft.com/office/spreadsheetml/2009/9/main" objectType="Drop" dropStyle="combo" dx="16" fmlaLink="select!$M$1026" fmlaRange="select!$O$1027:$O$1030" sel="4" val="0"/>
</file>

<file path=xl/ctrlProps/ctrlProp54.xml><?xml version="1.0" encoding="utf-8"?>
<formControlPr xmlns="http://schemas.microsoft.com/office/spreadsheetml/2009/9/main" objectType="Drop" dropStyle="combo" dx="16" fmlaLink="select!$A$756" fmlaRange="select!$C$757:$C$763" val="0"/>
</file>

<file path=xl/ctrlProps/ctrlProp55.xml><?xml version="1.0" encoding="utf-8"?>
<formControlPr xmlns="http://schemas.microsoft.com/office/spreadsheetml/2009/9/main" objectType="Drop" dropLines="22" dropStyle="combo" dx="16" fmlaLink="select!$K$755" fmlaRange="select!$S$756:$S$777" sel="3" val="0"/>
</file>

<file path=xl/ctrlProps/ctrlProp56.xml><?xml version="1.0" encoding="utf-8"?>
<formControlPr xmlns="http://schemas.microsoft.com/office/spreadsheetml/2009/9/main" objectType="Drop" dropLines="3" dropStyle="combo" dx="16" fmlaLink="select!$G$793" fmlaRange="select!$I$794:$I$796" val="0"/>
</file>

<file path=xl/ctrlProps/ctrlProp57.xml><?xml version="1.0" encoding="utf-8"?>
<formControlPr xmlns="http://schemas.microsoft.com/office/spreadsheetml/2009/9/main" objectType="Drop" dropLines="3" dropStyle="combo" dx="16" fmlaLink="select!$A$778" fmlaRange="select!$C$779:$C$781" sel="2" val="0"/>
</file>

<file path=xl/ctrlProps/ctrlProp58.xml><?xml version="1.0" encoding="utf-8"?>
<formControlPr xmlns="http://schemas.microsoft.com/office/spreadsheetml/2009/9/main" objectType="Drop" dropLines="4" dropStyle="combo" dx="16" fmlaLink="select!$J$783" fmlaRange="select!$L$784:$L$787" val="0"/>
</file>

<file path=xl/ctrlProps/ctrlProp59.xml><?xml version="1.0" encoding="utf-8"?>
<formControlPr xmlns="http://schemas.microsoft.com/office/spreadsheetml/2009/9/main" objectType="Drop" dropStyle="combo" dx="16" fmlaLink="select!$N$793" fmlaRange="select!$N$794:$N$797" val="0"/>
</file>

<file path=xl/ctrlProps/ctrlProp6.xml><?xml version="1.0" encoding="utf-8"?>
<formControlPr xmlns="http://schemas.microsoft.com/office/spreadsheetml/2009/9/main" objectType="Drop" dropLines="4" dropStyle="combo" dx="16" fmlaLink="select!$N$44" fmlaRange="select!$P$45:$P$48" val="0"/>
</file>

<file path=xl/ctrlProps/ctrlProp60.xml><?xml version="1.0" encoding="utf-8"?>
<formControlPr xmlns="http://schemas.microsoft.com/office/spreadsheetml/2009/9/main" objectType="Drop" dropStyle="combo" dx="16" fmlaLink="select!$A$769" fmlaRange="select!$C$770:$C$773" val="0"/>
</file>

<file path=xl/ctrlProps/ctrlProp61.xml><?xml version="1.0" encoding="utf-8"?>
<formControlPr xmlns="http://schemas.microsoft.com/office/spreadsheetml/2009/9/main" objectType="List" dx="16" fmlaLink="select!$J$922" fmlaRange="select!$K$923:$K$927" val="0"/>
</file>

<file path=xl/ctrlProps/ctrlProp62.xml><?xml version="1.0" encoding="utf-8"?>
<formControlPr xmlns="http://schemas.microsoft.com/office/spreadsheetml/2009/9/main" objectType="Radio" checked="Checked" firstButton="1" fmlaLink="select!$A$747" lockText="1"/>
</file>

<file path=xl/ctrlProps/ctrlProp63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Radio" lockText="1"/>
</file>

<file path=xl/ctrlProps/ctrlProp66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Scroll" dx="16" fmlaLink="select!$S$787" max="96" page="2" val="42"/>
</file>

<file path=xl/ctrlProps/ctrlProp68.xml><?xml version="1.0" encoding="utf-8"?>
<formControlPr xmlns="http://schemas.microsoft.com/office/spreadsheetml/2009/9/main" objectType="List" dx="16" fmlaLink="select!$B$1332" fmlaRange="select!$B$1336:$B$1382" sel="47" val="22"/>
</file>

<file path=xl/ctrlProps/ctrlProp69.xml><?xml version="1.0" encoding="utf-8"?>
<formControlPr xmlns="http://schemas.microsoft.com/office/spreadsheetml/2009/9/main" objectType="List" dx="16" fmlaLink="select!$L$1337" fmlaRange="select!$L$1339:$L$1345" val="0"/>
</file>

<file path=xl/ctrlProps/ctrlProp7.xml><?xml version="1.0" encoding="utf-8"?>
<formControlPr xmlns="http://schemas.microsoft.com/office/spreadsheetml/2009/9/main" objectType="Radio" checked="Checked" firstButton="1" fmlaLink="select!$A$44" lockText="1"/>
</file>

<file path=xl/ctrlProps/ctrlProp70.xml><?xml version="1.0" encoding="utf-8"?>
<formControlPr xmlns="http://schemas.microsoft.com/office/spreadsheetml/2009/9/main" objectType="List" dx="16" fmlaLink="select!$L$1348" fmlaRange="select!$L$1350:$L$1358" sel="4" val="0"/>
</file>

<file path=xl/ctrlProps/ctrlProp71.xml><?xml version="1.0" encoding="utf-8"?>
<formControlPr xmlns="http://schemas.microsoft.com/office/spreadsheetml/2009/9/main" objectType="List" dx="16" fmlaLink="select!$A$1389" fmlaRange="select!$B$1390:$B$1422" sel="21" val="0"/>
</file>

<file path=xl/ctrlProps/ctrlProp72.xml><?xml version="1.0" encoding="utf-8"?>
<formControlPr xmlns="http://schemas.microsoft.com/office/spreadsheetml/2009/9/main" objectType="List" dx="16" fmlaLink="select!$A$1435" fmlaRange="select!$B$1436:$B$1443" sel="5" val="0"/>
</file>

<file path=xl/ctrlProps/ctrlProp73.xml><?xml version="1.0" encoding="utf-8"?>
<formControlPr xmlns="http://schemas.microsoft.com/office/spreadsheetml/2009/9/main" objectType="List" dx="16" fmlaLink="select!$H$1389" fmlaRange="select!$I$1390:$I$1446" sel="39" val="15"/>
</file>

<file path=xl/ctrlProps/ctrlProp74.xml><?xml version="1.0" encoding="utf-8"?>
<formControlPr xmlns="http://schemas.microsoft.com/office/spreadsheetml/2009/9/main" objectType="List" dx="16" fmlaLink="select!$N$1389" fmlaRange="select!$O$1390:$O$1417" sel="21" val="0"/>
</file>

<file path=xl/ctrlProps/ctrlProp75.xml><?xml version="1.0" encoding="utf-8"?>
<formControlPr xmlns="http://schemas.microsoft.com/office/spreadsheetml/2009/9/main" objectType="List" dx="16" fmlaLink="select!$U$1388" fmlaRange="select!$V$1389:$V$1395" sel="3" val="0"/>
</file>

<file path=xl/ctrlProps/ctrlProp76.xml><?xml version="1.0" encoding="utf-8"?>
<formControlPr xmlns="http://schemas.microsoft.com/office/spreadsheetml/2009/9/main" objectType="List" dx="16" fmlaLink="select!$U$1408" fmlaRange="select!$V$1409:$V$1412" val="0"/>
</file>

<file path=xl/ctrlProps/ctrlProp77.xml><?xml version="1.0" encoding="utf-8"?>
<formControlPr xmlns="http://schemas.microsoft.com/office/spreadsheetml/2009/9/main" objectType="List" dx="16" fmlaLink="select!$U$1400" fmlaRange="select!$V$1401:$V$1403" val="0"/>
</file>

<file path=xl/ctrlProps/ctrlProp78.xml><?xml version="1.0" encoding="utf-8"?>
<formControlPr xmlns="http://schemas.microsoft.com/office/spreadsheetml/2009/9/main" objectType="Drop" dropStyle="combo" dx="16" fmlaLink="select!$A$1449" fmlaRange="select!$A$1450:$A$1453" val="0"/>
</file>

<file path=xl/ctrlProps/ctrlProp79.xml><?xml version="1.0" encoding="utf-8"?>
<formControlPr xmlns="http://schemas.microsoft.com/office/spreadsheetml/2009/9/main" objectType="List" dx="16" fmlaLink="select!$A$1472" fmlaRange="select!$B$1473:$B$1477" val="0"/>
</file>

<file path=xl/ctrlProps/ctrlProp8.xml><?xml version="1.0" encoding="utf-8"?>
<formControlPr xmlns="http://schemas.microsoft.com/office/spreadsheetml/2009/9/main" objectType="Radio" lockText="1"/>
</file>

<file path=xl/ctrlProps/ctrlProp80.xml><?xml version="1.0" encoding="utf-8"?>
<formControlPr xmlns="http://schemas.microsoft.com/office/spreadsheetml/2009/9/main" objectType="List" dx="16" fmlaLink="select!$A$1427" fmlaRange="select!$B$1428:$B$1431" val="0"/>
</file>

<file path=xl/ctrlProps/ctrlProp81.xml><?xml version="1.0" encoding="utf-8"?>
<formControlPr xmlns="http://schemas.microsoft.com/office/spreadsheetml/2009/9/main" objectType="List" dx="16" fmlaLink="select!$A$1457" fmlaRange="select!$B$1458:$B$1460" val="0"/>
</file>

<file path=xl/ctrlProps/ctrlProp82.xml><?xml version="1.0" encoding="utf-8"?>
<formControlPr xmlns="http://schemas.microsoft.com/office/spreadsheetml/2009/9/main" objectType="Drop" dropLines="44" dropStyle="combo" dx="16" fmlaLink="select!$F$263" fmlaRange="select!$G$264:$G$310" val="0"/>
</file>

<file path=xl/ctrlProps/ctrlProp83.xml><?xml version="1.0" encoding="utf-8"?>
<formControlPr xmlns="http://schemas.microsoft.com/office/spreadsheetml/2009/9/main" objectType="Spin" dx="16" fmlaLink="$L$31" inc="5" max="600" min="100" page="10" val="230"/>
</file>

<file path=xl/ctrlProps/ctrlProp84.xml><?xml version="1.0" encoding="utf-8"?>
<formControlPr xmlns="http://schemas.microsoft.com/office/spreadsheetml/2009/9/main" objectType="Spin" dx="16" fmlaLink="$L$32" inc="5" max="2500" min="150" page="10" val="1400"/>
</file>

<file path=xl/ctrlProps/ctrlProp85.xml><?xml version="1.0" encoding="utf-8"?>
<formControlPr xmlns="http://schemas.microsoft.com/office/spreadsheetml/2009/9/main" objectType="Spin" dx="16" fmlaLink="$L$33" max="50" min="1" page="10" val="19"/>
</file>

<file path=xl/ctrlProps/ctrlProp86.xml><?xml version="1.0" encoding="utf-8"?>
<formControlPr xmlns="http://schemas.microsoft.com/office/spreadsheetml/2009/9/main" objectType="Spin" dx="16" fmlaLink="select!$J$295" max="20" page="10" val="0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hyperlink" Target="#AG!E6"/><Relationship Id="rId7" Type="http://schemas.openxmlformats.org/officeDocument/2006/relationships/image" Target="../media/image2.jpeg"/><Relationship Id="rId2" Type="http://schemas.openxmlformats.org/officeDocument/2006/relationships/hyperlink" Target="#Winkel!F6"/><Relationship Id="rId1" Type="http://schemas.openxmlformats.org/officeDocument/2006/relationships/hyperlink" Target="#Standard!E6"/><Relationship Id="rId6" Type="http://schemas.openxmlformats.org/officeDocument/2006/relationships/image" Target="../media/image1.jpeg"/><Relationship Id="rId11" Type="http://schemas.openxmlformats.org/officeDocument/2006/relationships/image" Target="../media/image5.jpg"/><Relationship Id="rId5" Type="http://schemas.openxmlformats.org/officeDocument/2006/relationships/hyperlink" Target="#T&#252;rgewicht!A1"/><Relationship Id="rId10" Type="http://schemas.openxmlformats.org/officeDocument/2006/relationships/hyperlink" Target="#Konfig!A1"/><Relationship Id="rId4" Type="http://schemas.openxmlformats.org/officeDocument/2006/relationships/hyperlink" Target="#'S'!E6"/><Relationship Id="rId9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9" Type="http://schemas.openxmlformats.org/officeDocument/2006/relationships/hyperlink" Target="#Start!G15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hyperlink" Target="#Start!G15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Start!G15"/><Relationship Id="rId3" Type="http://schemas.openxmlformats.org/officeDocument/2006/relationships/image" Target="../media/image13.jpeg"/><Relationship Id="rId7" Type="http://schemas.openxmlformats.org/officeDocument/2006/relationships/image" Target="../media/image28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Start!G15"/><Relationship Id="rId3" Type="http://schemas.openxmlformats.org/officeDocument/2006/relationships/image" Target="../media/image13.jpeg"/><Relationship Id="rId7" Type="http://schemas.openxmlformats.org/officeDocument/2006/relationships/image" Target="../media/image32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10" Type="http://schemas.openxmlformats.org/officeDocument/2006/relationships/image" Target="../media/image34.jpeg"/><Relationship Id="rId4" Type="http://schemas.openxmlformats.org/officeDocument/2006/relationships/image" Target="../media/image29.png"/><Relationship Id="rId9" Type="http://schemas.openxmlformats.org/officeDocument/2006/relationships/image" Target="../media/image3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tart!G15"/><Relationship Id="rId1" Type="http://schemas.openxmlformats.org/officeDocument/2006/relationships/image" Target="../media/image3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Start!G15"/><Relationship Id="rId2" Type="http://schemas.openxmlformats.org/officeDocument/2006/relationships/image" Target="../media/image37.emf"/><Relationship Id="rId1" Type="http://schemas.openxmlformats.org/officeDocument/2006/relationships/image" Target="../media/image3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</xdr:row>
          <xdr:rowOff>19050</xdr:rowOff>
        </xdr:from>
        <xdr:to>
          <xdr:col>10</xdr:col>
          <xdr:colOff>142875</xdr:colOff>
          <xdr:row>5</xdr:row>
          <xdr:rowOff>180975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21</xdr:col>
      <xdr:colOff>0</xdr:colOff>
      <xdr:row>8</xdr:row>
      <xdr:rowOff>0</xdr:rowOff>
    </xdr:from>
    <xdr:to>
      <xdr:col>34</xdr:col>
      <xdr:colOff>0</xdr:colOff>
      <xdr:row>13</xdr:row>
      <xdr:rowOff>0</xdr:rowOff>
    </xdr:to>
    <xdr:sp macro="" textlink="">
      <xdr:nvSpPr>
        <xdr:cNvPr id="60" name="Rechteck 59">
          <a:hlinkClick xmlns:r="http://schemas.openxmlformats.org/officeDocument/2006/relationships" r:id="rId1"/>
        </xdr:cNvPr>
        <xdr:cNvSpPr/>
      </xdr:nvSpPr>
      <xdr:spPr>
        <a:xfrm>
          <a:off x="4600575" y="2114550"/>
          <a:ext cx="2676525" cy="95250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463</xdr:colOff>
      <xdr:row>12</xdr:row>
      <xdr:rowOff>190499</xdr:rowOff>
    </xdr:from>
    <xdr:to>
      <xdr:col>33</xdr:col>
      <xdr:colOff>217575</xdr:colOff>
      <xdr:row>17</xdr:row>
      <xdr:rowOff>188878</xdr:rowOff>
    </xdr:to>
    <xdr:sp macro="" textlink="">
      <xdr:nvSpPr>
        <xdr:cNvPr id="61" name="Rechteck 60">
          <a:hlinkClick xmlns:r="http://schemas.openxmlformats.org/officeDocument/2006/relationships" r:id="rId2"/>
        </xdr:cNvPr>
        <xdr:cNvSpPr/>
      </xdr:nvSpPr>
      <xdr:spPr>
        <a:xfrm>
          <a:off x="4601038" y="3067049"/>
          <a:ext cx="2674562" cy="950879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0</xdr:colOff>
      <xdr:row>17</xdr:row>
      <xdr:rowOff>190499</xdr:rowOff>
    </xdr:from>
    <xdr:to>
      <xdr:col>33</xdr:col>
      <xdr:colOff>217112</xdr:colOff>
      <xdr:row>22</xdr:row>
      <xdr:rowOff>188881</xdr:rowOff>
    </xdr:to>
    <xdr:sp macro="" textlink="">
      <xdr:nvSpPr>
        <xdr:cNvPr id="62" name="Rechteck 61">
          <a:hlinkClick xmlns:r="http://schemas.openxmlformats.org/officeDocument/2006/relationships" r:id="rId3"/>
        </xdr:cNvPr>
        <xdr:cNvSpPr/>
      </xdr:nvSpPr>
      <xdr:spPr>
        <a:xfrm>
          <a:off x="4600575" y="4019549"/>
          <a:ext cx="2674562" cy="950882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</xdr:colOff>
      <xdr:row>23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63" name="Rechteck 62">
          <a:hlinkClick xmlns:r="http://schemas.openxmlformats.org/officeDocument/2006/relationships" r:id="rId4"/>
        </xdr:cNvPr>
        <xdr:cNvSpPr/>
      </xdr:nvSpPr>
      <xdr:spPr>
        <a:xfrm>
          <a:off x="4600576" y="4972050"/>
          <a:ext cx="2676524" cy="102870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463</xdr:colOff>
      <xdr:row>32</xdr:row>
      <xdr:rowOff>21167</xdr:rowOff>
    </xdr:from>
    <xdr:to>
      <xdr:col>34</xdr:col>
      <xdr:colOff>2146</xdr:colOff>
      <xdr:row>35</xdr:row>
      <xdr:rowOff>26494</xdr:rowOff>
    </xdr:to>
    <xdr:sp macro="" textlink="">
      <xdr:nvSpPr>
        <xdr:cNvPr id="64" name="Rechteck 63">
          <a:hlinkClick xmlns:r="http://schemas.openxmlformats.org/officeDocument/2006/relationships" r:id="rId5"/>
        </xdr:cNvPr>
        <xdr:cNvSpPr/>
      </xdr:nvSpPr>
      <xdr:spPr>
        <a:xfrm>
          <a:off x="4601038" y="6755342"/>
          <a:ext cx="2678208" cy="576827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</xdr:col>
      <xdr:colOff>21168</xdr:colOff>
      <xdr:row>8</xdr:row>
      <xdr:rowOff>0</xdr:rowOff>
    </xdr:from>
    <xdr:to>
      <xdr:col>19</xdr:col>
      <xdr:colOff>148169</xdr:colOff>
      <xdr:row>28</xdr:row>
      <xdr:rowOff>30693</xdr:rowOff>
    </xdr:to>
    <xdr:pic>
      <xdr:nvPicPr>
        <xdr:cNvPr id="65" name="Grafik 6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18" y="2114550"/>
          <a:ext cx="3851276" cy="3907368"/>
        </a:xfrm>
        <a:prstGeom prst="rect">
          <a:avLst/>
        </a:prstGeom>
      </xdr:spPr>
    </xdr:pic>
    <xdr:clientData/>
  </xdr:twoCellAnchor>
  <xdr:twoCellAnchor editAs="oneCell">
    <xdr:from>
      <xdr:col>14</xdr:col>
      <xdr:colOff>2119</xdr:colOff>
      <xdr:row>28</xdr:row>
      <xdr:rowOff>181750</xdr:rowOff>
    </xdr:from>
    <xdr:to>
      <xdr:col>19</xdr:col>
      <xdr:colOff>149083</xdr:colOff>
      <xdr:row>35</xdr:row>
      <xdr:rowOff>70481</xdr:rowOff>
    </xdr:to>
    <xdr:pic>
      <xdr:nvPicPr>
        <xdr:cNvPr id="66" name="Grafik 6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169" y="6306325"/>
          <a:ext cx="1242339" cy="1222231"/>
        </a:xfrm>
        <a:prstGeom prst="rect">
          <a:avLst/>
        </a:prstGeom>
      </xdr:spPr>
    </xdr:pic>
    <xdr:clientData/>
  </xdr:twoCellAnchor>
  <xdr:twoCellAnchor editAs="oneCell">
    <xdr:from>
      <xdr:col>8</xdr:col>
      <xdr:colOff>9772</xdr:colOff>
      <xdr:row>28</xdr:row>
      <xdr:rowOff>181750</xdr:rowOff>
    </xdr:from>
    <xdr:to>
      <xdr:col>13</xdr:col>
      <xdr:colOff>156736</xdr:colOff>
      <xdr:row>35</xdr:row>
      <xdr:rowOff>70481</xdr:rowOff>
    </xdr:to>
    <xdr:pic>
      <xdr:nvPicPr>
        <xdr:cNvPr id="67" name="Grafik 6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372" y="6306325"/>
          <a:ext cx="1242339" cy="1222231"/>
        </a:xfrm>
        <a:prstGeom prst="rect">
          <a:avLst/>
        </a:prstGeom>
      </xdr:spPr>
    </xdr:pic>
    <xdr:clientData/>
  </xdr:twoCellAnchor>
  <xdr:twoCellAnchor editAs="oneCell">
    <xdr:from>
      <xdr:col>2</xdr:col>
      <xdr:colOff>17425</xdr:colOff>
      <xdr:row>28</xdr:row>
      <xdr:rowOff>181750</xdr:rowOff>
    </xdr:from>
    <xdr:to>
      <xdr:col>7</xdr:col>
      <xdr:colOff>164389</xdr:colOff>
      <xdr:row>35</xdr:row>
      <xdr:rowOff>70481</xdr:rowOff>
    </xdr:to>
    <xdr:pic>
      <xdr:nvPicPr>
        <xdr:cNvPr id="68" name="Grafik 6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575" y="6306325"/>
          <a:ext cx="1242339" cy="1222231"/>
        </a:xfrm>
        <a:prstGeom prst="rect">
          <a:avLst/>
        </a:prstGeom>
      </xdr:spPr>
    </xdr:pic>
    <xdr:clientData/>
  </xdr:twoCellAnchor>
  <xdr:twoCellAnchor>
    <xdr:from>
      <xdr:col>21</xdr:col>
      <xdr:colOff>1057</xdr:colOff>
      <xdr:row>29</xdr:row>
      <xdr:rowOff>21165</xdr:rowOff>
    </xdr:from>
    <xdr:to>
      <xdr:col>34</xdr:col>
      <xdr:colOff>2740</xdr:colOff>
      <xdr:row>31</xdr:row>
      <xdr:rowOff>216165</xdr:rowOff>
    </xdr:to>
    <xdr:sp macro="" textlink="">
      <xdr:nvSpPr>
        <xdr:cNvPr id="69" name="Rechteck 68">
          <a:hlinkClick xmlns:r="http://schemas.openxmlformats.org/officeDocument/2006/relationships" r:id="rId10"/>
        </xdr:cNvPr>
        <xdr:cNvSpPr/>
      </xdr:nvSpPr>
      <xdr:spPr>
        <a:xfrm>
          <a:off x="4601632" y="6145740"/>
          <a:ext cx="2678208" cy="57600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oneCell">
    <xdr:from>
      <xdr:col>1</xdr:col>
      <xdr:colOff>209550</xdr:colOff>
      <xdr:row>0</xdr:row>
      <xdr:rowOff>66675</xdr:rowOff>
    </xdr:from>
    <xdr:to>
      <xdr:col>34</xdr:col>
      <xdr:colOff>22223</xdr:colOff>
      <xdr:row>1</xdr:row>
      <xdr:rowOff>776175</xdr:rowOff>
    </xdr:to>
    <xdr:pic>
      <xdr:nvPicPr>
        <xdr:cNvPr id="70" name="Grafik 69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40842"/>
        <a:stretch/>
      </xdr:blipFill>
      <xdr:spPr>
        <a:xfrm>
          <a:off x="428625" y="66675"/>
          <a:ext cx="6870698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24</xdr:row>
          <xdr:rowOff>95250</xdr:rowOff>
        </xdr:from>
        <xdr:to>
          <xdr:col>24</xdr:col>
          <xdr:colOff>190500</xdr:colOff>
          <xdr:row>25</xdr:row>
          <xdr:rowOff>114300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24</xdr:row>
          <xdr:rowOff>95250</xdr:rowOff>
        </xdr:from>
        <xdr:to>
          <xdr:col>19</xdr:col>
          <xdr:colOff>76200</xdr:colOff>
          <xdr:row>25</xdr:row>
          <xdr:rowOff>114300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42</xdr:row>
          <xdr:rowOff>19050</xdr:rowOff>
        </xdr:from>
        <xdr:to>
          <xdr:col>25</xdr:col>
          <xdr:colOff>114300</xdr:colOff>
          <xdr:row>43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161925</xdr:rowOff>
        </xdr:from>
        <xdr:to>
          <xdr:col>7</xdr:col>
          <xdr:colOff>190500</xdr:colOff>
          <xdr:row>29</xdr:row>
          <xdr:rowOff>171450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9525</xdr:rowOff>
        </xdr:from>
        <xdr:to>
          <xdr:col>12</xdr:col>
          <xdr:colOff>85725</xdr:colOff>
          <xdr:row>43</xdr:row>
          <xdr:rowOff>19050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</xdr:col>
      <xdr:colOff>41867</xdr:colOff>
      <xdr:row>4</xdr:row>
      <xdr:rowOff>34017</xdr:rowOff>
    </xdr:from>
    <xdr:ext cx="1237727" cy="1130440"/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3" t="609" r="1124" b="2233"/>
        <a:stretch/>
      </xdr:blipFill>
      <xdr:spPr>
        <a:xfrm>
          <a:off x="261675" y="651572"/>
          <a:ext cx="1237727" cy="113044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12</xdr:row>
          <xdr:rowOff>76200</xdr:rowOff>
        </xdr:from>
        <xdr:to>
          <xdr:col>5</xdr:col>
          <xdr:colOff>66675</xdr:colOff>
          <xdr:row>13</xdr:row>
          <xdr:rowOff>57150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12</xdr:row>
          <xdr:rowOff>66675</xdr:rowOff>
        </xdr:from>
        <xdr:to>
          <xdr:col>21</xdr:col>
          <xdr:colOff>123825</xdr:colOff>
          <xdr:row>13</xdr:row>
          <xdr:rowOff>85725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12</xdr:row>
          <xdr:rowOff>95250</xdr:rowOff>
        </xdr:from>
        <xdr:to>
          <xdr:col>13</xdr:col>
          <xdr:colOff>152400</xdr:colOff>
          <xdr:row>13</xdr:row>
          <xdr:rowOff>95250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12</xdr:row>
          <xdr:rowOff>76200</xdr:rowOff>
        </xdr:from>
        <xdr:to>
          <xdr:col>29</xdr:col>
          <xdr:colOff>114300</xdr:colOff>
          <xdr:row>13</xdr:row>
          <xdr:rowOff>76200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18</xdr:col>
      <xdr:colOff>35517</xdr:colOff>
      <xdr:row>4</xdr:row>
      <xdr:rowOff>38744</xdr:rowOff>
    </xdr:from>
    <xdr:ext cx="1252779" cy="1130087"/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61" t="1186" r="867" b="1073"/>
        <a:stretch/>
      </xdr:blipFill>
      <xdr:spPr>
        <a:xfrm>
          <a:off x="3768025" y="658676"/>
          <a:ext cx="1252779" cy="113008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</xdr:row>
      <xdr:rowOff>38100</xdr:rowOff>
    </xdr:from>
    <xdr:ext cx="1247776" cy="1133475"/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9775" y="657225"/>
          <a:ext cx="1247776" cy="1133475"/>
        </a:xfrm>
        <a:prstGeom prst="rect">
          <a:avLst/>
        </a:prstGeom>
      </xdr:spPr>
    </xdr:pic>
    <xdr:clientData/>
  </xdr:oneCellAnchor>
  <xdr:oneCellAnchor>
    <xdr:from>
      <xdr:col>26</xdr:col>
      <xdr:colOff>56349</xdr:colOff>
      <xdr:row>4</xdr:row>
      <xdr:rowOff>42564</xdr:rowOff>
    </xdr:from>
    <xdr:ext cx="1274636" cy="1129156"/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857"/>
        <a:stretch/>
      </xdr:blipFill>
      <xdr:spPr>
        <a:xfrm>
          <a:off x="5752299" y="852189"/>
          <a:ext cx="1274636" cy="1129156"/>
        </a:xfrm>
        <a:prstGeom prst="rect">
          <a:avLst/>
        </a:prstGeom>
      </xdr:spPr>
    </xdr:pic>
    <xdr:clientData/>
  </xdr:oneCellAnchor>
  <xdr:oneCellAnchor>
    <xdr:from>
      <xdr:col>20</xdr:col>
      <xdr:colOff>142876</xdr:colOff>
      <xdr:row>19</xdr:row>
      <xdr:rowOff>171450</xdr:rowOff>
    </xdr:from>
    <xdr:ext cx="936398" cy="684000"/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05301" y="3943350"/>
          <a:ext cx="936398" cy="684000"/>
        </a:xfrm>
        <a:prstGeom prst="rect">
          <a:avLst/>
        </a:prstGeom>
      </xdr:spPr>
    </xdr:pic>
    <xdr:clientData/>
  </xdr:oneCellAnchor>
  <xdr:oneCellAnchor>
    <xdr:from>
      <xdr:col>15</xdr:col>
      <xdr:colOff>5600</xdr:colOff>
      <xdr:row>19</xdr:row>
      <xdr:rowOff>171450</xdr:rowOff>
    </xdr:from>
    <xdr:ext cx="955511" cy="684000"/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72650" y="3943350"/>
          <a:ext cx="955511" cy="684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44</xdr:row>
          <xdr:rowOff>104775</xdr:rowOff>
        </xdr:from>
        <xdr:to>
          <xdr:col>28</xdr:col>
          <xdr:colOff>190500</xdr:colOff>
          <xdr:row>45</xdr:row>
          <xdr:rowOff>114300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8</xdr:col>
      <xdr:colOff>33553</xdr:colOff>
      <xdr:row>20</xdr:row>
      <xdr:rowOff>3810</xdr:rowOff>
    </xdr:from>
    <xdr:ext cx="609767" cy="1095804"/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078" y="3956685"/>
          <a:ext cx="609767" cy="1095804"/>
        </a:xfrm>
        <a:prstGeom prst="rect">
          <a:avLst/>
        </a:prstGeom>
      </xdr:spPr>
    </xdr:pic>
    <xdr:clientData/>
  </xdr:oneCellAnchor>
  <xdr:oneCellAnchor>
    <xdr:from>
      <xdr:col>11</xdr:col>
      <xdr:colOff>51225</xdr:colOff>
      <xdr:row>20</xdr:row>
      <xdr:rowOff>30742</xdr:rowOff>
    </xdr:from>
    <xdr:ext cx="726015" cy="1200318"/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975" y="3983617"/>
          <a:ext cx="726015" cy="1200318"/>
        </a:xfrm>
        <a:prstGeom prst="rect">
          <a:avLst/>
        </a:prstGeom>
      </xdr:spPr>
    </xdr:pic>
    <xdr:clientData/>
  </xdr:oneCellAnchor>
  <xdr:twoCellAnchor>
    <xdr:from>
      <xdr:col>25</xdr:col>
      <xdr:colOff>228600</xdr:colOff>
      <xdr:row>19</xdr:row>
      <xdr:rowOff>167214</xdr:rowOff>
    </xdr:from>
    <xdr:to>
      <xdr:col>33</xdr:col>
      <xdr:colOff>80433</xdr:colOff>
      <xdr:row>23</xdr:row>
      <xdr:rowOff>142875</xdr:rowOff>
    </xdr:to>
    <xdr:grpSp>
      <xdr:nvGrpSpPr>
        <xdr:cNvPr id="17" name="Gruppieren 16"/>
        <xdr:cNvGrpSpPr/>
      </xdr:nvGrpSpPr>
      <xdr:grpSpPr>
        <a:xfrm>
          <a:off x="5686425" y="3939114"/>
          <a:ext cx="1690158" cy="699561"/>
          <a:chOff x="5486395" y="5386914"/>
          <a:chExt cx="1652063" cy="69956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0" name="List Box 26" hidden="1">
                <a:extLst>
                  <a:ext uri="{63B3BB69-23CF-44E3-9099-C40C66FF867C}">
                    <a14:compatExt spid="_x0000_s1050"/>
                  </a:ext>
                </a:extLst>
              </xdr:cNvPr>
              <xdr:cNvSpPr/>
            </xdr:nvSpPr>
            <xdr:spPr>
              <a:xfrm>
                <a:off x="5486395" y="5391752"/>
                <a:ext cx="1496396" cy="694723"/>
              </a:xfrm>
              <a:prstGeom prst="rect">
                <a:avLst/>
              </a:prstGeom>
            </xdr:spPr>
          </xdr:sp>
        </mc:Choice>
        <mc:Fallback/>
      </mc:AlternateContent>
      <xdr:grpSp>
        <xdr:nvGrpSpPr>
          <xdr:cNvPr id="14" name="Gruppieren 13"/>
          <xdr:cNvGrpSpPr/>
        </xdr:nvGrpSpPr>
        <xdr:grpSpPr>
          <a:xfrm>
            <a:off x="6837752" y="5386914"/>
            <a:ext cx="300706" cy="697464"/>
            <a:chOff x="2719916" y="5537200"/>
            <a:chExt cx="300567" cy="695325"/>
          </a:xfrm>
        </xdr:grpSpPr>
        <xdr:sp macro="" textlink="">
          <xdr:nvSpPr>
            <xdr:cNvPr id="9" name="Rechteck 8"/>
            <xdr:cNvSpPr/>
          </xdr:nvSpPr>
          <xdr:spPr>
            <a:xfrm>
              <a:off x="2727325" y="5537200"/>
              <a:ext cx="293158" cy="69532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cxnSp macro="">
          <xdr:nvCxnSpPr>
            <xdr:cNvPr id="12" name="Gerade Verbindung 11"/>
            <xdr:cNvCxnSpPr/>
          </xdr:nvCxnSpPr>
          <xdr:spPr>
            <a:xfrm>
              <a:off x="2719916" y="5542412"/>
              <a:ext cx="0" cy="684000"/>
            </a:xfrm>
            <a:prstGeom prst="line">
              <a:avLst/>
            </a:prstGeom>
            <a:ln w="3175">
              <a:solidFill>
                <a:schemeClr val="bg1">
                  <a:lumMod val="8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152400</xdr:rowOff>
        </xdr:from>
        <xdr:to>
          <xdr:col>20</xdr:col>
          <xdr:colOff>0</xdr:colOff>
          <xdr:row>29</xdr:row>
          <xdr:rowOff>152400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42</xdr:row>
          <xdr:rowOff>19050</xdr:rowOff>
        </xdr:from>
        <xdr:to>
          <xdr:col>17</xdr:col>
          <xdr:colOff>190500</xdr:colOff>
          <xdr:row>45</xdr:row>
          <xdr:rowOff>123825</xdr:rowOff>
        </xdr:to>
        <xdr:sp macro="" textlink="">
          <xdr:nvSpPr>
            <xdr:cNvPr id="1054" name="List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17</xdr:col>
      <xdr:colOff>21095</xdr:colOff>
      <xdr:row>42</xdr:row>
      <xdr:rowOff>19085</xdr:rowOff>
    </xdr:from>
    <xdr:to>
      <xdr:col>18</xdr:col>
      <xdr:colOff>66675</xdr:colOff>
      <xdr:row>45</xdr:row>
      <xdr:rowOff>121150</xdr:rowOff>
    </xdr:to>
    <xdr:grpSp>
      <xdr:nvGrpSpPr>
        <xdr:cNvPr id="38" name="Gruppieren 37"/>
        <xdr:cNvGrpSpPr/>
      </xdr:nvGrpSpPr>
      <xdr:grpSpPr>
        <a:xfrm>
          <a:off x="3726320" y="8134385"/>
          <a:ext cx="264655" cy="673565"/>
          <a:chOff x="2719916" y="5537200"/>
          <a:chExt cx="300567" cy="695325"/>
        </a:xfrm>
      </xdr:grpSpPr>
      <xdr:sp macro="" textlink="">
        <xdr:nvSpPr>
          <xdr:cNvPr id="39" name="Rechteck 38"/>
          <xdr:cNvSpPr/>
        </xdr:nvSpPr>
        <xdr:spPr>
          <a:xfrm>
            <a:off x="2727325" y="5537200"/>
            <a:ext cx="293158" cy="6953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40" name="Gerade Verbindung 39"/>
          <xdr:cNvCxnSpPr/>
        </xdr:nvCxnSpPr>
        <xdr:spPr>
          <a:xfrm>
            <a:off x="2719916" y="5542412"/>
            <a:ext cx="0" cy="684000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19050</xdr:rowOff>
        </xdr:from>
        <xdr:to>
          <xdr:col>6</xdr:col>
          <xdr:colOff>209550</xdr:colOff>
          <xdr:row>25</xdr:row>
          <xdr:rowOff>171450</xdr:rowOff>
        </xdr:to>
        <xdr:sp macro="" textlink="">
          <xdr:nvSpPr>
            <xdr:cNvPr id="1055" name="Scroll Bar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66675</xdr:colOff>
      <xdr:row>0</xdr:row>
      <xdr:rowOff>180975</xdr:rowOff>
    </xdr:from>
    <xdr:to>
      <xdr:col>32</xdr:col>
      <xdr:colOff>9525</xdr:colOff>
      <xdr:row>3</xdr:row>
      <xdr:rowOff>7724</xdr:rowOff>
    </xdr:to>
    <xdr:sp macro="" textlink="">
      <xdr:nvSpPr>
        <xdr:cNvPr id="33" name="Rechteck 32">
          <a:hlinkClick xmlns:r="http://schemas.openxmlformats.org/officeDocument/2006/relationships" r:id="rId9"/>
        </xdr:cNvPr>
        <xdr:cNvSpPr/>
      </xdr:nvSpPr>
      <xdr:spPr>
        <a:xfrm>
          <a:off x="6000750" y="180975"/>
          <a:ext cx="847725" cy="436349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23</xdr:row>
          <xdr:rowOff>114300</xdr:rowOff>
        </xdr:from>
        <xdr:to>
          <xdr:col>46</xdr:col>
          <xdr:colOff>47625</xdr:colOff>
          <xdr:row>24</xdr:row>
          <xdr:rowOff>95250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209550</xdr:colOff>
          <xdr:row>23</xdr:row>
          <xdr:rowOff>114300</xdr:rowOff>
        </xdr:from>
        <xdr:to>
          <xdr:col>34</xdr:col>
          <xdr:colOff>57150</xdr:colOff>
          <xdr:row>24</xdr:row>
          <xdr:rowOff>95250</xdr:rowOff>
        </xdr:to>
        <xdr:sp macro="" textlink="">
          <xdr:nvSpPr>
            <xdr:cNvPr id="19458" name="Drop Dow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28</xdr:row>
          <xdr:rowOff>28575</xdr:rowOff>
        </xdr:from>
        <xdr:to>
          <xdr:col>21</xdr:col>
          <xdr:colOff>123825</xdr:colOff>
          <xdr:row>29</xdr:row>
          <xdr:rowOff>47625</xdr:rowOff>
        </xdr:to>
        <xdr:sp macro="" textlink="">
          <xdr:nvSpPr>
            <xdr:cNvPr id="19460" name="Drop Down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209550</xdr:colOff>
          <xdr:row>40</xdr:row>
          <xdr:rowOff>180975</xdr:rowOff>
        </xdr:from>
        <xdr:to>
          <xdr:col>22</xdr:col>
          <xdr:colOff>76200</xdr:colOff>
          <xdr:row>42</xdr:row>
          <xdr:rowOff>19050</xdr:rowOff>
        </xdr:to>
        <xdr:sp macro="" textlink="">
          <xdr:nvSpPr>
            <xdr:cNvPr id="19461" name="Drop Down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41</xdr:col>
      <xdr:colOff>209551</xdr:colOff>
      <xdr:row>19</xdr:row>
      <xdr:rowOff>9525</xdr:rowOff>
    </xdr:from>
    <xdr:ext cx="936398" cy="676275"/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1" y="3810000"/>
          <a:ext cx="936398" cy="676275"/>
        </a:xfrm>
        <a:prstGeom prst="rect">
          <a:avLst/>
        </a:prstGeom>
      </xdr:spPr>
    </xdr:pic>
    <xdr:clientData/>
  </xdr:oneCellAnchor>
  <xdr:oneCellAnchor>
    <xdr:from>
      <xdr:col>29</xdr:col>
      <xdr:colOff>205625</xdr:colOff>
      <xdr:row>19</xdr:row>
      <xdr:rowOff>19050</xdr:rowOff>
    </xdr:from>
    <xdr:ext cx="955511" cy="660173"/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6425" y="3819525"/>
          <a:ext cx="955511" cy="66017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28</xdr:row>
          <xdr:rowOff>19050</xdr:rowOff>
        </xdr:from>
        <xdr:to>
          <xdr:col>33</xdr:col>
          <xdr:colOff>209550</xdr:colOff>
          <xdr:row>29</xdr:row>
          <xdr:rowOff>9525</xdr:rowOff>
        </xdr:to>
        <xdr:sp macro="" textlink="">
          <xdr:nvSpPr>
            <xdr:cNvPr id="19469" name="Drop Down 13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31</xdr:col>
      <xdr:colOff>47624</xdr:colOff>
      <xdr:row>40</xdr:row>
      <xdr:rowOff>114300</xdr:rowOff>
    </xdr:from>
    <xdr:to>
      <xdr:col>35</xdr:col>
      <xdr:colOff>28569</xdr:colOff>
      <xdr:row>44</xdr:row>
      <xdr:rowOff>19050</xdr:rowOff>
    </xdr:to>
    <xdr:grpSp>
      <xdr:nvGrpSpPr>
        <xdr:cNvPr id="4" name="Gruppieren 3"/>
        <xdr:cNvGrpSpPr/>
      </xdr:nvGrpSpPr>
      <xdr:grpSpPr>
        <a:xfrm>
          <a:off x="6886574" y="8115300"/>
          <a:ext cx="857245" cy="704850"/>
          <a:chOff x="6667461" y="8115300"/>
          <a:chExt cx="857281" cy="704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70" name="List Box 14" hidden="1">
                <a:extLst>
                  <a:ext uri="{63B3BB69-23CF-44E3-9099-C40C66FF867C}">
                    <a14:compatExt spid="_x0000_s19470"/>
                  </a:ext>
                </a:extLst>
              </xdr:cNvPr>
              <xdr:cNvSpPr/>
            </xdr:nvSpPr>
            <xdr:spPr>
              <a:xfrm>
                <a:off x="6667461" y="8143875"/>
                <a:ext cx="838189" cy="676275"/>
              </a:xfrm>
              <a:prstGeom prst="rect">
                <a:avLst/>
              </a:prstGeom>
            </xdr:spPr>
          </xdr:sp>
        </mc:Choice>
        <mc:Fallback/>
      </mc:AlternateContent>
      <xdr:grpSp>
        <xdr:nvGrpSpPr>
          <xdr:cNvPr id="27" name="Gruppieren 26"/>
          <xdr:cNvGrpSpPr/>
        </xdr:nvGrpSpPr>
        <xdr:grpSpPr>
          <a:xfrm>
            <a:off x="7334245" y="8115300"/>
            <a:ext cx="190497" cy="695325"/>
            <a:chOff x="2719916" y="5537200"/>
            <a:chExt cx="189165" cy="695325"/>
          </a:xfrm>
        </xdr:grpSpPr>
        <xdr:sp macro="" textlink="">
          <xdr:nvSpPr>
            <xdr:cNvPr id="28" name="Rechteck 27"/>
            <xdr:cNvSpPr/>
          </xdr:nvSpPr>
          <xdr:spPr>
            <a:xfrm>
              <a:off x="2727325" y="5537200"/>
              <a:ext cx="181756" cy="69532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cxnSp macro="">
          <xdr:nvCxnSpPr>
            <xdr:cNvPr id="29" name="Gerade Verbindung 28"/>
            <xdr:cNvCxnSpPr/>
          </xdr:nvCxnSpPr>
          <xdr:spPr>
            <a:xfrm>
              <a:off x="2719916" y="5542412"/>
              <a:ext cx="0" cy="684000"/>
            </a:xfrm>
            <a:prstGeom prst="line">
              <a:avLst/>
            </a:prstGeom>
            <a:ln w="3175">
              <a:solidFill>
                <a:schemeClr val="bg1">
                  <a:lumMod val="8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oneCellAnchor>
    <xdr:from>
      <xdr:col>2</xdr:col>
      <xdr:colOff>38098</xdr:colOff>
      <xdr:row>3</xdr:row>
      <xdr:rowOff>47623</xdr:rowOff>
    </xdr:from>
    <xdr:ext cx="1249200" cy="1110400"/>
    <xdr:pic>
      <xdr:nvPicPr>
        <xdr:cNvPr id="37" name="Grafik 3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48" y="647698"/>
          <a:ext cx="1249200" cy="1110400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9</xdr:row>
      <xdr:rowOff>57150</xdr:rowOff>
    </xdr:from>
    <xdr:ext cx="1249200" cy="1108758"/>
    <xdr:pic>
      <xdr:nvPicPr>
        <xdr:cNvPr id="38" name="Grafik 3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48" y="1857375"/>
          <a:ext cx="1249200" cy="1108758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15</xdr:row>
      <xdr:rowOff>47625</xdr:rowOff>
    </xdr:from>
    <xdr:ext cx="1249200" cy="1108758"/>
    <xdr:pic>
      <xdr:nvPicPr>
        <xdr:cNvPr id="39" name="Grafik 3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48" y="3048000"/>
          <a:ext cx="1249200" cy="1108758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21</xdr:row>
      <xdr:rowOff>57150</xdr:rowOff>
    </xdr:from>
    <xdr:ext cx="1249200" cy="1100486"/>
    <xdr:pic>
      <xdr:nvPicPr>
        <xdr:cNvPr id="40" name="Grafik 3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48" y="4257675"/>
          <a:ext cx="1249200" cy="1100486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27</xdr:row>
      <xdr:rowOff>47625</xdr:rowOff>
    </xdr:from>
    <xdr:ext cx="1249200" cy="1107922"/>
    <xdr:pic>
      <xdr:nvPicPr>
        <xdr:cNvPr id="41" name="Grafik 4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48" y="5448300"/>
          <a:ext cx="1249200" cy="1107922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33</xdr:row>
      <xdr:rowOff>47625</xdr:rowOff>
    </xdr:from>
    <xdr:ext cx="1249200" cy="1100486"/>
    <xdr:pic>
      <xdr:nvPicPr>
        <xdr:cNvPr id="42" name="Grafik 4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48" y="6648450"/>
          <a:ext cx="1249200" cy="1100486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39</xdr:row>
      <xdr:rowOff>57150</xdr:rowOff>
    </xdr:from>
    <xdr:ext cx="1249200" cy="1100486"/>
    <xdr:pic>
      <xdr:nvPicPr>
        <xdr:cNvPr id="43" name="Grafik 4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48" y="7858125"/>
          <a:ext cx="1249200" cy="1100486"/>
        </a:xfrm>
        <a:prstGeom prst="rect">
          <a:avLst/>
        </a:prstGeom>
      </xdr:spPr>
    </xdr:pic>
    <xdr:clientData/>
  </xdr:oneCellAnchor>
  <xdr:oneCellAnchor>
    <xdr:from>
      <xdr:col>2</xdr:col>
      <xdr:colOff>38098</xdr:colOff>
      <xdr:row>45</xdr:row>
      <xdr:rowOff>57151</xdr:rowOff>
    </xdr:from>
    <xdr:ext cx="1249200" cy="1093973"/>
    <xdr:pic>
      <xdr:nvPicPr>
        <xdr:cNvPr id="44" name="Grafik 4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48" y="9058276"/>
          <a:ext cx="1249200" cy="1093973"/>
        </a:xfrm>
        <a:prstGeom prst="rect">
          <a:avLst/>
        </a:prstGeom>
      </xdr:spPr>
    </xdr:pic>
    <xdr:clientData/>
  </xdr:oneCellAnchor>
  <xdr:oneCellAnchor>
    <xdr:from>
      <xdr:col>29</xdr:col>
      <xdr:colOff>38100</xdr:colOff>
      <xdr:row>3</xdr:row>
      <xdr:rowOff>47625</xdr:rowOff>
    </xdr:from>
    <xdr:ext cx="1249200" cy="1108758"/>
    <xdr:pic>
      <xdr:nvPicPr>
        <xdr:cNvPr id="45" name="Grafik 4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72200" y="647700"/>
          <a:ext cx="1249200" cy="1108758"/>
        </a:xfrm>
        <a:prstGeom prst="rect">
          <a:avLst/>
        </a:prstGeom>
      </xdr:spPr>
    </xdr:pic>
    <xdr:clientData/>
  </xdr:oneCellAnchor>
  <xdr:oneCellAnchor>
    <xdr:from>
      <xdr:col>35</xdr:col>
      <xdr:colOff>38100</xdr:colOff>
      <xdr:row>3</xdr:row>
      <xdr:rowOff>47625</xdr:rowOff>
    </xdr:from>
    <xdr:ext cx="1249200" cy="1101366"/>
    <xdr:pic>
      <xdr:nvPicPr>
        <xdr:cNvPr id="46" name="Grafik 4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86650" y="647700"/>
          <a:ext cx="1249200" cy="1101366"/>
        </a:xfrm>
        <a:prstGeom prst="rect">
          <a:avLst/>
        </a:prstGeom>
      </xdr:spPr>
    </xdr:pic>
    <xdr:clientData/>
  </xdr:oneCellAnchor>
  <xdr:oneCellAnchor>
    <xdr:from>
      <xdr:col>41</xdr:col>
      <xdr:colOff>38100</xdr:colOff>
      <xdr:row>3</xdr:row>
      <xdr:rowOff>47625</xdr:rowOff>
    </xdr:from>
    <xdr:ext cx="1249200" cy="1093973"/>
    <xdr:pic>
      <xdr:nvPicPr>
        <xdr:cNvPr id="47" name="Grafik 4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01100" y="647700"/>
          <a:ext cx="1249200" cy="109397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114300</xdr:rowOff>
        </xdr:from>
        <xdr:to>
          <xdr:col>11</xdr:col>
          <xdr:colOff>114300</xdr:colOff>
          <xdr:row>6</xdr:row>
          <xdr:rowOff>142875</xdr:rowOff>
        </xdr:to>
        <xdr:sp macro="" textlink="">
          <xdr:nvSpPr>
            <xdr:cNvPr id="19473" name="Option Button 17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</xdr:row>
          <xdr:rowOff>114300</xdr:rowOff>
        </xdr:from>
        <xdr:to>
          <xdr:col>11</xdr:col>
          <xdr:colOff>114300</xdr:colOff>
          <xdr:row>12</xdr:row>
          <xdr:rowOff>142875</xdr:rowOff>
        </xdr:to>
        <xdr:sp macro="" textlink="">
          <xdr:nvSpPr>
            <xdr:cNvPr id="19477" name="Option Button 21" hidden="1">
              <a:extLst>
                <a:ext uri="{63B3BB69-23CF-44E3-9099-C40C66FF867C}">
                  <a14:compatExt spid="_x0000_s19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</xdr:row>
          <xdr:rowOff>114300</xdr:rowOff>
        </xdr:from>
        <xdr:to>
          <xdr:col>11</xdr:col>
          <xdr:colOff>114300</xdr:colOff>
          <xdr:row>18</xdr:row>
          <xdr:rowOff>142875</xdr:rowOff>
        </xdr:to>
        <xdr:sp macro="" textlink="">
          <xdr:nvSpPr>
            <xdr:cNvPr id="19478" name="Option Button 22" hidden="1">
              <a:extLst>
                <a:ext uri="{63B3BB69-23CF-44E3-9099-C40C66FF867C}">
                  <a14:compatExt spid="_x0000_s19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114300</xdr:rowOff>
        </xdr:from>
        <xdr:to>
          <xdr:col>11</xdr:col>
          <xdr:colOff>114300</xdr:colOff>
          <xdr:row>24</xdr:row>
          <xdr:rowOff>142875</xdr:rowOff>
        </xdr:to>
        <xdr:sp macro="" textlink="">
          <xdr:nvSpPr>
            <xdr:cNvPr id="19479" name="Option Button 23" hidden="1">
              <a:extLst>
                <a:ext uri="{63B3BB69-23CF-44E3-9099-C40C66FF867C}">
                  <a14:compatExt spid="_x0000_s19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114300</xdr:rowOff>
        </xdr:from>
        <xdr:to>
          <xdr:col>11</xdr:col>
          <xdr:colOff>114300</xdr:colOff>
          <xdr:row>30</xdr:row>
          <xdr:rowOff>142875</xdr:rowOff>
        </xdr:to>
        <xdr:sp macro="" textlink="">
          <xdr:nvSpPr>
            <xdr:cNvPr id="19481" name="Option Button 25" hidden="1">
              <a:extLst>
                <a:ext uri="{63B3BB69-23CF-44E3-9099-C40C66FF867C}">
                  <a14:compatExt spid="_x0000_s19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35</xdr:row>
          <xdr:rowOff>114300</xdr:rowOff>
        </xdr:from>
        <xdr:to>
          <xdr:col>11</xdr:col>
          <xdr:colOff>114300</xdr:colOff>
          <xdr:row>36</xdr:row>
          <xdr:rowOff>142875</xdr:rowOff>
        </xdr:to>
        <xdr:sp macro="" textlink="">
          <xdr:nvSpPr>
            <xdr:cNvPr id="19482" name="Option Button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114300</xdr:rowOff>
        </xdr:from>
        <xdr:to>
          <xdr:col>11</xdr:col>
          <xdr:colOff>114300</xdr:colOff>
          <xdr:row>42</xdr:row>
          <xdr:rowOff>142875</xdr:rowOff>
        </xdr:to>
        <xdr:sp macro="" textlink="">
          <xdr:nvSpPr>
            <xdr:cNvPr id="19483" name="Option Button 27" hidden="1">
              <a:extLst>
                <a:ext uri="{63B3BB69-23CF-44E3-9099-C40C66FF867C}">
                  <a14:compatExt spid="_x0000_s19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47</xdr:row>
          <xdr:rowOff>114300</xdr:rowOff>
        </xdr:from>
        <xdr:to>
          <xdr:col>11</xdr:col>
          <xdr:colOff>114300</xdr:colOff>
          <xdr:row>48</xdr:row>
          <xdr:rowOff>142875</xdr:rowOff>
        </xdr:to>
        <xdr:sp macro="" textlink="">
          <xdr:nvSpPr>
            <xdr:cNvPr id="19484" name="Option Button 28" hidden="1">
              <a:extLst>
                <a:ext uri="{63B3BB69-23CF-44E3-9099-C40C66FF867C}">
                  <a14:compatExt spid="_x0000_s19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104775</xdr:colOff>
          <xdr:row>11</xdr:row>
          <xdr:rowOff>114300</xdr:rowOff>
        </xdr:from>
        <xdr:to>
          <xdr:col>32</xdr:col>
          <xdr:colOff>114300</xdr:colOff>
          <xdr:row>12</xdr:row>
          <xdr:rowOff>142875</xdr:rowOff>
        </xdr:to>
        <xdr:sp macro="" textlink="">
          <xdr:nvSpPr>
            <xdr:cNvPr id="19485" name="Option Button 29" hidden="1">
              <a:extLst>
                <a:ext uri="{63B3BB69-23CF-44E3-9099-C40C66FF867C}">
                  <a14:compatExt spid="_x0000_s19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11</xdr:row>
          <xdr:rowOff>114300</xdr:rowOff>
        </xdr:from>
        <xdr:to>
          <xdr:col>38</xdr:col>
          <xdr:colOff>114300</xdr:colOff>
          <xdr:row>12</xdr:row>
          <xdr:rowOff>142875</xdr:rowOff>
        </xdr:to>
        <xdr:sp macro="" textlink="">
          <xdr:nvSpPr>
            <xdr:cNvPr id="19487" name="Option Button 31" hidden="1">
              <a:extLst>
                <a:ext uri="{63B3BB69-23CF-44E3-9099-C40C66FF867C}">
                  <a14:compatExt spid="_x0000_s19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104775</xdr:colOff>
          <xdr:row>11</xdr:row>
          <xdr:rowOff>114300</xdr:rowOff>
        </xdr:from>
        <xdr:to>
          <xdr:col>44</xdr:col>
          <xdr:colOff>114300</xdr:colOff>
          <xdr:row>12</xdr:row>
          <xdr:rowOff>142875</xdr:rowOff>
        </xdr:to>
        <xdr:sp macro="" textlink="">
          <xdr:nvSpPr>
            <xdr:cNvPr id="19488" name="Option Button 32" hidden="1">
              <a:extLst>
                <a:ext uri="{63B3BB69-23CF-44E3-9099-C40C66FF867C}">
                  <a14:compatExt spid="_x0000_s19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18</xdr:col>
      <xdr:colOff>114299</xdr:colOff>
      <xdr:row>2</xdr:row>
      <xdr:rowOff>152400</xdr:rowOff>
    </xdr:from>
    <xdr:to>
      <xdr:col>23</xdr:col>
      <xdr:colOff>104775</xdr:colOff>
      <xdr:row>10</xdr:row>
      <xdr:rowOff>47625</xdr:rowOff>
    </xdr:to>
    <xdr:grpSp>
      <xdr:nvGrpSpPr>
        <xdr:cNvPr id="31" name="Gruppieren 30"/>
        <xdr:cNvGrpSpPr/>
      </xdr:nvGrpSpPr>
      <xdr:grpSpPr>
        <a:xfrm>
          <a:off x="4105274" y="552450"/>
          <a:ext cx="1085851" cy="1495425"/>
          <a:chOff x="3724274" y="600075"/>
          <a:chExt cx="1085851" cy="14954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71" name="List Box 15" hidden="1">
                <a:extLst>
                  <a:ext uri="{63B3BB69-23CF-44E3-9099-C40C66FF867C}">
                    <a14:compatExt spid="_x0000_s19471"/>
                  </a:ext>
                </a:extLst>
              </xdr:cNvPr>
              <xdr:cNvSpPr/>
            </xdr:nvSpPr>
            <xdr:spPr>
              <a:xfrm>
                <a:off x="3724274" y="609601"/>
                <a:ext cx="1085851" cy="1438274"/>
              </a:xfrm>
              <a:prstGeom prst="rect">
                <a:avLst/>
              </a:prstGeom>
            </xdr:spPr>
          </xdr:sp>
        </mc:Choice>
        <mc:Fallback/>
      </mc:AlternateContent>
      <xdr:grpSp>
        <xdr:nvGrpSpPr>
          <xdr:cNvPr id="30" name="Gruppieren 29"/>
          <xdr:cNvGrpSpPr/>
        </xdr:nvGrpSpPr>
        <xdr:grpSpPr>
          <a:xfrm>
            <a:off x="4648200" y="600075"/>
            <a:ext cx="161925" cy="1495425"/>
            <a:chOff x="4648200" y="600075"/>
            <a:chExt cx="161925" cy="1495425"/>
          </a:xfrm>
        </xdr:grpSpPr>
        <xdr:sp macro="" textlink="">
          <xdr:nvSpPr>
            <xdr:cNvPr id="18" name="Rechteck 17"/>
            <xdr:cNvSpPr/>
          </xdr:nvSpPr>
          <xdr:spPr>
            <a:xfrm>
              <a:off x="4648200" y="600075"/>
              <a:ext cx="161925" cy="149542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DE" sz="1100"/>
            </a:p>
          </xdr:txBody>
        </xdr:sp>
        <xdr:cxnSp macro="">
          <xdr:nvCxnSpPr>
            <xdr:cNvPr id="26" name="Gerade Verbindung 25"/>
            <xdr:cNvCxnSpPr/>
          </xdr:nvCxnSpPr>
          <xdr:spPr>
            <a:xfrm>
              <a:off x="4648200" y="609600"/>
              <a:ext cx="0" cy="1419225"/>
            </a:xfrm>
            <a:prstGeom prst="line">
              <a:avLst/>
            </a:prstGeom>
            <a:ln>
              <a:solidFill>
                <a:schemeClr val="bg1">
                  <a:lumMod val="8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19</xdr:row>
          <xdr:rowOff>9525</xdr:rowOff>
        </xdr:from>
        <xdr:to>
          <xdr:col>20</xdr:col>
          <xdr:colOff>209550</xdr:colOff>
          <xdr:row>24</xdr:row>
          <xdr:rowOff>190500</xdr:rowOff>
        </xdr:to>
        <xdr:sp macro="" textlink="">
          <xdr:nvSpPr>
            <xdr:cNvPr id="19526" name="Scroll Bar 70" hidden="1">
              <a:extLst>
                <a:ext uri="{63B3BB69-23CF-44E3-9099-C40C66FF867C}">
                  <a14:compatExt spid="_x0000_s19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57150</xdr:colOff>
          <xdr:row>40</xdr:row>
          <xdr:rowOff>152400</xdr:rowOff>
        </xdr:from>
        <xdr:to>
          <xdr:col>41</xdr:col>
          <xdr:colOff>133350</xdr:colOff>
          <xdr:row>41</xdr:row>
          <xdr:rowOff>142875</xdr:rowOff>
        </xdr:to>
        <xdr:sp macro="" textlink="">
          <xdr:nvSpPr>
            <xdr:cNvPr id="19459" name="Drop Dow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47625</xdr:colOff>
          <xdr:row>42</xdr:row>
          <xdr:rowOff>190500</xdr:rowOff>
        </xdr:from>
        <xdr:to>
          <xdr:col>44</xdr:col>
          <xdr:colOff>209550</xdr:colOff>
          <xdr:row>44</xdr:row>
          <xdr:rowOff>9525</xdr:rowOff>
        </xdr:to>
        <xdr:sp macro="" textlink="">
          <xdr:nvSpPr>
            <xdr:cNvPr id="19467" name="Drop Down 11" hidden="1">
              <a:extLst>
                <a:ext uri="{63B3BB69-23CF-44E3-9099-C40C66FF867C}">
                  <a14:compatExt spid="_x0000_s19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24</xdr:col>
      <xdr:colOff>95250</xdr:colOff>
      <xdr:row>13</xdr:row>
      <xdr:rowOff>28575</xdr:rowOff>
    </xdr:from>
    <xdr:to>
      <xdr:col>28</xdr:col>
      <xdr:colOff>152400</xdr:colOff>
      <xdr:row>14</xdr:row>
      <xdr:rowOff>198224</xdr:rowOff>
    </xdr:to>
    <xdr:sp macro="" textlink="">
      <xdr:nvSpPr>
        <xdr:cNvPr id="49" name="Rechteck 48">
          <a:hlinkClick xmlns:r="http://schemas.openxmlformats.org/officeDocument/2006/relationships" r:id="rId14"/>
        </xdr:cNvPr>
        <xdr:cNvSpPr/>
      </xdr:nvSpPr>
      <xdr:spPr>
        <a:xfrm>
          <a:off x="5572125" y="2628900"/>
          <a:ext cx="933450" cy="369674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19050</xdr:colOff>
          <xdr:row>27</xdr:row>
          <xdr:rowOff>171450</xdr:rowOff>
        </xdr:from>
        <xdr:to>
          <xdr:col>39</xdr:col>
          <xdr:colOff>190500</xdr:colOff>
          <xdr:row>29</xdr:row>
          <xdr:rowOff>28575</xdr:rowOff>
        </xdr:to>
        <xdr:sp macro="" textlink="">
          <xdr:nvSpPr>
            <xdr:cNvPr id="19529" name="Spinner 73" hidden="1">
              <a:extLst>
                <a:ext uri="{63B3BB69-23CF-44E3-9099-C40C66FF867C}">
                  <a14:compatExt spid="_x0000_s19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36</xdr:col>
      <xdr:colOff>47625</xdr:colOff>
      <xdr:row>18</xdr:row>
      <xdr:rowOff>200023</xdr:rowOff>
    </xdr:from>
    <xdr:to>
      <xdr:col>40</xdr:col>
      <xdr:colOff>161865</xdr:colOff>
      <xdr:row>24</xdr:row>
      <xdr:rowOff>38100</xdr:rowOff>
    </xdr:to>
    <xdr:grpSp>
      <xdr:nvGrpSpPr>
        <xdr:cNvPr id="3" name="Gruppieren 2"/>
        <xdr:cNvGrpSpPr/>
      </xdr:nvGrpSpPr>
      <xdr:grpSpPr>
        <a:xfrm>
          <a:off x="7981950" y="3800473"/>
          <a:ext cx="990540" cy="1038227"/>
          <a:chOff x="7810500" y="3781423"/>
          <a:chExt cx="990540" cy="1038227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528" name="List Box 72" hidden="1">
                <a:extLst>
                  <a:ext uri="{63B3BB69-23CF-44E3-9099-C40C66FF867C}">
                    <a14:compatExt spid="_x0000_s19528"/>
                  </a:ext>
                </a:extLst>
              </xdr:cNvPr>
              <xdr:cNvSpPr/>
            </xdr:nvSpPr>
            <xdr:spPr>
              <a:xfrm>
                <a:off x="7810500" y="3781423"/>
                <a:ext cx="847726" cy="1038227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0" name="Rechteck 49"/>
          <xdr:cNvSpPr/>
        </xdr:nvSpPr>
        <xdr:spPr>
          <a:xfrm>
            <a:off x="8505825" y="3781426"/>
            <a:ext cx="295215" cy="10287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52" name="Gerade Verbindung 51"/>
          <xdr:cNvCxnSpPr/>
        </xdr:nvCxnSpPr>
        <xdr:spPr>
          <a:xfrm flipH="1">
            <a:off x="8477250" y="3800475"/>
            <a:ext cx="19050" cy="998325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23</xdr:row>
          <xdr:rowOff>142875</xdr:rowOff>
        </xdr:from>
        <xdr:to>
          <xdr:col>30</xdr:col>
          <xdr:colOff>66675</xdr:colOff>
          <xdr:row>24</xdr:row>
          <xdr:rowOff>161925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23</xdr:row>
          <xdr:rowOff>142875</xdr:rowOff>
        </xdr:from>
        <xdr:to>
          <xdr:col>22</xdr:col>
          <xdr:colOff>114300</xdr:colOff>
          <xdr:row>24</xdr:row>
          <xdr:rowOff>114300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38100</xdr:rowOff>
        </xdr:from>
        <xdr:to>
          <xdr:col>7</xdr:col>
          <xdr:colOff>133350</xdr:colOff>
          <xdr:row>29</xdr:row>
          <xdr:rowOff>38100</xdr:rowOff>
        </xdr:to>
        <xdr:sp macro="" textlink="">
          <xdr:nvSpPr>
            <xdr:cNvPr id="20484" name="Drop Down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142875</xdr:rowOff>
        </xdr:from>
        <xdr:to>
          <xdr:col>12</xdr:col>
          <xdr:colOff>180975</xdr:colOff>
          <xdr:row>43</xdr:row>
          <xdr:rowOff>142875</xdr:rowOff>
        </xdr:to>
        <xdr:sp macro="" textlink="">
          <xdr:nvSpPr>
            <xdr:cNvPr id="20485" name="Drop Down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</xdr:row>
          <xdr:rowOff>114300</xdr:rowOff>
        </xdr:from>
        <xdr:to>
          <xdr:col>5</xdr:col>
          <xdr:colOff>76200</xdr:colOff>
          <xdr:row>13</xdr:row>
          <xdr:rowOff>95250</xdr:rowOff>
        </xdr:to>
        <xdr:sp macro="" textlink="">
          <xdr:nvSpPr>
            <xdr:cNvPr id="20486" name="Option Button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18</xdr:col>
      <xdr:colOff>43700</xdr:colOff>
      <xdr:row>19</xdr:row>
      <xdr:rowOff>38100</xdr:rowOff>
    </xdr:from>
    <xdr:ext cx="955511" cy="684000"/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7975" y="3829050"/>
          <a:ext cx="955511" cy="684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27</xdr:row>
          <xdr:rowOff>180975</xdr:rowOff>
        </xdr:from>
        <xdr:to>
          <xdr:col>32</xdr:col>
          <xdr:colOff>190500</xdr:colOff>
          <xdr:row>30</xdr:row>
          <xdr:rowOff>190500</xdr:rowOff>
        </xdr:to>
        <xdr:sp macro="" textlink="">
          <xdr:nvSpPr>
            <xdr:cNvPr id="20490" name="List Box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8</xdr:col>
      <xdr:colOff>157378</xdr:colOff>
      <xdr:row>18</xdr:row>
      <xdr:rowOff>194310</xdr:rowOff>
    </xdr:from>
    <xdr:ext cx="609767" cy="1095804"/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903" y="3594735"/>
          <a:ext cx="609767" cy="1095804"/>
        </a:xfrm>
        <a:prstGeom prst="rect">
          <a:avLst/>
        </a:prstGeom>
      </xdr:spPr>
    </xdr:pic>
    <xdr:clientData/>
  </xdr:oneCellAnchor>
  <xdr:oneCellAnchor>
    <xdr:from>
      <xdr:col>11</xdr:col>
      <xdr:colOff>194100</xdr:colOff>
      <xdr:row>19</xdr:row>
      <xdr:rowOff>21217</xdr:rowOff>
    </xdr:from>
    <xdr:ext cx="726015" cy="1200318"/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850" y="3621667"/>
          <a:ext cx="726015" cy="1200318"/>
        </a:xfrm>
        <a:prstGeom prst="rect">
          <a:avLst/>
        </a:prstGeom>
      </xdr:spPr>
    </xdr:pic>
    <xdr:clientData/>
  </xdr:oneCellAnchor>
  <xdr:twoCellAnchor>
    <xdr:from>
      <xdr:col>31</xdr:col>
      <xdr:colOff>168274</xdr:colOff>
      <xdr:row>27</xdr:row>
      <xdr:rowOff>176739</xdr:rowOff>
    </xdr:from>
    <xdr:to>
      <xdr:col>33</xdr:col>
      <xdr:colOff>32808</xdr:colOff>
      <xdr:row>31</xdr:row>
      <xdr:rowOff>0</xdr:rowOff>
    </xdr:to>
    <xdr:grpSp>
      <xdr:nvGrpSpPr>
        <xdr:cNvPr id="16" name="Gruppieren 15"/>
        <xdr:cNvGrpSpPr/>
      </xdr:nvGrpSpPr>
      <xdr:grpSpPr>
        <a:xfrm>
          <a:off x="6988174" y="5415489"/>
          <a:ext cx="302684" cy="623361"/>
          <a:chOff x="2719916" y="5537200"/>
          <a:chExt cx="300567" cy="695325"/>
        </a:xfrm>
      </xdr:grpSpPr>
      <xdr:sp macro="" textlink="">
        <xdr:nvSpPr>
          <xdr:cNvPr id="17" name="Rechteck 16"/>
          <xdr:cNvSpPr/>
        </xdr:nvSpPr>
        <xdr:spPr>
          <a:xfrm>
            <a:off x="2727325" y="5537200"/>
            <a:ext cx="293158" cy="6953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18" name="Gerade Verbindung 17"/>
          <xdr:cNvCxnSpPr/>
        </xdr:nvCxnSpPr>
        <xdr:spPr>
          <a:xfrm>
            <a:off x="2719916" y="5542412"/>
            <a:ext cx="0" cy="684000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19050</xdr:rowOff>
        </xdr:from>
        <xdr:to>
          <xdr:col>19</xdr:col>
          <xdr:colOff>85725</xdr:colOff>
          <xdr:row>29</xdr:row>
          <xdr:rowOff>9525</xdr:rowOff>
        </xdr:to>
        <xdr:sp macro="" textlink="">
          <xdr:nvSpPr>
            <xdr:cNvPr id="20491" name="Drop Down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42</xdr:row>
          <xdr:rowOff>152400</xdr:rowOff>
        </xdr:from>
        <xdr:to>
          <xdr:col>17</xdr:col>
          <xdr:colOff>133350</xdr:colOff>
          <xdr:row>46</xdr:row>
          <xdr:rowOff>28575</xdr:rowOff>
        </xdr:to>
        <xdr:sp macro="" textlink="">
          <xdr:nvSpPr>
            <xdr:cNvPr id="20492" name="List Box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16</xdr:col>
      <xdr:colOff>190500</xdr:colOff>
      <xdr:row>42</xdr:row>
      <xdr:rowOff>142875</xdr:rowOff>
    </xdr:from>
    <xdr:to>
      <xdr:col>17</xdr:col>
      <xdr:colOff>200025</xdr:colOff>
      <xdr:row>46</xdr:row>
      <xdr:rowOff>38100</xdr:rowOff>
    </xdr:to>
    <xdr:grpSp>
      <xdr:nvGrpSpPr>
        <xdr:cNvPr id="21" name="Gruppieren 20"/>
        <xdr:cNvGrpSpPr/>
      </xdr:nvGrpSpPr>
      <xdr:grpSpPr>
        <a:xfrm>
          <a:off x="3705225" y="8401050"/>
          <a:ext cx="228600" cy="695325"/>
          <a:chOff x="2719916" y="5537200"/>
          <a:chExt cx="300567" cy="695325"/>
        </a:xfrm>
      </xdr:grpSpPr>
      <xdr:sp macro="" textlink="">
        <xdr:nvSpPr>
          <xdr:cNvPr id="22" name="Rechteck 21"/>
          <xdr:cNvSpPr/>
        </xdr:nvSpPr>
        <xdr:spPr>
          <a:xfrm>
            <a:off x="2727325" y="5537200"/>
            <a:ext cx="293158" cy="6953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23" name="Gerade Verbindung 22"/>
          <xdr:cNvCxnSpPr/>
        </xdr:nvCxnSpPr>
        <xdr:spPr>
          <a:xfrm>
            <a:off x="2719916" y="5542412"/>
            <a:ext cx="0" cy="684000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12</xdr:row>
          <xdr:rowOff>133350</xdr:rowOff>
        </xdr:from>
        <xdr:to>
          <xdr:col>13</xdr:col>
          <xdr:colOff>104775</xdr:colOff>
          <xdr:row>13</xdr:row>
          <xdr:rowOff>114300</xdr:rowOff>
        </xdr:to>
        <xdr:sp macro="" textlink="">
          <xdr:nvSpPr>
            <xdr:cNvPr id="20494" name="Option Button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12</xdr:row>
          <xdr:rowOff>104775</xdr:rowOff>
        </xdr:from>
        <xdr:to>
          <xdr:col>21</xdr:col>
          <xdr:colOff>85725</xdr:colOff>
          <xdr:row>13</xdr:row>
          <xdr:rowOff>85725</xdr:rowOff>
        </xdr:to>
        <xdr:sp macro="" textlink="">
          <xdr:nvSpPr>
            <xdr:cNvPr id="20495" name="Option Button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12</xdr:row>
          <xdr:rowOff>95250</xdr:rowOff>
        </xdr:from>
        <xdr:to>
          <xdr:col>29</xdr:col>
          <xdr:colOff>104775</xdr:colOff>
          <xdr:row>13</xdr:row>
          <xdr:rowOff>76200</xdr:rowOff>
        </xdr:to>
        <xdr:sp macro="" textlink="">
          <xdr:nvSpPr>
            <xdr:cNvPr id="20496" name="Option Button 16" hidden="1">
              <a:extLst>
                <a:ext uri="{63B3BB69-23CF-44E3-9099-C40C66FF867C}">
                  <a14:compatExt spid="_x0000_s20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38100</xdr:colOff>
      <xdr:row>4</xdr:row>
      <xdr:rowOff>57150</xdr:rowOff>
    </xdr:from>
    <xdr:to>
      <xdr:col>7</xdr:col>
      <xdr:colOff>184725</xdr:colOff>
      <xdr:row>9</xdr:row>
      <xdr:rowOff>154409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847725"/>
          <a:ext cx="1242000" cy="1097384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4</xdr:row>
      <xdr:rowOff>47625</xdr:rowOff>
    </xdr:from>
    <xdr:to>
      <xdr:col>15</xdr:col>
      <xdr:colOff>194250</xdr:colOff>
      <xdr:row>9</xdr:row>
      <xdr:rowOff>157668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47900" y="838200"/>
          <a:ext cx="1242000" cy="1110168"/>
        </a:xfrm>
        <a:prstGeom prst="rect">
          <a:avLst/>
        </a:prstGeom>
      </xdr:spPr>
    </xdr:pic>
    <xdr:clientData/>
  </xdr:twoCellAnchor>
  <xdr:twoCellAnchor editAs="oneCell">
    <xdr:from>
      <xdr:col>18</xdr:col>
      <xdr:colOff>47625</xdr:colOff>
      <xdr:row>4</xdr:row>
      <xdr:rowOff>57151</xdr:rowOff>
    </xdr:from>
    <xdr:to>
      <xdr:col>23</xdr:col>
      <xdr:colOff>194250</xdr:colOff>
      <xdr:row>9</xdr:row>
      <xdr:rowOff>153413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0500" y="847726"/>
          <a:ext cx="1242000" cy="1096387"/>
        </a:xfrm>
        <a:prstGeom prst="rect">
          <a:avLst/>
        </a:prstGeom>
      </xdr:spPr>
    </xdr:pic>
    <xdr:clientData/>
  </xdr:twoCellAnchor>
  <xdr:twoCellAnchor editAs="oneCell">
    <xdr:from>
      <xdr:col>26</xdr:col>
      <xdr:colOff>57150</xdr:colOff>
      <xdr:row>4</xdr:row>
      <xdr:rowOff>57151</xdr:rowOff>
    </xdr:from>
    <xdr:to>
      <xdr:col>31</xdr:col>
      <xdr:colOff>184725</xdr:colOff>
      <xdr:row>9</xdr:row>
      <xdr:rowOff>148065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62625" y="847726"/>
          <a:ext cx="1242000" cy="10910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19</xdr:row>
          <xdr:rowOff>9525</xdr:rowOff>
        </xdr:from>
        <xdr:to>
          <xdr:col>6</xdr:col>
          <xdr:colOff>209550</xdr:colOff>
          <xdr:row>24</xdr:row>
          <xdr:rowOff>171450</xdr:rowOff>
        </xdr:to>
        <xdr:sp macro="" textlink="">
          <xdr:nvSpPr>
            <xdr:cNvPr id="20498" name="Scroll Bar 18" hidden="1">
              <a:extLst>
                <a:ext uri="{63B3BB69-23CF-44E3-9099-C40C66FF867C}">
                  <a14:compatExt spid="_x0000_s20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66675</xdr:colOff>
      <xdr:row>0</xdr:row>
      <xdr:rowOff>180975</xdr:rowOff>
    </xdr:from>
    <xdr:to>
      <xdr:col>32</xdr:col>
      <xdr:colOff>9525</xdr:colOff>
      <xdr:row>3</xdr:row>
      <xdr:rowOff>7724</xdr:rowOff>
    </xdr:to>
    <xdr:sp macro="" textlink="">
      <xdr:nvSpPr>
        <xdr:cNvPr id="36" name="Rechteck 35">
          <a:hlinkClick xmlns:r="http://schemas.openxmlformats.org/officeDocument/2006/relationships" r:id="rId8"/>
        </xdr:cNvPr>
        <xdr:cNvSpPr/>
      </xdr:nvSpPr>
      <xdr:spPr>
        <a:xfrm>
          <a:off x="6000750" y="180975"/>
          <a:ext cx="847725" cy="436349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28</xdr:row>
          <xdr:rowOff>19050</xdr:rowOff>
        </xdr:from>
        <xdr:to>
          <xdr:col>24</xdr:col>
          <xdr:colOff>200025</xdr:colOff>
          <xdr:row>29</xdr:row>
          <xdr:rowOff>0</xdr:rowOff>
        </xdr:to>
        <xdr:sp macro="" textlink="">
          <xdr:nvSpPr>
            <xdr:cNvPr id="20500" name="Drop Down 20" hidden="1">
              <a:extLst>
                <a:ext uri="{63B3BB69-23CF-44E3-9099-C40C66FF867C}">
                  <a14:compatExt spid="_x0000_s20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42</xdr:row>
          <xdr:rowOff>152400</xdr:rowOff>
        </xdr:from>
        <xdr:to>
          <xdr:col>25</xdr:col>
          <xdr:colOff>9525</xdr:colOff>
          <xdr:row>43</xdr:row>
          <xdr:rowOff>152400</xdr:rowOff>
        </xdr:to>
        <xdr:sp macro="" textlink="">
          <xdr:nvSpPr>
            <xdr:cNvPr id="20483" name="Drop Dow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19050</xdr:rowOff>
        </xdr:from>
        <xdr:to>
          <xdr:col>27</xdr:col>
          <xdr:colOff>9525</xdr:colOff>
          <xdr:row>46</xdr:row>
          <xdr:rowOff>19050</xdr:rowOff>
        </xdr:to>
        <xdr:sp macro="" textlink="">
          <xdr:nvSpPr>
            <xdr:cNvPr id="20489" name="Drop Down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24</xdr:row>
          <xdr:rowOff>95250</xdr:rowOff>
        </xdr:from>
        <xdr:to>
          <xdr:col>30</xdr:col>
          <xdr:colOff>19050</xdr:colOff>
          <xdr:row>25</xdr:row>
          <xdr:rowOff>114300</xdr:rowOff>
        </xdr:to>
        <xdr:sp macro="" textlink="">
          <xdr:nvSpPr>
            <xdr:cNvPr id="21505" name="Drop Dow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24</xdr:row>
          <xdr:rowOff>95250</xdr:rowOff>
        </xdr:from>
        <xdr:to>
          <xdr:col>22</xdr:col>
          <xdr:colOff>104775</xdr:colOff>
          <xdr:row>25</xdr:row>
          <xdr:rowOff>66675</xdr:rowOff>
        </xdr:to>
        <xdr:sp macro="" textlink="">
          <xdr:nvSpPr>
            <xdr:cNvPr id="21506" name="Drop Dow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41</xdr:row>
          <xdr:rowOff>152400</xdr:rowOff>
        </xdr:from>
        <xdr:to>
          <xdr:col>23</xdr:col>
          <xdr:colOff>123825</xdr:colOff>
          <xdr:row>42</xdr:row>
          <xdr:rowOff>152400</xdr:rowOff>
        </xdr:to>
        <xdr:sp macro="" textlink="">
          <xdr:nvSpPr>
            <xdr:cNvPr id="21507" name="Drop Dow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47625</xdr:rowOff>
        </xdr:from>
        <xdr:to>
          <xdr:col>7</xdr:col>
          <xdr:colOff>200025</xdr:colOff>
          <xdr:row>30</xdr:row>
          <xdr:rowOff>47625</xdr:rowOff>
        </xdr:to>
        <xdr:sp macro="" textlink="">
          <xdr:nvSpPr>
            <xdr:cNvPr id="21508" name="Drop Down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152400</xdr:rowOff>
        </xdr:from>
        <xdr:to>
          <xdr:col>12</xdr:col>
          <xdr:colOff>180975</xdr:colOff>
          <xdr:row>42</xdr:row>
          <xdr:rowOff>152400</xdr:rowOff>
        </xdr:to>
        <xdr:sp macro="" textlink="">
          <xdr:nvSpPr>
            <xdr:cNvPr id="21509" name="Drop Down 5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18</xdr:col>
      <xdr:colOff>43700</xdr:colOff>
      <xdr:row>20</xdr:row>
      <xdr:rowOff>47625</xdr:rowOff>
    </xdr:from>
    <xdr:ext cx="955511" cy="684000"/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7525" y="4038600"/>
          <a:ext cx="955511" cy="684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44</xdr:row>
          <xdr:rowOff>38100</xdr:rowOff>
        </xdr:from>
        <xdr:to>
          <xdr:col>26</xdr:col>
          <xdr:colOff>180975</xdr:colOff>
          <xdr:row>45</xdr:row>
          <xdr:rowOff>38100</xdr:rowOff>
        </xdr:to>
        <xdr:sp macro="" textlink="">
          <xdr:nvSpPr>
            <xdr:cNvPr id="21513" name="Drop Down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8</xdr:col>
      <xdr:colOff>109753</xdr:colOff>
      <xdr:row>20</xdr:row>
      <xdr:rowOff>32385</xdr:rowOff>
    </xdr:from>
    <xdr:ext cx="609767" cy="1095804"/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278" y="3832860"/>
          <a:ext cx="609767" cy="1095804"/>
        </a:xfrm>
        <a:prstGeom prst="rect">
          <a:avLst/>
        </a:prstGeom>
      </xdr:spPr>
    </xdr:pic>
    <xdr:clientData/>
  </xdr:oneCellAnchor>
  <xdr:oneCellAnchor>
    <xdr:from>
      <xdr:col>11</xdr:col>
      <xdr:colOff>165525</xdr:colOff>
      <xdr:row>20</xdr:row>
      <xdr:rowOff>68842</xdr:rowOff>
    </xdr:from>
    <xdr:ext cx="726015" cy="1200318"/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275" y="3869317"/>
          <a:ext cx="726015" cy="1200318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29</xdr:row>
          <xdr:rowOff>38100</xdr:rowOff>
        </xdr:from>
        <xdr:to>
          <xdr:col>19</xdr:col>
          <xdr:colOff>76200</xdr:colOff>
          <xdr:row>30</xdr:row>
          <xdr:rowOff>38100</xdr:rowOff>
        </xdr:to>
        <xdr:sp macro="" textlink="">
          <xdr:nvSpPr>
            <xdr:cNvPr id="21515" name="Drop Down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41</xdr:row>
          <xdr:rowOff>152400</xdr:rowOff>
        </xdr:from>
        <xdr:to>
          <xdr:col>17</xdr:col>
          <xdr:colOff>38100</xdr:colOff>
          <xdr:row>45</xdr:row>
          <xdr:rowOff>28575</xdr:rowOff>
        </xdr:to>
        <xdr:sp macro="" textlink="">
          <xdr:nvSpPr>
            <xdr:cNvPr id="21516" name="List Box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16</xdr:col>
      <xdr:colOff>95245</xdr:colOff>
      <xdr:row>41</xdr:row>
      <xdr:rowOff>142872</xdr:rowOff>
    </xdr:from>
    <xdr:to>
      <xdr:col>17</xdr:col>
      <xdr:colOff>66670</xdr:colOff>
      <xdr:row>45</xdr:row>
      <xdr:rowOff>28572</xdr:rowOff>
    </xdr:to>
    <xdr:grpSp>
      <xdr:nvGrpSpPr>
        <xdr:cNvPr id="21" name="Gruppieren 20"/>
        <xdr:cNvGrpSpPr/>
      </xdr:nvGrpSpPr>
      <xdr:grpSpPr>
        <a:xfrm>
          <a:off x="3590920" y="8181972"/>
          <a:ext cx="190500" cy="685800"/>
          <a:chOff x="2719916" y="5537200"/>
          <a:chExt cx="189168" cy="725557"/>
        </a:xfrm>
      </xdr:grpSpPr>
      <xdr:sp macro="" textlink="">
        <xdr:nvSpPr>
          <xdr:cNvPr id="22" name="Rechteck 21"/>
          <xdr:cNvSpPr/>
        </xdr:nvSpPr>
        <xdr:spPr>
          <a:xfrm>
            <a:off x="2727325" y="5537200"/>
            <a:ext cx="181759" cy="725557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23" name="Gerade Verbindung 22"/>
          <xdr:cNvCxnSpPr/>
        </xdr:nvCxnSpPr>
        <xdr:spPr>
          <a:xfrm>
            <a:off x="2719916" y="5542412"/>
            <a:ext cx="0" cy="684000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</xdr:row>
          <xdr:rowOff>123825</xdr:rowOff>
        </xdr:from>
        <xdr:to>
          <xdr:col>5</xdr:col>
          <xdr:colOff>104775</xdr:colOff>
          <xdr:row>13</xdr:row>
          <xdr:rowOff>114300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123825</xdr:rowOff>
        </xdr:from>
        <xdr:to>
          <xdr:col>11</xdr:col>
          <xdr:colOff>95250</xdr:colOff>
          <xdr:row>13</xdr:row>
          <xdr:rowOff>114300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12</xdr:row>
          <xdr:rowOff>123825</xdr:rowOff>
        </xdr:from>
        <xdr:to>
          <xdr:col>17</xdr:col>
          <xdr:colOff>85725</xdr:colOff>
          <xdr:row>13</xdr:row>
          <xdr:rowOff>114300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12</xdr:row>
          <xdr:rowOff>123825</xdr:rowOff>
        </xdr:from>
        <xdr:to>
          <xdr:col>23</xdr:col>
          <xdr:colOff>95250</xdr:colOff>
          <xdr:row>13</xdr:row>
          <xdr:rowOff>114300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12</xdr:row>
          <xdr:rowOff>123825</xdr:rowOff>
        </xdr:from>
        <xdr:to>
          <xdr:col>29</xdr:col>
          <xdr:colOff>76200</xdr:colOff>
          <xdr:row>13</xdr:row>
          <xdr:rowOff>114300</xdr:rowOff>
        </xdr:to>
        <xdr:sp macro="" textlink="">
          <xdr:nvSpPr>
            <xdr:cNvPr id="21521" name="Option Button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26</xdr:col>
      <xdr:colOff>47626</xdr:colOff>
      <xdr:row>4</xdr:row>
      <xdr:rowOff>57151</xdr:rowOff>
    </xdr:from>
    <xdr:to>
      <xdr:col>31</xdr:col>
      <xdr:colOff>127576</xdr:colOff>
      <xdr:row>9</xdr:row>
      <xdr:rowOff>155277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4051" y="847726"/>
          <a:ext cx="1242000" cy="1098251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4</xdr:row>
      <xdr:rowOff>66675</xdr:rowOff>
    </xdr:from>
    <xdr:to>
      <xdr:col>7</xdr:col>
      <xdr:colOff>184724</xdr:colOff>
      <xdr:row>9</xdr:row>
      <xdr:rowOff>155127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174" y="666750"/>
          <a:ext cx="1242000" cy="108857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4</xdr:row>
      <xdr:rowOff>57150</xdr:rowOff>
    </xdr:from>
    <xdr:to>
      <xdr:col>13</xdr:col>
      <xdr:colOff>184725</xdr:colOff>
      <xdr:row>9</xdr:row>
      <xdr:rowOff>159392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71625" y="657225"/>
          <a:ext cx="1242000" cy="1102367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4</xdr:row>
      <xdr:rowOff>57150</xdr:rowOff>
    </xdr:from>
    <xdr:to>
      <xdr:col>25</xdr:col>
      <xdr:colOff>194250</xdr:colOff>
      <xdr:row>9</xdr:row>
      <xdr:rowOff>161025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19600" y="847725"/>
          <a:ext cx="1242000" cy="110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209550</xdr:colOff>
          <xdr:row>25</xdr:row>
          <xdr:rowOff>171450</xdr:rowOff>
        </xdr:to>
        <xdr:sp macro="" textlink="">
          <xdr:nvSpPr>
            <xdr:cNvPr id="21522" name="Scroll Bar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66675</xdr:colOff>
      <xdr:row>0</xdr:row>
      <xdr:rowOff>180975</xdr:rowOff>
    </xdr:from>
    <xdr:to>
      <xdr:col>32</xdr:col>
      <xdr:colOff>9525</xdr:colOff>
      <xdr:row>3</xdr:row>
      <xdr:rowOff>7724</xdr:rowOff>
    </xdr:to>
    <xdr:sp macro="" textlink="">
      <xdr:nvSpPr>
        <xdr:cNvPr id="32" name="Rechteck 31">
          <a:hlinkClick xmlns:r="http://schemas.openxmlformats.org/officeDocument/2006/relationships" r:id="rId8"/>
        </xdr:cNvPr>
        <xdr:cNvSpPr/>
      </xdr:nvSpPr>
      <xdr:spPr>
        <a:xfrm>
          <a:off x="6000750" y="180975"/>
          <a:ext cx="847725" cy="436349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14</xdr:col>
      <xdr:colOff>38100</xdr:colOff>
      <xdr:row>4</xdr:row>
      <xdr:rowOff>57151</xdr:rowOff>
    </xdr:from>
    <xdr:to>
      <xdr:col>19</xdr:col>
      <xdr:colOff>184725</xdr:colOff>
      <xdr:row>9</xdr:row>
      <xdr:rowOff>146945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95625" y="847726"/>
          <a:ext cx="1242000" cy="1089919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19051</xdr:colOff>
      <xdr:row>20</xdr:row>
      <xdr:rowOff>0</xdr:rowOff>
    </xdr:from>
    <xdr:to>
      <xdr:col>30</xdr:col>
      <xdr:colOff>35797</xdr:colOff>
      <xdr:row>23</xdr:row>
      <xdr:rowOff>141075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3971925"/>
          <a:ext cx="959721" cy="68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27</xdr:row>
      <xdr:rowOff>0</xdr:rowOff>
    </xdr:from>
    <xdr:to>
      <xdr:col>17</xdr:col>
      <xdr:colOff>95250</xdr:colOff>
      <xdr:row>53</xdr:row>
      <xdr:rowOff>128100</xdr:rowOff>
    </xdr:to>
    <xdr:cxnSp macro="">
      <xdr:nvCxnSpPr>
        <xdr:cNvPr id="47" name="Gerade Verbindung 46"/>
        <xdr:cNvCxnSpPr/>
      </xdr:nvCxnSpPr>
      <xdr:spPr>
        <a:xfrm flipH="1">
          <a:off x="3819525" y="5314950"/>
          <a:ext cx="0" cy="51192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36</xdr:row>
      <xdr:rowOff>0</xdr:rowOff>
    </xdr:from>
    <xdr:to>
      <xdr:col>11</xdr:col>
      <xdr:colOff>95250</xdr:colOff>
      <xdr:row>53</xdr:row>
      <xdr:rowOff>133350</xdr:rowOff>
    </xdr:to>
    <xdr:cxnSp macro="">
      <xdr:nvCxnSpPr>
        <xdr:cNvPr id="45" name="Gerade Verbindung 44"/>
        <xdr:cNvCxnSpPr/>
      </xdr:nvCxnSpPr>
      <xdr:spPr>
        <a:xfrm>
          <a:off x="2505075" y="7048500"/>
          <a:ext cx="0" cy="33909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6</xdr:row>
      <xdr:rowOff>19050</xdr:rowOff>
    </xdr:from>
    <xdr:to>
      <xdr:col>7</xdr:col>
      <xdr:colOff>190500</xdr:colOff>
      <xdr:row>22</xdr:row>
      <xdr:rowOff>76200</xdr:rowOff>
    </xdr:to>
    <xdr:cxnSp macro="">
      <xdr:nvCxnSpPr>
        <xdr:cNvPr id="41" name="Gerade Verbindung 40"/>
        <xdr:cNvCxnSpPr/>
      </xdr:nvCxnSpPr>
      <xdr:spPr>
        <a:xfrm flipH="1">
          <a:off x="1714500" y="1323975"/>
          <a:ext cx="9525" cy="3114675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7</xdr:col>
          <xdr:colOff>200025</xdr:colOff>
          <xdr:row>22</xdr:row>
          <xdr:rowOff>85725</xdr:rowOff>
        </xdr:to>
        <xdr:sp macro="" textlink="">
          <xdr:nvSpPr>
            <xdr:cNvPr id="33793" name="List Box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6</xdr:row>
          <xdr:rowOff>19050</xdr:rowOff>
        </xdr:from>
        <xdr:to>
          <xdr:col>14</xdr:col>
          <xdr:colOff>95250</xdr:colOff>
          <xdr:row>10</xdr:row>
          <xdr:rowOff>171450</xdr:rowOff>
        </xdr:to>
        <xdr:sp macro="" textlink="">
          <xdr:nvSpPr>
            <xdr:cNvPr id="33795" name="List Box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9525</xdr:rowOff>
        </xdr:from>
        <xdr:to>
          <xdr:col>14</xdr:col>
          <xdr:colOff>76200</xdr:colOff>
          <xdr:row>22</xdr:row>
          <xdr:rowOff>38100</xdr:rowOff>
        </xdr:to>
        <xdr:sp macro="" textlink="">
          <xdr:nvSpPr>
            <xdr:cNvPr id="33796" name="List Box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171450</xdr:rowOff>
        </xdr:from>
        <xdr:to>
          <xdr:col>6</xdr:col>
          <xdr:colOff>9525</xdr:colOff>
          <xdr:row>53</xdr:row>
          <xdr:rowOff>142875</xdr:rowOff>
        </xdr:to>
        <xdr:sp macro="" textlink="">
          <xdr:nvSpPr>
            <xdr:cNvPr id="33797" name="List Box 5" hidden="1">
              <a:extLst>
                <a:ext uri="{63B3BB69-23CF-44E3-9099-C40C66FF867C}">
                  <a14:compatExt spid="_x0000_s33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180975</xdr:rowOff>
        </xdr:from>
        <xdr:to>
          <xdr:col>12</xdr:col>
          <xdr:colOff>28575</xdr:colOff>
          <xdr:row>32</xdr:row>
          <xdr:rowOff>47625</xdr:rowOff>
        </xdr:to>
        <xdr:sp macro="" textlink="">
          <xdr:nvSpPr>
            <xdr:cNvPr id="33798" name="List Box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26</xdr:row>
          <xdr:rowOff>180975</xdr:rowOff>
        </xdr:from>
        <xdr:to>
          <xdr:col>18</xdr:col>
          <xdr:colOff>28575</xdr:colOff>
          <xdr:row>53</xdr:row>
          <xdr:rowOff>133350</xdr:rowOff>
        </xdr:to>
        <xdr:sp macro="" textlink="">
          <xdr:nvSpPr>
            <xdr:cNvPr id="33799" name="List Box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35</xdr:row>
          <xdr:rowOff>180975</xdr:rowOff>
        </xdr:from>
        <xdr:to>
          <xdr:col>12</xdr:col>
          <xdr:colOff>57150</xdr:colOff>
          <xdr:row>53</xdr:row>
          <xdr:rowOff>133350</xdr:rowOff>
        </xdr:to>
        <xdr:sp macro="" textlink="">
          <xdr:nvSpPr>
            <xdr:cNvPr id="33800" name="List Box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76200</xdr:rowOff>
        </xdr:from>
        <xdr:to>
          <xdr:col>24</xdr:col>
          <xdr:colOff>47625</xdr:colOff>
          <xdr:row>37</xdr:row>
          <xdr:rowOff>57150</xdr:rowOff>
        </xdr:to>
        <xdr:sp macro="" textlink="">
          <xdr:nvSpPr>
            <xdr:cNvPr id="33801" name="List Box 9" hidden="1">
              <a:extLst>
                <a:ext uri="{63B3BB69-23CF-44E3-9099-C40C66FF867C}">
                  <a14:compatExt spid="_x0000_s33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32</xdr:row>
          <xdr:rowOff>180975</xdr:rowOff>
        </xdr:from>
        <xdr:to>
          <xdr:col>32</xdr:col>
          <xdr:colOff>114300</xdr:colOff>
          <xdr:row>35</xdr:row>
          <xdr:rowOff>171450</xdr:rowOff>
        </xdr:to>
        <xdr:sp macro="" textlink="">
          <xdr:nvSpPr>
            <xdr:cNvPr id="33804" name="List Box 12" hidden="1">
              <a:extLst>
                <a:ext uri="{63B3BB69-23CF-44E3-9099-C40C66FF867C}">
                  <a14:compatExt spid="_x0000_s33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32</xdr:row>
          <xdr:rowOff>180975</xdr:rowOff>
        </xdr:from>
        <xdr:to>
          <xdr:col>38</xdr:col>
          <xdr:colOff>104775</xdr:colOff>
          <xdr:row>35</xdr:row>
          <xdr:rowOff>76200</xdr:rowOff>
        </xdr:to>
        <xdr:sp macro="" textlink="">
          <xdr:nvSpPr>
            <xdr:cNvPr id="33805" name="List Box 13" hidden="1">
              <a:extLst>
                <a:ext uri="{63B3BB69-23CF-44E3-9099-C40C66FF867C}">
                  <a14:compatExt spid="_x0000_s33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23</xdr:col>
      <xdr:colOff>114300</xdr:colOff>
      <xdr:row>32</xdr:row>
      <xdr:rowOff>66674</xdr:rowOff>
    </xdr:from>
    <xdr:to>
      <xdr:col>24</xdr:col>
      <xdr:colOff>142875</xdr:colOff>
      <xdr:row>37</xdr:row>
      <xdr:rowOff>76199</xdr:rowOff>
    </xdr:to>
    <xdr:sp macro="" textlink="">
      <xdr:nvSpPr>
        <xdr:cNvPr id="3" name="Rechteck 2"/>
        <xdr:cNvSpPr/>
      </xdr:nvSpPr>
      <xdr:spPr>
        <a:xfrm>
          <a:off x="5153025" y="6353174"/>
          <a:ext cx="247650" cy="9620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31</xdr:col>
      <xdr:colOff>161925</xdr:colOff>
      <xdr:row>32</xdr:row>
      <xdr:rowOff>152400</xdr:rowOff>
    </xdr:from>
    <xdr:to>
      <xdr:col>32</xdr:col>
      <xdr:colOff>190500</xdr:colOff>
      <xdr:row>35</xdr:row>
      <xdr:rowOff>180975</xdr:rowOff>
    </xdr:to>
    <xdr:sp macro="" textlink="">
      <xdr:nvSpPr>
        <xdr:cNvPr id="15" name="Rechteck 14"/>
        <xdr:cNvSpPr/>
      </xdr:nvSpPr>
      <xdr:spPr>
        <a:xfrm>
          <a:off x="6734175" y="6286500"/>
          <a:ext cx="247650" cy="6000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37</xdr:col>
      <xdr:colOff>171450</xdr:colOff>
      <xdr:row>32</xdr:row>
      <xdr:rowOff>152400</xdr:rowOff>
    </xdr:from>
    <xdr:to>
      <xdr:col>38</xdr:col>
      <xdr:colOff>200025</xdr:colOff>
      <xdr:row>35</xdr:row>
      <xdr:rowOff>95250</xdr:rowOff>
    </xdr:to>
    <xdr:sp macro="" textlink="">
      <xdr:nvSpPr>
        <xdr:cNvPr id="16" name="Rechteck 15"/>
        <xdr:cNvSpPr/>
      </xdr:nvSpPr>
      <xdr:spPr>
        <a:xfrm>
          <a:off x="8277225" y="6286500"/>
          <a:ext cx="247650" cy="5143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85725</xdr:colOff>
      <xdr:row>26</xdr:row>
      <xdr:rowOff>180975</xdr:rowOff>
    </xdr:from>
    <xdr:to>
      <xdr:col>12</xdr:col>
      <xdr:colOff>133350</xdr:colOff>
      <xdr:row>32</xdr:row>
      <xdr:rowOff>104775</xdr:rowOff>
    </xdr:to>
    <xdr:sp macro="" textlink="">
      <xdr:nvSpPr>
        <xdr:cNvPr id="17" name="Rechteck 16"/>
        <xdr:cNvSpPr/>
      </xdr:nvSpPr>
      <xdr:spPr>
        <a:xfrm>
          <a:off x="2495550" y="4972050"/>
          <a:ext cx="266700" cy="10763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48</xdr:row>
          <xdr:rowOff>85725</xdr:rowOff>
        </xdr:from>
        <xdr:to>
          <xdr:col>36</xdr:col>
          <xdr:colOff>76200</xdr:colOff>
          <xdr:row>49</xdr:row>
          <xdr:rowOff>123825</xdr:rowOff>
        </xdr:to>
        <xdr:sp macro="" textlink="">
          <xdr:nvSpPr>
            <xdr:cNvPr id="33813" name="Drop Down 21" hidden="1">
              <a:extLst>
                <a:ext uri="{63B3BB69-23CF-44E3-9099-C40C66FF867C}">
                  <a14:compatExt spid="_x0000_s33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45</xdr:row>
          <xdr:rowOff>180975</xdr:rowOff>
        </xdr:from>
        <xdr:to>
          <xdr:col>24</xdr:col>
          <xdr:colOff>133350</xdr:colOff>
          <xdr:row>49</xdr:row>
          <xdr:rowOff>95250</xdr:rowOff>
        </xdr:to>
        <xdr:sp macro="" textlink="">
          <xdr:nvSpPr>
            <xdr:cNvPr id="33814" name="List Box 22" hidden="1">
              <a:extLst>
                <a:ext uri="{63B3BB69-23CF-44E3-9099-C40C66FF867C}">
                  <a14:compatExt spid="_x0000_s33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23</xdr:col>
      <xdr:colOff>199992</xdr:colOff>
      <xdr:row>45</xdr:row>
      <xdr:rowOff>180988</xdr:rowOff>
    </xdr:from>
    <xdr:to>
      <xdr:col>25</xdr:col>
      <xdr:colOff>56400</xdr:colOff>
      <xdr:row>49</xdr:row>
      <xdr:rowOff>161928</xdr:rowOff>
    </xdr:to>
    <xdr:sp macro="" textlink="">
      <xdr:nvSpPr>
        <xdr:cNvPr id="33" name="Rechteck 32"/>
        <xdr:cNvSpPr/>
      </xdr:nvSpPr>
      <xdr:spPr>
        <a:xfrm>
          <a:off x="5238717" y="8953513"/>
          <a:ext cx="294558" cy="7429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 fPrintsWithSheet="0"/>
  </xdr:twoCellAnchor>
  <xdr:twoCellAnchor>
    <xdr:from>
      <xdr:col>5</xdr:col>
      <xdr:colOff>57150</xdr:colOff>
      <xdr:row>26</xdr:row>
      <xdr:rowOff>152398</xdr:rowOff>
    </xdr:from>
    <xdr:to>
      <xdr:col>6</xdr:col>
      <xdr:colOff>104775</xdr:colOff>
      <xdr:row>53</xdr:row>
      <xdr:rowOff>161925</xdr:rowOff>
    </xdr:to>
    <xdr:sp macro="" textlink="">
      <xdr:nvSpPr>
        <xdr:cNvPr id="26" name="Rechteck 25"/>
        <xdr:cNvSpPr/>
      </xdr:nvSpPr>
      <xdr:spPr>
        <a:xfrm>
          <a:off x="1152525" y="5333998"/>
          <a:ext cx="266700" cy="518160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40</xdr:row>
          <xdr:rowOff>9525</xdr:rowOff>
        </xdr:from>
        <xdr:to>
          <xdr:col>31</xdr:col>
          <xdr:colOff>95250</xdr:colOff>
          <xdr:row>42</xdr:row>
          <xdr:rowOff>171450</xdr:rowOff>
        </xdr:to>
        <xdr:sp macro="" textlink="">
          <xdr:nvSpPr>
            <xdr:cNvPr id="33815" name="List Box 23" hidden="1">
              <a:extLst>
                <a:ext uri="{63B3BB69-23CF-44E3-9099-C40C66FF867C}">
                  <a14:compatExt spid="_x0000_s33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46</xdr:row>
          <xdr:rowOff>9525</xdr:rowOff>
        </xdr:from>
        <xdr:to>
          <xdr:col>32</xdr:col>
          <xdr:colOff>28575</xdr:colOff>
          <xdr:row>48</xdr:row>
          <xdr:rowOff>76200</xdr:rowOff>
        </xdr:to>
        <xdr:sp macro="" textlink="">
          <xdr:nvSpPr>
            <xdr:cNvPr id="33816" name="List Box 24" hidden="1">
              <a:extLst>
                <a:ext uri="{63B3BB69-23CF-44E3-9099-C40C66FF867C}">
                  <a14:compatExt spid="_x0000_s33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30</xdr:col>
      <xdr:colOff>142875</xdr:colOff>
      <xdr:row>39</xdr:row>
      <xdr:rowOff>161925</xdr:rowOff>
    </xdr:from>
    <xdr:to>
      <xdr:col>31</xdr:col>
      <xdr:colOff>171450</xdr:colOff>
      <xdr:row>43</xdr:row>
      <xdr:rowOff>0</xdr:rowOff>
    </xdr:to>
    <xdr:sp macro="" textlink="">
      <xdr:nvSpPr>
        <xdr:cNvPr id="31" name="Rechteck 30"/>
        <xdr:cNvSpPr/>
      </xdr:nvSpPr>
      <xdr:spPr>
        <a:xfrm>
          <a:off x="6715125" y="8010525"/>
          <a:ext cx="247650" cy="6000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31</xdr:col>
      <xdr:colOff>85725</xdr:colOff>
      <xdr:row>46</xdr:row>
      <xdr:rowOff>9525</xdr:rowOff>
    </xdr:from>
    <xdr:to>
      <xdr:col>32</xdr:col>
      <xdr:colOff>114300</xdr:colOff>
      <xdr:row>48</xdr:row>
      <xdr:rowOff>85725</xdr:rowOff>
    </xdr:to>
    <xdr:sp macro="" textlink="">
      <xdr:nvSpPr>
        <xdr:cNvPr id="35" name="Rechteck 34"/>
        <xdr:cNvSpPr/>
      </xdr:nvSpPr>
      <xdr:spPr>
        <a:xfrm>
          <a:off x="6877050" y="9220200"/>
          <a:ext cx="247650" cy="4572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161925</xdr:colOff>
      <xdr:row>6</xdr:row>
      <xdr:rowOff>9525</xdr:rowOff>
    </xdr:from>
    <xdr:to>
      <xdr:col>14</xdr:col>
      <xdr:colOff>209550</xdr:colOff>
      <xdr:row>10</xdr:row>
      <xdr:rowOff>171450</xdr:rowOff>
    </xdr:to>
    <xdr:sp macro="" textlink="">
      <xdr:nvSpPr>
        <xdr:cNvPr id="36" name="Rechteck 35"/>
        <xdr:cNvSpPr/>
      </xdr:nvSpPr>
      <xdr:spPr>
        <a:xfrm>
          <a:off x="3009900" y="1171575"/>
          <a:ext cx="266700" cy="9239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133350</xdr:colOff>
      <xdr:row>16</xdr:row>
      <xdr:rowOff>9526</xdr:rowOff>
    </xdr:from>
    <xdr:to>
      <xdr:col>14</xdr:col>
      <xdr:colOff>180975</xdr:colOff>
      <xdr:row>22</xdr:row>
      <xdr:rowOff>57150</xdr:rowOff>
    </xdr:to>
    <xdr:sp macro="" textlink="">
      <xdr:nvSpPr>
        <xdr:cNvPr id="37" name="Rechteck 36"/>
        <xdr:cNvSpPr/>
      </xdr:nvSpPr>
      <xdr:spPr>
        <a:xfrm>
          <a:off x="2981325" y="2886076"/>
          <a:ext cx="266700" cy="120014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152400</xdr:colOff>
      <xdr:row>6</xdr:row>
      <xdr:rowOff>19050</xdr:rowOff>
    </xdr:from>
    <xdr:to>
      <xdr:col>13</xdr:col>
      <xdr:colOff>152400</xdr:colOff>
      <xdr:row>10</xdr:row>
      <xdr:rowOff>152400</xdr:rowOff>
    </xdr:to>
    <xdr:cxnSp macro="">
      <xdr:nvCxnSpPr>
        <xdr:cNvPr id="5" name="Gerade Verbindung 4"/>
        <xdr:cNvCxnSpPr/>
      </xdr:nvCxnSpPr>
      <xdr:spPr>
        <a:xfrm>
          <a:off x="3000375" y="1181100"/>
          <a:ext cx="0" cy="89535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133350</xdr:colOff>
      <xdr:row>16</xdr:row>
      <xdr:rowOff>19050</xdr:rowOff>
    </xdr:from>
    <xdr:to>
      <xdr:col>13</xdr:col>
      <xdr:colOff>133350</xdr:colOff>
      <xdr:row>22</xdr:row>
      <xdr:rowOff>38100</xdr:rowOff>
    </xdr:to>
    <xdr:cxnSp macro="">
      <xdr:nvCxnSpPr>
        <xdr:cNvPr id="38" name="Gerade Verbindung 37"/>
        <xdr:cNvCxnSpPr/>
      </xdr:nvCxnSpPr>
      <xdr:spPr>
        <a:xfrm>
          <a:off x="2981325" y="2895600"/>
          <a:ext cx="0" cy="1171575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26</xdr:row>
      <xdr:rowOff>180975</xdr:rowOff>
    </xdr:from>
    <xdr:to>
      <xdr:col>5</xdr:col>
      <xdr:colOff>57150</xdr:colOff>
      <xdr:row>53</xdr:row>
      <xdr:rowOff>152400</xdr:rowOff>
    </xdr:to>
    <xdr:cxnSp macro="">
      <xdr:nvCxnSpPr>
        <xdr:cNvPr id="42" name="Gerade Verbindung 41"/>
        <xdr:cNvCxnSpPr/>
      </xdr:nvCxnSpPr>
      <xdr:spPr>
        <a:xfrm>
          <a:off x="1152525" y="5362575"/>
          <a:ext cx="0" cy="51435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27</xdr:row>
      <xdr:rowOff>19050</xdr:rowOff>
    </xdr:from>
    <xdr:to>
      <xdr:col>11</xdr:col>
      <xdr:colOff>76200</xdr:colOff>
      <xdr:row>32</xdr:row>
      <xdr:rowOff>57150</xdr:rowOff>
    </xdr:to>
    <xdr:cxnSp macro="">
      <xdr:nvCxnSpPr>
        <xdr:cNvPr id="43" name="Gerade Verbindung 42"/>
        <xdr:cNvCxnSpPr/>
      </xdr:nvCxnSpPr>
      <xdr:spPr>
        <a:xfrm>
          <a:off x="2486025" y="5391150"/>
          <a:ext cx="0" cy="1000125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133350</xdr:colOff>
      <xdr:row>40</xdr:row>
      <xdr:rowOff>28575</xdr:rowOff>
    </xdr:from>
    <xdr:to>
      <xdr:col>30</xdr:col>
      <xdr:colOff>133350</xdr:colOff>
      <xdr:row>42</xdr:row>
      <xdr:rowOff>180975</xdr:rowOff>
    </xdr:to>
    <xdr:cxnSp macro="">
      <xdr:nvCxnSpPr>
        <xdr:cNvPr id="44" name="Gerade Verbindung 43"/>
        <xdr:cNvCxnSpPr/>
      </xdr:nvCxnSpPr>
      <xdr:spPr>
        <a:xfrm>
          <a:off x="6705600" y="8077200"/>
          <a:ext cx="0" cy="5334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16342</xdr:colOff>
      <xdr:row>4</xdr:row>
      <xdr:rowOff>19049</xdr:rowOff>
    </xdr:from>
    <xdr:to>
      <xdr:col>38</xdr:col>
      <xdr:colOff>47625</xdr:colOff>
      <xdr:row>30</xdr:row>
      <xdr:rowOff>57470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142" y="1181099"/>
          <a:ext cx="3098333" cy="5019996"/>
        </a:xfrm>
        <a:prstGeom prst="rect">
          <a:avLst/>
        </a:prstGeom>
      </xdr:spPr>
    </xdr:pic>
    <xdr:clientData/>
  </xdr:twoCellAnchor>
  <xdr:twoCellAnchor>
    <xdr:from>
      <xdr:col>34</xdr:col>
      <xdr:colOff>200025</xdr:colOff>
      <xdr:row>1</xdr:row>
      <xdr:rowOff>142875</xdr:rowOff>
    </xdr:from>
    <xdr:to>
      <xdr:col>38</xdr:col>
      <xdr:colOff>209325</xdr:colOff>
      <xdr:row>2</xdr:row>
      <xdr:rowOff>236775</xdr:rowOff>
    </xdr:to>
    <xdr:sp macro="" textlink="">
      <xdr:nvSpPr>
        <xdr:cNvPr id="40" name="Rechteck 39">
          <a:hlinkClick xmlns:r="http://schemas.openxmlformats.org/officeDocument/2006/relationships" r:id="rId2"/>
        </xdr:cNvPr>
        <xdr:cNvSpPr/>
      </xdr:nvSpPr>
      <xdr:spPr>
        <a:xfrm>
          <a:off x="7629525" y="333375"/>
          <a:ext cx="885600" cy="28440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142875</xdr:colOff>
      <xdr:row>2</xdr:row>
      <xdr:rowOff>19050</xdr:rowOff>
    </xdr:to>
    <xdr:sp macro="" textlink="">
      <xdr:nvSpPr>
        <xdr:cNvPr id="2" name="Rechteck 1"/>
        <xdr:cNvSpPr/>
      </xdr:nvSpPr>
      <xdr:spPr>
        <a:xfrm>
          <a:off x="0" y="0"/>
          <a:ext cx="581025" cy="400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104775</xdr:colOff>
      <xdr:row>32</xdr:row>
      <xdr:rowOff>95250</xdr:rowOff>
    </xdr:from>
    <xdr:to>
      <xdr:col>23</xdr:col>
      <xdr:colOff>104775</xdr:colOff>
      <xdr:row>37</xdr:row>
      <xdr:rowOff>42750</xdr:rowOff>
    </xdr:to>
    <xdr:cxnSp macro="">
      <xdr:nvCxnSpPr>
        <xdr:cNvPr id="48" name="Gerade Verbindung 47"/>
        <xdr:cNvCxnSpPr/>
      </xdr:nvCxnSpPr>
      <xdr:spPr>
        <a:xfrm>
          <a:off x="5143500" y="6381750"/>
          <a:ext cx="0" cy="9000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152400</xdr:colOff>
      <xdr:row>33</xdr:row>
      <xdr:rowOff>0</xdr:rowOff>
    </xdr:from>
    <xdr:to>
      <xdr:col>31</xdr:col>
      <xdr:colOff>152400</xdr:colOff>
      <xdr:row>35</xdr:row>
      <xdr:rowOff>159000</xdr:rowOff>
    </xdr:to>
    <xdr:cxnSp macro="">
      <xdr:nvCxnSpPr>
        <xdr:cNvPr id="49" name="Gerade Verbindung 48"/>
        <xdr:cNvCxnSpPr/>
      </xdr:nvCxnSpPr>
      <xdr:spPr>
        <a:xfrm>
          <a:off x="6943725" y="6477000"/>
          <a:ext cx="0" cy="5400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161925</xdr:colOff>
      <xdr:row>33</xdr:row>
      <xdr:rowOff>0</xdr:rowOff>
    </xdr:from>
    <xdr:to>
      <xdr:col>37</xdr:col>
      <xdr:colOff>161925</xdr:colOff>
      <xdr:row>35</xdr:row>
      <xdr:rowOff>69000</xdr:rowOff>
    </xdr:to>
    <xdr:cxnSp macro="">
      <xdr:nvCxnSpPr>
        <xdr:cNvPr id="50" name="Gerade Verbindung 49"/>
        <xdr:cNvCxnSpPr/>
      </xdr:nvCxnSpPr>
      <xdr:spPr>
        <a:xfrm>
          <a:off x="8267700" y="6477000"/>
          <a:ext cx="0" cy="4500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190500</xdr:colOff>
      <xdr:row>46</xdr:row>
      <xdr:rowOff>9525</xdr:rowOff>
    </xdr:from>
    <xdr:to>
      <xdr:col>23</xdr:col>
      <xdr:colOff>190500</xdr:colOff>
      <xdr:row>49</xdr:row>
      <xdr:rowOff>86025</xdr:rowOff>
    </xdr:to>
    <xdr:cxnSp macro="">
      <xdr:nvCxnSpPr>
        <xdr:cNvPr id="51" name="Gerade Verbindung 50"/>
        <xdr:cNvCxnSpPr/>
      </xdr:nvCxnSpPr>
      <xdr:spPr>
        <a:xfrm>
          <a:off x="5229225" y="8972550"/>
          <a:ext cx="0" cy="6480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76200</xdr:colOff>
      <xdr:row>46</xdr:row>
      <xdr:rowOff>9525</xdr:rowOff>
    </xdr:from>
    <xdr:to>
      <xdr:col>31</xdr:col>
      <xdr:colOff>76200</xdr:colOff>
      <xdr:row>48</xdr:row>
      <xdr:rowOff>60525</xdr:rowOff>
    </xdr:to>
    <xdr:cxnSp macro="">
      <xdr:nvCxnSpPr>
        <xdr:cNvPr id="53" name="Gerade Verbindung 52"/>
        <xdr:cNvCxnSpPr/>
      </xdr:nvCxnSpPr>
      <xdr:spPr>
        <a:xfrm>
          <a:off x="6867525" y="8972550"/>
          <a:ext cx="0" cy="43200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166857</xdr:colOff>
      <xdr:row>23</xdr:row>
      <xdr:rowOff>141669</xdr:rowOff>
    </xdr:from>
    <xdr:to>
      <xdr:col>34</xdr:col>
      <xdr:colOff>199257</xdr:colOff>
      <xdr:row>33</xdr:row>
      <xdr:rowOff>36171</xdr:rowOff>
    </xdr:to>
    <xdr:sp macro="" textlink="">
      <xdr:nvSpPr>
        <xdr:cNvPr id="5" name="Rechteck 4"/>
        <xdr:cNvSpPr/>
      </xdr:nvSpPr>
      <xdr:spPr>
        <a:xfrm>
          <a:off x="1780504" y="3380169"/>
          <a:ext cx="32400" cy="179950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34</xdr:col>
      <xdr:colOff>154</xdr:colOff>
      <xdr:row>30</xdr:row>
      <xdr:rowOff>68664</xdr:rowOff>
    </xdr:from>
    <xdr:to>
      <xdr:col>36</xdr:col>
      <xdr:colOff>141668</xdr:colOff>
      <xdr:row>31</xdr:row>
      <xdr:rowOff>131360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15" y="4640664"/>
          <a:ext cx="539079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154</xdr:colOff>
      <xdr:row>25</xdr:row>
      <xdr:rowOff>62127</xdr:rowOff>
    </xdr:from>
    <xdr:to>
      <xdr:col>36</xdr:col>
      <xdr:colOff>141668</xdr:colOff>
      <xdr:row>26</xdr:row>
      <xdr:rowOff>124220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15" y="3681627"/>
          <a:ext cx="539079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40</xdr:col>
      <xdr:colOff>175251</xdr:colOff>
      <xdr:row>16</xdr:row>
      <xdr:rowOff>179769</xdr:rowOff>
    </xdr:from>
    <xdr:to>
      <xdr:col>41</xdr:col>
      <xdr:colOff>4026</xdr:colOff>
      <xdr:row>33</xdr:row>
      <xdr:rowOff>98913</xdr:rowOff>
    </xdr:to>
    <xdr:sp macro="" textlink="">
      <xdr:nvSpPr>
        <xdr:cNvPr id="8" name="Rechteck 7"/>
        <xdr:cNvSpPr/>
      </xdr:nvSpPr>
      <xdr:spPr>
        <a:xfrm>
          <a:off x="2975601" y="2084769"/>
          <a:ext cx="28800" cy="315764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40</xdr:col>
      <xdr:colOff>154</xdr:colOff>
      <xdr:row>18</xdr:row>
      <xdr:rowOff>67260</xdr:rowOff>
    </xdr:from>
    <xdr:to>
      <xdr:col>42</xdr:col>
      <xdr:colOff>141668</xdr:colOff>
      <xdr:row>19</xdr:row>
      <xdr:rowOff>129353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19" y="2353260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</xdr:col>
      <xdr:colOff>154</xdr:colOff>
      <xdr:row>24</xdr:row>
      <xdr:rowOff>67262</xdr:rowOff>
    </xdr:from>
    <xdr:to>
      <xdr:col>42</xdr:col>
      <xdr:colOff>141668</xdr:colOff>
      <xdr:row>25</xdr:row>
      <xdr:rowOff>129355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19" y="3496262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</xdr:col>
      <xdr:colOff>155</xdr:colOff>
      <xdr:row>30</xdr:row>
      <xdr:rowOff>68664</xdr:rowOff>
    </xdr:from>
    <xdr:to>
      <xdr:col>42</xdr:col>
      <xdr:colOff>141669</xdr:colOff>
      <xdr:row>31</xdr:row>
      <xdr:rowOff>131360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20" y="4640664"/>
          <a:ext cx="544495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175250</xdr:colOff>
      <xdr:row>11</xdr:row>
      <xdr:rowOff>260</xdr:rowOff>
    </xdr:from>
    <xdr:to>
      <xdr:col>47</xdr:col>
      <xdr:colOff>4025</xdr:colOff>
      <xdr:row>33</xdr:row>
      <xdr:rowOff>95250</xdr:rowOff>
    </xdr:to>
    <xdr:sp macro="" textlink="">
      <xdr:nvSpPr>
        <xdr:cNvPr id="12" name="Rechteck 11"/>
        <xdr:cNvSpPr/>
      </xdr:nvSpPr>
      <xdr:spPr>
        <a:xfrm>
          <a:off x="4175750" y="952760"/>
          <a:ext cx="28800" cy="428599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46</xdr:col>
      <xdr:colOff>153</xdr:colOff>
      <xdr:row>12</xdr:row>
      <xdr:rowOff>63598</xdr:rowOff>
    </xdr:from>
    <xdr:to>
      <xdr:col>48</xdr:col>
      <xdr:colOff>141668</xdr:colOff>
      <xdr:row>13</xdr:row>
      <xdr:rowOff>125691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1206598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153</xdr:colOff>
      <xdr:row>18</xdr:row>
      <xdr:rowOff>4983</xdr:rowOff>
    </xdr:from>
    <xdr:to>
      <xdr:col>48</xdr:col>
      <xdr:colOff>141668</xdr:colOff>
      <xdr:row>19</xdr:row>
      <xdr:rowOff>67076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2290983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154</xdr:colOff>
      <xdr:row>30</xdr:row>
      <xdr:rowOff>68664</xdr:rowOff>
    </xdr:from>
    <xdr:to>
      <xdr:col>48</xdr:col>
      <xdr:colOff>141669</xdr:colOff>
      <xdr:row>31</xdr:row>
      <xdr:rowOff>131360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2" y="4640664"/>
          <a:ext cx="544495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153</xdr:colOff>
      <xdr:row>24</xdr:row>
      <xdr:rowOff>188141</xdr:rowOff>
    </xdr:from>
    <xdr:to>
      <xdr:col>48</xdr:col>
      <xdr:colOff>141668</xdr:colOff>
      <xdr:row>26</xdr:row>
      <xdr:rowOff>59734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3617141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33617</xdr:colOff>
      <xdr:row>30</xdr:row>
      <xdr:rowOff>72838</xdr:rowOff>
    </xdr:from>
    <xdr:to>
      <xdr:col>54</xdr:col>
      <xdr:colOff>177557</xdr:colOff>
      <xdr:row>31</xdr:row>
      <xdr:rowOff>135418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4644838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33617</xdr:colOff>
      <xdr:row>25</xdr:row>
      <xdr:rowOff>61632</xdr:rowOff>
    </xdr:from>
    <xdr:to>
      <xdr:col>54</xdr:col>
      <xdr:colOff>177557</xdr:colOff>
      <xdr:row>26</xdr:row>
      <xdr:rowOff>124212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3681132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33617</xdr:colOff>
      <xdr:row>20</xdr:row>
      <xdr:rowOff>16809</xdr:rowOff>
    </xdr:from>
    <xdr:to>
      <xdr:col>54</xdr:col>
      <xdr:colOff>177557</xdr:colOff>
      <xdr:row>21</xdr:row>
      <xdr:rowOff>79389</xdr:rowOff>
    </xdr:to>
    <xdr:pic>
      <xdr:nvPicPr>
        <xdr:cNvPr id="22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2683809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33617</xdr:colOff>
      <xdr:row>14</xdr:row>
      <xdr:rowOff>140073</xdr:rowOff>
    </xdr:from>
    <xdr:to>
      <xdr:col>54</xdr:col>
      <xdr:colOff>177557</xdr:colOff>
      <xdr:row>16</xdr:row>
      <xdr:rowOff>12153</xdr:rowOff>
    </xdr:to>
    <xdr:pic>
      <xdr:nvPicPr>
        <xdr:cNvPr id="23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1664073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33617</xdr:colOff>
      <xdr:row>9</xdr:row>
      <xdr:rowOff>72837</xdr:rowOff>
    </xdr:from>
    <xdr:to>
      <xdr:col>54</xdr:col>
      <xdr:colOff>177557</xdr:colOff>
      <xdr:row>10</xdr:row>
      <xdr:rowOff>135417</xdr:rowOff>
    </xdr:to>
    <xdr:pic>
      <xdr:nvPicPr>
        <xdr:cNvPr id="24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644337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0</xdr:colOff>
      <xdr:row>23</xdr:row>
      <xdr:rowOff>9525</xdr:rowOff>
    </xdr:from>
    <xdr:to>
      <xdr:col>53</xdr:col>
      <xdr:colOff>9525</xdr:colOff>
      <xdr:row>23</xdr:row>
      <xdr:rowOff>9525</xdr:rowOff>
    </xdr:to>
    <xdr:cxnSp macro="">
      <xdr:nvCxnSpPr>
        <xdr:cNvPr id="33" name="Gerade Verbindung mit Pfeil 32"/>
        <xdr:cNvCxnSpPr/>
      </xdr:nvCxnSpPr>
      <xdr:spPr>
        <a:xfrm>
          <a:off x="4733925" y="3838575"/>
          <a:ext cx="1209675" cy="0"/>
        </a:xfrm>
        <a:prstGeom prst="straightConnector1">
          <a:avLst/>
        </a:prstGeom>
        <a:ln>
          <a:solidFill>
            <a:schemeClr val="bg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13</xdr:row>
      <xdr:rowOff>1</xdr:rowOff>
    </xdr:from>
    <xdr:to>
      <xdr:col>43</xdr:col>
      <xdr:colOff>104775</xdr:colOff>
      <xdr:row>32</xdr:row>
      <xdr:rowOff>171451</xdr:rowOff>
    </xdr:to>
    <xdr:sp macro="" textlink="">
      <xdr:nvSpPr>
        <xdr:cNvPr id="34" name="Freihandform 33"/>
        <xdr:cNvSpPr/>
      </xdr:nvSpPr>
      <xdr:spPr>
        <a:xfrm>
          <a:off x="933450" y="1905001"/>
          <a:ext cx="3105150" cy="3790950"/>
        </a:xfrm>
        <a:custGeom>
          <a:avLst/>
          <a:gdLst>
            <a:gd name="connsiteX0" fmla="*/ 0 w 3162300"/>
            <a:gd name="connsiteY0" fmla="*/ 0 h 3819525"/>
            <a:gd name="connsiteX1" fmla="*/ 3143250 w 3162300"/>
            <a:gd name="connsiteY1" fmla="*/ 0 h 3819525"/>
            <a:gd name="connsiteX2" fmla="*/ 3162300 w 3162300"/>
            <a:gd name="connsiteY2" fmla="*/ 3819525 h 3819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162300" h="3819525">
              <a:moveTo>
                <a:pt x="0" y="0"/>
              </a:moveTo>
              <a:lnTo>
                <a:pt x="3143250" y="0"/>
              </a:lnTo>
              <a:lnTo>
                <a:pt x="3162300" y="3819525"/>
              </a:lnTo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27</xdr:row>
          <xdr:rowOff>19050</xdr:rowOff>
        </xdr:from>
        <xdr:to>
          <xdr:col>16</xdr:col>
          <xdr:colOff>161925</xdr:colOff>
          <xdr:row>28</xdr:row>
          <xdr:rowOff>28575</xdr:rowOff>
        </xdr:to>
        <xdr:sp macro="" textlink="">
          <xdr:nvSpPr>
            <xdr:cNvPr id="6149" name="Drop Dow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29</xdr:row>
          <xdr:rowOff>190500</xdr:rowOff>
        </xdr:from>
        <xdr:to>
          <xdr:col>16</xdr:col>
          <xdr:colOff>47625</xdr:colOff>
          <xdr:row>30</xdr:row>
          <xdr:rowOff>180975</xdr:rowOff>
        </xdr:to>
        <xdr:sp macro="" textlink="">
          <xdr:nvSpPr>
            <xdr:cNvPr id="6159" name="Spinner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31</xdr:row>
          <xdr:rowOff>0</xdr:rowOff>
        </xdr:from>
        <xdr:to>
          <xdr:col>16</xdr:col>
          <xdr:colOff>47625</xdr:colOff>
          <xdr:row>32</xdr:row>
          <xdr:rowOff>0</xdr:rowOff>
        </xdr:to>
        <xdr:sp macro="" textlink="">
          <xdr:nvSpPr>
            <xdr:cNvPr id="6160" name="Spinner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32</xdr:row>
          <xdr:rowOff>9525</xdr:rowOff>
        </xdr:from>
        <xdr:to>
          <xdr:col>16</xdr:col>
          <xdr:colOff>47625</xdr:colOff>
          <xdr:row>33</xdr:row>
          <xdr:rowOff>9525</xdr:rowOff>
        </xdr:to>
        <xdr:sp macro="" textlink="">
          <xdr:nvSpPr>
            <xdr:cNvPr id="6161" name="Spinner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50</xdr:col>
      <xdr:colOff>114300</xdr:colOff>
      <xdr:row>1</xdr:row>
      <xdr:rowOff>161925</xdr:rowOff>
    </xdr:from>
    <xdr:to>
      <xdr:col>54</xdr:col>
      <xdr:colOff>199800</xdr:colOff>
      <xdr:row>2</xdr:row>
      <xdr:rowOff>255825</xdr:rowOff>
    </xdr:to>
    <xdr:sp macro="" textlink="">
      <xdr:nvSpPr>
        <xdr:cNvPr id="29" name="Rechteck 28">
          <a:hlinkClick xmlns:r="http://schemas.openxmlformats.org/officeDocument/2006/relationships" r:id="rId3"/>
        </xdr:cNvPr>
        <xdr:cNvSpPr/>
      </xdr:nvSpPr>
      <xdr:spPr>
        <a:xfrm>
          <a:off x="10096500" y="352425"/>
          <a:ext cx="885600" cy="28440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114300</xdr:colOff>
      <xdr:row>2</xdr:row>
      <xdr:rowOff>66675</xdr:rowOff>
    </xdr:to>
    <xdr:sp macro="" textlink="">
      <xdr:nvSpPr>
        <xdr:cNvPr id="2" name="Rechteck 1"/>
        <xdr:cNvSpPr/>
      </xdr:nvSpPr>
      <xdr:spPr>
        <a:xfrm>
          <a:off x="0" y="0"/>
          <a:ext cx="514350" cy="3524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33</xdr:row>
          <xdr:rowOff>190500</xdr:rowOff>
        </xdr:from>
        <xdr:to>
          <xdr:col>16</xdr:col>
          <xdr:colOff>38100</xdr:colOff>
          <xdr:row>34</xdr:row>
          <xdr:rowOff>180975</xdr:rowOff>
        </xdr:to>
        <xdr:sp macro="" textlink="">
          <xdr:nvSpPr>
            <xdr:cNvPr id="6162" name="Spinner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id="1" name="Scharniere" displayName="Scharniere" ref="A1:BD1079" totalsRowCount="1" headerRowDxfId="343" headerRowBorderDxfId="342" tableBorderDxfId="341" headerRowCellStyle="Ausgabe">
  <autoFilter ref="A1:BD1078">
    <filterColumn colId="55">
      <colorFilter dxfId="340" cellColor="0"/>
    </filterColumn>
  </autoFilter>
  <sortState ref="A2:BD1086">
    <sortCondition ref="AO1:AO1086"/>
  </sortState>
  <tableColumns count="56">
    <tableColumn id="16" name="Spalte3" totalsRowLabel="Ergebnis" dataDxfId="339" totalsRowDxfId="338" dataCellStyle="Standard_Tabelle6">
      <calculatedColumnFormula>LEFT(Scharniere[[#This Row],[ArtikelNR]],4)</calculatedColumnFormula>
    </tableColumn>
    <tableColumn id="15" name="Spalte2" dataDxfId="337" totalsRowDxfId="336" dataCellStyle="Standard_Tabelle6">
      <calculatedColumnFormula>MID(Scharniere[[#This Row],[ArtikelNR]],5,3)</calculatedColumnFormula>
    </tableColumn>
    <tableColumn id="14" name="Spalte1" dataDxfId="335" totalsRowDxfId="334" dataCellStyle="Standard_Tabelle6">
      <calculatedColumnFormula>RIGHT(Scharniere[[#This Row],[ArtikelNR]],3)</calculatedColumnFormula>
    </tableColumn>
    <tableColumn id="18" name="Winkel_sel" dataDxfId="333" totalsRowDxfId="332" dataCellStyle="Standard_Tabelle6">
      <calculatedColumnFormula>IF(AND(Scharniere[[#This Row],[Gruppenschlüssel]]=select!$A$44,Scharniere[[#This Row],[Scharnierart]]=1)=TRUE,1,0)</calculatedColumnFormula>
    </tableColumn>
    <tableColumn id="17" name="Kröpfung_sel" dataDxfId="331" totalsRowDxfId="330" dataCellStyle="Standard_Tabelle6">
      <calculatedColumnFormula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calculatedColumnFormula>
    </tableColumn>
    <tableColumn id="19" name="Däpfung_sel" dataDxfId="329" totalsRowDxfId="328" dataCellStyle="Standard_Tabelle6">
      <calculatedColumnFormula>IF(select!$F$57=IF(Scharniere[[#This Row],[mit Dämpfung]]=1,1,IF(Scharniere[[#This Row],[ohne Dämpfung]]=1,2,IF(Scharniere[[#This Row],[ohne Feder]]=1,3,0))),1,0)</calculatedColumnFormula>
    </tableColumn>
    <tableColumn id="20" name="Bohrbild_sel" dataDxfId="327" totalsRowDxfId="326" dataCellStyle="Standard_Tabelle6">
      <calculatedColumnFormula>IF(Scharniere[[#This Row],[Bohrbild]]=select!$V$43,1,0)</calculatedColumnFormula>
    </tableColumn>
    <tableColumn id="21" name="Scharnierbefestigung" dataDxfId="325" totalsRowDxfId="324" dataCellStyle="Standard_Tabelle6">
      <calculatedColumnFormula>IF(IF(Scharniere[[#This Row],[Anschrauben]]=1,1,IF(Scharniere[[#This Row],[Einpressen]]=1,2,IF(Scharniere[[#This Row],[Quick]]=1,3,IF(Scharniere[[#This Row],[Werkzeuglos]]=1,4,0))))=select!$F$48,1,0)</calculatedColumnFormula>
    </tableColumn>
    <tableColumn id="22" name="Gesamt_standard" dataDxfId="323" totalsRowDxfId="322" dataCellStyle="Standard_Tabelle6">
      <calculatedColumnFormula>IF(Scharniere[[#This Row],[Winkel_sel]]+Scharniere[[#This Row],[Kröpfung_sel]]+Scharniere[[#This Row],[Däpfung_sel]]+Scharniere[[#This Row],[Bohrbild_sel]]+Scharniere[[#This Row],[Scharnierbefestigung]]=5,1,0)</calculatedColumnFormula>
    </tableColumn>
    <tableColumn id="30" name="winkelscharnier" dataDxfId="321" totalsRowDxfId="320" dataCellStyle="Standard_Tabelle6">
      <calculatedColumnFormula>IF(AND(Scharniere[[#This Row],[Scharnierart]]=2,Scharniere[[#This Row],[Gruppenschlüssel]]=select!$A$318)=TRUE,1,0)</calculatedColumnFormula>
    </tableColumn>
    <tableColumn id="28" name="montageplatte möglich" dataDxfId="319" totalsRowDxfId="318" dataCellStyle="Standard_Tabelle6">
      <calculatedColumnFormula>IF(select!$O$424&lt;6,1,0)</calculatedColumnFormula>
    </tableColumn>
    <tableColumn id="24" name="Dämpfung_Winkel" dataDxfId="317" totalsRowDxfId="316" dataCellStyle="Standard_Tabelle6">
      <calculatedColumnFormula>IF(select!$A$362=IF(Scharniere[[#This Row],[mit Dämpfung]]=1,1,IF(Scharniere[[#This Row],[ohne Dämpfung]]=1,2,IF(Scharniere[[#This Row],[ohne Feder]]=1,3,0))),1,0)</calculatedColumnFormula>
    </tableColumn>
    <tableColumn id="25" name="Bohrbild_Winkel" dataDxfId="315" totalsRowDxfId="314" dataCellStyle="Standard_Tabelle6">
      <calculatedColumnFormula>IF(Scharniere[[#This Row],[Bohrbild]]=select!$O$334,1,0)</calculatedColumnFormula>
    </tableColumn>
    <tableColumn id="26" name="Schbefest_Winkel" dataDxfId="313" totalsRowDxfId="312" dataCellStyle="Standard_Tabelle6">
      <calculatedColumnFormula>IF(IF(Scharniere[[#This Row],[Anschrauben]]=1,1,IF(Scharniere[[#This Row],[Einpressen]]=1,2,IF(Scharniere[[#This Row],[Quick]]=1,3,IF(Scharniere[[#This Row],[Werkzeuglos]]=1,4,0))))=select!$E$362,1,0)</calculatedColumnFormula>
    </tableColumn>
    <tableColumn id="27" name="Gesamt_Winkel" dataDxfId="311" totalsRowDxfId="310" dataCellStyle="Standard_Tabelle6">
      <calculatedColumnFormula>IF(Scharniere[[#This Row],[montageplatte möglich]]+Scharniere[[#This Row],[Dämpfung_Winkel]]+Scharniere[[#This Row],[Bohrbild_Winkel]]+Scharniere[[#This Row],[Schbefest_Winkel]]+Scharniere[[#This Row],[winkelscharnier]]=5,1,0)</calculatedColumnFormula>
    </tableColumn>
    <tableColumn id="38" name="Spezialscharnier" dataDxfId="309" totalsRowDxfId="308" dataCellStyle="Standard_Tabelle6">
      <calculatedColumnFormula>IF(AND(Scharniere[[#This Row],[Scharnierart]]=3,Scharniere[[#This Row],[Gruppenschlüssel]]=select!$A$747)=TRUE,1,0)</calculatedColumnFormula>
    </tableColumn>
    <tableColumn id="36" name="mpl spezial mögl" dataDxfId="307" totalsRowDxfId="306" dataCellStyle="Standard_Tabelle6">
      <calculatedColumnFormula>IF(select!$O$945&lt;6,1,0)</calculatedColumnFormula>
    </tableColumn>
    <tableColumn id="35" name="spezial dämpf" dataDxfId="305" totalsRowDxfId="304" dataCellStyle="Standard_Tabelle6">
      <calculatedColumnFormula>IF(select!$A$778=IF(Scharniere[[#This Row],[mit Dämpfung]]=1,1,IF(Scharniere[[#This Row],[ohne Dämpfung]]=1,2,IF(Scharniere[[#This Row],[ohne Feder]]=1,3,0))),1,0)</calculatedColumnFormula>
    </tableColumn>
    <tableColumn id="34" name="spezial bohrbild" dataDxfId="303" totalsRowDxfId="302" dataCellStyle="Standard_Tabelle6">
      <calculatedColumnFormula>IF(Scharniere[[#This Row],[Bohrbild]]=select!$A$755,1,0)</calculatedColumnFormula>
    </tableColumn>
    <tableColumn id="33" name="spezial befest" dataDxfId="301" totalsRowDxfId="300" dataCellStyle="Standard_Tabelle6">
      <calculatedColumnFormula>IF(IF(Scharniere[[#This Row],[Anschrauben]]=1,1,IF(Scharniere[[#This Row],[Einpressen]]=1,2,IF(Scharniere[[#This Row],[Quick]]=1,3,IF(Scharniere[[#This Row],[Werkzeuglos]]=1,4,0))))=select!$A$769,1,0)</calculatedColumnFormula>
    </tableColumn>
    <tableColumn id="32" name="spezial gesamt" dataDxfId="299" totalsRowDxfId="298" dataCellStyle="Standard_Tabelle6">
      <calculatedColumnFormula>IF(Scharniere[[#This Row],[Spezialscharnier]]+Scharniere[[#This Row],[mpl spezial mögl]]+Scharniere[[#This Row],[spezial dämpf]]+Scharniere[[#This Row],[spezial bohrbild]]+Scharniere[[#This Row],[spezial befest]]=5,1,0)</calculatedColumnFormula>
    </tableColumn>
    <tableColumn id="44" name="AG Scharnier" dataDxfId="297" totalsRowDxfId="296" dataCellStyle="Standard_Tabelle6">
      <calculatedColumnFormula>IF(AND(Scharniere[[#This Row],[Scharnierart]]=4,Scharniere[[#This Row],[Gruppenschlüssel]]=select!$A$981)=TRUE,1,0)</calculatedColumnFormula>
    </tableColumn>
    <tableColumn id="45" name="AG MPL Möglich" dataDxfId="295" totalsRowDxfId="294" dataCellStyle="Standard_Tabelle6">
      <calculatedColumnFormula>IF(select!$O$1185&lt;6,1,0)</calculatedColumnFormula>
    </tableColumn>
    <tableColumn id="42" name="AG Dämpfung" dataDxfId="293" totalsRowDxfId="292" dataCellStyle="Standard_Tabelle6">
      <calculatedColumnFormula>IF(select!$A$1012=IF(Scharniere[[#This Row],[mit Dämpfung]]=1,1,IF(Scharniere[[#This Row],[ohne Dämpfung]]=1,2,IF(Scharniere[[#This Row],[ohne Feder]]=1,3,0))),1,0)</calculatedColumnFormula>
    </tableColumn>
    <tableColumn id="41" name="AG Bohrbild" dataDxfId="291" totalsRowDxfId="290" dataCellStyle="Standard_Tabelle6">
      <calculatedColumnFormula>IF(Scharniere[[#This Row],[Bohrbild]]=select!$A$989,1,0)</calculatedColumnFormula>
    </tableColumn>
    <tableColumn id="40" name="AG Befest" dataDxfId="289" totalsRowDxfId="288" dataCellStyle="Standard_Tabelle6">
      <calculatedColumnFormula>IF(IF(Scharniere[[#This Row],[Anschrauben]]=1,1,IF(Scharniere[[#This Row],[Einpressen]]=1,2,IF(Scharniere[[#This Row],[Quick]]=1,3,IF(Scharniere[[#This Row],[Werkzeuglos]]=1,4,0))))=select!$A$1003,1,0)</calculatedColumnFormula>
    </tableColumn>
    <tableColumn id="43" name="AG Kröpfung" dataDxfId="287" totalsRowDxfId="286" dataCellStyle="Standard_Tabelle6">
      <calculatedColumnFormula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calculatedColumnFormula>
    </tableColumn>
    <tableColumn id="47" name="AG Ges1" dataDxfId="285" totalsRowDxfId="284" dataCellStyle="Standard_Tabelle6">
      <calculatedColumnFormula>IF(Scharniere[[#This Row],[AG Scharnier]]+Scharniere[[#This Row],[AG MPL Möglich]]+Scharniere[[#This Row],[AG Dämpfung]]+Scharniere[[#This Row],[AG Bohrbild]]+Scharniere[[#This Row],[AG Befest]]=5,1,0)</calculatedColumnFormula>
    </tableColumn>
    <tableColumn id="46" name="AG Ges2" dataDxfId="283" totalsRowDxfId="282" dataCellStyle="Standard_Tabelle6">
      <calculatedColumnFormula>IF(Scharniere[[#This Row],[AG Scharnier]]+Scharniere[[#This Row],[AG MPL Möglich]]+Scharniere[[#This Row],[AG Kröpfung]]+Scharniere[[#This Row],[AG Dämpfung]]+Scharniere[[#This Row],[AG Bohrbild]]+Scharniere[[#This Row],[AG Befest]]=6,1,0)</calculatedColumnFormula>
    </tableColumn>
    <tableColumn id="39" name="AG Gesamt" dataDxfId="281" totalsRowDxfId="280" dataCellStyle="Standard_Tabelle6">
      <calculatedColumnFormula>IF(select!$K$980="*",Scharniere[[#This Row],[AG Ges2]],Scharniere[[#This Row],[AG Ges1]])</calculatedColumnFormula>
    </tableColumn>
    <tableColumn id="37" name="konf Scharnier 1" dataDxfId="279" totalsRowDxfId="278" dataCellStyle="Standard_Tabelle6">
      <calculatedColumnFormula>IF(AND(Scharniere[[#This Row],[Scharnierart]]=select!$A$1485,Scharniere[[#This Row],[Gruppenschlüssel]]=select!$B$1485)=TRUE,1,0)</calculatedColumnFormula>
    </tableColumn>
    <tableColumn id="55" name="konf Scharnier 2" dataDxfId="277" totalsRowDxfId="276" dataCellStyle="Standard_Tabelle6">
      <calculatedColumnFormula>IF(AND(Scharniere[[#This Row],[Scharnierart]]=select!$A$1486,Scharniere[[#This Row],[Gruppenschlüssel]]=select!$B$1486)=TRUE,1,0)</calculatedColumnFormula>
    </tableColumn>
    <tableColumn id="54" name="konf Scharnier 3" dataDxfId="275" totalsRowDxfId="274" dataCellStyle="Standard_Tabelle6">
      <calculatedColumnFormula>IF(AND(Scharniere[[#This Row],[Scharnierart]]=select!$A$1487,Scharniere[[#This Row],[Gruppenschlüssel]]=select!$B$1487)=TRUE,1,0)</calculatedColumnFormula>
    </tableColumn>
    <tableColumn id="53" name="konf Scharnier 4" dataDxfId="273" totalsRowDxfId="272" dataCellStyle="Standard_Tabelle6">
      <calculatedColumnFormula>IF(AND(Scharniere[[#This Row],[Scharnierart]]=select!$A$1488,Scharniere[[#This Row],[Gruppenschlüssel]]=select!$B$1488)=TRUE,1,0)</calculatedColumnFormula>
    </tableColumn>
    <tableColumn id="56" name="konf Scharnier" dataDxfId="271" totalsRowDxfId="270" dataCellStyle="Standard_Tabelle6">
      <calculatedColumnFormula>IF(SUM(Scharniere[[#This Row],[konf Scharnier 1]:[konf Scharnier 4]])&gt;0,1,0)</calculatedColumnFormula>
    </tableColumn>
    <tableColumn id="48" name="Konf MPL Möglich" dataDxfId="269" totalsRowDxfId="268" dataCellStyle="Standard_Tabelle6"/>
    <tableColumn id="49" name="Konf Dämpf" dataDxfId="267" totalsRowDxfId="266" dataCellStyle="Standard_Tabelle6"/>
    <tableColumn id="50" name="Konf BB" dataDxfId="265" totalsRowDxfId="264" dataCellStyle="Standard_Tabelle6"/>
    <tableColumn id="51" name="Konf Befest" dataDxfId="263" totalsRowDxfId="262" dataCellStyle="Standard_Tabelle6"/>
    <tableColumn id="52" name="Konf Kröpf" dataDxfId="261" totalsRowDxfId="260" dataCellStyle="Standard_Tabelle6"/>
    <tableColumn id="29" name="Scharnierart" dataDxfId="259" totalsRowDxfId="258" dataCellStyle="Standard_Tabelle6"/>
    <tableColumn id="31" name="Gruppenschlüssel" dataDxfId="257" totalsRowDxfId="256" dataCellStyle="Standard_Tabelle6"/>
    <tableColumn id="2" name="Bezeichnung 1" dataDxfId="255" totalsRowDxfId="254"/>
    <tableColumn id="3" name="Bezeichnung 2" dataDxfId="253"/>
    <tableColumn id="4" name="Bezeichnung TGr"/>
    <tableColumn id="5" name="Kröpfung"/>
    <tableColumn id="6" name="Bohrbild"/>
    <tableColumn id="7" name="Winkel"/>
    <tableColumn id="8" name="mit Dämpfung" dataDxfId="252" totalsRowDxfId="251"/>
    <tableColumn id="9" name="ohne Dämpfung"/>
    <tableColumn id="10" name="ohne Feder"/>
    <tableColumn id="11" name="Anschrauben" dataDxfId="250" totalsRowDxfId="249"/>
    <tableColumn id="12" name="Einpressen"/>
    <tableColumn id="23" name="Quick"/>
    <tableColumn id="13" name="Werkzeuglos"/>
    <tableColumn id="1" name="ArtikelNR" totalsRowFunction="count" dataDxfId="248" totalsRowDxfId="247" dataCellStyle="Standard_Tabelle6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" name="Montageplatten" displayName="Montageplatten" ref="A1:BJ113" totalsRowCount="1" headerRowDxfId="246" headerRowCellStyle="Ausgabe">
  <autoFilter ref="A1:BJ112"/>
  <sortState ref="A2:BJ112">
    <sortCondition ref="BI1:BI112"/>
  </sortState>
  <tableColumns count="62">
    <tableColumn id="1" name="Spalte1" totalsRowLabel="Ergebnis" dataDxfId="245" totalsRowDxfId="244">
      <calculatedColumnFormula>LEFT(BJ2,4)</calculatedColumnFormula>
    </tableColumn>
    <tableColumn id="2" name="Spalte2">
      <calculatedColumnFormula>MID(BJ2,5,3)</calculatedColumnFormula>
    </tableColumn>
    <tableColumn id="3" name="Spalte3" dataDxfId="243" totalsRowDxfId="242">
      <calculatedColumnFormula>RIGHT(BJ2,3)</calculatedColumnFormula>
    </tableColumn>
    <tableColumn id="20" name="Typ" dataDxfId="241" totalsRowDxfId="240">
      <calculatedColumnFormula>IF(select!$N$44=1,Montageplatten[[#This Row],[Kreuz]],IF(select!$N$44=2,Montageplatten[[#This Row],[Linear]],IF(select!$N$44=3,Montageplatten[[#This Row],[Delta]],IF(select!$N$44=4,Montageplatten[[#This Row],[INSET]],0))))</calculatedColumnFormula>
    </tableColumn>
    <tableColumn id="21" name="Befestigung" dataDxfId="239" totalsRowDxfId="238">
      <calculatedColumnFormula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calculatedColumnFormula>
    </tableColumn>
    <tableColumn id="5" name="Anordnung" dataDxfId="237" totalsRowDxfId="236">
      <calculatedColumnFormula>IF(Montageplatten[[#This Row],[37/32]]=1,1,IF(Montageplatten[[#This Row],[28/32]]=1,2,0))</calculatedColumnFormula>
    </tableColumn>
    <tableColumn id="60" name="MPH_Standard" dataDxfId="235" totalsRowDxfId="234">
      <calculatedColumnFormula>IF(OR(select!$B$70=Montageplatten[[#This Row],[Höhe]],select!$D$70=Montageplatten[[#This Row],[Höhe]],select!$F$70=Montageplatten[[#This Row],[Höhe]],select!$H$70=Montageplatten[[#This Row],[Höhe]])=TRUE,1,0)</calculatedColumnFormula>
    </tableColumn>
    <tableColumn id="22" name="Randbedingungen" dataDxfId="233" totalsRowDxfId="232">
      <calculatedColumnFormula>IF(Montageplatten[[#This Row],[Typ]]+Montageplatten[[#This Row],[Befestigung]]=2,1,0)</calculatedColumnFormula>
    </tableColumn>
    <tableColumn id="26" name="Kröpfung 3" totalsRowFunction="max" dataDxfId="231" totalsRowDxfId="230">
      <calculatedColumnFormula>IF(Montageplatten[[#This Row],[Randbedingungen]]+IF(Montageplatten[[#This Row],[Höhe]]=select!$B$70,1,0)=2,1,0)</calculatedColumnFormula>
    </tableColumn>
    <tableColumn id="25" name="Kröpfung 0" totalsRowFunction="max" dataDxfId="229" totalsRowDxfId="228">
      <calculatedColumnFormula>IF(Montageplatten[[#This Row],[Randbedingungen]]+IF(Montageplatten[[#This Row],[Höhe]]=select!$D$70,1,0)=2,1,0)</calculatedColumnFormula>
    </tableColumn>
    <tableColumn id="24" name="Kröpfung 9,5" totalsRowFunction="max" dataDxfId="227" totalsRowDxfId="226">
      <calculatedColumnFormula>IF(Montageplatten[[#This Row],[Randbedingungen]]+IF(Montageplatten[[#This Row],[Höhe]]=select!$F$70,1,0)=2,1,0)</calculatedColumnFormula>
    </tableColumn>
    <tableColumn id="23" name="Kröpfung 19" totalsRowFunction="max" dataDxfId="225" totalsRowDxfId="224">
      <calculatedColumnFormula>IF(Montageplatten[[#This Row],[Randbedingungen]]+IF(Montageplatten[[#This Row],[Höhe]]=select!$H$70,1,0)=2,1,0)</calculatedColumnFormula>
    </tableColumn>
    <tableColumn id="6" name="auswahl K" totalsRowFunction="max" dataDxfId="223" totalsRowDxfId="222">
      <calculatedColumnFormula>IF(select!$F$183=-1000,1,IF(IF(Montageplatten[[#This Row],[Kröpfung 3]]=1,3,IF(Montageplatten[[#This Row],[Kröpfung 0]]=1,0,IF(Montageplatten[[#This Row],[Kröpfung 9,5]]=1,9.5,IF(Montageplatten[[#This Row],[Kröpfung 19]]=1,19,""))))=select!$F$183,1,0))</calculatedColumnFormula>
    </tableColumn>
    <tableColumn id="27" name="Gesamt" totalsRowFunction="max" dataDxfId="221" totalsRowDxfId="220">
      <calculatedColumnFormula>IF(Montageplatten[[#This Row],[Kröpfung 3]]+Montageplatten[[#This Row],[Kröpfung 0]]+Montageplatten[[#This Row],[Kröpfung 9,5]]+Montageplatten[[#This Row],[Kröpfung 19]]+Montageplatten[[#This Row],[auswahl K]]=2,1,0)</calculatedColumnFormula>
    </tableColumn>
    <tableColumn id="33" name="MPH Winkel" totalsRowFunction="sum" dataDxfId="219" totalsRowDxfId="218">
      <calculatedColumnFormula>IF(select!$M$317=Montageplatten[[#This Row],[Höhe]],1,0)</calculatedColumnFormula>
    </tableColumn>
    <tableColumn id="35" name="Typ_winkel" dataDxfId="217" totalsRowDxfId="216">
      <calculatedColumnFormula>IF(select!$D$334=1,Montageplatten[[#This Row],[Kreuz]],IF(select!$D$334=2,Montageplatten[[#This Row],[Linear]],IF(select!$D$334=3,Montageplatten[[#This Row],[Delta]],IF(select!$D$334=4,Montageplatten[[#This Row],[INSET]],0))))</calculatedColumnFormula>
    </tableColumn>
    <tableColumn id="34" name="Befest_Winkel" dataDxfId="215" totalsRowDxfId="214">
      <calculatedColumnFormula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calculatedColumnFormula>
    </tableColumn>
    <tableColumn id="37" name="Winkel_rand" dataDxfId="213" totalsRowDxfId="212">
      <calculatedColumnFormula>IF(Montageplatten[[#This Row],[Typ_winkel]]+Montageplatten[[#This Row],[Befest_Winkel]]=2,1,0)</calculatedColumnFormula>
    </tableColumn>
    <tableColumn id="36" name="Winkel_ges" totalsRowFunction="sum" dataDxfId="211" totalsRowDxfId="210">
      <calculatedColumnFormula>IF(Montageplatten[[#This Row],[MPH Winkel]]+Montageplatten[[#This Row],[Typ_winkel]]+Montageplatten[[#This Row],[Befest_Winkel]]=3,1,0)</calculatedColumnFormula>
    </tableColumn>
    <tableColumn id="42" name="MPH Spezial" dataDxfId="209" totalsRowDxfId="208">
      <calculatedColumnFormula>IF(select!$M$746=Montageplatten[[#This Row],[Höhe]],1,0)</calculatedColumnFormula>
    </tableColumn>
    <tableColumn id="41" name="Typ Spezial" dataDxfId="207" totalsRowDxfId="206">
      <calculatedColumnFormula>IF(select!$J$783=1,Montageplatten[[#This Row],[Kreuz]],IF(select!$J$783=2,Montageplatten[[#This Row],[Linear]],IF(select!$J$783=3,Montageplatten[[#This Row],[Delta]],IF(select!$J$783=4,Montageplatten[[#This Row],[INSET]],0))))</calculatedColumnFormula>
    </tableColumn>
    <tableColumn id="40" name="Befest Spezial" dataDxfId="205" totalsRowDxfId="204">
      <calculatedColumnFormula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calculatedColumnFormula>
    </tableColumn>
    <tableColumn id="39" name="Randbed Spezial" dataDxfId="203" totalsRowDxfId="202">
      <calculatedColumnFormula>IF(Montageplatten[[#This Row],[Typ Spezial]]+Montageplatten[[#This Row],[Befest Spezial]]=2,1,0)</calculatedColumnFormula>
    </tableColumn>
    <tableColumn id="38" name="Gesamt spezial" dataDxfId="201" totalsRowDxfId="200">
      <calculatedColumnFormula>IF(Montageplatten[[#This Row],[MPH Spezial]]+Montageplatten[[#This Row],[Typ Spezial]]+Montageplatten[[#This Row],[Befest Spezial]]=3,1,0)</calculatedColumnFormula>
    </tableColumn>
    <tableColumn id="43" name="AG K0" dataDxfId="199" totalsRowDxfId="198">
      <calculatedColumnFormula>IF(Montageplatten[[#This Row],[AG Rand]]+IF(Montageplatten[[#This Row],[Höhe]]=select!$C$1212,1,0)=2,1,0)</calculatedColumnFormula>
    </tableColumn>
    <tableColumn id="46" name="AG K3" dataDxfId="197" totalsRowDxfId="196">
      <calculatedColumnFormula>IF(Montageplatten[[#This Row],[AG Rand]]+IF(Montageplatten[[#This Row],[Höhe]]=select!$E$1212,1,0)=2,1,0)</calculatedColumnFormula>
    </tableColumn>
    <tableColumn id="45" name="AG K9,5" dataDxfId="195" totalsRowDxfId="194">
      <calculatedColumnFormula>IF(Montageplatten[[#This Row],[AG Rand]]+IF(Montageplatten[[#This Row],[Höhe]]=select!$G$1212,1,0)=2,1,0)</calculatedColumnFormula>
    </tableColumn>
    <tableColumn id="44" name="AG K19" dataDxfId="193" totalsRowDxfId="192">
      <calculatedColumnFormula>IF(Montageplatten[[#This Row],[AG Rand]]+IF(Montageplatten[[#This Row],[Höhe]]=select!$I$1212,1,0)=2,1,0)</calculatedColumnFormula>
    </tableColumn>
    <tableColumn id="47" name="AG MPH" dataDxfId="191" totalsRowDxfId="190">
      <calculatedColumnFormula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calculatedColumnFormula>
    </tableColumn>
    <tableColumn id="48" name="AG Typ" dataDxfId="189" totalsRowDxfId="188">
      <calculatedColumnFormula>IF(select!$E$991=1,Montageplatten[[#This Row],[Kreuz]],IF(select!$E$991=2,Montageplatten[[#This Row],[Linear]],IF(select!$E$991=3,Montageplatten[[#This Row],[Delta]],IF(select!$E$991=4,Montageplatten[[#This Row],[INSET]],0))))</calculatedColumnFormula>
    </tableColumn>
    <tableColumn id="49" name="AG Bef" dataDxfId="187" totalsRowDxfId="186">
      <calculatedColumnFormula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calculatedColumnFormula>
    </tableColumn>
    <tableColumn id="52" name="AG Rand" dataDxfId="185" totalsRowDxfId="184">
      <calculatedColumnFormula>IF(Montageplatten[[#This Row],[AG Typ]]+Montageplatten[[#This Row],[AG Bef]]=2,1,0)</calculatedColumnFormula>
    </tableColumn>
    <tableColumn id="53" name="AG Ausw K" dataDxfId="183" totalsRowDxfId="182">
      <calculatedColumnFormula>IF(select!$F$1326=-1000,1,IF(IF(Montageplatten[[#This Row],[AG K3]]=1,3,IF(Montageplatten[[#This Row],[AG K0]]=1,0,IF(Montageplatten[[#This Row],[AG K9,5]]=1,9.5,IF(Montageplatten[[#This Row],[AG K19]]=1,19,""))))=select!$F$1326,1,0))</calculatedColumnFormula>
    </tableColumn>
    <tableColumn id="54" name="AG Ges2" dataDxfId="181" totalsRowDxfId="180">
      <calculatedColumnFormula>IF(Montageplatten[[#This Row],[AG K0]]+Montageplatten[[#This Row],[AG K3]]+Montageplatten[[#This Row],[AG K9,5]]+Montageplatten[[#This Row],[AG K19]]+Montageplatten[[#This Row],[AG Ausw K]]=2,1,0)</calculatedColumnFormula>
    </tableColumn>
    <tableColumn id="51" name="AG Ges1" dataDxfId="179" totalsRowDxfId="178">
      <calculatedColumnFormula>IF(Montageplatten[[#This Row],[AG MPH]]+Montageplatten[[#This Row],[AG Typ]]+Montageplatten[[#This Row],[AG Bef]]=3,1,0)</calculatedColumnFormula>
    </tableColumn>
    <tableColumn id="50" name="AG gesamt" dataDxfId="177" totalsRowDxfId="176">
      <calculatedColumnFormula>IF(select!$K$980="*",Montageplatten[[#This Row],[AG Ges2]],Montageplatten[[#This Row],[AG Ges1]])</calculatedColumnFormula>
    </tableColumn>
    <tableColumn id="55" name="konf Typ" dataDxfId="175" totalsRowDxfId="174">
      <calculatedColumnFormula>IF(select!$A$1427=1,Montageplatten[[#This Row],[Kreuz]],IF(select!$A$1427=2,Montageplatten[[#This Row],[Linear]],IF(select!$A$1427=3,Montageplatten[[#This Row],[Delta]],IF(select!$A$1427=4,Montageplatten[[#This Row],[INSET]],0))))</calculatedColumnFormula>
    </tableColumn>
    <tableColumn id="56" name="konf Befest" dataDxfId="173" totalsRowDxfId="172">
      <calculatedColumnFormula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calculatedColumnFormula>
    </tableColumn>
    <tableColumn id="57" name="konf Rahmenbed" dataDxfId="171" totalsRowDxfId="170">
      <calculatedColumnFormula>IF(Montageplatten[[#This Row],[konf Typ]]+Montageplatten[[#This Row],[konf Befest]]=2,1,0)</calculatedColumnFormula>
    </tableColumn>
    <tableColumn id="58" name="konf MPH" dataDxfId="169" totalsRowDxfId="168">
      <calculatedColumnFormula>IF(OR(select!$S$1368=Montageplatten[[#This Row],[Höhe]],select!$S$1369=Montageplatten[[#This Row],[Höhe]],select!$S$1370=Montageplatten[[#This Row],[Höhe]],select!$S$1371=Montageplatten[[#This Row],[Höhe]])=TRUE,1,0)</calculatedColumnFormula>
    </tableColumn>
    <tableColumn id="59" name="konf_ges" dataDxfId="167" totalsRowDxfId="166">
      <calculatedColumnFormula>IF(Montageplatten[[#This Row],[konf Rahmenbed]]+Montageplatten[[#This Row],[konf MPH]]=2,1,0)</calculatedColumnFormula>
    </tableColumn>
    <tableColumn id="7" name="Bezeichnung 1" dataDxfId="165" totalsRowDxfId="164">
      <calculatedColumnFormula>Sprache!$A$139</calculatedColumnFormula>
    </tableColumn>
    <tableColumn id="8" name="Bezeichnung 2"/>
    <tableColumn id="9" name="Bezeichnung TGr">
      <calculatedColumnFormula>Sprache!$A$134</calculatedColumnFormula>
    </tableColumn>
    <tableColumn id="10" name="Kreuz" totalsRowFunction="sum" dataDxfId="163" totalsRowDxfId="162"/>
    <tableColumn id="11" name="Linear" totalsRowFunction="sum" dataDxfId="161" totalsRowDxfId="160"/>
    <tableColumn id="29" name="Delta" totalsRowFunction="sum" dataDxfId="159" totalsRowDxfId="158"/>
    <tableColumn id="32" name="INSET" totalsRowFunction="sum" dataDxfId="157" totalsRowDxfId="156"/>
    <tableColumn id="12" name="zum einpressen" totalsRowFunction="sum" dataDxfId="155" totalsRowDxfId="154"/>
    <tableColumn id="13" name="zum anschrauben mit Holzschrauben" totalsRowFunction="sum" dataDxfId="153" totalsRowDxfId="152"/>
    <tableColumn id="14" name="zum anschrauben mit Euroschrauben" totalsRowFunction="sum" dataDxfId="151" totalsRowDxfId="150"/>
    <tableColumn id="15" name="vorm. Euro [13,5]" totalsRowFunction="sum" dataDxfId="149" totalsRowDxfId="148"/>
    <tableColumn id="16" name="vorm. Euro [10,5]" totalsRowFunction="sum" dataDxfId="147" totalsRowDxfId="146"/>
    <tableColumn id="62" name="Spreizdübel 11 mm" dataDxfId="145" totalsRowDxfId="144"/>
    <tableColumn id="61" name="Zwillingsmontageplatte (Spreizdübel 7,5 mm)" dataDxfId="143" totalsRowDxfId="142"/>
    <tableColumn id="17" name="37/32" totalsRowFunction="sum"/>
    <tableColumn id="18" name="28/32" totalsRowFunction="sum"/>
    <tableColumn id="28" name="20/32"/>
    <tableColumn id="30" name="9,5/32"/>
    <tableColumn id="31" name="10/32"/>
    <tableColumn id="19" name="Höhe"/>
    <tableColumn id="4" name="Teil" totalsRowFunction="count" dataDxfId="141" totalsRowDxfId="140" dataCellStyle="Standard_MP Artikel#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13" Type="http://schemas.openxmlformats.org/officeDocument/2006/relationships/ctrlProp" Target="../ctrlProps/ctrlProp25.xml"/><Relationship Id="rId18" Type="http://schemas.openxmlformats.org/officeDocument/2006/relationships/ctrlProp" Target="../ctrlProps/ctrlProp30.xml"/><Relationship Id="rId26" Type="http://schemas.openxmlformats.org/officeDocument/2006/relationships/ctrlProp" Target="../ctrlProps/ctrlProp3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33.x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17" Type="http://schemas.openxmlformats.org/officeDocument/2006/relationships/ctrlProp" Target="../ctrlProps/ctrlProp29.xml"/><Relationship Id="rId25" Type="http://schemas.openxmlformats.org/officeDocument/2006/relationships/ctrlProp" Target="../ctrlProps/ctrlProp3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8.xml"/><Relationship Id="rId20" Type="http://schemas.openxmlformats.org/officeDocument/2006/relationships/ctrlProp" Target="../ctrlProps/ctrlProp3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24" Type="http://schemas.openxmlformats.org/officeDocument/2006/relationships/ctrlProp" Target="../ctrlProps/ctrlProp36.xml"/><Relationship Id="rId5" Type="http://schemas.openxmlformats.org/officeDocument/2006/relationships/ctrlProp" Target="../ctrlProps/ctrlProp17.xml"/><Relationship Id="rId15" Type="http://schemas.openxmlformats.org/officeDocument/2006/relationships/ctrlProp" Target="../ctrlProps/ctrlProp27.xml"/><Relationship Id="rId23" Type="http://schemas.openxmlformats.org/officeDocument/2006/relationships/ctrlProp" Target="../ctrlProps/ctrlProp35.xml"/><Relationship Id="rId10" Type="http://schemas.openxmlformats.org/officeDocument/2006/relationships/ctrlProp" Target="../ctrlProps/ctrlProp22.xml"/><Relationship Id="rId19" Type="http://schemas.openxmlformats.org/officeDocument/2006/relationships/ctrlProp" Target="../ctrlProps/ctrlProp31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Relationship Id="rId14" Type="http://schemas.openxmlformats.org/officeDocument/2006/relationships/ctrlProp" Target="../ctrlProps/ctrlProp26.xml"/><Relationship Id="rId22" Type="http://schemas.openxmlformats.org/officeDocument/2006/relationships/ctrlProp" Target="../ctrlProps/ctrlProp3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.xml"/><Relationship Id="rId13" Type="http://schemas.openxmlformats.org/officeDocument/2006/relationships/ctrlProp" Target="../ctrlProps/ctrlProp6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7.xml"/><Relationship Id="rId12" Type="http://schemas.openxmlformats.org/officeDocument/2006/relationships/ctrlProp" Target="../ctrlProps/ctrlProp62.xml"/><Relationship Id="rId17" Type="http://schemas.openxmlformats.org/officeDocument/2006/relationships/ctrlProp" Target="../ctrlProps/ctrlProp67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6.xml"/><Relationship Id="rId11" Type="http://schemas.openxmlformats.org/officeDocument/2006/relationships/ctrlProp" Target="../ctrlProps/ctrlProp61.xml"/><Relationship Id="rId5" Type="http://schemas.openxmlformats.org/officeDocument/2006/relationships/ctrlProp" Target="../ctrlProps/ctrlProp55.xml"/><Relationship Id="rId15" Type="http://schemas.openxmlformats.org/officeDocument/2006/relationships/ctrlProp" Target="../ctrlProps/ctrlProp65.xml"/><Relationship Id="rId10" Type="http://schemas.openxmlformats.org/officeDocument/2006/relationships/ctrlProp" Target="../ctrlProps/ctrlProp60.xml"/><Relationship Id="rId4" Type="http://schemas.openxmlformats.org/officeDocument/2006/relationships/ctrlProp" Target="../ctrlProps/ctrlProp54.xml"/><Relationship Id="rId9" Type="http://schemas.openxmlformats.org/officeDocument/2006/relationships/ctrlProp" Target="../ctrlProps/ctrlProp59.xml"/><Relationship Id="rId14" Type="http://schemas.openxmlformats.org/officeDocument/2006/relationships/ctrlProp" Target="../ctrlProps/ctrlProp6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2.xml"/><Relationship Id="rId13" Type="http://schemas.openxmlformats.org/officeDocument/2006/relationships/ctrlProp" Target="../ctrlProps/ctrlProp7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71.xml"/><Relationship Id="rId12" Type="http://schemas.openxmlformats.org/officeDocument/2006/relationships/ctrlProp" Target="../ctrlProps/ctrlProp76.xml"/><Relationship Id="rId17" Type="http://schemas.openxmlformats.org/officeDocument/2006/relationships/ctrlProp" Target="../ctrlProps/ctrlProp81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70.xml"/><Relationship Id="rId11" Type="http://schemas.openxmlformats.org/officeDocument/2006/relationships/ctrlProp" Target="../ctrlProps/ctrlProp75.xml"/><Relationship Id="rId5" Type="http://schemas.openxmlformats.org/officeDocument/2006/relationships/ctrlProp" Target="../ctrlProps/ctrlProp69.xml"/><Relationship Id="rId15" Type="http://schemas.openxmlformats.org/officeDocument/2006/relationships/ctrlProp" Target="../ctrlProps/ctrlProp79.xml"/><Relationship Id="rId10" Type="http://schemas.openxmlformats.org/officeDocument/2006/relationships/ctrlProp" Target="../ctrlProps/ctrlProp74.xml"/><Relationship Id="rId4" Type="http://schemas.openxmlformats.org/officeDocument/2006/relationships/ctrlProp" Target="../ctrlProps/ctrlProp68.xml"/><Relationship Id="rId9" Type="http://schemas.openxmlformats.org/officeDocument/2006/relationships/ctrlProp" Target="../ctrlProps/ctrlProp73.xml"/><Relationship Id="rId14" Type="http://schemas.openxmlformats.org/officeDocument/2006/relationships/ctrlProp" Target="../ctrlProps/ctrlProp7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8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4.xml"/><Relationship Id="rId5" Type="http://schemas.openxmlformats.org/officeDocument/2006/relationships/ctrlProp" Target="../ctrlProps/ctrlProp83.xml"/><Relationship Id="rId4" Type="http://schemas.openxmlformats.org/officeDocument/2006/relationships/ctrlProp" Target="../ctrlProps/ctrlProp8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tabColor rgb="FF008228"/>
  </sheetPr>
  <dimension ref="C2:BU50"/>
  <sheetViews>
    <sheetView showGridLines="0" showRowColHeaders="0" tabSelected="1" workbookViewId="0">
      <selection activeCell="G15" sqref="G15"/>
    </sheetView>
  </sheetViews>
  <sheetFormatPr baseColWidth="10" defaultRowHeight="15" x14ac:dyDescent="0.25"/>
  <cols>
    <col min="1" max="27" width="3.28515625" customWidth="1"/>
    <col min="28" max="28" width="0.7109375" customWidth="1"/>
    <col min="29" max="94" width="3.28515625" customWidth="1"/>
    <col min="95" max="101" width="12.140625" customWidth="1"/>
  </cols>
  <sheetData>
    <row r="2" spans="3:34" ht="61.5" customHeight="1" x14ac:dyDescent="0.25">
      <c r="C2" s="3"/>
      <c r="D2" s="3"/>
      <c r="E2" s="3"/>
      <c r="F2" s="3"/>
      <c r="G2" s="3"/>
      <c r="H2" s="3"/>
      <c r="I2" s="3"/>
      <c r="J2" s="872"/>
      <c r="K2" s="873"/>
      <c r="L2" s="873"/>
      <c r="M2" s="873"/>
      <c r="N2" s="87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3:34" x14ac:dyDescent="0.25">
      <c r="AH3" s="1" t="s">
        <v>4028</v>
      </c>
    </row>
    <row r="5" spans="3:34" x14ac:dyDescent="0.25">
      <c r="E5" s="34"/>
      <c r="G5" s="34"/>
      <c r="H5" s="34"/>
      <c r="I5" s="34"/>
      <c r="J5" s="34"/>
      <c r="K5" s="34"/>
      <c r="L5" s="34"/>
      <c r="M5" s="34"/>
      <c r="N5" s="34"/>
      <c r="O5" s="34"/>
      <c r="P5" s="34"/>
      <c r="AH5" s="281"/>
    </row>
    <row r="6" spans="3:34" x14ac:dyDescent="0.25">
      <c r="E6" s="1" t="str">
        <f ca="1">Sprache!A18</f>
        <v>Sprache</v>
      </c>
      <c r="G6" s="34"/>
      <c r="H6" s="34"/>
      <c r="I6" s="34"/>
      <c r="J6" s="34"/>
      <c r="K6" s="34"/>
      <c r="L6" s="34"/>
      <c r="M6" s="931"/>
      <c r="N6" s="931"/>
      <c r="O6" s="931"/>
      <c r="P6" s="931"/>
      <c r="Q6" s="931"/>
      <c r="R6" s="931"/>
      <c r="S6" s="931"/>
      <c r="T6" s="931"/>
      <c r="U6" s="931"/>
      <c r="V6" s="931"/>
      <c r="W6" s="931"/>
      <c r="X6" s="931"/>
      <c r="Y6" s="931"/>
      <c r="Z6" s="931"/>
      <c r="AA6" s="931"/>
      <c r="AB6" s="931"/>
      <c r="AC6" s="931"/>
      <c r="AD6" s="931"/>
      <c r="AE6" s="931"/>
      <c r="AF6" s="931"/>
      <c r="AG6" s="931"/>
      <c r="AH6" s="931"/>
    </row>
    <row r="7" spans="3:34" ht="15.75" thickBot="1" x14ac:dyDescent="0.3"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79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</row>
    <row r="8" spans="3:34" x14ac:dyDescent="0.25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80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3:34" x14ac:dyDescent="0.25"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445"/>
      <c r="U9" s="445"/>
      <c r="V9" s="920" t="str">
        <f ca="1">Sprache!A93</f>
        <v>Standardscharnier</v>
      </c>
      <c r="W9" s="921"/>
      <c r="X9" s="921"/>
      <c r="Y9" s="921"/>
      <c r="Z9" s="921"/>
      <c r="AA9" s="921"/>
      <c r="AB9" s="921"/>
      <c r="AC9" s="921"/>
      <c r="AD9" s="921"/>
      <c r="AE9" s="921"/>
      <c r="AF9" s="921"/>
      <c r="AG9" s="921"/>
      <c r="AH9" s="922"/>
    </row>
    <row r="10" spans="3:34" x14ac:dyDescent="0.25"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445"/>
      <c r="U10" s="445"/>
      <c r="V10" s="923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5"/>
    </row>
    <row r="11" spans="3:34" x14ac:dyDescent="0.25"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445"/>
      <c r="U11" s="445"/>
      <c r="V11" s="923"/>
      <c r="W11" s="924"/>
      <c r="X11" s="924"/>
      <c r="Y11" s="924"/>
      <c r="Z11" s="924"/>
      <c r="AA11" s="924"/>
      <c r="AB11" s="924"/>
      <c r="AC11" s="924"/>
      <c r="AD11" s="924"/>
      <c r="AE11" s="924"/>
      <c r="AF11" s="924"/>
      <c r="AG11" s="924"/>
      <c r="AH11" s="925"/>
    </row>
    <row r="12" spans="3:34" x14ac:dyDescent="0.25"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445"/>
      <c r="U12" s="445"/>
      <c r="V12" s="923"/>
      <c r="W12" s="924"/>
      <c r="X12" s="924"/>
      <c r="Y12" s="924"/>
      <c r="Z12" s="924"/>
      <c r="AA12" s="924"/>
      <c r="AB12" s="924"/>
      <c r="AC12" s="924"/>
      <c r="AD12" s="924"/>
      <c r="AE12" s="924"/>
      <c r="AF12" s="924"/>
      <c r="AG12" s="924"/>
      <c r="AH12" s="925"/>
    </row>
    <row r="13" spans="3:34" x14ac:dyDescent="0.25"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445"/>
      <c r="U13" s="445"/>
      <c r="V13" s="926"/>
      <c r="W13" s="927"/>
      <c r="X13" s="927"/>
      <c r="Y13" s="927"/>
      <c r="Z13" s="927"/>
      <c r="AA13" s="927"/>
      <c r="AB13" s="927"/>
      <c r="AC13" s="927"/>
      <c r="AD13" s="927"/>
      <c r="AE13" s="927"/>
      <c r="AF13" s="927"/>
      <c r="AG13" s="927"/>
      <c r="AH13" s="928"/>
    </row>
    <row r="14" spans="3:34" x14ac:dyDescent="0.25"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445"/>
      <c r="U14" s="445"/>
      <c r="V14" s="920" t="str">
        <f ca="1">Sprache!A94</f>
        <v>Winkelscharnier</v>
      </c>
      <c r="W14" s="921"/>
      <c r="X14" s="921"/>
      <c r="Y14" s="921"/>
      <c r="Z14" s="921"/>
      <c r="AA14" s="921"/>
      <c r="AB14" s="921"/>
      <c r="AC14" s="921"/>
      <c r="AD14" s="921"/>
      <c r="AE14" s="921"/>
      <c r="AF14" s="921"/>
      <c r="AG14" s="921"/>
      <c r="AH14" s="922"/>
    </row>
    <row r="15" spans="3:34" x14ac:dyDescent="0.25"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445"/>
      <c r="U15" s="445"/>
      <c r="V15" s="923"/>
      <c r="W15" s="924"/>
      <c r="X15" s="924"/>
      <c r="Y15" s="924"/>
      <c r="Z15" s="924"/>
      <c r="AA15" s="924"/>
      <c r="AB15" s="924"/>
      <c r="AC15" s="924"/>
      <c r="AD15" s="924"/>
      <c r="AE15" s="924"/>
      <c r="AF15" s="924"/>
      <c r="AG15" s="924"/>
      <c r="AH15" s="925"/>
    </row>
    <row r="16" spans="3:34" x14ac:dyDescent="0.25"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445"/>
      <c r="U16" s="445"/>
      <c r="V16" s="923"/>
      <c r="W16" s="924"/>
      <c r="X16" s="924"/>
      <c r="Y16" s="924"/>
      <c r="Z16" s="924"/>
      <c r="AA16" s="924"/>
      <c r="AB16" s="924"/>
      <c r="AC16" s="924"/>
      <c r="AD16" s="924"/>
      <c r="AE16" s="924"/>
      <c r="AF16" s="924"/>
      <c r="AG16" s="924"/>
      <c r="AH16" s="925"/>
    </row>
    <row r="17" spans="3:73" x14ac:dyDescent="0.25"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445"/>
      <c r="U17" s="445"/>
      <c r="V17" s="923"/>
      <c r="W17" s="924"/>
      <c r="X17" s="924"/>
      <c r="Y17" s="924"/>
      <c r="Z17" s="924"/>
      <c r="AA17" s="924"/>
      <c r="AB17" s="924"/>
      <c r="AC17" s="924"/>
      <c r="AD17" s="924"/>
      <c r="AE17" s="924"/>
      <c r="AF17" s="924"/>
      <c r="AG17" s="924"/>
      <c r="AH17" s="925"/>
    </row>
    <row r="18" spans="3:73" ht="15" customHeight="1" x14ac:dyDescent="0.25"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445"/>
      <c r="U18" s="445"/>
      <c r="V18" s="926"/>
      <c r="W18" s="927"/>
      <c r="X18" s="927"/>
      <c r="Y18" s="927"/>
      <c r="Z18" s="927"/>
      <c r="AA18" s="927"/>
      <c r="AB18" s="927"/>
      <c r="AC18" s="927"/>
      <c r="AD18" s="927"/>
      <c r="AE18" s="927"/>
      <c r="AF18" s="927"/>
      <c r="AG18" s="927"/>
      <c r="AH18" s="928"/>
      <c r="AP18" s="8"/>
      <c r="AS18" s="8"/>
      <c r="AV18" s="8"/>
      <c r="BQ18" s="8"/>
      <c r="BU18" s="8"/>
    </row>
    <row r="19" spans="3:73" ht="15" customHeight="1" x14ac:dyDescent="0.25"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445"/>
      <c r="U19" s="445"/>
      <c r="V19" s="932" t="str">
        <f ca="1">Sprache!A95</f>
        <v>Alu-/Glas- &amp; Spiegelscharnier</v>
      </c>
      <c r="W19" s="933"/>
      <c r="X19" s="933"/>
      <c r="Y19" s="933"/>
      <c r="Z19" s="933"/>
      <c r="AA19" s="933"/>
      <c r="AB19" s="933"/>
      <c r="AC19" s="933"/>
      <c r="AD19" s="933"/>
      <c r="AE19" s="933"/>
      <c r="AF19" s="933"/>
      <c r="AG19" s="933"/>
      <c r="AH19" s="934"/>
    </row>
    <row r="20" spans="3:73" x14ac:dyDescent="0.25"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445"/>
      <c r="U20" s="445"/>
      <c r="V20" s="935"/>
      <c r="W20" s="936"/>
      <c r="X20" s="936"/>
      <c r="Y20" s="936"/>
      <c r="Z20" s="936"/>
      <c r="AA20" s="936"/>
      <c r="AB20" s="936"/>
      <c r="AC20" s="936"/>
      <c r="AD20" s="936"/>
      <c r="AE20" s="936"/>
      <c r="AF20" s="936"/>
      <c r="AG20" s="936"/>
      <c r="AH20" s="937"/>
    </row>
    <row r="21" spans="3:73" x14ac:dyDescent="0.25"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445"/>
      <c r="U21" s="445"/>
      <c r="V21" s="935"/>
      <c r="W21" s="936"/>
      <c r="X21" s="936"/>
      <c r="Y21" s="936"/>
      <c r="Z21" s="936"/>
      <c r="AA21" s="936"/>
      <c r="AB21" s="936"/>
      <c r="AC21" s="936"/>
      <c r="AD21" s="936"/>
      <c r="AE21" s="936"/>
      <c r="AF21" s="936"/>
      <c r="AG21" s="936"/>
      <c r="AH21" s="937"/>
    </row>
    <row r="22" spans="3:73" x14ac:dyDescent="0.25"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445"/>
      <c r="U22" s="445"/>
      <c r="V22" s="935"/>
      <c r="W22" s="936"/>
      <c r="X22" s="936"/>
      <c r="Y22" s="936"/>
      <c r="Z22" s="936"/>
      <c r="AA22" s="936"/>
      <c r="AB22" s="936"/>
      <c r="AC22" s="936"/>
      <c r="AD22" s="936"/>
      <c r="AE22" s="936"/>
      <c r="AF22" s="936"/>
      <c r="AG22" s="936"/>
      <c r="AH22" s="937"/>
    </row>
    <row r="23" spans="3:73" x14ac:dyDescent="0.25"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445"/>
      <c r="U23" s="445"/>
      <c r="V23" s="938"/>
      <c r="W23" s="939"/>
      <c r="X23" s="939"/>
      <c r="Y23" s="939"/>
      <c r="Z23" s="939"/>
      <c r="AA23" s="939"/>
      <c r="AB23" s="939"/>
      <c r="AC23" s="939"/>
      <c r="AD23" s="939"/>
      <c r="AE23" s="939"/>
      <c r="AF23" s="939"/>
      <c r="AG23" s="939"/>
      <c r="AH23" s="940"/>
    </row>
    <row r="24" spans="3:73" x14ac:dyDescent="0.25"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445"/>
      <c r="U24" s="445"/>
      <c r="V24" s="920" t="str">
        <f ca="1">Sprache!A96</f>
        <v>Spezialscharnier</v>
      </c>
      <c r="W24" s="921"/>
      <c r="X24" s="921"/>
      <c r="Y24" s="921"/>
      <c r="Z24" s="921"/>
      <c r="AA24" s="921"/>
      <c r="AB24" s="921"/>
      <c r="AC24" s="921"/>
      <c r="AD24" s="921"/>
      <c r="AE24" s="921"/>
      <c r="AF24" s="921"/>
      <c r="AG24" s="921"/>
      <c r="AH24" s="922"/>
    </row>
    <row r="25" spans="3:73" x14ac:dyDescent="0.25"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445"/>
      <c r="U25" s="445"/>
      <c r="V25" s="923"/>
      <c r="W25" s="924"/>
      <c r="X25" s="924"/>
      <c r="Y25" s="924"/>
      <c r="Z25" s="924"/>
      <c r="AA25" s="924"/>
      <c r="AB25" s="924"/>
      <c r="AC25" s="924"/>
      <c r="AD25" s="924"/>
      <c r="AE25" s="924"/>
      <c r="AF25" s="924"/>
      <c r="AG25" s="924"/>
      <c r="AH25" s="925"/>
    </row>
    <row r="26" spans="3:73" x14ac:dyDescent="0.25"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445"/>
      <c r="U26" s="445"/>
      <c r="V26" s="923"/>
      <c r="W26" s="924"/>
      <c r="X26" s="924"/>
      <c r="Y26" s="924"/>
      <c r="Z26" s="924"/>
      <c r="AA26" s="924"/>
      <c r="AB26" s="924"/>
      <c r="AC26" s="924"/>
      <c r="AD26" s="924"/>
      <c r="AE26" s="924"/>
      <c r="AF26" s="924"/>
      <c r="AG26" s="924"/>
      <c r="AH26" s="925"/>
    </row>
    <row r="27" spans="3:73" x14ac:dyDescent="0.25"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445"/>
      <c r="U27" s="445"/>
      <c r="V27" s="923"/>
      <c r="W27" s="924"/>
      <c r="X27" s="924"/>
      <c r="Y27" s="924"/>
      <c r="Z27" s="924"/>
      <c r="AA27" s="924"/>
      <c r="AB27" s="924"/>
      <c r="AC27" s="924"/>
      <c r="AD27" s="924"/>
      <c r="AE27" s="924"/>
      <c r="AF27" s="924"/>
      <c r="AG27" s="924"/>
      <c r="AH27" s="925"/>
    </row>
    <row r="28" spans="3:73" x14ac:dyDescent="0.25"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445"/>
      <c r="U28" s="445"/>
      <c r="V28" s="926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8"/>
    </row>
    <row r="29" spans="3:73" x14ac:dyDescent="0.25"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445"/>
      <c r="U29" s="445"/>
      <c r="V29" s="871"/>
      <c r="W29" s="871"/>
      <c r="X29" s="871"/>
      <c r="Y29" s="871"/>
      <c r="Z29" s="871"/>
      <c r="AA29" s="871"/>
      <c r="AB29" s="72"/>
      <c r="AC29" s="773"/>
      <c r="AD29" s="871"/>
      <c r="AE29" s="871"/>
      <c r="AF29" s="871"/>
      <c r="AG29" s="871"/>
      <c r="AH29" s="871"/>
    </row>
    <row r="30" spans="3:73" x14ac:dyDescent="0.25"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445"/>
      <c r="U30" s="445"/>
      <c r="V30" s="930" t="str">
        <f ca="1">Sprache!A145</f>
        <v>Konfigurator</v>
      </c>
      <c r="W30" s="930"/>
      <c r="X30" s="930"/>
      <c r="Y30" s="930"/>
      <c r="Z30" s="930"/>
      <c r="AA30" s="930"/>
      <c r="AB30" s="930"/>
      <c r="AC30" s="930"/>
      <c r="AD30" s="930"/>
      <c r="AE30" s="930"/>
      <c r="AF30" s="930"/>
      <c r="AG30" s="930"/>
      <c r="AH30" s="930"/>
    </row>
    <row r="31" spans="3:73" x14ac:dyDescent="0.25"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445"/>
      <c r="U31" s="445"/>
      <c r="V31" s="930"/>
      <c r="W31" s="930"/>
      <c r="X31" s="930"/>
      <c r="Y31" s="930"/>
      <c r="Z31" s="930"/>
      <c r="AA31" s="930"/>
      <c r="AB31" s="930"/>
      <c r="AC31" s="930"/>
      <c r="AD31" s="930"/>
      <c r="AE31" s="930"/>
      <c r="AF31" s="930"/>
      <c r="AG31" s="930"/>
      <c r="AH31" s="930"/>
    </row>
    <row r="32" spans="3:73" x14ac:dyDescent="0.25"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445"/>
      <c r="U32" s="445"/>
      <c r="V32" s="930"/>
      <c r="W32" s="930"/>
      <c r="X32" s="930"/>
      <c r="Y32" s="930"/>
      <c r="Z32" s="930"/>
      <c r="AA32" s="930"/>
      <c r="AB32" s="930"/>
      <c r="AC32" s="930"/>
      <c r="AD32" s="930"/>
      <c r="AE32" s="930"/>
      <c r="AF32" s="930"/>
      <c r="AG32" s="930"/>
      <c r="AH32" s="930"/>
      <c r="AP32" s="768"/>
    </row>
    <row r="33" spans="3:34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V33" s="929" t="str">
        <f ca="1">Sprache!A157</f>
        <v>Scharnieranzahlberechnung</v>
      </c>
      <c r="W33" s="929"/>
      <c r="X33" s="929"/>
      <c r="Y33" s="929"/>
      <c r="Z33" s="929"/>
      <c r="AA33" s="929"/>
      <c r="AB33" s="929"/>
      <c r="AC33" s="929"/>
      <c r="AD33" s="929"/>
      <c r="AE33" s="929"/>
      <c r="AF33" s="929"/>
      <c r="AG33" s="929"/>
      <c r="AH33" s="929"/>
    </row>
    <row r="34" spans="3:34" x14ac:dyDescent="0.25">
      <c r="V34" s="929"/>
      <c r="W34" s="929"/>
      <c r="X34" s="929"/>
      <c r="Y34" s="929"/>
      <c r="Z34" s="929"/>
      <c r="AA34" s="929"/>
      <c r="AB34" s="929"/>
      <c r="AC34" s="929"/>
      <c r="AD34" s="929"/>
      <c r="AE34" s="929"/>
      <c r="AF34" s="929"/>
      <c r="AG34" s="929"/>
      <c r="AH34" s="929"/>
    </row>
    <row r="35" spans="3:34" x14ac:dyDescent="0.25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V35" s="929"/>
      <c r="W35" s="929"/>
      <c r="X35" s="929"/>
      <c r="Y35" s="929"/>
      <c r="Z35" s="929"/>
      <c r="AA35" s="929"/>
      <c r="AB35" s="929"/>
      <c r="AC35" s="929"/>
      <c r="AD35" s="929"/>
      <c r="AE35" s="929"/>
      <c r="AF35" s="929"/>
      <c r="AG35" s="929"/>
      <c r="AH35" s="929"/>
    </row>
    <row r="36" spans="3:34" ht="18" customHeight="1" thickBot="1" x14ac:dyDescent="0.3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79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</row>
    <row r="38" spans="3:34" x14ac:dyDescent="0.25">
      <c r="C38" s="785" t="str">
        <f ca="1">Sprache!A21</f>
        <v xml:space="preserve">Änderungen, Fehler und Irrtümer vorbehalten. Die Nutzung des Konfigurators erfolgt auf eigenes Risiko. </v>
      </c>
    </row>
    <row r="39" spans="3:34" x14ac:dyDescent="0.25">
      <c r="C39" s="786" t="str">
        <f ca="1">Sprache!A22</f>
        <v xml:space="preserve">Haftungsansprüche gegenüber Grass GmbH &amp; Co. KG sind ausgeschlossen. Es handelt sich um unverbindliche Empfehlungen. </v>
      </c>
    </row>
    <row r="40" spans="3:34" ht="15" customHeight="1" x14ac:dyDescent="0.25">
      <c r="C40" s="786" t="str">
        <f ca="1">Sprache!A23</f>
        <v>± 5° Keile und Zubehör sind nicht berücksichtigt.</v>
      </c>
    </row>
    <row r="41" spans="3:34" ht="8.25" customHeight="1" x14ac:dyDescent="0.25">
      <c r="C41" s="786"/>
    </row>
    <row r="42" spans="3:34" x14ac:dyDescent="0.25">
      <c r="C42" s="785" t="str">
        <f ca="1">Sprache!A24</f>
        <v xml:space="preserve">Mindestfuge für Türen mit angefasten Kanten (R=1 mm) bei Werkseinstellung. </v>
      </c>
    </row>
    <row r="43" spans="3:34" x14ac:dyDescent="0.25">
      <c r="C43" s="785" t="str">
        <f ca="1">Sprache!A25</f>
        <v xml:space="preserve">Scharniermaße und Fugenberechnung bei Werkseinstellung. </v>
      </c>
    </row>
    <row r="44" spans="3:34" ht="8.25" customHeight="1" x14ac:dyDescent="0.25"/>
    <row r="45" spans="3:34" x14ac:dyDescent="0.25">
      <c r="C45" s="785" t="str">
        <f ca="1">Sprache!A26</f>
        <v xml:space="preserve">Wir empfehlen einen Probeanschlag. Bei Fragen oder Unklarheiten kontaktieren Sie bitte unsere Fachleute. </v>
      </c>
    </row>
    <row r="46" spans="3:34" ht="8.25" customHeight="1" x14ac:dyDescent="0.25"/>
    <row r="47" spans="3:34" x14ac:dyDescent="0.25">
      <c r="C47" s="785" t="str">
        <f ca="1">ja&amp;Sprache!A27</f>
        <v xml:space="preserve">✓erscheint als Kennzeichnung für eine Auswahl, die zu einer Produktempfehlung führt. </v>
      </c>
    </row>
    <row r="48" spans="3:34" x14ac:dyDescent="0.25">
      <c r="C48" s="785" t="str">
        <f ca="1">Sprache!A28</f>
        <v>Texte in roter Farbe weisen auf Einstellungen hin, die verändert werden sollten, um eine Produktempfehlung zu erhalten.</v>
      </c>
    </row>
    <row r="50" spans="3:3" x14ac:dyDescent="0.25">
      <c r="C50" s="785"/>
    </row>
  </sheetData>
  <sheetProtection password="9438" sheet="1" objects="1" scenarios="1"/>
  <mergeCells count="7">
    <mergeCell ref="V24:AH28"/>
    <mergeCell ref="V33:AH35"/>
    <mergeCell ref="V30:AH32"/>
    <mergeCell ref="M6:AH6"/>
    <mergeCell ref="V9:AH13"/>
    <mergeCell ref="V14:AH18"/>
    <mergeCell ref="V19:AH23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5</xdr:col>
                    <xdr:colOff>66675</xdr:colOff>
                    <xdr:row>5</xdr:row>
                    <xdr:rowOff>19050</xdr:rowOff>
                  </from>
                  <to>
                    <xdr:col>10</xdr:col>
                    <xdr:colOff>142875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FFC000"/>
  </sheetPr>
  <dimension ref="A1:BG322"/>
  <sheetViews>
    <sheetView topLeftCell="A91" workbookViewId="0"/>
  </sheetViews>
  <sheetFormatPr baseColWidth="10" defaultRowHeight="15" x14ac:dyDescent="0.25"/>
  <sheetData>
    <row r="1" spans="1:20" x14ac:dyDescent="0.25">
      <c r="A1" t="s">
        <v>1400</v>
      </c>
      <c r="B1" s="620">
        <f ca="1">select!B1388</f>
        <v>16</v>
      </c>
      <c r="D1" t="s">
        <v>2134</v>
      </c>
      <c r="E1" s="620">
        <f ca="1">select!O1388</f>
        <v>5</v>
      </c>
    </row>
    <row r="2" spans="1:20" s="576" customFormat="1" x14ac:dyDescent="0.25">
      <c r="A2" s="576" t="s">
        <v>23</v>
      </c>
    </row>
    <row r="3" spans="1:20" x14ac:dyDescent="0.25">
      <c r="A3" t="s">
        <v>1462</v>
      </c>
      <c r="B3" s="621">
        <f ca="1">VLOOKUP($B$1,A6:F13,$E$1-1,FALSE)</f>
        <v>1</v>
      </c>
      <c r="H3" t="s">
        <v>1896</v>
      </c>
      <c r="I3" s="621">
        <f ca="1">VLOOKUP(B1,H6:M13,E1-1,FALSE)</f>
        <v>0.6</v>
      </c>
      <c r="O3" t="s">
        <v>1896</v>
      </c>
      <c r="P3" s="621">
        <f ca="1">VLOOKUP(B1,O6:T16,E1-1,FALSE)</f>
        <v>0.6</v>
      </c>
    </row>
    <row r="4" spans="1:20" x14ac:dyDescent="0.25">
      <c r="B4" t="s">
        <v>2134</v>
      </c>
      <c r="I4" t="s">
        <v>2134</v>
      </c>
      <c r="O4" t="s">
        <v>2135</v>
      </c>
      <c r="P4" t="s">
        <v>2134</v>
      </c>
    </row>
    <row r="5" spans="1:20" x14ac:dyDescent="0.25">
      <c r="A5" t="s">
        <v>1400</v>
      </c>
      <c r="B5">
        <v>3</v>
      </c>
      <c r="C5">
        <v>4</v>
      </c>
      <c r="D5">
        <v>5</v>
      </c>
      <c r="E5">
        <v>6</v>
      </c>
      <c r="F5">
        <v>7</v>
      </c>
      <c r="H5" t="s">
        <v>1400</v>
      </c>
      <c r="I5">
        <v>3</v>
      </c>
      <c r="J5">
        <v>4</v>
      </c>
      <c r="K5">
        <v>5</v>
      </c>
      <c r="L5">
        <v>6</v>
      </c>
      <c r="M5">
        <v>7</v>
      </c>
      <c r="O5" t="s">
        <v>1400</v>
      </c>
      <c r="P5">
        <v>3</v>
      </c>
      <c r="Q5">
        <v>4</v>
      </c>
      <c r="R5">
        <v>5</v>
      </c>
      <c r="S5">
        <v>6</v>
      </c>
      <c r="T5">
        <v>7</v>
      </c>
    </row>
    <row r="6" spans="1:20" x14ac:dyDescent="0.25">
      <c r="A6">
        <v>24</v>
      </c>
      <c r="B6">
        <v>1</v>
      </c>
      <c r="C6">
        <v>1</v>
      </c>
      <c r="D6">
        <v>1</v>
      </c>
      <c r="E6">
        <v>1.2</v>
      </c>
      <c r="F6">
        <v>2.1</v>
      </c>
      <c r="H6">
        <v>24</v>
      </c>
      <c r="I6">
        <v>2.4</v>
      </c>
      <c r="J6">
        <v>2.1</v>
      </c>
      <c r="K6">
        <v>2.1</v>
      </c>
      <c r="L6">
        <v>2.1</v>
      </c>
      <c r="M6">
        <v>2</v>
      </c>
      <c r="O6">
        <v>36</v>
      </c>
      <c r="P6">
        <v>11.1</v>
      </c>
      <c r="Q6">
        <v>10.3</v>
      </c>
      <c r="R6">
        <v>9.6999999999999993</v>
      </c>
      <c r="S6">
        <v>9.1</v>
      </c>
      <c r="T6">
        <v>8.5</v>
      </c>
    </row>
    <row r="7" spans="1:20" x14ac:dyDescent="0.25">
      <c r="A7">
        <v>22</v>
      </c>
      <c r="B7">
        <v>1</v>
      </c>
      <c r="C7">
        <v>1</v>
      </c>
      <c r="D7">
        <v>1</v>
      </c>
      <c r="E7">
        <v>1</v>
      </c>
      <c r="F7">
        <v>1.5</v>
      </c>
      <c r="H7">
        <v>22</v>
      </c>
      <c r="I7">
        <v>1.6</v>
      </c>
      <c r="J7">
        <v>1.6</v>
      </c>
      <c r="K7">
        <v>1.6</v>
      </c>
      <c r="L7">
        <v>1.5</v>
      </c>
      <c r="M7">
        <v>1.5</v>
      </c>
      <c r="O7">
        <v>30</v>
      </c>
      <c r="P7">
        <v>5.4</v>
      </c>
      <c r="Q7">
        <v>4.8</v>
      </c>
      <c r="R7">
        <v>4.4000000000000004</v>
      </c>
      <c r="S7">
        <v>4.3</v>
      </c>
      <c r="T7">
        <v>4.2</v>
      </c>
    </row>
    <row r="8" spans="1:20" x14ac:dyDescent="0.25">
      <c r="A8">
        <v>21</v>
      </c>
      <c r="B8">
        <v>1</v>
      </c>
      <c r="C8">
        <v>1</v>
      </c>
      <c r="D8">
        <v>1</v>
      </c>
      <c r="E8">
        <v>1</v>
      </c>
      <c r="F8">
        <v>1.2</v>
      </c>
      <c r="H8">
        <v>21</v>
      </c>
      <c r="I8">
        <v>1.4</v>
      </c>
      <c r="J8">
        <v>1.3</v>
      </c>
      <c r="K8">
        <v>1.3</v>
      </c>
      <c r="L8">
        <v>1.3</v>
      </c>
      <c r="M8">
        <v>1.3</v>
      </c>
      <c r="O8">
        <v>28</v>
      </c>
      <c r="P8">
        <v>3.7</v>
      </c>
      <c r="Q8">
        <v>3.6</v>
      </c>
      <c r="R8">
        <v>3.5</v>
      </c>
      <c r="S8">
        <v>3.4</v>
      </c>
      <c r="T8">
        <v>3.3</v>
      </c>
    </row>
    <row r="9" spans="1:20" x14ac:dyDescent="0.25">
      <c r="A9">
        <v>20</v>
      </c>
      <c r="B9">
        <v>1</v>
      </c>
      <c r="C9">
        <v>1</v>
      </c>
      <c r="D9">
        <v>1</v>
      </c>
      <c r="E9">
        <v>1</v>
      </c>
      <c r="F9">
        <v>1</v>
      </c>
      <c r="H9">
        <v>20</v>
      </c>
      <c r="I9">
        <v>1.1000000000000001</v>
      </c>
      <c r="J9">
        <v>1.1000000000000001</v>
      </c>
      <c r="K9">
        <v>1.1000000000000001</v>
      </c>
      <c r="L9">
        <v>1.1000000000000001</v>
      </c>
      <c r="M9">
        <v>1.1000000000000001</v>
      </c>
      <c r="O9">
        <v>26</v>
      </c>
      <c r="P9">
        <v>2.9</v>
      </c>
      <c r="Q9">
        <v>2.8</v>
      </c>
      <c r="R9">
        <v>2.8</v>
      </c>
      <c r="S9">
        <v>2.7</v>
      </c>
      <c r="T9">
        <v>2.6</v>
      </c>
    </row>
    <row r="10" spans="1:20" x14ac:dyDescent="0.25">
      <c r="A10">
        <v>19</v>
      </c>
      <c r="B10">
        <v>1</v>
      </c>
      <c r="C10">
        <v>1</v>
      </c>
      <c r="D10">
        <v>1</v>
      </c>
      <c r="E10">
        <v>1</v>
      </c>
      <c r="F10">
        <v>1</v>
      </c>
      <c r="H10">
        <v>19</v>
      </c>
      <c r="I10">
        <v>0.9</v>
      </c>
      <c r="J10">
        <v>0.9</v>
      </c>
      <c r="K10">
        <v>0.9</v>
      </c>
      <c r="L10">
        <v>0.9</v>
      </c>
      <c r="M10">
        <v>0.9</v>
      </c>
      <c r="O10">
        <v>24</v>
      </c>
      <c r="P10">
        <v>2.2000000000000002</v>
      </c>
      <c r="Q10">
        <v>2.1</v>
      </c>
      <c r="R10">
        <v>2.1</v>
      </c>
      <c r="S10">
        <v>2.1</v>
      </c>
      <c r="T10">
        <v>2</v>
      </c>
    </row>
    <row r="11" spans="1:20" x14ac:dyDescent="0.25">
      <c r="A11">
        <v>18</v>
      </c>
      <c r="B11">
        <v>1</v>
      </c>
      <c r="C11">
        <v>1</v>
      </c>
      <c r="D11">
        <v>1</v>
      </c>
      <c r="E11">
        <v>1</v>
      </c>
      <c r="F11">
        <v>1</v>
      </c>
      <c r="H11">
        <v>18</v>
      </c>
      <c r="I11">
        <v>0.7</v>
      </c>
      <c r="J11">
        <v>0.7</v>
      </c>
      <c r="K11">
        <v>0.7</v>
      </c>
      <c r="L11">
        <v>0.7</v>
      </c>
      <c r="M11">
        <v>0.7</v>
      </c>
      <c r="O11">
        <v>22</v>
      </c>
      <c r="P11">
        <v>1.6</v>
      </c>
      <c r="Q11">
        <v>1.6</v>
      </c>
      <c r="R11">
        <v>1.6</v>
      </c>
      <c r="S11">
        <v>1.5</v>
      </c>
      <c r="T11">
        <v>1.5</v>
      </c>
    </row>
    <row r="12" spans="1:20" x14ac:dyDescent="0.25">
      <c r="A12">
        <v>17</v>
      </c>
      <c r="B12">
        <v>1</v>
      </c>
      <c r="C12">
        <v>1</v>
      </c>
      <c r="D12">
        <v>1</v>
      </c>
      <c r="E12">
        <v>1</v>
      </c>
      <c r="F12">
        <v>1</v>
      </c>
      <c r="H12">
        <v>17</v>
      </c>
      <c r="I12">
        <v>0.6</v>
      </c>
      <c r="J12">
        <v>0.6</v>
      </c>
      <c r="K12">
        <v>0.6</v>
      </c>
      <c r="L12">
        <v>0.6</v>
      </c>
      <c r="M12">
        <v>0.6</v>
      </c>
      <c r="O12">
        <v>21</v>
      </c>
      <c r="P12">
        <v>1.4</v>
      </c>
      <c r="Q12">
        <v>1.3</v>
      </c>
      <c r="R12">
        <v>1.3</v>
      </c>
      <c r="S12">
        <v>1.3</v>
      </c>
      <c r="T12">
        <v>1.3</v>
      </c>
    </row>
    <row r="13" spans="1:20" x14ac:dyDescent="0.25">
      <c r="A13">
        <v>16</v>
      </c>
      <c r="B13">
        <v>1</v>
      </c>
      <c r="C13">
        <v>1</v>
      </c>
      <c r="D13">
        <v>1</v>
      </c>
      <c r="E13">
        <v>1</v>
      </c>
      <c r="F13">
        <v>1</v>
      </c>
      <c r="H13">
        <v>16</v>
      </c>
      <c r="I13">
        <v>0.6</v>
      </c>
      <c r="J13">
        <v>0.6</v>
      </c>
      <c r="K13">
        <v>0.6</v>
      </c>
      <c r="L13">
        <v>0.6</v>
      </c>
      <c r="M13">
        <v>0.6</v>
      </c>
      <c r="O13">
        <v>20</v>
      </c>
      <c r="P13">
        <v>1.1000000000000001</v>
      </c>
      <c r="Q13">
        <v>1.1000000000000001</v>
      </c>
      <c r="R13">
        <v>1.1000000000000001</v>
      </c>
      <c r="S13">
        <v>1.1000000000000001</v>
      </c>
      <c r="T13">
        <v>1.1000000000000001</v>
      </c>
    </row>
    <row r="14" spans="1:20" x14ac:dyDescent="0.25">
      <c r="O14">
        <v>19</v>
      </c>
      <c r="P14">
        <v>0.9</v>
      </c>
      <c r="Q14">
        <v>0.9</v>
      </c>
      <c r="R14">
        <v>0.9</v>
      </c>
      <c r="S14">
        <v>0.9</v>
      </c>
      <c r="T14">
        <v>0.9</v>
      </c>
    </row>
    <row r="15" spans="1:20" x14ac:dyDescent="0.25">
      <c r="O15">
        <v>18</v>
      </c>
      <c r="P15">
        <v>0.7</v>
      </c>
      <c r="Q15">
        <v>0.7</v>
      </c>
      <c r="R15">
        <v>0.7</v>
      </c>
      <c r="S15">
        <v>0.7</v>
      </c>
      <c r="T15">
        <v>0.7</v>
      </c>
    </row>
    <row r="16" spans="1:20" x14ac:dyDescent="0.25">
      <c r="O16">
        <v>16</v>
      </c>
      <c r="P16">
        <v>0.6</v>
      </c>
      <c r="Q16">
        <v>0.6</v>
      </c>
      <c r="R16">
        <v>0.6</v>
      </c>
      <c r="S16">
        <v>0.6</v>
      </c>
      <c r="T16">
        <v>0.6</v>
      </c>
    </row>
    <row r="20" spans="1:20" s="576" customFormat="1" x14ac:dyDescent="0.25">
      <c r="A20" s="576" t="s">
        <v>24</v>
      </c>
    </row>
    <row r="21" spans="1:20" x14ac:dyDescent="0.25">
      <c r="A21" t="s">
        <v>1462</v>
      </c>
      <c r="B21" s="621">
        <f ca="1">VLOOKUP($B$1,A24:F31,$E$1-1,FALSE)</f>
        <v>1</v>
      </c>
      <c r="H21" t="s">
        <v>1896</v>
      </c>
      <c r="I21" s="621">
        <f ca="1">VLOOKUP($B$1,H24:M31,$E$1-1,FALSE)</f>
        <v>0.6</v>
      </c>
      <c r="O21" t="s">
        <v>1896</v>
      </c>
      <c r="P21" s="621">
        <f ca="1">VLOOKUP($B$1,O24:T34,$E$1-1,FALSE)</f>
        <v>0.6</v>
      </c>
    </row>
    <row r="22" spans="1:20" x14ac:dyDescent="0.25">
      <c r="B22" t="s">
        <v>2134</v>
      </c>
      <c r="I22" t="s">
        <v>2134</v>
      </c>
      <c r="O22" t="s">
        <v>2135</v>
      </c>
      <c r="P22" t="s">
        <v>2134</v>
      </c>
    </row>
    <row r="23" spans="1:20" x14ac:dyDescent="0.25">
      <c r="A23" t="s">
        <v>1400</v>
      </c>
      <c r="B23">
        <v>3</v>
      </c>
      <c r="C23">
        <v>4</v>
      </c>
      <c r="D23">
        <v>5</v>
      </c>
      <c r="E23">
        <v>6</v>
      </c>
      <c r="F23">
        <v>7</v>
      </c>
      <c r="H23" t="s">
        <v>1400</v>
      </c>
      <c r="I23">
        <v>3</v>
      </c>
      <c r="J23">
        <v>4</v>
      </c>
      <c r="K23">
        <v>5</v>
      </c>
      <c r="L23">
        <v>6</v>
      </c>
      <c r="M23">
        <v>7</v>
      </c>
      <c r="O23" t="s">
        <v>1400</v>
      </c>
      <c r="P23">
        <v>3</v>
      </c>
      <c r="Q23">
        <v>4</v>
      </c>
      <c r="R23">
        <v>5</v>
      </c>
      <c r="S23">
        <v>6</v>
      </c>
      <c r="T23">
        <v>7</v>
      </c>
    </row>
    <row r="24" spans="1:20" x14ac:dyDescent="0.25">
      <c r="A24">
        <v>24</v>
      </c>
      <c r="B24">
        <v>1.2</v>
      </c>
      <c r="C24">
        <v>2.1</v>
      </c>
      <c r="D24">
        <v>3</v>
      </c>
      <c r="E24">
        <v>3.9</v>
      </c>
      <c r="F24">
        <v>4.7</v>
      </c>
      <c r="H24">
        <v>24</v>
      </c>
      <c r="I24">
        <v>6.4</v>
      </c>
      <c r="J24">
        <v>5.4</v>
      </c>
      <c r="K24">
        <v>4.4000000000000004</v>
      </c>
      <c r="L24">
        <v>3.4</v>
      </c>
      <c r="M24">
        <v>2.4</v>
      </c>
      <c r="O24">
        <v>36</v>
      </c>
      <c r="P24">
        <v>11.1</v>
      </c>
      <c r="Q24">
        <v>10.3</v>
      </c>
      <c r="R24">
        <v>9.6999999999999993</v>
      </c>
      <c r="S24">
        <v>9.1</v>
      </c>
      <c r="T24">
        <v>8.5</v>
      </c>
    </row>
    <row r="25" spans="1:20" x14ac:dyDescent="0.25">
      <c r="A25">
        <v>22</v>
      </c>
      <c r="B25">
        <v>1</v>
      </c>
      <c r="C25">
        <v>1.1000000000000001</v>
      </c>
      <c r="D25">
        <v>2</v>
      </c>
      <c r="E25">
        <v>2.9</v>
      </c>
      <c r="F25">
        <v>3.8</v>
      </c>
      <c r="H25">
        <v>22</v>
      </c>
      <c r="I25">
        <v>3</v>
      </c>
      <c r="J25">
        <v>2</v>
      </c>
      <c r="K25">
        <v>1.5</v>
      </c>
      <c r="L25">
        <v>1.5</v>
      </c>
      <c r="M25">
        <v>1.5</v>
      </c>
      <c r="O25">
        <v>30</v>
      </c>
      <c r="P25">
        <v>5.4</v>
      </c>
      <c r="Q25">
        <v>4.8</v>
      </c>
      <c r="R25">
        <v>4.4000000000000004</v>
      </c>
      <c r="S25">
        <v>4.3</v>
      </c>
      <c r="T25">
        <v>4.2</v>
      </c>
    </row>
    <row r="26" spans="1:20" x14ac:dyDescent="0.25">
      <c r="A26">
        <v>21</v>
      </c>
      <c r="B26">
        <v>1</v>
      </c>
      <c r="C26">
        <v>1</v>
      </c>
      <c r="D26">
        <v>1.6</v>
      </c>
      <c r="E26">
        <v>2.4</v>
      </c>
      <c r="F26">
        <v>3.3</v>
      </c>
      <c r="H26">
        <v>21</v>
      </c>
      <c r="I26">
        <v>1.4</v>
      </c>
      <c r="J26">
        <v>1.3</v>
      </c>
      <c r="K26">
        <v>1.3</v>
      </c>
      <c r="L26">
        <v>1.3</v>
      </c>
      <c r="M26">
        <v>1.3</v>
      </c>
      <c r="O26">
        <v>28</v>
      </c>
      <c r="P26">
        <v>3.7</v>
      </c>
      <c r="Q26">
        <v>3.6</v>
      </c>
      <c r="R26">
        <v>3.5</v>
      </c>
      <c r="S26">
        <v>3.4</v>
      </c>
      <c r="T26">
        <v>3.3</v>
      </c>
    </row>
    <row r="27" spans="1:20" x14ac:dyDescent="0.25">
      <c r="A27">
        <v>20</v>
      </c>
      <c r="B27">
        <v>1</v>
      </c>
      <c r="C27">
        <v>1</v>
      </c>
      <c r="D27">
        <v>1.1000000000000001</v>
      </c>
      <c r="E27">
        <v>2</v>
      </c>
      <c r="F27">
        <v>2.9</v>
      </c>
      <c r="H27">
        <v>20</v>
      </c>
      <c r="I27">
        <v>1.1000000000000001</v>
      </c>
      <c r="J27">
        <v>1.1000000000000001</v>
      </c>
      <c r="K27">
        <v>1.1000000000000001</v>
      </c>
      <c r="L27">
        <v>1.1000000000000001</v>
      </c>
      <c r="M27">
        <v>1.1000000000000001</v>
      </c>
      <c r="O27">
        <v>26</v>
      </c>
      <c r="P27">
        <v>2.9</v>
      </c>
      <c r="Q27">
        <v>2.8</v>
      </c>
      <c r="R27">
        <v>2.8</v>
      </c>
      <c r="S27">
        <v>2.7</v>
      </c>
      <c r="T27">
        <v>2.6</v>
      </c>
    </row>
    <row r="28" spans="1:20" x14ac:dyDescent="0.25">
      <c r="A28">
        <v>19</v>
      </c>
      <c r="B28">
        <v>1</v>
      </c>
      <c r="C28">
        <v>1</v>
      </c>
      <c r="D28">
        <v>1</v>
      </c>
      <c r="E28">
        <v>1.5</v>
      </c>
      <c r="F28">
        <v>2.4</v>
      </c>
      <c r="H28">
        <v>19</v>
      </c>
      <c r="I28">
        <v>0.9</v>
      </c>
      <c r="J28">
        <v>0.9</v>
      </c>
      <c r="K28">
        <v>0.9</v>
      </c>
      <c r="L28">
        <v>0.9</v>
      </c>
      <c r="M28">
        <v>0.9</v>
      </c>
      <c r="O28">
        <v>24</v>
      </c>
      <c r="P28">
        <v>2.2000000000000002</v>
      </c>
      <c r="Q28">
        <v>2.1</v>
      </c>
      <c r="R28">
        <v>2.1</v>
      </c>
      <c r="S28">
        <v>2.1</v>
      </c>
      <c r="T28">
        <v>2</v>
      </c>
    </row>
    <row r="29" spans="1:20" x14ac:dyDescent="0.25">
      <c r="A29">
        <v>18</v>
      </c>
      <c r="B29">
        <v>1</v>
      </c>
      <c r="C29">
        <v>1</v>
      </c>
      <c r="D29">
        <v>1</v>
      </c>
      <c r="E29">
        <v>1</v>
      </c>
      <c r="F29">
        <v>1.9</v>
      </c>
      <c r="H29">
        <v>18</v>
      </c>
      <c r="I29">
        <v>0.7</v>
      </c>
      <c r="J29">
        <v>0.7</v>
      </c>
      <c r="K29">
        <v>0.7</v>
      </c>
      <c r="L29">
        <v>0.7</v>
      </c>
      <c r="M29">
        <v>0.7</v>
      </c>
      <c r="O29">
        <v>22</v>
      </c>
      <c r="P29">
        <v>1.6</v>
      </c>
      <c r="Q29">
        <v>1.6</v>
      </c>
      <c r="R29">
        <v>1.6</v>
      </c>
      <c r="S29">
        <v>1.5</v>
      </c>
      <c r="T29">
        <v>1.5</v>
      </c>
    </row>
    <row r="30" spans="1:20" x14ac:dyDescent="0.25">
      <c r="A30">
        <v>17</v>
      </c>
      <c r="B30">
        <v>1</v>
      </c>
      <c r="C30">
        <v>1</v>
      </c>
      <c r="D30">
        <v>1</v>
      </c>
      <c r="E30">
        <v>1</v>
      </c>
      <c r="F30">
        <v>1.5</v>
      </c>
      <c r="H30">
        <v>17</v>
      </c>
      <c r="I30">
        <v>0.6</v>
      </c>
      <c r="J30">
        <v>0.6</v>
      </c>
      <c r="K30">
        <v>0.6</v>
      </c>
      <c r="L30">
        <v>0.6</v>
      </c>
      <c r="M30">
        <v>0.6</v>
      </c>
      <c r="O30">
        <v>21</v>
      </c>
      <c r="P30">
        <v>1.4</v>
      </c>
      <c r="Q30">
        <v>1.3</v>
      </c>
      <c r="R30">
        <v>1.3</v>
      </c>
      <c r="S30">
        <v>1.3</v>
      </c>
      <c r="T30">
        <v>1.3</v>
      </c>
    </row>
    <row r="31" spans="1:20" x14ac:dyDescent="0.25">
      <c r="A31">
        <v>16</v>
      </c>
      <c r="B31">
        <v>1</v>
      </c>
      <c r="C31">
        <v>1</v>
      </c>
      <c r="D31">
        <v>1</v>
      </c>
      <c r="E31">
        <v>1</v>
      </c>
      <c r="F31">
        <v>1</v>
      </c>
      <c r="H31">
        <v>16</v>
      </c>
      <c r="I31">
        <v>0.6</v>
      </c>
      <c r="J31">
        <v>0.6</v>
      </c>
      <c r="K31">
        <v>0.6</v>
      </c>
      <c r="L31">
        <v>0.6</v>
      </c>
      <c r="M31">
        <v>0.6</v>
      </c>
      <c r="O31">
        <v>20</v>
      </c>
      <c r="P31">
        <v>1.1000000000000001</v>
      </c>
      <c r="Q31">
        <v>1.1000000000000001</v>
      </c>
      <c r="R31">
        <v>1.1000000000000001</v>
      </c>
      <c r="S31">
        <v>1.1000000000000001</v>
      </c>
      <c r="T31">
        <v>1.1000000000000001</v>
      </c>
    </row>
    <row r="32" spans="1:20" x14ac:dyDescent="0.25">
      <c r="O32">
        <v>19</v>
      </c>
      <c r="P32">
        <v>0.9</v>
      </c>
      <c r="Q32">
        <v>0.9</v>
      </c>
      <c r="R32">
        <v>0.9</v>
      </c>
      <c r="S32">
        <v>0.9</v>
      </c>
      <c r="T32">
        <v>0.9</v>
      </c>
    </row>
    <row r="33" spans="1:20" x14ac:dyDescent="0.25">
      <c r="O33">
        <v>18</v>
      </c>
      <c r="P33">
        <v>0.7</v>
      </c>
      <c r="Q33">
        <v>0.7</v>
      </c>
      <c r="R33">
        <v>0.7</v>
      </c>
      <c r="S33">
        <v>0.7</v>
      </c>
      <c r="T33">
        <v>0.7</v>
      </c>
    </row>
    <row r="34" spans="1:20" x14ac:dyDescent="0.25">
      <c r="O34">
        <v>16</v>
      </c>
      <c r="P34">
        <v>0.6</v>
      </c>
      <c r="Q34">
        <v>0.6</v>
      </c>
      <c r="R34">
        <v>0.6</v>
      </c>
      <c r="S34">
        <v>0.6</v>
      </c>
      <c r="T34">
        <v>0.6</v>
      </c>
    </row>
    <row r="36" spans="1:20" s="576" customFormat="1" x14ac:dyDescent="0.25">
      <c r="A36" s="576" t="s">
        <v>25</v>
      </c>
    </row>
    <row r="37" spans="1:20" x14ac:dyDescent="0.25">
      <c r="A37" t="s">
        <v>1462</v>
      </c>
      <c r="B37" s="621">
        <f ca="1">VLOOKUP($B$1,A40:I52,$E$1-1,FALSE)</f>
        <v>1</v>
      </c>
      <c r="K37" t="s">
        <v>1896</v>
      </c>
      <c r="L37" s="621">
        <f ca="1">VLOOKUP($B$1,K40:S52,$E$1-1,FALSE)</f>
        <v>0</v>
      </c>
    </row>
    <row r="38" spans="1:20" x14ac:dyDescent="0.25">
      <c r="B38" t="s">
        <v>2134</v>
      </c>
      <c r="L38" t="s">
        <v>2134</v>
      </c>
    </row>
    <row r="39" spans="1:20" x14ac:dyDescent="0.25">
      <c r="A39" t="s">
        <v>1400</v>
      </c>
      <c r="B39">
        <v>3</v>
      </c>
      <c r="C39">
        <v>4</v>
      </c>
      <c r="D39">
        <v>5</v>
      </c>
      <c r="E39">
        <v>6</v>
      </c>
      <c r="F39">
        <v>7</v>
      </c>
      <c r="G39">
        <v>8</v>
      </c>
      <c r="H39">
        <v>9</v>
      </c>
      <c r="I39">
        <v>10</v>
      </c>
      <c r="K39" t="s">
        <v>1400</v>
      </c>
      <c r="L39">
        <v>3</v>
      </c>
      <c r="M39">
        <v>4</v>
      </c>
      <c r="N39">
        <v>5</v>
      </c>
      <c r="O39">
        <v>6</v>
      </c>
      <c r="P39">
        <v>7</v>
      </c>
      <c r="Q39">
        <v>8</v>
      </c>
      <c r="R39">
        <v>9</v>
      </c>
      <c r="S39">
        <v>10</v>
      </c>
    </row>
    <row r="40" spans="1:20" x14ac:dyDescent="0.25">
      <c r="A40">
        <v>32</v>
      </c>
      <c r="B40">
        <v>1</v>
      </c>
      <c r="C40">
        <v>1</v>
      </c>
      <c r="K40">
        <v>32</v>
      </c>
      <c r="L40">
        <v>0.2</v>
      </c>
      <c r="M40">
        <v>0.2</v>
      </c>
    </row>
    <row r="41" spans="1:20" x14ac:dyDescent="0.25">
      <c r="A41">
        <v>31</v>
      </c>
      <c r="B41">
        <v>1</v>
      </c>
      <c r="C41">
        <v>1</v>
      </c>
      <c r="D41">
        <v>1</v>
      </c>
      <c r="K41">
        <v>31</v>
      </c>
      <c r="L41">
        <v>0.2</v>
      </c>
      <c r="M41">
        <v>0.2</v>
      </c>
      <c r="N41">
        <v>0.2</v>
      </c>
      <c r="O41">
        <v>0.2</v>
      </c>
    </row>
    <row r="42" spans="1:20" x14ac:dyDescent="0.25">
      <c r="A42">
        <v>30</v>
      </c>
      <c r="B42">
        <v>1</v>
      </c>
      <c r="C42">
        <v>1</v>
      </c>
      <c r="D42">
        <v>1</v>
      </c>
      <c r="K42">
        <v>30</v>
      </c>
      <c r="L42">
        <v>0.2</v>
      </c>
      <c r="M42">
        <v>0.2</v>
      </c>
      <c r="N42">
        <v>0.2</v>
      </c>
      <c r="O42">
        <v>0.2</v>
      </c>
      <c r="P42">
        <v>0.2</v>
      </c>
    </row>
    <row r="43" spans="1:20" x14ac:dyDescent="0.25">
      <c r="A43">
        <v>29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K43">
        <v>29</v>
      </c>
      <c r="L43">
        <v>0.2</v>
      </c>
      <c r="M43">
        <v>0.2</v>
      </c>
      <c r="N43">
        <v>0.2</v>
      </c>
      <c r="O43">
        <v>0.2</v>
      </c>
      <c r="P43">
        <v>0.2</v>
      </c>
      <c r="Q43">
        <v>0.2</v>
      </c>
      <c r="R43">
        <v>0.2</v>
      </c>
    </row>
    <row r="44" spans="1:20" x14ac:dyDescent="0.25">
      <c r="A44">
        <v>28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K44">
        <v>28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20" x14ac:dyDescent="0.25">
      <c r="A45">
        <v>26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K45">
        <v>26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20" x14ac:dyDescent="0.25">
      <c r="A46">
        <v>25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K46">
        <v>25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20" x14ac:dyDescent="0.25">
      <c r="A47">
        <v>24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K47">
        <v>24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20" x14ac:dyDescent="0.25">
      <c r="A48">
        <v>22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K48">
        <v>22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>
        <v>21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K49">
        <v>21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25">
      <c r="A50">
        <v>20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K50">
        <v>20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>
        <v>18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K51">
        <v>18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5">
      <c r="A52">
        <v>16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K52">
        <v>16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5" spans="1:19" s="576" customFormat="1" x14ac:dyDescent="0.25">
      <c r="A55" s="576" t="s">
        <v>22</v>
      </c>
    </row>
    <row r="56" spans="1:19" x14ac:dyDescent="0.25">
      <c r="A56" t="s">
        <v>1462</v>
      </c>
      <c r="B56" s="621">
        <f ca="1">VLOOKUP($B$1,A59:F67,$E$1-1,FALSE)</f>
        <v>1</v>
      </c>
      <c r="I56" t="s">
        <v>1896</v>
      </c>
      <c r="J56" s="621">
        <f ca="1">VLOOKUP($B$1,I59:N67,$E$1-1,FALSE)</f>
        <v>0.2</v>
      </c>
    </row>
    <row r="57" spans="1:19" x14ac:dyDescent="0.25">
      <c r="B57" t="s">
        <v>2134</v>
      </c>
      <c r="J57" t="s">
        <v>2134</v>
      </c>
    </row>
    <row r="58" spans="1:19" x14ac:dyDescent="0.25">
      <c r="A58" t="s">
        <v>1400</v>
      </c>
      <c r="B58">
        <v>3</v>
      </c>
      <c r="C58">
        <v>4</v>
      </c>
      <c r="D58">
        <v>5</v>
      </c>
      <c r="E58">
        <v>6</v>
      </c>
      <c r="F58">
        <v>7</v>
      </c>
      <c r="I58" t="s">
        <v>1400</v>
      </c>
      <c r="J58">
        <v>3</v>
      </c>
      <c r="K58">
        <v>4</v>
      </c>
      <c r="L58">
        <v>5</v>
      </c>
      <c r="M58">
        <v>6</v>
      </c>
      <c r="N58">
        <v>7</v>
      </c>
    </row>
    <row r="59" spans="1:19" x14ac:dyDescent="0.25">
      <c r="A59">
        <v>36</v>
      </c>
      <c r="B59">
        <v>1</v>
      </c>
      <c r="C59">
        <v>1</v>
      </c>
      <c r="D59">
        <v>1</v>
      </c>
      <c r="E59">
        <v>1.4</v>
      </c>
      <c r="F59">
        <v>2.4</v>
      </c>
      <c r="I59">
        <v>36</v>
      </c>
      <c r="J59">
        <v>10.6</v>
      </c>
      <c r="K59">
        <v>9.6</v>
      </c>
      <c r="L59">
        <v>8.6</v>
      </c>
      <c r="M59">
        <v>7.6</v>
      </c>
      <c r="N59">
        <v>6.7</v>
      </c>
    </row>
    <row r="60" spans="1:19" x14ac:dyDescent="0.25">
      <c r="A60">
        <v>30</v>
      </c>
      <c r="B60">
        <v>1</v>
      </c>
      <c r="C60">
        <v>1</v>
      </c>
      <c r="D60">
        <v>1</v>
      </c>
      <c r="E60">
        <v>1</v>
      </c>
      <c r="F60">
        <v>1.9</v>
      </c>
      <c r="I60">
        <v>30</v>
      </c>
      <c r="J60">
        <v>4.5</v>
      </c>
      <c r="K60">
        <v>3.5</v>
      </c>
      <c r="L60">
        <v>2.5</v>
      </c>
      <c r="M60">
        <v>2.5</v>
      </c>
      <c r="N60">
        <v>1.5</v>
      </c>
    </row>
    <row r="61" spans="1:19" x14ac:dyDescent="0.25">
      <c r="A61">
        <v>28</v>
      </c>
      <c r="B61">
        <v>1</v>
      </c>
      <c r="C61">
        <v>1</v>
      </c>
      <c r="D61">
        <v>1</v>
      </c>
      <c r="E61">
        <v>1</v>
      </c>
      <c r="F61">
        <v>1.7</v>
      </c>
      <c r="I61">
        <v>28</v>
      </c>
      <c r="J61">
        <v>2</v>
      </c>
      <c r="K61">
        <v>1.5</v>
      </c>
      <c r="L61">
        <v>1.5</v>
      </c>
      <c r="M61">
        <v>1.3</v>
      </c>
      <c r="N61">
        <v>1.3</v>
      </c>
    </row>
    <row r="62" spans="1:19" x14ac:dyDescent="0.25">
      <c r="A62">
        <v>26</v>
      </c>
      <c r="B62">
        <v>1</v>
      </c>
      <c r="C62">
        <v>1</v>
      </c>
      <c r="D62">
        <v>1</v>
      </c>
      <c r="E62">
        <v>1</v>
      </c>
      <c r="F62">
        <v>1.5</v>
      </c>
      <c r="I62">
        <v>26</v>
      </c>
      <c r="J62">
        <v>1</v>
      </c>
      <c r="K62">
        <v>1</v>
      </c>
      <c r="L62">
        <v>1</v>
      </c>
      <c r="M62">
        <v>1</v>
      </c>
      <c r="N62">
        <v>1</v>
      </c>
    </row>
    <row r="63" spans="1:19" x14ac:dyDescent="0.25">
      <c r="A63">
        <v>24</v>
      </c>
      <c r="B63">
        <v>1</v>
      </c>
      <c r="C63">
        <v>1</v>
      </c>
      <c r="D63">
        <v>1</v>
      </c>
      <c r="E63">
        <v>1</v>
      </c>
      <c r="F63">
        <v>1.4</v>
      </c>
      <c r="I63">
        <v>24</v>
      </c>
      <c r="J63">
        <v>0.6</v>
      </c>
      <c r="K63">
        <v>0.6</v>
      </c>
      <c r="L63">
        <v>0.6</v>
      </c>
      <c r="M63">
        <v>0.6</v>
      </c>
      <c r="N63">
        <v>0.6</v>
      </c>
    </row>
    <row r="64" spans="1:19" x14ac:dyDescent="0.25">
      <c r="A64">
        <v>22</v>
      </c>
      <c r="B64">
        <v>1</v>
      </c>
      <c r="C64">
        <v>1</v>
      </c>
      <c r="D64">
        <v>1</v>
      </c>
      <c r="E64">
        <v>1</v>
      </c>
      <c r="F64">
        <v>1.2</v>
      </c>
      <c r="I64">
        <v>22</v>
      </c>
      <c r="J64">
        <v>0.5</v>
      </c>
      <c r="K64">
        <v>0.5</v>
      </c>
      <c r="L64">
        <v>0.5</v>
      </c>
      <c r="M64">
        <v>0.5</v>
      </c>
      <c r="N64">
        <v>0.5</v>
      </c>
    </row>
    <row r="65" spans="1:14" x14ac:dyDescent="0.25">
      <c r="A65">
        <v>20</v>
      </c>
      <c r="B65">
        <v>1</v>
      </c>
      <c r="C65">
        <v>1</v>
      </c>
      <c r="D65">
        <v>1</v>
      </c>
      <c r="E65">
        <v>1</v>
      </c>
      <c r="F65">
        <v>1</v>
      </c>
      <c r="I65">
        <v>20</v>
      </c>
      <c r="J65">
        <v>0.3</v>
      </c>
      <c r="K65">
        <v>0.3</v>
      </c>
      <c r="L65">
        <v>0.3</v>
      </c>
      <c r="M65">
        <v>0.3</v>
      </c>
      <c r="N65">
        <v>0.3</v>
      </c>
    </row>
    <row r="66" spans="1:14" x14ac:dyDescent="0.25">
      <c r="A66">
        <v>18</v>
      </c>
      <c r="B66">
        <v>1</v>
      </c>
      <c r="C66">
        <v>1</v>
      </c>
      <c r="D66">
        <v>1</v>
      </c>
      <c r="E66">
        <v>1</v>
      </c>
      <c r="F66">
        <v>1</v>
      </c>
      <c r="I66">
        <v>18</v>
      </c>
      <c r="J66">
        <v>0.2</v>
      </c>
      <c r="K66">
        <v>0.2</v>
      </c>
      <c r="L66">
        <v>0.2</v>
      </c>
      <c r="M66">
        <v>0.2</v>
      </c>
      <c r="N66">
        <v>0.2</v>
      </c>
    </row>
    <row r="67" spans="1:14" x14ac:dyDescent="0.25">
      <c r="A67">
        <v>16</v>
      </c>
      <c r="B67">
        <v>1</v>
      </c>
      <c r="C67">
        <v>1</v>
      </c>
      <c r="D67">
        <v>1</v>
      </c>
      <c r="E67">
        <v>1</v>
      </c>
      <c r="F67">
        <v>1</v>
      </c>
      <c r="I67">
        <v>16</v>
      </c>
      <c r="J67">
        <v>0.2</v>
      </c>
      <c r="K67">
        <v>0.2</v>
      </c>
      <c r="L67">
        <v>0.2</v>
      </c>
      <c r="M67">
        <v>0.2</v>
      </c>
      <c r="N67">
        <v>0.2</v>
      </c>
    </row>
    <row r="70" spans="1:14" s="576" customFormat="1" x14ac:dyDescent="0.25">
      <c r="A70" s="576" t="s">
        <v>2136</v>
      </c>
    </row>
    <row r="71" spans="1:14" x14ac:dyDescent="0.25">
      <c r="A71" t="s">
        <v>1896</v>
      </c>
      <c r="B71" s="621">
        <f ca="1">VLOOKUP($B$1,A74:F81,$E$1-1,FALSE)</f>
        <v>0.6</v>
      </c>
      <c r="C71" t="s">
        <v>2145</v>
      </c>
    </row>
    <row r="72" spans="1:14" x14ac:dyDescent="0.25">
      <c r="B72" t="s">
        <v>1964</v>
      </c>
    </row>
    <row r="73" spans="1:14" x14ac:dyDescent="0.25">
      <c r="A73" t="s">
        <v>1965</v>
      </c>
      <c r="B73">
        <v>18</v>
      </c>
      <c r="C73">
        <v>19</v>
      </c>
      <c r="D73">
        <v>20</v>
      </c>
      <c r="E73">
        <v>21</v>
      </c>
      <c r="F73">
        <v>22</v>
      </c>
    </row>
    <row r="74" spans="1:14" x14ac:dyDescent="0.25">
      <c r="A74">
        <v>24</v>
      </c>
      <c r="B74">
        <v>2.4</v>
      </c>
      <c r="C74">
        <v>2.1</v>
      </c>
      <c r="D74">
        <v>2.1</v>
      </c>
      <c r="E74">
        <v>2.1</v>
      </c>
      <c r="F74">
        <v>2</v>
      </c>
    </row>
    <row r="75" spans="1:14" x14ac:dyDescent="0.25">
      <c r="A75">
        <v>22</v>
      </c>
      <c r="B75">
        <v>1.6</v>
      </c>
      <c r="C75">
        <v>1.6</v>
      </c>
      <c r="D75">
        <v>1.6</v>
      </c>
      <c r="E75">
        <v>1.5</v>
      </c>
      <c r="F75">
        <v>1.5</v>
      </c>
    </row>
    <row r="76" spans="1:14" x14ac:dyDescent="0.25">
      <c r="A76">
        <v>21</v>
      </c>
      <c r="B76">
        <v>1.4</v>
      </c>
      <c r="C76">
        <v>1.3</v>
      </c>
      <c r="D76">
        <v>1.3</v>
      </c>
      <c r="E76">
        <v>1.3</v>
      </c>
      <c r="F76">
        <v>1.3</v>
      </c>
    </row>
    <row r="77" spans="1:14" x14ac:dyDescent="0.25">
      <c r="A77">
        <v>20</v>
      </c>
      <c r="B77">
        <v>1.1000000000000001</v>
      </c>
      <c r="C77">
        <v>1.1000000000000001</v>
      </c>
      <c r="D77">
        <v>1.1000000000000001</v>
      </c>
      <c r="E77">
        <v>1.1000000000000001</v>
      </c>
      <c r="F77">
        <v>1.1000000000000001</v>
      </c>
    </row>
    <row r="78" spans="1:14" x14ac:dyDescent="0.25">
      <c r="A78">
        <v>19</v>
      </c>
      <c r="B78">
        <v>0.9</v>
      </c>
      <c r="C78">
        <v>0.9</v>
      </c>
      <c r="D78">
        <v>0.9</v>
      </c>
      <c r="E78">
        <v>0.9</v>
      </c>
      <c r="F78">
        <v>0.9</v>
      </c>
    </row>
    <row r="79" spans="1:14" x14ac:dyDescent="0.25">
      <c r="A79">
        <v>18</v>
      </c>
      <c r="B79">
        <v>0.7</v>
      </c>
      <c r="C79">
        <v>0.7</v>
      </c>
      <c r="D79">
        <v>0.7</v>
      </c>
      <c r="E79">
        <v>0.7</v>
      </c>
      <c r="F79">
        <v>0.7</v>
      </c>
    </row>
    <row r="80" spans="1:14" x14ac:dyDescent="0.25">
      <c r="A80">
        <v>17</v>
      </c>
      <c r="B80">
        <v>0.6</v>
      </c>
      <c r="C80">
        <v>0.6</v>
      </c>
      <c r="D80">
        <v>0.6</v>
      </c>
      <c r="E80">
        <v>0.6</v>
      </c>
      <c r="F80">
        <v>0.6</v>
      </c>
    </row>
    <row r="81" spans="1:6" x14ac:dyDescent="0.25">
      <c r="A81">
        <v>16</v>
      </c>
      <c r="B81">
        <v>0.6</v>
      </c>
      <c r="C81">
        <v>0.6</v>
      </c>
      <c r="D81">
        <v>0.6</v>
      </c>
      <c r="E81">
        <v>0.6</v>
      </c>
      <c r="F81">
        <v>0.6</v>
      </c>
    </row>
    <row r="83" spans="1:6" s="576" customFormat="1" x14ac:dyDescent="0.25">
      <c r="A83" s="576" t="s">
        <v>1983</v>
      </c>
    </row>
    <row r="84" spans="1:6" x14ac:dyDescent="0.25">
      <c r="A84" t="s">
        <v>1896</v>
      </c>
      <c r="B84" s="621">
        <f ca="1">VLOOKUP($B$1,A87:F94,$E$1-1,FALSE)</f>
        <v>1</v>
      </c>
    </row>
    <row r="85" spans="1:6" x14ac:dyDescent="0.25">
      <c r="B85" t="s">
        <v>2134</v>
      </c>
    </row>
    <row r="86" spans="1:6" x14ac:dyDescent="0.25">
      <c r="A86" t="s">
        <v>1400</v>
      </c>
      <c r="B86">
        <v>3</v>
      </c>
      <c r="C86">
        <v>4</v>
      </c>
      <c r="D86">
        <v>5</v>
      </c>
      <c r="E86">
        <v>6</v>
      </c>
      <c r="F86">
        <v>7</v>
      </c>
    </row>
    <row r="87" spans="1:6" x14ac:dyDescent="0.25">
      <c r="A87">
        <v>24</v>
      </c>
      <c r="B87">
        <v>1</v>
      </c>
      <c r="C87">
        <v>1</v>
      </c>
      <c r="D87">
        <v>1</v>
      </c>
      <c r="E87">
        <v>1.2</v>
      </c>
      <c r="F87">
        <v>2.1</v>
      </c>
    </row>
    <row r="88" spans="1:6" x14ac:dyDescent="0.25">
      <c r="A88">
        <v>22</v>
      </c>
      <c r="B88">
        <v>1</v>
      </c>
      <c r="C88">
        <v>1</v>
      </c>
      <c r="D88">
        <v>1</v>
      </c>
      <c r="E88">
        <v>1</v>
      </c>
      <c r="F88">
        <v>1.5</v>
      </c>
    </row>
    <row r="89" spans="1:6" x14ac:dyDescent="0.25">
      <c r="A89">
        <v>21</v>
      </c>
      <c r="B89">
        <v>1</v>
      </c>
      <c r="C89">
        <v>1</v>
      </c>
      <c r="D89">
        <v>1</v>
      </c>
      <c r="E89">
        <v>1</v>
      </c>
      <c r="F89">
        <v>1.2</v>
      </c>
    </row>
    <row r="90" spans="1:6" x14ac:dyDescent="0.25">
      <c r="A90">
        <v>20</v>
      </c>
      <c r="B90">
        <v>1</v>
      </c>
      <c r="C90">
        <v>1</v>
      </c>
      <c r="D90">
        <v>1</v>
      </c>
      <c r="E90">
        <v>1</v>
      </c>
      <c r="F90">
        <v>1</v>
      </c>
    </row>
    <row r="91" spans="1:6" x14ac:dyDescent="0.25">
      <c r="A91">
        <v>19</v>
      </c>
      <c r="B91">
        <v>1</v>
      </c>
      <c r="C91">
        <v>1</v>
      </c>
      <c r="D91">
        <v>1</v>
      </c>
      <c r="E91">
        <v>1</v>
      </c>
      <c r="F91">
        <v>1</v>
      </c>
    </row>
    <row r="92" spans="1:6" x14ac:dyDescent="0.25">
      <c r="A92">
        <v>18</v>
      </c>
      <c r="B92">
        <v>1</v>
      </c>
      <c r="C92">
        <v>1</v>
      </c>
      <c r="D92">
        <v>1</v>
      </c>
      <c r="E92">
        <v>1</v>
      </c>
      <c r="F92">
        <v>1</v>
      </c>
    </row>
    <row r="93" spans="1:6" x14ac:dyDescent="0.25">
      <c r="A93">
        <v>17</v>
      </c>
      <c r="B93">
        <v>1</v>
      </c>
      <c r="C93">
        <v>1</v>
      </c>
      <c r="D93">
        <v>1</v>
      </c>
      <c r="E93">
        <v>1</v>
      </c>
      <c r="F93">
        <v>1</v>
      </c>
    </row>
    <row r="94" spans="1:6" x14ac:dyDescent="0.25">
      <c r="A94">
        <v>16</v>
      </c>
      <c r="B94">
        <v>1</v>
      </c>
      <c r="C94">
        <v>1</v>
      </c>
      <c r="D94">
        <v>1</v>
      </c>
      <c r="E94">
        <v>1</v>
      </c>
      <c r="F94">
        <v>1</v>
      </c>
    </row>
    <row r="97" spans="1:9" s="576" customFormat="1" x14ac:dyDescent="0.25">
      <c r="A97" s="576" t="s">
        <v>2146</v>
      </c>
    </row>
    <row r="98" spans="1:9" x14ac:dyDescent="0.25">
      <c r="A98" t="s">
        <v>1896</v>
      </c>
      <c r="B98" s="621">
        <f ca="1">VLOOKUP($B$1,A101:F108,$E$1-1,FALSE)</f>
        <v>0.6</v>
      </c>
    </row>
    <row r="99" spans="1:9" x14ac:dyDescent="0.25">
      <c r="B99" t="s">
        <v>2134</v>
      </c>
    </row>
    <row r="100" spans="1:9" x14ac:dyDescent="0.25">
      <c r="A100" t="s">
        <v>1400</v>
      </c>
      <c r="B100">
        <v>3</v>
      </c>
      <c r="C100">
        <v>4</v>
      </c>
      <c r="D100">
        <v>5</v>
      </c>
      <c r="E100">
        <v>6</v>
      </c>
      <c r="F100">
        <v>7</v>
      </c>
    </row>
    <row r="101" spans="1:9" x14ac:dyDescent="0.25">
      <c r="A101">
        <v>24</v>
      </c>
      <c r="B101">
        <v>2.4</v>
      </c>
      <c r="C101">
        <v>2.1</v>
      </c>
      <c r="D101">
        <v>2.1</v>
      </c>
      <c r="E101">
        <v>2.1</v>
      </c>
      <c r="F101">
        <v>2</v>
      </c>
    </row>
    <row r="102" spans="1:9" x14ac:dyDescent="0.25">
      <c r="A102">
        <v>22</v>
      </c>
      <c r="B102">
        <v>1.6</v>
      </c>
      <c r="C102">
        <v>1.6</v>
      </c>
      <c r="D102">
        <v>1.6</v>
      </c>
      <c r="E102">
        <v>1.5</v>
      </c>
      <c r="F102">
        <v>1.5</v>
      </c>
    </row>
    <row r="103" spans="1:9" x14ac:dyDescent="0.25">
      <c r="A103">
        <v>21</v>
      </c>
      <c r="B103">
        <v>1.4</v>
      </c>
      <c r="C103">
        <v>1.3</v>
      </c>
      <c r="D103">
        <v>1.3</v>
      </c>
      <c r="E103">
        <v>1.3</v>
      </c>
      <c r="F103">
        <v>1.3</v>
      </c>
    </row>
    <row r="104" spans="1:9" x14ac:dyDescent="0.25">
      <c r="A104">
        <v>20</v>
      </c>
      <c r="B104">
        <v>1.1000000000000001</v>
      </c>
      <c r="C104">
        <v>1.1000000000000001</v>
      </c>
      <c r="D104">
        <v>1.1000000000000001</v>
      </c>
      <c r="E104">
        <v>1.1000000000000001</v>
      </c>
      <c r="F104">
        <v>1.1000000000000001</v>
      </c>
    </row>
    <row r="105" spans="1:9" x14ac:dyDescent="0.25">
      <c r="A105">
        <v>19</v>
      </c>
      <c r="B105">
        <v>0.9</v>
      </c>
      <c r="C105">
        <v>0.9</v>
      </c>
      <c r="D105">
        <v>0.9</v>
      </c>
      <c r="E105">
        <v>0.9</v>
      </c>
      <c r="F105">
        <v>0.9</v>
      </c>
    </row>
    <row r="106" spans="1:9" x14ac:dyDescent="0.25">
      <c r="A106">
        <v>18</v>
      </c>
      <c r="B106">
        <v>0.7</v>
      </c>
      <c r="C106">
        <v>0.7</v>
      </c>
      <c r="D106">
        <v>0.7</v>
      </c>
      <c r="E106">
        <v>0.7</v>
      </c>
      <c r="F106">
        <v>0.7</v>
      </c>
    </row>
    <row r="107" spans="1:9" x14ac:dyDescent="0.25">
      <c r="A107">
        <v>17</v>
      </c>
      <c r="B107">
        <v>0.6</v>
      </c>
      <c r="C107">
        <v>0.6</v>
      </c>
      <c r="D107">
        <v>0.6</v>
      </c>
      <c r="E107">
        <v>0.6</v>
      </c>
      <c r="F107">
        <v>0.6</v>
      </c>
    </row>
    <row r="108" spans="1:9" x14ac:dyDescent="0.25">
      <c r="A108">
        <v>16</v>
      </c>
      <c r="B108">
        <v>0.6</v>
      </c>
      <c r="C108">
        <v>0.6</v>
      </c>
      <c r="D108">
        <v>0.6</v>
      </c>
      <c r="E108">
        <v>0.6</v>
      </c>
      <c r="F108">
        <v>0.6</v>
      </c>
    </row>
    <row r="111" spans="1:9" s="576" customFormat="1" x14ac:dyDescent="0.25">
      <c r="A111" s="576" t="s">
        <v>2147</v>
      </c>
    </row>
    <row r="112" spans="1:9" x14ac:dyDescent="0.25">
      <c r="A112" t="s">
        <v>1462</v>
      </c>
      <c r="B112" s="621">
        <f ca="1">VLOOKUP($B$1,A115:F122,$E$1-1,FALSE)</f>
        <v>1</v>
      </c>
      <c r="H112" t="s">
        <v>1896</v>
      </c>
      <c r="I112" s="621">
        <f ca="1">VLOOKUP($B$1,H115:M122,$E$1-1,FALSE)</f>
        <v>0.6</v>
      </c>
    </row>
    <row r="113" spans="1:13" x14ac:dyDescent="0.25">
      <c r="B113" t="s">
        <v>2134</v>
      </c>
      <c r="I113" t="s">
        <v>2134</v>
      </c>
    </row>
    <row r="114" spans="1:13" x14ac:dyDescent="0.25">
      <c r="A114" t="s">
        <v>1400</v>
      </c>
      <c r="B114">
        <v>3</v>
      </c>
      <c r="C114">
        <v>4</v>
      </c>
      <c r="D114">
        <v>5</v>
      </c>
      <c r="E114">
        <v>6</v>
      </c>
      <c r="F114">
        <v>7</v>
      </c>
      <c r="H114" t="s">
        <v>1400</v>
      </c>
      <c r="I114">
        <v>3</v>
      </c>
      <c r="J114">
        <v>4</v>
      </c>
      <c r="K114">
        <v>5</v>
      </c>
      <c r="L114">
        <v>6</v>
      </c>
      <c r="M114">
        <v>7</v>
      </c>
    </row>
    <row r="115" spans="1:13" x14ac:dyDescent="0.25">
      <c r="A115">
        <v>24</v>
      </c>
      <c r="B115">
        <v>1</v>
      </c>
      <c r="C115">
        <v>1</v>
      </c>
      <c r="D115">
        <v>1</v>
      </c>
      <c r="E115">
        <v>1.2</v>
      </c>
      <c r="F115">
        <v>2.1</v>
      </c>
      <c r="H115">
        <v>24</v>
      </c>
      <c r="I115">
        <v>2.4</v>
      </c>
      <c r="J115">
        <v>2.1</v>
      </c>
      <c r="K115">
        <v>2.1</v>
      </c>
      <c r="L115">
        <v>2.1</v>
      </c>
      <c r="M115">
        <v>2</v>
      </c>
    </row>
    <row r="116" spans="1:13" x14ac:dyDescent="0.25">
      <c r="A116">
        <v>22</v>
      </c>
      <c r="B116">
        <v>1</v>
      </c>
      <c r="C116">
        <v>1</v>
      </c>
      <c r="D116">
        <v>1</v>
      </c>
      <c r="E116">
        <v>1</v>
      </c>
      <c r="F116">
        <v>1.5</v>
      </c>
      <c r="H116">
        <v>22</v>
      </c>
      <c r="I116">
        <v>1.6</v>
      </c>
      <c r="J116">
        <v>1.6</v>
      </c>
      <c r="K116">
        <v>1.6</v>
      </c>
      <c r="L116">
        <v>1.5</v>
      </c>
      <c r="M116">
        <v>1.5</v>
      </c>
    </row>
    <row r="117" spans="1:13" x14ac:dyDescent="0.25">
      <c r="A117">
        <v>21</v>
      </c>
      <c r="B117">
        <v>1</v>
      </c>
      <c r="C117">
        <v>1</v>
      </c>
      <c r="D117">
        <v>1</v>
      </c>
      <c r="E117">
        <v>1</v>
      </c>
      <c r="F117">
        <v>1.2</v>
      </c>
      <c r="H117">
        <v>21</v>
      </c>
      <c r="I117">
        <v>1.4</v>
      </c>
      <c r="J117">
        <v>1.3</v>
      </c>
      <c r="K117">
        <v>1.3</v>
      </c>
      <c r="L117">
        <v>1.3</v>
      </c>
      <c r="M117">
        <v>1.3</v>
      </c>
    </row>
    <row r="118" spans="1:13" x14ac:dyDescent="0.25">
      <c r="A118">
        <v>20</v>
      </c>
      <c r="B118">
        <v>1</v>
      </c>
      <c r="C118">
        <v>1</v>
      </c>
      <c r="D118">
        <v>1</v>
      </c>
      <c r="E118">
        <v>1</v>
      </c>
      <c r="F118">
        <v>1</v>
      </c>
      <c r="H118">
        <v>20</v>
      </c>
      <c r="I118">
        <v>1.1000000000000001</v>
      </c>
      <c r="J118">
        <v>1.1000000000000001</v>
      </c>
      <c r="K118">
        <v>1.1000000000000001</v>
      </c>
      <c r="L118">
        <v>1.1000000000000001</v>
      </c>
      <c r="M118">
        <v>1.1000000000000001</v>
      </c>
    </row>
    <row r="119" spans="1:13" x14ac:dyDescent="0.25">
      <c r="A119">
        <v>19</v>
      </c>
      <c r="B119">
        <v>1</v>
      </c>
      <c r="C119">
        <v>1</v>
      </c>
      <c r="D119">
        <v>1</v>
      </c>
      <c r="E119">
        <v>1</v>
      </c>
      <c r="F119">
        <v>1</v>
      </c>
      <c r="H119">
        <v>19</v>
      </c>
      <c r="I119">
        <v>0.9</v>
      </c>
      <c r="J119">
        <v>0.9</v>
      </c>
      <c r="K119">
        <v>0.9</v>
      </c>
      <c r="L119">
        <v>0.9</v>
      </c>
      <c r="M119">
        <v>0.9</v>
      </c>
    </row>
    <row r="120" spans="1:13" x14ac:dyDescent="0.25">
      <c r="A120">
        <v>18</v>
      </c>
      <c r="B120">
        <v>1</v>
      </c>
      <c r="C120">
        <v>1</v>
      </c>
      <c r="D120">
        <v>1</v>
      </c>
      <c r="E120">
        <v>1</v>
      </c>
      <c r="F120">
        <v>1</v>
      </c>
      <c r="H120">
        <v>18</v>
      </c>
      <c r="I120">
        <v>0.7</v>
      </c>
      <c r="J120">
        <v>0.7</v>
      </c>
      <c r="K120">
        <v>0.7</v>
      </c>
      <c r="L120">
        <v>0.7</v>
      </c>
      <c r="M120">
        <v>0.7</v>
      </c>
    </row>
    <row r="121" spans="1:13" x14ac:dyDescent="0.25">
      <c r="A121">
        <v>17</v>
      </c>
      <c r="B121">
        <v>1</v>
      </c>
      <c r="C121">
        <v>1</v>
      </c>
      <c r="D121">
        <v>1</v>
      </c>
      <c r="E121">
        <v>1</v>
      </c>
      <c r="F121">
        <v>1</v>
      </c>
      <c r="H121">
        <v>17</v>
      </c>
      <c r="I121">
        <v>0.6</v>
      </c>
      <c r="J121">
        <v>0.6</v>
      </c>
      <c r="K121">
        <v>0.6</v>
      </c>
      <c r="L121">
        <v>0.6</v>
      </c>
      <c r="M121">
        <v>0.6</v>
      </c>
    </row>
    <row r="122" spans="1:13" x14ac:dyDescent="0.25">
      <c r="A122">
        <v>16</v>
      </c>
      <c r="B122">
        <v>1</v>
      </c>
      <c r="C122">
        <v>1</v>
      </c>
      <c r="D122">
        <v>1</v>
      </c>
      <c r="E122">
        <v>1</v>
      </c>
      <c r="F122">
        <v>1</v>
      </c>
      <c r="H122">
        <v>16</v>
      </c>
      <c r="I122">
        <v>0.6</v>
      </c>
      <c r="J122">
        <v>0.6</v>
      </c>
      <c r="K122">
        <v>0.6</v>
      </c>
      <c r="L122">
        <v>0.6</v>
      </c>
      <c r="M122">
        <v>0.6</v>
      </c>
    </row>
    <row r="125" spans="1:13" s="576" customFormat="1" x14ac:dyDescent="0.25">
      <c r="A125" s="576" t="s">
        <v>2148</v>
      </c>
    </row>
    <row r="126" spans="1:13" x14ac:dyDescent="0.25">
      <c r="A126" t="s">
        <v>1896</v>
      </c>
      <c r="B126" s="621">
        <f ca="1">VLOOKUP($B$1,A129:F137,$E$1-1,FALSE)</f>
        <v>0.6</v>
      </c>
    </row>
    <row r="127" spans="1:13" x14ac:dyDescent="0.25">
      <c r="B127" t="s">
        <v>2134</v>
      </c>
    </row>
    <row r="128" spans="1:13" x14ac:dyDescent="0.25">
      <c r="A128" t="s">
        <v>1400</v>
      </c>
      <c r="B128">
        <v>3</v>
      </c>
      <c r="C128">
        <v>4</v>
      </c>
      <c r="D128">
        <v>5</v>
      </c>
      <c r="E128">
        <v>6</v>
      </c>
      <c r="F128">
        <v>7</v>
      </c>
    </row>
    <row r="129" spans="1:13" x14ac:dyDescent="0.25">
      <c r="A129">
        <v>24</v>
      </c>
      <c r="B129">
        <v>2.4</v>
      </c>
      <c r="C129">
        <v>2.1</v>
      </c>
      <c r="D129">
        <v>2.1</v>
      </c>
      <c r="E129">
        <v>2.1</v>
      </c>
      <c r="F129">
        <v>2</v>
      </c>
    </row>
    <row r="130" spans="1:13" x14ac:dyDescent="0.25">
      <c r="A130">
        <v>22</v>
      </c>
      <c r="B130">
        <v>1.6</v>
      </c>
      <c r="C130">
        <v>1.6</v>
      </c>
      <c r="D130">
        <v>1.6</v>
      </c>
      <c r="E130">
        <v>1.5</v>
      </c>
      <c r="F130">
        <v>1.5</v>
      </c>
    </row>
    <row r="131" spans="1:13" x14ac:dyDescent="0.25">
      <c r="A131">
        <v>21</v>
      </c>
      <c r="B131">
        <v>1.4</v>
      </c>
      <c r="C131">
        <v>1.3</v>
      </c>
      <c r="D131">
        <v>1.3</v>
      </c>
      <c r="E131">
        <v>1.3</v>
      </c>
      <c r="F131">
        <v>1.3</v>
      </c>
    </row>
    <row r="132" spans="1:13" x14ac:dyDescent="0.25">
      <c r="A132">
        <v>20</v>
      </c>
      <c r="B132">
        <v>1.1000000000000001</v>
      </c>
      <c r="C132">
        <v>1.1000000000000001</v>
      </c>
      <c r="D132">
        <v>1.1000000000000001</v>
      </c>
      <c r="E132">
        <v>1.1000000000000001</v>
      </c>
      <c r="F132">
        <v>1.1000000000000001</v>
      </c>
    </row>
    <row r="133" spans="1:13" x14ac:dyDescent="0.25">
      <c r="A133">
        <v>19</v>
      </c>
      <c r="B133">
        <v>0.9</v>
      </c>
      <c r="C133">
        <v>0.9</v>
      </c>
      <c r="D133">
        <v>0.9</v>
      </c>
      <c r="E133">
        <v>0.9</v>
      </c>
      <c r="F133">
        <v>0.9</v>
      </c>
    </row>
    <row r="134" spans="1:13" x14ac:dyDescent="0.25">
      <c r="A134">
        <v>18</v>
      </c>
      <c r="B134">
        <v>0.7</v>
      </c>
      <c r="C134">
        <v>0.7</v>
      </c>
      <c r="D134">
        <v>0.7</v>
      </c>
      <c r="E134">
        <v>0.7</v>
      </c>
      <c r="F134">
        <v>0.7</v>
      </c>
    </row>
    <row r="135" spans="1:13" x14ac:dyDescent="0.25">
      <c r="A135">
        <v>17</v>
      </c>
      <c r="B135">
        <v>0.6</v>
      </c>
      <c r="C135">
        <v>0.6</v>
      </c>
      <c r="D135">
        <v>0.6</v>
      </c>
      <c r="E135">
        <v>0.6</v>
      </c>
      <c r="F135">
        <v>0.6</v>
      </c>
    </row>
    <row r="136" spans="1:13" x14ac:dyDescent="0.25">
      <c r="A136">
        <v>16</v>
      </c>
      <c r="B136">
        <v>0.6</v>
      </c>
      <c r="C136">
        <v>0.6</v>
      </c>
      <c r="D136">
        <v>0.6</v>
      </c>
      <c r="E136">
        <v>0.6</v>
      </c>
      <c r="F136">
        <v>0.6</v>
      </c>
    </row>
    <row r="137" spans="1:13" x14ac:dyDescent="0.25">
      <c r="A137">
        <v>15</v>
      </c>
      <c r="B137">
        <v>0.6</v>
      </c>
      <c r="C137">
        <v>0.6</v>
      </c>
      <c r="D137">
        <v>0.6</v>
      </c>
      <c r="E137">
        <v>0.6</v>
      </c>
      <c r="F137">
        <v>0.6</v>
      </c>
    </row>
    <row r="140" spans="1:13" s="576" customFormat="1" x14ac:dyDescent="0.25">
      <c r="A140" s="576" t="s">
        <v>2149</v>
      </c>
    </row>
    <row r="141" spans="1:13" x14ac:dyDescent="0.25">
      <c r="A141" t="s">
        <v>1462</v>
      </c>
      <c r="B141" s="621">
        <f ca="1">VLOOKUP($B$1,A144:F151,$E$1-1,FALSE)</f>
        <v>1</v>
      </c>
      <c r="H141" t="s">
        <v>1896</v>
      </c>
      <c r="I141" s="621">
        <f ca="1">VLOOKUP($B$1,H144:M151,$E$1-1,FALSE)</f>
        <v>0.6</v>
      </c>
    </row>
    <row r="142" spans="1:13" x14ac:dyDescent="0.25">
      <c r="B142" t="s">
        <v>2134</v>
      </c>
      <c r="I142" t="s">
        <v>2134</v>
      </c>
    </row>
    <row r="143" spans="1:13" x14ac:dyDescent="0.25">
      <c r="A143" t="s">
        <v>1400</v>
      </c>
      <c r="B143">
        <v>3</v>
      </c>
      <c r="C143">
        <v>4</v>
      </c>
      <c r="D143">
        <v>5</v>
      </c>
      <c r="E143">
        <v>6</v>
      </c>
      <c r="F143">
        <v>7</v>
      </c>
      <c r="H143" t="s">
        <v>1400</v>
      </c>
      <c r="I143">
        <v>3</v>
      </c>
      <c r="J143">
        <v>4</v>
      </c>
      <c r="K143">
        <v>5</v>
      </c>
      <c r="L143">
        <v>6</v>
      </c>
      <c r="M143">
        <v>7</v>
      </c>
    </row>
    <row r="144" spans="1:13" x14ac:dyDescent="0.25">
      <c r="A144">
        <v>24</v>
      </c>
      <c r="B144">
        <v>1</v>
      </c>
      <c r="C144">
        <v>1</v>
      </c>
      <c r="D144">
        <v>1</v>
      </c>
      <c r="E144">
        <v>1.2</v>
      </c>
      <c r="F144">
        <v>2.1</v>
      </c>
      <c r="H144">
        <v>24</v>
      </c>
      <c r="I144">
        <v>2.4</v>
      </c>
      <c r="J144">
        <v>2.1</v>
      </c>
      <c r="K144">
        <v>2.1</v>
      </c>
      <c r="L144">
        <v>2.1</v>
      </c>
      <c r="M144">
        <v>2</v>
      </c>
    </row>
    <row r="145" spans="1:13" x14ac:dyDescent="0.25">
      <c r="A145">
        <v>22</v>
      </c>
      <c r="B145">
        <v>1</v>
      </c>
      <c r="C145">
        <v>1</v>
      </c>
      <c r="D145">
        <v>1</v>
      </c>
      <c r="E145">
        <v>1</v>
      </c>
      <c r="F145">
        <v>1.5</v>
      </c>
      <c r="H145">
        <v>22</v>
      </c>
      <c r="I145">
        <v>1.6</v>
      </c>
      <c r="J145">
        <v>1.6</v>
      </c>
      <c r="K145">
        <v>1.6</v>
      </c>
      <c r="L145">
        <v>1.5</v>
      </c>
      <c r="M145">
        <v>1.5</v>
      </c>
    </row>
    <row r="146" spans="1:13" x14ac:dyDescent="0.25">
      <c r="A146">
        <v>21</v>
      </c>
      <c r="B146">
        <v>1</v>
      </c>
      <c r="C146">
        <v>1</v>
      </c>
      <c r="D146">
        <v>1</v>
      </c>
      <c r="E146">
        <v>1</v>
      </c>
      <c r="F146">
        <v>1.2</v>
      </c>
      <c r="H146">
        <v>21</v>
      </c>
      <c r="I146">
        <v>1.4</v>
      </c>
      <c r="J146">
        <v>1.3</v>
      </c>
      <c r="K146">
        <v>1.3</v>
      </c>
      <c r="L146">
        <v>1.3</v>
      </c>
      <c r="M146">
        <v>1.3</v>
      </c>
    </row>
    <row r="147" spans="1:13" x14ac:dyDescent="0.25">
      <c r="A147">
        <v>20</v>
      </c>
      <c r="B147">
        <v>1</v>
      </c>
      <c r="C147">
        <v>1</v>
      </c>
      <c r="D147">
        <v>1</v>
      </c>
      <c r="E147">
        <v>1</v>
      </c>
      <c r="F147">
        <v>1</v>
      </c>
      <c r="H147">
        <v>20</v>
      </c>
      <c r="I147">
        <v>1.1000000000000001</v>
      </c>
      <c r="J147">
        <v>1.1000000000000001</v>
      </c>
      <c r="K147">
        <v>1.1000000000000001</v>
      </c>
      <c r="L147">
        <v>1.1000000000000001</v>
      </c>
      <c r="M147">
        <v>1.1000000000000001</v>
      </c>
    </row>
    <row r="148" spans="1:13" x14ac:dyDescent="0.25">
      <c r="A148">
        <v>19</v>
      </c>
      <c r="B148">
        <v>1</v>
      </c>
      <c r="C148">
        <v>1</v>
      </c>
      <c r="D148">
        <v>1</v>
      </c>
      <c r="E148">
        <v>1</v>
      </c>
      <c r="F148">
        <v>1</v>
      </c>
      <c r="H148">
        <v>19</v>
      </c>
      <c r="I148">
        <v>0.9</v>
      </c>
      <c r="J148">
        <v>0.9</v>
      </c>
      <c r="K148">
        <v>0.9</v>
      </c>
      <c r="L148">
        <v>0.9</v>
      </c>
      <c r="M148">
        <v>0.9</v>
      </c>
    </row>
    <row r="149" spans="1:13" x14ac:dyDescent="0.25">
      <c r="A149">
        <v>18</v>
      </c>
      <c r="B149">
        <v>1</v>
      </c>
      <c r="C149">
        <v>1</v>
      </c>
      <c r="D149">
        <v>1</v>
      </c>
      <c r="E149">
        <v>1</v>
      </c>
      <c r="F149">
        <v>1</v>
      </c>
      <c r="H149">
        <v>18</v>
      </c>
      <c r="I149">
        <v>0.7</v>
      </c>
      <c r="J149">
        <v>0.7</v>
      </c>
      <c r="K149">
        <v>0.7</v>
      </c>
      <c r="L149">
        <v>0.7</v>
      </c>
      <c r="M149">
        <v>0.7</v>
      </c>
    </row>
    <row r="150" spans="1:13" x14ac:dyDescent="0.25">
      <c r="A150">
        <v>17</v>
      </c>
      <c r="B150">
        <v>1</v>
      </c>
      <c r="C150">
        <v>1</v>
      </c>
      <c r="D150">
        <v>1</v>
      </c>
      <c r="E150">
        <v>1</v>
      </c>
      <c r="F150">
        <v>1</v>
      </c>
      <c r="H150">
        <v>17</v>
      </c>
      <c r="I150">
        <v>0.6</v>
      </c>
      <c r="J150">
        <v>0.6</v>
      </c>
      <c r="K150">
        <v>0.6</v>
      </c>
      <c r="L150">
        <v>0.6</v>
      </c>
      <c r="M150">
        <v>0.6</v>
      </c>
    </row>
    <row r="151" spans="1:13" x14ac:dyDescent="0.25">
      <c r="A151">
        <v>16</v>
      </c>
      <c r="B151">
        <v>1</v>
      </c>
      <c r="C151">
        <v>1</v>
      </c>
      <c r="D151">
        <v>1</v>
      </c>
      <c r="E151">
        <v>1</v>
      </c>
      <c r="F151">
        <v>1</v>
      </c>
      <c r="H151">
        <v>16</v>
      </c>
      <c r="I151">
        <v>0.6</v>
      </c>
      <c r="J151">
        <v>0.6</v>
      </c>
      <c r="K151">
        <v>0.6</v>
      </c>
      <c r="L151">
        <v>0.6</v>
      </c>
      <c r="M151">
        <v>0.6</v>
      </c>
    </row>
    <row r="153" spans="1:13" s="576" customFormat="1" x14ac:dyDescent="0.25">
      <c r="A153" s="576" t="s">
        <v>2150</v>
      </c>
    </row>
    <row r="154" spans="1:13" x14ac:dyDescent="0.25">
      <c r="A154" t="s">
        <v>1896</v>
      </c>
      <c r="B154" s="621">
        <f ca="1">VLOOKUP($B$1,A157:F165,$E$1-1,FALSE)</f>
        <v>0.6</v>
      </c>
    </row>
    <row r="155" spans="1:13" x14ac:dyDescent="0.25">
      <c r="B155" t="s">
        <v>2134</v>
      </c>
    </row>
    <row r="156" spans="1:13" x14ac:dyDescent="0.25">
      <c r="A156" t="s">
        <v>1400</v>
      </c>
      <c r="B156">
        <v>3</v>
      </c>
      <c r="C156">
        <v>4</v>
      </c>
      <c r="D156">
        <v>5</v>
      </c>
      <c r="E156">
        <v>6</v>
      </c>
      <c r="F156">
        <v>7</v>
      </c>
    </row>
    <row r="157" spans="1:13" x14ac:dyDescent="0.25">
      <c r="A157">
        <v>24</v>
      </c>
      <c r="B157">
        <v>2.4</v>
      </c>
      <c r="C157">
        <v>2.1</v>
      </c>
      <c r="D157">
        <v>2.1</v>
      </c>
      <c r="E157">
        <v>2.1</v>
      </c>
      <c r="F157">
        <v>2</v>
      </c>
    </row>
    <row r="158" spans="1:13" x14ac:dyDescent="0.25">
      <c r="A158">
        <v>22</v>
      </c>
      <c r="B158">
        <v>1.6</v>
      </c>
      <c r="C158">
        <v>1.6</v>
      </c>
      <c r="D158">
        <v>1.6</v>
      </c>
      <c r="E158">
        <v>1.5</v>
      </c>
      <c r="F158">
        <v>1.5</v>
      </c>
    </row>
    <row r="159" spans="1:13" x14ac:dyDescent="0.25">
      <c r="A159">
        <v>21</v>
      </c>
      <c r="B159">
        <v>1.4</v>
      </c>
      <c r="C159">
        <v>1.3</v>
      </c>
      <c r="D159">
        <v>1.3</v>
      </c>
      <c r="E159">
        <v>1.3</v>
      </c>
      <c r="F159">
        <v>1.3</v>
      </c>
    </row>
    <row r="160" spans="1:13" x14ac:dyDescent="0.25">
      <c r="A160">
        <v>20</v>
      </c>
      <c r="B160">
        <v>1.1000000000000001</v>
      </c>
      <c r="C160">
        <v>1.1000000000000001</v>
      </c>
      <c r="D160">
        <v>1.1000000000000001</v>
      </c>
      <c r="E160">
        <v>1.1000000000000001</v>
      </c>
      <c r="F160">
        <v>1.1000000000000001</v>
      </c>
    </row>
    <row r="161" spans="1:13" x14ac:dyDescent="0.25">
      <c r="A161">
        <v>19</v>
      </c>
      <c r="B161">
        <v>0.9</v>
      </c>
      <c r="C161">
        <v>0.9</v>
      </c>
      <c r="D161">
        <v>0.9</v>
      </c>
      <c r="E161">
        <v>0.9</v>
      </c>
      <c r="F161">
        <v>0.9</v>
      </c>
    </row>
    <row r="162" spans="1:13" x14ac:dyDescent="0.25">
      <c r="A162">
        <v>18</v>
      </c>
      <c r="B162">
        <v>0.7</v>
      </c>
      <c r="C162">
        <v>0.7</v>
      </c>
      <c r="D162">
        <v>0.7</v>
      </c>
      <c r="E162">
        <v>0.7</v>
      </c>
      <c r="F162">
        <v>0.7</v>
      </c>
    </row>
    <row r="163" spans="1:13" x14ac:dyDescent="0.25">
      <c r="A163">
        <v>17</v>
      </c>
      <c r="B163">
        <v>0.6</v>
      </c>
      <c r="C163">
        <v>0.6</v>
      </c>
      <c r="D163">
        <v>0.6</v>
      </c>
      <c r="E163">
        <v>0.6</v>
      </c>
      <c r="F163">
        <v>0.6</v>
      </c>
    </row>
    <row r="164" spans="1:13" x14ac:dyDescent="0.25">
      <c r="A164">
        <v>16</v>
      </c>
      <c r="B164">
        <v>0.6</v>
      </c>
      <c r="C164">
        <v>0.6</v>
      </c>
      <c r="D164">
        <v>0.6</v>
      </c>
      <c r="E164">
        <v>0.6</v>
      </c>
      <c r="F164">
        <v>0.6</v>
      </c>
    </row>
    <row r="165" spans="1:13" x14ac:dyDescent="0.25">
      <c r="A165">
        <v>15</v>
      </c>
      <c r="B165">
        <v>0.6</v>
      </c>
      <c r="C165">
        <v>0.6</v>
      </c>
      <c r="D165">
        <v>0.6</v>
      </c>
      <c r="E165">
        <v>0.6</v>
      </c>
      <c r="F165">
        <v>0.6</v>
      </c>
    </row>
    <row r="167" spans="1:13" s="576" customFormat="1" x14ac:dyDescent="0.25">
      <c r="A167" s="576" t="s">
        <v>2151</v>
      </c>
    </row>
    <row r="168" spans="1:13" x14ac:dyDescent="0.25">
      <c r="A168" t="s">
        <v>1462</v>
      </c>
      <c r="B168" s="621">
        <f ca="1">VLOOKUP($B$1,A171:F178,$E$1-1,FALSE)</f>
        <v>1</v>
      </c>
      <c r="H168" t="s">
        <v>1896</v>
      </c>
      <c r="I168" s="621">
        <f ca="1">VLOOKUP($B$1,H171:M178,$E$1-1,FALSE)</f>
        <v>0.6</v>
      </c>
    </row>
    <row r="169" spans="1:13" x14ac:dyDescent="0.25">
      <c r="B169" t="s">
        <v>2134</v>
      </c>
      <c r="I169" t="s">
        <v>2134</v>
      </c>
    </row>
    <row r="170" spans="1:13" x14ac:dyDescent="0.25">
      <c r="A170" t="s">
        <v>1400</v>
      </c>
      <c r="B170">
        <v>3</v>
      </c>
      <c r="C170">
        <v>4</v>
      </c>
      <c r="D170">
        <v>5</v>
      </c>
      <c r="E170">
        <v>6</v>
      </c>
      <c r="F170">
        <v>7</v>
      </c>
      <c r="H170" t="s">
        <v>1400</v>
      </c>
      <c r="I170">
        <v>3</v>
      </c>
      <c r="J170">
        <v>4</v>
      </c>
      <c r="K170">
        <v>5</v>
      </c>
      <c r="L170">
        <v>6</v>
      </c>
      <c r="M170">
        <v>7</v>
      </c>
    </row>
    <row r="171" spans="1:13" x14ac:dyDescent="0.25">
      <c r="A171">
        <v>24</v>
      </c>
      <c r="B171">
        <v>1</v>
      </c>
      <c r="C171">
        <v>1</v>
      </c>
      <c r="D171">
        <v>1</v>
      </c>
      <c r="E171">
        <v>1.2</v>
      </c>
      <c r="F171">
        <v>2.1</v>
      </c>
      <c r="H171">
        <v>24</v>
      </c>
      <c r="I171">
        <v>2.4</v>
      </c>
      <c r="J171">
        <v>2.1</v>
      </c>
      <c r="K171">
        <v>2.1</v>
      </c>
      <c r="L171">
        <v>2.1</v>
      </c>
      <c r="M171">
        <v>2</v>
      </c>
    </row>
    <row r="172" spans="1:13" x14ac:dyDescent="0.25">
      <c r="A172">
        <v>22</v>
      </c>
      <c r="B172">
        <v>1</v>
      </c>
      <c r="C172">
        <v>1</v>
      </c>
      <c r="D172">
        <v>1</v>
      </c>
      <c r="E172">
        <v>1</v>
      </c>
      <c r="F172">
        <v>1.5</v>
      </c>
      <c r="H172">
        <v>22</v>
      </c>
      <c r="I172">
        <v>1.6</v>
      </c>
      <c r="J172">
        <v>1.6</v>
      </c>
      <c r="K172">
        <v>1.6</v>
      </c>
      <c r="L172">
        <v>1.5</v>
      </c>
      <c r="M172">
        <v>1.5</v>
      </c>
    </row>
    <row r="173" spans="1:13" x14ac:dyDescent="0.25">
      <c r="A173">
        <v>21</v>
      </c>
      <c r="B173">
        <v>1</v>
      </c>
      <c r="C173">
        <v>1</v>
      </c>
      <c r="D173">
        <v>1</v>
      </c>
      <c r="E173">
        <v>1</v>
      </c>
      <c r="F173">
        <v>1.2</v>
      </c>
      <c r="H173">
        <v>21</v>
      </c>
      <c r="I173">
        <v>1.4</v>
      </c>
      <c r="J173">
        <v>1.3</v>
      </c>
      <c r="K173">
        <v>1.3</v>
      </c>
      <c r="L173">
        <v>1.3</v>
      </c>
      <c r="M173">
        <v>1.3</v>
      </c>
    </row>
    <row r="174" spans="1:13" x14ac:dyDescent="0.25">
      <c r="A174">
        <v>20</v>
      </c>
      <c r="B174">
        <v>1</v>
      </c>
      <c r="C174">
        <v>1</v>
      </c>
      <c r="D174">
        <v>1</v>
      </c>
      <c r="E174">
        <v>1</v>
      </c>
      <c r="F174">
        <v>1</v>
      </c>
      <c r="H174">
        <v>20</v>
      </c>
      <c r="I174">
        <v>1.1000000000000001</v>
      </c>
      <c r="J174">
        <v>1.1000000000000001</v>
      </c>
      <c r="K174">
        <v>1.1000000000000001</v>
      </c>
      <c r="L174">
        <v>1.1000000000000001</v>
      </c>
      <c r="M174">
        <v>1.1000000000000001</v>
      </c>
    </row>
    <row r="175" spans="1:13" x14ac:dyDescent="0.25">
      <c r="A175">
        <v>19</v>
      </c>
      <c r="B175">
        <v>1</v>
      </c>
      <c r="C175">
        <v>1</v>
      </c>
      <c r="D175">
        <v>1</v>
      </c>
      <c r="E175">
        <v>1</v>
      </c>
      <c r="F175">
        <v>1</v>
      </c>
      <c r="H175">
        <v>19</v>
      </c>
      <c r="I175">
        <v>0.9</v>
      </c>
      <c r="J175">
        <v>0.9</v>
      </c>
      <c r="K175">
        <v>0.9</v>
      </c>
      <c r="L175">
        <v>0.9</v>
      </c>
      <c r="M175">
        <v>0.9</v>
      </c>
    </row>
    <row r="176" spans="1:13" x14ac:dyDescent="0.25">
      <c r="A176">
        <v>18</v>
      </c>
      <c r="B176">
        <v>1</v>
      </c>
      <c r="C176">
        <v>1</v>
      </c>
      <c r="D176">
        <v>1</v>
      </c>
      <c r="E176">
        <v>1</v>
      </c>
      <c r="F176">
        <v>1</v>
      </c>
      <c r="H176">
        <v>18</v>
      </c>
      <c r="I176">
        <v>0.7</v>
      </c>
      <c r="J176">
        <v>0.7</v>
      </c>
      <c r="K176">
        <v>0.7</v>
      </c>
      <c r="L176">
        <v>0.7</v>
      </c>
      <c r="M176">
        <v>0.7</v>
      </c>
    </row>
    <row r="177" spans="1:13" x14ac:dyDescent="0.25">
      <c r="A177">
        <v>17</v>
      </c>
      <c r="B177">
        <v>1</v>
      </c>
      <c r="C177">
        <v>1</v>
      </c>
      <c r="D177">
        <v>1</v>
      </c>
      <c r="E177">
        <v>1</v>
      </c>
      <c r="F177">
        <v>1</v>
      </c>
      <c r="H177">
        <v>17</v>
      </c>
      <c r="I177">
        <v>0.6</v>
      </c>
      <c r="J177">
        <v>0.6</v>
      </c>
      <c r="K177">
        <v>0.6</v>
      </c>
      <c r="L177">
        <v>0.6</v>
      </c>
      <c r="M177">
        <v>0.6</v>
      </c>
    </row>
    <row r="178" spans="1:13" x14ac:dyDescent="0.25">
      <c r="A178">
        <v>16</v>
      </c>
      <c r="B178">
        <v>1</v>
      </c>
      <c r="C178">
        <v>1</v>
      </c>
      <c r="D178">
        <v>1</v>
      </c>
      <c r="E178">
        <v>1</v>
      </c>
      <c r="F178">
        <v>1</v>
      </c>
      <c r="H178">
        <v>16</v>
      </c>
      <c r="I178">
        <v>0.6</v>
      </c>
      <c r="J178">
        <v>0.6</v>
      </c>
      <c r="K178">
        <v>0.6</v>
      </c>
      <c r="L178">
        <v>0.6</v>
      </c>
      <c r="M178">
        <v>0.6</v>
      </c>
    </row>
    <row r="180" spans="1:13" s="576" customFormat="1" x14ac:dyDescent="0.25">
      <c r="A180" s="576" t="s">
        <v>2152</v>
      </c>
    </row>
    <row r="181" spans="1:13" x14ac:dyDescent="0.25">
      <c r="A181" t="s">
        <v>1896</v>
      </c>
      <c r="B181" s="621">
        <f ca="1">VLOOKUP($B$1,A184:F191,$E$1-1,FALSE)</f>
        <v>0.6</v>
      </c>
    </row>
    <row r="182" spans="1:13" x14ac:dyDescent="0.25">
      <c r="B182" t="s">
        <v>2134</v>
      </c>
    </row>
    <row r="183" spans="1:13" x14ac:dyDescent="0.25">
      <c r="A183" t="s">
        <v>1400</v>
      </c>
      <c r="B183">
        <v>3</v>
      </c>
      <c r="C183">
        <v>4</v>
      </c>
      <c r="D183">
        <v>5</v>
      </c>
      <c r="E183">
        <v>6</v>
      </c>
      <c r="F183">
        <v>7</v>
      </c>
    </row>
    <row r="184" spans="1:13" x14ac:dyDescent="0.25">
      <c r="A184">
        <v>24</v>
      </c>
      <c r="B184">
        <v>2.4</v>
      </c>
      <c r="C184">
        <v>2.1</v>
      </c>
      <c r="D184">
        <v>2.1</v>
      </c>
      <c r="E184">
        <v>2.1</v>
      </c>
      <c r="F184">
        <v>2</v>
      </c>
    </row>
    <row r="185" spans="1:13" x14ac:dyDescent="0.25">
      <c r="A185">
        <v>22</v>
      </c>
      <c r="B185">
        <v>1.6</v>
      </c>
      <c r="C185">
        <v>1.6</v>
      </c>
      <c r="D185">
        <v>1.6</v>
      </c>
      <c r="E185">
        <v>1.5</v>
      </c>
      <c r="F185">
        <v>1.5</v>
      </c>
    </row>
    <row r="186" spans="1:13" x14ac:dyDescent="0.25">
      <c r="A186">
        <v>21</v>
      </c>
      <c r="B186">
        <v>1.4</v>
      </c>
      <c r="C186">
        <v>1.3</v>
      </c>
      <c r="D186">
        <v>1.3</v>
      </c>
      <c r="E186">
        <v>1.3</v>
      </c>
      <c r="F186">
        <v>1.3</v>
      </c>
    </row>
    <row r="187" spans="1:13" x14ac:dyDescent="0.25">
      <c r="A187">
        <v>20</v>
      </c>
      <c r="B187">
        <v>1.1000000000000001</v>
      </c>
      <c r="C187">
        <v>1.1000000000000001</v>
      </c>
      <c r="D187">
        <v>1.1000000000000001</v>
      </c>
      <c r="E187">
        <v>1.1000000000000001</v>
      </c>
      <c r="F187">
        <v>1.1000000000000001</v>
      </c>
    </row>
    <row r="188" spans="1:13" x14ac:dyDescent="0.25">
      <c r="A188">
        <v>19</v>
      </c>
      <c r="B188">
        <v>0.9</v>
      </c>
      <c r="C188">
        <v>0.9</v>
      </c>
      <c r="D188">
        <v>0.9</v>
      </c>
      <c r="E188">
        <v>0.9</v>
      </c>
      <c r="F188">
        <v>0.9</v>
      </c>
    </row>
    <row r="189" spans="1:13" x14ac:dyDescent="0.25">
      <c r="A189">
        <v>18</v>
      </c>
      <c r="B189">
        <v>0.7</v>
      </c>
      <c r="C189">
        <v>0.7</v>
      </c>
      <c r="D189">
        <v>0.7</v>
      </c>
      <c r="E189">
        <v>0.7</v>
      </c>
      <c r="F189">
        <v>0.7</v>
      </c>
    </row>
    <row r="190" spans="1:13" x14ac:dyDescent="0.25">
      <c r="A190">
        <v>17</v>
      </c>
      <c r="B190">
        <v>0.6</v>
      </c>
      <c r="C190">
        <v>0.6</v>
      </c>
      <c r="D190">
        <v>0.6</v>
      </c>
      <c r="E190">
        <v>0.6</v>
      </c>
      <c r="F190">
        <v>0.6</v>
      </c>
    </row>
    <row r="191" spans="1:13" x14ac:dyDescent="0.25">
      <c r="A191">
        <v>16</v>
      </c>
      <c r="B191">
        <v>0.6</v>
      </c>
      <c r="C191">
        <v>0.6</v>
      </c>
      <c r="D191">
        <v>0.6</v>
      </c>
      <c r="E191">
        <v>0.6</v>
      </c>
      <c r="F191">
        <v>0.6</v>
      </c>
    </row>
    <row r="194" spans="1:6" s="576" customFormat="1" x14ac:dyDescent="0.25">
      <c r="A194" s="576" t="s">
        <v>2153</v>
      </c>
    </row>
    <row r="195" spans="1:6" x14ac:dyDescent="0.25">
      <c r="A195" t="s">
        <v>1896</v>
      </c>
      <c r="B195" s="621">
        <f ca="1">VLOOKUP($B$1,A198:F205,$E$1-1,FALSE)</f>
        <v>1</v>
      </c>
    </row>
    <row r="196" spans="1:6" x14ac:dyDescent="0.25">
      <c r="B196" t="s">
        <v>2134</v>
      </c>
    </row>
    <row r="197" spans="1:6" x14ac:dyDescent="0.25">
      <c r="A197" t="s">
        <v>1400</v>
      </c>
      <c r="B197">
        <v>3</v>
      </c>
      <c r="C197">
        <v>4</v>
      </c>
      <c r="D197">
        <v>5</v>
      </c>
      <c r="E197">
        <v>6</v>
      </c>
      <c r="F197">
        <v>7</v>
      </c>
    </row>
    <row r="198" spans="1:6" x14ac:dyDescent="0.25">
      <c r="A198">
        <v>24</v>
      </c>
      <c r="B198">
        <v>6.4</v>
      </c>
      <c r="C198">
        <v>5.4</v>
      </c>
      <c r="D198">
        <v>4.4000000000000004</v>
      </c>
      <c r="E198">
        <v>3.4</v>
      </c>
      <c r="F198">
        <v>2.4</v>
      </c>
    </row>
    <row r="199" spans="1:6" x14ac:dyDescent="0.25">
      <c r="A199">
        <v>22</v>
      </c>
      <c r="B199">
        <v>3</v>
      </c>
      <c r="C199">
        <v>2</v>
      </c>
      <c r="D199">
        <v>1.5</v>
      </c>
      <c r="E199">
        <v>1.5</v>
      </c>
      <c r="F199">
        <v>1.5</v>
      </c>
    </row>
    <row r="200" spans="1:6" x14ac:dyDescent="0.25">
      <c r="A200">
        <v>21</v>
      </c>
      <c r="B200">
        <v>1.4</v>
      </c>
      <c r="C200">
        <v>1.3</v>
      </c>
      <c r="D200">
        <v>1.3</v>
      </c>
      <c r="E200">
        <v>1.3</v>
      </c>
      <c r="F200">
        <v>1.3</v>
      </c>
    </row>
    <row r="201" spans="1:6" x14ac:dyDescent="0.25">
      <c r="A201">
        <v>20</v>
      </c>
      <c r="B201">
        <v>1.1000000000000001</v>
      </c>
      <c r="C201">
        <v>1.1000000000000001</v>
      </c>
      <c r="D201">
        <v>1.1000000000000001</v>
      </c>
      <c r="E201">
        <v>1.1000000000000001</v>
      </c>
      <c r="F201">
        <v>1.1000000000000001</v>
      </c>
    </row>
    <row r="202" spans="1:6" x14ac:dyDescent="0.25">
      <c r="A202">
        <v>19</v>
      </c>
      <c r="B202">
        <v>0.9</v>
      </c>
      <c r="C202">
        <v>0.9</v>
      </c>
      <c r="D202">
        <v>0.9</v>
      </c>
      <c r="E202">
        <v>0.9</v>
      </c>
      <c r="F202">
        <v>0.9</v>
      </c>
    </row>
    <row r="203" spans="1:6" x14ac:dyDescent="0.25">
      <c r="A203">
        <v>18</v>
      </c>
      <c r="B203">
        <v>0.7</v>
      </c>
      <c r="C203">
        <v>0.7</v>
      </c>
      <c r="D203">
        <v>0.7</v>
      </c>
      <c r="E203">
        <v>0.7</v>
      </c>
      <c r="F203">
        <v>0.7</v>
      </c>
    </row>
    <row r="204" spans="1:6" x14ac:dyDescent="0.25">
      <c r="A204">
        <v>17</v>
      </c>
      <c r="B204">
        <v>1</v>
      </c>
      <c r="C204">
        <v>1</v>
      </c>
      <c r="D204">
        <v>1</v>
      </c>
      <c r="E204">
        <v>1</v>
      </c>
      <c r="F204">
        <v>1.5</v>
      </c>
    </row>
    <row r="205" spans="1:6" x14ac:dyDescent="0.25">
      <c r="A205">
        <v>16</v>
      </c>
      <c r="B205">
        <v>1</v>
      </c>
      <c r="C205">
        <v>1</v>
      </c>
      <c r="D205">
        <v>1</v>
      </c>
      <c r="E205">
        <v>1</v>
      </c>
      <c r="F205">
        <v>1</v>
      </c>
    </row>
    <row r="208" spans="1:6" s="576" customFormat="1" x14ac:dyDescent="0.25">
      <c r="A208" s="576" t="s">
        <v>2154</v>
      </c>
    </row>
    <row r="209" spans="1:6" x14ac:dyDescent="0.25">
      <c r="A209" t="s">
        <v>1896</v>
      </c>
      <c r="B209" s="621">
        <f ca="1">VLOOKUP($B$1,A212:F219,$E$1-1,FALSE)</f>
        <v>1</v>
      </c>
    </row>
    <row r="210" spans="1:6" x14ac:dyDescent="0.25">
      <c r="B210" t="s">
        <v>2134</v>
      </c>
    </row>
    <row r="211" spans="1:6" x14ac:dyDescent="0.25">
      <c r="A211" t="s">
        <v>1400</v>
      </c>
      <c r="B211">
        <v>3</v>
      </c>
      <c r="C211">
        <v>4</v>
      </c>
      <c r="D211">
        <v>5</v>
      </c>
      <c r="E211">
        <v>6</v>
      </c>
      <c r="F211">
        <v>7</v>
      </c>
    </row>
    <row r="212" spans="1:6" x14ac:dyDescent="0.25">
      <c r="A212">
        <v>24</v>
      </c>
      <c r="B212">
        <v>6.4</v>
      </c>
      <c r="C212">
        <v>5.4</v>
      </c>
      <c r="D212">
        <v>4.4000000000000004</v>
      </c>
      <c r="E212">
        <v>3.4</v>
      </c>
      <c r="F212">
        <v>2.4</v>
      </c>
    </row>
    <row r="213" spans="1:6" x14ac:dyDescent="0.25">
      <c r="A213">
        <v>22</v>
      </c>
      <c r="B213">
        <v>3</v>
      </c>
      <c r="C213">
        <v>2</v>
      </c>
      <c r="D213">
        <v>1.5</v>
      </c>
      <c r="E213">
        <v>1.5</v>
      </c>
      <c r="F213">
        <v>1.5</v>
      </c>
    </row>
    <row r="214" spans="1:6" x14ac:dyDescent="0.25">
      <c r="A214">
        <v>21</v>
      </c>
      <c r="B214">
        <v>1.4</v>
      </c>
      <c r="C214">
        <v>1.3</v>
      </c>
      <c r="D214">
        <v>1.3</v>
      </c>
      <c r="E214">
        <v>1.3</v>
      </c>
      <c r="F214">
        <v>1.3</v>
      </c>
    </row>
    <row r="215" spans="1:6" x14ac:dyDescent="0.25">
      <c r="A215">
        <v>20</v>
      </c>
      <c r="B215">
        <v>1.1000000000000001</v>
      </c>
      <c r="C215">
        <v>1.1000000000000001</v>
      </c>
      <c r="D215">
        <v>1.1000000000000001</v>
      </c>
      <c r="E215">
        <v>1.1000000000000001</v>
      </c>
      <c r="F215">
        <v>1.1000000000000001</v>
      </c>
    </row>
    <row r="216" spans="1:6" x14ac:dyDescent="0.25">
      <c r="A216">
        <v>19</v>
      </c>
      <c r="B216">
        <v>0.9</v>
      </c>
      <c r="C216">
        <v>0.9</v>
      </c>
      <c r="D216">
        <v>0.9</v>
      </c>
      <c r="E216">
        <v>0.9</v>
      </c>
      <c r="F216">
        <v>0.9</v>
      </c>
    </row>
    <row r="217" spans="1:6" x14ac:dyDescent="0.25">
      <c r="A217">
        <v>18</v>
      </c>
      <c r="B217">
        <v>0.7</v>
      </c>
      <c r="C217">
        <v>0.7</v>
      </c>
      <c r="D217">
        <v>0.7</v>
      </c>
      <c r="E217">
        <v>0.7</v>
      </c>
      <c r="F217">
        <v>0.7</v>
      </c>
    </row>
    <row r="218" spans="1:6" x14ac:dyDescent="0.25">
      <c r="A218">
        <v>17</v>
      </c>
      <c r="B218">
        <v>1</v>
      </c>
      <c r="C218">
        <v>1</v>
      </c>
      <c r="D218">
        <v>1</v>
      </c>
      <c r="E218">
        <v>1</v>
      </c>
      <c r="F218">
        <v>1.5</v>
      </c>
    </row>
    <row r="219" spans="1:6" x14ac:dyDescent="0.25">
      <c r="A219">
        <v>16</v>
      </c>
      <c r="B219">
        <v>1</v>
      </c>
      <c r="C219">
        <v>1</v>
      </c>
      <c r="D219">
        <v>1</v>
      </c>
      <c r="E219">
        <v>1</v>
      </c>
      <c r="F219">
        <v>1</v>
      </c>
    </row>
    <row r="222" spans="1:6" s="576" customFormat="1" x14ac:dyDescent="0.25">
      <c r="A222" s="576" t="s">
        <v>2155</v>
      </c>
    </row>
    <row r="223" spans="1:6" x14ac:dyDescent="0.25">
      <c r="A223" t="s">
        <v>1896</v>
      </c>
      <c r="B223" s="621">
        <f ca="1">VLOOKUP($B$1,A226:F233,$E$1-1,FALSE)</f>
        <v>1</v>
      </c>
    </row>
    <row r="224" spans="1:6" x14ac:dyDescent="0.25">
      <c r="B224" t="s">
        <v>2134</v>
      </c>
    </row>
    <row r="225" spans="1:13" x14ac:dyDescent="0.25">
      <c r="A225" t="s">
        <v>1400</v>
      </c>
      <c r="B225">
        <v>3</v>
      </c>
      <c r="C225">
        <v>4</v>
      </c>
      <c r="D225">
        <v>5</v>
      </c>
      <c r="E225">
        <v>6</v>
      </c>
      <c r="F225">
        <v>7</v>
      </c>
    </row>
    <row r="226" spans="1:13" x14ac:dyDescent="0.25">
      <c r="A226">
        <v>24</v>
      </c>
      <c r="B226">
        <v>6.4</v>
      </c>
      <c r="C226">
        <v>5.4</v>
      </c>
      <c r="D226">
        <v>4.4000000000000004</v>
      </c>
      <c r="E226">
        <v>3.4</v>
      </c>
      <c r="F226">
        <v>2.4</v>
      </c>
    </row>
    <row r="227" spans="1:13" x14ac:dyDescent="0.25">
      <c r="A227">
        <v>22</v>
      </c>
      <c r="B227">
        <v>3</v>
      </c>
      <c r="C227">
        <v>2</v>
      </c>
      <c r="D227">
        <v>1.5</v>
      </c>
      <c r="E227">
        <v>1.5</v>
      </c>
      <c r="F227">
        <v>1.5</v>
      </c>
    </row>
    <row r="228" spans="1:13" x14ac:dyDescent="0.25">
      <c r="A228">
        <v>21</v>
      </c>
      <c r="B228">
        <v>1.4</v>
      </c>
      <c r="C228">
        <v>1.3</v>
      </c>
      <c r="D228">
        <v>1.3</v>
      </c>
      <c r="E228">
        <v>1.3</v>
      </c>
      <c r="F228">
        <v>1.3</v>
      </c>
    </row>
    <row r="229" spans="1:13" x14ac:dyDescent="0.25">
      <c r="A229">
        <v>20</v>
      </c>
      <c r="B229">
        <v>1.1000000000000001</v>
      </c>
      <c r="C229">
        <v>1.1000000000000001</v>
      </c>
      <c r="D229">
        <v>1.1000000000000001</v>
      </c>
      <c r="E229">
        <v>1.1000000000000001</v>
      </c>
      <c r="F229">
        <v>1.1000000000000001</v>
      </c>
    </row>
    <row r="230" spans="1:13" x14ac:dyDescent="0.25">
      <c r="A230">
        <v>19</v>
      </c>
      <c r="B230">
        <v>0.9</v>
      </c>
      <c r="C230">
        <v>0.9</v>
      </c>
      <c r="D230">
        <v>0.9</v>
      </c>
      <c r="E230">
        <v>0.9</v>
      </c>
      <c r="F230">
        <v>0.9</v>
      </c>
    </row>
    <row r="231" spans="1:13" x14ac:dyDescent="0.25">
      <c r="A231">
        <v>18</v>
      </c>
      <c r="B231">
        <v>0.7</v>
      </c>
      <c r="C231">
        <v>0.7</v>
      </c>
      <c r="D231">
        <v>0.7</v>
      </c>
      <c r="E231">
        <v>0.7</v>
      </c>
      <c r="F231">
        <v>0.7</v>
      </c>
    </row>
    <row r="232" spans="1:13" x14ac:dyDescent="0.25">
      <c r="A232">
        <v>17</v>
      </c>
      <c r="B232">
        <v>1</v>
      </c>
      <c r="C232">
        <v>1</v>
      </c>
      <c r="D232">
        <v>1</v>
      </c>
      <c r="E232">
        <v>1</v>
      </c>
      <c r="F232">
        <v>1.5</v>
      </c>
    </row>
    <row r="233" spans="1:13" x14ac:dyDescent="0.25">
      <c r="A233">
        <v>16</v>
      </c>
      <c r="B233">
        <v>1</v>
      </c>
      <c r="C233">
        <v>1</v>
      </c>
      <c r="D233">
        <v>1</v>
      </c>
      <c r="E233">
        <v>1</v>
      </c>
      <c r="F233">
        <v>1</v>
      </c>
    </row>
    <row r="236" spans="1:13" s="576" customFormat="1" x14ac:dyDescent="0.25">
      <c r="A236" s="576" t="s">
        <v>1788</v>
      </c>
    </row>
    <row r="237" spans="1:13" x14ac:dyDescent="0.25">
      <c r="A237" t="s">
        <v>1462</v>
      </c>
      <c r="B237" s="621">
        <f ca="1">VLOOKUP($B$1,A240:F245,$E$1-1,FALSE)</f>
        <v>1</v>
      </c>
      <c r="H237" t="s">
        <v>1896</v>
      </c>
      <c r="I237" s="621">
        <f ca="1">VLOOKUP($B$1,H240:M245,$E$1-1,FALSE)</f>
        <v>0.3</v>
      </c>
    </row>
    <row r="238" spans="1:13" x14ac:dyDescent="0.25">
      <c r="B238" t="s">
        <v>2134</v>
      </c>
      <c r="I238" t="s">
        <v>2134</v>
      </c>
    </row>
    <row r="239" spans="1:13" x14ac:dyDescent="0.25">
      <c r="A239" t="s">
        <v>1400</v>
      </c>
      <c r="B239">
        <v>3</v>
      </c>
      <c r="C239">
        <v>4</v>
      </c>
      <c r="D239">
        <v>5</v>
      </c>
      <c r="E239">
        <v>6</v>
      </c>
      <c r="F239">
        <v>7</v>
      </c>
      <c r="H239" t="s">
        <v>1400</v>
      </c>
      <c r="I239">
        <v>3</v>
      </c>
      <c r="J239">
        <v>4</v>
      </c>
      <c r="K239">
        <v>5</v>
      </c>
      <c r="L239">
        <v>6</v>
      </c>
      <c r="M239">
        <v>7</v>
      </c>
    </row>
    <row r="240" spans="1:13" x14ac:dyDescent="0.25">
      <c r="A240">
        <v>26</v>
      </c>
      <c r="B240">
        <v>1</v>
      </c>
      <c r="C240">
        <v>1</v>
      </c>
      <c r="D240">
        <v>1</v>
      </c>
      <c r="E240">
        <v>1.2</v>
      </c>
      <c r="F240">
        <v>2.2000000000000002</v>
      </c>
      <c r="H240">
        <v>26</v>
      </c>
      <c r="I240">
        <v>7.2</v>
      </c>
      <c r="J240">
        <v>6.2</v>
      </c>
      <c r="K240">
        <v>5.2</v>
      </c>
      <c r="L240">
        <v>4.2</v>
      </c>
      <c r="M240">
        <v>3.5</v>
      </c>
    </row>
    <row r="241" spans="1:13" x14ac:dyDescent="0.25">
      <c r="A241">
        <v>24</v>
      </c>
      <c r="B241">
        <v>1</v>
      </c>
      <c r="C241">
        <v>1</v>
      </c>
      <c r="D241">
        <v>1</v>
      </c>
      <c r="E241">
        <v>1</v>
      </c>
      <c r="F241">
        <v>1.8</v>
      </c>
      <c r="H241">
        <v>24</v>
      </c>
      <c r="I241">
        <v>4.8</v>
      </c>
      <c r="J241">
        <v>3.8</v>
      </c>
      <c r="K241">
        <v>2.8</v>
      </c>
      <c r="L241">
        <v>2.2999999999999998</v>
      </c>
      <c r="M241">
        <v>2.2000000000000002</v>
      </c>
    </row>
    <row r="242" spans="1:13" x14ac:dyDescent="0.25">
      <c r="A242">
        <v>22</v>
      </c>
      <c r="B242">
        <v>1</v>
      </c>
      <c r="C242">
        <v>1</v>
      </c>
      <c r="D242">
        <v>1</v>
      </c>
      <c r="E242">
        <v>1</v>
      </c>
      <c r="F242">
        <v>1.1000000000000001</v>
      </c>
      <c r="H242">
        <v>22</v>
      </c>
      <c r="I242">
        <v>1.9</v>
      </c>
      <c r="J242">
        <v>1.6</v>
      </c>
      <c r="K242">
        <v>1.5</v>
      </c>
      <c r="L242">
        <v>1.4</v>
      </c>
      <c r="M242">
        <v>1.3</v>
      </c>
    </row>
    <row r="243" spans="1:13" x14ac:dyDescent="0.25">
      <c r="A243">
        <v>20</v>
      </c>
      <c r="B243">
        <v>1</v>
      </c>
      <c r="C243">
        <v>1</v>
      </c>
      <c r="D243">
        <v>1</v>
      </c>
      <c r="E243">
        <v>1</v>
      </c>
      <c r="F243">
        <v>1</v>
      </c>
      <c r="H243">
        <v>20</v>
      </c>
      <c r="I243">
        <v>0.9</v>
      </c>
      <c r="J243">
        <v>0.9</v>
      </c>
      <c r="K243">
        <v>0.9</v>
      </c>
      <c r="L243">
        <v>0.8</v>
      </c>
      <c r="M243">
        <v>0.8</v>
      </c>
    </row>
    <row r="244" spans="1:13" x14ac:dyDescent="0.25">
      <c r="A244">
        <v>18</v>
      </c>
      <c r="B244">
        <v>1</v>
      </c>
      <c r="C244">
        <v>1</v>
      </c>
      <c r="D244">
        <v>1</v>
      </c>
      <c r="E244">
        <v>1</v>
      </c>
      <c r="F244">
        <v>1</v>
      </c>
      <c r="H244">
        <v>18</v>
      </c>
      <c r="I244">
        <v>0.4</v>
      </c>
      <c r="J244">
        <v>0.4</v>
      </c>
      <c r="K244">
        <v>0.4</v>
      </c>
      <c r="L244">
        <v>0.5</v>
      </c>
      <c r="M244">
        <v>0.5</v>
      </c>
    </row>
    <row r="245" spans="1:13" x14ac:dyDescent="0.25">
      <c r="A245">
        <v>16</v>
      </c>
      <c r="B245">
        <v>1</v>
      </c>
      <c r="C245">
        <v>1</v>
      </c>
      <c r="D245">
        <v>1</v>
      </c>
      <c r="E245">
        <v>1</v>
      </c>
      <c r="F245">
        <v>1</v>
      </c>
      <c r="H245">
        <v>16</v>
      </c>
      <c r="I245">
        <v>0.3</v>
      </c>
      <c r="J245">
        <v>0.3</v>
      </c>
      <c r="K245">
        <v>0.3</v>
      </c>
      <c r="L245">
        <v>0.3</v>
      </c>
      <c r="M245">
        <v>0.3</v>
      </c>
    </row>
    <row r="247" spans="1:13" s="576" customFormat="1" x14ac:dyDescent="0.25">
      <c r="A247" s="576" t="s">
        <v>1858</v>
      </c>
    </row>
    <row r="248" spans="1:13" x14ac:dyDescent="0.25">
      <c r="A248" t="s">
        <v>1896</v>
      </c>
      <c r="B248" s="621">
        <f ca="1">VLOOKUP($B$1,A251:B255,2,FALSE)</f>
        <v>0.5</v>
      </c>
    </row>
    <row r="249" spans="1:13" x14ac:dyDescent="0.25">
      <c r="B249" t="s">
        <v>2134</v>
      </c>
    </row>
    <row r="250" spans="1:13" x14ac:dyDescent="0.25">
      <c r="A250" t="s">
        <v>1400</v>
      </c>
      <c r="B250">
        <v>3.5</v>
      </c>
    </row>
    <row r="251" spans="1:13" x14ac:dyDescent="0.25">
      <c r="A251">
        <v>24</v>
      </c>
      <c r="B251">
        <v>0.5</v>
      </c>
    </row>
    <row r="252" spans="1:13" x14ac:dyDescent="0.25">
      <c r="A252">
        <v>19</v>
      </c>
      <c r="B252">
        <v>0.5</v>
      </c>
    </row>
    <row r="253" spans="1:13" x14ac:dyDescent="0.25">
      <c r="A253">
        <v>16</v>
      </c>
      <c r="B253">
        <v>0.5</v>
      </c>
    </row>
    <row r="254" spans="1:13" x14ac:dyDescent="0.25">
      <c r="A254">
        <v>15</v>
      </c>
      <c r="B254">
        <v>0.5</v>
      </c>
    </row>
    <row r="255" spans="1:13" x14ac:dyDescent="0.25">
      <c r="A255">
        <v>14</v>
      </c>
      <c r="B255">
        <v>0.5</v>
      </c>
    </row>
    <row r="257" spans="1:12" s="576" customFormat="1" x14ac:dyDescent="0.25">
      <c r="A257" s="576" t="s">
        <v>2156</v>
      </c>
    </row>
    <row r="258" spans="1:12" x14ac:dyDescent="0.25">
      <c r="A258" t="s">
        <v>1462</v>
      </c>
      <c r="B258" s="621">
        <f ca="1">VLOOKUP($B$1,A261:E264,$E$1-1,FALSE)</f>
        <v>1</v>
      </c>
      <c r="H258" t="s">
        <v>1896</v>
      </c>
      <c r="I258" s="621">
        <f ca="1">VLOOKUP($B$1,H261:L264,$E$1-1,FALSE)</f>
        <v>1</v>
      </c>
    </row>
    <row r="259" spans="1:12" x14ac:dyDescent="0.25">
      <c r="B259" t="s">
        <v>2134</v>
      </c>
      <c r="I259" t="s">
        <v>2134</v>
      </c>
    </row>
    <row r="260" spans="1:12" x14ac:dyDescent="0.25">
      <c r="A260" t="s">
        <v>1400</v>
      </c>
      <c r="B260">
        <v>3</v>
      </c>
      <c r="C260">
        <v>4</v>
      </c>
      <c r="D260">
        <v>5</v>
      </c>
      <c r="E260">
        <v>6</v>
      </c>
      <c r="H260" t="s">
        <v>1400</v>
      </c>
      <c r="I260">
        <v>3</v>
      </c>
      <c r="J260">
        <v>4</v>
      </c>
      <c r="K260">
        <v>5</v>
      </c>
      <c r="L260">
        <v>6</v>
      </c>
    </row>
    <row r="261" spans="1:12" x14ac:dyDescent="0.25">
      <c r="A261">
        <v>22</v>
      </c>
      <c r="B261">
        <v>1</v>
      </c>
      <c r="C261">
        <v>1</v>
      </c>
      <c r="D261">
        <v>1</v>
      </c>
      <c r="E261">
        <v>1</v>
      </c>
      <c r="H261">
        <v>22</v>
      </c>
      <c r="I261">
        <v>5.2</v>
      </c>
      <c r="J261">
        <v>4.5999999999999996</v>
      </c>
      <c r="K261">
        <v>4.0999999999999996</v>
      </c>
      <c r="L261">
        <v>3.7</v>
      </c>
    </row>
    <row r="262" spans="1:12" x14ac:dyDescent="0.25">
      <c r="A262">
        <v>20</v>
      </c>
      <c r="B262">
        <v>1</v>
      </c>
      <c r="C262">
        <v>1</v>
      </c>
      <c r="D262">
        <v>1</v>
      </c>
      <c r="E262">
        <v>1</v>
      </c>
      <c r="H262">
        <v>20</v>
      </c>
      <c r="I262">
        <v>3.4</v>
      </c>
      <c r="J262">
        <v>2.9</v>
      </c>
      <c r="K262">
        <v>2.5</v>
      </c>
      <c r="L262">
        <v>2.2999999999999998</v>
      </c>
    </row>
    <row r="263" spans="1:12" x14ac:dyDescent="0.25">
      <c r="A263">
        <v>18</v>
      </c>
      <c r="B263">
        <v>1</v>
      </c>
      <c r="C263">
        <v>1</v>
      </c>
      <c r="D263">
        <v>1</v>
      </c>
      <c r="E263">
        <v>1</v>
      </c>
      <c r="H263">
        <v>18</v>
      </c>
      <c r="I263">
        <v>1.7</v>
      </c>
      <c r="J263">
        <v>1.6</v>
      </c>
      <c r="K263">
        <v>1.5</v>
      </c>
      <c r="L263">
        <v>1.5</v>
      </c>
    </row>
    <row r="264" spans="1:12" x14ac:dyDescent="0.25">
      <c r="A264">
        <v>16</v>
      </c>
      <c r="B264">
        <v>1</v>
      </c>
      <c r="C264">
        <v>1</v>
      </c>
      <c r="D264">
        <v>1</v>
      </c>
      <c r="E264">
        <v>1</v>
      </c>
      <c r="H264">
        <v>16</v>
      </c>
      <c r="I264">
        <v>1</v>
      </c>
      <c r="J264">
        <v>1</v>
      </c>
      <c r="K264">
        <v>1</v>
      </c>
      <c r="L264">
        <v>1</v>
      </c>
    </row>
    <row r="267" spans="1:12" s="576" customFormat="1" x14ac:dyDescent="0.25">
      <c r="A267" s="576" t="s">
        <v>2157</v>
      </c>
    </row>
    <row r="269" spans="1:12" x14ac:dyDescent="0.25">
      <c r="A269" t="s">
        <v>2158</v>
      </c>
    </row>
    <row r="271" spans="1:12" s="576" customFormat="1" x14ac:dyDescent="0.25">
      <c r="A271" s="576" t="s">
        <v>2003</v>
      </c>
    </row>
    <row r="272" spans="1:12" x14ac:dyDescent="0.25">
      <c r="B272" s="620">
        <f ca="1">VLOOKUP(E1,A274:C283,2,FALSE)</f>
        <v>2</v>
      </c>
      <c r="C272" s="620">
        <f ca="1">VLOOKUP(E1,A274:C283,3,FALSE)</f>
        <v>1.5</v>
      </c>
    </row>
    <row r="273" spans="1:44" x14ac:dyDescent="0.25">
      <c r="A273" t="s">
        <v>2134</v>
      </c>
      <c r="B273" t="s">
        <v>1896</v>
      </c>
      <c r="C273" t="s">
        <v>1462</v>
      </c>
    </row>
    <row r="274" spans="1:44" x14ac:dyDescent="0.25">
      <c r="A274">
        <v>-4</v>
      </c>
      <c r="B274">
        <v>2</v>
      </c>
      <c r="C274">
        <v>1.5</v>
      </c>
    </row>
    <row r="275" spans="1:44" x14ac:dyDescent="0.25">
      <c r="A275">
        <v>-3</v>
      </c>
      <c r="B275">
        <v>2</v>
      </c>
      <c r="C275">
        <v>1.5</v>
      </c>
    </row>
    <row r="276" spans="1:44" x14ac:dyDescent="0.25">
      <c r="A276">
        <v>5</v>
      </c>
      <c r="B276">
        <v>2</v>
      </c>
      <c r="C276">
        <v>1.5</v>
      </c>
    </row>
    <row r="277" spans="1:44" x14ac:dyDescent="0.25">
      <c r="A277">
        <v>7</v>
      </c>
      <c r="B277">
        <v>2</v>
      </c>
      <c r="C277">
        <v>1.5</v>
      </c>
    </row>
    <row r="278" spans="1:44" x14ac:dyDescent="0.25">
      <c r="A278">
        <v>9</v>
      </c>
      <c r="B278">
        <v>2</v>
      </c>
      <c r="C278">
        <v>1.5</v>
      </c>
    </row>
    <row r="279" spans="1:44" x14ac:dyDescent="0.25">
      <c r="A279">
        <v>11</v>
      </c>
      <c r="B279">
        <v>2</v>
      </c>
      <c r="C279">
        <v>1.5</v>
      </c>
    </row>
    <row r="280" spans="1:44" x14ac:dyDescent="0.25">
      <c r="A280">
        <v>13</v>
      </c>
      <c r="B280">
        <v>2</v>
      </c>
      <c r="C280">
        <v>1.5</v>
      </c>
    </row>
    <row r="281" spans="1:44" x14ac:dyDescent="0.25">
      <c r="A281">
        <v>14</v>
      </c>
      <c r="B281">
        <v>2</v>
      </c>
      <c r="C281">
        <v>1.5</v>
      </c>
    </row>
    <row r="282" spans="1:44" x14ac:dyDescent="0.25">
      <c r="A282">
        <v>16</v>
      </c>
      <c r="B282">
        <v>2</v>
      </c>
      <c r="C282">
        <v>1.5</v>
      </c>
    </row>
    <row r="283" spans="1:44" x14ac:dyDescent="0.25">
      <c r="A283">
        <v>18</v>
      </c>
      <c r="B283">
        <v>2</v>
      </c>
      <c r="C283">
        <v>1.5</v>
      </c>
    </row>
    <row r="285" spans="1:44" s="576" customFormat="1" x14ac:dyDescent="0.25">
      <c r="A285" s="576" t="s">
        <v>1860</v>
      </c>
    </row>
    <row r="287" spans="1:44" x14ac:dyDescent="0.25">
      <c r="B287" t="s">
        <v>2134</v>
      </c>
    </row>
    <row r="288" spans="1:44" s="381" customFormat="1" x14ac:dyDescent="0.25">
      <c r="B288" s="381">
        <v>3</v>
      </c>
      <c r="D288" s="381">
        <v>4</v>
      </c>
      <c r="F288" s="381">
        <v>5</v>
      </c>
      <c r="H288" s="381">
        <v>6</v>
      </c>
      <c r="J288" s="381">
        <v>7</v>
      </c>
      <c r="L288" s="381">
        <v>8</v>
      </c>
      <c r="N288" s="381">
        <v>9</v>
      </c>
      <c r="P288" s="381">
        <v>10</v>
      </c>
      <c r="R288" s="381">
        <v>11</v>
      </c>
      <c r="T288" s="381">
        <v>12</v>
      </c>
      <c r="V288" s="381">
        <v>13</v>
      </c>
      <c r="X288" s="381">
        <v>14</v>
      </c>
      <c r="Z288" s="381">
        <v>15</v>
      </c>
      <c r="AB288" s="381">
        <v>16</v>
      </c>
      <c r="AD288" s="381">
        <v>17</v>
      </c>
      <c r="AF288" s="381">
        <v>18</v>
      </c>
      <c r="AH288" s="381">
        <v>19</v>
      </c>
      <c r="AJ288" s="381">
        <v>20</v>
      </c>
      <c r="AL288" s="381">
        <v>21</v>
      </c>
      <c r="AN288" s="381">
        <v>22</v>
      </c>
      <c r="AP288" s="381">
        <v>23</v>
      </c>
      <c r="AR288" s="381">
        <v>24</v>
      </c>
    </row>
    <row r="289" spans="1:45" x14ac:dyDescent="0.25">
      <c r="A289" t="s">
        <v>1400</v>
      </c>
      <c r="B289" t="s">
        <v>1896</v>
      </c>
      <c r="C289" t="s">
        <v>1462</v>
      </c>
      <c r="D289" t="s">
        <v>1896</v>
      </c>
      <c r="E289" t="s">
        <v>1462</v>
      </c>
      <c r="F289" t="s">
        <v>1896</v>
      </c>
      <c r="G289" t="s">
        <v>1462</v>
      </c>
      <c r="H289" t="s">
        <v>1896</v>
      </c>
      <c r="I289" t="s">
        <v>1462</v>
      </c>
      <c r="J289" t="s">
        <v>1896</v>
      </c>
      <c r="K289" t="s">
        <v>1462</v>
      </c>
      <c r="L289" t="s">
        <v>1896</v>
      </c>
      <c r="M289" t="s">
        <v>1462</v>
      </c>
      <c r="N289" t="s">
        <v>1896</v>
      </c>
      <c r="O289" t="s">
        <v>1462</v>
      </c>
      <c r="P289" t="s">
        <v>1896</v>
      </c>
      <c r="Q289" t="s">
        <v>1462</v>
      </c>
      <c r="R289" t="s">
        <v>1896</v>
      </c>
      <c r="S289" t="s">
        <v>1462</v>
      </c>
      <c r="T289" t="s">
        <v>1896</v>
      </c>
      <c r="U289" t="s">
        <v>1462</v>
      </c>
      <c r="V289" t="s">
        <v>1896</v>
      </c>
      <c r="W289" t="s">
        <v>1462</v>
      </c>
      <c r="X289" t="s">
        <v>1896</v>
      </c>
      <c r="Y289" t="s">
        <v>1462</v>
      </c>
      <c r="Z289" t="s">
        <v>1896</v>
      </c>
      <c r="AA289" t="s">
        <v>1462</v>
      </c>
      <c r="AB289" t="s">
        <v>1896</v>
      </c>
      <c r="AC289" t="s">
        <v>1462</v>
      </c>
      <c r="AD289" t="s">
        <v>1896</v>
      </c>
      <c r="AE289" t="s">
        <v>1462</v>
      </c>
      <c r="AF289" t="s">
        <v>1896</v>
      </c>
      <c r="AG289" t="s">
        <v>1462</v>
      </c>
      <c r="AH289" t="s">
        <v>1896</v>
      </c>
      <c r="AI289" t="s">
        <v>1462</v>
      </c>
      <c r="AJ289" t="s">
        <v>1896</v>
      </c>
      <c r="AK289" t="s">
        <v>1462</v>
      </c>
      <c r="AL289" t="s">
        <v>1896</v>
      </c>
      <c r="AM289" t="s">
        <v>1462</v>
      </c>
      <c r="AN289" t="s">
        <v>1896</v>
      </c>
      <c r="AO289" t="s">
        <v>1462</v>
      </c>
      <c r="AP289" t="s">
        <v>1896</v>
      </c>
      <c r="AQ289" t="s">
        <v>1462</v>
      </c>
      <c r="AR289" t="s">
        <v>1896</v>
      </c>
      <c r="AS289" t="s">
        <v>1462</v>
      </c>
    </row>
    <row r="290" spans="1:45" x14ac:dyDescent="0.25">
      <c r="A290">
        <v>28</v>
      </c>
      <c r="B290">
        <v>3.9</v>
      </c>
      <c r="C290">
        <v>1.5</v>
      </c>
      <c r="D290">
        <v>4.3</v>
      </c>
      <c r="E290">
        <v>1.5</v>
      </c>
      <c r="F290" t="s">
        <v>2169</v>
      </c>
      <c r="G290">
        <v>1.5</v>
      </c>
      <c r="H290" t="s">
        <v>2170</v>
      </c>
      <c r="I290">
        <v>1.5</v>
      </c>
      <c r="J290" t="s">
        <v>2171</v>
      </c>
      <c r="K290">
        <v>1.5</v>
      </c>
      <c r="L290" t="s">
        <v>2171</v>
      </c>
      <c r="M290">
        <v>1.5</v>
      </c>
      <c r="N290" t="s">
        <v>2173</v>
      </c>
      <c r="O290">
        <v>1.5</v>
      </c>
      <c r="P290" t="s">
        <v>2175</v>
      </c>
      <c r="Q290">
        <v>1.5</v>
      </c>
      <c r="R290" t="s">
        <v>2176</v>
      </c>
      <c r="S290">
        <v>1.5</v>
      </c>
      <c r="T290" t="s">
        <v>2174</v>
      </c>
      <c r="U290">
        <v>1.5</v>
      </c>
      <c r="V290" t="s">
        <v>2177</v>
      </c>
      <c r="W290">
        <v>1.5</v>
      </c>
      <c r="X290" t="s">
        <v>2178</v>
      </c>
      <c r="Y290">
        <v>1.5</v>
      </c>
      <c r="Z290">
        <v>9.1999999999999993</v>
      </c>
      <c r="AA290">
        <v>1.5</v>
      </c>
      <c r="AB290">
        <v>8.4</v>
      </c>
      <c r="AC290">
        <v>1.5</v>
      </c>
      <c r="AD290">
        <v>7.6</v>
      </c>
      <c r="AE290">
        <v>1.5</v>
      </c>
      <c r="AF290">
        <v>6.9</v>
      </c>
      <c r="AG290">
        <v>1.5</v>
      </c>
      <c r="AH290">
        <v>6.4</v>
      </c>
      <c r="AI290">
        <v>1.5</v>
      </c>
      <c r="AJ290">
        <v>5.8</v>
      </c>
      <c r="AK290">
        <v>1.5</v>
      </c>
      <c r="AL290">
        <v>5.3</v>
      </c>
      <c r="AM290">
        <v>1.5</v>
      </c>
      <c r="AN290">
        <v>4.9000000000000004</v>
      </c>
      <c r="AO290">
        <v>2</v>
      </c>
      <c r="AP290">
        <v>4.5</v>
      </c>
      <c r="AQ290">
        <v>2</v>
      </c>
      <c r="AR290">
        <v>4.2</v>
      </c>
      <c r="AS290">
        <v>2</v>
      </c>
    </row>
    <row r="291" spans="1:45" x14ac:dyDescent="0.25">
      <c r="A291">
        <v>26</v>
      </c>
      <c r="B291">
        <v>2.2000000000000002</v>
      </c>
      <c r="C291">
        <v>1.5</v>
      </c>
      <c r="D291">
        <v>2.4</v>
      </c>
      <c r="E291">
        <v>1.5</v>
      </c>
      <c r="F291">
        <v>2.7</v>
      </c>
      <c r="G291">
        <v>1.5</v>
      </c>
      <c r="H291">
        <v>3.1</v>
      </c>
      <c r="I291">
        <v>1.5</v>
      </c>
      <c r="J291">
        <v>3.6</v>
      </c>
      <c r="K291">
        <v>1.5</v>
      </c>
      <c r="L291" t="s">
        <v>2172</v>
      </c>
      <c r="M291">
        <v>1.5</v>
      </c>
      <c r="N291" t="s">
        <v>2174</v>
      </c>
      <c r="O291">
        <v>1.5</v>
      </c>
      <c r="P291">
        <v>11.8</v>
      </c>
      <c r="Q291">
        <v>1.5</v>
      </c>
      <c r="R291">
        <v>10.9</v>
      </c>
      <c r="S291">
        <v>1.5</v>
      </c>
      <c r="T291">
        <v>9.9</v>
      </c>
      <c r="U291">
        <v>1.5</v>
      </c>
      <c r="V291">
        <v>8.9</v>
      </c>
      <c r="W291">
        <v>1.5</v>
      </c>
      <c r="X291">
        <v>8</v>
      </c>
      <c r="Y291">
        <v>1.5</v>
      </c>
      <c r="Z291">
        <v>7.2</v>
      </c>
      <c r="AA291">
        <v>1.5</v>
      </c>
      <c r="AB291">
        <v>6.4</v>
      </c>
      <c r="AC291">
        <v>1.5</v>
      </c>
      <c r="AD291">
        <v>5.8</v>
      </c>
      <c r="AE291">
        <v>1.5</v>
      </c>
      <c r="AF291">
        <v>5.0999999999999996</v>
      </c>
      <c r="AG291">
        <v>1.5</v>
      </c>
      <c r="AH291">
        <v>4.5999999999999996</v>
      </c>
      <c r="AI291">
        <v>1.5</v>
      </c>
      <c r="AJ291">
        <v>4.0999999999999996</v>
      </c>
      <c r="AK291">
        <v>1.5</v>
      </c>
      <c r="AL291">
        <v>3.7</v>
      </c>
      <c r="AM291">
        <v>1.5</v>
      </c>
      <c r="AN291">
        <v>3.3</v>
      </c>
      <c r="AO291">
        <v>2</v>
      </c>
      <c r="AP291">
        <v>3</v>
      </c>
      <c r="AQ291">
        <v>2</v>
      </c>
      <c r="AR291">
        <v>2.6</v>
      </c>
      <c r="AS291">
        <v>2</v>
      </c>
    </row>
    <row r="292" spans="1:45" x14ac:dyDescent="0.25">
      <c r="A292">
        <v>24</v>
      </c>
      <c r="B292">
        <v>1</v>
      </c>
      <c r="C292">
        <v>1.5</v>
      </c>
      <c r="D292">
        <v>1.2</v>
      </c>
      <c r="E292">
        <v>1.5</v>
      </c>
      <c r="F292">
        <v>1.3</v>
      </c>
      <c r="G292">
        <v>1.5</v>
      </c>
      <c r="H292">
        <v>1.5</v>
      </c>
      <c r="I292">
        <v>1.5</v>
      </c>
      <c r="J292">
        <v>1.7</v>
      </c>
      <c r="K292">
        <v>1.5</v>
      </c>
      <c r="L292">
        <v>2</v>
      </c>
      <c r="M292">
        <v>1.5</v>
      </c>
      <c r="N292">
        <v>2.4</v>
      </c>
      <c r="O292">
        <v>1.5</v>
      </c>
      <c r="P292">
        <v>3.3</v>
      </c>
      <c r="Q292">
        <v>1.5</v>
      </c>
      <c r="R292">
        <v>8.3000000000000007</v>
      </c>
      <c r="S292">
        <v>1.5</v>
      </c>
      <c r="T292">
        <v>7.7</v>
      </c>
      <c r="U292">
        <v>1.5</v>
      </c>
      <c r="V292">
        <v>6.9</v>
      </c>
      <c r="W292">
        <v>1.5</v>
      </c>
      <c r="X292">
        <v>6</v>
      </c>
      <c r="Y292">
        <v>1.5</v>
      </c>
      <c r="Z292">
        <v>5.2</v>
      </c>
      <c r="AA292">
        <v>1.5</v>
      </c>
      <c r="AB292">
        <v>4.5</v>
      </c>
      <c r="AC292">
        <v>1.5</v>
      </c>
      <c r="AD292">
        <v>4</v>
      </c>
      <c r="AE292">
        <v>1.5</v>
      </c>
      <c r="AF292">
        <v>3.3</v>
      </c>
      <c r="AG292">
        <v>1.5</v>
      </c>
      <c r="AH292">
        <v>3</v>
      </c>
      <c r="AI292">
        <v>1.5</v>
      </c>
      <c r="AJ292">
        <v>2.5</v>
      </c>
      <c r="AK292">
        <v>1.5</v>
      </c>
      <c r="AL292">
        <v>2.1</v>
      </c>
      <c r="AM292">
        <v>1.5</v>
      </c>
      <c r="AN292">
        <v>1.9</v>
      </c>
      <c r="AO292">
        <v>2</v>
      </c>
      <c r="AP292">
        <v>1.6</v>
      </c>
      <c r="AQ292">
        <v>2</v>
      </c>
      <c r="AR292">
        <v>1.5</v>
      </c>
      <c r="AS292">
        <v>2</v>
      </c>
    </row>
    <row r="293" spans="1:45" x14ac:dyDescent="0.25">
      <c r="A293">
        <v>22</v>
      </c>
      <c r="B293">
        <v>1</v>
      </c>
      <c r="C293">
        <v>1.5</v>
      </c>
      <c r="D293">
        <v>1</v>
      </c>
      <c r="E293">
        <v>1.5</v>
      </c>
      <c r="F293">
        <v>1</v>
      </c>
      <c r="G293">
        <v>1.5</v>
      </c>
      <c r="H293">
        <v>1</v>
      </c>
      <c r="I293">
        <v>1.5</v>
      </c>
      <c r="J293">
        <v>1</v>
      </c>
      <c r="K293">
        <v>1.5</v>
      </c>
      <c r="L293">
        <v>1</v>
      </c>
      <c r="M293">
        <v>1.5</v>
      </c>
      <c r="N293">
        <v>1</v>
      </c>
      <c r="O293">
        <v>1.5</v>
      </c>
      <c r="P293">
        <v>1</v>
      </c>
      <c r="Q293">
        <v>1.5</v>
      </c>
      <c r="R293">
        <v>1.5</v>
      </c>
      <c r="S293">
        <v>1.5</v>
      </c>
      <c r="T293">
        <v>1.7</v>
      </c>
      <c r="U293">
        <v>1.5</v>
      </c>
      <c r="V293">
        <v>4</v>
      </c>
      <c r="W293">
        <v>1.5</v>
      </c>
      <c r="X293">
        <v>4</v>
      </c>
      <c r="Y293">
        <v>1.5</v>
      </c>
      <c r="Z293">
        <v>3.5</v>
      </c>
      <c r="AA293">
        <v>1.5</v>
      </c>
      <c r="AB293">
        <v>3</v>
      </c>
      <c r="AC293">
        <v>1.5</v>
      </c>
      <c r="AD293">
        <v>2.2000000000000002</v>
      </c>
      <c r="AE293">
        <v>1.5</v>
      </c>
      <c r="AF293">
        <v>1.7</v>
      </c>
      <c r="AG293">
        <v>1.5</v>
      </c>
      <c r="AH293">
        <v>1.3</v>
      </c>
      <c r="AI293">
        <v>1.5</v>
      </c>
      <c r="AJ293">
        <v>1</v>
      </c>
      <c r="AK293">
        <v>1.5</v>
      </c>
      <c r="AL293">
        <v>1</v>
      </c>
      <c r="AM293">
        <v>1.5</v>
      </c>
      <c r="AN293">
        <v>1</v>
      </c>
      <c r="AO293">
        <v>2</v>
      </c>
      <c r="AP293">
        <v>1</v>
      </c>
      <c r="AQ293">
        <v>2</v>
      </c>
      <c r="AR293">
        <v>1</v>
      </c>
      <c r="AS293">
        <v>2</v>
      </c>
    </row>
    <row r="294" spans="1:45" x14ac:dyDescent="0.25">
      <c r="A294">
        <v>20</v>
      </c>
      <c r="B294">
        <v>1</v>
      </c>
      <c r="C294">
        <v>1.5</v>
      </c>
      <c r="D294">
        <v>1</v>
      </c>
      <c r="E294">
        <v>1.5</v>
      </c>
      <c r="F294">
        <v>1</v>
      </c>
      <c r="G294">
        <v>1.5</v>
      </c>
      <c r="H294">
        <v>1</v>
      </c>
      <c r="I294">
        <v>1.5</v>
      </c>
      <c r="J294">
        <v>1</v>
      </c>
      <c r="K294">
        <v>1.5</v>
      </c>
      <c r="L294">
        <v>1</v>
      </c>
      <c r="M294">
        <v>1.5</v>
      </c>
      <c r="N294">
        <v>1</v>
      </c>
      <c r="O294">
        <v>1.5</v>
      </c>
      <c r="P294">
        <v>1</v>
      </c>
      <c r="Q294">
        <v>1.5</v>
      </c>
      <c r="R294">
        <v>1</v>
      </c>
      <c r="S294">
        <v>1.5</v>
      </c>
      <c r="T294">
        <v>1</v>
      </c>
      <c r="U294">
        <v>1.5</v>
      </c>
      <c r="V294">
        <v>1</v>
      </c>
      <c r="W294">
        <v>1.5</v>
      </c>
      <c r="X294">
        <v>1</v>
      </c>
      <c r="Y294">
        <v>1.5</v>
      </c>
      <c r="Z294">
        <v>1</v>
      </c>
      <c r="AA294">
        <v>1.5</v>
      </c>
      <c r="AB294">
        <v>1</v>
      </c>
      <c r="AC294">
        <v>1.5</v>
      </c>
      <c r="AD294">
        <v>1</v>
      </c>
      <c r="AE294">
        <v>1.5</v>
      </c>
      <c r="AF294">
        <v>1</v>
      </c>
      <c r="AG294">
        <v>1.5</v>
      </c>
      <c r="AH294">
        <v>1</v>
      </c>
      <c r="AI294">
        <v>1.5</v>
      </c>
      <c r="AJ294">
        <v>1</v>
      </c>
      <c r="AK294">
        <v>1.5</v>
      </c>
      <c r="AL294">
        <v>1</v>
      </c>
      <c r="AM294">
        <v>1.5</v>
      </c>
      <c r="AN294">
        <v>1</v>
      </c>
      <c r="AO294">
        <v>2</v>
      </c>
      <c r="AP294">
        <v>1</v>
      </c>
      <c r="AQ294">
        <v>2</v>
      </c>
      <c r="AR294">
        <v>1</v>
      </c>
      <c r="AS294">
        <v>2</v>
      </c>
    </row>
    <row r="295" spans="1:45" x14ac:dyDescent="0.25">
      <c r="A295">
        <v>19</v>
      </c>
      <c r="B295">
        <v>1</v>
      </c>
      <c r="C295">
        <v>1.5</v>
      </c>
      <c r="D295">
        <v>1</v>
      </c>
      <c r="E295">
        <v>1.5</v>
      </c>
      <c r="F295">
        <v>1</v>
      </c>
      <c r="G295">
        <v>1.5</v>
      </c>
      <c r="H295">
        <v>1</v>
      </c>
      <c r="I295">
        <v>1.5</v>
      </c>
      <c r="J295">
        <v>1</v>
      </c>
      <c r="K295">
        <v>1.5</v>
      </c>
      <c r="L295">
        <v>1</v>
      </c>
      <c r="M295">
        <v>1.5</v>
      </c>
      <c r="N295">
        <v>1</v>
      </c>
      <c r="O295">
        <v>1.5</v>
      </c>
      <c r="P295">
        <v>1</v>
      </c>
      <c r="Q295">
        <v>1.5</v>
      </c>
      <c r="R295">
        <v>1</v>
      </c>
      <c r="S295">
        <v>1.5</v>
      </c>
      <c r="T295">
        <v>1</v>
      </c>
      <c r="U295">
        <v>1.5</v>
      </c>
      <c r="V295">
        <v>1</v>
      </c>
      <c r="W295">
        <v>1.5</v>
      </c>
      <c r="X295">
        <v>1</v>
      </c>
      <c r="Y295">
        <v>1.5</v>
      </c>
      <c r="Z295">
        <v>1</v>
      </c>
      <c r="AA295">
        <v>1.5</v>
      </c>
      <c r="AB295">
        <v>1</v>
      </c>
      <c r="AC295">
        <v>1.5</v>
      </c>
      <c r="AD295">
        <v>1</v>
      </c>
      <c r="AE295">
        <v>1.5</v>
      </c>
      <c r="AF295">
        <v>1</v>
      </c>
      <c r="AG295">
        <v>1.5</v>
      </c>
      <c r="AH295">
        <v>1</v>
      </c>
      <c r="AI295">
        <v>1.5</v>
      </c>
      <c r="AJ295">
        <v>1</v>
      </c>
      <c r="AK295">
        <v>1.5</v>
      </c>
      <c r="AL295">
        <v>1</v>
      </c>
      <c r="AM295">
        <v>1.5</v>
      </c>
      <c r="AN295">
        <v>1</v>
      </c>
      <c r="AO295">
        <v>2</v>
      </c>
      <c r="AP295">
        <v>1</v>
      </c>
      <c r="AQ295">
        <v>2</v>
      </c>
      <c r="AR295">
        <v>1</v>
      </c>
      <c r="AS295">
        <v>2</v>
      </c>
    </row>
    <row r="296" spans="1:45" x14ac:dyDescent="0.25">
      <c r="A296">
        <v>18</v>
      </c>
      <c r="B296">
        <v>1</v>
      </c>
      <c r="C296">
        <v>1.5</v>
      </c>
      <c r="D296">
        <v>1</v>
      </c>
      <c r="E296">
        <v>1.5</v>
      </c>
      <c r="F296">
        <v>1</v>
      </c>
      <c r="G296">
        <v>1.5</v>
      </c>
      <c r="H296">
        <v>1</v>
      </c>
      <c r="I296">
        <v>1.5</v>
      </c>
      <c r="J296">
        <v>1</v>
      </c>
      <c r="K296">
        <v>1.5</v>
      </c>
      <c r="L296">
        <v>1</v>
      </c>
      <c r="M296">
        <v>1.5</v>
      </c>
      <c r="N296">
        <v>1</v>
      </c>
      <c r="O296">
        <v>1.5</v>
      </c>
      <c r="P296">
        <v>1</v>
      </c>
      <c r="Q296">
        <v>1.5</v>
      </c>
      <c r="R296">
        <v>1</v>
      </c>
      <c r="S296">
        <v>1.5</v>
      </c>
      <c r="T296">
        <v>1</v>
      </c>
      <c r="U296">
        <v>1.5</v>
      </c>
      <c r="V296">
        <v>1</v>
      </c>
      <c r="W296">
        <v>1.5</v>
      </c>
      <c r="X296">
        <v>1</v>
      </c>
      <c r="Y296">
        <v>1.5</v>
      </c>
      <c r="Z296">
        <v>1</v>
      </c>
      <c r="AA296">
        <v>1.5</v>
      </c>
      <c r="AB296">
        <v>1</v>
      </c>
      <c r="AC296">
        <v>1.5</v>
      </c>
      <c r="AD296">
        <v>1</v>
      </c>
      <c r="AE296">
        <v>1.5</v>
      </c>
      <c r="AF296">
        <v>1</v>
      </c>
      <c r="AG296">
        <v>1.5</v>
      </c>
      <c r="AH296">
        <v>1</v>
      </c>
      <c r="AI296">
        <v>1.5</v>
      </c>
      <c r="AJ296">
        <v>1</v>
      </c>
      <c r="AK296">
        <v>1.5</v>
      </c>
      <c r="AL296">
        <v>1</v>
      </c>
      <c r="AM296">
        <v>1.5</v>
      </c>
      <c r="AN296">
        <v>1</v>
      </c>
      <c r="AO296">
        <v>2</v>
      </c>
      <c r="AP296">
        <v>1</v>
      </c>
      <c r="AQ296">
        <v>2</v>
      </c>
      <c r="AR296">
        <v>1</v>
      </c>
      <c r="AS296">
        <v>2</v>
      </c>
    </row>
    <row r="297" spans="1:45" x14ac:dyDescent="0.25">
      <c r="A297">
        <v>17</v>
      </c>
      <c r="B297">
        <v>1</v>
      </c>
      <c r="C297">
        <v>1.5</v>
      </c>
      <c r="D297">
        <v>1</v>
      </c>
      <c r="E297">
        <v>1.5</v>
      </c>
      <c r="F297">
        <v>1</v>
      </c>
      <c r="G297">
        <v>1.5</v>
      </c>
      <c r="H297">
        <v>1</v>
      </c>
      <c r="I297">
        <v>1.5</v>
      </c>
      <c r="J297">
        <v>1</v>
      </c>
      <c r="K297">
        <v>1.5</v>
      </c>
      <c r="L297">
        <v>1</v>
      </c>
      <c r="M297">
        <v>1.5</v>
      </c>
      <c r="N297">
        <v>1</v>
      </c>
      <c r="O297">
        <v>1.5</v>
      </c>
      <c r="P297">
        <v>1</v>
      </c>
      <c r="Q297">
        <v>1.5</v>
      </c>
      <c r="R297">
        <v>1</v>
      </c>
      <c r="S297">
        <v>1.5</v>
      </c>
      <c r="T297">
        <v>1</v>
      </c>
      <c r="U297">
        <v>1.5</v>
      </c>
      <c r="V297">
        <v>1</v>
      </c>
      <c r="W297">
        <v>1.5</v>
      </c>
      <c r="X297">
        <v>1</v>
      </c>
      <c r="Y297">
        <v>1.5</v>
      </c>
      <c r="Z297">
        <v>1</v>
      </c>
      <c r="AA297">
        <v>1.5</v>
      </c>
      <c r="AB297">
        <v>1</v>
      </c>
      <c r="AC297">
        <v>1.5</v>
      </c>
      <c r="AD297">
        <v>1</v>
      </c>
      <c r="AE297">
        <v>1.5</v>
      </c>
      <c r="AF297">
        <v>1</v>
      </c>
      <c r="AG297">
        <v>1.5</v>
      </c>
      <c r="AH297">
        <v>1</v>
      </c>
      <c r="AI297">
        <v>1.5</v>
      </c>
      <c r="AJ297">
        <v>1</v>
      </c>
      <c r="AK297">
        <v>1.5</v>
      </c>
      <c r="AL297">
        <v>1</v>
      </c>
      <c r="AM297">
        <v>1.5</v>
      </c>
      <c r="AN297">
        <v>1</v>
      </c>
      <c r="AO297">
        <v>2</v>
      </c>
      <c r="AP297">
        <v>1</v>
      </c>
      <c r="AQ297">
        <v>2</v>
      </c>
      <c r="AR297">
        <v>1</v>
      </c>
      <c r="AS297">
        <v>2</v>
      </c>
    </row>
    <row r="298" spans="1:45" x14ac:dyDescent="0.25">
      <c r="A298">
        <v>16</v>
      </c>
      <c r="B298">
        <v>1</v>
      </c>
      <c r="C298">
        <v>1.5</v>
      </c>
      <c r="D298">
        <v>1</v>
      </c>
      <c r="E298">
        <v>1.5</v>
      </c>
      <c r="F298">
        <v>1</v>
      </c>
      <c r="G298">
        <v>1.5</v>
      </c>
      <c r="H298">
        <v>1</v>
      </c>
      <c r="I298">
        <v>1.5</v>
      </c>
      <c r="J298">
        <v>1</v>
      </c>
      <c r="K298">
        <v>1.5</v>
      </c>
      <c r="L298">
        <v>1</v>
      </c>
      <c r="M298">
        <v>1.5</v>
      </c>
      <c r="N298">
        <v>1</v>
      </c>
      <c r="O298">
        <v>1.5</v>
      </c>
      <c r="P298">
        <v>1</v>
      </c>
      <c r="Q298">
        <v>1.5</v>
      </c>
      <c r="R298">
        <v>1</v>
      </c>
      <c r="S298">
        <v>1.5</v>
      </c>
      <c r="T298">
        <v>1</v>
      </c>
      <c r="U298">
        <v>1.5</v>
      </c>
      <c r="V298">
        <v>1</v>
      </c>
      <c r="W298">
        <v>1.5</v>
      </c>
      <c r="X298">
        <v>1</v>
      </c>
      <c r="Y298">
        <v>1.5</v>
      </c>
      <c r="Z298">
        <v>1</v>
      </c>
      <c r="AA298">
        <v>1.5</v>
      </c>
      <c r="AB298">
        <v>1</v>
      </c>
      <c r="AC298">
        <v>1.5</v>
      </c>
      <c r="AD298">
        <v>1</v>
      </c>
      <c r="AE298">
        <v>1.5</v>
      </c>
      <c r="AF298">
        <v>1</v>
      </c>
      <c r="AG298">
        <v>1.5</v>
      </c>
      <c r="AH298">
        <v>1</v>
      </c>
      <c r="AI298">
        <v>1.5</v>
      </c>
      <c r="AJ298">
        <v>1</v>
      </c>
      <c r="AK298">
        <v>1.5</v>
      </c>
      <c r="AL298">
        <v>1</v>
      </c>
      <c r="AM298">
        <v>1.5</v>
      </c>
      <c r="AN298">
        <v>1</v>
      </c>
      <c r="AO298">
        <v>2</v>
      </c>
      <c r="AP298">
        <v>1</v>
      </c>
      <c r="AQ298">
        <v>2</v>
      </c>
      <c r="AR298">
        <v>1</v>
      </c>
      <c r="AS298">
        <v>2</v>
      </c>
    </row>
    <row r="299" spans="1:45" x14ac:dyDescent="0.25">
      <c r="A299">
        <v>15</v>
      </c>
      <c r="B299">
        <v>1</v>
      </c>
      <c r="C299">
        <v>1.5</v>
      </c>
      <c r="D299">
        <v>1</v>
      </c>
      <c r="E299">
        <v>1.5</v>
      </c>
      <c r="F299">
        <v>1</v>
      </c>
      <c r="G299">
        <v>1.5</v>
      </c>
      <c r="H299">
        <v>1</v>
      </c>
      <c r="I299">
        <v>1.5</v>
      </c>
      <c r="J299">
        <v>1</v>
      </c>
      <c r="K299">
        <v>1.5</v>
      </c>
      <c r="L299">
        <v>1</v>
      </c>
      <c r="M299">
        <v>1.5</v>
      </c>
      <c r="N299">
        <v>1</v>
      </c>
      <c r="O299">
        <v>1.5</v>
      </c>
      <c r="P299">
        <v>1</v>
      </c>
      <c r="Q299">
        <v>1.5</v>
      </c>
      <c r="R299">
        <v>1</v>
      </c>
      <c r="S299">
        <v>1.5</v>
      </c>
      <c r="T299">
        <v>1</v>
      </c>
      <c r="U299">
        <v>1.5</v>
      </c>
      <c r="V299">
        <v>1</v>
      </c>
      <c r="W299">
        <v>1.5</v>
      </c>
      <c r="X299">
        <v>1</v>
      </c>
      <c r="Y299">
        <v>1.5</v>
      </c>
      <c r="Z299">
        <v>1</v>
      </c>
      <c r="AA299">
        <v>1.5</v>
      </c>
      <c r="AB299">
        <v>1</v>
      </c>
      <c r="AC299">
        <v>1.5</v>
      </c>
      <c r="AD299">
        <v>1</v>
      </c>
      <c r="AE299">
        <v>1.5</v>
      </c>
      <c r="AF299">
        <v>1</v>
      </c>
      <c r="AG299">
        <v>1.5</v>
      </c>
      <c r="AH299">
        <v>1</v>
      </c>
      <c r="AI299">
        <v>1.5</v>
      </c>
      <c r="AJ299">
        <v>1</v>
      </c>
      <c r="AK299">
        <v>1.5</v>
      </c>
      <c r="AL299">
        <v>1</v>
      </c>
      <c r="AM299">
        <v>1.5</v>
      </c>
      <c r="AN299">
        <v>1</v>
      </c>
      <c r="AO299">
        <v>2</v>
      </c>
      <c r="AP299">
        <v>1</v>
      </c>
      <c r="AQ299">
        <v>2</v>
      </c>
      <c r="AR299">
        <v>1</v>
      </c>
      <c r="AS299">
        <v>2</v>
      </c>
    </row>
    <row r="300" spans="1:45" x14ac:dyDescent="0.25">
      <c r="A300">
        <v>14</v>
      </c>
      <c r="B300">
        <v>1</v>
      </c>
      <c r="C300">
        <v>1.5</v>
      </c>
      <c r="D300">
        <v>1</v>
      </c>
      <c r="E300">
        <v>1.5</v>
      </c>
      <c r="F300">
        <v>1</v>
      </c>
      <c r="G300">
        <v>1.5</v>
      </c>
      <c r="H300">
        <v>1</v>
      </c>
      <c r="I300">
        <v>1.5</v>
      </c>
      <c r="J300">
        <v>1</v>
      </c>
      <c r="K300">
        <v>1.5</v>
      </c>
      <c r="L300">
        <v>1</v>
      </c>
      <c r="M300">
        <v>1.5</v>
      </c>
      <c r="N300">
        <v>1</v>
      </c>
      <c r="O300">
        <v>1.5</v>
      </c>
      <c r="P300">
        <v>1</v>
      </c>
      <c r="Q300">
        <v>1.5</v>
      </c>
      <c r="R300">
        <v>1</v>
      </c>
      <c r="S300">
        <v>1.5</v>
      </c>
      <c r="T300">
        <v>1</v>
      </c>
      <c r="U300">
        <v>1.5</v>
      </c>
      <c r="V300">
        <v>1</v>
      </c>
      <c r="W300">
        <v>1.5</v>
      </c>
      <c r="X300">
        <v>1</v>
      </c>
      <c r="Y300">
        <v>1.5</v>
      </c>
      <c r="Z300">
        <v>1</v>
      </c>
      <c r="AA300">
        <v>1.5</v>
      </c>
      <c r="AB300">
        <v>1</v>
      </c>
      <c r="AC300">
        <v>1.5</v>
      </c>
      <c r="AD300">
        <v>1</v>
      </c>
      <c r="AE300">
        <v>1.5</v>
      </c>
      <c r="AF300">
        <v>1</v>
      </c>
      <c r="AG300">
        <v>1.5</v>
      </c>
      <c r="AH300">
        <v>1</v>
      </c>
      <c r="AI300">
        <v>1.5</v>
      </c>
      <c r="AJ300">
        <v>1</v>
      </c>
      <c r="AK300">
        <v>1.5</v>
      </c>
      <c r="AL300">
        <v>1</v>
      </c>
      <c r="AM300">
        <v>1.5</v>
      </c>
      <c r="AN300">
        <v>1</v>
      </c>
      <c r="AO300">
        <v>2</v>
      </c>
      <c r="AP300">
        <v>1</v>
      </c>
      <c r="AQ300">
        <v>2</v>
      </c>
      <c r="AR300">
        <v>1</v>
      </c>
      <c r="AS300">
        <v>2</v>
      </c>
    </row>
    <row r="301" spans="1:45" x14ac:dyDescent="0.25">
      <c r="A301">
        <v>13</v>
      </c>
      <c r="B301">
        <v>1</v>
      </c>
      <c r="C301">
        <v>1.5</v>
      </c>
      <c r="D301">
        <v>1</v>
      </c>
      <c r="E301">
        <v>1.5</v>
      </c>
      <c r="F301">
        <v>1</v>
      </c>
      <c r="G301">
        <v>1.5</v>
      </c>
      <c r="H301">
        <v>1</v>
      </c>
      <c r="I301">
        <v>1.5</v>
      </c>
      <c r="J301">
        <v>1</v>
      </c>
      <c r="K301">
        <v>1.5</v>
      </c>
      <c r="L301">
        <v>1</v>
      </c>
      <c r="M301">
        <v>1.5</v>
      </c>
      <c r="N301">
        <v>1</v>
      </c>
      <c r="O301">
        <v>1.5</v>
      </c>
      <c r="P301">
        <v>1</v>
      </c>
      <c r="Q301">
        <v>1.5</v>
      </c>
      <c r="R301">
        <v>1</v>
      </c>
      <c r="S301">
        <v>1.5</v>
      </c>
      <c r="T301">
        <v>1</v>
      </c>
      <c r="U301">
        <v>1.5</v>
      </c>
      <c r="V301">
        <v>1</v>
      </c>
      <c r="W301">
        <v>1.5</v>
      </c>
      <c r="X301">
        <v>1</v>
      </c>
      <c r="Y301">
        <v>1.5</v>
      </c>
      <c r="Z301">
        <v>1</v>
      </c>
      <c r="AA301">
        <v>1.5</v>
      </c>
      <c r="AB301">
        <v>1</v>
      </c>
      <c r="AC301">
        <v>1.5</v>
      </c>
      <c r="AD301">
        <v>1</v>
      </c>
      <c r="AE301">
        <v>1.5</v>
      </c>
      <c r="AF301">
        <v>1</v>
      </c>
      <c r="AG301">
        <v>1.5</v>
      </c>
      <c r="AH301">
        <v>1</v>
      </c>
      <c r="AI301">
        <v>1.5</v>
      </c>
      <c r="AJ301">
        <v>1</v>
      </c>
      <c r="AK301">
        <v>1.5</v>
      </c>
      <c r="AL301">
        <v>1</v>
      </c>
      <c r="AM301">
        <v>1.5</v>
      </c>
      <c r="AN301">
        <v>1</v>
      </c>
      <c r="AO301">
        <v>2</v>
      </c>
      <c r="AP301">
        <v>1</v>
      </c>
      <c r="AQ301">
        <v>2</v>
      </c>
      <c r="AR301">
        <v>1</v>
      </c>
      <c r="AS301">
        <v>2</v>
      </c>
    </row>
    <row r="302" spans="1:45" x14ac:dyDescent="0.25">
      <c r="A302">
        <v>12</v>
      </c>
      <c r="B302">
        <v>1</v>
      </c>
      <c r="C302">
        <v>1.5</v>
      </c>
      <c r="D302">
        <v>1</v>
      </c>
      <c r="E302">
        <v>1.5</v>
      </c>
      <c r="F302">
        <v>1</v>
      </c>
      <c r="G302">
        <v>1.5</v>
      </c>
      <c r="H302">
        <v>1</v>
      </c>
      <c r="I302">
        <v>1.5</v>
      </c>
      <c r="J302">
        <v>1</v>
      </c>
      <c r="K302">
        <v>1.5</v>
      </c>
      <c r="L302">
        <v>1</v>
      </c>
      <c r="M302">
        <v>1.5</v>
      </c>
      <c r="N302">
        <v>1</v>
      </c>
      <c r="O302">
        <v>1.5</v>
      </c>
      <c r="P302">
        <v>1</v>
      </c>
      <c r="Q302">
        <v>1.5</v>
      </c>
      <c r="R302">
        <v>1</v>
      </c>
      <c r="S302">
        <v>1.5</v>
      </c>
      <c r="T302">
        <v>1</v>
      </c>
      <c r="U302">
        <v>1.5</v>
      </c>
      <c r="V302">
        <v>1</v>
      </c>
      <c r="W302">
        <v>1.5</v>
      </c>
      <c r="X302">
        <v>1</v>
      </c>
      <c r="Y302">
        <v>1.5</v>
      </c>
      <c r="Z302">
        <v>1</v>
      </c>
      <c r="AA302">
        <v>1.5</v>
      </c>
      <c r="AB302">
        <v>1</v>
      </c>
      <c r="AC302">
        <v>1.5</v>
      </c>
      <c r="AD302">
        <v>1</v>
      </c>
      <c r="AE302">
        <v>1.5</v>
      </c>
      <c r="AF302">
        <v>1</v>
      </c>
      <c r="AG302">
        <v>1.5</v>
      </c>
      <c r="AH302">
        <v>1</v>
      </c>
      <c r="AI302">
        <v>1.5</v>
      </c>
      <c r="AJ302">
        <v>1</v>
      </c>
      <c r="AK302">
        <v>1.5</v>
      </c>
      <c r="AL302">
        <v>1</v>
      </c>
      <c r="AM302">
        <v>1.5</v>
      </c>
      <c r="AN302">
        <v>1</v>
      </c>
      <c r="AO302">
        <v>2</v>
      </c>
      <c r="AP302">
        <v>1</v>
      </c>
      <c r="AQ302">
        <v>2</v>
      </c>
      <c r="AR302">
        <v>1</v>
      </c>
      <c r="AS302">
        <v>2</v>
      </c>
    </row>
    <row r="303" spans="1:45" x14ac:dyDescent="0.25">
      <c r="B303" s="620">
        <f ca="1">VLOOKUP($B$1,$A$290:$AS$302,2*($E$1-2),FALSE)</f>
        <v>1</v>
      </c>
      <c r="C303" s="620">
        <f ca="1">VLOOKUP($B$1,$A$290:$AS$302,2*($E$1-2)+1,FALSE)</f>
        <v>1.5</v>
      </c>
      <c r="D303" s="620"/>
    </row>
    <row r="305" spans="1:59" s="576" customFormat="1" x14ac:dyDescent="0.25">
      <c r="A305" s="576" t="s">
        <v>1861</v>
      </c>
    </row>
    <row r="307" spans="1:59" x14ac:dyDescent="0.25">
      <c r="B307" t="s">
        <v>2134</v>
      </c>
    </row>
    <row r="308" spans="1:59" s="381" customFormat="1" x14ac:dyDescent="0.25">
      <c r="B308" s="381">
        <v>-4</v>
      </c>
      <c r="D308" s="381">
        <v>-3</v>
      </c>
      <c r="F308" s="381">
        <v>-2</v>
      </c>
      <c r="H308" s="381">
        <v>-1</v>
      </c>
      <c r="J308" s="381">
        <v>0</v>
      </c>
      <c r="L308" s="381">
        <v>1</v>
      </c>
      <c r="N308" s="381">
        <v>2</v>
      </c>
      <c r="P308" s="381">
        <v>3</v>
      </c>
      <c r="R308" s="381">
        <v>4</v>
      </c>
      <c r="T308" s="381">
        <v>5</v>
      </c>
      <c r="V308" s="381">
        <v>6</v>
      </c>
      <c r="X308" s="381">
        <v>7</v>
      </c>
      <c r="Z308" s="381">
        <v>8</v>
      </c>
      <c r="AB308" s="381">
        <v>9</v>
      </c>
      <c r="AD308" s="381">
        <v>10</v>
      </c>
      <c r="AF308" s="381">
        <v>11</v>
      </c>
      <c r="AH308" s="381">
        <v>12</v>
      </c>
      <c r="AJ308" s="381">
        <v>13</v>
      </c>
      <c r="AL308" s="381">
        <v>14</v>
      </c>
      <c r="AN308" s="381">
        <v>15</v>
      </c>
      <c r="AP308" s="381">
        <v>16</v>
      </c>
      <c r="AR308" s="381">
        <v>17</v>
      </c>
      <c r="AT308" s="381">
        <v>18</v>
      </c>
      <c r="AV308" s="381">
        <v>19</v>
      </c>
      <c r="AX308" s="381">
        <v>20</v>
      </c>
      <c r="AZ308" s="381">
        <v>21</v>
      </c>
      <c r="BB308" s="381">
        <v>22</v>
      </c>
      <c r="BD308" s="381">
        <v>23</v>
      </c>
      <c r="BF308" s="381">
        <v>24</v>
      </c>
    </row>
    <row r="309" spans="1:59" x14ac:dyDescent="0.25">
      <c r="A309" t="s">
        <v>1400</v>
      </c>
      <c r="B309" t="s">
        <v>1896</v>
      </c>
      <c r="C309" t="s">
        <v>1462</v>
      </c>
      <c r="D309" t="s">
        <v>1896</v>
      </c>
      <c r="E309" t="s">
        <v>1462</v>
      </c>
      <c r="T309" t="s">
        <v>1896</v>
      </c>
      <c r="U309" t="s">
        <v>1462</v>
      </c>
      <c r="X309" t="s">
        <v>1896</v>
      </c>
      <c r="Y309" t="s">
        <v>1462</v>
      </c>
      <c r="AB309" t="s">
        <v>1896</v>
      </c>
      <c r="AC309" t="s">
        <v>1462</v>
      </c>
      <c r="AF309" t="s">
        <v>1896</v>
      </c>
      <c r="AG309" t="s">
        <v>1462</v>
      </c>
      <c r="AJ309" t="s">
        <v>1896</v>
      </c>
      <c r="AK309" t="s">
        <v>1462</v>
      </c>
      <c r="AL309" t="s">
        <v>1896</v>
      </c>
      <c r="AM309" t="s">
        <v>1462</v>
      </c>
      <c r="AP309" t="s">
        <v>1896</v>
      </c>
      <c r="AQ309" t="s">
        <v>1462</v>
      </c>
      <c r="AT309" t="s">
        <v>1896</v>
      </c>
      <c r="AU309" t="s">
        <v>1462</v>
      </c>
      <c r="AV309" t="s">
        <v>1896</v>
      </c>
      <c r="AW309" t="s">
        <v>1462</v>
      </c>
      <c r="AZ309" t="s">
        <v>1896</v>
      </c>
      <c r="BA309" t="s">
        <v>1462</v>
      </c>
      <c r="BB309" t="s">
        <v>1896</v>
      </c>
      <c r="BC309" t="s">
        <v>1462</v>
      </c>
      <c r="BF309" t="s">
        <v>1896</v>
      </c>
      <c r="BG309" t="s">
        <v>1462</v>
      </c>
    </row>
    <row r="310" spans="1:59" x14ac:dyDescent="0.25">
      <c r="A310">
        <v>10</v>
      </c>
      <c r="B310" s="381">
        <v>2</v>
      </c>
      <c r="C310" s="381">
        <v>1.5</v>
      </c>
      <c r="D310" s="381">
        <v>2</v>
      </c>
      <c r="E310" s="381">
        <v>1.5</v>
      </c>
      <c r="T310" s="381">
        <v>2</v>
      </c>
      <c r="U310" s="381">
        <v>1.5</v>
      </c>
      <c r="X310" s="381">
        <v>2</v>
      </c>
      <c r="Y310" s="381">
        <v>1.5</v>
      </c>
      <c r="AB310" s="381">
        <v>2</v>
      </c>
      <c r="AC310" s="381">
        <v>1.5</v>
      </c>
      <c r="AF310" s="381">
        <v>2</v>
      </c>
      <c r="AG310" s="381">
        <v>1.5</v>
      </c>
      <c r="AJ310" s="381">
        <v>2</v>
      </c>
      <c r="AK310" s="381">
        <v>1.5</v>
      </c>
      <c r="AL310" s="381">
        <v>2</v>
      </c>
      <c r="AM310" s="381">
        <v>1.5</v>
      </c>
      <c r="AP310" s="381">
        <v>2</v>
      </c>
      <c r="AQ310" s="381">
        <v>1.5</v>
      </c>
      <c r="AT310" s="381">
        <v>2</v>
      </c>
      <c r="AU310" s="381">
        <v>1.5</v>
      </c>
      <c r="AV310" s="381">
        <v>2</v>
      </c>
      <c r="AW310" s="381">
        <v>1.5</v>
      </c>
      <c r="AZ310" s="381">
        <v>2</v>
      </c>
      <c r="BA310" s="381">
        <v>2.5</v>
      </c>
      <c r="BB310" s="381">
        <v>2</v>
      </c>
      <c r="BC310" s="381">
        <v>3</v>
      </c>
      <c r="BF310" s="381">
        <v>2</v>
      </c>
      <c r="BG310" s="381">
        <v>4</v>
      </c>
    </row>
    <row r="311" spans="1:59" x14ac:dyDescent="0.25">
      <c r="A311">
        <v>9</v>
      </c>
      <c r="B311" s="381">
        <v>2</v>
      </c>
      <c r="C311" s="381">
        <v>1.5</v>
      </c>
      <c r="D311" s="381">
        <v>2</v>
      </c>
      <c r="E311" s="381">
        <v>1.5</v>
      </c>
      <c r="T311" s="381">
        <v>2</v>
      </c>
      <c r="U311" s="381">
        <v>1.5</v>
      </c>
      <c r="X311" s="381">
        <v>2</v>
      </c>
      <c r="Y311" s="381">
        <v>1.5</v>
      </c>
      <c r="AB311" s="381">
        <v>2</v>
      </c>
      <c r="AC311" s="381">
        <v>1.5</v>
      </c>
      <c r="AF311" s="381">
        <v>2</v>
      </c>
      <c r="AG311" s="381">
        <v>1.5</v>
      </c>
      <c r="AJ311" s="381">
        <v>2</v>
      </c>
      <c r="AK311" s="381">
        <v>1.5</v>
      </c>
      <c r="AL311" s="381">
        <v>2</v>
      </c>
      <c r="AM311" s="381">
        <v>1.5</v>
      </c>
      <c r="AP311" s="381">
        <v>2</v>
      </c>
      <c r="AQ311" s="381">
        <v>1.5</v>
      </c>
      <c r="AT311" s="381">
        <v>2</v>
      </c>
      <c r="AU311" s="381">
        <v>1.5</v>
      </c>
      <c r="AV311" s="381">
        <v>2</v>
      </c>
      <c r="AW311" s="381">
        <v>1.5</v>
      </c>
      <c r="AZ311" s="381">
        <v>2</v>
      </c>
      <c r="BA311" s="381">
        <v>2.5</v>
      </c>
      <c r="BB311" s="381">
        <v>2</v>
      </c>
      <c r="BC311" s="381">
        <v>3</v>
      </c>
      <c r="BF311" s="381">
        <v>2</v>
      </c>
      <c r="BG311" s="381">
        <v>4</v>
      </c>
    </row>
    <row r="312" spans="1:59" x14ac:dyDescent="0.25">
      <c r="A312">
        <v>8</v>
      </c>
      <c r="B312" s="381">
        <v>2</v>
      </c>
      <c r="C312" s="381">
        <v>1.5</v>
      </c>
      <c r="D312" s="381">
        <v>2</v>
      </c>
      <c r="E312" s="381">
        <v>1.5</v>
      </c>
      <c r="T312" s="381">
        <v>2</v>
      </c>
      <c r="U312" s="381">
        <v>1.5</v>
      </c>
      <c r="X312" s="381">
        <v>2</v>
      </c>
      <c r="Y312" s="381">
        <v>1.5</v>
      </c>
      <c r="AB312" s="381">
        <v>2</v>
      </c>
      <c r="AC312" s="381">
        <v>1.5</v>
      </c>
      <c r="AF312" s="381">
        <v>2</v>
      </c>
      <c r="AG312" s="381">
        <v>1.5</v>
      </c>
      <c r="AJ312" s="381">
        <v>2</v>
      </c>
      <c r="AK312" s="381">
        <v>1.5</v>
      </c>
      <c r="AL312" s="381">
        <v>2</v>
      </c>
      <c r="AM312" s="381">
        <v>1.5</v>
      </c>
      <c r="AP312" s="381">
        <v>2</v>
      </c>
      <c r="AQ312" s="381">
        <v>1.5</v>
      </c>
      <c r="AT312" s="381">
        <v>2</v>
      </c>
      <c r="AU312" s="381">
        <v>1.5</v>
      </c>
      <c r="AV312" s="381">
        <v>2</v>
      </c>
      <c r="AW312" s="381">
        <v>1.5</v>
      </c>
      <c r="AZ312" s="381">
        <v>2</v>
      </c>
      <c r="BA312" s="381">
        <v>2.5</v>
      </c>
      <c r="BB312" s="381">
        <v>2</v>
      </c>
      <c r="BC312" s="381">
        <v>3</v>
      </c>
      <c r="BF312" s="381">
        <v>2</v>
      </c>
      <c r="BG312" s="381">
        <v>4</v>
      </c>
    </row>
    <row r="313" spans="1:59" x14ac:dyDescent="0.25">
      <c r="A313">
        <v>7</v>
      </c>
      <c r="B313" s="381">
        <v>2</v>
      </c>
      <c r="C313" s="381">
        <v>1.5</v>
      </c>
      <c r="D313" s="381">
        <v>2</v>
      </c>
      <c r="E313" s="381">
        <v>1.5</v>
      </c>
      <c r="T313" s="381">
        <v>2</v>
      </c>
      <c r="U313" s="381">
        <v>1.5</v>
      </c>
      <c r="X313" s="381">
        <v>2</v>
      </c>
      <c r="Y313" s="381">
        <v>1.5</v>
      </c>
      <c r="AB313" s="381">
        <v>2</v>
      </c>
      <c r="AC313" s="381">
        <v>1.5</v>
      </c>
      <c r="AF313" s="381">
        <v>2</v>
      </c>
      <c r="AG313" s="381">
        <v>1.5</v>
      </c>
      <c r="AJ313" s="381">
        <v>2</v>
      </c>
      <c r="AK313" s="381">
        <v>1.5</v>
      </c>
      <c r="AL313" s="381">
        <v>2</v>
      </c>
      <c r="AM313" s="381">
        <v>1.5</v>
      </c>
      <c r="AP313" s="381">
        <v>2</v>
      </c>
      <c r="AQ313" s="381">
        <v>1.5</v>
      </c>
      <c r="AT313" s="381">
        <v>2</v>
      </c>
      <c r="AU313" s="381">
        <v>1.5</v>
      </c>
      <c r="AV313" s="381">
        <v>2</v>
      </c>
      <c r="AW313" s="381">
        <v>1.5</v>
      </c>
      <c r="AZ313" s="381">
        <v>2</v>
      </c>
      <c r="BA313" s="381">
        <v>2.5</v>
      </c>
      <c r="BB313" s="381">
        <v>2</v>
      </c>
      <c r="BC313" s="381">
        <v>3</v>
      </c>
      <c r="BF313" s="381">
        <v>2</v>
      </c>
      <c r="BG313" s="381">
        <v>4</v>
      </c>
    </row>
    <row r="314" spans="1:59" x14ac:dyDescent="0.25">
      <c r="A314">
        <v>6</v>
      </c>
      <c r="B314" s="381">
        <v>2</v>
      </c>
      <c r="C314" s="381">
        <v>1.5</v>
      </c>
      <c r="D314" s="381">
        <v>2</v>
      </c>
      <c r="E314" s="381">
        <v>1.5</v>
      </c>
      <c r="T314" s="381">
        <v>2</v>
      </c>
      <c r="U314" s="381">
        <v>1.5</v>
      </c>
      <c r="X314" s="381">
        <v>2</v>
      </c>
      <c r="Y314" s="381">
        <v>1.5</v>
      </c>
      <c r="AB314" s="381">
        <v>2</v>
      </c>
      <c r="AC314" s="381">
        <v>1.5</v>
      </c>
      <c r="AF314" s="381">
        <v>2</v>
      </c>
      <c r="AG314" s="381">
        <v>1.5</v>
      </c>
      <c r="AJ314" s="381">
        <v>2</v>
      </c>
      <c r="AK314" s="381">
        <v>1.5</v>
      </c>
      <c r="AL314" s="381">
        <v>2</v>
      </c>
      <c r="AM314" s="381">
        <v>1.5</v>
      </c>
      <c r="AP314" s="381">
        <v>2</v>
      </c>
      <c r="AQ314" s="381">
        <v>1.5</v>
      </c>
      <c r="AT314" s="381">
        <v>2</v>
      </c>
      <c r="AU314" s="381">
        <v>1.5</v>
      </c>
      <c r="AV314" s="381">
        <v>2</v>
      </c>
      <c r="AW314" s="381">
        <v>1.5</v>
      </c>
      <c r="AZ314" s="381">
        <v>2</v>
      </c>
      <c r="BA314" s="381">
        <v>2.5</v>
      </c>
      <c r="BB314" s="381">
        <v>2</v>
      </c>
      <c r="BC314" s="381">
        <v>3</v>
      </c>
      <c r="BF314" s="381">
        <v>2</v>
      </c>
      <c r="BG314" s="381">
        <v>4</v>
      </c>
    </row>
    <row r="315" spans="1:59" x14ac:dyDescent="0.25">
      <c r="A315">
        <v>5</v>
      </c>
      <c r="B315" s="381">
        <v>2</v>
      </c>
      <c r="C315" s="381">
        <v>1.5</v>
      </c>
      <c r="D315" s="381">
        <v>2</v>
      </c>
      <c r="E315" s="381">
        <v>1.5</v>
      </c>
      <c r="T315" s="381">
        <v>2</v>
      </c>
      <c r="U315" s="381">
        <v>1.5</v>
      </c>
      <c r="X315" s="381">
        <v>2</v>
      </c>
      <c r="Y315" s="381">
        <v>1.5</v>
      </c>
      <c r="AB315" s="381">
        <v>2</v>
      </c>
      <c r="AC315" s="381">
        <v>1.5</v>
      </c>
      <c r="AF315" s="381">
        <v>2</v>
      </c>
      <c r="AG315" s="381">
        <v>1.5</v>
      </c>
      <c r="AJ315" s="381">
        <v>2</v>
      </c>
      <c r="AK315" s="381">
        <v>1.5</v>
      </c>
      <c r="AL315" s="381">
        <v>2</v>
      </c>
      <c r="AM315" s="381">
        <v>1.5</v>
      </c>
      <c r="AP315" s="381">
        <v>2</v>
      </c>
      <c r="AQ315" s="381">
        <v>1.5</v>
      </c>
      <c r="AT315" s="381">
        <v>2</v>
      </c>
      <c r="AU315" s="381">
        <v>1.5</v>
      </c>
      <c r="AV315" s="381">
        <v>2</v>
      </c>
      <c r="AW315" s="381">
        <v>1.5</v>
      </c>
      <c r="AZ315" s="381">
        <v>2</v>
      </c>
      <c r="BA315" s="381">
        <v>2.5</v>
      </c>
      <c r="BB315" s="381">
        <v>2</v>
      </c>
      <c r="BC315" s="381">
        <v>3</v>
      </c>
      <c r="BF315" s="381">
        <v>2</v>
      </c>
      <c r="BG315" s="381">
        <v>4</v>
      </c>
    </row>
    <row r="316" spans="1:59" x14ac:dyDescent="0.25">
      <c r="A316">
        <v>4</v>
      </c>
      <c r="B316" s="381">
        <v>2</v>
      </c>
      <c r="C316" s="381">
        <v>1.5</v>
      </c>
      <c r="D316" s="381">
        <v>2</v>
      </c>
      <c r="E316" s="381">
        <v>1.5</v>
      </c>
      <c r="T316" s="381">
        <v>2</v>
      </c>
      <c r="U316" s="381">
        <v>1.5</v>
      </c>
      <c r="X316" s="381">
        <v>2</v>
      </c>
      <c r="Y316" s="381">
        <v>1.5</v>
      </c>
      <c r="AB316" s="381">
        <v>2</v>
      </c>
      <c r="AC316" s="381">
        <v>1.5</v>
      </c>
      <c r="AF316" s="381">
        <v>2</v>
      </c>
      <c r="AG316" s="381">
        <v>1.5</v>
      </c>
      <c r="AJ316" s="381">
        <v>2</v>
      </c>
      <c r="AK316" s="381">
        <v>1.5</v>
      </c>
      <c r="AL316" s="381">
        <v>2</v>
      </c>
      <c r="AM316" s="381">
        <v>1.5</v>
      </c>
      <c r="AP316" s="381">
        <v>2</v>
      </c>
      <c r="AQ316" s="381">
        <v>1.5</v>
      </c>
      <c r="AT316" s="381">
        <v>2</v>
      </c>
      <c r="AU316" s="381">
        <v>1.5</v>
      </c>
      <c r="AV316" s="381">
        <v>2</v>
      </c>
      <c r="AW316" s="381">
        <v>1.5</v>
      </c>
      <c r="AZ316" s="381">
        <v>2</v>
      </c>
      <c r="BA316" s="381">
        <v>2.5</v>
      </c>
      <c r="BB316" s="381">
        <v>2</v>
      </c>
      <c r="BC316" s="381">
        <v>3</v>
      </c>
      <c r="BF316" s="381">
        <v>2</v>
      </c>
      <c r="BG316" s="381">
        <v>4</v>
      </c>
    </row>
    <row r="317" spans="1:59" x14ac:dyDescent="0.25">
      <c r="A317">
        <v>3</v>
      </c>
      <c r="B317" s="381">
        <v>2</v>
      </c>
      <c r="C317" s="381">
        <v>1.5</v>
      </c>
      <c r="D317" s="381">
        <v>2</v>
      </c>
      <c r="E317" s="381">
        <v>1.5</v>
      </c>
      <c r="T317" s="381">
        <v>2</v>
      </c>
      <c r="U317" s="381">
        <v>1.5</v>
      </c>
      <c r="X317" s="381">
        <v>2</v>
      </c>
      <c r="Y317" s="381">
        <v>1.5</v>
      </c>
      <c r="AB317" s="381">
        <v>2</v>
      </c>
      <c r="AC317" s="381">
        <v>1.5</v>
      </c>
      <c r="AF317" s="381">
        <v>2</v>
      </c>
      <c r="AG317" s="381">
        <v>1.5</v>
      </c>
      <c r="AJ317" s="381">
        <v>2</v>
      </c>
      <c r="AK317" s="381">
        <v>1.5</v>
      </c>
      <c r="AL317" s="381">
        <v>2</v>
      </c>
      <c r="AM317" s="381">
        <v>1.5</v>
      </c>
      <c r="AP317" s="381">
        <v>2</v>
      </c>
      <c r="AQ317" s="381">
        <v>1.5</v>
      </c>
      <c r="AT317" s="381">
        <v>2</v>
      </c>
      <c r="AU317" s="381">
        <v>1.5</v>
      </c>
      <c r="AV317" s="381">
        <v>2</v>
      </c>
      <c r="AW317" s="381">
        <v>1.5</v>
      </c>
      <c r="AZ317" s="381">
        <v>2</v>
      </c>
      <c r="BA317" s="381">
        <v>2.5</v>
      </c>
      <c r="BB317" s="381">
        <v>2</v>
      </c>
      <c r="BC317" s="381">
        <v>3</v>
      </c>
      <c r="BF317" s="381">
        <v>2</v>
      </c>
      <c r="BG317" s="381">
        <v>4</v>
      </c>
    </row>
    <row r="318" spans="1:59" x14ac:dyDescent="0.25">
      <c r="A318">
        <v>2</v>
      </c>
      <c r="B318" s="381">
        <v>2</v>
      </c>
      <c r="C318" s="381">
        <v>1.5</v>
      </c>
      <c r="D318" s="381">
        <v>2</v>
      </c>
      <c r="E318" s="381">
        <v>1.5</v>
      </c>
      <c r="T318" s="381">
        <v>2</v>
      </c>
      <c r="U318" s="381">
        <v>1.5</v>
      </c>
      <c r="X318" s="381">
        <v>2</v>
      </c>
      <c r="Y318" s="381">
        <v>1.5</v>
      </c>
      <c r="AB318" s="381">
        <v>2</v>
      </c>
      <c r="AC318" s="381">
        <v>1.5</v>
      </c>
      <c r="AF318" s="381">
        <v>2</v>
      </c>
      <c r="AG318" s="381">
        <v>1.5</v>
      </c>
      <c r="AJ318" s="381">
        <v>2</v>
      </c>
      <c r="AK318" s="381">
        <v>1.5</v>
      </c>
      <c r="AL318" s="381">
        <v>2</v>
      </c>
      <c r="AM318" s="381">
        <v>1.5</v>
      </c>
      <c r="AP318" s="381">
        <v>2</v>
      </c>
      <c r="AQ318" s="381">
        <v>1.5</v>
      </c>
      <c r="AT318" s="381">
        <v>2</v>
      </c>
      <c r="AU318" s="381">
        <v>1.5</v>
      </c>
      <c r="AV318" s="381">
        <v>2</v>
      </c>
      <c r="AW318" s="381">
        <v>1.5</v>
      </c>
      <c r="AZ318" s="381">
        <v>2</v>
      </c>
      <c r="BA318" s="381">
        <v>2.5</v>
      </c>
      <c r="BB318" s="381">
        <v>2</v>
      </c>
      <c r="BC318" s="381">
        <v>3</v>
      </c>
      <c r="BF318" s="381">
        <v>2</v>
      </c>
      <c r="BG318" s="381">
        <v>4</v>
      </c>
    </row>
    <row r="319" spans="1:59" x14ac:dyDescent="0.25">
      <c r="A319">
        <v>1</v>
      </c>
      <c r="B319" s="381">
        <v>2</v>
      </c>
      <c r="C319" s="381">
        <v>1.5</v>
      </c>
      <c r="D319" s="381">
        <v>2</v>
      </c>
      <c r="E319" s="381">
        <v>1.5</v>
      </c>
      <c r="T319" s="381">
        <v>2</v>
      </c>
      <c r="U319" s="381">
        <v>1.5</v>
      </c>
      <c r="X319" s="381">
        <v>2</v>
      </c>
      <c r="Y319" s="381">
        <v>1.5</v>
      </c>
      <c r="AB319" s="381">
        <v>2</v>
      </c>
      <c r="AC319" s="381">
        <v>1.5</v>
      </c>
      <c r="AF319" s="381">
        <v>2</v>
      </c>
      <c r="AG319" s="381">
        <v>1.5</v>
      </c>
      <c r="AJ319" s="381">
        <v>2</v>
      </c>
      <c r="AK319" s="381">
        <v>1.5</v>
      </c>
      <c r="AL319" s="381">
        <v>2</v>
      </c>
      <c r="AM319" s="381">
        <v>1.5</v>
      </c>
      <c r="AP319" s="381">
        <v>2</v>
      </c>
      <c r="AQ319" s="381">
        <v>1.5</v>
      </c>
      <c r="AT319" s="381">
        <v>2</v>
      </c>
      <c r="AU319" s="381">
        <v>1.5</v>
      </c>
      <c r="AV319" s="381">
        <v>2</v>
      </c>
      <c r="AW319" s="381">
        <v>1.5</v>
      </c>
      <c r="AZ319" s="381">
        <v>2</v>
      </c>
      <c r="BA319" s="381">
        <v>2.5</v>
      </c>
      <c r="BB319" s="381">
        <v>2</v>
      </c>
      <c r="BC319" s="381">
        <v>3</v>
      </c>
      <c r="BF319" s="381">
        <v>2</v>
      </c>
      <c r="BG319" s="381">
        <v>4</v>
      </c>
    </row>
    <row r="320" spans="1:59" x14ac:dyDescent="0.25">
      <c r="B320" s="620" t="e">
        <f ca="1">VLOOKUP($B$1,$A$310:$BG$319,2*($E$1+5),FALSE)</f>
        <v>#N/A</v>
      </c>
      <c r="C320" s="620" t="e">
        <f ca="1">VLOOKUP($B$1,$A$310:$BG$319,2*($E$1+5)+1,FALSE)</f>
        <v>#N/A</v>
      </c>
      <c r="D320" s="381"/>
      <c r="E320" s="381"/>
      <c r="F320" s="381"/>
      <c r="G320" s="381"/>
      <c r="H320" s="381"/>
      <c r="I320" s="381"/>
      <c r="J320" s="381"/>
      <c r="K320" s="381"/>
      <c r="L320" s="381"/>
      <c r="M320" s="381"/>
      <c r="N320" s="381"/>
      <c r="O320" s="381"/>
      <c r="P320" s="381"/>
      <c r="Q320" s="381"/>
      <c r="R320" s="381"/>
      <c r="S320" s="381"/>
      <c r="T320" s="381"/>
      <c r="U320" s="381"/>
      <c r="V320" s="381"/>
      <c r="W320" s="381"/>
      <c r="X320" s="381"/>
      <c r="Y320" s="381"/>
      <c r="Z320" s="381"/>
      <c r="AA320" s="381"/>
      <c r="AB320" s="381"/>
      <c r="AC320" s="381"/>
    </row>
    <row r="321" spans="2:29" x14ac:dyDescent="0.25">
      <c r="B321" s="381"/>
      <c r="C321" s="381"/>
      <c r="D321" s="381"/>
      <c r="E321" s="381"/>
      <c r="F321" s="381"/>
      <c r="G321" s="381"/>
      <c r="H321" s="381"/>
      <c r="I321" s="381"/>
      <c r="J321" s="381"/>
      <c r="K321" s="381"/>
      <c r="L321" s="381"/>
      <c r="M321" s="381"/>
      <c r="N321" s="381"/>
      <c r="O321" s="381"/>
      <c r="P321" s="381"/>
      <c r="Q321" s="381"/>
      <c r="R321" s="381"/>
      <c r="S321" s="381"/>
      <c r="T321" s="381"/>
      <c r="U321" s="381"/>
      <c r="V321" s="381"/>
      <c r="W321" s="381"/>
      <c r="X321" s="381"/>
      <c r="Y321" s="381"/>
      <c r="Z321" s="381"/>
      <c r="AA321" s="381"/>
      <c r="AB321" s="381"/>
      <c r="AC321" s="381"/>
    </row>
    <row r="322" spans="2:29" x14ac:dyDescent="0.25">
      <c r="B322" s="381"/>
      <c r="C322" s="381"/>
      <c r="D322" s="381"/>
      <c r="E322" s="381"/>
      <c r="F322" s="381"/>
      <c r="G322" s="381"/>
      <c r="H322" s="381"/>
      <c r="I322" s="381"/>
      <c r="J322" s="381"/>
      <c r="K322" s="381"/>
      <c r="L322" s="381"/>
      <c r="M322" s="381"/>
      <c r="N322" s="381"/>
      <c r="O322" s="381"/>
      <c r="P322" s="381"/>
      <c r="Q322" s="381"/>
      <c r="R322" s="381"/>
      <c r="S322" s="381"/>
      <c r="T322" s="381"/>
      <c r="U322" s="381"/>
      <c r="V322" s="381"/>
      <c r="W322" s="381"/>
      <c r="X322" s="381"/>
      <c r="Y322" s="381"/>
      <c r="Z322" s="381"/>
      <c r="AA322" s="381"/>
      <c r="AB322" s="381"/>
      <c r="AC322" s="38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>
    <tabColor rgb="FF92D050"/>
  </sheetPr>
  <dimension ref="A1:BH1079"/>
  <sheetViews>
    <sheetView workbookViewId="0">
      <selection activeCell="AQ19" sqref="AQ19"/>
    </sheetView>
  </sheetViews>
  <sheetFormatPr baseColWidth="10" defaultRowHeight="14.25" customHeight="1" outlineLevelCol="1" x14ac:dyDescent="0.25"/>
  <cols>
    <col min="1" max="1" width="5.140625" style="24" customWidth="1"/>
    <col min="2" max="2" width="4.140625" style="24" customWidth="1"/>
    <col min="3" max="3" width="5.140625" style="24" customWidth="1"/>
    <col min="4" max="4" width="5.140625" style="19" hidden="1" customWidth="1" outlineLevel="1"/>
    <col min="5" max="9" width="4.28515625" style="19" hidden="1" customWidth="1" outlineLevel="1"/>
    <col min="10" max="12" width="4.28515625" hidden="1" customWidth="1" outlineLevel="1"/>
    <col min="13" max="13" width="4.28515625" style="150" hidden="1" customWidth="1" outlineLevel="1"/>
    <col min="14" max="14" width="4.28515625" style="140" hidden="1" customWidth="1" outlineLevel="1"/>
    <col min="15" max="15" width="4.28515625" style="136" hidden="1" customWidth="1" outlineLevel="1"/>
    <col min="16" max="21" width="4.28515625" style="299" hidden="1" customWidth="1" outlineLevel="1"/>
    <col min="22" max="23" width="4.28515625" style="360" hidden="1" customWidth="1" outlineLevel="1"/>
    <col min="24" max="24" width="4.28515625" hidden="1" customWidth="1" outlineLevel="1"/>
    <col min="25" max="26" width="4.28515625" style="360" hidden="1" customWidth="1" outlineLevel="1"/>
    <col min="27" max="27" width="4.28515625" style="363" hidden="1" customWidth="1" outlineLevel="1"/>
    <col min="28" max="28" width="4.28515625" style="360" hidden="1" customWidth="1" outlineLevel="1"/>
    <col min="29" max="29" width="4.28515625" style="363" hidden="1" customWidth="1" outlineLevel="1"/>
    <col min="30" max="30" width="4.28515625" style="360" hidden="1" customWidth="1" outlineLevel="1"/>
    <col min="31" max="40" width="4.28515625" style="452" hidden="1" customWidth="1" outlineLevel="1"/>
    <col min="41" max="41" width="4.28515625" style="360" customWidth="1" collapsed="1"/>
    <col min="42" max="42" width="4.28515625" style="136" customWidth="1"/>
    <col min="43" max="43" width="33.5703125" style="136" customWidth="1"/>
    <col min="44" max="44" width="31.28515625" style="147" customWidth="1"/>
    <col min="45" max="45" width="29.7109375" style="147" customWidth="1"/>
    <col min="46" max="46" width="30.7109375" style="142" customWidth="1"/>
    <col min="47" max="47" width="7" customWidth="1"/>
    <col min="48" max="48" width="6.7109375" customWidth="1"/>
    <col min="49" max="49" width="4.140625" customWidth="1"/>
    <col min="50" max="50" width="4.28515625" style="10" customWidth="1"/>
    <col min="51" max="51" width="6.42578125" customWidth="1"/>
    <col min="52" max="52" width="4.7109375" style="10" customWidth="1"/>
    <col min="53" max="54" width="3.7109375" customWidth="1"/>
    <col min="55" max="55" width="3.7109375" style="10" customWidth="1"/>
    <col min="56" max="56" width="17.140625" customWidth="1"/>
    <col min="57" max="57" width="12.5703125" customWidth="1"/>
    <col min="58" max="58" width="3.7109375" bestFit="1" customWidth="1"/>
    <col min="59" max="59" width="11.7109375" style="10" customWidth="1"/>
    <col min="60" max="60" width="11" bestFit="1" customWidth="1"/>
  </cols>
  <sheetData>
    <row r="1" spans="1:60" s="13" customFormat="1" ht="102" customHeight="1" x14ac:dyDescent="0.25">
      <c r="A1" s="36" t="s">
        <v>871</v>
      </c>
      <c r="B1" s="20" t="s">
        <v>870</v>
      </c>
      <c r="C1" s="36" t="s">
        <v>869</v>
      </c>
      <c r="D1" s="38" t="s">
        <v>1474</v>
      </c>
      <c r="E1" s="38" t="s">
        <v>1471</v>
      </c>
      <c r="F1" s="38" t="s">
        <v>1472</v>
      </c>
      <c r="G1" s="38" t="s">
        <v>1473</v>
      </c>
      <c r="H1" s="38" t="s">
        <v>892</v>
      </c>
      <c r="I1" s="137" t="s">
        <v>1475</v>
      </c>
      <c r="J1" s="148" t="s">
        <v>1433</v>
      </c>
      <c r="K1" s="267" t="s">
        <v>1822</v>
      </c>
      <c r="L1" s="138" t="s">
        <v>1431</v>
      </c>
      <c r="M1" s="134" t="s">
        <v>1430</v>
      </c>
      <c r="N1" s="134" t="s">
        <v>1429</v>
      </c>
      <c r="O1" s="141" t="s">
        <v>1428</v>
      </c>
      <c r="P1" s="297" t="s">
        <v>1357</v>
      </c>
      <c r="Q1" s="297" t="s">
        <v>1830</v>
      </c>
      <c r="R1" s="297" t="s">
        <v>1831</v>
      </c>
      <c r="S1" s="297" t="s">
        <v>1832</v>
      </c>
      <c r="T1" s="297" t="s">
        <v>1833</v>
      </c>
      <c r="U1" s="297" t="s">
        <v>1834</v>
      </c>
      <c r="V1" s="358" t="s">
        <v>1885</v>
      </c>
      <c r="W1" s="358" t="s">
        <v>1886</v>
      </c>
      <c r="X1" s="358" t="s">
        <v>1881</v>
      </c>
      <c r="Y1" s="358" t="s">
        <v>1882</v>
      </c>
      <c r="Z1" s="358" t="s">
        <v>1883</v>
      </c>
      <c r="AA1" s="362" t="s">
        <v>1880</v>
      </c>
      <c r="AB1" s="358" t="s">
        <v>1890</v>
      </c>
      <c r="AC1" s="362" t="s">
        <v>1889</v>
      </c>
      <c r="AD1" s="358" t="s">
        <v>1884</v>
      </c>
      <c r="AE1" s="450" t="s">
        <v>2033</v>
      </c>
      <c r="AF1" s="450" t="s">
        <v>2034</v>
      </c>
      <c r="AG1" s="450" t="s">
        <v>2035</v>
      </c>
      <c r="AH1" s="450" t="s">
        <v>2036</v>
      </c>
      <c r="AI1" s="450" t="s">
        <v>2027</v>
      </c>
      <c r="AJ1" s="450" t="s">
        <v>2028</v>
      </c>
      <c r="AK1" s="450" t="s">
        <v>2029</v>
      </c>
      <c r="AL1" s="450" t="s">
        <v>2030</v>
      </c>
      <c r="AM1" s="450" t="s">
        <v>2031</v>
      </c>
      <c r="AN1" s="450" t="s">
        <v>2032</v>
      </c>
      <c r="AO1" s="145" t="s">
        <v>1432</v>
      </c>
      <c r="AP1" s="145" t="s">
        <v>1439</v>
      </c>
      <c r="AQ1" s="212" t="s">
        <v>54</v>
      </c>
      <c r="AR1" s="213" t="s">
        <v>55</v>
      </c>
      <c r="AS1" s="213" t="s">
        <v>56</v>
      </c>
      <c r="AT1" s="214" t="s">
        <v>5</v>
      </c>
      <c r="AU1" s="215" t="s">
        <v>2</v>
      </c>
      <c r="AV1" s="214" t="s">
        <v>53</v>
      </c>
      <c r="AW1" s="215" t="s">
        <v>57</v>
      </c>
      <c r="AX1" s="216" t="s">
        <v>58</v>
      </c>
      <c r="AY1" s="214" t="s">
        <v>28</v>
      </c>
      <c r="AZ1" s="215" t="s">
        <v>29</v>
      </c>
      <c r="BA1" s="216" t="s">
        <v>30</v>
      </c>
      <c r="BB1" s="216" t="s">
        <v>1367</v>
      </c>
      <c r="BC1" s="214" t="s">
        <v>31</v>
      </c>
      <c r="BD1" s="217" t="s">
        <v>1476</v>
      </c>
      <c r="BF1" s="13" t="s">
        <v>1779</v>
      </c>
      <c r="BG1" s="226">
        <f>MATCH(BF1,Sprache!C4:C241,0)+3</f>
        <v>62</v>
      </c>
      <c r="BH1" s="225" t="str">
        <f>IFERROR("="&amp;CHAR(34)&amp;MID(Scharniere[[#This Row],[Bezeichnung 2]],1,FIND($BF$1,Scharniere[[#This Row],[Bezeichnung 2]])-1)&amp;CHAR(34)&amp;"&amp;Sprache!$A$"&amp;$BG$1&amp;"&amp;"&amp;CHAR(34)&amp;MID(Scharniere[[#This Row],[Bezeichnung 2]],FIND($BF$1,Scharniere[[#This Row],[Bezeichnung 2]])+LEN($BF$1),200)&amp;CHAR(34),"")</f>
        <v/>
      </c>
    </row>
    <row r="2" spans="1:60" ht="14.25" customHeight="1" x14ac:dyDescent="0.25">
      <c r="A2" s="37" t="str">
        <f>LEFT(Scharniere[[#This Row],[ArtikelNR]],4)</f>
        <v>F045</v>
      </c>
      <c r="B2" s="35" t="str">
        <f>MID(Scharniere[[#This Row],[ArtikelNR]],5,3)</f>
        <v>138</v>
      </c>
      <c r="C2" s="37" t="str">
        <f>RIGHT(Scharniere[[#This Row],[ArtikelNR]],3)</f>
        <v>464</v>
      </c>
      <c r="D2" s="35">
        <f>IF(AND(Scharniere[[#This Row],[Gruppenschlüssel]]=select!$A$44,Scharniere[[#This Row],[Scharnierart]]=1)=TRUE,1,0)</f>
        <v>1</v>
      </c>
      <c r="E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" s="35">
        <f>IF(select!$F$57=IF(Scharniere[[#This Row],[mit Dämpfung]]=1,1,IF(Scharniere[[#This Row],[ohne Dämpfung]]=1,2,IF(Scharniere[[#This Row],[ohne Feder]]=1,3,0))),1,0)</f>
        <v>0</v>
      </c>
      <c r="G2" s="35">
        <f>IF(Scharniere[[#This Row],[Bohrbild]]=select!$V$43,1,0)</f>
        <v>0</v>
      </c>
      <c r="H2" s="35">
        <f>IF(IF(Scharniere[[#This Row],[Anschrauben]]=1,1,IF(Scharniere[[#This Row],[Einpressen]]=1,2,IF(Scharniere[[#This Row],[Quick]]=1,3,IF(Scharniere[[#This Row],[Werkzeuglos]]=1,4,0))))=select!$F$48,1,0)</f>
        <v>1</v>
      </c>
      <c r="I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" s="149">
        <f>IF(AND(Scharniere[[#This Row],[Scharnierart]]=2,Scharniere[[#This Row],[Gruppenschlüssel]]=select!$A$318)=TRUE,1,0)</f>
        <v>0</v>
      </c>
      <c r="K2" s="221">
        <f ca="1">IF(select!$O$424&lt;6,1,0)</f>
        <v>1</v>
      </c>
      <c r="L2" s="139">
        <f>IF(select!$A$362=IF(Scharniere[[#This Row],[mit Dämpfung]]=1,1,IF(Scharniere[[#This Row],[ohne Dämpfung]]=1,2,IF(Scharniere[[#This Row],[ohne Feder]]=1,3,0))),1,0)</f>
        <v>0</v>
      </c>
      <c r="M2" s="135">
        <f>IF(Scharniere[[#This Row],[Bohrbild]]=select!$O$334,1,0)</f>
        <v>0</v>
      </c>
      <c r="N2" s="135">
        <f>IF(IF(Scharniere[[#This Row],[Anschrauben]]=1,1,IF(Scharniere[[#This Row],[Einpressen]]=1,2,IF(Scharniere[[#This Row],[Quick]]=1,3,IF(Scharniere[[#This Row],[Werkzeuglos]]=1,4,0))))=select!$E$362,1,0)</f>
        <v>0</v>
      </c>
      <c r="O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" s="298">
        <f>IF(AND(Scharniere[[#This Row],[Scharnierart]]=3,Scharniere[[#This Row],[Gruppenschlüssel]]=select!$A$747)=TRUE,1,0)</f>
        <v>0</v>
      </c>
      <c r="Q2" s="298">
        <f ca="1">IF(select!$O$945&lt;6,1,0)</f>
        <v>1</v>
      </c>
      <c r="R2" s="298">
        <f>IF(select!$A$778=IF(Scharniere[[#This Row],[mit Dämpfung]]=1,1,IF(Scharniere[[#This Row],[ohne Dämpfung]]=1,2,IF(Scharniere[[#This Row],[ohne Feder]]=1,3,0))),1,0)</f>
        <v>1</v>
      </c>
      <c r="S2" s="298">
        <f>IF(Scharniere[[#This Row],[Bohrbild]]=select!$A$755,1,0)</f>
        <v>0</v>
      </c>
      <c r="T2" s="298">
        <f>IF(IF(Scharniere[[#This Row],[Anschrauben]]=1,1,IF(Scharniere[[#This Row],[Einpressen]]=1,2,IF(Scharniere[[#This Row],[Quick]]=1,3,IF(Scharniere[[#This Row],[Werkzeuglos]]=1,4,0))))=select!$A$769,1,0)</f>
        <v>0</v>
      </c>
      <c r="U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" s="359">
        <f>IF(AND(Scharniere[[#This Row],[Scharnierart]]=4,Scharniere[[#This Row],[Gruppenschlüssel]]=select!$A$981)=TRUE,1,0)</f>
        <v>0</v>
      </c>
      <c r="W2" s="359">
        <f ca="1">IF(select!$O$1185&lt;6,1,0)</f>
        <v>1</v>
      </c>
      <c r="X2" s="359">
        <f>IF(select!$A$1012=IF(Scharniere[[#This Row],[mit Dämpfung]]=1,1,IF(Scharniere[[#This Row],[ohne Dämpfung]]=1,2,IF(Scharniere[[#This Row],[ohne Feder]]=1,3,0))),1,0)</f>
        <v>1</v>
      </c>
      <c r="Y2" s="359">
        <f>IF(Scharniere[[#This Row],[Bohrbild]]=select!$A$989,1,0)</f>
        <v>0</v>
      </c>
      <c r="Z2" s="359">
        <f>IF(IF(Scharniere[[#This Row],[Anschrauben]]=1,1,IF(Scharniere[[#This Row],[Einpressen]]=1,2,IF(Scharniere[[#This Row],[Quick]]=1,3,IF(Scharniere[[#This Row],[Werkzeuglos]]=1,4,0))))=select!$A$1003,1,0)</f>
        <v>0</v>
      </c>
      <c r="AA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" s="359">
        <f ca="1">IF(select!$K$980="*",Scharniere[[#This Row],[AG Ges2]],Scharniere[[#This Row],[AG Ges1]])</f>
        <v>0</v>
      </c>
      <c r="AE2" s="451">
        <f ca="1">IF(AND(Scharniere[[#This Row],[Scharnierart]]=select!$A$1485,Scharniere[[#This Row],[Gruppenschlüssel]]=select!$B$1485)=TRUE,1,0)</f>
        <v>1</v>
      </c>
      <c r="AF2" s="451">
        <f ca="1">IF(AND(Scharniere[[#This Row],[Scharnierart]]=select!$A$1486,Scharniere[[#This Row],[Gruppenschlüssel]]=select!$B$1486)=TRUE,1,0)</f>
        <v>0</v>
      </c>
      <c r="AG2" s="451">
        <f ca="1">IF(AND(Scharniere[[#This Row],[Scharnierart]]=select!$A$1487,Scharniere[[#This Row],[Gruppenschlüssel]]=select!$B$1487)=TRUE,1,0)</f>
        <v>0</v>
      </c>
      <c r="AH2" s="451">
        <f ca="1">IF(AND(Scharniere[[#This Row],[Scharnierart]]=select!$A$1488,Scharniere[[#This Row],[Gruppenschlüssel]]=select!$B$1488)=TRUE,1,0)</f>
        <v>0</v>
      </c>
      <c r="AI2" s="451">
        <f ca="1">IF(SUM(Scharniere[[#This Row],[konf Scharnier 1]:[konf Scharnier 4]])&gt;0,1,0)</f>
        <v>1</v>
      </c>
      <c r="AJ2" s="451"/>
      <c r="AK2" s="451"/>
      <c r="AL2" s="451"/>
      <c r="AM2" s="451"/>
      <c r="AN2" s="451"/>
      <c r="AO2" s="146">
        <v>1</v>
      </c>
      <c r="AP2" s="146">
        <v>1</v>
      </c>
      <c r="AQ2" s="10" t="str">
        <f ca="1">Sprache!$A$110</f>
        <v>Tiomos Scharnier T Click-on</v>
      </c>
      <c r="AR2" t="str">
        <f ca="1">"110°, B-BB, K19, "&amp;Sprache!A181&amp;", ni"</f>
        <v>110°, B-BB, K19, Dübel, ni</v>
      </c>
      <c r="AS2" t="str">
        <f ca="1">Sprache!$A$103</f>
        <v>Tiomos Click-On Scharniere</v>
      </c>
      <c r="AT2">
        <v>19</v>
      </c>
      <c r="AU2" t="s">
        <v>3</v>
      </c>
      <c r="AV2">
        <v>110</v>
      </c>
      <c r="AW2" s="10">
        <v>0</v>
      </c>
      <c r="AX2">
        <v>1</v>
      </c>
      <c r="AY2">
        <v>0</v>
      </c>
      <c r="AZ2" s="10">
        <v>0</v>
      </c>
      <c r="BA2">
        <v>1</v>
      </c>
      <c r="BB2">
        <v>0</v>
      </c>
      <c r="BC2">
        <v>0</v>
      </c>
      <c r="BD2" s="143" t="s">
        <v>491</v>
      </c>
      <c r="BG2"/>
    </row>
    <row r="3" spans="1:60" ht="14.25" customHeight="1" x14ac:dyDescent="0.25">
      <c r="A3" s="37" t="str">
        <f>LEFT(Scharniere[[#This Row],[ArtikelNR]],4)</f>
        <v>F028</v>
      </c>
      <c r="B3" s="35" t="str">
        <f>MID(Scharniere[[#This Row],[ArtikelNR]],5,3)</f>
        <v>138</v>
      </c>
      <c r="C3" s="37" t="str">
        <f>RIGHT(Scharniere[[#This Row],[ArtikelNR]],3)</f>
        <v>526</v>
      </c>
      <c r="D3" s="35">
        <f>IF(AND(Scharniere[[#This Row],[Gruppenschlüssel]]=select!$A$44,Scharniere[[#This Row],[Scharnierart]]=1)=TRUE,1,0)</f>
        <v>1</v>
      </c>
      <c r="E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" s="35">
        <f>IF(select!$F$57=IF(Scharniere[[#This Row],[mit Dämpfung]]=1,1,IF(Scharniere[[#This Row],[ohne Dämpfung]]=1,2,IF(Scharniere[[#This Row],[ohne Feder]]=1,3,0))),1,0)</f>
        <v>0</v>
      </c>
      <c r="G3" s="35">
        <f>IF(Scharniere[[#This Row],[Bohrbild]]=select!$V$43,1,0)</f>
        <v>0</v>
      </c>
      <c r="H3" s="35">
        <f>IF(IF(Scharniere[[#This Row],[Anschrauben]]=1,1,IF(Scharniere[[#This Row],[Einpressen]]=1,2,IF(Scharniere[[#This Row],[Quick]]=1,3,IF(Scharniere[[#This Row],[Werkzeuglos]]=1,4,0))))=select!$F$48,1,0)</f>
        <v>1</v>
      </c>
      <c r="I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" s="149">
        <f>IF(AND(Scharniere[[#This Row],[Scharnierart]]=2,Scharniere[[#This Row],[Gruppenschlüssel]]=select!$A$318)=TRUE,1,0)</f>
        <v>0</v>
      </c>
      <c r="K3" s="221">
        <f ca="1">IF(select!$O$424&lt;6,1,0)</f>
        <v>1</v>
      </c>
      <c r="L3" s="139">
        <f>IF(select!$A$362=IF(Scharniere[[#This Row],[mit Dämpfung]]=1,1,IF(Scharniere[[#This Row],[ohne Dämpfung]]=1,2,IF(Scharniere[[#This Row],[ohne Feder]]=1,3,0))),1,0)</f>
        <v>1</v>
      </c>
      <c r="M3" s="135">
        <f>IF(Scharniere[[#This Row],[Bohrbild]]=select!$O$334,1,0)</f>
        <v>0</v>
      </c>
      <c r="N3" s="135">
        <f>IF(IF(Scharniere[[#This Row],[Anschrauben]]=1,1,IF(Scharniere[[#This Row],[Einpressen]]=1,2,IF(Scharniere[[#This Row],[Quick]]=1,3,IF(Scharniere[[#This Row],[Werkzeuglos]]=1,4,0))))=select!$E$362,1,0)</f>
        <v>0</v>
      </c>
      <c r="O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" s="298">
        <f>IF(AND(Scharniere[[#This Row],[Scharnierart]]=3,Scharniere[[#This Row],[Gruppenschlüssel]]=select!$A$747)=TRUE,1,0)</f>
        <v>0</v>
      </c>
      <c r="Q3" s="298">
        <f ca="1">IF(select!$O$945&lt;6,1,0)</f>
        <v>1</v>
      </c>
      <c r="R3" s="298">
        <f>IF(select!$A$778=IF(Scharniere[[#This Row],[mit Dämpfung]]=1,1,IF(Scharniere[[#This Row],[ohne Dämpfung]]=1,2,IF(Scharniere[[#This Row],[ohne Feder]]=1,3,0))),1,0)</f>
        <v>0</v>
      </c>
      <c r="S3" s="298">
        <f>IF(Scharniere[[#This Row],[Bohrbild]]=select!$A$755,1,0)</f>
        <v>0</v>
      </c>
      <c r="T3" s="298">
        <f>IF(IF(Scharniere[[#This Row],[Anschrauben]]=1,1,IF(Scharniere[[#This Row],[Einpressen]]=1,2,IF(Scharniere[[#This Row],[Quick]]=1,3,IF(Scharniere[[#This Row],[Werkzeuglos]]=1,4,0))))=select!$A$769,1,0)</f>
        <v>0</v>
      </c>
      <c r="U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" s="359">
        <f>IF(AND(Scharniere[[#This Row],[Scharnierart]]=4,Scharniere[[#This Row],[Gruppenschlüssel]]=select!$A$981)=TRUE,1,0)</f>
        <v>0</v>
      </c>
      <c r="W3" s="359">
        <f ca="1">IF(select!$O$1185&lt;6,1,0)</f>
        <v>1</v>
      </c>
      <c r="X3" s="359">
        <f>IF(select!$A$1012=IF(Scharniere[[#This Row],[mit Dämpfung]]=1,1,IF(Scharniere[[#This Row],[ohne Dämpfung]]=1,2,IF(Scharniere[[#This Row],[ohne Feder]]=1,3,0))),1,0)</f>
        <v>0</v>
      </c>
      <c r="Y3" s="359">
        <f>IF(Scharniere[[#This Row],[Bohrbild]]=select!$A$989,1,0)</f>
        <v>0</v>
      </c>
      <c r="Z3" s="359">
        <f>IF(IF(Scharniere[[#This Row],[Anschrauben]]=1,1,IF(Scharniere[[#This Row],[Einpressen]]=1,2,IF(Scharniere[[#This Row],[Quick]]=1,3,IF(Scharniere[[#This Row],[Werkzeuglos]]=1,4,0))))=select!$A$1003,1,0)</f>
        <v>0</v>
      </c>
      <c r="AA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" s="359">
        <f ca="1">IF(select!$K$980="*",Scharniere[[#This Row],[AG Ges2]],Scharniere[[#This Row],[AG Ges1]])</f>
        <v>0</v>
      </c>
      <c r="AE3" s="451">
        <f ca="1">IF(AND(Scharniere[[#This Row],[Scharnierart]]=select!$A$1485,Scharniere[[#This Row],[Gruppenschlüssel]]=select!$B$1485)=TRUE,1,0)</f>
        <v>1</v>
      </c>
      <c r="AF3" s="451">
        <f ca="1">IF(AND(Scharniere[[#This Row],[Scharnierart]]=select!$A$1486,Scharniere[[#This Row],[Gruppenschlüssel]]=select!$B$1486)=TRUE,1,0)</f>
        <v>0</v>
      </c>
      <c r="AG3" s="451">
        <f ca="1">IF(AND(Scharniere[[#This Row],[Scharnierart]]=select!$A$1487,Scharniere[[#This Row],[Gruppenschlüssel]]=select!$B$1487)=TRUE,1,0)</f>
        <v>0</v>
      </c>
      <c r="AH3" s="451">
        <f ca="1">IF(AND(Scharniere[[#This Row],[Scharnierart]]=select!$A$1488,Scharniere[[#This Row],[Gruppenschlüssel]]=select!$B$1488)=TRUE,1,0)</f>
        <v>0</v>
      </c>
      <c r="AI3" s="451">
        <f ca="1">IF(SUM(Scharniere[[#This Row],[konf Scharnier 1]:[konf Scharnier 4]])&gt;0,1,0)</f>
        <v>1</v>
      </c>
      <c r="AJ3" s="451"/>
      <c r="AK3" s="451"/>
      <c r="AL3" s="451"/>
      <c r="AM3" s="451"/>
      <c r="AN3" s="451"/>
      <c r="AO3" s="146">
        <v>1</v>
      </c>
      <c r="AP3" s="146">
        <v>1</v>
      </c>
      <c r="AQ3" s="10" t="str">
        <f ca="1">Sprache!$A$112</f>
        <v>Tiomos Scharnier TS Click-on</v>
      </c>
      <c r="AR3" t="str">
        <f ca="1">"110°, B-BB, K19, "&amp;Sprache!A181&amp;", ni"</f>
        <v>110°, B-BB, K19, Dübel, ni</v>
      </c>
      <c r="AS3" t="str">
        <f ca="1">Sprache!$A$103</f>
        <v>Tiomos Click-On Scharniere</v>
      </c>
      <c r="AT3">
        <v>19</v>
      </c>
      <c r="AU3" t="s">
        <v>3</v>
      </c>
      <c r="AV3">
        <v>110</v>
      </c>
      <c r="AW3" s="10">
        <v>1</v>
      </c>
      <c r="AX3">
        <v>0</v>
      </c>
      <c r="AY3">
        <v>0</v>
      </c>
      <c r="AZ3" s="10">
        <v>0</v>
      </c>
      <c r="BA3">
        <v>1</v>
      </c>
      <c r="BB3">
        <v>0</v>
      </c>
      <c r="BC3">
        <v>0</v>
      </c>
      <c r="BD3" s="143" t="s">
        <v>310</v>
      </c>
      <c r="BG3"/>
    </row>
    <row r="4" spans="1:60" ht="14.25" customHeight="1" x14ac:dyDescent="0.25">
      <c r="A4" s="37" t="str">
        <f>LEFT(Scharniere[[#This Row],[ArtikelNR]],4)</f>
        <v>F046</v>
      </c>
      <c r="B4" s="35" t="str">
        <f>MID(Scharniere[[#This Row],[ArtikelNR]],5,3)</f>
        <v>138</v>
      </c>
      <c r="C4" s="37" t="str">
        <f>RIGHT(Scharniere[[#This Row],[ArtikelNR]],3)</f>
        <v>586</v>
      </c>
      <c r="D4" s="35">
        <f>IF(AND(Scharniere[[#This Row],[Gruppenschlüssel]]=select!$A$44,Scharniere[[#This Row],[Scharnierart]]=1)=TRUE,1,0)</f>
        <v>1</v>
      </c>
      <c r="E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" s="35">
        <f>IF(select!$F$57=IF(Scharniere[[#This Row],[mit Dämpfung]]=1,1,IF(Scharniere[[#This Row],[ohne Dämpfung]]=1,2,IF(Scharniere[[#This Row],[ohne Feder]]=1,3,0))),1,0)</f>
        <v>1</v>
      </c>
      <c r="G4" s="35">
        <f>IF(Scharniere[[#This Row],[Bohrbild]]=select!$V$43,1,0)</f>
        <v>0</v>
      </c>
      <c r="H4" s="35">
        <f>IF(IF(Scharniere[[#This Row],[Anschrauben]]=1,1,IF(Scharniere[[#This Row],[Einpressen]]=1,2,IF(Scharniere[[#This Row],[Quick]]=1,3,IF(Scharniere[[#This Row],[Werkzeuglos]]=1,4,0))))=select!$F$48,1,0)</f>
        <v>1</v>
      </c>
      <c r="I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" s="149">
        <f>IF(AND(Scharniere[[#This Row],[Scharnierart]]=2,Scharniere[[#This Row],[Gruppenschlüssel]]=select!$A$318)=TRUE,1,0)</f>
        <v>0</v>
      </c>
      <c r="K4" s="221">
        <f ca="1">IF(select!$O$424&lt;6,1,0)</f>
        <v>1</v>
      </c>
      <c r="L4" s="139">
        <f>IF(select!$A$362=IF(Scharniere[[#This Row],[mit Dämpfung]]=1,1,IF(Scharniere[[#This Row],[ohne Dämpfung]]=1,2,IF(Scharniere[[#This Row],[ohne Feder]]=1,3,0))),1,0)</f>
        <v>0</v>
      </c>
      <c r="M4" s="135">
        <f>IF(Scharniere[[#This Row],[Bohrbild]]=select!$O$334,1,0)</f>
        <v>0</v>
      </c>
      <c r="N4" s="135">
        <f>IF(IF(Scharniere[[#This Row],[Anschrauben]]=1,1,IF(Scharniere[[#This Row],[Einpressen]]=1,2,IF(Scharniere[[#This Row],[Quick]]=1,3,IF(Scharniere[[#This Row],[Werkzeuglos]]=1,4,0))))=select!$E$362,1,0)</f>
        <v>0</v>
      </c>
      <c r="O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" s="298">
        <f>IF(AND(Scharniere[[#This Row],[Scharnierart]]=3,Scharniere[[#This Row],[Gruppenschlüssel]]=select!$A$747)=TRUE,1,0)</f>
        <v>0</v>
      </c>
      <c r="Q4" s="298">
        <f ca="1">IF(select!$O$945&lt;6,1,0)</f>
        <v>1</v>
      </c>
      <c r="R4" s="298">
        <f>IF(select!$A$778=IF(Scharniere[[#This Row],[mit Dämpfung]]=1,1,IF(Scharniere[[#This Row],[ohne Dämpfung]]=1,2,IF(Scharniere[[#This Row],[ohne Feder]]=1,3,0))),1,0)</f>
        <v>0</v>
      </c>
      <c r="S4" s="298">
        <f>IF(Scharniere[[#This Row],[Bohrbild]]=select!$A$755,1,0)</f>
        <v>0</v>
      </c>
      <c r="T4" s="298">
        <f>IF(IF(Scharniere[[#This Row],[Anschrauben]]=1,1,IF(Scharniere[[#This Row],[Einpressen]]=1,2,IF(Scharniere[[#This Row],[Quick]]=1,3,IF(Scharniere[[#This Row],[Werkzeuglos]]=1,4,0))))=select!$A$769,1,0)</f>
        <v>0</v>
      </c>
      <c r="U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" s="359">
        <f>IF(AND(Scharniere[[#This Row],[Scharnierart]]=4,Scharniere[[#This Row],[Gruppenschlüssel]]=select!$A$981)=TRUE,1,0)</f>
        <v>0</v>
      </c>
      <c r="W4" s="359">
        <f ca="1">IF(select!$O$1185&lt;6,1,0)</f>
        <v>1</v>
      </c>
      <c r="X4" s="359">
        <f>IF(select!$A$1012=IF(Scharniere[[#This Row],[mit Dämpfung]]=1,1,IF(Scharniere[[#This Row],[ohne Dämpfung]]=1,2,IF(Scharniere[[#This Row],[ohne Feder]]=1,3,0))),1,0)</f>
        <v>0</v>
      </c>
      <c r="Y4" s="359">
        <f>IF(Scharniere[[#This Row],[Bohrbild]]=select!$A$989,1,0)</f>
        <v>0</v>
      </c>
      <c r="Z4" s="359">
        <f>IF(IF(Scharniere[[#This Row],[Anschrauben]]=1,1,IF(Scharniere[[#This Row],[Einpressen]]=1,2,IF(Scharniere[[#This Row],[Quick]]=1,3,IF(Scharniere[[#This Row],[Werkzeuglos]]=1,4,0))))=select!$A$1003,1,0)</f>
        <v>0</v>
      </c>
      <c r="AA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" s="359">
        <f ca="1">IF(select!$K$980="*",Scharniere[[#This Row],[AG Ges2]],Scharniere[[#This Row],[AG Ges1]])</f>
        <v>0</v>
      </c>
      <c r="AE4" s="451">
        <f ca="1">IF(AND(Scharniere[[#This Row],[Scharnierart]]=select!$A$1485,Scharniere[[#This Row],[Gruppenschlüssel]]=select!$B$1485)=TRUE,1,0)</f>
        <v>1</v>
      </c>
      <c r="AF4" s="451">
        <f ca="1">IF(AND(Scharniere[[#This Row],[Scharnierart]]=select!$A$1486,Scharniere[[#This Row],[Gruppenschlüssel]]=select!$B$1486)=TRUE,1,0)</f>
        <v>0</v>
      </c>
      <c r="AG4" s="451">
        <f ca="1">IF(AND(Scharniere[[#This Row],[Scharnierart]]=select!$A$1487,Scharniere[[#This Row],[Gruppenschlüssel]]=select!$B$1487)=TRUE,1,0)</f>
        <v>0</v>
      </c>
      <c r="AH4" s="451">
        <f ca="1">IF(AND(Scharniere[[#This Row],[Scharnierart]]=select!$A$1488,Scharniere[[#This Row],[Gruppenschlüssel]]=select!$B$1488)=TRUE,1,0)</f>
        <v>0</v>
      </c>
      <c r="AI4" s="451">
        <f ca="1">IF(SUM(Scharniere[[#This Row],[konf Scharnier 1]:[konf Scharnier 4]])&gt;0,1,0)</f>
        <v>1</v>
      </c>
      <c r="AJ4" s="451"/>
      <c r="AK4" s="451"/>
      <c r="AL4" s="451"/>
      <c r="AM4" s="451"/>
      <c r="AN4" s="451"/>
      <c r="AO4" s="146">
        <v>1</v>
      </c>
      <c r="AP4" s="146">
        <v>1</v>
      </c>
      <c r="AQ4" s="10" t="str">
        <f ca="1">Sprache!$A$114</f>
        <v>Tiomos Scharnier TT Click-on</v>
      </c>
      <c r="AR4" t="str">
        <f ca="1">"110°, B-BB, K19, "&amp;Sprache!A181&amp;", ni"</f>
        <v>110°, B-BB, K19, Dübel, ni</v>
      </c>
      <c r="AS4" t="str">
        <f ca="1">Sprache!$A$103</f>
        <v>Tiomos Click-On Scharniere</v>
      </c>
      <c r="AT4">
        <v>19</v>
      </c>
      <c r="AU4" s="34" t="s">
        <v>3</v>
      </c>
      <c r="AV4">
        <v>110</v>
      </c>
      <c r="AW4" s="10">
        <v>0</v>
      </c>
      <c r="AX4">
        <v>0</v>
      </c>
      <c r="AY4">
        <v>1</v>
      </c>
      <c r="AZ4" s="10">
        <v>0</v>
      </c>
      <c r="BA4">
        <v>1</v>
      </c>
      <c r="BB4">
        <v>0</v>
      </c>
      <c r="BC4">
        <v>0</v>
      </c>
      <c r="BD4" s="143" t="s">
        <v>643</v>
      </c>
      <c r="BG4"/>
    </row>
    <row r="5" spans="1:60" ht="14.25" customHeight="1" x14ac:dyDescent="0.25">
      <c r="A5" s="37" t="str">
        <f>LEFT(Scharniere[[#This Row],[ArtikelNR]],4)</f>
        <v>F045</v>
      </c>
      <c r="B5" s="35" t="str">
        <f>MID(Scharniere[[#This Row],[ArtikelNR]],5,3)</f>
        <v>138</v>
      </c>
      <c r="C5" s="37" t="str">
        <f>RIGHT(Scharniere[[#This Row],[ArtikelNR]],3)</f>
        <v>460</v>
      </c>
      <c r="D5" s="35">
        <f>IF(AND(Scharniere[[#This Row],[Gruppenschlüssel]]=select!$A$44,Scharniere[[#This Row],[Scharnierart]]=1)=TRUE,1,0)</f>
        <v>1</v>
      </c>
      <c r="E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" s="35">
        <f>IF(select!$F$57=IF(Scharniere[[#This Row],[mit Dämpfung]]=1,1,IF(Scharniere[[#This Row],[ohne Dämpfung]]=1,2,IF(Scharniere[[#This Row],[ohne Feder]]=1,3,0))),1,0)</f>
        <v>0</v>
      </c>
      <c r="G5" s="35">
        <f>IF(Scharniere[[#This Row],[Bohrbild]]=select!$V$43,1,0)</f>
        <v>0</v>
      </c>
      <c r="H5" s="35">
        <f>IF(IF(Scharniere[[#This Row],[Anschrauben]]=1,1,IF(Scharniere[[#This Row],[Einpressen]]=1,2,IF(Scharniere[[#This Row],[Quick]]=1,3,IF(Scharniere[[#This Row],[Werkzeuglos]]=1,4,0))))=select!$F$48,1,0)</f>
        <v>0</v>
      </c>
      <c r="I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" s="149">
        <f>IF(AND(Scharniere[[#This Row],[Scharnierart]]=2,Scharniere[[#This Row],[Gruppenschlüssel]]=select!$A$318)=TRUE,1,0)</f>
        <v>0</v>
      </c>
      <c r="K5" s="221">
        <f ca="1">IF(select!$O$424&lt;6,1,0)</f>
        <v>1</v>
      </c>
      <c r="L5" s="139">
        <f>IF(select!$A$362=IF(Scharniere[[#This Row],[mit Dämpfung]]=1,1,IF(Scharniere[[#This Row],[ohne Dämpfung]]=1,2,IF(Scharniere[[#This Row],[ohne Feder]]=1,3,0))),1,0)</f>
        <v>0</v>
      </c>
      <c r="M5" s="135">
        <f>IF(Scharniere[[#This Row],[Bohrbild]]=select!$O$334,1,0)</f>
        <v>0</v>
      </c>
      <c r="N5" s="135">
        <f>IF(IF(Scharniere[[#This Row],[Anschrauben]]=1,1,IF(Scharniere[[#This Row],[Einpressen]]=1,2,IF(Scharniere[[#This Row],[Quick]]=1,3,IF(Scharniere[[#This Row],[Werkzeuglos]]=1,4,0))))=select!$E$362,1,0)</f>
        <v>1</v>
      </c>
      <c r="O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" s="298">
        <f>IF(AND(Scharniere[[#This Row],[Scharnierart]]=3,Scharniere[[#This Row],[Gruppenschlüssel]]=select!$A$747)=TRUE,1,0)</f>
        <v>0</v>
      </c>
      <c r="Q5" s="298">
        <f ca="1">IF(select!$O$945&lt;6,1,0)</f>
        <v>1</v>
      </c>
      <c r="R5" s="298">
        <f>IF(select!$A$778=IF(Scharniere[[#This Row],[mit Dämpfung]]=1,1,IF(Scharniere[[#This Row],[ohne Dämpfung]]=1,2,IF(Scharniere[[#This Row],[ohne Feder]]=1,3,0))),1,0)</f>
        <v>1</v>
      </c>
      <c r="S5" s="298">
        <f>IF(Scharniere[[#This Row],[Bohrbild]]=select!$A$755,1,0)</f>
        <v>0</v>
      </c>
      <c r="T5" s="298">
        <f>IF(IF(Scharniere[[#This Row],[Anschrauben]]=1,1,IF(Scharniere[[#This Row],[Einpressen]]=1,2,IF(Scharniere[[#This Row],[Quick]]=1,3,IF(Scharniere[[#This Row],[Werkzeuglos]]=1,4,0))))=select!$A$769,1,0)</f>
        <v>1</v>
      </c>
      <c r="U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" s="359">
        <f>IF(AND(Scharniere[[#This Row],[Scharnierart]]=4,Scharniere[[#This Row],[Gruppenschlüssel]]=select!$A$981)=TRUE,1,0)</f>
        <v>0</v>
      </c>
      <c r="W5" s="359">
        <f ca="1">IF(select!$O$1185&lt;6,1,0)</f>
        <v>1</v>
      </c>
      <c r="X5" s="359">
        <f>IF(select!$A$1012=IF(Scharniere[[#This Row],[mit Dämpfung]]=1,1,IF(Scharniere[[#This Row],[ohne Dämpfung]]=1,2,IF(Scharniere[[#This Row],[ohne Feder]]=1,3,0))),1,0)</f>
        <v>1</v>
      </c>
      <c r="Y5" s="359">
        <f>IF(Scharniere[[#This Row],[Bohrbild]]=select!$A$989,1,0)</f>
        <v>0</v>
      </c>
      <c r="Z5" s="359">
        <f>IF(IF(Scharniere[[#This Row],[Anschrauben]]=1,1,IF(Scharniere[[#This Row],[Einpressen]]=1,2,IF(Scharniere[[#This Row],[Quick]]=1,3,IF(Scharniere[[#This Row],[Werkzeuglos]]=1,4,0))))=select!$A$1003,1,0)</f>
        <v>1</v>
      </c>
      <c r="AA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" s="359">
        <f ca="1">IF(select!$K$980="*",Scharniere[[#This Row],[AG Ges2]],Scharniere[[#This Row],[AG Ges1]])</f>
        <v>0</v>
      </c>
      <c r="AE5" s="451">
        <f ca="1">IF(AND(Scharniere[[#This Row],[Scharnierart]]=select!$A$1485,Scharniere[[#This Row],[Gruppenschlüssel]]=select!$B$1485)=TRUE,1,0)</f>
        <v>1</v>
      </c>
      <c r="AF5" s="451">
        <f ca="1">IF(AND(Scharniere[[#This Row],[Scharnierart]]=select!$A$1486,Scharniere[[#This Row],[Gruppenschlüssel]]=select!$B$1486)=TRUE,1,0)</f>
        <v>0</v>
      </c>
      <c r="AG5" s="451">
        <f ca="1">IF(AND(Scharniere[[#This Row],[Scharnierart]]=select!$A$1487,Scharniere[[#This Row],[Gruppenschlüssel]]=select!$B$1487)=TRUE,1,0)</f>
        <v>0</v>
      </c>
      <c r="AH5" s="451">
        <f ca="1">IF(AND(Scharniere[[#This Row],[Scharnierart]]=select!$A$1488,Scharniere[[#This Row],[Gruppenschlüssel]]=select!$B$1488)=TRUE,1,0)</f>
        <v>0</v>
      </c>
      <c r="AI5" s="451">
        <f ca="1">IF(SUM(Scharniere[[#This Row],[konf Scharnier 1]:[konf Scharnier 4]])&gt;0,1,0)</f>
        <v>1</v>
      </c>
      <c r="AJ5" s="451"/>
      <c r="AK5" s="451"/>
      <c r="AL5" s="451"/>
      <c r="AM5" s="451"/>
      <c r="AN5" s="451"/>
      <c r="AO5" s="146">
        <v>1</v>
      </c>
      <c r="AP5" s="146">
        <v>1</v>
      </c>
      <c r="AQ5" s="10" t="str">
        <f ca="1">Sprache!$A$110</f>
        <v>Tiomos Scharnier T Click-on</v>
      </c>
      <c r="AR5" t="s">
        <v>307</v>
      </c>
      <c r="AS5" t="str">
        <f ca="1">Sprache!$A$103</f>
        <v>Tiomos Click-On Scharniere</v>
      </c>
      <c r="AT5">
        <v>19</v>
      </c>
      <c r="AU5" t="s">
        <v>3</v>
      </c>
      <c r="AV5">
        <v>110</v>
      </c>
      <c r="AW5" s="10">
        <v>0</v>
      </c>
      <c r="AX5">
        <v>1</v>
      </c>
      <c r="AY5">
        <v>0</v>
      </c>
      <c r="AZ5" s="10">
        <v>1</v>
      </c>
      <c r="BA5">
        <v>0</v>
      </c>
      <c r="BB5">
        <v>0</v>
      </c>
      <c r="BC5">
        <v>0</v>
      </c>
      <c r="BD5" s="143" t="s">
        <v>488</v>
      </c>
      <c r="BG5"/>
    </row>
    <row r="6" spans="1:60" ht="14.25" customHeight="1" x14ac:dyDescent="0.25">
      <c r="A6" s="37" t="str">
        <f>LEFT(Scharniere[[#This Row],[ArtikelNR]],4)</f>
        <v>F028</v>
      </c>
      <c r="B6" s="35" t="str">
        <f>MID(Scharniere[[#This Row],[ArtikelNR]],5,3)</f>
        <v>138</v>
      </c>
      <c r="C6" s="37" t="str">
        <f>RIGHT(Scharniere[[#This Row],[ArtikelNR]],3)</f>
        <v>522</v>
      </c>
      <c r="D6" s="35">
        <f>IF(AND(Scharniere[[#This Row],[Gruppenschlüssel]]=select!$A$44,Scharniere[[#This Row],[Scharnierart]]=1)=TRUE,1,0)</f>
        <v>1</v>
      </c>
      <c r="E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" s="35">
        <f>IF(select!$F$57=IF(Scharniere[[#This Row],[mit Dämpfung]]=1,1,IF(Scharniere[[#This Row],[ohne Dämpfung]]=1,2,IF(Scharniere[[#This Row],[ohne Feder]]=1,3,0))),1,0)</f>
        <v>0</v>
      </c>
      <c r="G6" s="35">
        <f>IF(Scharniere[[#This Row],[Bohrbild]]=select!$V$43,1,0)</f>
        <v>0</v>
      </c>
      <c r="H6" s="35">
        <f>IF(IF(Scharniere[[#This Row],[Anschrauben]]=1,1,IF(Scharniere[[#This Row],[Einpressen]]=1,2,IF(Scharniere[[#This Row],[Quick]]=1,3,IF(Scharniere[[#This Row],[Werkzeuglos]]=1,4,0))))=select!$F$48,1,0)</f>
        <v>0</v>
      </c>
      <c r="I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" s="149">
        <f>IF(AND(Scharniere[[#This Row],[Scharnierart]]=2,Scharniere[[#This Row],[Gruppenschlüssel]]=select!$A$318)=TRUE,1,0)</f>
        <v>0</v>
      </c>
      <c r="K6" s="221">
        <f ca="1">IF(select!$O$424&lt;6,1,0)</f>
        <v>1</v>
      </c>
      <c r="L6" s="139">
        <f>IF(select!$A$362=IF(Scharniere[[#This Row],[mit Dämpfung]]=1,1,IF(Scharniere[[#This Row],[ohne Dämpfung]]=1,2,IF(Scharniere[[#This Row],[ohne Feder]]=1,3,0))),1,0)</f>
        <v>1</v>
      </c>
      <c r="M6" s="135">
        <f>IF(Scharniere[[#This Row],[Bohrbild]]=select!$O$334,1,0)</f>
        <v>0</v>
      </c>
      <c r="N6" s="135">
        <f>IF(IF(Scharniere[[#This Row],[Anschrauben]]=1,1,IF(Scharniere[[#This Row],[Einpressen]]=1,2,IF(Scharniere[[#This Row],[Quick]]=1,3,IF(Scharniere[[#This Row],[Werkzeuglos]]=1,4,0))))=select!$E$362,1,0)</f>
        <v>1</v>
      </c>
      <c r="O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" s="298">
        <f>IF(AND(Scharniere[[#This Row],[Scharnierart]]=3,Scharniere[[#This Row],[Gruppenschlüssel]]=select!$A$747)=TRUE,1,0)</f>
        <v>0</v>
      </c>
      <c r="Q6" s="298">
        <f ca="1">IF(select!$O$945&lt;6,1,0)</f>
        <v>1</v>
      </c>
      <c r="R6" s="298">
        <f>IF(select!$A$778=IF(Scharniere[[#This Row],[mit Dämpfung]]=1,1,IF(Scharniere[[#This Row],[ohne Dämpfung]]=1,2,IF(Scharniere[[#This Row],[ohne Feder]]=1,3,0))),1,0)</f>
        <v>0</v>
      </c>
      <c r="S6" s="298">
        <f>IF(Scharniere[[#This Row],[Bohrbild]]=select!$A$755,1,0)</f>
        <v>0</v>
      </c>
      <c r="T6" s="298">
        <f>IF(IF(Scharniere[[#This Row],[Anschrauben]]=1,1,IF(Scharniere[[#This Row],[Einpressen]]=1,2,IF(Scharniere[[#This Row],[Quick]]=1,3,IF(Scharniere[[#This Row],[Werkzeuglos]]=1,4,0))))=select!$A$769,1,0)</f>
        <v>1</v>
      </c>
      <c r="U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" s="359">
        <f>IF(AND(Scharniere[[#This Row],[Scharnierart]]=4,Scharniere[[#This Row],[Gruppenschlüssel]]=select!$A$981)=TRUE,1,0)</f>
        <v>0</v>
      </c>
      <c r="W6" s="359">
        <f ca="1">IF(select!$O$1185&lt;6,1,0)</f>
        <v>1</v>
      </c>
      <c r="X6" s="359">
        <f>IF(select!$A$1012=IF(Scharniere[[#This Row],[mit Dämpfung]]=1,1,IF(Scharniere[[#This Row],[ohne Dämpfung]]=1,2,IF(Scharniere[[#This Row],[ohne Feder]]=1,3,0))),1,0)</f>
        <v>0</v>
      </c>
      <c r="Y6" s="359">
        <f>IF(Scharniere[[#This Row],[Bohrbild]]=select!$A$989,1,0)</f>
        <v>0</v>
      </c>
      <c r="Z6" s="359">
        <f>IF(IF(Scharniere[[#This Row],[Anschrauben]]=1,1,IF(Scharniere[[#This Row],[Einpressen]]=1,2,IF(Scharniere[[#This Row],[Quick]]=1,3,IF(Scharniere[[#This Row],[Werkzeuglos]]=1,4,0))))=select!$A$1003,1,0)</f>
        <v>1</v>
      </c>
      <c r="AA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" s="359">
        <f ca="1">IF(select!$K$980="*",Scharniere[[#This Row],[AG Ges2]],Scharniere[[#This Row],[AG Ges1]])</f>
        <v>0</v>
      </c>
      <c r="AE6" s="451">
        <f ca="1">IF(AND(Scharniere[[#This Row],[Scharnierart]]=select!$A$1485,Scharniere[[#This Row],[Gruppenschlüssel]]=select!$B$1485)=TRUE,1,0)</f>
        <v>1</v>
      </c>
      <c r="AF6" s="451">
        <f ca="1">IF(AND(Scharniere[[#This Row],[Scharnierart]]=select!$A$1486,Scharniere[[#This Row],[Gruppenschlüssel]]=select!$B$1486)=TRUE,1,0)</f>
        <v>0</v>
      </c>
      <c r="AG6" s="451">
        <f ca="1">IF(AND(Scharniere[[#This Row],[Scharnierart]]=select!$A$1487,Scharniere[[#This Row],[Gruppenschlüssel]]=select!$B$1487)=TRUE,1,0)</f>
        <v>0</v>
      </c>
      <c r="AH6" s="451">
        <f ca="1">IF(AND(Scharniere[[#This Row],[Scharnierart]]=select!$A$1488,Scharniere[[#This Row],[Gruppenschlüssel]]=select!$B$1488)=TRUE,1,0)</f>
        <v>0</v>
      </c>
      <c r="AI6" s="451">
        <f ca="1">IF(SUM(Scharniere[[#This Row],[konf Scharnier 1]:[konf Scharnier 4]])&gt;0,1,0)</f>
        <v>1</v>
      </c>
      <c r="AJ6" s="451"/>
      <c r="AK6" s="451"/>
      <c r="AL6" s="451"/>
      <c r="AM6" s="451"/>
      <c r="AN6" s="451"/>
      <c r="AO6" s="146">
        <v>1</v>
      </c>
      <c r="AP6" s="146">
        <v>1</v>
      </c>
      <c r="AQ6" s="10" t="str">
        <f ca="1">Sprache!$A$112</f>
        <v>Tiomos Scharnier TS Click-on</v>
      </c>
      <c r="AR6" t="s">
        <v>307</v>
      </c>
      <c r="AS6" t="str">
        <f ca="1">Sprache!$A$103</f>
        <v>Tiomos Click-On Scharniere</v>
      </c>
      <c r="AT6">
        <v>19</v>
      </c>
      <c r="AU6" s="34" t="s">
        <v>3</v>
      </c>
      <c r="AV6">
        <v>110</v>
      </c>
      <c r="AW6" s="10">
        <v>1</v>
      </c>
      <c r="AX6">
        <v>0</v>
      </c>
      <c r="AY6">
        <v>0</v>
      </c>
      <c r="AZ6" s="10">
        <v>1</v>
      </c>
      <c r="BA6">
        <v>0</v>
      </c>
      <c r="BB6">
        <v>0</v>
      </c>
      <c r="BC6">
        <v>0</v>
      </c>
      <c r="BD6" s="143" t="s">
        <v>306</v>
      </c>
      <c r="BG6"/>
    </row>
    <row r="7" spans="1:60" ht="14.25" customHeight="1" x14ac:dyDescent="0.25">
      <c r="A7" s="37" t="str">
        <f>LEFT(Scharniere[[#This Row],[ArtikelNR]],4)</f>
        <v>F046</v>
      </c>
      <c r="B7" s="35" t="str">
        <f>MID(Scharniere[[#This Row],[ArtikelNR]],5,3)</f>
        <v>138</v>
      </c>
      <c r="C7" s="37" t="str">
        <f>RIGHT(Scharniere[[#This Row],[ArtikelNR]],3)</f>
        <v>582</v>
      </c>
      <c r="D7" s="35">
        <f>IF(AND(Scharniere[[#This Row],[Gruppenschlüssel]]=select!$A$44,Scharniere[[#This Row],[Scharnierart]]=1)=TRUE,1,0)</f>
        <v>1</v>
      </c>
      <c r="E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" s="35">
        <f>IF(select!$F$57=IF(Scharniere[[#This Row],[mit Dämpfung]]=1,1,IF(Scharniere[[#This Row],[ohne Dämpfung]]=1,2,IF(Scharniere[[#This Row],[ohne Feder]]=1,3,0))),1,0)</f>
        <v>1</v>
      </c>
      <c r="G7" s="35">
        <f>IF(Scharniere[[#This Row],[Bohrbild]]=select!$V$43,1,0)</f>
        <v>0</v>
      </c>
      <c r="H7" s="35">
        <f>IF(IF(Scharniere[[#This Row],[Anschrauben]]=1,1,IF(Scharniere[[#This Row],[Einpressen]]=1,2,IF(Scharniere[[#This Row],[Quick]]=1,3,IF(Scharniere[[#This Row],[Werkzeuglos]]=1,4,0))))=select!$F$48,1,0)</f>
        <v>0</v>
      </c>
      <c r="I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" s="149">
        <f>IF(AND(Scharniere[[#This Row],[Scharnierart]]=2,Scharniere[[#This Row],[Gruppenschlüssel]]=select!$A$318)=TRUE,1,0)</f>
        <v>0</v>
      </c>
      <c r="K7" s="221">
        <f ca="1">IF(select!$O$424&lt;6,1,0)</f>
        <v>1</v>
      </c>
      <c r="L7" s="139">
        <f>IF(select!$A$362=IF(Scharniere[[#This Row],[mit Dämpfung]]=1,1,IF(Scharniere[[#This Row],[ohne Dämpfung]]=1,2,IF(Scharniere[[#This Row],[ohne Feder]]=1,3,0))),1,0)</f>
        <v>0</v>
      </c>
      <c r="M7" s="135">
        <f>IF(Scharniere[[#This Row],[Bohrbild]]=select!$O$334,1,0)</f>
        <v>0</v>
      </c>
      <c r="N7" s="135">
        <f>IF(IF(Scharniere[[#This Row],[Anschrauben]]=1,1,IF(Scharniere[[#This Row],[Einpressen]]=1,2,IF(Scharniere[[#This Row],[Quick]]=1,3,IF(Scharniere[[#This Row],[Werkzeuglos]]=1,4,0))))=select!$E$362,1,0)</f>
        <v>1</v>
      </c>
      <c r="O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" s="298">
        <f>IF(AND(Scharniere[[#This Row],[Scharnierart]]=3,Scharniere[[#This Row],[Gruppenschlüssel]]=select!$A$747)=TRUE,1,0)</f>
        <v>0</v>
      </c>
      <c r="Q7" s="298">
        <f ca="1">IF(select!$O$945&lt;6,1,0)</f>
        <v>1</v>
      </c>
      <c r="R7" s="298">
        <f>IF(select!$A$778=IF(Scharniere[[#This Row],[mit Dämpfung]]=1,1,IF(Scharniere[[#This Row],[ohne Dämpfung]]=1,2,IF(Scharniere[[#This Row],[ohne Feder]]=1,3,0))),1,0)</f>
        <v>0</v>
      </c>
      <c r="S7" s="298">
        <f>IF(Scharniere[[#This Row],[Bohrbild]]=select!$A$755,1,0)</f>
        <v>0</v>
      </c>
      <c r="T7" s="298">
        <f>IF(IF(Scharniere[[#This Row],[Anschrauben]]=1,1,IF(Scharniere[[#This Row],[Einpressen]]=1,2,IF(Scharniere[[#This Row],[Quick]]=1,3,IF(Scharniere[[#This Row],[Werkzeuglos]]=1,4,0))))=select!$A$769,1,0)</f>
        <v>1</v>
      </c>
      <c r="U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" s="359">
        <f>IF(AND(Scharniere[[#This Row],[Scharnierart]]=4,Scharniere[[#This Row],[Gruppenschlüssel]]=select!$A$981)=TRUE,1,0)</f>
        <v>0</v>
      </c>
      <c r="W7" s="359">
        <f ca="1">IF(select!$O$1185&lt;6,1,0)</f>
        <v>1</v>
      </c>
      <c r="X7" s="359">
        <f>IF(select!$A$1012=IF(Scharniere[[#This Row],[mit Dämpfung]]=1,1,IF(Scharniere[[#This Row],[ohne Dämpfung]]=1,2,IF(Scharniere[[#This Row],[ohne Feder]]=1,3,0))),1,0)</f>
        <v>0</v>
      </c>
      <c r="Y7" s="359">
        <f>IF(Scharniere[[#This Row],[Bohrbild]]=select!$A$989,1,0)</f>
        <v>0</v>
      </c>
      <c r="Z7" s="359">
        <f>IF(IF(Scharniere[[#This Row],[Anschrauben]]=1,1,IF(Scharniere[[#This Row],[Einpressen]]=1,2,IF(Scharniere[[#This Row],[Quick]]=1,3,IF(Scharniere[[#This Row],[Werkzeuglos]]=1,4,0))))=select!$A$1003,1,0)</f>
        <v>1</v>
      </c>
      <c r="AA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" s="359">
        <f ca="1">IF(select!$K$980="*",Scharniere[[#This Row],[AG Ges2]],Scharniere[[#This Row],[AG Ges1]])</f>
        <v>0</v>
      </c>
      <c r="AE7" s="451">
        <f ca="1">IF(AND(Scharniere[[#This Row],[Scharnierart]]=select!$A$1485,Scharniere[[#This Row],[Gruppenschlüssel]]=select!$B$1485)=TRUE,1,0)</f>
        <v>1</v>
      </c>
      <c r="AF7" s="451">
        <f ca="1">IF(AND(Scharniere[[#This Row],[Scharnierart]]=select!$A$1486,Scharniere[[#This Row],[Gruppenschlüssel]]=select!$B$1486)=TRUE,1,0)</f>
        <v>0</v>
      </c>
      <c r="AG7" s="451">
        <f ca="1">IF(AND(Scharniere[[#This Row],[Scharnierart]]=select!$A$1487,Scharniere[[#This Row],[Gruppenschlüssel]]=select!$B$1487)=TRUE,1,0)</f>
        <v>0</v>
      </c>
      <c r="AH7" s="451">
        <f ca="1">IF(AND(Scharniere[[#This Row],[Scharnierart]]=select!$A$1488,Scharniere[[#This Row],[Gruppenschlüssel]]=select!$B$1488)=TRUE,1,0)</f>
        <v>0</v>
      </c>
      <c r="AI7" s="451">
        <f ca="1">IF(SUM(Scharniere[[#This Row],[konf Scharnier 1]:[konf Scharnier 4]])&gt;0,1,0)</f>
        <v>1</v>
      </c>
      <c r="AJ7" s="451"/>
      <c r="AK7" s="451"/>
      <c r="AL7" s="451"/>
      <c r="AM7" s="451"/>
      <c r="AN7" s="451"/>
      <c r="AO7" s="146">
        <v>1</v>
      </c>
      <c r="AP7" s="146">
        <v>1</v>
      </c>
      <c r="AQ7" s="10" t="str">
        <f ca="1">Sprache!$A$114</f>
        <v>Tiomos Scharnier TT Click-on</v>
      </c>
      <c r="AR7" t="s">
        <v>307</v>
      </c>
      <c r="AS7" t="str">
        <f ca="1">Sprache!$A$103</f>
        <v>Tiomos Click-On Scharniere</v>
      </c>
      <c r="AT7">
        <v>19</v>
      </c>
      <c r="AU7" s="34" t="s">
        <v>3</v>
      </c>
      <c r="AV7">
        <v>110</v>
      </c>
      <c r="AW7" s="10">
        <v>0</v>
      </c>
      <c r="AX7">
        <v>0</v>
      </c>
      <c r="AY7">
        <v>1</v>
      </c>
      <c r="AZ7" s="10">
        <v>1</v>
      </c>
      <c r="BA7">
        <v>0</v>
      </c>
      <c r="BB7">
        <v>0</v>
      </c>
      <c r="BC7">
        <v>0</v>
      </c>
      <c r="BD7" s="143" t="s">
        <v>639</v>
      </c>
      <c r="BG7"/>
    </row>
    <row r="8" spans="1:60" ht="14.25" customHeight="1" x14ac:dyDescent="0.25">
      <c r="A8" s="37" t="str">
        <f>LEFT(Scharniere[[#This Row],[ArtikelNR]],4)</f>
        <v>F045</v>
      </c>
      <c r="B8" s="35" t="str">
        <f>MID(Scharniere[[#This Row],[ArtikelNR]],5,3)</f>
        <v>138</v>
      </c>
      <c r="C8" s="37" t="str">
        <f>RIGHT(Scharniere[[#This Row],[ArtikelNR]],3)</f>
        <v>282</v>
      </c>
      <c r="D8" s="35">
        <f>IF(AND(Scharniere[[#This Row],[Gruppenschlüssel]]=select!$A$44,Scharniere[[#This Row],[Scharnierart]]=1)=TRUE,1,0)</f>
        <v>1</v>
      </c>
      <c r="E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" s="35">
        <f>IF(select!$F$57=IF(Scharniere[[#This Row],[mit Dämpfung]]=1,1,IF(Scharniere[[#This Row],[ohne Dämpfung]]=1,2,IF(Scharniere[[#This Row],[ohne Feder]]=1,3,0))),1,0)</f>
        <v>0</v>
      </c>
      <c r="G8" s="35">
        <f>IF(Scharniere[[#This Row],[Bohrbild]]=select!$V$43,1,0)</f>
        <v>0</v>
      </c>
      <c r="H8" s="35">
        <f>IF(IF(Scharniere[[#This Row],[Anschrauben]]=1,1,IF(Scharniere[[#This Row],[Einpressen]]=1,2,IF(Scharniere[[#This Row],[Quick]]=1,3,IF(Scharniere[[#This Row],[Werkzeuglos]]=1,4,0))))=select!$F$48,1,0)</f>
        <v>1</v>
      </c>
      <c r="I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" s="149">
        <f>IF(AND(Scharniere[[#This Row],[Scharnierart]]=2,Scharniere[[#This Row],[Gruppenschlüssel]]=select!$A$318)=TRUE,1,0)</f>
        <v>0</v>
      </c>
      <c r="K8" s="221">
        <f ca="1">IF(select!$O$424&lt;6,1,0)</f>
        <v>1</v>
      </c>
      <c r="L8" s="139">
        <f>IF(select!$A$362=IF(Scharniere[[#This Row],[mit Dämpfung]]=1,1,IF(Scharniere[[#This Row],[ohne Dämpfung]]=1,2,IF(Scharniere[[#This Row],[ohne Feder]]=1,3,0))),1,0)</f>
        <v>0</v>
      </c>
      <c r="M8" s="135">
        <f>IF(Scharniere[[#This Row],[Bohrbild]]=select!$O$334,1,0)</f>
        <v>0</v>
      </c>
      <c r="N8" s="135">
        <f>IF(IF(Scharniere[[#This Row],[Anschrauben]]=1,1,IF(Scharniere[[#This Row],[Einpressen]]=1,2,IF(Scharniere[[#This Row],[Quick]]=1,3,IF(Scharniere[[#This Row],[Werkzeuglos]]=1,4,0))))=select!$E$362,1,0)</f>
        <v>0</v>
      </c>
      <c r="O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" s="298">
        <f>IF(AND(Scharniere[[#This Row],[Scharnierart]]=3,Scharniere[[#This Row],[Gruppenschlüssel]]=select!$A$747)=TRUE,1,0)</f>
        <v>0</v>
      </c>
      <c r="Q8" s="298">
        <f ca="1">IF(select!$O$945&lt;6,1,0)</f>
        <v>1</v>
      </c>
      <c r="R8" s="298">
        <f>IF(select!$A$778=IF(Scharniere[[#This Row],[mit Dämpfung]]=1,1,IF(Scharniere[[#This Row],[ohne Dämpfung]]=1,2,IF(Scharniere[[#This Row],[ohne Feder]]=1,3,0))),1,0)</f>
        <v>1</v>
      </c>
      <c r="S8" s="298">
        <f>IF(Scharniere[[#This Row],[Bohrbild]]=select!$A$755,1,0)</f>
        <v>0</v>
      </c>
      <c r="T8" s="298">
        <f>IF(IF(Scharniere[[#This Row],[Anschrauben]]=1,1,IF(Scharniere[[#This Row],[Einpressen]]=1,2,IF(Scharniere[[#This Row],[Quick]]=1,3,IF(Scharniere[[#This Row],[Werkzeuglos]]=1,4,0))))=select!$A$769,1,0)</f>
        <v>0</v>
      </c>
      <c r="U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" s="359">
        <f>IF(AND(Scharniere[[#This Row],[Scharnierart]]=4,Scharniere[[#This Row],[Gruppenschlüssel]]=select!$A$981)=TRUE,1,0)</f>
        <v>0</v>
      </c>
      <c r="W8" s="359">
        <f ca="1">IF(select!$O$1185&lt;6,1,0)</f>
        <v>1</v>
      </c>
      <c r="X8" s="359">
        <f>IF(select!$A$1012=IF(Scharniere[[#This Row],[mit Dämpfung]]=1,1,IF(Scharniere[[#This Row],[ohne Dämpfung]]=1,2,IF(Scharniere[[#This Row],[ohne Feder]]=1,3,0))),1,0)</f>
        <v>1</v>
      </c>
      <c r="Y8" s="359">
        <f>IF(Scharniere[[#This Row],[Bohrbild]]=select!$A$989,1,0)</f>
        <v>0</v>
      </c>
      <c r="Z8" s="359">
        <f>IF(IF(Scharniere[[#This Row],[Anschrauben]]=1,1,IF(Scharniere[[#This Row],[Einpressen]]=1,2,IF(Scharniere[[#This Row],[Quick]]=1,3,IF(Scharniere[[#This Row],[Werkzeuglos]]=1,4,0))))=select!$A$1003,1,0)</f>
        <v>0</v>
      </c>
      <c r="AA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" s="359">
        <f ca="1">IF(select!$K$980="*",Scharniere[[#This Row],[AG Ges2]],Scharniere[[#This Row],[AG Ges1]])</f>
        <v>0</v>
      </c>
      <c r="AE8" s="451">
        <f ca="1">IF(AND(Scharniere[[#This Row],[Scharnierart]]=select!$A$1485,Scharniere[[#This Row],[Gruppenschlüssel]]=select!$B$1485)=TRUE,1,0)</f>
        <v>1</v>
      </c>
      <c r="AF8" s="451">
        <f ca="1">IF(AND(Scharniere[[#This Row],[Scharnierart]]=select!$A$1486,Scharniere[[#This Row],[Gruppenschlüssel]]=select!$B$1486)=TRUE,1,0)</f>
        <v>0</v>
      </c>
      <c r="AG8" s="451">
        <f ca="1">IF(AND(Scharniere[[#This Row],[Scharnierart]]=select!$A$1487,Scharniere[[#This Row],[Gruppenschlüssel]]=select!$B$1487)=TRUE,1,0)</f>
        <v>0</v>
      </c>
      <c r="AH8" s="451">
        <f ca="1">IF(AND(Scharniere[[#This Row],[Scharnierart]]=select!$A$1488,Scharniere[[#This Row],[Gruppenschlüssel]]=select!$B$1488)=TRUE,1,0)</f>
        <v>0</v>
      </c>
      <c r="AI8" s="451">
        <f ca="1">IF(SUM(Scharniere[[#This Row],[konf Scharnier 1]:[konf Scharnier 4]])&gt;0,1,0)</f>
        <v>1</v>
      </c>
      <c r="AJ8" s="451"/>
      <c r="AK8" s="451"/>
      <c r="AL8" s="451"/>
      <c r="AM8" s="451"/>
      <c r="AN8" s="451"/>
      <c r="AO8" s="146">
        <v>1</v>
      </c>
      <c r="AP8" s="146">
        <v>1</v>
      </c>
      <c r="AQ8" s="10" t="str">
        <f ca="1">Sprache!$A$110</f>
        <v>Tiomos Scharnier T Click-on</v>
      </c>
      <c r="AR8" t="str">
        <f ca="1">"110°, G-BB, K19, "&amp;Sprache!A181&amp;", ni"</f>
        <v>110°, G-BB, K19, Dübel, ni</v>
      </c>
      <c r="AS8" t="str">
        <f ca="1">Sprache!$A$103</f>
        <v>Tiomos Click-On Scharniere</v>
      </c>
      <c r="AT8">
        <v>19</v>
      </c>
      <c r="AU8" t="s">
        <v>9</v>
      </c>
      <c r="AV8">
        <v>110</v>
      </c>
      <c r="AW8" s="10">
        <v>0</v>
      </c>
      <c r="AX8">
        <v>1</v>
      </c>
      <c r="AY8">
        <v>0</v>
      </c>
      <c r="AZ8" s="10">
        <v>0</v>
      </c>
      <c r="BA8">
        <v>1</v>
      </c>
      <c r="BB8">
        <v>0</v>
      </c>
      <c r="BC8">
        <v>0</v>
      </c>
      <c r="BD8" s="143" t="s">
        <v>464</v>
      </c>
      <c r="BG8"/>
    </row>
    <row r="9" spans="1:60" ht="14.25" customHeight="1" x14ac:dyDescent="0.25">
      <c r="A9" s="37" t="str">
        <f>LEFT(Scharniere[[#This Row],[ArtikelNR]],4)</f>
        <v>F028</v>
      </c>
      <c r="B9" s="35" t="str">
        <f>MID(Scharniere[[#This Row],[ArtikelNR]],5,3)</f>
        <v>138</v>
      </c>
      <c r="C9" s="37" t="str">
        <f>RIGHT(Scharniere[[#This Row],[ArtikelNR]],3)</f>
        <v>344</v>
      </c>
      <c r="D9" s="35">
        <f>IF(AND(Scharniere[[#This Row],[Gruppenschlüssel]]=select!$A$44,Scharniere[[#This Row],[Scharnierart]]=1)=TRUE,1,0)</f>
        <v>1</v>
      </c>
      <c r="E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" s="35">
        <f>IF(select!$F$57=IF(Scharniere[[#This Row],[mit Dämpfung]]=1,1,IF(Scharniere[[#This Row],[ohne Dämpfung]]=1,2,IF(Scharniere[[#This Row],[ohne Feder]]=1,3,0))),1,0)</f>
        <v>0</v>
      </c>
      <c r="G9" s="35">
        <f>IF(Scharniere[[#This Row],[Bohrbild]]=select!$V$43,1,0)</f>
        <v>0</v>
      </c>
      <c r="H9" s="35">
        <f>IF(IF(Scharniere[[#This Row],[Anschrauben]]=1,1,IF(Scharniere[[#This Row],[Einpressen]]=1,2,IF(Scharniere[[#This Row],[Quick]]=1,3,IF(Scharniere[[#This Row],[Werkzeuglos]]=1,4,0))))=select!$F$48,1,0)</f>
        <v>1</v>
      </c>
      <c r="I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" s="149">
        <f>IF(AND(Scharniere[[#This Row],[Scharnierart]]=2,Scharniere[[#This Row],[Gruppenschlüssel]]=select!$A$318)=TRUE,1,0)</f>
        <v>0</v>
      </c>
      <c r="K9" s="221">
        <f ca="1">IF(select!$O$424&lt;6,1,0)</f>
        <v>1</v>
      </c>
      <c r="L9" s="139">
        <f>IF(select!$A$362=IF(Scharniere[[#This Row],[mit Dämpfung]]=1,1,IF(Scharniere[[#This Row],[ohne Dämpfung]]=1,2,IF(Scharniere[[#This Row],[ohne Feder]]=1,3,0))),1,0)</f>
        <v>1</v>
      </c>
      <c r="M9" s="135">
        <f>IF(Scharniere[[#This Row],[Bohrbild]]=select!$O$334,1,0)</f>
        <v>0</v>
      </c>
      <c r="N9" s="135">
        <f>IF(IF(Scharniere[[#This Row],[Anschrauben]]=1,1,IF(Scharniere[[#This Row],[Einpressen]]=1,2,IF(Scharniere[[#This Row],[Quick]]=1,3,IF(Scharniere[[#This Row],[Werkzeuglos]]=1,4,0))))=select!$E$362,1,0)</f>
        <v>0</v>
      </c>
      <c r="O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" s="298">
        <f>IF(AND(Scharniere[[#This Row],[Scharnierart]]=3,Scharniere[[#This Row],[Gruppenschlüssel]]=select!$A$747)=TRUE,1,0)</f>
        <v>0</v>
      </c>
      <c r="Q9" s="298">
        <f ca="1">IF(select!$O$945&lt;6,1,0)</f>
        <v>1</v>
      </c>
      <c r="R9" s="298">
        <f>IF(select!$A$778=IF(Scharniere[[#This Row],[mit Dämpfung]]=1,1,IF(Scharniere[[#This Row],[ohne Dämpfung]]=1,2,IF(Scharniere[[#This Row],[ohne Feder]]=1,3,0))),1,0)</f>
        <v>0</v>
      </c>
      <c r="S9" s="298">
        <f>IF(Scharniere[[#This Row],[Bohrbild]]=select!$A$755,1,0)</f>
        <v>0</v>
      </c>
      <c r="T9" s="298">
        <f>IF(IF(Scharniere[[#This Row],[Anschrauben]]=1,1,IF(Scharniere[[#This Row],[Einpressen]]=1,2,IF(Scharniere[[#This Row],[Quick]]=1,3,IF(Scharniere[[#This Row],[Werkzeuglos]]=1,4,0))))=select!$A$769,1,0)</f>
        <v>0</v>
      </c>
      <c r="U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" s="359">
        <f>IF(AND(Scharniere[[#This Row],[Scharnierart]]=4,Scharniere[[#This Row],[Gruppenschlüssel]]=select!$A$981)=TRUE,1,0)</f>
        <v>0</v>
      </c>
      <c r="W9" s="359">
        <f ca="1">IF(select!$O$1185&lt;6,1,0)</f>
        <v>1</v>
      </c>
      <c r="X9" s="359">
        <f>IF(select!$A$1012=IF(Scharniere[[#This Row],[mit Dämpfung]]=1,1,IF(Scharniere[[#This Row],[ohne Dämpfung]]=1,2,IF(Scharniere[[#This Row],[ohne Feder]]=1,3,0))),1,0)</f>
        <v>0</v>
      </c>
      <c r="Y9" s="359">
        <f>IF(Scharniere[[#This Row],[Bohrbild]]=select!$A$989,1,0)</f>
        <v>0</v>
      </c>
      <c r="Z9" s="359">
        <f>IF(IF(Scharniere[[#This Row],[Anschrauben]]=1,1,IF(Scharniere[[#This Row],[Einpressen]]=1,2,IF(Scharniere[[#This Row],[Quick]]=1,3,IF(Scharniere[[#This Row],[Werkzeuglos]]=1,4,0))))=select!$A$1003,1,0)</f>
        <v>0</v>
      </c>
      <c r="AA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" s="359">
        <f ca="1">IF(select!$K$980="*",Scharniere[[#This Row],[AG Ges2]],Scharniere[[#This Row],[AG Ges1]])</f>
        <v>0</v>
      </c>
      <c r="AE9" s="451">
        <f ca="1">IF(AND(Scharniere[[#This Row],[Scharnierart]]=select!$A$1485,Scharniere[[#This Row],[Gruppenschlüssel]]=select!$B$1485)=TRUE,1,0)</f>
        <v>1</v>
      </c>
      <c r="AF9" s="451">
        <f ca="1">IF(AND(Scharniere[[#This Row],[Scharnierart]]=select!$A$1486,Scharniere[[#This Row],[Gruppenschlüssel]]=select!$B$1486)=TRUE,1,0)</f>
        <v>0</v>
      </c>
      <c r="AG9" s="451">
        <f ca="1">IF(AND(Scharniere[[#This Row],[Scharnierart]]=select!$A$1487,Scharniere[[#This Row],[Gruppenschlüssel]]=select!$B$1487)=TRUE,1,0)</f>
        <v>0</v>
      </c>
      <c r="AH9" s="451">
        <f ca="1">IF(AND(Scharniere[[#This Row],[Scharnierart]]=select!$A$1488,Scharniere[[#This Row],[Gruppenschlüssel]]=select!$B$1488)=TRUE,1,0)</f>
        <v>0</v>
      </c>
      <c r="AI9" s="451">
        <f ca="1">IF(SUM(Scharniere[[#This Row],[konf Scharnier 1]:[konf Scharnier 4]])&gt;0,1,0)</f>
        <v>1</v>
      </c>
      <c r="AJ9" s="451"/>
      <c r="AK9" s="451"/>
      <c r="AL9" s="451"/>
      <c r="AM9" s="451"/>
      <c r="AN9" s="451"/>
      <c r="AO9" s="146">
        <v>1</v>
      </c>
      <c r="AP9" s="146">
        <v>1</v>
      </c>
      <c r="AQ9" s="10" t="str">
        <f ca="1">Sprache!$A$112</f>
        <v>Tiomos Scharnier TS Click-on</v>
      </c>
      <c r="AR9" t="str">
        <f ca="1">"110°, G-BB, K19, "&amp;Sprache!A181&amp;", ni"</f>
        <v>110°, G-BB, K19, Dübel, ni</v>
      </c>
      <c r="AS9" t="str">
        <f ca="1">Sprache!$A$103</f>
        <v>Tiomos Click-On Scharniere</v>
      </c>
      <c r="AT9">
        <v>19</v>
      </c>
      <c r="AU9" t="s">
        <v>9</v>
      </c>
      <c r="AV9">
        <v>110</v>
      </c>
      <c r="AW9" s="10">
        <v>1</v>
      </c>
      <c r="AX9">
        <v>0</v>
      </c>
      <c r="AY9">
        <v>0</v>
      </c>
      <c r="AZ9" s="10">
        <v>0</v>
      </c>
      <c r="BA9">
        <v>1</v>
      </c>
      <c r="BB9">
        <v>0</v>
      </c>
      <c r="BC9">
        <v>0</v>
      </c>
      <c r="BD9" s="143" t="s">
        <v>274</v>
      </c>
      <c r="BG9"/>
    </row>
    <row r="10" spans="1:60" ht="14.25" customHeight="1" x14ac:dyDescent="0.25">
      <c r="A10" s="37" t="str">
        <f>LEFT(Scharniere[[#This Row],[ArtikelNR]],4)</f>
        <v>F046</v>
      </c>
      <c r="B10" s="35" t="str">
        <f>MID(Scharniere[[#This Row],[ArtikelNR]],5,3)</f>
        <v>138</v>
      </c>
      <c r="C10" s="37" t="str">
        <f>RIGHT(Scharniere[[#This Row],[ArtikelNR]],3)</f>
        <v>404</v>
      </c>
      <c r="D10" s="35">
        <f>IF(AND(Scharniere[[#This Row],[Gruppenschlüssel]]=select!$A$44,Scharniere[[#This Row],[Scharnierart]]=1)=TRUE,1,0)</f>
        <v>1</v>
      </c>
      <c r="E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" s="35">
        <f>IF(select!$F$57=IF(Scharniere[[#This Row],[mit Dämpfung]]=1,1,IF(Scharniere[[#This Row],[ohne Dämpfung]]=1,2,IF(Scharniere[[#This Row],[ohne Feder]]=1,3,0))),1,0)</f>
        <v>1</v>
      </c>
      <c r="G10" s="35">
        <f>IF(Scharniere[[#This Row],[Bohrbild]]=select!$V$43,1,0)</f>
        <v>0</v>
      </c>
      <c r="H10" s="35">
        <f>IF(IF(Scharniere[[#This Row],[Anschrauben]]=1,1,IF(Scharniere[[#This Row],[Einpressen]]=1,2,IF(Scharniere[[#This Row],[Quick]]=1,3,IF(Scharniere[[#This Row],[Werkzeuglos]]=1,4,0))))=select!$F$48,1,0)</f>
        <v>1</v>
      </c>
      <c r="I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" s="149">
        <f>IF(AND(Scharniere[[#This Row],[Scharnierart]]=2,Scharniere[[#This Row],[Gruppenschlüssel]]=select!$A$318)=TRUE,1,0)</f>
        <v>0</v>
      </c>
      <c r="K10" s="221">
        <f ca="1">IF(select!$O$424&lt;6,1,0)</f>
        <v>1</v>
      </c>
      <c r="L10" s="139">
        <f>IF(select!$A$362=IF(Scharniere[[#This Row],[mit Dämpfung]]=1,1,IF(Scharniere[[#This Row],[ohne Dämpfung]]=1,2,IF(Scharniere[[#This Row],[ohne Feder]]=1,3,0))),1,0)</f>
        <v>0</v>
      </c>
      <c r="M10" s="135">
        <f>IF(Scharniere[[#This Row],[Bohrbild]]=select!$O$334,1,0)</f>
        <v>0</v>
      </c>
      <c r="N10" s="135">
        <f>IF(IF(Scharniere[[#This Row],[Anschrauben]]=1,1,IF(Scharniere[[#This Row],[Einpressen]]=1,2,IF(Scharniere[[#This Row],[Quick]]=1,3,IF(Scharniere[[#This Row],[Werkzeuglos]]=1,4,0))))=select!$E$362,1,0)</f>
        <v>0</v>
      </c>
      <c r="O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" s="298">
        <f>IF(AND(Scharniere[[#This Row],[Scharnierart]]=3,Scharniere[[#This Row],[Gruppenschlüssel]]=select!$A$747)=TRUE,1,0)</f>
        <v>0</v>
      </c>
      <c r="Q10" s="298">
        <f ca="1">IF(select!$O$945&lt;6,1,0)</f>
        <v>1</v>
      </c>
      <c r="R10" s="298">
        <f>IF(select!$A$778=IF(Scharniere[[#This Row],[mit Dämpfung]]=1,1,IF(Scharniere[[#This Row],[ohne Dämpfung]]=1,2,IF(Scharniere[[#This Row],[ohne Feder]]=1,3,0))),1,0)</f>
        <v>0</v>
      </c>
      <c r="S10" s="298">
        <f>IF(Scharniere[[#This Row],[Bohrbild]]=select!$A$755,1,0)</f>
        <v>0</v>
      </c>
      <c r="T10" s="298">
        <f>IF(IF(Scharniere[[#This Row],[Anschrauben]]=1,1,IF(Scharniere[[#This Row],[Einpressen]]=1,2,IF(Scharniere[[#This Row],[Quick]]=1,3,IF(Scharniere[[#This Row],[Werkzeuglos]]=1,4,0))))=select!$A$769,1,0)</f>
        <v>0</v>
      </c>
      <c r="U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" s="359">
        <f>IF(AND(Scharniere[[#This Row],[Scharnierart]]=4,Scharniere[[#This Row],[Gruppenschlüssel]]=select!$A$981)=TRUE,1,0)</f>
        <v>0</v>
      </c>
      <c r="W10" s="359">
        <f ca="1">IF(select!$O$1185&lt;6,1,0)</f>
        <v>1</v>
      </c>
      <c r="X10" s="359">
        <f>IF(select!$A$1012=IF(Scharniere[[#This Row],[mit Dämpfung]]=1,1,IF(Scharniere[[#This Row],[ohne Dämpfung]]=1,2,IF(Scharniere[[#This Row],[ohne Feder]]=1,3,0))),1,0)</f>
        <v>0</v>
      </c>
      <c r="Y10" s="359">
        <f>IF(Scharniere[[#This Row],[Bohrbild]]=select!$A$989,1,0)</f>
        <v>0</v>
      </c>
      <c r="Z10" s="359">
        <f>IF(IF(Scharniere[[#This Row],[Anschrauben]]=1,1,IF(Scharniere[[#This Row],[Einpressen]]=1,2,IF(Scharniere[[#This Row],[Quick]]=1,3,IF(Scharniere[[#This Row],[Werkzeuglos]]=1,4,0))))=select!$A$1003,1,0)</f>
        <v>0</v>
      </c>
      <c r="AA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" s="359">
        <f ca="1">IF(select!$K$980="*",Scharniere[[#This Row],[AG Ges2]],Scharniere[[#This Row],[AG Ges1]])</f>
        <v>0</v>
      </c>
      <c r="AE10" s="451">
        <f ca="1">IF(AND(Scharniere[[#This Row],[Scharnierart]]=select!$A$1485,Scharniere[[#This Row],[Gruppenschlüssel]]=select!$B$1485)=TRUE,1,0)</f>
        <v>1</v>
      </c>
      <c r="AF10" s="451">
        <f ca="1">IF(AND(Scharniere[[#This Row],[Scharnierart]]=select!$A$1486,Scharniere[[#This Row],[Gruppenschlüssel]]=select!$B$1486)=TRUE,1,0)</f>
        <v>0</v>
      </c>
      <c r="AG10" s="451">
        <f ca="1">IF(AND(Scharniere[[#This Row],[Scharnierart]]=select!$A$1487,Scharniere[[#This Row],[Gruppenschlüssel]]=select!$B$1487)=TRUE,1,0)</f>
        <v>0</v>
      </c>
      <c r="AH10" s="451">
        <f ca="1">IF(AND(Scharniere[[#This Row],[Scharnierart]]=select!$A$1488,Scharniere[[#This Row],[Gruppenschlüssel]]=select!$B$1488)=TRUE,1,0)</f>
        <v>0</v>
      </c>
      <c r="AI10" s="451">
        <f ca="1">IF(SUM(Scharniere[[#This Row],[konf Scharnier 1]:[konf Scharnier 4]])&gt;0,1,0)</f>
        <v>1</v>
      </c>
      <c r="AJ10" s="451"/>
      <c r="AK10" s="451"/>
      <c r="AL10" s="451"/>
      <c r="AM10" s="451"/>
      <c r="AN10" s="451"/>
      <c r="AO10" s="146">
        <v>1</v>
      </c>
      <c r="AP10" s="146">
        <v>1</v>
      </c>
      <c r="AQ10" s="10" t="str">
        <f ca="1">Sprache!$A$114</f>
        <v>Tiomos Scharnier TT Click-on</v>
      </c>
      <c r="AR10" t="str">
        <f ca="1">"110°, G-BB, K19, "&amp;Sprache!A181&amp;", ni"</f>
        <v>110°, G-BB, K19, Dübel, ni</v>
      </c>
      <c r="AS10" t="str">
        <f ca="1">Sprache!$A$103</f>
        <v>Tiomos Click-On Scharniere</v>
      </c>
      <c r="AT10">
        <v>19</v>
      </c>
      <c r="AU10" s="34" t="s">
        <v>9</v>
      </c>
      <c r="AV10">
        <v>110</v>
      </c>
      <c r="AW10" s="10">
        <v>0</v>
      </c>
      <c r="AX10">
        <v>0</v>
      </c>
      <c r="AY10">
        <v>1</v>
      </c>
      <c r="AZ10" s="10">
        <v>0</v>
      </c>
      <c r="BA10">
        <v>1</v>
      </c>
      <c r="BB10">
        <v>0</v>
      </c>
      <c r="BC10">
        <v>0</v>
      </c>
      <c r="BD10" s="143" t="s">
        <v>616</v>
      </c>
      <c r="BG10"/>
    </row>
    <row r="11" spans="1:60" ht="14.25" customHeight="1" x14ac:dyDescent="0.25">
      <c r="A11" s="37" t="str">
        <f>LEFT(Scharniere[[#This Row],[ArtikelNR]],4)</f>
        <v>F045</v>
      </c>
      <c r="B11" s="35" t="str">
        <f>MID(Scharniere[[#This Row],[ArtikelNR]],5,3)</f>
        <v>138</v>
      </c>
      <c r="C11" s="37" t="str">
        <f>RIGHT(Scharniere[[#This Row],[ArtikelNR]],3)</f>
        <v>278</v>
      </c>
      <c r="D11" s="35">
        <f>IF(AND(Scharniere[[#This Row],[Gruppenschlüssel]]=select!$A$44,Scharniere[[#This Row],[Scharnierart]]=1)=TRUE,1,0)</f>
        <v>1</v>
      </c>
      <c r="E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1" s="35">
        <f>IF(select!$F$57=IF(Scharniere[[#This Row],[mit Dämpfung]]=1,1,IF(Scharniere[[#This Row],[ohne Dämpfung]]=1,2,IF(Scharniere[[#This Row],[ohne Feder]]=1,3,0))),1,0)</f>
        <v>0</v>
      </c>
      <c r="G11" s="35">
        <f>IF(Scharniere[[#This Row],[Bohrbild]]=select!$V$43,1,0)</f>
        <v>0</v>
      </c>
      <c r="H11" s="35">
        <f>IF(IF(Scharniere[[#This Row],[Anschrauben]]=1,1,IF(Scharniere[[#This Row],[Einpressen]]=1,2,IF(Scharniere[[#This Row],[Quick]]=1,3,IF(Scharniere[[#This Row],[Werkzeuglos]]=1,4,0))))=select!$F$48,1,0)</f>
        <v>0</v>
      </c>
      <c r="I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" s="149">
        <f>IF(AND(Scharniere[[#This Row],[Scharnierart]]=2,Scharniere[[#This Row],[Gruppenschlüssel]]=select!$A$318)=TRUE,1,0)</f>
        <v>0</v>
      </c>
      <c r="K11" s="221">
        <f ca="1">IF(select!$O$424&lt;6,1,0)</f>
        <v>1</v>
      </c>
      <c r="L11" s="139">
        <f>IF(select!$A$362=IF(Scharniere[[#This Row],[mit Dämpfung]]=1,1,IF(Scharniere[[#This Row],[ohne Dämpfung]]=1,2,IF(Scharniere[[#This Row],[ohne Feder]]=1,3,0))),1,0)</f>
        <v>0</v>
      </c>
      <c r="M11" s="135">
        <f>IF(Scharniere[[#This Row],[Bohrbild]]=select!$O$334,1,0)</f>
        <v>0</v>
      </c>
      <c r="N11" s="135">
        <f>IF(IF(Scharniere[[#This Row],[Anschrauben]]=1,1,IF(Scharniere[[#This Row],[Einpressen]]=1,2,IF(Scharniere[[#This Row],[Quick]]=1,3,IF(Scharniere[[#This Row],[Werkzeuglos]]=1,4,0))))=select!$E$362,1,0)</f>
        <v>1</v>
      </c>
      <c r="O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" s="298">
        <f>IF(AND(Scharniere[[#This Row],[Scharnierart]]=3,Scharniere[[#This Row],[Gruppenschlüssel]]=select!$A$747)=TRUE,1,0)</f>
        <v>0</v>
      </c>
      <c r="Q11" s="298">
        <f ca="1">IF(select!$O$945&lt;6,1,0)</f>
        <v>1</v>
      </c>
      <c r="R11" s="298">
        <f>IF(select!$A$778=IF(Scharniere[[#This Row],[mit Dämpfung]]=1,1,IF(Scharniere[[#This Row],[ohne Dämpfung]]=1,2,IF(Scharniere[[#This Row],[ohne Feder]]=1,3,0))),1,0)</f>
        <v>1</v>
      </c>
      <c r="S11" s="298">
        <f>IF(Scharniere[[#This Row],[Bohrbild]]=select!$A$755,1,0)</f>
        <v>0</v>
      </c>
      <c r="T11" s="298">
        <f>IF(IF(Scharniere[[#This Row],[Anschrauben]]=1,1,IF(Scharniere[[#This Row],[Einpressen]]=1,2,IF(Scharniere[[#This Row],[Quick]]=1,3,IF(Scharniere[[#This Row],[Werkzeuglos]]=1,4,0))))=select!$A$769,1,0)</f>
        <v>1</v>
      </c>
      <c r="U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" s="359">
        <f>IF(AND(Scharniere[[#This Row],[Scharnierart]]=4,Scharniere[[#This Row],[Gruppenschlüssel]]=select!$A$981)=TRUE,1,0)</f>
        <v>0</v>
      </c>
      <c r="W11" s="359">
        <f ca="1">IF(select!$O$1185&lt;6,1,0)</f>
        <v>1</v>
      </c>
      <c r="X11" s="359">
        <f>IF(select!$A$1012=IF(Scharniere[[#This Row],[mit Dämpfung]]=1,1,IF(Scharniere[[#This Row],[ohne Dämpfung]]=1,2,IF(Scharniere[[#This Row],[ohne Feder]]=1,3,0))),1,0)</f>
        <v>1</v>
      </c>
      <c r="Y11" s="359">
        <f>IF(Scharniere[[#This Row],[Bohrbild]]=select!$A$989,1,0)</f>
        <v>0</v>
      </c>
      <c r="Z11" s="359">
        <f>IF(IF(Scharniere[[#This Row],[Anschrauben]]=1,1,IF(Scharniere[[#This Row],[Einpressen]]=1,2,IF(Scharniere[[#This Row],[Quick]]=1,3,IF(Scharniere[[#This Row],[Werkzeuglos]]=1,4,0))))=select!$A$1003,1,0)</f>
        <v>1</v>
      </c>
      <c r="AA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" s="359">
        <f ca="1">IF(select!$K$980="*",Scharniere[[#This Row],[AG Ges2]],Scharniere[[#This Row],[AG Ges1]])</f>
        <v>0</v>
      </c>
      <c r="AE11" s="451">
        <f ca="1">IF(AND(Scharniere[[#This Row],[Scharnierart]]=select!$A$1485,Scharniere[[#This Row],[Gruppenschlüssel]]=select!$B$1485)=TRUE,1,0)</f>
        <v>1</v>
      </c>
      <c r="AF11" s="451">
        <f ca="1">IF(AND(Scharniere[[#This Row],[Scharnierart]]=select!$A$1486,Scharniere[[#This Row],[Gruppenschlüssel]]=select!$B$1486)=TRUE,1,0)</f>
        <v>0</v>
      </c>
      <c r="AG11" s="451">
        <f ca="1">IF(AND(Scharniere[[#This Row],[Scharnierart]]=select!$A$1487,Scharniere[[#This Row],[Gruppenschlüssel]]=select!$B$1487)=TRUE,1,0)</f>
        <v>0</v>
      </c>
      <c r="AH11" s="451">
        <f ca="1">IF(AND(Scharniere[[#This Row],[Scharnierart]]=select!$A$1488,Scharniere[[#This Row],[Gruppenschlüssel]]=select!$B$1488)=TRUE,1,0)</f>
        <v>0</v>
      </c>
      <c r="AI11" s="451">
        <f ca="1">IF(SUM(Scharniere[[#This Row],[konf Scharnier 1]:[konf Scharnier 4]])&gt;0,1,0)</f>
        <v>1</v>
      </c>
      <c r="AJ11" s="451"/>
      <c r="AK11" s="451"/>
      <c r="AL11" s="451"/>
      <c r="AM11" s="451"/>
      <c r="AN11" s="451"/>
      <c r="AO11" s="146">
        <v>1</v>
      </c>
      <c r="AP11" s="146">
        <v>1</v>
      </c>
      <c r="AQ11" s="10" t="str">
        <f ca="1">Sprache!$A$110</f>
        <v>Tiomos Scharnier T Click-on</v>
      </c>
      <c r="AR11" t="s">
        <v>270</v>
      </c>
      <c r="AS11" t="str">
        <f ca="1">Sprache!$A$103</f>
        <v>Tiomos Click-On Scharniere</v>
      </c>
      <c r="AT11">
        <v>19</v>
      </c>
      <c r="AU11" t="s">
        <v>9</v>
      </c>
      <c r="AV11">
        <v>110</v>
      </c>
      <c r="AW11" s="10">
        <v>0</v>
      </c>
      <c r="AX11">
        <v>1</v>
      </c>
      <c r="AY11">
        <v>0</v>
      </c>
      <c r="AZ11" s="10">
        <v>1</v>
      </c>
      <c r="BA11">
        <v>0</v>
      </c>
      <c r="BB11">
        <v>0</v>
      </c>
      <c r="BC11">
        <v>0</v>
      </c>
      <c r="BD11" s="143" t="s">
        <v>460</v>
      </c>
      <c r="BG11"/>
    </row>
    <row r="12" spans="1:60" ht="14.25" customHeight="1" x14ac:dyDescent="0.25">
      <c r="A12" s="37" t="str">
        <f>LEFT(Scharniere[[#This Row],[ArtikelNR]],4)</f>
        <v>F028</v>
      </c>
      <c r="B12" s="35" t="str">
        <f>MID(Scharniere[[#This Row],[ArtikelNR]],5,3)</f>
        <v>138</v>
      </c>
      <c r="C12" s="37" t="str">
        <f>RIGHT(Scharniere[[#This Row],[ArtikelNR]],3)</f>
        <v>340</v>
      </c>
      <c r="D12" s="35">
        <f>IF(AND(Scharniere[[#This Row],[Gruppenschlüssel]]=select!$A$44,Scharniere[[#This Row],[Scharnierart]]=1)=TRUE,1,0)</f>
        <v>1</v>
      </c>
      <c r="E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2" s="35">
        <f>IF(select!$F$57=IF(Scharniere[[#This Row],[mit Dämpfung]]=1,1,IF(Scharniere[[#This Row],[ohne Dämpfung]]=1,2,IF(Scharniere[[#This Row],[ohne Feder]]=1,3,0))),1,0)</f>
        <v>0</v>
      </c>
      <c r="G12" s="35">
        <f>IF(Scharniere[[#This Row],[Bohrbild]]=select!$V$43,1,0)</f>
        <v>0</v>
      </c>
      <c r="H12" s="35">
        <f>IF(IF(Scharniere[[#This Row],[Anschrauben]]=1,1,IF(Scharniere[[#This Row],[Einpressen]]=1,2,IF(Scharniere[[#This Row],[Quick]]=1,3,IF(Scharniere[[#This Row],[Werkzeuglos]]=1,4,0))))=select!$F$48,1,0)</f>
        <v>0</v>
      </c>
      <c r="I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" s="149">
        <f>IF(AND(Scharniere[[#This Row],[Scharnierart]]=2,Scharniere[[#This Row],[Gruppenschlüssel]]=select!$A$318)=TRUE,1,0)</f>
        <v>0</v>
      </c>
      <c r="K12" s="221">
        <f ca="1">IF(select!$O$424&lt;6,1,0)</f>
        <v>1</v>
      </c>
      <c r="L12" s="139">
        <f>IF(select!$A$362=IF(Scharniere[[#This Row],[mit Dämpfung]]=1,1,IF(Scharniere[[#This Row],[ohne Dämpfung]]=1,2,IF(Scharniere[[#This Row],[ohne Feder]]=1,3,0))),1,0)</f>
        <v>1</v>
      </c>
      <c r="M12" s="135">
        <f>IF(Scharniere[[#This Row],[Bohrbild]]=select!$O$334,1,0)</f>
        <v>0</v>
      </c>
      <c r="N12" s="135">
        <f>IF(IF(Scharniere[[#This Row],[Anschrauben]]=1,1,IF(Scharniere[[#This Row],[Einpressen]]=1,2,IF(Scharniere[[#This Row],[Quick]]=1,3,IF(Scharniere[[#This Row],[Werkzeuglos]]=1,4,0))))=select!$E$362,1,0)</f>
        <v>1</v>
      </c>
      <c r="O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" s="298">
        <f>IF(AND(Scharniere[[#This Row],[Scharnierart]]=3,Scharniere[[#This Row],[Gruppenschlüssel]]=select!$A$747)=TRUE,1,0)</f>
        <v>0</v>
      </c>
      <c r="Q12" s="298">
        <f ca="1">IF(select!$O$945&lt;6,1,0)</f>
        <v>1</v>
      </c>
      <c r="R12" s="298">
        <f>IF(select!$A$778=IF(Scharniere[[#This Row],[mit Dämpfung]]=1,1,IF(Scharniere[[#This Row],[ohne Dämpfung]]=1,2,IF(Scharniere[[#This Row],[ohne Feder]]=1,3,0))),1,0)</f>
        <v>0</v>
      </c>
      <c r="S12" s="298">
        <f>IF(Scharniere[[#This Row],[Bohrbild]]=select!$A$755,1,0)</f>
        <v>0</v>
      </c>
      <c r="T12" s="298">
        <f>IF(IF(Scharniere[[#This Row],[Anschrauben]]=1,1,IF(Scharniere[[#This Row],[Einpressen]]=1,2,IF(Scharniere[[#This Row],[Quick]]=1,3,IF(Scharniere[[#This Row],[Werkzeuglos]]=1,4,0))))=select!$A$769,1,0)</f>
        <v>1</v>
      </c>
      <c r="U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" s="359">
        <f>IF(AND(Scharniere[[#This Row],[Scharnierart]]=4,Scharniere[[#This Row],[Gruppenschlüssel]]=select!$A$981)=TRUE,1,0)</f>
        <v>0</v>
      </c>
      <c r="W12" s="359">
        <f ca="1">IF(select!$O$1185&lt;6,1,0)</f>
        <v>1</v>
      </c>
      <c r="X12" s="359">
        <f>IF(select!$A$1012=IF(Scharniere[[#This Row],[mit Dämpfung]]=1,1,IF(Scharniere[[#This Row],[ohne Dämpfung]]=1,2,IF(Scharniere[[#This Row],[ohne Feder]]=1,3,0))),1,0)</f>
        <v>0</v>
      </c>
      <c r="Y12" s="359">
        <f>IF(Scharniere[[#This Row],[Bohrbild]]=select!$A$989,1,0)</f>
        <v>0</v>
      </c>
      <c r="Z12" s="359">
        <f>IF(IF(Scharniere[[#This Row],[Anschrauben]]=1,1,IF(Scharniere[[#This Row],[Einpressen]]=1,2,IF(Scharniere[[#This Row],[Quick]]=1,3,IF(Scharniere[[#This Row],[Werkzeuglos]]=1,4,0))))=select!$A$1003,1,0)</f>
        <v>1</v>
      </c>
      <c r="AA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" s="359">
        <f ca="1">IF(select!$K$980="*",Scharniere[[#This Row],[AG Ges2]],Scharniere[[#This Row],[AG Ges1]])</f>
        <v>0</v>
      </c>
      <c r="AE12" s="451">
        <f ca="1">IF(AND(Scharniere[[#This Row],[Scharnierart]]=select!$A$1485,Scharniere[[#This Row],[Gruppenschlüssel]]=select!$B$1485)=TRUE,1,0)</f>
        <v>1</v>
      </c>
      <c r="AF12" s="451">
        <f ca="1">IF(AND(Scharniere[[#This Row],[Scharnierart]]=select!$A$1486,Scharniere[[#This Row],[Gruppenschlüssel]]=select!$B$1486)=TRUE,1,0)</f>
        <v>0</v>
      </c>
      <c r="AG12" s="451">
        <f ca="1">IF(AND(Scharniere[[#This Row],[Scharnierart]]=select!$A$1487,Scharniere[[#This Row],[Gruppenschlüssel]]=select!$B$1487)=TRUE,1,0)</f>
        <v>0</v>
      </c>
      <c r="AH12" s="451">
        <f ca="1">IF(AND(Scharniere[[#This Row],[Scharnierart]]=select!$A$1488,Scharniere[[#This Row],[Gruppenschlüssel]]=select!$B$1488)=TRUE,1,0)</f>
        <v>0</v>
      </c>
      <c r="AI12" s="451">
        <f ca="1">IF(SUM(Scharniere[[#This Row],[konf Scharnier 1]:[konf Scharnier 4]])&gt;0,1,0)</f>
        <v>1</v>
      </c>
      <c r="AJ12" s="451"/>
      <c r="AK12" s="451"/>
      <c r="AL12" s="451"/>
      <c r="AM12" s="451"/>
      <c r="AN12" s="451"/>
      <c r="AO12" s="146">
        <v>1</v>
      </c>
      <c r="AP12" s="146">
        <v>1</v>
      </c>
      <c r="AQ12" s="10" t="str">
        <f ca="1">Sprache!$A$112</f>
        <v>Tiomos Scharnier TS Click-on</v>
      </c>
      <c r="AR12" t="s">
        <v>270</v>
      </c>
      <c r="AS12" t="str">
        <f ca="1">Sprache!$A$103</f>
        <v>Tiomos Click-On Scharniere</v>
      </c>
      <c r="AT12">
        <v>19</v>
      </c>
      <c r="AU12" t="s">
        <v>9</v>
      </c>
      <c r="AV12">
        <v>110</v>
      </c>
      <c r="AW12" s="10">
        <v>1</v>
      </c>
      <c r="AX12">
        <v>0</v>
      </c>
      <c r="AY12">
        <v>0</v>
      </c>
      <c r="AZ12" s="10">
        <v>1</v>
      </c>
      <c r="BA12">
        <v>0</v>
      </c>
      <c r="BB12">
        <v>0</v>
      </c>
      <c r="BC12">
        <v>0</v>
      </c>
      <c r="BD12" s="143" t="s">
        <v>269</v>
      </c>
      <c r="BG12"/>
    </row>
    <row r="13" spans="1:60" ht="14.25" customHeight="1" x14ac:dyDescent="0.25">
      <c r="A13" s="37" t="str">
        <f>LEFT(Scharniere[[#This Row],[ArtikelNR]],4)</f>
        <v>F046</v>
      </c>
      <c r="B13" s="35" t="str">
        <f>MID(Scharniere[[#This Row],[ArtikelNR]],5,3)</f>
        <v>138</v>
      </c>
      <c r="C13" s="37" t="str">
        <f>RIGHT(Scharniere[[#This Row],[ArtikelNR]],3)</f>
        <v>400</v>
      </c>
      <c r="D13" s="35">
        <f>IF(AND(Scharniere[[#This Row],[Gruppenschlüssel]]=select!$A$44,Scharniere[[#This Row],[Scharnierart]]=1)=TRUE,1,0)</f>
        <v>1</v>
      </c>
      <c r="E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3" s="35">
        <f>IF(select!$F$57=IF(Scharniere[[#This Row],[mit Dämpfung]]=1,1,IF(Scharniere[[#This Row],[ohne Dämpfung]]=1,2,IF(Scharniere[[#This Row],[ohne Feder]]=1,3,0))),1,0)</f>
        <v>1</v>
      </c>
      <c r="G13" s="35">
        <f>IF(Scharniere[[#This Row],[Bohrbild]]=select!$V$43,1,0)</f>
        <v>0</v>
      </c>
      <c r="H13" s="35">
        <f>IF(IF(Scharniere[[#This Row],[Anschrauben]]=1,1,IF(Scharniere[[#This Row],[Einpressen]]=1,2,IF(Scharniere[[#This Row],[Quick]]=1,3,IF(Scharniere[[#This Row],[Werkzeuglos]]=1,4,0))))=select!$F$48,1,0)</f>
        <v>0</v>
      </c>
      <c r="I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" s="149">
        <f>IF(AND(Scharniere[[#This Row],[Scharnierart]]=2,Scharniere[[#This Row],[Gruppenschlüssel]]=select!$A$318)=TRUE,1,0)</f>
        <v>0</v>
      </c>
      <c r="K13" s="221">
        <f ca="1">IF(select!$O$424&lt;6,1,0)</f>
        <v>1</v>
      </c>
      <c r="L13" s="139">
        <f>IF(select!$A$362=IF(Scharniere[[#This Row],[mit Dämpfung]]=1,1,IF(Scharniere[[#This Row],[ohne Dämpfung]]=1,2,IF(Scharniere[[#This Row],[ohne Feder]]=1,3,0))),1,0)</f>
        <v>0</v>
      </c>
      <c r="M13" s="135">
        <f>IF(Scharniere[[#This Row],[Bohrbild]]=select!$O$334,1,0)</f>
        <v>0</v>
      </c>
      <c r="N13" s="135">
        <f>IF(IF(Scharniere[[#This Row],[Anschrauben]]=1,1,IF(Scharniere[[#This Row],[Einpressen]]=1,2,IF(Scharniere[[#This Row],[Quick]]=1,3,IF(Scharniere[[#This Row],[Werkzeuglos]]=1,4,0))))=select!$E$362,1,0)</f>
        <v>1</v>
      </c>
      <c r="O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" s="298">
        <f>IF(AND(Scharniere[[#This Row],[Scharnierart]]=3,Scharniere[[#This Row],[Gruppenschlüssel]]=select!$A$747)=TRUE,1,0)</f>
        <v>0</v>
      </c>
      <c r="Q13" s="298">
        <f ca="1">IF(select!$O$945&lt;6,1,0)</f>
        <v>1</v>
      </c>
      <c r="R13" s="298">
        <f>IF(select!$A$778=IF(Scharniere[[#This Row],[mit Dämpfung]]=1,1,IF(Scharniere[[#This Row],[ohne Dämpfung]]=1,2,IF(Scharniere[[#This Row],[ohne Feder]]=1,3,0))),1,0)</f>
        <v>0</v>
      </c>
      <c r="S13" s="298">
        <f>IF(Scharniere[[#This Row],[Bohrbild]]=select!$A$755,1,0)</f>
        <v>0</v>
      </c>
      <c r="T13" s="298">
        <f>IF(IF(Scharniere[[#This Row],[Anschrauben]]=1,1,IF(Scharniere[[#This Row],[Einpressen]]=1,2,IF(Scharniere[[#This Row],[Quick]]=1,3,IF(Scharniere[[#This Row],[Werkzeuglos]]=1,4,0))))=select!$A$769,1,0)</f>
        <v>1</v>
      </c>
      <c r="U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" s="359">
        <f>IF(AND(Scharniere[[#This Row],[Scharnierart]]=4,Scharniere[[#This Row],[Gruppenschlüssel]]=select!$A$981)=TRUE,1,0)</f>
        <v>0</v>
      </c>
      <c r="W13" s="359">
        <f ca="1">IF(select!$O$1185&lt;6,1,0)</f>
        <v>1</v>
      </c>
      <c r="X13" s="359">
        <f>IF(select!$A$1012=IF(Scharniere[[#This Row],[mit Dämpfung]]=1,1,IF(Scharniere[[#This Row],[ohne Dämpfung]]=1,2,IF(Scharniere[[#This Row],[ohne Feder]]=1,3,0))),1,0)</f>
        <v>0</v>
      </c>
      <c r="Y13" s="359">
        <f>IF(Scharniere[[#This Row],[Bohrbild]]=select!$A$989,1,0)</f>
        <v>0</v>
      </c>
      <c r="Z13" s="359">
        <f>IF(IF(Scharniere[[#This Row],[Anschrauben]]=1,1,IF(Scharniere[[#This Row],[Einpressen]]=1,2,IF(Scharniere[[#This Row],[Quick]]=1,3,IF(Scharniere[[#This Row],[Werkzeuglos]]=1,4,0))))=select!$A$1003,1,0)</f>
        <v>1</v>
      </c>
      <c r="AA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" s="359">
        <f ca="1">IF(select!$K$980="*",Scharniere[[#This Row],[AG Ges2]],Scharniere[[#This Row],[AG Ges1]])</f>
        <v>0</v>
      </c>
      <c r="AE13" s="451">
        <f ca="1">IF(AND(Scharniere[[#This Row],[Scharnierart]]=select!$A$1485,Scharniere[[#This Row],[Gruppenschlüssel]]=select!$B$1485)=TRUE,1,0)</f>
        <v>1</v>
      </c>
      <c r="AF13" s="451">
        <f ca="1">IF(AND(Scharniere[[#This Row],[Scharnierart]]=select!$A$1486,Scharniere[[#This Row],[Gruppenschlüssel]]=select!$B$1486)=TRUE,1,0)</f>
        <v>0</v>
      </c>
      <c r="AG13" s="451">
        <f ca="1">IF(AND(Scharniere[[#This Row],[Scharnierart]]=select!$A$1487,Scharniere[[#This Row],[Gruppenschlüssel]]=select!$B$1487)=TRUE,1,0)</f>
        <v>0</v>
      </c>
      <c r="AH13" s="451">
        <f ca="1">IF(AND(Scharniere[[#This Row],[Scharnierart]]=select!$A$1488,Scharniere[[#This Row],[Gruppenschlüssel]]=select!$B$1488)=TRUE,1,0)</f>
        <v>0</v>
      </c>
      <c r="AI13" s="451">
        <f ca="1">IF(SUM(Scharniere[[#This Row],[konf Scharnier 1]:[konf Scharnier 4]])&gt;0,1,0)</f>
        <v>1</v>
      </c>
      <c r="AJ13" s="451"/>
      <c r="AK13" s="451"/>
      <c r="AL13" s="451"/>
      <c r="AM13" s="451"/>
      <c r="AN13" s="451"/>
      <c r="AO13" s="146">
        <v>1</v>
      </c>
      <c r="AP13" s="146">
        <v>1</v>
      </c>
      <c r="AQ13" s="10" t="str">
        <f ca="1">Sprache!$A$114</f>
        <v>Tiomos Scharnier TT Click-on</v>
      </c>
      <c r="AR13" t="s">
        <v>270</v>
      </c>
      <c r="AS13" t="str">
        <f ca="1">Sprache!$A$103</f>
        <v>Tiomos Click-On Scharniere</v>
      </c>
      <c r="AT13">
        <v>19</v>
      </c>
      <c r="AU13" s="34" t="s">
        <v>9</v>
      </c>
      <c r="AV13">
        <v>110</v>
      </c>
      <c r="AW13" s="10">
        <v>0</v>
      </c>
      <c r="AX13">
        <v>0</v>
      </c>
      <c r="AY13">
        <v>1</v>
      </c>
      <c r="AZ13" s="10">
        <v>1</v>
      </c>
      <c r="BA13">
        <v>0</v>
      </c>
      <c r="BB13">
        <v>0</v>
      </c>
      <c r="BC13">
        <v>0</v>
      </c>
      <c r="BD13" s="143" t="s">
        <v>612</v>
      </c>
      <c r="BG13"/>
    </row>
    <row r="14" spans="1:60" ht="14.25" customHeight="1" x14ac:dyDescent="0.25">
      <c r="A14" s="37" t="str">
        <f>LEFT(Scharniere[[#This Row],[ArtikelNR]],4)</f>
        <v>F034</v>
      </c>
      <c r="B14" s="35" t="str">
        <f>MID(Scharniere[[#This Row],[ArtikelNR]],5,3)</f>
        <v>139</v>
      </c>
      <c r="C14" s="37" t="str">
        <f>RIGHT(Scharniere[[#This Row],[ArtikelNR]],3)</f>
        <v>388</v>
      </c>
      <c r="D14" s="35">
        <f>IF(AND(Scharniere[[#This Row],[Gruppenschlüssel]]=select!$A$44,Scharniere[[#This Row],[Scharnierart]]=1)=TRUE,1,0)</f>
        <v>1</v>
      </c>
      <c r="E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4" s="35">
        <f>IF(select!$F$57=IF(Scharniere[[#This Row],[mit Dämpfung]]=1,1,IF(Scharniere[[#This Row],[ohne Dämpfung]]=1,2,IF(Scharniere[[#This Row],[ohne Feder]]=1,3,0))),1,0)</f>
        <v>0</v>
      </c>
      <c r="G14" s="35">
        <f>IF(Scharniere[[#This Row],[Bohrbild]]=select!$V$43,1,0)</f>
        <v>0</v>
      </c>
      <c r="H14" s="35">
        <f>IF(IF(Scharniere[[#This Row],[Anschrauben]]=1,1,IF(Scharniere[[#This Row],[Einpressen]]=1,2,IF(Scharniere[[#This Row],[Quick]]=1,3,IF(Scharniere[[#This Row],[Werkzeuglos]]=1,4,0))))=select!$F$48,1,0)</f>
        <v>0</v>
      </c>
      <c r="I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" s="149">
        <f>IF(AND(Scharniere[[#This Row],[Scharnierart]]=2,Scharniere[[#This Row],[Gruppenschlüssel]]=select!$A$318)=TRUE,1,0)</f>
        <v>0</v>
      </c>
      <c r="K14" s="221">
        <f ca="1">IF(select!$O$424&lt;6,1,0)</f>
        <v>1</v>
      </c>
      <c r="L14" s="139">
        <f>IF(select!$A$362=IF(Scharniere[[#This Row],[mit Dämpfung]]=1,1,IF(Scharniere[[#This Row],[ohne Dämpfung]]=1,2,IF(Scharniere[[#This Row],[ohne Feder]]=1,3,0))),1,0)</f>
        <v>0</v>
      </c>
      <c r="M14" s="135">
        <f>IF(Scharniere[[#This Row],[Bohrbild]]=select!$O$334,1,0)</f>
        <v>0</v>
      </c>
      <c r="N14" s="135">
        <f>IF(IF(Scharniere[[#This Row],[Anschrauben]]=1,1,IF(Scharniere[[#This Row],[Einpressen]]=1,2,IF(Scharniere[[#This Row],[Quick]]=1,3,IF(Scharniere[[#This Row],[Werkzeuglos]]=1,4,0))))=select!$E$362,1,0)</f>
        <v>0</v>
      </c>
      <c r="O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" s="298">
        <f>IF(AND(Scharniere[[#This Row],[Scharnierart]]=3,Scharniere[[#This Row],[Gruppenschlüssel]]=select!$A$747)=TRUE,1,0)</f>
        <v>0</v>
      </c>
      <c r="Q14" s="298">
        <f ca="1">IF(select!$O$945&lt;6,1,0)</f>
        <v>1</v>
      </c>
      <c r="R14" s="298">
        <f>IF(select!$A$778=IF(Scharniere[[#This Row],[mit Dämpfung]]=1,1,IF(Scharniere[[#This Row],[ohne Dämpfung]]=1,2,IF(Scharniere[[#This Row],[ohne Feder]]=1,3,0))),1,0)</f>
        <v>1</v>
      </c>
      <c r="S14" s="298">
        <f>IF(Scharniere[[#This Row],[Bohrbild]]=select!$A$755,1,0)</f>
        <v>0</v>
      </c>
      <c r="T14" s="298">
        <f>IF(IF(Scharniere[[#This Row],[Anschrauben]]=1,1,IF(Scharniere[[#This Row],[Einpressen]]=1,2,IF(Scharniere[[#This Row],[Quick]]=1,3,IF(Scharniere[[#This Row],[Werkzeuglos]]=1,4,0))))=select!$A$769,1,0)</f>
        <v>0</v>
      </c>
      <c r="U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" s="359">
        <f>IF(AND(Scharniere[[#This Row],[Scharnierart]]=4,Scharniere[[#This Row],[Gruppenschlüssel]]=select!$A$981)=TRUE,1,0)</f>
        <v>0</v>
      </c>
      <c r="W14" s="359">
        <f ca="1">IF(select!$O$1185&lt;6,1,0)</f>
        <v>1</v>
      </c>
      <c r="X14" s="359">
        <f>IF(select!$A$1012=IF(Scharniere[[#This Row],[mit Dämpfung]]=1,1,IF(Scharniere[[#This Row],[ohne Dämpfung]]=1,2,IF(Scharniere[[#This Row],[ohne Feder]]=1,3,0))),1,0)</f>
        <v>1</v>
      </c>
      <c r="Y14" s="359">
        <f>IF(Scharniere[[#This Row],[Bohrbild]]=select!$A$989,1,0)</f>
        <v>0</v>
      </c>
      <c r="Z14" s="359">
        <f>IF(IF(Scharniere[[#This Row],[Anschrauben]]=1,1,IF(Scharniere[[#This Row],[Einpressen]]=1,2,IF(Scharniere[[#This Row],[Quick]]=1,3,IF(Scharniere[[#This Row],[Werkzeuglos]]=1,4,0))))=select!$A$1003,1,0)</f>
        <v>0</v>
      </c>
      <c r="AA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" s="359">
        <f ca="1">IF(select!$K$980="*",Scharniere[[#This Row],[AG Ges2]],Scharniere[[#This Row],[AG Ges1]])</f>
        <v>0</v>
      </c>
      <c r="AE14" s="451">
        <f ca="1">IF(AND(Scharniere[[#This Row],[Scharnierart]]=select!$A$1485,Scharniere[[#This Row],[Gruppenschlüssel]]=select!$B$1485)=TRUE,1,0)</f>
        <v>1</v>
      </c>
      <c r="AF14" s="451">
        <f ca="1">IF(AND(Scharniere[[#This Row],[Scharnierart]]=select!$A$1486,Scharniere[[#This Row],[Gruppenschlüssel]]=select!$B$1486)=TRUE,1,0)</f>
        <v>0</v>
      </c>
      <c r="AG14" s="451">
        <f ca="1">IF(AND(Scharniere[[#This Row],[Scharnierart]]=select!$A$1487,Scharniere[[#This Row],[Gruppenschlüssel]]=select!$B$1487)=TRUE,1,0)</f>
        <v>0</v>
      </c>
      <c r="AH14" s="451">
        <f ca="1">IF(AND(Scharniere[[#This Row],[Scharnierart]]=select!$A$1488,Scharniere[[#This Row],[Gruppenschlüssel]]=select!$B$1488)=TRUE,1,0)</f>
        <v>0</v>
      </c>
      <c r="AI14" s="451">
        <f ca="1">IF(SUM(Scharniere[[#This Row],[konf Scharnier 1]:[konf Scharnier 4]])&gt;0,1,0)</f>
        <v>1</v>
      </c>
      <c r="AJ14" s="451"/>
      <c r="AK14" s="451"/>
      <c r="AL14" s="451"/>
      <c r="AM14" s="451"/>
      <c r="AN14" s="451"/>
      <c r="AO14" s="146">
        <v>1</v>
      </c>
      <c r="AP14" s="146">
        <v>1</v>
      </c>
      <c r="AQ14" s="10" t="str">
        <f ca="1">Sprache!$A$111</f>
        <v>Tiomos Scharnier T Impresso</v>
      </c>
      <c r="AR14" t="s">
        <v>91</v>
      </c>
      <c r="AS14" t="str">
        <f ca="1">Sprache!$A$116</f>
        <v>Tiomos Impresso Scharniere</v>
      </c>
      <c r="AT14">
        <v>19</v>
      </c>
      <c r="AU14" s="34" t="s">
        <v>9</v>
      </c>
      <c r="AV14">
        <v>110</v>
      </c>
      <c r="AW14" s="10">
        <v>0</v>
      </c>
      <c r="AX14">
        <v>1</v>
      </c>
      <c r="AY14">
        <v>0</v>
      </c>
      <c r="AZ14" s="10">
        <v>0</v>
      </c>
      <c r="BA14">
        <v>0</v>
      </c>
      <c r="BB14">
        <v>0</v>
      </c>
      <c r="BC14">
        <v>1</v>
      </c>
      <c r="BD14" s="143" t="s">
        <v>154</v>
      </c>
      <c r="BG14"/>
    </row>
    <row r="15" spans="1:60" ht="14.25" customHeight="1" x14ac:dyDescent="0.25">
      <c r="A15" s="37" t="str">
        <f>LEFT(Scharniere[[#This Row],[ArtikelNR]],4)</f>
        <v>F034</v>
      </c>
      <c r="B15" s="35" t="str">
        <f>MID(Scharniere[[#This Row],[ArtikelNR]],5,3)</f>
        <v>139</v>
      </c>
      <c r="C15" s="37" t="str">
        <f>RIGHT(Scharniere[[#This Row],[ArtikelNR]],3)</f>
        <v>388</v>
      </c>
      <c r="D15" s="35">
        <f>IF(AND(Scharniere[[#This Row],[Gruppenschlüssel]]=select!$A$44,Scharniere[[#This Row],[Scharnierart]]=1)=TRUE,1,0)</f>
        <v>1</v>
      </c>
      <c r="E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" s="35">
        <f>IF(select!$F$57=IF(Scharniere[[#This Row],[mit Dämpfung]]=1,1,IF(Scharniere[[#This Row],[ohne Dämpfung]]=1,2,IF(Scharniere[[#This Row],[ohne Feder]]=1,3,0))),1,0)</f>
        <v>0</v>
      </c>
      <c r="G15" s="35">
        <f>IF(Scharniere[[#This Row],[Bohrbild]]=select!$V$43,1,0)</f>
        <v>0</v>
      </c>
      <c r="H15" s="35">
        <f>IF(IF(Scharniere[[#This Row],[Anschrauben]]=1,1,IF(Scharniere[[#This Row],[Einpressen]]=1,2,IF(Scharniere[[#This Row],[Quick]]=1,3,IF(Scharniere[[#This Row],[Werkzeuglos]]=1,4,0))))=select!$F$48,1,0)</f>
        <v>0</v>
      </c>
      <c r="I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" s="149">
        <f>IF(AND(Scharniere[[#This Row],[Scharnierart]]=2,Scharniere[[#This Row],[Gruppenschlüssel]]=select!$A$318)=TRUE,1,0)</f>
        <v>0</v>
      </c>
      <c r="K15" s="221">
        <f ca="1">IF(select!$O$424&lt;6,1,0)</f>
        <v>1</v>
      </c>
      <c r="L15" s="139">
        <f>IF(select!$A$362=IF(Scharniere[[#This Row],[mit Dämpfung]]=1,1,IF(Scharniere[[#This Row],[ohne Dämpfung]]=1,2,IF(Scharniere[[#This Row],[ohne Feder]]=1,3,0))),1,0)</f>
        <v>0</v>
      </c>
      <c r="M15" s="135">
        <f>IF(Scharniere[[#This Row],[Bohrbild]]=select!$O$334,1,0)</f>
        <v>0</v>
      </c>
      <c r="N15" s="135">
        <f>IF(IF(Scharniere[[#This Row],[Anschrauben]]=1,1,IF(Scharniere[[#This Row],[Einpressen]]=1,2,IF(Scharniere[[#This Row],[Quick]]=1,3,IF(Scharniere[[#This Row],[Werkzeuglos]]=1,4,0))))=select!$E$362,1,0)</f>
        <v>0</v>
      </c>
      <c r="O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" s="298">
        <f>IF(AND(Scharniere[[#This Row],[Scharnierart]]=3,Scharniere[[#This Row],[Gruppenschlüssel]]=select!$A$747)=TRUE,1,0)</f>
        <v>0</v>
      </c>
      <c r="Q15" s="298">
        <f ca="1">IF(select!$O$945&lt;6,1,0)</f>
        <v>1</v>
      </c>
      <c r="R15" s="298">
        <f>IF(select!$A$778=IF(Scharniere[[#This Row],[mit Dämpfung]]=1,1,IF(Scharniere[[#This Row],[ohne Dämpfung]]=1,2,IF(Scharniere[[#This Row],[ohne Feder]]=1,3,0))),1,0)</f>
        <v>1</v>
      </c>
      <c r="S15" s="298">
        <f>IF(Scharniere[[#This Row],[Bohrbild]]=select!$A$755,1,0)</f>
        <v>0</v>
      </c>
      <c r="T15" s="298">
        <f>IF(IF(Scharniere[[#This Row],[Anschrauben]]=1,1,IF(Scharniere[[#This Row],[Einpressen]]=1,2,IF(Scharniere[[#This Row],[Quick]]=1,3,IF(Scharniere[[#This Row],[Werkzeuglos]]=1,4,0))))=select!$A$769,1,0)</f>
        <v>0</v>
      </c>
      <c r="U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" s="359">
        <f>IF(AND(Scharniere[[#This Row],[Scharnierart]]=4,Scharniere[[#This Row],[Gruppenschlüssel]]=select!$A$981)=TRUE,1,0)</f>
        <v>0</v>
      </c>
      <c r="W15" s="359">
        <f ca="1">IF(select!$O$1185&lt;6,1,0)</f>
        <v>1</v>
      </c>
      <c r="X15" s="359">
        <f>IF(select!$A$1012=IF(Scharniere[[#This Row],[mit Dämpfung]]=1,1,IF(Scharniere[[#This Row],[ohne Dämpfung]]=1,2,IF(Scharniere[[#This Row],[ohne Feder]]=1,3,0))),1,0)</f>
        <v>1</v>
      </c>
      <c r="Y15" s="359">
        <f>IF(Scharniere[[#This Row],[Bohrbild]]=select!$A$989,1,0)</f>
        <v>0</v>
      </c>
      <c r="Z15" s="359">
        <f>IF(IF(Scharniere[[#This Row],[Anschrauben]]=1,1,IF(Scharniere[[#This Row],[Einpressen]]=1,2,IF(Scharniere[[#This Row],[Quick]]=1,3,IF(Scharniere[[#This Row],[Werkzeuglos]]=1,4,0))))=select!$A$1003,1,0)</f>
        <v>0</v>
      </c>
      <c r="AA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" s="359">
        <f ca="1">IF(select!$K$980="*",Scharniere[[#This Row],[AG Ges2]],Scharniere[[#This Row],[AG Ges1]])</f>
        <v>0</v>
      </c>
      <c r="AE15" s="451">
        <f ca="1">IF(AND(Scharniere[[#This Row],[Scharnierart]]=select!$A$1485,Scharniere[[#This Row],[Gruppenschlüssel]]=select!$B$1485)=TRUE,1,0)</f>
        <v>1</v>
      </c>
      <c r="AF15" s="451">
        <f ca="1">IF(AND(Scharniere[[#This Row],[Scharnierart]]=select!$A$1486,Scharniere[[#This Row],[Gruppenschlüssel]]=select!$B$1486)=TRUE,1,0)</f>
        <v>0</v>
      </c>
      <c r="AG15" s="451">
        <f ca="1">IF(AND(Scharniere[[#This Row],[Scharnierart]]=select!$A$1487,Scharniere[[#This Row],[Gruppenschlüssel]]=select!$B$1487)=TRUE,1,0)</f>
        <v>0</v>
      </c>
      <c r="AH15" s="451">
        <f ca="1">IF(AND(Scharniere[[#This Row],[Scharnierart]]=select!$A$1488,Scharniere[[#This Row],[Gruppenschlüssel]]=select!$B$1488)=TRUE,1,0)</f>
        <v>0</v>
      </c>
      <c r="AI15" s="451">
        <f ca="1">IF(SUM(Scharniere[[#This Row],[konf Scharnier 1]:[konf Scharnier 4]])&gt;0,1,0)</f>
        <v>1</v>
      </c>
      <c r="AJ15" s="451"/>
      <c r="AK15" s="451"/>
      <c r="AL15" s="451"/>
      <c r="AM15" s="451"/>
      <c r="AN15" s="451"/>
      <c r="AO15" s="146">
        <v>1</v>
      </c>
      <c r="AP15" s="146">
        <v>1</v>
      </c>
      <c r="AQ15" s="10" t="str">
        <f ca="1">Sprache!$A$111</f>
        <v>Tiomos Scharnier T Impresso</v>
      </c>
      <c r="AR15" t="s">
        <v>91</v>
      </c>
      <c r="AS15" t="str">
        <f ca="1">Sprache!$A$116</f>
        <v>Tiomos Impresso Scharniere</v>
      </c>
      <c r="AT15">
        <v>19</v>
      </c>
      <c r="AU15" s="34" t="s">
        <v>3</v>
      </c>
      <c r="AV15">
        <v>110</v>
      </c>
      <c r="AW15" s="10">
        <v>0</v>
      </c>
      <c r="AX15">
        <v>1</v>
      </c>
      <c r="AY15">
        <v>0</v>
      </c>
      <c r="AZ15" s="10">
        <v>0</v>
      </c>
      <c r="BA15">
        <v>0</v>
      </c>
      <c r="BB15">
        <v>0</v>
      </c>
      <c r="BC15">
        <v>1</v>
      </c>
      <c r="BD15" s="143" t="s">
        <v>154</v>
      </c>
      <c r="BG15"/>
    </row>
    <row r="16" spans="1:60" ht="14.25" customHeight="1" x14ac:dyDescent="0.25">
      <c r="A16" s="37" t="str">
        <f>LEFT(Scharniere[[#This Row],[ArtikelNR]],4)</f>
        <v>F017</v>
      </c>
      <c r="B16" s="35" t="str">
        <f>MID(Scharniere[[#This Row],[ArtikelNR]],5,3)</f>
        <v>139</v>
      </c>
      <c r="C16" s="37" t="str">
        <f>RIGHT(Scharniere[[#This Row],[ArtikelNR]],3)</f>
        <v>417</v>
      </c>
      <c r="D16" s="35">
        <f>IF(AND(Scharniere[[#This Row],[Gruppenschlüssel]]=select!$A$44,Scharniere[[#This Row],[Scharnierart]]=1)=TRUE,1,0)</f>
        <v>1</v>
      </c>
      <c r="E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" s="35">
        <f>IF(select!$F$57=IF(Scharniere[[#This Row],[mit Dämpfung]]=1,1,IF(Scharniere[[#This Row],[ohne Dämpfung]]=1,2,IF(Scharniere[[#This Row],[ohne Feder]]=1,3,0))),1,0)</f>
        <v>0</v>
      </c>
      <c r="G16" s="35">
        <f>IF(Scharniere[[#This Row],[Bohrbild]]=select!$V$43,1,0)</f>
        <v>0</v>
      </c>
      <c r="H16" s="35">
        <f>IF(IF(Scharniere[[#This Row],[Anschrauben]]=1,1,IF(Scharniere[[#This Row],[Einpressen]]=1,2,IF(Scharniere[[#This Row],[Quick]]=1,3,IF(Scharniere[[#This Row],[Werkzeuglos]]=1,4,0))))=select!$F$48,1,0)</f>
        <v>0</v>
      </c>
      <c r="I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" s="149">
        <f>IF(AND(Scharniere[[#This Row],[Scharnierart]]=2,Scharniere[[#This Row],[Gruppenschlüssel]]=select!$A$318)=TRUE,1,0)</f>
        <v>0</v>
      </c>
      <c r="K16" s="221">
        <f ca="1">IF(select!$O$424&lt;6,1,0)</f>
        <v>1</v>
      </c>
      <c r="L16" s="139">
        <f>IF(select!$A$362=IF(Scharniere[[#This Row],[mit Dämpfung]]=1,1,IF(Scharniere[[#This Row],[ohne Dämpfung]]=1,2,IF(Scharniere[[#This Row],[ohne Feder]]=1,3,0))),1,0)</f>
        <v>1</v>
      </c>
      <c r="M16" s="135">
        <f>IF(Scharniere[[#This Row],[Bohrbild]]=select!$O$334,1,0)</f>
        <v>0</v>
      </c>
      <c r="N16" s="135">
        <f>IF(IF(Scharniere[[#This Row],[Anschrauben]]=1,1,IF(Scharniere[[#This Row],[Einpressen]]=1,2,IF(Scharniere[[#This Row],[Quick]]=1,3,IF(Scharniere[[#This Row],[Werkzeuglos]]=1,4,0))))=select!$E$362,1,0)</f>
        <v>0</v>
      </c>
      <c r="O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" s="298">
        <f>IF(AND(Scharniere[[#This Row],[Scharnierart]]=3,Scharniere[[#This Row],[Gruppenschlüssel]]=select!$A$747)=TRUE,1,0)</f>
        <v>0</v>
      </c>
      <c r="Q16" s="298">
        <f ca="1">IF(select!$O$945&lt;6,1,0)</f>
        <v>1</v>
      </c>
      <c r="R16" s="298">
        <f>IF(select!$A$778=IF(Scharniere[[#This Row],[mit Dämpfung]]=1,1,IF(Scharniere[[#This Row],[ohne Dämpfung]]=1,2,IF(Scharniere[[#This Row],[ohne Feder]]=1,3,0))),1,0)</f>
        <v>0</v>
      </c>
      <c r="S16" s="298">
        <f>IF(Scharniere[[#This Row],[Bohrbild]]=select!$A$755,1,0)</f>
        <v>0</v>
      </c>
      <c r="T16" s="298">
        <f>IF(IF(Scharniere[[#This Row],[Anschrauben]]=1,1,IF(Scharniere[[#This Row],[Einpressen]]=1,2,IF(Scharniere[[#This Row],[Quick]]=1,3,IF(Scharniere[[#This Row],[Werkzeuglos]]=1,4,0))))=select!$A$769,1,0)</f>
        <v>0</v>
      </c>
      <c r="U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" s="359">
        <f>IF(AND(Scharniere[[#This Row],[Scharnierart]]=4,Scharniere[[#This Row],[Gruppenschlüssel]]=select!$A$981)=TRUE,1,0)</f>
        <v>0</v>
      </c>
      <c r="W16" s="359">
        <f ca="1">IF(select!$O$1185&lt;6,1,0)</f>
        <v>1</v>
      </c>
      <c r="X16" s="359">
        <f>IF(select!$A$1012=IF(Scharniere[[#This Row],[mit Dämpfung]]=1,1,IF(Scharniere[[#This Row],[ohne Dämpfung]]=1,2,IF(Scharniere[[#This Row],[ohne Feder]]=1,3,0))),1,0)</f>
        <v>0</v>
      </c>
      <c r="Y16" s="359">
        <f>IF(Scharniere[[#This Row],[Bohrbild]]=select!$A$989,1,0)</f>
        <v>0</v>
      </c>
      <c r="Z16" s="359">
        <f>IF(IF(Scharniere[[#This Row],[Anschrauben]]=1,1,IF(Scharniere[[#This Row],[Einpressen]]=1,2,IF(Scharniere[[#This Row],[Quick]]=1,3,IF(Scharniere[[#This Row],[Werkzeuglos]]=1,4,0))))=select!$A$1003,1,0)</f>
        <v>0</v>
      </c>
      <c r="AA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" s="359">
        <f ca="1">IF(select!$K$980="*",Scharniere[[#This Row],[AG Ges2]],Scharniere[[#This Row],[AG Ges1]])</f>
        <v>0</v>
      </c>
      <c r="AE16" s="451">
        <f ca="1">IF(AND(Scharniere[[#This Row],[Scharnierart]]=select!$A$1485,Scharniere[[#This Row],[Gruppenschlüssel]]=select!$B$1485)=TRUE,1,0)</f>
        <v>1</v>
      </c>
      <c r="AF16" s="451">
        <f ca="1">IF(AND(Scharniere[[#This Row],[Scharnierart]]=select!$A$1486,Scharniere[[#This Row],[Gruppenschlüssel]]=select!$B$1486)=TRUE,1,0)</f>
        <v>0</v>
      </c>
      <c r="AG16" s="451">
        <f ca="1">IF(AND(Scharniere[[#This Row],[Scharnierart]]=select!$A$1487,Scharniere[[#This Row],[Gruppenschlüssel]]=select!$B$1487)=TRUE,1,0)</f>
        <v>0</v>
      </c>
      <c r="AH16" s="451">
        <f ca="1">IF(AND(Scharniere[[#This Row],[Scharnierart]]=select!$A$1488,Scharniere[[#This Row],[Gruppenschlüssel]]=select!$B$1488)=TRUE,1,0)</f>
        <v>0</v>
      </c>
      <c r="AI16" s="451">
        <f ca="1">IF(SUM(Scharniere[[#This Row],[konf Scharnier 1]:[konf Scharnier 4]])&gt;0,1,0)</f>
        <v>1</v>
      </c>
      <c r="AJ16" s="451"/>
      <c r="AK16" s="451"/>
      <c r="AL16" s="451"/>
      <c r="AM16" s="451"/>
      <c r="AN16" s="451"/>
      <c r="AO16" s="146">
        <v>1</v>
      </c>
      <c r="AP16" s="146">
        <v>1</v>
      </c>
      <c r="AQ16" s="10" t="str">
        <f ca="1">Sprache!$A$113</f>
        <v>Tiomos Scharnier TS Impresso</v>
      </c>
      <c r="AR16" t="s">
        <v>91</v>
      </c>
      <c r="AS16" t="str">
        <f ca="1">Sprache!$A$116</f>
        <v>Tiomos Impresso Scharniere</v>
      </c>
      <c r="AT16">
        <v>19</v>
      </c>
      <c r="AU16" t="s">
        <v>9</v>
      </c>
      <c r="AV16">
        <v>110</v>
      </c>
      <c r="AW16" s="10">
        <v>1</v>
      </c>
      <c r="AX16">
        <v>0</v>
      </c>
      <c r="AY16">
        <v>0</v>
      </c>
      <c r="AZ16" s="10">
        <v>0</v>
      </c>
      <c r="BA16">
        <v>0</v>
      </c>
      <c r="BB16">
        <v>0</v>
      </c>
      <c r="BC16">
        <v>1</v>
      </c>
      <c r="BD16" s="143" t="s">
        <v>90</v>
      </c>
      <c r="BG16"/>
    </row>
    <row r="17" spans="1:59" ht="14.25" customHeight="1" x14ac:dyDescent="0.25">
      <c r="A17" s="37" t="str">
        <f>LEFT(Scharniere[[#This Row],[ArtikelNR]],4)</f>
        <v>F017</v>
      </c>
      <c r="B17" s="35" t="str">
        <f>MID(Scharniere[[#This Row],[ArtikelNR]],5,3)</f>
        <v>139</v>
      </c>
      <c r="C17" s="37" t="str">
        <f>RIGHT(Scharniere[[#This Row],[ArtikelNR]],3)</f>
        <v>417</v>
      </c>
      <c r="D17" s="35">
        <f>IF(AND(Scharniere[[#This Row],[Gruppenschlüssel]]=select!$A$44,Scharniere[[#This Row],[Scharnierart]]=1)=TRUE,1,0)</f>
        <v>1</v>
      </c>
      <c r="E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" s="35">
        <f>IF(select!$F$57=IF(Scharniere[[#This Row],[mit Dämpfung]]=1,1,IF(Scharniere[[#This Row],[ohne Dämpfung]]=1,2,IF(Scharniere[[#This Row],[ohne Feder]]=1,3,0))),1,0)</f>
        <v>0</v>
      </c>
      <c r="G17" s="35">
        <f>IF(Scharniere[[#This Row],[Bohrbild]]=select!$V$43,1,0)</f>
        <v>0</v>
      </c>
      <c r="H17" s="35">
        <f>IF(IF(Scharniere[[#This Row],[Anschrauben]]=1,1,IF(Scharniere[[#This Row],[Einpressen]]=1,2,IF(Scharniere[[#This Row],[Quick]]=1,3,IF(Scharniere[[#This Row],[Werkzeuglos]]=1,4,0))))=select!$F$48,1,0)</f>
        <v>0</v>
      </c>
      <c r="I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" s="149">
        <f>IF(AND(Scharniere[[#This Row],[Scharnierart]]=2,Scharniere[[#This Row],[Gruppenschlüssel]]=select!$A$318)=TRUE,1,0)</f>
        <v>0</v>
      </c>
      <c r="K17" s="221">
        <f ca="1">IF(select!$O$424&lt;6,1,0)</f>
        <v>1</v>
      </c>
      <c r="L17" s="139">
        <f>IF(select!$A$362=IF(Scharniere[[#This Row],[mit Dämpfung]]=1,1,IF(Scharniere[[#This Row],[ohne Dämpfung]]=1,2,IF(Scharniere[[#This Row],[ohne Feder]]=1,3,0))),1,0)</f>
        <v>1</v>
      </c>
      <c r="M17" s="135">
        <f>IF(Scharniere[[#This Row],[Bohrbild]]=select!$O$334,1,0)</f>
        <v>0</v>
      </c>
      <c r="N17" s="135">
        <f>IF(IF(Scharniere[[#This Row],[Anschrauben]]=1,1,IF(Scharniere[[#This Row],[Einpressen]]=1,2,IF(Scharniere[[#This Row],[Quick]]=1,3,IF(Scharniere[[#This Row],[Werkzeuglos]]=1,4,0))))=select!$E$362,1,0)</f>
        <v>0</v>
      </c>
      <c r="O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" s="298">
        <f>IF(AND(Scharniere[[#This Row],[Scharnierart]]=3,Scharniere[[#This Row],[Gruppenschlüssel]]=select!$A$747)=TRUE,1,0)</f>
        <v>0</v>
      </c>
      <c r="Q17" s="298">
        <f ca="1">IF(select!$O$945&lt;6,1,0)</f>
        <v>1</v>
      </c>
      <c r="R17" s="298">
        <f>IF(select!$A$778=IF(Scharniere[[#This Row],[mit Dämpfung]]=1,1,IF(Scharniere[[#This Row],[ohne Dämpfung]]=1,2,IF(Scharniere[[#This Row],[ohne Feder]]=1,3,0))),1,0)</f>
        <v>0</v>
      </c>
      <c r="S17" s="298">
        <f>IF(Scharniere[[#This Row],[Bohrbild]]=select!$A$755,1,0)</f>
        <v>0</v>
      </c>
      <c r="T17" s="298">
        <f>IF(IF(Scharniere[[#This Row],[Anschrauben]]=1,1,IF(Scharniere[[#This Row],[Einpressen]]=1,2,IF(Scharniere[[#This Row],[Quick]]=1,3,IF(Scharniere[[#This Row],[Werkzeuglos]]=1,4,0))))=select!$A$769,1,0)</f>
        <v>0</v>
      </c>
      <c r="U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" s="359">
        <f>IF(AND(Scharniere[[#This Row],[Scharnierart]]=4,Scharniere[[#This Row],[Gruppenschlüssel]]=select!$A$981)=TRUE,1,0)</f>
        <v>0</v>
      </c>
      <c r="W17" s="359">
        <f ca="1">IF(select!$O$1185&lt;6,1,0)</f>
        <v>1</v>
      </c>
      <c r="X17" s="359">
        <f>IF(select!$A$1012=IF(Scharniere[[#This Row],[mit Dämpfung]]=1,1,IF(Scharniere[[#This Row],[ohne Dämpfung]]=1,2,IF(Scharniere[[#This Row],[ohne Feder]]=1,3,0))),1,0)</f>
        <v>0</v>
      </c>
      <c r="Y17" s="359">
        <f>IF(Scharniere[[#This Row],[Bohrbild]]=select!$A$989,1,0)</f>
        <v>0</v>
      </c>
      <c r="Z17" s="359">
        <f>IF(IF(Scharniere[[#This Row],[Anschrauben]]=1,1,IF(Scharniere[[#This Row],[Einpressen]]=1,2,IF(Scharniere[[#This Row],[Quick]]=1,3,IF(Scharniere[[#This Row],[Werkzeuglos]]=1,4,0))))=select!$A$1003,1,0)</f>
        <v>0</v>
      </c>
      <c r="AA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" s="359">
        <f ca="1">IF(select!$K$980="*",Scharniere[[#This Row],[AG Ges2]],Scharniere[[#This Row],[AG Ges1]])</f>
        <v>0</v>
      </c>
      <c r="AE17" s="451">
        <f ca="1">IF(AND(Scharniere[[#This Row],[Scharnierart]]=select!$A$1485,Scharniere[[#This Row],[Gruppenschlüssel]]=select!$B$1485)=TRUE,1,0)</f>
        <v>1</v>
      </c>
      <c r="AF17" s="451">
        <f ca="1">IF(AND(Scharniere[[#This Row],[Scharnierart]]=select!$A$1486,Scharniere[[#This Row],[Gruppenschlüssel]]=select!$B$1486)=TRUE,1,0)</f>
        <v>0</v>
      </c>
      <c r="AG17" s="451">
        <f ca="1">IF(AND(Scharniere[[#This Row],[Scharnierart]]=select!$A$1487,Scharniere[[#This Row],[Gruppenschlüssel]]=select!$B$1487)=TRUE,1,0)</f>
        <v>0</v>
      </c>
      <c r="AH17" s="451">
        <f ca="1">IF(AND(Scharniere[[#This Row],[Scharnierart]]=select!$A$1488,Scharniere[[#This Row],[Gruppenschlüssel]]=select!$B$1488)=TRUE,1,0)</f>
        <v>0</v>
      </c>
      <c r="AI17" s="451">
        <f ca="1">IF(SUM(Scharniere[[#This Row],[konf Scharnier 1]:[konf Scharnier 4]])&gt;0,1,0)</f>
        <v>1</v>
      </c>
      <c r="AJ17" s="451"/>
      <c r="AK17" s="451"/>
      <c r="AL17" s="451"/>
      <c r="AM17" s="451"/>
      <c r="AN17" s="451"/>
      <c r="AO17" s="146">
        <v>1</v>
      </c>
      <c r="AP17" s="146">
        <v>1</v>
      </c>
      <c r="AQ17" s="10" t="str">
        <f ca="1">Sprache!$A$113</f>
        <v>Tiomos Scharnier TS Impresso</v>
      </c>
      <c r="AR17" t="s">
        <v>91</v>
      </c>
      <c r="AS17" t="str">
        <f ca="1">Sprache!$A$116</f>
        <v>Tiomos Impresso Scharniere</v>
      </c>
      <c r="AT17">
        <v>19</v>
      </c>
      <c r="AU17" t="s">
        <v>3</v>
      </c>
      <c r="AV17">
        <v>110</v>
      </c>
      <c r="AW17" s="10">
        <v>1</v>
      </c>
      <c r="AX17">
        <v>0</v>
      </c>
      <c r="AY17">
        <v>0</v>
      </c>
      <c r="AZ17" s="10">
        <v>0</v>
      </c>
      <c r="BA17">
        <v>0</v>
      </c>
      <c r="BB17">
        <v>0</v>
      </c>
      <c r="BC17">
        <v>1</v>
      </c>
      <c r="BD17" s="143" t="s">
        <v>90</v>
      </c>
      <c r="BG17"/>
    </row>
    <row r="18" spans="1:59" ht="14.25" customHeight="1" x14ac:dyDescent="0.25">
      <c r="A18" s="37" t="str">
        <f>LEFT(Scharniere[[#This Row],[ArtikelNR]],4)</f>
        <v>F035</v>
      </c>
      <c r="B18" s="35" t="str">
        <f>MID(Scharniere[[#This Row],[ArtikelNR]],5,3)</f>
        <v>139</v>
      </c>
      <c r="C18" s="37" t="str">
        <f>RIGHT(Scharniere[[#This Row],[ArtikelNR]],3)</f>
        <v>445</v>
      </c>
      <c r="D18" s="35">
        <f>IF(AND(Scharniere[[#This Row],[Gruppenschlüssel]]=select!$A$44,Scharniere[[#This Row],[Scharnierart]]=1)=TRUE,1,0)</f>
        <v>1</v>
      </c>
      <c r="E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" s="35">
        <f>IF(select!$F$57=IF(Scharniere[[#This Row],[mit Dämpfung]]=1,1,IF(Scharniere[[#This Row],[ohne Dämpfung]]=1,2,IF(Scharniere[[#This Row],[ohne Feder]]=1,3,0))),1,0)</f>
        <v>1</v>
      </c>
      <c r="G18" s="35">
        <f>IF(Scharniere[[#This Row],[Bohrbild]]=select!$V$43,1,0)</f>
        <v>0</v>
      </c>
      <c r="H18" s="35">
        <f>IF(IF(Scharniere[[#This Row],[Anschrauben]]=1,1,IF(Scharniere[[#This Row],[Einpressen]]=1,2,IF(Scharniere[[#This Row],[Quick]]=1,3,IF(Scharniere[[#This Row],[Werkzeuglos]]=1,4,0))))=select!$F$48,1,0)</f>
        <v>0</v>
      </c>
      <c r="I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" s="149">
        <f>IF(AND(Scharniere[[#This Row],[Scharnierart]]=2,Scharniere[[#This Row],[Gruppenschlüssel]]=select!$A$318)=TRUE,1,0)</f>
        <v>0</v>
      </c>
      <c r="K18" s="221">
        <f ca="1">IF(select!$O$424&lt;6,1,0)</f>
        <v>1</v>
      </c>
      <c r="L18" s="139">
        <f>IF(select!$A$362=IF(Scharniere[[#This Row],[mit Dämpfung]]=1,1,IF(Scharniere[[#This Row],[ohne Dämpfung]]=1,2,IF(Scharniere[[#This Row],[ohne Feder]]=1,3,0))),1,0)</f>
        <v>0</v>
      </c>
      <c r="M18" s="135">
        <f>IF(Scharniere[[#This Row],[Bohrbild]]=select!$O$334,1,0)</f>
        <v>0</v>
      </c>
      <c r="N18" s="135">
        <f>IF(IF(Scharniere[[#This Row],[Anschrauben]]=1,1,IF(Scharniere[[#This Row],[Einpressen]]=1,2,IF(Scharniere[[#This Row],[Quick]]=1,3,IF(Scharniere[[#This Row],[Werkzeuglos]]=1,4,0))))=select!$E$362,1,0)</f>
        <v>0</v>
      </c>
      <c r="O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" s="298">
        <f>IF(AND(Scharniere[[#This Row],[Scharnierart]]=3,Scharniere[[#This Row],[Gruppenschlüssel]]=select!$A$747)=TRUE,1,0)</f>
        <v>0</v>
      </c>
      <c r="Q18" s="298">
        <f ca="1">IF(select!$O$945&lt;6,1,0)</f>
        <v>1</v>
      </c>
      <c r="R18" s="298">
        <f>IF(select!$A$778=IF(Scharniere[[#This Row],[mit Dämpfung]]=1,1,IF(Scharniere[[#This Row],[ohne Dämpfung]]=1,2,IF(Scharniere[[#This Row],[ohne Feder]]=1,3,0))),1,0)</f>
        <v>0</v>
      </c>
      <c r="S18" s="298">
        <f>IF(Scharniere[[#This Row],[Bohrbild]]=select!$A$755,1,0)</f>
        <v>0</v>
      </c>
      <c r="T18" s="298">
        <f>IF(IF(Scharniere[[#This Row],[Anschrauben]]=1,1,IF(Scharniere[[#This Row],[Einpressen]]=1,2,IF(Scharniere[[#This Row],[Quick]]=1,3,IF(Scharniere[[#This Row],[Werkzeuglos]]=1,4,0))))=select!$A$769,1,0)</f>
        <v>0</v>
      </c>
      <c r="U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" s="359">
        <f>IF(AND(Scharniere[[#This Row],[Scharnierart]]=4,Scharniere[[#This Row],[Gruppenschlüssel]]=select!$A$981)=TRUE,1,0)</f>
        <v>0</v>
      </c>
      <c r="W18" s="359">
        <f ca="1">IF(select!$O$1185&lt;6,1,0)</f>
        <v>1</v>
      </c>
      <c r="X18" s="359">
        <f>IF(select!$A$1012=IF(Scharniere[[#This Row],[mit Dämpfung]]=1,1,IF(Scharniere[[#This Row],[ohne Dämpfung]]=1,2,IF(Scharniere[[#This Row],[ohne Feder]]=1,3,0))),1,0)</f>
        <v>0</v>
      </c>
      <c r="Y18" s="359">
        <f>IF(Scharniere[[#This Row],[Bohrbild]]=select!$A$989,1,0)</f>
        <v>0</v>
      </c>
      <c r="Z18" s="359">
        <f>IF(IF(Scharniere[[#This Row],[Anschrauben]]=1,1,IF(Scharniere[[#This Row],[Einpressen]]=1,2,IF(Scharniere[[#This Row],[Quick]]=1,3,IF(Scharniere[[#This Row],[Werkzeuglos]]=1,4,0))))=select!$A$1003,1,0)</f>
        <v>0</v>
      </c>
      <c r="AA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" s="359">
        <f ca="1">IF(select!$K$980="*",Scharniere[[#This Row],[AG Ges2]],Scharniere[[#This Row],[AG Ges1]])</f>
        <v>0</v>
      </c>
      <c r="AE18" s="451">
        <f ca="1">IF(AND(Scharniere[[#This Row],[Scharnierart]]=select!$A$1485,Scharniere[[#This Row],[Gruppenschlüssel]]=select!$B$1485)=TRUE,1,0)</f>
        <v>1</v>
      </c>
      <c r="AF18" s="451">
        <f ca="1">IF(AND(Scharniere[[#This Row],[Scharnierart]]=select!$A$1486,Scharniere[[#This Row],[Gruppenschlüssel]]=select!$B$1486)=TRUE,1,0)</f>
        <v>0</v>
      </c>
      <c r="AG18" s="451">
        <f ca="1">IF(AND(Scharniere[[#This Row],[Scharnierart]]=select!$A$1487,Scharniere[[#This Row],[Gruppenschlüssel]]=select!$B$1487)=TRUE,1,0)</f>
        <v>0</v>
      </c>
      <c r="AH18" s="451">
        <f ca="1">IF(AND(Scharniere[[#This Row],[Scharnierart]]=select!$A$1488,Scharniere[[#This Row],[Gruppenschlüssel]]=select!$B$1488)=TRUE,1,0)</f>
        <v>0</v>
      </c>
      <c r="AI18" s="451">
        <f ca="1">IF(SUM(Scharniere[[#This Row],[konf Scharnier 1]:[konf Scharnier 4]])&gt;0,1,0)</f>
        <v>1</v>
      </c>
      <c r="AJ18" s="451"/>
      <c r="AK18" s="451"/>
      <c r="AL18" s="451"/>
      <c r="AM18" s="451"/>
      <c r="AN18" s="451"/>
      <c r="AO18" s="146">
        <v>1</v>
      </c>
      <c r="AP18" s="146">
        <v>1</v>
      </c>
      <c r="AQ18" s="10" t="str">
        <f ca="1">Sprache!$A$115</f>
        <v>Tiomos Scharnier TT Impresso</v>
      </c>
      <c r="AR18" t="s">
        <v>91</v>
      </c>
      <c r="AS18" t="str">
        <f ca="1">Sprache!$A$116</f>
        <v>Tiomos Impresso Scharniere</v>
      </c>
      <c r="AT18">
        <v>19</v>
      </c>
      <c r="AU18" s="10" t="s">
        <v>9</v>
      </c>
      <c r="AV18">
        <v>110</v>
      </c>
      <c r="AW18" s="10">
        <v>0</v>
      </c>
      <c r="AX18">
        <v>0</v>
      </c>
      <c r="AY18">
        <v>1</v>
      </c>
      <c r="AZ18" s="10">
        <v>0</v>
      </c>
      <c r="BA18">
        <v>0</v>
      </c>
      <c r="BB18">
        <v>0</v>
      </c>
      <c r="BC18">
        <v>1</v>
      </c>
      <c r="BD18" s="143" t="s">
        <v>198</v>
      </c>
      <c r="BG18"/>
    </row>
    <row r="19" spans="1:59" ht="14.25" customHeight="1" x14ac:dyDescent="0.25">
      <c r="A19" s="37" t="str">
        <f>LEFT(Scharniere[[#This Row],[ArtikelNR]],4)</f>
        <v>F035</v>
      </c>
      <c r="B19" s="35" t="str">
        <f>MID(Scharniere[[#This Row],[ArtikelNR]],5,3)</f>
        <v>139</v>
      </c>
      <c r="C19" s="37" t="str">
        <f>RIGHT(Scharniere[[#This Row],[ArtikelNR]],3)</f>
        <v>445</v>
      </c>
      <c r="D19" s="35">
        <f>IF(AND(Scharniere[[#This Row],[Gruppenschlüssel]]=select!$A$44,Scharniere[[#This Row],[Scharnierart]]=1)=TRUE,1,0)</f>
        <v>1</v>
      </c>
      <c r="E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" s="35">
        <f>IF(select!$F$57=IF(Scharniere[[#This Row],[mit Dämpfung]]=1,1,IF(Scharniere[[#This Row],[ohne Dämpfung]]=1,2,IF(Scharniere[[#This Row],[ohne Feder]]=1,3,0))),1,0)</f>
        <v>1</v>
      </c>
      <c r="G19" s="35">
        <f>IF(Scharniere[[#This Row],[Bohrbild]]=select!$V$43,1,0)</f>
        <v>0</v>
      </c>
      <c r="H19" s="35">
        <f>IF(IF(Scharniere[[#This Row],[Anschrauben]]=1,1,IF(Scharniere[[#This Row],[Einpressen]]=1,2,IF(Scharniere[[#This Row],[Quick]]=1,3,IF(Scharniere[[#This Row],[Werkzeuglos]]=1,4,0))))=select!$F$48,1,0)</f>
        <v>0</v>
      </c>
      <c r="I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" s="149">
        <f>IF(AND(Scharniere[[#This Row],[Scharnierart]]=2,Scharniere[[#This Row],[Gruppenschlüssel]]=select!$A$318)=TRUE,1,0)</f>
        <v>0</v>
      </c>
      <c r="K19" s="221">
        <f ca="1">IF(select!$O$424&lt;6,1,0)</f>
        <v>1</v>
      </c>
      <c r="L19" s="139">
        <f>IF(select!$A$362=IF(Scharniere[[#This Row],[mit Dämpfung]]=1,1,IF(Scharniere[[#This Row],[ohne Dämpfung]]=1,2,IF(Scharniere[[#This Row],[ohne Feder]]=1,3,0))),1,0)</f>
        <v>0</v>
      </c>
      <c r="M19" s="135">
        <f>IF(Scharniere[[#This Row],[Bohrbild]]=select!$O$334,1,0)</f>
        <v>0</v>
      </c>
      <c r="N19" s="135">
        <f>IF(IF(Scharniere[[#This Row],[Anschrauben]]=1,1,IF(Scharniere[[#This Row],[Einpressen]]=1,2,IF(Scharniere[[#This Row],[Quick]]=1,3,IF(Scharniere[[#This Row],[Werkzeuglos]]=1,4,0))))=select!$E$362,1,0)</f>
        <v>0</v>
      </c>
      <c r="O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" s="298">
        <f>IF(AND(Scharniere[[#This Row],[Scharnierart]]=3,Scharniere[[#This Row],[Gruppenschlüssel]]=select!$A$747)=TRUE,1,0)</f>
        <v>0</v>
      </c>
      <c r="Q19" s="298">
        <f ca="1">IF(select!$O$945&lt;6,1,0)</f>
        <v>1</v>
      </c>
      <c r="R19" s="298">
        <f>IF(select!$A$778=IF(Scharniere[[#This Row],[mit Dämpfung]]=1,1,IF(Scharniere[[#This Row],[ohne Dämpfung]]=1,2,IF(Scharniere[[#This Row],[ohne Feder]]=1,3,0))),1,0)</f>
        <v>0</v>
      </c>
      <c r="S19" s="298">
        <f>IF(Scharniere[[#This Row],[Bohrbild]]=select!$A$755,1,0)</f>
        <v>0</v>
      </c>
      <c r="T19" s="298">
        <f>IF(IF(Scharniere[[#This Row],[Anschrauben]]=1,1,IF(Scharniere[[#This Row],[Einpressen]]=1,2,IF(Scharniere[[#This Row],[Quick]]=1,3,IF(Scharniere[[#This Row],[Werkzeuglos]]=1,4,0))))=select!$A$769,1,0)</f>
        <v>0</v>
      </c>
      <c r="U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" s="359">
        <f>IF(AND(Scharniere[[#This Row],[Scharnierart]]=4,Scharniere[[#This Row],[Gruppenschlüssel]]=select!$A$981)=TRUE,1,0)</f>
        <v>0</v>
      </c>
      <c r="W19" s="359">
        <f ca="1">IF(select!$O$1185&lt;6,1,0)</f>
        <v>1</v>
      </c>
      <c r="X19" s="359">
        <f>IF(select!$A$1012=IF(Scharniere[[#This Row],[mit Dämpfung]]=1,1,IF(Scharniere[[#This Row],[ohne Dämpfung]]=1,2,IF(Scharniere[[#This Row],[ohne Feder]]=1,3,0))),1,0)</f>
        <v>0</v>
      </c>
      <c r="Y19" s="359">
        <f>IF(Scharniere[[#This Row],[Bohrbild]]=select!$A$989,1,0)</f>
        <v>0</v>
      </c>
      <c r="Z19" s="359">
        <f>IF(IF(Scharniere[[#This Row],[Anschrauben]]=1,1,IF(Scharniere[[#This Row],[Einpressen]]=1,2,IF(Scharniere[[#This Row],[Quick]]=1,3,IF(Scharniere[[#This Row],[Werkzeuglos]]=1,4,0))))=select!$A$1003,1,0)</f>
        <v>0</v>
      </c>
      <c r="AA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" s="359">
        <f ca="1">IF(select!$K$980="*",Scharniere[[#This Row],[AG Ges2]],Scharniere[[#This Row],[AG Ges1]])</f>
        <v>0</v>
      </c>
      <c r="AE19" s="451">
        <f ca="1">IF(AND(Scharniere[[#This Row],[Scharnierart]]=select!$A$1485,Scharniere[[#This Row],[Gruppenschlüssel]]=select!$B$1485)=TRUE,1,0)</f>
        <v>1</v>
      </c>
      <c r="AF19" s="451">
        <f ca="1">IF(AND(Scharniere[[#This Row],[Scharnierart]]=select!$A$1486,Scharniere[[#This Row],[Gruppenschlüssel]]=select!$B$1486)=TRUE,1,0)</f>
        <v>0</v>
      </c>
      <c r="AG19" s="451">
        <f ca="1">IF(AND(Scharniere[[#This Row],[Scharnierart]]=select!$A$1487,Scharniere[[#This Row],[Gruppenschlüssel]]=select!$B$1487)=TRUE,1,0)</f>
        <v>0</v>
      </c>
      <c r="AH19" s="451">
        <f ca="1">IF(AND(Scharniere[[#This Row],[Scharnierart]]=select!$A$1488,Scharniere[[#This Row],[Gruppenschlüssel]]=select!$B$1488)=TRUE,1,0)</f>
        <v>0</v>
      </c>
      <c r="AI19" s="451">
        <f ca="1">IF(SUM(Scharniere[[#This Row],[konf Scharnier 1]:[konf Scharnier 4]])&gt;0,1,0)</f>
        <v>1</v>
      </c>
      <c r="AJ19" s="451"/>
      <c r="AK19" s="451"/>
      <c r="AL19" s="451"/>
      <c r="AM19" s="451"/>
      <c r="AN19" s="451"/>
      <c r="AO19" s="146">
        <v>1</v>
      </c>
      <c r="AP19" s="146">
        <v>1</v>
      </c>
      <c r="AQ19" s="10" t="str">
        <f ca="1">Sprache!$A$115</f>
        <v>Tiomos Scharnier TT Impresso</v>
      </c>
      <c r="AR19" t="s">
        <v>91</v>
      </c>
      <c r="AS19" t="str">
        <f ca="1">Sprache!$A$116</f>
        <v>Tiomos Impresso Scharniere</v>
      </c>
      <c r="AT19">
        <v>19</v>
      </c>
      <c r="AU19" s="10" t="s">
        <v>3</v>
      </c>
      <c r="AV19">
        <v>110</v>
      </c>
      <c r="AW19" s="10">
        <v>0</v>
      </c>
      <c r="AX19">
        <v>0</v>
      </c>
      <c r="AY19">
        <v>1</v>
      </c>
      <c r="AZ19" s="10">
        <v>0</v>
      </c>
      <c r="BA19">
        <v>0</v>
      </c>
      <c r="BB19">
        <v>0</v>
      </c>
      <c r="BC19">
        <v>1</v>
      </c>
      <c r="BD19" s="143" t="s">
        <v>198</v>
      </c>
      <c r="BG19"/>
    </row>
    <row r="20" spans="1:59" ht="14.25" customHeight="1" x14ac:dyDescent="0.25">
      <c r="A20" s="37" t="str">
        <f>LEFT(Scharniere[[#This Row],[ArtikelNR]],4)</f>
        <v>F045</v>
      </c>
      <c r="B20" s="35" t="str">
        <f>MID(Scharniere[[#This Row],[ArtikelNR]],5,3)</f>
        <v>138</v>
      </c>
      <c r="C20" s="37" t="str">
        <f>RIGHT(Scharniere[[#This Row],[ArtikelNR]],3)</f>
        <v>646</v>
      </c>
      <c r="D20" s="35">
        <f>IF(AND(Scharniere[[#This Row],[Gruppenschlüssel]]=select!$A$44,Scharniere[[#This Row],[Scharnierart]]=1)=TRUE,1,0)</f>
        <v>1</v>
      </c>
      <c r="E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" s="35">
        <f>IF(select!$F$57=IF(Scharniere[[#This Row],[mit Dämpfung]]=1,1,IF(Scharniere[[#This Row],[ohne Dämpfung]]=1,2,IF(Scharniere[[#This Row],[ohne Feder]]=1,3,0))),1,0)</f>
        <v>0</v>
      </c>
      <c r="G20" s="35">
        <f>IF(Scharniere[[#This Row],[Bohrbild]]=select!$V$43,1,0)</f>
        <v>0</v>
      </c>
      <c r="H20" s="35">
        <f>IF(IF(Scharniere[[#This Row],[Anschrauben]]=1,1,IF(Scharniere[[#This Row],[Einpressen]]=1,2,IF(Scharniere[[#This Row],[Quick]]=1,3,IF(Scharniere[[#This Row],[Werkzeuglos]]=1,4,0))))=select!$F$48,1,0)</f>
        <v>1</v>
      </c>
      <c r="I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" s="149">
        <f>IF(AND(Scharniere[[#This Row],[Scharnierart]]=2,Scharniere[[#This Row],[Gruppenschlüssel]]=select!$A$318)=TRUE,1,0)</f>
        <v>0</v>
      </c>
      <c r="K20" s="221">
        <f ca="1">IF(select!$O$424&lt;6,1,0)</f>
        <v>1</v>
      </c>
      <c r="L20" s="139">
        <f>IF(select!$A$362=IF(Scharniere[[#This Row],[mit Dämpfung]]=1,1,IF(Scharniere[[#This Row],[ohne Dämpfung]]=1,2,IF(Scharniere[[#This Row],[ohne Feder]]=1,3,0))),1,0)</f>
        <v>0</v>
      </c>
      <c r="M20" s="135">
        <f>IF(Scharniere[[#This Row],[Bohrbild]]=select!$O$334,1,0)</f>
        <v>0</v>
      </c>
      <c r="N20" s="135">
        <f>IF(IF(Scharniere[[#This Row],[Anschrauben]]=1,1,IF(Scharniere[[#This Row],[Einpressen]]=1,2,IF(Scharniere[[#This Row],[Quick]]=1,3,IF(Scharniere[[#This Row],[Werkzeuglos]]=1,4,0))))=select!$E$362,1,0)</f>
        <v>0</v>
      </c>
      <c r="O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" s="298">
        <f>IF(AND(Scharniere[[#This Row],[Scharnierart]]=3,Scharniere[[#This Row],[Gruppenschlüssel]]=select!$A$747)=TRUE,1,0)</f>
        <v>0</v>
      </c>
      <c r="Q20" s="298">
        <f ca="1">IF(select!$O$945&lt;6,1,0)</f>
        <v>1</v>
      </c>
      <c r="R20" s="298">
        <f>IF(select!$A$778=IF(Scharniere[[#This Row],[mit Dämpfung]]=1,1,IF(Scharniere[[#This Row],[ohne Dämpfung]]=1,2,IF(Scharniere[[#This Row],[ohne Feder]]=1,3,0))),1,0)</f>
        <v>1</v>
      </c>
      <c r="S20" s="298">
        <f>IF(Scharniere[[#This Row],[Bohrbild]]=select!$A$755,1,0)</f>
        <v>0</v>
      </c>
      <c r="T20" s="298">
        <f>IF(IF(Scharniere[[#This Row],[Anschrauben]]=1,1,IF(Scharniere[[#This Row],[Einpressen]]=1,2,IF(Scharniere[[#This Row],[Quick]]=1,3,IF(Scharniere[[#This Row],[Werkzeuglos]]=1,4,0))))=select!$A$769,1,0)</f>
        <v>0</v>
      </c>
      <c r="U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" s="359">
        <f>IF(AND(Scharniere[[#This Row],[Scharnierart]]=4,Scharniere[[#This Row],[Gruppenschlüssel]]=select!$A$981)=TRUE,1,0)</f>
        <v>0</v>
      </c>
      <c r="W20" s="359">
        <f ca="1">IF(select!$O$1185&lt;6,1,0)</f>
        <v>1</v>
      </c>
      <c r="X20" s="359">
        <f>IF(select!$A$1012=IF(Scharniere[[#This Row],[mit Dämpfung]]=1,1,IF(Scharniere[[#This Row],[ohne Dämpfung]]=1,2,IF(Scharniere[[#This Row],[ohne Feder]]=1,3,0))),1,0)</f>
        <v>1</v>
      </c>
      <c r="Y20" s="359">
        <f>IF(Scharniere[[#This Row],[Bohrbild]]=select!$A$989,1,0)</f>
        <v>0</v>
      </c>
      <c r="Z20" s="359">
        <f>IF(IF(Scharniere[[#This Row],[Anschrauben]]=1,1,IF(Scharniere[[#This Row],[Einpressen]]=1,2,IF(Scharniere[[#This Row],[Quick]]=1,3,IF(Scharniere[[#This Row],[Werkzeuglos]]=1,4,0))))=select!$A$1003,1,0)</f>
        <v>0</v>
      </c>
      <c r="AA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" s="359">
        <f ca="1">IF(select!$K$980="*",Scharniere[[#This Row],[AG Ges2]],Scharniere[[#This Row],[AG Ges1]])</f>
        <v>0</v>
      </c>
      <c r="AE20" s="451">
        <f ca="1">IF(AND(Scharniere[[#This Row],[Scharnierart]]=select!$A$1485,Scharniere[[#This Row],[Gruppenschlüssel]]=select!$B$1485)=TRUE,1,0)</f>
        <v>1</v>
      </c>
      <c r="AF20" s="451">
        <f ca="1">IF(AND(Scharniere[[#This Row],[Scharnierart]]=select!$A$1486,Scharniere[[#This Row],[Gruppenschlüssel]]=select!$B$1486)=TRUE,1,0)</f>
        <v>0</v>
      </c>
      <c r="AG20" s="451">
        <f ca="1">IF(AND(Scharniere[[#This Row],[Scharnierart]]=select!$A$1487,Scharniere[[#This Row],[Gruppenschlüssel]]=select!$B$1487)=TRUE,1,0)</f>
        <v>0</v>
      </c>
      <c r="AH20" s="451">
        <f ca="1">IF(AND(Scharniere[[#This Row],[Scharnierart]]=select!$A$1488,Scharniere[[#This Row],[Gruppenschlüssel]]=select!$B$1488)=TRUE,1,0)</f>
        <v>0</v>
      </c>
      <c r="AI20" s="451">
        <f ca="1">IF(SUM(Scharniere[[#This Row],[konf Scharnier 1]:[konf Scharnier 4]])&gt;0,1,0)</f>
        <v>1</v>
      </c>
      <c r="AJ20" s="451"/>
      <c r="AK20" s="451"/>
      <c r="AL20" s="451"/>
      <c r="AM20" s="451"/>
      <c r="AN20" s="451"/>
      <c r="AO20" s="146">
        <v>1</v>
      </c>
      <c r="AP20" s="146">
        <v>1</v>
      </c>
      <c r="AQ20" s="10" t="str">
        <f ca="1">Sprache!$A$110</f>
        <v>Tiomos Scharnier T Click-on</v>
      </c>
      <c r="AR20" t="str">
        <f ca="1">"110°, H-BB, K19, "&amp;Sprache!A181&amp;", ni"</f>
        <v>110°, H-BB, K19, Dübel, ni</v>
      </c>
      <c r="AS20" t="str">
        <f ca="1">Sprache!$A$103</f>
        <v>Tiomos Click-On Scharniere</v>
      </c>
      <c r="AT20">
        <v>19</v>
      </c>
      <c r="AU20" s="34" t="s">
        <v>10</v>
      </c>
      <c r="AV20">
        <v>110</v>
      </c>
      <c r="AW20" s="10">
        <v>0</v>
      </c>
      <c r="AX20">
        <v>1</v>
      </c>
      <c r="AY20">
        <v>0</v>
      </c>
      <c r="AZ20" s="10">
        <v>0</v>
      </c>
      <c r="BA20">
        <v>1</v>
      </c>
      <c r="BB20">
        <v>0</v>
      </c>
      <c r="BC20">
        <v>0</v>
      </c>
      <c r="BD20" s="143" t="s">
        <v>521</v>
      </c>
      <c r="BG20"/>
    </row>
    <row r="21" spans="1:59" ht="14.25" customHeight="1" x14ac:dyDescent="0.25">
      <c r="A21" s="37" t="str">
        <f>LEFT(Scharniere[[#This Row],[ArtikelNR]],4)</f>
        <v>F028</v>
      </c>
      <c r="B21" s="35" t="str">
        <f>MID(Scharniere[[#This Row],[ArtikelNR]],5,3)</f>
        <v>138</v>
      </c>
      <c r="C21" s="37" t="str">
        <f>RIGHT(Scharniere[[#This Row],[ArtikelNR]],3)</f>
        <v>708</v>
      </c>
      <c r="D21" s="35">
        <f>IF(AND(Scharniere[[#This Row],[Gruppenschlüssel]]=select!$A$44,Scharniere[[#This Row],[Scharnierart]]=1)=TRUE,1,0)</f>
        <v>1</v>
      </c>
      <c r="E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" s="35">
        <f>IF(select!$F$57=IF(Scharniere[[#This Row],[mit Dämpfung]]=1,1,IF(Scharniere[[#This Row],[ohne Dämpfung]]=1,2,IF(Scharniere[[#This Row],[ohne Feder]]=1,3,0))),1,0)</f>
        <v>0</v>
      </c>
      <c r="G21" s="35">
        <f>IF(Scharniere[[#This Row],[Bohrbild]]=select!$V$43,1,0)</f>
        <v>0</v>
      </c>
      <c r="H21" s="35">
        <f>IF(IF(Scharniere[[#This Row],[Anschrauben]]=1,1,IF(Scharniere[[#This Row],[Einpressen]]=1,2,IF(Scharniere[[#This Row],[Quick]]=1,3,IF(Scharniere[[#This Row],[Werkzeuglos]]=1,4,0))))=select!$F$48,1,0)</f>
        <v>1</v>
      </c>
      <c r="I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" s="149">
        <f>IF(AND(Scharniere[[#This Row],[Scharnierart]]=2,Scharniere[[#This Row],[Gruppenschlüssel]]=select!$A$318)=TRUE,1,0)</f>
        <v>0</v>
      </c>
      <c r="K21" s="221">
        <f ca="1">IF(select!$O$424&lt;6,1,0)</f>
        <v>1</v>
      </c>
      <c r="L21" s="139">
        <f>IF(select!$A$362=IF(Scharniere[[#This Row],[mit Dämpfung]]=1,1,IF(Scharniere[[#This Row],[ohne Dämpfung]]=1,2,IF(Scharniere[[#This Row],[ohne Feder]]=1,3,0))),1,0)</f>
        <v>1</v>
      </c>
      <c r="M21" s="135">
        <f>IF(Scharniere[[#This Row],[Bohrbild]]=select!$O$334,1,0)</f>
        <v>0</v>
      </c>
      <c r="N21" s="135">
        <f>IF(IF(Scharniere[[#This Row],[Anschrauben]]=1,1,IF(Scharniere[[#This Row],[Einpressen]]=1,2,IF(Scharniere[[#This Row],[Quick]]=1,3,IF(Scharniere[[#This Row],[Werkzeuglos]]=1,4,0))))=select!$E$362,1,0)</f>
        <v>0</v>
      </c>
      <c r="O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" s="298">
        <f>IF(AND(Scharniere[[#This Row],[Scharnierart]]=3,Scharniere[[#This Row],[Gruppenschlüssel]]=select!$A$747)=TRUE,1,0)</f>
        <v>0</v>
      </c>
      <c r="Q21" s="298">
        <f ca="1">IF(select!$O$945&lt;6,1,0)</f>
        <v>1</v>
      </c>
      <c r="R21" s="298">
        <f>IF(select!$A$778=IF(Scharniere[[#This Row],[mit Dämpfung]]=1,1,IF(Scharniere[[#This Row],[ohne Dämpfung]]=1,2,IF(Scharniere[[#This Row],[ohne Feder]]=1,3,0))),1,0)</f>
        <v>0</v>
      </c>
      <c r="S21" s="298">
        <f>IF(Scharniere[[#This Row],[Bohrbild]]=select!$A$755,1,0)</f>
        <v>0</v>
      </c>
      <c r="T21" s="298">
        <f>IF(IF(Scharniere[[#This Row],[Anschrauben]]=1,1,IF(Scharniere[[#This Row],[Einpressen]]=1,2,IF(Scharniere[[#This Row],[Quick]]=1,3,IF(Scharniere[[#This Row],[Werkzeuglos]]=1,4,0))))=select!$A$769,1,0)</f>
        <v>0</v>
      </c>
      <c r="U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" s="359">
        <f>IF(AND(Scharniere[[#This Row],[Scharnierart]]=4,Scharniere[[#This Row],[Gruppenschlüssel]]=select!$A$981)=TRUE,1,0)</f>
        <v>0</v>
      </c>
      <c r="W21" s="359">
        <f ca="1">IF(select!$O$1185&lt;6,1,0)</f>
        <v>1</v>
      </c>
      <c r="X21" s="359">
        <f>IF(select!$A$1012=IF(Scharniere[[#This Row],[mit Dämpfung]]=1,1,IF(Scharniere[[#This Row],[ohne Dämpfung]]=1,2,IF(Scharniere[[#This Row],[ohne Feder]]=1,3,0))),1,0)</f>
        <v>0</v>
      </c>
      <c r="Y21" s="359">
        <f>IF(Scharniere[[#This Row],[Bohrbild]]=select!$A$989,1,0)</f>
        <v>0</v>
      </c>
      <c r="Z21" s="359">
        <f>IF(IF(Scharniere[[#This Row],[Anschrauben]]=1,1,IF(Scharniere[[#This Row],[Einpressen]]=1,2,IF(Scharniere[[#This Row],[Quick]]=1,3,IF(Scharniere[[#This Row],[Werkzeuglos]]=1,4,0))))=select!$A$1003,1,0)</f>
        <v>0</v>
      </c>
      <c r="AA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" s="359">
        <f ca="1">IF(select!$K$980="*",Scharniere[[#This Row],[AG Ges2]],Scharniere[[#This Row],[AG Ges1]])</f>
        <v>0</v>
      </c>
      <c r="AE21" s="451">
        <f ca="1">IF(AND(Scharniere[[#This Row],[Scharnierart]]=select!$A$1485,Scharniere[[#This Row],[Gruppenschlüssel]]=select!$B$1485)=TRUE,1,0)</f>
        <v>1</v>
      </c>
      <c r="AF21" s="451">
        <f ca="1">IF(AND(Scharniere[[#This Row],[Scharnierart]]=select!$A$1486,Scharniere[[#This Row],[Gruppenschlüssel]]=select!$B$1486)=TRUE,1,0)</f>
        <v>0</v>
      </c>
      <c r="AG21" s="451">
        <f ca="1">IF(AND(Scharniere[[#This Row],[Scharnierart]]=select!$A$1487,Scharniere[[#This Row],[Gruppenschlüssel]]=select!$B$1487)=TRUE,1,0)</f>
        <v>0</v>
      </c>
      <c r="AH21" s="451">
        <f ca="1">IF(AND(Scharniere[[#This Row],[Scharnierart]]=select!$A$1488,Scharniere[[#This Row],[Gruppenschlüssel]]=select!$B$1488)=TRUE,1,0)</f>
        <v>0</v>
      </c>
      <c r="AI21" s="451">
        <f ca="1">IF(SUM(Scharniere[[#This Row],[konf Scharnier 1]:[konf Scharnier 4]])&gt;0,1,0)</f>
        <v>1</v>
      </c>
      <c r="AJ21" s="451"/>
      <c r="AK21" s="451"/>
      <c r="AL21" s="451"/>
      <c r="AM21" s="451"/>
      <c r="AN21" s="451"/>
      <c r="AO21" s="146">
        <v>1</v>
      </c>
      <c r="AP21" s="146">
        <v>1</v>
      </c>
      <c r="AQ21" s="10" t="str">
        <f ca="1">Sprache!$A$112</f>
        <v>Tiomos Scharnier TS Click-on</v>
      </c>
      <c r="AR21" t="str">
        <f ca="1">"110°, H-BB, K19, "&amp;Sprache!A181&amp;", ni"</f>
        <v>110°, H-BB, K19, Dübel, ni</v>
      </c>
      <c r="AS21" t="str">
        <f ca="1">Sprache!$A$103</f>
        <v>Tiomos Click-On Scharniere</v>
      </c>
      <c r="AT21">
        <v>19</v>
      </c>
      <c r="AU21" s="34" t="s">
        <v>10</v>
      </c>
      <c r="AV21">
        <v>110</v>
      </c>
      <c r="AW21" s="10">
        <v>1</v>
      </c>
      <c r="AX21">
        <v>0</v>
      </c>
      <c r="AY21">
        <v>0</v>
      </c>
      <c r="AZ21" s="10">
        <v>0</v>
      </c>
      <c r="BA21">
        <v>1</v>
      </c>
      <c r="BB21">
        <v>0</v>
      </c>
      <c r="BC21">
        <v>0</v>
      </c>
      <c r="BD21" s="143" t="s">
        <v>351</v>
      </c>
      <c r="BG21"/>
    </row>
    <row r="22" spans="1:59" ht="14.25" customHeight="1" x14ac:dyDescent="0.25">
      <c r="A22" s="37" t="str">
        <f>LEFT(Scharniere[[#This Row],[ArtikelNR]],4)</f>
        <v>F046</v>
      </c>
      <c r="B22" s="35" t="str">
        <f>MID(Scharniere[[#This Row],[ArtikelNR]],5,3)</f>
        <v>138</v>
      </c>
      <c r="C22" s="37" t="str">
        <f>RIGHT(Scharniere[[#This Row],[ArtikelNR]],3)</f>
        <v>768</v>
      </c>
      <c r="D22" s="35">
        <f>IF(AND(Scharniere[[#This Row],[Gruppenschlüssel]]=select!$A$44,Scharniere[[#This Row],[Scharnierart]]=1)=TRUE,1,0)</f>
        <v>1</v>
      </c>
      <c r="E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" s="35">
        <f>IF(select!$F$57=IF(Scharniere[[#This Row],[mit Dämpfung]]=1,1,IF(Scharniere[[#This Row],[ohne Dämpfung]]=1,2,IF(Scharniere[[#This Row],[ohne Feder]]=1,3,0))),1,0)</f>
        <v>1</v>
      </c>
      <c r="G22" s="35">
        <f>IF(Scharniere[[#This Row],[Bohrbild]]=select!$V$43,1,0)</f>
        <v>0</v>
      </c>
      <c r="H22" s="35">
        <f>IF(IF(Scharniere[[#This Row],[Anschrauben]]=1,1,IF(Scharniere[[#This Row],[Einpressen]]=1,2,IF(Scharniere[[#This Row],[Quick]]=1,3,IF(Scharniere[[#This Row],[Werkzeuglos]]=1,4,0))))=select!$F$48,1,0)</f>
        <v>1</v>
      </c>
      <c r="I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" s="149">
        <f>IF(AND(Scharniere[[#This Row],[Scharnierart]]=2,Scharniere[[#This Row],[Gruppenschlüssel]]=select!$A$318)=TRUE,1,0)</f>
        <v>0</v>
      </c>
      <c r="K22" s="221">
        <f ca="1">IF(select!$O$424&lt;6,1,0)</f>
        <v>1</v>
      </c>
      <c r="L22" s="139">
        <f>IF(select!$A$362=IF(Scharniere[[#This Row],[mit Dämpfung]]=1,1,IF(Scharniere[[#This Row],[ohne Dämpfung]]=1,2,IF(Scharniere[[#This Row],[ohne Feder]]=1,3,0))),1,0)</f>
        <v>0</v>
      </c>
      <c r="M22" s="135">
        <f>IF(Scharniere[[#This Row],[Bohrbild]]=select!$O$334,1,0)</f>
        <v>0</v>
      </c>
      <c r="N22" s="135">
        <f>IF(IF(Scharniere[[#This Row],[Anschrauben]]=1,1,IF(Scharniere[[#This Row],[Einpressen]]=1,2,IF(Scharniere[[#This Row],[Quick]]=1,3,IF(Scharniere[[#This Row],[Werkzeuglos]]=1,4,0))))=select!$E$362,1,0)</f>
        <v>0</v>
      </c>
      <c r="O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" s="298">
        <f>IF(AND(Scharniere[[#This Row],[Scharnierart]]=3,Scharniere[[#This Row],[Gruppenschlüssel]]=select!$A$747)=TRUE,1,0)</f>
        <v>0</v>
      </c>
      <c r="Q22" s="298">
        <f ca="1">IF(select!$O$945&lt;6,1,0)</f>
        <v>1</v>
      </c>
      <c r="R22" s="298">
        <f>IF(select!$A$778=IF(Scharniere[[#This Row],[mit Dämpfung]]=1,1,IF(Scharniere[[#This Row],[ohne Dämpfung]]=1,2,IF(Scharniere[[#This Row],[ohne Feder]]=1,3,0))),1,0)</f>
        <v>0</v>
      </c>
      <c r="S22" s="298">
        <f>IF(Scharniere[[#This Row],[Bohrbild]]=select!$A$755,1,0)</f>
        <v>0</v>
      </c>
      <c r="T22" s="298">
        <f>IF(IF(Scharniere[[#This Row],[Anschrauben]]=1,1,IF(Scharniere[[#This Row],[Einpressen]]=1,2,IF(Scharniere[[#This Row],[Quick]]=1,3,IF(Scharniere[[#This Row],[Werkzeuglos]]=1,4,0))))=select!$A$769,1,0)</f>
        <v>0</v>
      </c>
      <c r="U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" s="359">
        <f>IF(AND(Scharniere[[#This Row],[Scharnierart]]=4,Scharniere[[#This Row],[Gruppenschlüssel]]=select!$A$981)=TRUE,1,0)</f>
        <v>0</v>
      </c>
      <c r="W22" s="359">
        <f ca="1">IF(select!$O$1185&lt;6,1,0)</f>
        <v>1</v>
      </c>
      <c r="X22" s="359">
        <f>IF(select!$A$1012=IF(Scharniere[[#This Row],[mit Dämpfung]]=1,1,IF(Scharniere[[#This Row],[ohne Dämpfung]]=1,2,IF(Scharniere[[#This Row],[ohne Feder]]=1,3,0))),1,0)</f>
        <v>0</v>
      </c>
      <c r="Y22" s="359">
        <f>IF(Scharniere[[#This Row],[Bohrbild]]=select!$A$989,1,0)</f>
        <v>0</v>
      </c>
      <c r="Z22" s="359">
        <f>IF(IF(Scharniere[[#This Row],[Anschrauben]]=1,1,IF(Scharniere[[#This Row],[Einpressen]]=1,2,IF(Scharniere[[#This Row],[Quick]]=1,3,IF(Scharniere[[#This Row],[Werkzeuglos]]=1,4,0))))=select!$A$1003,1,0)</f>
        <v>0</v>
      </c>
      <c r="AA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" s="359">
        <f ca="1">IF(select!$K$980="*",Scharniere[[#This Row],[AG Ges2]],Scharniere[[#This Row],[AG Ges1]])</f>
        <v>0</v>
      </c>
      <c r="AE22" s="451">
        <f ca="1">IF(AND(Scharniere[[#This Row],[Scharnierart]]=select!$A$1485,Scharniere[[#This Row],[Gruppenschlüssel]]=select!$B$1485)=TRUE,1,0)</f>
        <v>1</v>
      </c>
      <c r="AF22" s="451">
        <f ca="1">IF(AND(Scharniere[[#This Row],[Scharnierart]]=select!$A$1486,Scharniere[[#This Row],[Gruppenschlüssel]]=select!$B$1486)=TRUE,1,0)</f>
        <v>0</v>
      </c>
      <c r="AG22" s="451">
        <f ca="1">IF(AND(Scharniere[[#This Row],[Scharnierart]]=select!$A$1487,Scharniere[[#This Row],[Gruppenschlüssel]]=select!$B$1487)=TRUE,1,0)</f>
        <v>0</v>
      </c>
      <c r="AH22" s="451">
        <f ca="1">IF(AND(Scharniere[[#This Row],[Scharnierart]]=select!$A$1488,Scharniere[[#This Row],[Gruppenschlüssel]]=select!$B$1488)=TRUE,1,0)</f>
        <v>0</v>
      </c>
      <c r="AI22" s="451">
        <f ca="1">IF(SUM(Scharniere[[#This Row],[konf Scharnier 1]:[konf Scharnier 4]])&gt;0,1,0)</f>
        <v>1</v>
      </c>
      <c r="AJ22" s="451"/>
      <c r="AK22" s="451"/>
      <c r="AL22" s="451"/>
      <c r="AM22" s="451"/>
      <c r="AN22" s="451"/>
      <c r="AO22" s="146">
        <v>1</v>
      </c>
      <c r="AP22" s="146">
        <v>1</v>
      </c>
      <c r="AQ22" s="10" t="str">
        <f ca="1">Sprache!$A$114</f>
        <v>Tiomos Scharnier TT Click-on</v>
      </c>
      <c r="AR22" t="str">
        <f ca="1">"110°, H-BB, K19, "&amp;Sprache!A181&amp;", ni"</f>
        <v>110°, H-BB, K19, Dübel, ni</v>
      </c>
      <c r="AS22" t="str">
        <f ca="1">Sprache!$A$103</f>
        <v>Tiomos Click-On Scharniere</v>
      </c>
      <c r="AT22">
        <v>19</v>
      </c>
      <c r="AU22" t="s">
        <v>10</v>
      </c>
      <c r="AV22">
        <v>110</v>
      </c>
      <c r="AW22" s="10">
        <v>0</v>
      </c>
      <c r="AX22">
        <v>0</v>
      </c>
      <c r="AY22">
        <v>1</v>
      </c>
      <c r="AZ22" s="10">
        <v>0</v>
      </c>
      <c r="BA22">
        <v>1</v>
      </c>
      <c r="BB22">
        <v>0</v>
      </c>
      <c r="BC22">
        <v>0</v>
      </c>
      <c r="BD22" s="143" t="s">
        <v>673</v>
      </c>
      <c r="BG22"/>
    </row>
    <row r="23" spans="1:59" ht="14.25" customHeight="1" x14ac:dyDescent="0.25">
      <c r="A23" s="37" t="str">
        <f>LEFT(Scharniere[[#This Row],[ArtikelNR]],4)</f>
        <v>F045</v>
      </c>
      <c r="B23" s="35" t="str">
        <f>MID(Scharniere[[#This Row],[ArtikelNR]],5,3)</f>
        <v>138</v>
      </c>
      <c r="C23" s="37" t="str">
        <f>RIGHT(Scharniere[[#This Row],[ArtikelNR]],3)</f>
        <v>642</v>
      </c>
      <c r="D23" s="35">
        <f>IF(AND(Scharniere[[#This Row],[Gruppenschlüssel]]=select!$A$44,Scharniere[[#This Row],[Scharnierart]]=1)=TRUE,1,0)</f>
        <v>1</v>
      </c>
      <c r="E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" s="35">
        <f>IF(select!$F$57=IF(Scharniere[[#This Row],[mit Dämpfung]]=1,1,IF(Scharniere[[#This Row],[ohne Dämpfung]]=1,2,IF(Scharniere[[#This Row],[ohne Feder]]=1,3,0))),1,0)</f>
        <v>0</v>
      </c>
      <c r="G23" s="35">
        <f>IF(Scharniere[[#This Row],[Bohrbild]]=select!$V$43,1,0)</f>
        <v>0</v>
      </c>
      <c r="H23" s="35">
        <f>IF(IF(Scharniere[[#This Row],[Anschrauben]]=1,1,IF(Scharniere[[#This Row],[Einpressen]]=1,2,IF(Scharniere[[#This Row],[Quick]]=1,3,IF(Scharniere[[#This Row],[Werkzeuglos]]=1,4,0))))=select!$F$48,1,0)</f>
        <v>0</v>
      </c>
      <c r="I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" s="149">
        <f>IF(AND(Scharniere[[#This Row],[Scharnierart]]=2,Scharniere[[#This Row],[Gruppenschlüssel]]=select!$A$318)=TRUE,1,0)</f>
        <v>0</v>
      </c>
      <c r="K23" s="221">
        <f ca="1">IF(select!$O$424&lt;6,1,0)</f>
        <v>1</v>
      </c>
      <c r="L23" s="139">
        <f>IF(select!$A$362=IF(Scharniere[[#This Row],[mit Dämpfung]]=1,1,IF(Scharniere[[#This Row],[ohne Dämpfung]]=1,2,IF(Scharniere[[#This Row],[ohne Feder]]=1,3,0))),1,0)</f>
        <v>0</v>
      </c>
      <c r="M23" s="135">
        <f>IF(Scharniere[[#This Row],[Bohrbild]]=select!$O$334,1,0)</f>
        <v>0</v>
      </c>
      <c r="N23" s="135">
        <f>IF(IF(Scharniere[[#This Row],[Anschrauben]]=1,1,IF(Scharniere[[#This Row],[Einpressen]]=1,2,IF(Scharniere[[#This Row],[Quick]]=1,3,IF(Scharniere[[#This Row],[Werkzeuglos]]=1,4,0))))=select!$E$362,1,0)</f>
        <v>1</v>
      </c>
      <c r="O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" s="298">
        <f>IF(AND(Scharniere[[#This Row],[Scharnierart]]=3,Scharniere[[#This Row],[Gruppenschlüssel]]=select!$A$747)=TRUE,1,0)</f>
        <v>0</v>
      </c>
      <c r="Q23" s="298">
        <f ca="1">IF(select!$O$945&lt;6,1,0)</f>
        <v>1</v>
      </c>
      <c r="R23" s="298">
        <f>IF(select!$A$778=IF(Scharniere[[#This Row],[mit Dämpfung]]=1,1,IF(Scharniere[[#This Row],[ohne Dämpfung]]=1,2,IF(Scharniere[[#This Row],[ohne Feder]]=1,3,0))),1,0)</f>
        <v>1</v>
      </c>
      <c r="S23" s="298">
        <f>IF(Scharniere[[#This Row],[Bohrbild]]=select!$A$755,1,0)</f>
        <v>0</v>
      </c>
      <c r="T23" s="298">
        <f>IF(IF(Scharniere[[#This Row],[Anschrauben]]=1,1,IF(Scharniere[[#This Row],[Einpressen]]=1,2,IF(Scharniere[[#This Row],[Quick]]=1,3,IF(Scharniere[[#This Row],[Werkzeuglos]]=1,4,0))))=select!$A$769,1,0)</f>
        <v>1</v>
      </c>
      <c r="U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" s="359">
        <f>IF(AND(Scharniere[[#This Row],[Scharnierart]]=4,Scharniere[[#This Row],[Gruppenschlüssel]]=select!$A$981)=TRUE,1,0)</f>
        <v>0</v>
      </c>
      <c r="W23" s="359">
        <f ca="1">IF(select!$O$1185&lt;6,1,0)</f>
        <v>1</v>
      </c>
      <c r="X23" s="359">
        <f>IF(select!$A$1012=IF(Scharniere[[#This Row],[mit Dämpfung]]=1,1,IF(Scharniere[[#This Row],[ohne Dämpfung]]=1,2,IF(Scharniere[[#This Row],[ohne Feder]]=1,3,0))),1,0)</f>
        <v>1</v>
      </c>
      <c r="Y23" s="359">
        <f>IF(Scharniere[[#This Row],[Bohrbild]]=select!$A$989,1,0)</f>
        <v>0</v>
      </c>
      <c r="Z23" s="359">
        <f>IF(IF(Scharniere[[#This Row],[Anschrauben]]=1,1,IF(Scharniere[[#This Row],[Einpressen]]=1,2,IF(Scharniere[[#This Row],[Quick]]=1,3,IF(Scharniere[[#This Row],[Werkzeuglos]]=1,4,0))))=select!$A$1003,1,0)</f>
        <v>1</v>
      </c>
      <c r="AA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" s="359">
        <f ca="1">IF(select!$K$980="*",Scharniere[[#This Row],[AG Ges2]],Scharniere[[#This Row],[AG Ges1]])</f>
        <v>0</v>
      </c>
      <c r="AE23" s="451">
        <f ca="1">IF(AND(Scharniere[[#This Row],[Scharnierart]]=select!$A$1485,Scharniere[[#This Row],[Gruppenschlüssel]]=select!$B$1485)=TRUE,1,0)</f>
        <v>1</v>
      </c>
      <c r="AF23" s="451">
        <f ca="1">IF(AND(Scharniere[[#This Row],[Scharnierart]]=select!$A$1486,Scharniere[[#This Row],[Gruppenschlüssel]]=select!$B$1486)=TRUE,1,0)</f>
        <v>0</v>
      </c>
      <c r="AG23" s="451">
        <f ca="1">IF(AND(Scharniere[[#This Row],[Scharnierart]]=select!$A$1487,Scharniere[[#This Row],[Gruppenschlüssel]]=select!$B$1487)=TRUE,1,0)</f>
        <v>0</v>
      </c>
      <c r="AH23" s="451">
        <f ca="1">IF(AND(Scharniere[[#This Row],[Scharnierart]]=select!$A$1488,Scharniere[[#This Row],[Gruppenschlüssel]]=select!$B$1488)=TRUE,1,0)</f>
        <v>0</v>
      </c>
      <c r="AI23" s="451">
        <f ca="1">IF(SUM(Scharniere[[#This Row],[konf Scharnier 1]:[konf Scharnier 4]])&gt;0,1,0)</f>
        <v>1</v>
      </c>
      <c r="AJ23" s="451"/>
      <c r="AK23" s="451"/>
      <c r="AL23" s="451"/>
      <c r="AM23" s="451"/>
      <c r="AN23" s="451"/>
      <c r="AO23" s="146">
        <v>1</v>
      </c>
      <c r="AP23" s="146">
        <v>1</v>
      </c>
      <c r="AQ23" s="10" t="str">
        <f ca="1">Sprache!$A$110</f>
        <v>Tiomos Scharnier T Click-on</v>
      </c>
      <c r="AR23" t="s">
        <v>347</v>
      </c>
      <c r="AS23" t="str">
        <f ca="1">Sprache!$A$103</f>
        <v>Tiomos Click-On Scharniere</v>
      </c>
      <c r="AT23">
        <v>19</v>
      </c>
      <c r="AU23" t="s">
        <v>10</v>
      </c>
      <c r="AV23">
        <v>110</v>
      </c>
      <c r="AW23" s="10">
        <v>0</v>
      </c>
      <c r="AX23">
        <v>1</v>
      </c>
      <c r="AY23">
        <v>0</v>
      </c>
      <c r="AZ23" s="10">
        <v>1</v>
      </c>
      <c r="BA23">
        <v>0</v>
      </c>
      <c r="BB23">
        <v>0</v>
      </c>
      <c r="BC23">
        <v>0</v>
      </c>
      <c r="BD23" s="143" t="s">
        <v>517</v>
      </c>
      <c r="BG23"/>
    </row>
    <row r="24" spans="1:59" ht="14.25" customHeight="1" x14ac:dyDescent="0.25">
      <c r="A24" s="37" t="str">
        <f>LEFT(Scharniere[[#This Row],[ArtikelNR]],4)</f>
        <v>F028</v>
      </c>
      <c r="B24" s="35" t="str">
        <f>MID(Scharniere[[#This Row],[ArtikelNR]],5,3)</f>
        <v>138</v>
      </c>
      <c r="C24" s="37" t="str">
        <f>RIGHT(Scharniere[[#This Row],[ArtikelNR]],3)</f>
        <v>704</v>
      </c>
      <c r="D24" s="35">
        <f>IF(AND(Scharniere[[#This Row],[Gruppenschlüssel]]=select!$A$44,Scharniere[[#This Row],[Scharnierart]]=1)=TRUE,1,0)</f>
        <v>1</v>
      </c>
      <c r="E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" s="35">
        <f>IF(select!$F$57=IF(Scharniere[[#This Row],[mit Dämpfung]]=1,1,IF(Scharniere[[#This Row],[ohne Dämpfung]]=1,2,IF(Scharniere[[#This Row],[ohne Feder]]=1,3,0))),1,0)</f>
        <v>0</v>
      </c>
      <c r="G24" s="35">
        <f>IF(Scharniere[[#This Row],[Bohrbild]]=select!$V$43,1,0)</f>
        <v>0</v>
      </c>
      <c r="H24" s="35">
        <f>IF(IF(Scharniere[[#This Row],[Anschrauben]]=1,1,IF(Scharniere[[#This Row],[Einpressen]]=1,2,IF(Scharniere[[#This Row],[Quick]]=1,3,IF(Scharniere[[#This Row],[Werkzeuglos]]=1,4,0))))=select!$F$48,1,0)</f>
        <v>0</v>
      </c>
      <c r="I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" s="149">
        <f>IF(AND(Scharniere[[#This Row],[Scharnierart]]=2,Scharniere[[#This Row],[Gruppenschlüssel]]=select!$A$318)=TRUE,1,0)</f>
        <v>0</v>
      </c>
      <c r="K24" s="221">
        <f ca="1">IF(select!$O$424&lt;6,1,0)</f>
        <v>1</v>
      </c>
      <c r="L24" s="139">
        <f>IF(select!$A$362=IF(Scharniere[[#This Row],[mit Dämpfung]]=1,1,IF(Scharniere[[#This Row],[ohne Dämpfung]]=1,2,IF(Scharniere[[#This Row],[ohne Feder]]=1,3,0))),1,0)</f>
        <v>1</v>
      </c>
      <c r="M24" s="135">
        <f>IF(Scharniere[[#This Row],[Bohrbild]]=select!$O$334,1,0)</f>
        <v>0</v>
      </c>
      <c r="N24" s="135">
        <f>IF(IF(Scharniere[[#This Row],[Anschrauben]]=1,1,IF(Scharniere[[#This Row],[Einpressen]]=1,2,IF(Scharniere[[#This Row],[Quick]]=1,3,IF(Scharniere[[#This Row],[Werkzeuglos]]=1,4,0))))=select!$E$362,1,0)</f>
        <v>1</v>
      </c>
      <c r="O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" s="298">
        <f>IF(AND(Scharniere[[#This Row],[Scharnierart]]=3,Scharniere[[#This Row],[Gruppenschlüssel]]=select!$A$747)=TRUE,1,0)</f>
        <v>0</v>
      </c>
      <c r="Q24" s="298">
        <f ca="1">IF(select!$O$945&lt;6,1,0)</f>
        <v>1</v>
      </c>
      <c r="R24" s="298">
        <f>IF(select!$A$778=IF(Scharniere[[#This Row],[mit Dämpfung]]=1,1,IF(Scharniere[[#This Row],[ohne Dämpfung]]=1,2,IF(Scharniere[[#This Row],[ohne Feder]]=1,3,0))),1,0)</f>
        <v>0</v>
      </c>
      <c r="S24" s="298">
        <f>IF(Scharniere[[#This Row],[Bohrbild]]=select!$A$755,1,0)</f>
        <v>0</v>
      </c>
      <c r="T24" s="298">
        <f>IF(IF(Scharniere[[#This Row],[Anschrauben]]=1,1,IF(Scharniere[[#This Row],[Einpressen]]=1,2,IF(Scharniere[[#This Row],[Quick]]=1,3,IF(Scharniere[[#This Row],[Werkzeuglos]]=1,4,0))))=select!$A$769,1,0)</f>
        <v>1</v>
      </c>
      <c r="U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" s="359">
        <f>IF(AND(Scharniere[[#This Row],[Scharnierart]]=4,Scharniere[[#This Row],[Gruppenschlüssel]]=select!$A$981)=TRUE,1,0)</f>
        <v>0</v>
      </c>
      <c r="W24" s="359">
        <f ca="1">IF(select!$O$1185&lt;6,1,0)</f>
        <v>1</v>
      </c>
      <c r="X24" s="359">
        <f>IF(select!$A$1012=IF(Scharniere[[#This Row],[mit Dämpfung]]=1,1,IF(Scharniere[[#This Row],[ohne Dämpfung]]=1,2,IF(Scharniere[[#This Row],[ohne Feder]]=1,3,0))),1,0)</f>
        <v>0</v>
      </c>
      <c r="Y24" s="359">
        <f>IF(Scharniere[[#This Row],[Bohrbild]]=select!$A$989,1,0)</f>
        <v>0</v>
      </c>
      <c r="Z24" s="359">
        <f>IF(IF(Scharniere[[#This Row],[Anschrauben]]=1,1,IF(Scharniere[[#This Row],[Einpressen]]=1,2,IF(Scharniere[[#This Row],[Quick]]=1,3,IF(Scharniere[[#This Row],[Werkzeuglos]]=1,4,0))))=select!$A$1003,1,0)</f>
        <v>1</v>
      </c>
      <c r="AA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" s="359">
        <f ca="1">IF(select!$K$980="*",Scharniere[[#This Row],[AG Ges2]],Scharniere[[#This Row],[AG Ges1]])</f>
        <v>0</v>
      </c>
      <c r="AE24" s="451">
        <f ca="1">IF(AND(Scharniere[[#This Row],[Scharnierart]]=select!$A$1485,Scharniere[[#This Row],[Gruppenschlüssel]]=select!$B$1485)=TRUE,1,0)</f>
        <v>1</v>
      </c>
      <c r="AF24" s="451">
        <f ca="1">IF(AND(Scharniere[[#This Row],[Scharnierart]]=select!$A$1486,Scharniere[[#This Row],[Gruppenschlüssel]]=select!$B$1486)=TRUE,1,0)</f>
        <v>0</v>
      </c>
      <c r="AG24" s="451">
        <f ca="1">IF(AND(Scharniere[[#This Row],[Scharnierart]]=select!$A$1487,Scharniere[[#This Row],[Gruppenschlüssel]]=select!$B$1487)=TRUE,1,0)</f>
        <v>0</v>
      </c>
      <c r="AH24" s="451">
        <f ca="1">IF(AND(Scharniere[[#This Row],[Scharnierart]]=select!$A$1488,Scharniere[[#This Row],[Gruppenschlüssel]]=select!$B$1488)=TRUE,1,0)</f>
        <v>0</v>
      </c>
      <c r="AI24" s="451">
        <f ca="1">IF(SUM(Scharniere[[#This Row],[konf Scharnier 1]:[konf Scharnier 4]])&gt;0,1,0)</f>
        <v>1</v>
      </c>
      <c r="AJ24" s="451"/>
      <c r="AK24" s="451"/>
      <c r="AL24" s="451"/>
      <c r="AM24" s="451"/>
      <c r="AN24" s="451"/>
      <c r="AO24" s="146">
        <v>1</v>
      </c>
      <c r="AP24" s="146">
        <v>1</v>
      </c>
      <c r="AQ24" s="10" t="str">
        <f ca="1">Sprache!$A$112</f>
        <v>Tiomos Scharnier TS Click-on</v>
      </c>
      <c r="AR24" t="s">
        <v>347</v>
      </c>
      <c r="AS24" t="str">
        <f ca="1">Sprache!$A$103</f>
        <v>Tiomos Click-On Scharniere</v>
      </c>
      <c r="AT24">
        <v>19</v>
      </c>
      <c r="AU24" t="s">
        <v>10</v>
      </c>
      <c r="AV24">
        <v>110</v>
      </c>
      <c r="AW24" s="10">
        <v>1</v>
      </c>
      <c r="AX24">
        <v>0</v>
      </c>
      <c r="AY24">
        <v>0</v>
      </c>
      <c r="AZ24" s="10">
        <v>1</v>
      </c>
      <c r="BA24">
        <v>0</v>
      </c>
      <c r="BB24">
        <v>0</v>
      </c>
      <c r="BC24">
        <v>0</v>
      </c>
      <c r="BD24" s="143" t="s">
        <v>346</v>
      </c>
      <c r="BG24"/>
    </row>
    <row r="25" spans="1:59" ht="14.25" customHeight="1" x14ac:dyDescent="0.25">
      <c r="A25" s="37" t="str">
        <f>LEFT(Scharniere[[#This Row],[ArtikelNR]],4)</f>
        <v>F046</v>
      </c>
      <c r="B25" s="35" t="str">
        <f>MID(Scharniere[[#This Row],[ArtikelNR]],5,3)</f>
        <v>138</v>
      </c>
      <c r="C25" s="37" t="str">
        <f>RIGHT(Scharniere[[#This Row],[ArtikelNR]],3)</f>
        <v>764</v>
      </c>
      <c r="D25" s="35">
        <f>IF(AND(Scharniere[[#This Row],[Gruppenschlüssel]]=select!$A$44,Scharniere[[#This Row],[Scharnierart]]=1)=TRUE,1,0)</f>
        <v>1</v>
      </c>
      <c r="E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" s="35">
        <f>IF(select!$F$57=IF(Scharniere[[#This Row],[mit Dämpfung]]=1,1,IF(Scharniere[[#This Row],[ohne Dämpfung]]=1,2,IF(Scharniere[[#This Row],[ohne Feder]]=1,3,0))),1,0)</f>
        <v>1</v>
      </c>
      <c r="G25" s="35">
        <f>IF(Scharniere[[#This Row],[Bohrbild]]=select!$V$43,1,0)</f>
        <v>0</v>
      </c>
      <c r="H25" s="35">
        <f>IF(IF(Scharniere[[#This Row],[Anschrauben]]=1,1,IF(Scharniere[[#This Row],[Einpressen]]=1,2,IF(Scharniere[[#This Row],[Quick]]=1,3,IF(Scharniere[[#This Row],[Werkzeuglos]]=1,4,0))))=select!$F$48,1,0)</f>
        <v>0</v>
      </c>
      <c r="I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" s="149">
        <f>IF(AND(Scharniere[[#This Row],[Scharnierart]]=2,Scharniere[[#This Row],[Gruppenschlüssel]]=select!$A$318)=TRUE,1,0)</f>
        <v>0</v>
      </c>
      <c r="K25" s="221">
        <f ca="1">IF(select!$O$424&lt;6,1,0)</f>
        <v>1</v>
      </c>
      <c r="L25" s="139">
        <f>IF(select!$A$362=IF(Scharniere[[#This Row],[mit Dämpfung]]=1,1,IF(Scharniere[[#This Row],[ohne Dämpfung]]=1,2,IF(Scharniere[[#This Row],[ohne Feder]]=1,3,0))),1,0)</f>
        <v>0</v>
      </c>
      <c r="M25" s="135">
        <f>IF(Scharniere[[#This Row],[Bohrbild]]=select!$O$334,1,0)</f>
        <v>0</v>
      </c>
      <c r="N25" s="135">
        <f>IF(IF(Scharniere[[#This Row],[Anschrauben]]=1,1,IF(Scharniere[[#This Row],[Einpressen]]=1,2,IF(Scharniere[[#This Row],[Quick]]=1,3,IF(Scharniere[[#This Row],[Werkzeuglos]]=1,4,0))))=select!$E$362,1,0)</f>
        <v>1</v>
      </c>
      <c r="O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" s="298">
        <f>IF(AND(Scharniere[[#This Row],[Scharnierart]]=3,Scharniere[[#This Row],[Gruppenschlüssel]]=select!$A$747)=TRUE,1,0)</f>
        <v>0</v>
      </c>
      <c r="Q25" s="298">
        <f ca="1">IF(select!$O$945&lt;6,1,0)</f>
        <v>1</v>
      </c>
      <c r="R25" s="298">
        <f>IF(select!$A$778=IF(Scharniere[[#This Row],[mit Dämpfung]]=1,1,IF(Scharniere[[#This Row],[ohne Dämpfung]]=1,2,IF(Scharniere[[#This Row],[ohne Feder]]=1,3,0))),1,0)</f>
        <v>0</v>
      </c>
      <c r="S25" s="298">
        <f>IF(Scharniere[[#This Row],[Bohrbild]]=select!$A$755,1,0)</f>
        <v>0</v>
      </c>
      <c r="T25" s="298">
        <f>IF(IF(Scharniere[[#This Row],[Anschrauben]]=1,1,IF(Scharniere[[#This Row],[Einpressen]]=1,2,IF(Scharniere[[#This Row],[Quick]]=1,3,IF(Scharniere[[#This Row],[Werkzeuglos]]=1,4,0))))=select!$A$769,1,0)</f>
        <v>1</v>
      </c>
      <c r="U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" s="359">
        <f>IF(AND(Scharniere[[#This Row],[Scharnierart]]=4,Scharniere[[#This Row],[Gruppenschlüssel]]=select!$A$981)=TRUE,1,0)</f>
        <v>0</v>
      </c>
      <c r="W25" s="359">
        <f ca="1">IF(select!$O$1185&lt;6,1,0)</f>
        <v>1</v>
      </c>
      <c r="X25" s="359">
        <f>IF(select!$A$1012=IF(Scharniere[[#This Row],[mit Dämpfung]]=1,1,IF(Scharniere[[#This Row],[ohne Dämpfung]]=1,2,IF(Scharniere[[#This Row],[ohne Feder]]=1,3,0))),1,0)</f>
        <v>0</v>
      </c>
      <c r="Y25" s="359">
        <f>IF(Scharniere[[#This Row],[Bohrbild]]=select!$A$989,1,0)</f>
        <v>0</v>
      </c>
      <c r="Z25" s="359">
        <f>IF(IF(Scharniere[[#This Row],[Anschrauben]]=1,1,IF(Scharniere[[#This Row],[Einpressen]]=1,2,IF(Scharniere[[#This Row],[Quick]]=1,3,IF(Scharniere[[#This Row],[Werkzeuglos]]=1,4,0))))=select!$A$1003,1,0)</f>
        <v>1</v>
      </c>
      <c r="AA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" s="359">
        <f ca="1">IF(select!$K$980="*",Scharniere[[#This Row],[AG Ges2]],Scharniere[[#This Row],[AG Ges1]])</f>
        <v>0</v>
      </c>
      <c r="AE25" s="451">
        <f ca="1">IF(AND(Scharniere[[#This Row],[Scharnierart]]=select!$A$1485,Scharniere[[#This Row],[Gruppenschlüssel]]=select!$B$1485)=TRUE,1,0)</f>
        <v>1</v>
      </c>
      <c r="AF25" s="451">
        <f ca="1">IF(AND(Scharniere[[#This Row],[Scharnierart]]=select!$A$1486,Scharniere[[#This Row],[Gruppenschlüssel]]=select!$B$1486)=TRUE,1,0)</f>
        <v>0</v>
      </c>
      <c r="AG25" s="451">
        <f ca="1">IF(AND(Scharniere[[#This Row],[Scharnierart]]=select!$A$1487,Scharniere[[#This Row],[Gruppenschlüssel]]=select!$B$1487)=TRUE,1,0)</f>
        <v>0</v>
      </c>
      <c r="AH25" s="451">
        <f ca="1">IF(AND(Scharniere[[#This Row],[Scharnierart]]=select!$A$1488,Scharniere[[#This Row],[Gruppenschlüssel]]=select!$B$1488)=TRUE,1,0)</f>
        <v>0</v>
      </c>
      <c r="AI25" s="451">
        <f ca="1">IF(SUM(Scharniere[[#This Row],[konf Scharnier 1]:[konf Scharnier 4]])&gt;0,1,0)</f>
        <v>1</v>
      </c>
      <c r="AJ25" s="451"/>
      <c r="AK25" s="451"/>
      <c r="AL25" s="451"/>
      <c r="AM25" s="451"/>
      <c r="AN25" s="451"/>
      <c r="AO25" s="146">
        <v>1</v>
      </c>
      <c r="AP25" s="146">
        <v>1</v>
      </c>
      <c r="AQ25" s="10" t="str">
        <f ca="1">Sprache!$A$114</f>
        <v>Tiomos Scharnier TT Click-on</v>
      </c>
      <c r="AR25" t="s">
        <v>347</v>
      </c>
      <c r="AS25" t="str">
        <f ca="1">Sprache!$A$103</f>
        <v>Tiomos Click-On Scharniere</v>
      </c>
      <c r="AT25">
        <v>19</v>
      </c>
      <c r="AU25" t="s">
        <v>10</v>
      </c>
      <c r="AV25">
        <v>110</v>
      </c>
      <c r="AW25" s="10">
        <v>0</v>
      </c>
      <c r="AX25">
        <v>0</v>
      </c>
      <c r="AY25">
        <v>1</v>
      </c>
      <c r="AZ25" s="10">
        <v>1</v>
      </c>
      <c r="BA25">
        <v>0</v>
      </c>
      <c r="BB25">
        <v>0</v>
      </c>
      <c r="BC25">
        <v>0</v>
      </c>
      <c r="BD25" s="143" t="s">
        <v>669</v>
      </c>
      <c r="BG25"/>
    </row>
    <row r="26" spans="1:59" ht="14.25" customHeight="1" x14ac:dyDescent="0.25">
      <c r="A26" s="37" t="str">
        <f>LEFT(Scharniere[[#This Row],[ArtikelNR]],4)</f>
        <v>F034</v>
      </c>
      <c r="B26" s="35" t="str">
        <f>MID(Scharniere[[#This Row],[ArtikelNR]],5,3)</f>
        <v>139</v>
      </c>
      <c r="C26" s="37" t="str">
        <f>RIGHT(Scharniere[[#This Row],[ArtikelNR]],3)</f>
        <v>473</v>
      </c>
      <c r="D26" s="35">
        <f>IF(AND(Scharniere[[#This Row],[Gruppenschlüssel]]=select!$A$44,Scharniere[[#This Row],[Scharnierart]]=1)=TRUE,1,0)</f>
        <v>1</v>
      </c>
      <c r="E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" s="35">
        <f>IF(select!$F$57=IF(Scharniere[[#This Row],[mit Dämpfung]]=1,1,IF(Scharniere[[#This Row],[ohne Dämpfung]]=1,2,IF(Scharniere[[#This Row],[ohne Feder]]=1,3,0))),1,0)</f>
        <v>0</v>
      </c>
      <c r="G26" s="35">
        <f>IF(Scharniere[[#This Row],[Bohrbild]]=select!$V$43,1,0)</f>
        <v>0</v>
      </c>
      <c r="H26" s="35">
        <f>IF(IF(Scharniere[[#This Row],[Anschrauben]]=1,1,IF(Scharniere[[#This Row],[Einpressen]]=1,2,IF(Scharniere[[#This Row],[Quick]]=1,3,IF(Scharniere[[#This Row],[Werkzeuglos]]=1,4,0))))=select!$F$48,1,0)</f>
        <v>0</v>
      </c>
      <c r="I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" s="149">
        <f>IF(AND(Scharniere[[#This Row],[Scharnierart]]=2,Scharniere[[#This Row],[Gruppenschlüssel]]=select!$A$318)=TRUE,1,0)</f>
        <v>0</v>
      </c>
      <c r="K26" s="221">
        <f ca="1">IF(select!$O$424&lt;6,1,0)</f>
        <v>1</v>
      </c>
      <c r="L26" s="139">
        <f>IF(select!$A$362=IF(Scharniere[[#This Row],[mit Dämpfung]]=1,1,IF(Scharniere[[#This Row],[ohne Dämpfung]]=1,2,IF(Scharniere[[#This Row],[ohne Feder]]=1,3,0))),1,0)</f>
        <v>0</v>
      </c>
      <c r="M26" s="135">
        <f>IF(Scharniere[[#This Row],[Bohrbild]]=select!$O$334,1,0)</f>
        <v>0</v>
      </c>
      <c r="N26" s="135">
        <f>IF(IF(Scharniere[[#This Row],[Anschrauben]]=1,1,IF(Scharniere[[#This Row],[Einpressen]]=1,2,IF(Scharniere[[#This Row],[Quick]]=1,3,IF(Scharniere[[#This Row],[Werkzeuglos]]=1,4,0))))=select!$E$362,1,0)</f>
        <v>0</v>
      </c>
      <c r="O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" s="298">
        <f>IF(AND(Scharniere[[#This Row],[Scharnierart]]=3,Scharniere[[#This Row],[Gruppenschlüssel]]=select!$A$747)=TRUE,1,0)</f>
        <v>0</v>
      </c>
      <c r="Q26" s="298">
        <f ca="1">IF(select!$O$945&lt;6,1,0)</f>
        <v>1</v>
      </c>
      <c r="R26" s="298">
        <f>IF(select!$A$778=IF(Scharniere[[#This Row],[mit Dämpfung]]=1,1,IF(Scharniere[[#This Row],[ohne Dämpfung]]=1,2,IF(Scharniere[[#This Row],[ohne Feder]]=1,3,0))),1,0)</f>
        <v>1</v>
      </c>
      <c r="S26" s="298">
        <f>IF(Scharniere[[#This Row],[Bohrbild]]=select!$A$755,1,0)</f>
        <v>0</v>
      </c>
      <c r="T26" s="298">
        <f>IF(IF(Scharniere[[#This Row],[Anschrauben]]=1,1,IF(Scharniere[[#This Row],[Einpressen]]=1,2,IF(Scharniere[[#This Row],[Quick]]=1,3,IF(Scharniere[[#This Row],[Werkzeuglos]]=1,4,0))))=select!$A$769,1,0)</f>
        <v>0</v>
      </c>
      <c r="U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" s="359">
        <f>IF(AND(Scharniere[[#This Row],[Scharnierart]]=4,Scharniere[[#This Row],[Gruppenschlüssel]]=select!$A$981)=TRUE,1,0)</f>
        <v>0</v>
      </c>
      <c r="W26" s="359">
        <f ca="1">IF(select!$O$1185&lt;6,1,0)</f>
        <v>1</v>
      </c>
      <c r="X26" s="359">
        <f>IF(select!$A$1012=IF(Scharniere[[#This Row],[mit Dämpfung]]=1,1,IF(Scharniere[[#This Row],[ohne Dämpfung]]=1,2,IF(Scharniere[[#This Row],[ohne Feder]]=1,3,0))),1,0)</f>
        <v>1</v>
      </c>
      <c r="Y26" s="359">
        <f>IF(Scharniere[[#This Row],[Bohrbild]]=select!$A$989,1,0)</f>
        <v>0</v>
      </c>
      <c r="Z26" s="359">
        <f>IF(IF(Scharniere[[#This Row],[Anschrauben]]=1,1,IF(Scharniere[[#This Row],[Einpressen]]=1,2,IF(Scharniere[[#This Row],[Quick]]=1,3,IF(Scharniere[[#This Row],[Werkzeuglos]]=1,4,0))))=select!$A$1003,1,0)</f>
        <v>0</v>
      </c>
      <c r="AA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" s="359">
        <f ca="1">IF(select!$K$980="*",Scharniere[[#This Row],[AG Ges2]],Scharniere[[#This Row],[AG Ges1]])</f>
        <v>0</v>
      </c>
      <c r="AE26" s="451">
        <f ca="1">IF(AND(Scharniere[[#This Row],[Scharnierart]]=select!$A$1485,Scharniere[[#This Row],[Gruppenschlüssel]]=select!$B$1485)=TRUE,1,0)</f>
        <v>1</v>
      </c>
      <c r="AF26" s="451">
        <f ca="1">IF(AND(Scharniere[[#This Row],[Scharnierart]]=select!$A$1486,Scharniere[[#This Row],[Gruppenschlüssel]]=select!$B$1486)=TRUE,1,0)</f>
        <v>0</v>
      </c>
      <c r="AG26" s="451">
        <f ca="1">IF(AND(Scharniere[[#This Row],[Scharnierart]]=select!$A$1487,Scharniere[[#This Row],[Gruppenschlüssel]]=select!$B$1487)=TRUE,1,0)</f>
        <v>0</v>
      </c>
      <c r="AH26" s="451">
        <f ca="1">IF(AND(Scharniere[[#This Row],[Scharnierart]]=select!$A$1488,Scharniere[[#This Row],[Gruppenschlüssel]]=select!$B$1488)=TRUE,1,0)</f>
        <v>0</v>
      </c>
      <c r="AI26" s="451">
        <f ca="1">IF(SUM(Scharniere[[#This Row],[konf Scharnier 1]:[konf Scharnier 4]])&gt;0,1,0)</f>
        <v>1</v>
      </c>
      <c r="AJ26" s="451"/>
      <c r="AK26" s="451"/>
      <c r="AL26" s="451"/>
      <c r="AM26" s="451"/>
      <c r="AN26" s="451"/>
      <c r="AO26" s="146">
        <v>1</v>
      </c>
      <c r="AP26" s="146">
        <v>1</v>
      </c>
      <c r="AQ26" s="10" t="str">
        <f ca="1">Sprache!$A$111</f>
        <v>Tiomos Scharnier T Impresso</v>
      </c>
      <c r="AR26" t="s">
        <v>115</v>
      </c>
      <c r="AS26" t="str">
        <f ca="1">Sprache!$A$116</f>
        <v>Tiomos Impresso Scharniere</v>
      </c>
      <c r="AT26">
        <v>19</v>
      </c>
      <c r="AU26" t="s">
        <v>10</v>
      </c>
      <c r="AV26">
        <v>110</v>
      </c>
      <c r="AW26" s="10">
        <v>0</v>
      </c>
      <c r="AX26">
        <v>1</v>
      </c>
      <c r="AY26">
        <v>0</v>
      </c>
      <c r="AZ26" s="10">
        <v>0</v>
      </c>
      <c r="BA26">
        <v>0</v>
      </c>
      <c r="BB26">
        <v>0</v>
      </c>
      <c r="BC26">
        <v>1</v>
      </c>
      <c r="BD26" s="143" t="s">
        <v>168</v>
      </c>
      <c r="BG26"/>
    </row>
    <row r="27" spans="1:59" ht="14.25" customHeight="1" x14ac:dyDescent="0.25">
      <c r="A27" s="37" t="str">
        <f>LEFT(Scharniere[[#This Row],[ArtikelNR]],4)</f>
        <v>F034</v>
      </c>
      <c r="B27" s="35" t="str">
        <f>MID(Scharniere[[#This Row],[ArtikelNR]],5,3)</f>
        <v>139</v>
      </c>
      <c r="C27" s="37" t="str">
        <f>RIGHT(Scharniere[[#This Row],[ArtikelNR]],3)</f>
        <v>473</v>
      </c>
      <c r="D27" s="35">
        <f>IF(AND(Scharniere[[#This Row],[Gruppenschlüssel]]=select!$A$44,Scharniere[[#This Row],[Scharnierart]]=1)=TRUE,1,0)</f>
        <v>1</v>
      </c>
      <c r="E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" s="35">
        <f>IF(select!$F$57=IF(Scharniere[[#This Row],[mit Dämpfung]]=1,1,IF(Scharniere[[#This Row],[ohne Dämpfung]]=1,2,IF(Scharniere[[#This Row],[ohne Feder]]=1,3,0))),1,0)</f>
        <v>0</v>
      </c>
      <c r="G27" s="35">
        <f>IF(Scharniere[[#This Row],[Bohrbild]]=select!$V$43,1,0)</f>
        <v>0</v>
      </c>
      <c r="H27" s="35">
        <f>IF(IF(Scharniere[[#This Row],[Anschrauben]]=1,1,IF(Scharniere[[#This Row],[Einpressen]]=1,2,IF(Scharniere[[#This Row],[Quick]]=1,3,IF(Scharniere[[#This Row],[Werkzeuglos]]=1,4,0))))=select!$F$48,1,0)</f>
        <v>0</v>
      </c>
      <c r="I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" s="149">
        <f>IF(AND(Scharniere[[#This Row],[Scharnierart]]=2,Scharniere[[#This Row],[Gruppenschlüssel]]=select!$A$318)=TRUE,1,0)</f>
        <v>0</v>
      </c>
      <c r="K27" s="221">
        <f ca="1">IF(select!$O$424&lt;6,1,0)</f>
        <v>1</v>
      </c>
      <c r="L27" s="139">
        <f>IF(select!$A$362=IF(Scharniere[[#This Row],[mit Dämpfung]]=1,1,IF(Scharniere[[#This Row],[ohne Dämpfung]]=1,2,IF(Scharniere[[#This Row],[ohne Feder]]=1,3,0))),1,0)</f>
        <v>0</v>
      </c>
      <c r="M27" s="135">
        <f>IF(Scharniere[[#This Row],[Bohrbild]]=select!$O$334,1,0)</f>
        <v>0</v>
      </c>
      <c r="N27" s="135">
        <f>IF(IF(Scharniere[[#This Row],[Anschrauben]]=1,1,IF(Scharniere[[#This Row],[Einpressen]]=1,2,IF(Scharniere[[#This Row],[Quick]]=1,3,IF(Scharniere[[#This Row],[Werkzeuglos]]=1,4,0))))=select!$E$362,1,0)</f>
        <v>0</v>
      </c>
      <c r="O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" s="298">
        <f>IF(AND(Scharniere[[#This Row],[Scharnierart]]=3,Scharniere[[#This Row],[Gruppenschlüssel]]=select!$A$747)=TRUE,1,0)</f>
        <v>0</v>
      </c>
      <c r="Q27" s="298">
        <f ca="1">IF(select!$O$945&lt;6,1,0)</f>
        <v>1</v>
      </c>
      <c r="R27" s="298">
        <f>IF(select!$A$778=IF(Scharniere[[#This Row],[mit Dämpfung]]=1,1,IF(Scharniere[[#This Row],[ohne Dämpfung]]=1,2,IF(Scharniere[[#This Row],[ohne Feder]]=1,3,0))),1,0)</f>
        <v>1</v>
      </c>
      <c r="S27" s="298">
        <f>IF(Scharniere[[#This Row],[Bohrbild]]=select!$A$755,1,0)</f>
        <v>0</v>
      </c>
      <c r="T27" s="298">
        <f>IF(IF(Scharniere[[#This Row],[Anschrauben]]=1,1,IF(Scharniere[[#This Row],[Einpressen]]=1,2,IF(Scharniere[[#This Row],[Quick]]=1,3,IF(Scharniere[[#This Row],[Werkzeuglos]]=1,4,0))))=select!$A$769,1,0)</f>
        <v>0</v>
      </c>
      <c r="U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" s="359">
        <f>IF(AND(Scharniere[[#This Row],[Scharnierart]]=4,Scharniere[[#This Row],[Gruppenschlüssel]]=select!$A$981)=TRUE,1,0)</f>
        <v>0</v>
      </c>
      <c r="W27" s="359">
        <f ca="1">IF(select!$O$1185&lt;6,1,0)</f>
        <v>1</v>
      </c>
      <c r="X27" s="359">
        <f>IF(select!$A$1012=IF(Scharniere[[#This Row],[mit Dämpfung]]=1,1,IF(Scharniere[[#This Row],[ohne Dämpfung]]=1,2,IF(Scharniere[[#This Row],[ohne Feder]]=1,3,0))),1,0)</f>
        <v>1</v>
      </c>
      <c r="Y27" s="359">
        <f>IF(Scharniere[[#This Row],[Bohrbild]]=select!$A$989,1,0)</f>
        <v>0</v>
      </c>
      <c r="Z27" s="359">
        <f>IF(IF(Scharniere[[#This Row],[Anschrauben]]=1,1,IF(Scharniere[[#This Row],[Einpressen]]=1,2,IF(Scharniere[[#This Row],[Quick]]=1,3,IF(Scharniere[[#This Row],[Werkzeuglos]]=1,4,0))))=select!$A$1003,1,0)</f>
        <v>0</v>
      </c>
      <c r="AA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" s="359">
        <f ca="1">IF(select!$K$980="*",Scharniere[[#This Row],[AG Ges2]],Scharniere[[#This Row],[AG Ges1]])</f>
        <v>0</v>
      </c>
      <c r="AE27" s="451">
        <f ca="1">IF(AND(Scharniere[[#This Row],[Scharnierart]]=select!$A$1485,Scharniere[[#This Row],[Gruppenschlüssel]]=select!$B$1485)=TRUE,1,0)</f>
        <v>1</v>
      </c>
      <c r="AF27" s="451">
        <f ca="1">IF(AND(Scharniere[[#This Row],[Scharnierart]]=select!$A$1486,Scharniere[[#This Row],[Gruppenschlüssel]]=select!$B$1486)=TRUE,1,0)</f>
        <v>0</v>
      </c>
      <c r="AG27" s="451">
        <f ca="1">IF(AND(Scharniere[[#This Row],[Scharnierart]]=select!$A$1487,Scharniere[[#This Row],[Gruppenschlüssel]]=select!$B$1487)=TRUE,1,0)</f>
        <v>0</v>
      </c>
      <c r="AH27" s="451">
        <f ca="1">IF(AND(Scharniere[[#This Row],[Scharnierart]]=select!$A$1488,Scharniere[[#This Row],[Gruppenschlüssel]]=select!$B$1488)=TRUE,1,0)</f>
        <v>0</v>
      </c>
      <c r="AI27" s="451">
        <f ca="1">IF(SUM(Scharniere[[#This Row],[konf Scharnier 1]:[konf Scharnier 4]])&gt;0,1,0)</f>
        <v>1</v>
      </c>
      <c r="AJ27" s="451"/>
      <c r="AK27" s="451"/>
      <c r="AL27" s="451"/>
      <c r="AM27" s="451"/>
      <c r="AN27" s="451"/>
      <c r="AO27" s="146">
        <v>1</v>
      </c>
      <c r="AP27" s="146">
        <v>1</v>
      </c>
      <c r="AQ27" s="10" t="str">
        <f ca="1">Sprache!$A$111</f>
        <v>Tiomos Scharnier T Impresso</v>
      </c>
      <c r="AR27" t="s">
        <v>115</v>
      </c>
      <c r="AS27" t="str">
        <f ca="1">Sprache!$A$116</f>
        <v>Tiomos Impresso Scharniere</v>
      </c>
      <c r="AT27">
        <v>19</v>
      </c>
      <c r="AU27" t="s">
        <v>11</v>
      </c>
      <c r="AV27">
        <v>110</v>
      </c>
      <c r="AW27" s="10">
        <v>0</v>
      </c>
      <c r="AX27">
        <v>1</v>
      </c>
      <c r="AY27">
        <v>0</v>
      </c>
      <c r="AZ27" s="10">
        <v>0</v>
      </c>
      <c r="BA27">
        <v>0</v>
      </c>
      <c r="BB27">
        <v>0</v>
      </c>
      <c r="BC27">
        <v>1</v>
      </c>
      <c r="BD27" s="143" t="s">
        <v>168</v>
      </c>
      <c r="BG27"/>
    </row>
    <row r="28" spans="1:59" ht="14.25" customHeight="1" x14ac:dyDescent="0.25">
      <c r="A28" s="37" t="str">
        <f>LEFT(Scharniere[[#This Row],[ArtikelNR]],4)</f>
        <v>F017</v>
      </c>
      <c r="B28" s="35" t="str">
        <f>MID(Scharniere[[#This Row],[ArtikelNR]],5,3)</f>
        <v>139</v>
      </c>
      <c r="C28" s="37" t="str">
        <f>RIGHT(Scharniere[[#This Row],[ArtikelNR]],3)</f>
        <v>502</v>
      </c>
      <c r="D28" s="35">
        <f>IF(AND(Scharniere[[#This Row],[Gruppenschlüssel]]=select!$A$44,Scharniere[[#This Row],[Scharnierart]]=1)=TRUE,1,0)</f>
        <v>1</v>
      </c>
      <c r="E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" s="35">
        <f>IF(select!$F$57=IF(Scharniere[[#This Row],[mit Dämpfung]]=1,1,IF(Scharniere[[#This Row],[ohne Dämpfung]]=1,2,IF(Scharniere[[#This Row],[ohne Feder]]=1,3,0))),1,0)</f>
        <v>0</v>
      </c>
      <c r="G28" s="35">
        <f>IF(Scharniere[[#This Row],[Bohrbild]]=select!$V$43,1,0)</f>
        <v>0</v>
      </c>
      <c r="H28" s="35">
        <f>IF(IF(Scharniere[[#This Row],[Anschrauben]]=1,1,IF(Scharniere[[#This Row],[Einpressen]]=1,2,IF(Scharniere[[#This Row],[Quick]]=1,3,IF(Scharniere[[#This Row],[Werkzeuglos]]=1,4,0))))=select!$F$48,1,0)</f>
        <v>0</v>
      </c>
      <c r="I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" s="149">
        <f>IF(AND(Scharniere[[#This Row],[Scharnierart]]=2,Scharniere[[#This Row],[Gruppenschlüssel]]=select!$A$318)=TRUE,1,0)</f>
        <v>0</v>
      </c>
      <c r="K28" s="221">
        <f ca="1">IF(select!$O$424&lt;6,1,0)</f>
        <v>1</v>
      </c>
      <c r="L28" s="139">
        <f>IF(select!$A$362=IF(Scharniere[[#This Row],[mit Dämpfung]]=1,1,IF(Scharniere[[#This Row],[ohne Dämpfung]]=1,2,IF(Scharniere[[#This Row],[ohne Feder]]=1,3,0))),1,0)</f>
        <v>1</v>
      </c>
      <c r="M28" s="135">
        <f>IF(Scharniere[[#This Row],[Bohrbild]]=select!$O$334,1,0)</f>
        <v>0</v>
      </c>
      <c r="N28" s="135">
        <f>IF(IF(Scharniere[[#This Row],[Anschrauben]]=1,1,IF(Scharniere[[#This Row],[Einpressen]]=1,2,IF(Scharniere[[#This Row],[Quick]]=1,3,IF(Scharniere[[#This Row],[Werkzeuglos]]=1,4,0))))=select!$E$362,1,0)</f>
        <v>0</v>
      </c>
      <c r="O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" s="298">
        <f>IF(AND(Scharniere[[#This Row],[Scharnierart]]=3,Scharniere[[#This Row],[Gruppenschlüssel]]=select!$A$747)=TRUE,1,0)</f>
        <v>0</v>
      </c>
      <c r="Q28" s="298">
        <f ca="1">IF(select!$O$945&lt;6,1,0)</f>
        <v>1</v>
      </c>
      <c r="R28" s="298">
        <f>IF(select!$A$778=IF(Scharniere[[#This Row],[mit Dämpfung]]=1,1,IF(Scharniere[[#This Row],[ohne Dämpfung]]=1,2,IF(Scharniere[[#This Row],[ohne Feder]]=1,3,0))),1,0)</f>
        <v>0</v>
      </c>
      <c r="S28" s="298">
        <f>IF(Scharniere[[#This Row],[Bohrbild]]=select!$A$755,1,0)</f>
        <v>0</v>
      </c>
      <c r="T28" s="298">
        <f>IF(IF(Scharniere[[#This Row],[Anschrauben]]=1,1,IF(Scharniere[[#This Row],[Einpressen]]=1,2,IF(Scharniere[[#This Row],[Quick]]=1,3,IF(Scharniere[[#This Row],[Werkzeuglos]]=1,4,0))))=select!$A$769,1,0)</f>
        <v>0</v>
      </c>
      <c r="U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" s="359">
        <f>IF(AND(Scharniere[[#This Row],[Scharnierart]]=4,Scharniere[[#This Row],[Gruppenschlüssel]]=select!$A$981)=TRUE,1,0)</f>
        <v>0</v>
      </c>
      <c r="W28" s="359">
        <f ca="1">IF(select!$O$1185&lt;6,1,0)</f>
        <v>1</v>
      </c>
      <c r="X28" s="359">
        <f>IF(select!$A$1012=IF(Scharniere[[#This Row],[mit Dämpfung]]=1,1,IF(Scharniere[[#This Row],[ohne Dämpfung]]=1,2,IF(Scharniere[[#This Row],[ohne Feder]]=1,3,0))),1,0)</f>
        <v>0</v>
      </c>
      <c r="Y28" s="359">
        <f>IF(Scharniere[[#This Row],[Bohrbild]]=select!$A$989,1,0)</f>
        <v>0</v>
      </c>
      <c r="Z28" s="359">
        <f>IF(IF(Scharniere[[#This Row],[Anschrauben]]=1,1,IF(Scharniere[[#This Row],[Einpressen]]=1,2,IF(Scharniere[[#This Row],[Quick]]=1,3,IF(Scharniere[[#This Row],[Werkzeuglos]]=1,4,0))))=select!$A$1003,1,0)</f>
        <v>0</v>
      </c>
      <c r="AA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" s="359">
        <f ca="1">IF(select!$K$980="*",Scharniere[[#This Row],[AG Ges2]],Scharniere[[#This Row],[AG Ges1]])</f>
        <v>0</v>
      </c>
      <c r="AE28" s="451">
        <f ca="1">IF(AND(Scharniere[[#This Row],[Scharnierart]]=select!$A$1485,Scharniere[[#This Row],[Gruppenschlüssel]]=select!$B$1485)=TRUE,1,0)</f>
        <v>1</v>
      </c>
      <c r="AF28" s="451">
        <f ca="1">IF(AND(Scharniere[[#This Row],[Scharnierart]]=select!$A$1486,Scharniere[[#This Row],[Gruppenschlüssel]]=select!$B$1486)=TRUE,1,0)</f>
        <v>0</v>
      </c>
      <c r="AG28" s="451">
        <f ca="1">IF(AND(Scharniere[[#This Row],[Scharnierart]]=select!$A$1487,Scharniere[[#This Row],[Gruppenschlüssel]]=select!$B$1487)=TRUE,1,0)</f>
        <v>0</v>
      </c>
      <c r="AH28" s="451">
        <f ca="1">IF(AND(Scharniere[[#This Row],[Scharnierart]]=select!$A$1488,Scharniere[[#This Row],[Gruppenschlüssel]]=select!$B$1488)=TRUE,1,0)</f>
        <v>0</v>
      </c>
      <c r="AI28" s="451">
        <f ca="1">IF(SUM(Scharniere[[#This Row],[konf Scharnier 1]:[konf Scharnier 4]])&gt;0,1,0)</f>
        <v>1</v>
      </c>
      <c r="AJ28" s="451"/>
      <c r="AK28" s="451"/>
      <c r="AL28" s="451"/>
      <c r="AM28" s="451"/>
      <c r="AN28" s="451"/>
      <c r="AO28" s="146">
        <v>1</v>
      </c>
      <c r="AP28" s="146">
        <v>1</v>
      </c>
      <c r="AQ28" s="10" t="str">
        <f ca="1">Sprache!$A$113</f>
        <v>Tiomos Scharnier TS Impresso</v>
      </c>
      <c r="AR28" t="s">
        <v>115</v>
      </c>
      <c r="AS28" t="str">
        <f ca="1">Sprache!$A$116</f>
        <v>Tiomos Impresso Scharniere</v>
      </c>
      <c r="AT28">
        <v>19</v>
      </c>
      <c r="AU28" t="s">
        <v>10</v>
      </c>
      <c r="AV28">
        <v>110</v>
      </c>
      <c r="AW28" s="10">
        <v>1</v>
      </c>
      <c r="AX28">
        <v>0</v>
      </c>
      <c r="AY28">
        <v>0</v>
      </c>
      <c r="AZ28" s="10">
        <v>0</v>
      </c>
      <c r="BA28">
        <v>0</v>
      </c>
      <c r="BB28">
        <v>0</v>
      </c>
      <c r="BC28">
        <v>1</v>
      </c>
      <c r="BD28" s="143" t="s">
        <v>114</v>
      </c>
      <c r="BG28"/>
    </row>
    <row r="29" spans="1:59" ht="14.25" customHeight="1" x14ac:dyDescent="0.25">
      <c r="A29" s="37" t="str">
        <f>LEFT(Scharniere[[#This Row],[ArtikelNR]],4)</f>
        <v>F017</v>
      </c>
      <c r="B29" s="35" t="str">
        <f>MID(Scharniere[[#This Row],[ArtikelNR]],5,3)</f>
        <v>139</v>
      </c>
      <c r="C29" s="37" t="str">
        <f>RIGHT(Scharniere[[#This Row],[ArtikelNR]],3)</f>
        <v>502</v>
      </c>
      <c r="D29" s="35">
        <f>IF(AND(Scharniere[[#This Row],[Gruppenschlüssel]]=select!$A$44,Scharniere[[#This Row],[Scharnierart]]=1)=TRUE,1,0)</f>
        <v>1</v>
      </c>
      <c r="E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" s="35">
        <f>IF(select!$F$57=IF(Scharniere[[#This Row],[mit Dämpfung]]=1,1,IF(Scharniere[[#This Row],[ohne Dämpfung]]=1,2,IF(Scharniere[[#This Row],[ohne Feder]]=1,3,0))),1,0)</f>
        <v>0</v>
      </c>
      <c r="G29" s="35">
        <f>IF(Scharniere[[#This Row],[Bohrbild]]=select!$V$43,1,0)</f>
        <v>0</v>
      </c>
      <c r="H29" s="35">
        <f>IF(IF(Scharniere[[#This Row],[Anschrauben]]=1,1,IF(Scharniere[[#This Row],[Einpressen]]=1,2,IF(Scharniere[[#This Row],[Quick]]=1,3,IF(Scharniere[[#This Row],[Werkzeuglos]]=1,4,0))))=select!$F$48,1,0)</f>
        <v>0</v>
      </c>
      <c r="I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" s="149">
        <f>IF(AND(Scharniere[[#This Row],[Scharnierart]]=2,Scharniere[[#This Row],[Gruppenschlüssel]]=select!$A$318)=TRUE,1,0)</f>
        <v>0</v>
      </c>
      <c r="K29" s="221">
        <f ca="1">IF(select!$O$424&lt;6,1,0)</f>
        <v>1</v>
      </c>
      <c r="L29" s="139">
        <f>IF(select!$A$362=IF(Scharniere[[#This Row],[mit Dämpfung]]=1,1,IF(Scharniere[[#This Row],[ohne Dämpfung]]=1,2,IF(Scharniere[[#This Row],[ohne Feder]]=1,3,0))),1,0)</f>
        <v>1</v>
      </c>
      <c r="M29" s="135">
        <f>IF(Scharniere[[#This Row],[Bohrbild]]=select!$O$334,1,0)</f>
        <v>0</v>
      </c>
      <c r="N29" s="135">
        <f>IF(IF(Scharniere[[#This Row],[Anschrauben]]=1,1,IF(Scharniere[[#This Row],[Einpressen]]=1,2,IF(Scharniere[[#This Row],[Quick]]=1,3,IF(Scharniere[[#This Row],[Werkzeuglos]]=1,4,0))))=select!$E$362,1,0)</f>
        <v>0</v>
      </c>
      <c r="O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" s="298">
        <f>IF(AND(Scharniere[[#This Row],[Scharnierart]]=3,Scharniere[[#This Row],[Gruppenschlüssel]]=select!$A$747)=TRUE,1,0)</f>
        <v>0</v>
      </c>
      <c r="Q29" s="298">
        <f ca="1">IF(select!$O$945&lt;6,1,0)</f>
        <v>1</v>
      </c>
      <c r="R29" s="298">
        <f>IF(select!$A$778=IF(Scharniere[[#This Row],[mit Dämpfung]]=1,1,IF(Scharniere[[#This Row],[ohne Dämpfung]]=1,2,IF(Scharniere[[#This Row],[ohne Feder]]=1,3,0))),1,0)</f>
        <v>0</v>
      </c>
      <c r="S29" s="298">
        <f>IF(Scharniere[[#This Row],[Bohrbild]]=select!$A$755,1,0)</f>
        <v>0</v>
      </c>
      <c r="T29" s="298">
        <f>IF(IF(Scharniere[[#This Row],[Anschrauben]]=1,1,IF(Scharniere[[#This Row],[Einpressen]]=1,2,IF(Scharniere[[#This Row],[Quick]]=1,3,IF(Scharniere[[#This Row],[Werkzeuglos]]=1,4,0))))=select!$A$769,1,0)</f>
        <v>0</v>
      </c>
      <c r="U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" s="359">
        <f>IF(AND(Scharniere[[#This Row],[Scharnierart]]=4,Scharniere[[#This Row],[Gruppenschlüssel]]=select!$A$981)=TRUE,1,0)</f>
        <v>0</v>
      </c>
      <c r="W29" s="359">
        <f ca="1">IF(select!$O$1185&lt;6,1,0)</f>
        <v>1</v>
      </c>
      <c r="X29" s="359">
        <f>IF(select!$A$1012=IF(Scharniere[[#This Row],[mit Dämpfung]]=1,1,IF(Scharniere[[#This Row],[ohne Dämpfung]]=1,2,IF(Scharniere[[#This Row],[ohne Feder]]=1,3,0))),1,0)</f>
        <v>0</v>
      </c>
      <c r="Y29" s="359">
        <f>IF(Scharniere[[#This Row],[Bohrbild]]=select!$A$989,1,0)</f>
        <v>0</v>
      </c>
      <c r="Z29" s="359">
        <f>IF(IF(Scharniere[[#This Row],[Anschrauben]]=1,1,IF(Scharniere[[#This Row],[Einpressen]]=1,2,IF(Scharniere[[#This Row],[Quick]]=1,3,IF(Scharniere[[#This Row],[Werkzeuglos]]=1,4,0))))=select!$A$1003,1,0)</f>
        <v>0</v>
      </c>
      <c r="AA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" s="359">
        <f ca="1">IF(select!$K$980="*",Scharniere[[#This Row],[AG Ges2]],Scharniere[[#This Row],[AG Ges1]])</f>
        <v>0</v>
      </c>
      <c r="AE29" s="451">
        <f ca="1">IF(AND(Scharniere[[#This Row],[Scharnierart]]=select!$A$1485,Scharniere[[#This Row],[Gruppenschlüssel]]=select!$B$1485)=TRUE,1,0)</f>
        <v>1</v>
      </c>
      <c r="AF29" s="451">
        <f ca="1">IF(AND(Scharniere[[#This Row],[Scharnierart]]=select!$A$1486,Scharniere[[#This Row],[Gruppenschlüssel]]=select!$B$1486)=TRUE,1,0)</f>
        <v>0</v>
      </c>
      <c r="AG29" s="451">
        <f ca="1">IF(AND(Scharniere[[#This Row],[Scharnierart]]=select!$A$1487,Scharniere[[#This Row],[Gruppenschlüssel]]=select!$B$1487)=TRUE,1,0)</f>
        <v>0</v>
      </c>
      <c r="AH29" s="451">
        <f ca="1">IF(AND(Scharniere[[#This Row],[Scharnierart]]=select!$A$1488,Scharniere[[#This Row],[Gruppenschlüssel]]=select!$B$1488)=TRUE,1,0)</f>
        <v>0</v>
      </c>
      <c r="AI29" s="451">
        <f ca="1">IF(SUM(Scharniere[[#This Row],[konf Scharnier 1]:[konf Scharnier 4]])&gt;0,1,0)</f>
        <v>1</v>
      </c>
      <c r="AJ29" s="451"/>
      <c r="AK29" s="451"/>
      <c r="AL29" s="451"/>
      <c r="AM29" s="451"/>
      <c r="AN29" s="451"/>
      <c r="AO29" s="146">
        <v>1</v>
      </c>
      <c r="AP29" s="146">
        <v>1</v>
      </c>
      <c r="AQ29" s="10" t="str">
        <f ca="1">Sprache!$A$113</f>
        <v>Tiomos Scharnier TS Impresso</v>
      </c>
      <c r="AR29" t="s">
        <v>115</v>
      </c>
      <c r="AS29" t="str">
        <f ca="1">Sprache!$A$116</f>
        <v>Tiomos Impresso Scharniere</v>
      </c>
      <c r="AT29">
        <v>19</v>
      </c>
      <c r="AU29" t="s">
        <v>11</v>
      </c>
      <c r="AV29">
        <v>110</v>
      </c>
      <c r="AW29" s="10">
        <v>1</v>
      </c>
      <c r="AX29">
        <v>0</v>
      </c>
      <c r="AY29">
        <v>0</v>
      </c>
      <c r="AZ29" s="10">
        <v>0</v>
      </c>
      <c r="BA29">
        <v>0</v>
      </c>
      <c r="BB29">
        <v>0</v>
      </c>
      <c r="BC29">
        <v>1</v>
      </c>
      <c r="BD29" s="143" t="s">
        <v>114</v>
      </c>
      <c r="BG29"/>
    </row>
    <row r="30" spans="1:59" ht="14.25" customHeight="1" x14ac:dyDescent="0.25">
      <c r="A30" s="37" t="str">
        <f>LEFT(Scharniere[[#This Row],[ArtikelNR]],4)</f>
        <v>F035</v>
      </c>
      <c r="B30" s="35" t="str">
        <f>MID(Scharniere[[#This Row],[ArtikelNR]],5,3)</f>
        <v>139</v>
      </c>
      <c r="C30" s="37" t="str">
        <f>RIGHT(Scharniere[[#This Row],[ArtikelNR]],3)</f>
        <v>530</v>
      </c>
      <c r="D30" s="35">
        <f>IF(AND(Scharniere[[#This Row],[Gruppenschlüssel]]=select!$A$44,Scharniere[[#This Row],[Scharnierart]]=1)=TRUE,1,0)</f>
        <v>1</v>
      </c>
      <c r="E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0" s="35">
        <f>IF(select!$F$57=IF(Scharniere[[#This Row],[mit Dämpfung]]=1,1,IF(Scharniere[[#This Row],[ohne Dämpfung]]=1,2,IF(Scharniere[[#This Row],[ohne Feder]]=1,3,0))),1,0)</f>
        <v>1</v>
      </c>
      <c r="G30" s="35">
        <f>IF(Scharniere[[#This Row],[Bohrbild]]=select!$V$43,1,0)</f>
        <v>0</v>
      </c>
      <c r="H30" s="35">
        <f>IF(IF(Scharniere[[#This Row],[Anschrauben]]=1,1,IF(Scharniere[[#This Row],[Einpressen]]=1,2,IF(Scharniere[[#This Row],[Quick]]=1,3,IF(Scharniere[[#This Row],[Werkzeuglos]]=1,4,0))))=select!$F$48,1,0)</f>
        <v>0</v>
      </c>
      <c r="I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" s="149">
        <f>IF(AND(Scharniere[[#This Row],[Scharnierart]]=2,Scharniere[[#This Row],[Gruppenschlüssel]]=select!$A$318)=TRUE,1,0)</f>
        <v>0</v>
      </c>
      <c r="K30" s="221">
        <f ca="1">IF(select!$O$424&lt;6,1,0)</f>
        <v>1</v>
      </c>
      <c r="L30" s="139">
        <f>IF(select!$A$362=IF(Scharniere[[#This Row],[mit Dämpfung]]=1,1,IF(Scharniere[[#This Row],[ohne Dämpfung]]=1,2,IF(Scharniere[[#This Row],[ohne Feder]]=1,3,0))),1,0)</f>
        <v>0</v>
      </c>
      <c r="M30" s="135">
        <f>IF(Scharniere[[#This Row],[Bohrbild]]=select!$O$334,1,0)</f>
        <v>0</v>
      </c>
      <c r="N30" s="135">
        <f>IF(IF(Scharniere[[#This Row],[Anschrauben]]=1,1,IF(Scharniere[[#This Row],[Einpressen]]=1,2,IF(Scharniere[[#This Row],[Quick]]=1,3,IF(Scharniere[[#This Row],[Werkzeuglos]]=1,4,0))))=select!$E$362,1,0)</f>
        <v>0</v>
      </c>
      <c r="O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" s="298">
        <f>IF(AND(Scharniere[[#This Row],[Scharnierart]]=3,Scharniere[[#This Row],[Gruppenschlüssel]]=select!$A$747)=TRUE,1,0)</f>
        <v>0</v>
      </c>
      <c r="Q30" s="298">
        <f ca="1">IF(select!$O$945&lt;6,1,0)</f>
        <v>1</v>
      </c>
      <c r="R30" s="298">
        <f>IF(select!$A$778=IF(Scharniere[[#This Row],[mit Dämpfung]]=1,1,IF(Scharniere[[#This Row],[ohne Dämpfung]]=1,2,IF(Scharniere[[#This Row],[ohne Feder]]=1,3,0))),1,0)</f>
        <v>0</v>
      </c>
      <c r="S30" s="298">
        <f>IF(Scharniere[[#This Row],[Bohrbild]]=select!$A$755,1,0)</f>
        <v>0</v>
      </c>
      <c r="T30" s="298">
        <f>IF(IF(Scharniere[[#This Row],[Anschrauben]]=1,1,IF(Scharniere[[#This Row],[Einpressen]]=1,2,IF(Scharniere[[#This Row],[Quick]]=1,3,IF(Scharniere[[#This Row],[Werkzeuglos]]=1,4,0))))=select!$A$769,1,0)</f>
        <v>0</v>
      </c>
      <c r="U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" s="359">
        <f>IF(AND(Scharniere[[#This Row],[Scharnierart]]=4,Scharniere[[#This Row],[Gruppenschlüssel]]=select!$A$981)=TRUE,1,0)</f>
        <v>0</v>
      </c>
      <c r="W30" s="359">
        <f ca="1">IF(select!$O$1185&lt;6,1,0)</f>
        <v>1</v>
      </c>
      <c r="X30" s="359">
        <f>IF(select!$A$1012=IF(Scharniere[[#This Row],[mit Dämpfung]]=1,1,IF(Scharniere[[#This Row],[ohne Dämpfung]]=1,2,IF(Scharniere[[#This Row],[ohne Feder]]=1,3,0))),1,0)</f>
        <v>0</v>
      </c>
      <c r="Y30" s="359">
        <f>IF(Scharniere[[#This Row],[Bohrbild]]=select!$A$989,1,0)</f>
        <v>0</v>
      </c>
      <c r="Z30" s="359">
        <f>IF(IF(Scharniere[[#This Row],[Anschrauben]]=1,1,IF(Scharniere[[#This Row],[Einpressen]]=1,2,IF(Scharniere[[#This Row],[Quick]]=1,3,IF(Scharniere[[#This Row],[Werkzeuglos]]=1,4,0))))=select!$A$1003,1,0)</f>
        <v>0</v>
      </c>
      <c r="AA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" s="359">
        <f ca="1">IF(select!$K$980="*",Scharniere[[#This Row],[AG Ges2]],Scharniere[[#This Row],[AG Ges1]])</f>
        <v>0</v>
      </c>
      <c r="AE30" s="451">
        <f ca="1">IF(AND(Scharniere[[#This Row],[Scharnierart]]=select!$A$1485,Scharniere[[#This Row],[Gruppenschlüssel]]=select!$B$1485)=TRUE,1,0)</f>
        <v>1</v>
      </c>
      <c r="AF30" s="451">
        <f ca="1">IF(AND(Scharniere[[#This Row],[Scharnierart]]=select!$A$1486,Scharniere[[#This Row],[Gruppenschlüssel]]=select!$B$1486)=TRUE,1,0)</f>
        <v>0</v>
      </c>
      <c r="AG30" s="451">
        <f ca="1">IF(AND(Scharniere[[#This Row],[Scharnierart]]=select!$A$1487,Scharniere[[#This Row],[Gruppenschlüssel]]=select!$B$1487)=TRUE,1,0)</f>
        <v>0</v>
      </c>
      <c r="AH30" s="451">
        <f ca="1">IF(AND(Scharniere[[#This Row],[Scharnierart]]=select!$A$1488,Scharniere[[#This Row],[Gruppenschlüssel]]=select!$B$1488)=TRUE,1,0)</f>
        <v>0</v>
      </c>
      <c r="AI30" s="451">
        <f ca="1">IF(SUM(Scharniere[[#This Row],[konf Scharnier 1]:[konf Scharnier 4]])&gt;0,1,0)</f>
        <v>1</v>
      </c>
      <c r="AJ30" s="451"/>
      <c r="AK30" s="451"/>
      <c r="AL30" s="451"/>
      <c r="AM30" s="451"/>
      <c r="AN30" s="451"/>
      <c r="AO30" s="146">
        <v>1</v>
      </c>
      <c r="AP30" s="146">
        <v>1</v>
      </c>
      <c r="AQ30" s="10" t="str">
        <f ca="1">Sprache!$A$115</f>
        <v>Tiomos Scharnier TT Impresso</v>
      </c>
      <c r="AR30" t="s">
        <v>115</v>
      </c>
      <c r="AS30" t="str">
        <f ca="1">Sprache!$A$116</f>
        <v>Tiomos Impresso Scharniere</v>
      </c>
      <c r="AT30">
        <v>19</v>
      </c>
      <c r="AU30" t="s">
        <v>10</v>
      </c>
      <c r="AV30">
        <v>110</v>
      </c>
      <c r="AW30" s="10">
        <v>0</v>
      </c>
      <c r="AX30">
        <v>0</v>
      </c>
      <c r="AY30">
        <v>1</v>
      </c>
      <c r="AZ30" s="10">
        <v>0</v>
      </c>
      <c r="BA30">
        <v>0</v>
      </c>
      <c r="BB30">
        <v>0</v>
      </c>
      <c r="BC30">
        <v>1</v>
      </c>
      <c r="BD30" s="143" t="s">
        <v>212</v>
      </c>
      <c r="BG30"/>
    </row>
    <row r="31" spans="1:59" ht="14.25" customHeight="1" x14ac:dyDescent="0.25">
      <c r="A31" s="37" t="str">
        <f>LEFT(Scharniere[[#This Row],[ArtikelNR]],4)</f>
        <v>F035</v>
      </c>
      <c r="B31" s="35" t="str">
        <f>MID(Scharniere[[#This Row],[ArtikelNR]],5,3)</f>
        <v>139</v>
      </c>
      <c r="C31" s="37" t="str">
        <f>RIGHT(Scharniere[[#This Row],[ArtikelNR]],3)</f>
        <v>530</v>
      </c>
      <c r="D31" s="35">
        <f>IF(AND(Scharniere[[#This Row],[Gruppenschlüssel]]=select!$A$44,Scharniere[[#This Row],[Scharnierart]]=1)=TRUE,1,0)</f>
        <v>1</v>
      </c>
      <c r="E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1" s="35">
        <f>IF(select!$F$57=IF(Scharniere[[#This Row],[mit Dämpfung]]=1,1,IF(Scharniere[[#This Row],[ohne Dämpfung]]=1,2,IF(Scharniere[[#This Row],[ohne Feder]]=1,3,0))),1,0)</f>
        <v>1</v>
      </c>
      <c r="G31" s="35">
        <f>IF(Scharniere[[#This Row],[Bohrbild]]=select!$V$43,1,0)</f>
        <v>0</v>
      </c>
      <c r="H31" s="35">
        <f>IF(IF(Scharniere[[#This Row],[Anschrauben]]=1,1,IF(Scharniere[[#This Row],[Einpressen]]=1,2,IF(Scharniere[[#This Row],[Quick]]=1,3,IF(Scharniere[[#This Row],[Werkzeuglos]]=1,4,0))))=select!$F$48,1,0)</f>
        <v>0</v>
      </c>
      <c r="I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" s="149">
        <f>IF(AND(Scharniere[[#This Row],[Scharnierart]]=2,Scharniere[[#This Row],[Gruppenschlüssel]]=select!$A$318)=TRUE,1,0)</f>
        <v>0</v>
      </c>
      <c r="K31" s="221">
        <f ca="1">IF(select!$O$424&lt;6,1,0)</f>
        <v>1</v>
      </c>
      <c r="L31" s="139">
        <f>IF(select!$A$362=IF(Scharniere[[#This Row],[mit Dämpfung]]=1,1,IF(Scharniere[[#This Row],[ohne Dämpfung]]=1,2,IF(Scharniere[[#This Row],[ohne Feder]]=1,3,0))),1,0)</f>
        <v>0</v>
      </c>
      <c r="M31" s="135">
        <f>IF(Scharniere[[#This Row],[Bohrbild]]=select!$O$334,1,0)</f>
        <v>0</v>
      </c>
      <c r="N31" s="135">
        <f>IF(IF(Scharniere[[#This Row],[Anschrauben]]=1,1,IF(Scharniere[[#This Row],[Einpressen]]=1,2,IF(Scharniere[[#This Row],[Quick]]=1,3,IF(Scharniere[[#This Row],[Werkzeuglos]]=1,4,0))))=select!$E$362,1,0)</f>
        <v>0</v>
      </c>
      <c r="O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" s="298">
        <f>IF(AND(Scharniere[[#This Row],[Scharnierart]]=3,Scharniere[[#This Row],[Gruppenschlüssel]]=select!$A$747)=TRUE,1,0)</f>
        <v>0</v>
      </c>
      <c r="Q31" s="298">
        <f ca="1">IF(select!$O$945&lt;6,1,0)</f>
        <v>1</v>
      </c>
      <c r="R31" s="298">
        <f>IF(select!$A$778=IF(Scharniere[[#This Row],[mit Dämpfung]]=1,1,IF(Scharniere[[#This Row],[ohne Dämpfung]]=1,2,IF(Scharniere[[#This Row],[ohne Feder]]=1,3,0))),1,0)</f>
        <v>0</v>
      </c>
      <c r="S31" s="298">
        <f>IF(Scharniere[[#This Row],[Bohrbild]]=select!$A$755,1,0)</f>
        <v>0</v>
      </c>
      <c r="T31" s="298">
        <f>IF(IF(Scharniere[[#This Row],[Anschrauben]]=1,1,IF(Scharniere[[#This Row],[Einpressen]]=1,2,IF(Scharniere[[#This Row],[Quick]]=1,3,IF(Scharniere[[#This Row],[Werkzeuglos]]=1,4,0))))=select!$A$769,1,0)</f>
        <v>0</v>
      </c>
      <c r="U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" s="359">
        <f>IF(AND(Scharniere[[#This Row],[Scharnierart]]=4,Scharniere[[#This Row],[Gruppenschlüssel]]=select!$A$981)=TRUE,1,0)</f>
        <v>0</v>
      </c>
      <c r="W31" s="359">
        <f ca="1">IF(select!$O$1185&lt;6,1,0)</f>
        <v>1</v>
      </c>
      <c r="X31" s="359">
        <f>IF(select!$A$1012=IF(Scharniere[[#This Row],[mit Dämpfung]]=1,1,IF(Scharniere[[#This Row],[ohne Dämpfung]]=1,2,IF(Scharniere[[#This Row],[ohne Feder]]=1,3,0))),1,0)</f>
        <v>0</v>
      </c>
      <c r="Y31" s="359">
        <f>IF(Scharniere[[#This Row],[Bohrbild]]=select!$A$989,1,0)</f>
        <v>0</v>
      </c>
      <c r="Z31" s="359">
        <f>IF(IF(Scharniere[[#This Row],[Anschrauben]]=1,1,IF(Scharniere[[#This Row],[Einpressen]]=1,2,IF(Scharniere[[#This Row],[Quick]]=1,3,IF(Scharniere[[#This Row],[Werkzeuglos]]=1,4,0))))=select!$A$1003,1,0)</f>
        <v>0</v>
      </c>
      <c r="AA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" s="359">
        <f ca="1">IF(select!$K$980="*",Scharniere[[#This Row],[AG Ges2]],Scharniere[[#This Row],[AG Ges1]])</f>
        <v>0</v>
      </c>
      <c r="AE31" s="451">
        <f ca="1">IF(AND(Scharniere[[#This Row],[Scharnierart]]=select!$A$1485,Scharniere[[#This Row],[Gruppenschlüssel]]=select!$B$1485)=TRUE,1,0)</f>
        <v>1</v>
      </c>
      <c r="AF31" s="451">
        <f ca="1">IF(AND(Scharniere[[#This Row],[Scharnierart]]=select!$A$1486,Scharniere[[#This Row],[Gruppenschlüssel]]=select!$B$1486)=TRUE,1,0)</f>
        <v>0</v>
      </c>
      <c r="AG31" s="451">
        <f ca="1">IF(AND(Scharniere[[#This Row],[Scharnierart]]=select!$A$1487,Scharniere[[#This Row],[Gruppenschlüssel]]=select!$B$1487)=TRUE,1,0)</f>
        <v>0</v>
      </c>
      <c r="AH31" s="451">
        <f ca="1">IF(AND(Scharniere[[#This Row],[Scharnierart]]=select!$A$1488,Scharniere[[#This Row],[Gruppenschlüssel]]=select!$B$1488)=TRUE,1,0)</f>
        <v>0</v>
      </c>
      <c r="AI31" s="451">
        <f ca="1">IF(SUM(Scharniere[[#This Row],[konf Scharnier 1]:[konf Scharnier 4]])&gt;0,1,0)</f>
        <v>1</v>
      </c>
      <c r="AJ31" s="451"/>
      <c r="AK31" s="451"/>
      <c r="AL31" s="451"/>
      <c r="AM31" s="451"/>
      <c r="AN31" s="451"/>
      <c r="AO31" s="146">
        <v>1</v>
      </c>
      <c r="AP31" s="146">
        <v>1</v>
      </c>
      <c r="AQ31" s="10" t="str">
        <f ca="1">Sprache!$A$115</f>
        <v>Tiomos Scharnier TT Impresso</v>
      </c>
      <c r="AR31" t="s">
        <v>115</v>
      </c>
      <c r="AS31" t="str">
        <f ca="1">Sprache!$A$116</f>
        <v>Tiomos Impresso Scharniere</v>
      </c>
      <c r="AT31">
        <v>19</v>
      </c>
      <c r="AU31" t="s">
        <v>11</v>
      </c>
      <c r="AV31">
        <v>110</v>
      </c>
      <c r="AW31" s="10">
        <v>0</v>
      </c>
      <c r="AX31">
        <v>0</v>
      </c>
      <c r="AY31">
        <v>1</v>
      </c>
      <c r="AZ31" s="10">
        <v>0</v>
      </c>
      <c r="BA31">
        <v>0</v>
      </c>
      <c r="BB31">
        <v>0</v>
      </c>
      <c r="BC31">
        <v>1</v>
      </c>
      <c r="BD31" s="143" t="s">
        <v>212</v>
      </c>
      <c r="BG31"/>
    </row>
    <row r="32" spans="1:59" ht="14.25" customHeight="1" x14ac:dyDescent="0.25">
      <c r="A32" s="37" t="str">
        <f>LEFT(Scharniere[[#This Row],[ArtikelNR]],4)</f>
        <v>F045</v>
      </c>
      <c r="B32" s="35" t="str">
        <f>MID(Scharniere[[#This Row],[ArtikelNR]],5,3)</f>
        <v>138</v>
      </c>
      <c r="C32" s="37" t="str">
        <f>RIGHT(Scharniere[[#This Row],[ArtikelNR]],3)</f>
        <v>007</v>
      </c>
      <c r="D32" s="35">
        <f>IF(AND(Scharniere[[#This Row],[Gruppenschlüssel]]=select!$A$44,Scharniere[[#This Row],[Scharnierart]]=1)=TRUE,1,0)</f>
        <v>1</v>
      </c>
      <c r="E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2" s="35">
        <f>IF(select!$F$57=IF(Scharniere[[#This Row],[mit Dämpfung]]=1,1,IF(Scharniere[[#This Row],[ohne Dämpfung]]=1,2,IF(Scharniere[[#This Row],[ohne Feder]]=1,3,0))),1,0)</f>
        <v>0</v>
      </c>
      <c r="G32" s="35">
        <f>IF(Scharniere[[#This Row],[Bohrbild]]=select!$V$43,1,0)</f>
        <v>1</v>
      </c>
      <c r="H32" s="35">
        <f>IF(IF(Scharniere[[#This Row],[Anschrauben]]=1,1,IF(Scharniere[[#This Row],[Einpressen]]=1,2,IF(Scharniere[[#This Row],[Quick]]=1,3,IF(Scharniere[[#This Row],[Werkzeuglos]]=1,4,0))))=select!$F$48,1,0)</f>
        <v>1</v>
      </c>
      <c r="I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" s="149">
        <f>IF(AND(Scharniere[[#This Row],[Scharnierart]]=2,Scharniere[[#This Row],[Gruppenschlüssel]]=select!$A$318)=TRUE,1,0)</f>
        <v>0</v>
      </c>
      <c r="K32" s="221">
        <f ca="1">IF(select!$O$424&lt;6,1,0)</f>
        <v>1</v>
      </c>
      <c r="L32" s="139">
        <f>IF(select!$A$362=IF(Scharniere[[#This Row],[mit Dämpfung]]=1,1,IF(Scharniere[[#This Row],[ohne Dämpfung]]=1,2,IF(Scharniere[[#This Row],[ohne Feder]]=1,3,0))),1,0)</f>
        <v>0</v>
      </c>
      <c r="M32" s="135">
        <f>IF(Scharniere[[#This Row],[Bohrbild]]=select!$O$334,1,0)</f>
        <v>1</v>
      </c>
      <c r="N32" s="135">
        <f>IF(IF(Scharniere[[#This Row],[Anschrauben]]=1,1,IF(Scharniere[[#This Row],[Einpressen]]=1,2,IF(Scharniere[[#This Row],[Quick]]=1,3,IF(Scharniere[[#This Row],[Werkzeuglos]]=1,4,0))))=select!$E$362,1,0)</f>
        <v>0</v>
      </c>
      <c r="O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" s="298">
        <f>IF(AND(Scharniere[[#This Row],[Scharnierart]]=3,Scharniere[[#This Row],[Gruppenschlüssel]]=select!$A$747)=TRUE,1,0)</f>
        <v>0</v>
      </c>
      <c r="Q32" s="298">
        <f ca="1">IF(select!$O$945&lt;6,1,0)</f>
        <v>1</v>
      </c>
      <c r="R32" s="298">
        <f>IF(select!$A$778=IF(Scharniere[[#This Row],[mit Dämpfung]]=1,1,IF(Scharniere[[#This Row],[ohne Dämpfung]]=1,2,IF(Scharniere[[#This Row],[ohne Feder]]=1,3,0))),1,0)</f>
        <v>1</v>
      </c>
      <c r="S32" s="298">
        <f>IF(Scharniere[[#This Row],[Bohrbild]]=select!$A$755,1,0)</f>
        <v>0</v>
      </c>
      <c r="T32" s="298">
        <f>IF(IF(Scharniere[[#This Row],[Anschrauben]]=1,1,IF(Scharniere[[#This Row],[Einpressen]]=1,2,IF(Scharniere[[#This Row],[Quick]]=1,3,IF(Scharniere[[#This Row],[Werkzeuglos]]=1,4,0))))=select!$A$769,1,0)</f>
        <v>0</v>
      </c>
      <c r="U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" s="359">
        <f>IF(AND(Scharniere[[#This Row],[Scharnierart]]=4,Scharniere[[#This Row],[Gruppenschlüssel]]=select!$A$981)=TRUE,1,0)</f>
        <v>0</v>
      </c>
      <c r="W32" s="359">
        <f ca="1">IF(select!$O$1185&lt;6,1,0)</f>
        <v>1</v>
      </c>
      <c r="X32" s="359">
        <f>IF(select!$A$1012=IF(Scharniere[[#This Row],[mit Dämpfung]]=1,1,IF(Scharniere[[#This Row],[ohne Dämpfung]]=1,2,IF(Scharniere[[#This Row],[ohne Feder]]=1,3,0))),1,0)</f>
        <v>1</v>
      </c>
      <c r="Y32" s="359">
        <f>IF(Scharniere[[#This Row],[Bohrbild]]=select!$A$989,1,0)</f>
        <v>0</v>
      </c>
      <c r="Z32" s="359">
        <f>IF(IF(Scharniere[[#This Row],[Anschrauben]]=1,1,IF(Scharniere[[#This Row],[Einpressen]]=1,2,IF(Scharniere[[#This Row],[Quick]]=1,3,IF(Scharniere[[#This Row],[Werkzeuglos]]=1,4,0))))=select!$A$1003,1,0)</f>
        <v>0</v>
      </c>
      <c r="AA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" s="359">
        <f ca="1">IF(select!$K$980="*",Scharniere[[#This Row],[AG Ges2]],Scharniere[[#This Row],[AG Ges1]])</f>
        <v>0</v>
      </c>
      <c r="AE32" s="451">
        <f ca="1">IF(AND(Scharniere[[#This Row],[Scharnierart]]=select!$A$1485,Scharniere[[#This Row],[Gruppenschlüssel]]=select!$B$1485)=TRUE,1,0)</f>
        <v>1</v>
      </c>
      <c r="AF32" s="451">
        <f ca="1">IF(AND(Scharniere[[#This Row],[Scharnierart]]=select!$A$1486,Scharniere[[#This Row],[Gruppenschlüssel]]=select!$B$1486)=TRUE,1,0)</f>
        <v>0</v>
      </c>
      <c r="AG32" s="451">
        <f ca="1">IF(AND(Scharniere[[#This Row],[Scharnierart]]=select!$A$1487,Scharniere[[#This Row],[Gruppenschlüssel]]=select!$B$1487)=TRUE,1,0)</f>
        <v>0</v>
      </c>
      <c r="AH32" s="451">
        <f ca="1">IF(AND(Scharniere[[#This Row],[Scharnierart]]=select!$A$1488,Scharniere[[#This Row],[Gruppenschlüssel]]=select!$B$1488)=TRUE,1,0)</f>
        <v>0</v>
      </c>
      <c r="AI32" s="451">
        <f ca="1">IF(SUM(Scharniere[[#This Row],[konf Scharnier 1]:[konf Scharnier 4]])&gt;0,1,0)</f>
        <v>1</v>
      </c>
      <c r="AJ32" s="451"/>
      <c r="AK32" s="451"/>
      <c r="AL32" s="451"/>
      <c r="AM32" s="451"/>
      <c r="AN32" s="451"/>
      <c r="AO32" s="146">
        <v>1</v>
      </c>
      <c r="AP32" s="146">
        <v>1</v>
      </c>
      <c r="AQ32" s="10" t="str">
        <f ca="1">Sprache!$A$110</f>
        <v>Tiomos Scharnier T Click-on</v>
      </c>
      <c r="AR32" t="str">
        <f ca="1">"110°, M-BB, K19, "&amp;Sprache!A181&amp;", ni"</f>
        <v>110°, M-BB, K19, Dübel, ni</v>
      </c>
      <c r="AS32" t="str">
        <f ca="1">Sprache!$A$103</f>
        <v>Tiomos Click-On Scharniere</v>
      </c>
      <c r="AT32">
        <v>19</v>
      </c>
      <c r="AU32" t="s">
        <v>8</v>
      </c>
      <c r="AV32">
        <v>110</v>
      </c>
      <c r="AW32" s="10">
        <v>0</v>
      </c>
      <c r="AX32">
        <v>1</v>
      </c>
      <c r="AY32">
        <v>0</v>
      </c>
      <c r="AZ32" s="10">
        <v>0</v>
      </c>
      <c r="BA32">
        <v>1</v>
      </c>
      <c r="BB32">
        <v>0</v>
      </c>
      <c r="BC32">
        <v>0</v>
      </c>
      <c r="BD32" s="143" t="s">
        <v>436</v>
      </c>
      <c r="BG32"/>
    </row>
    <row r="33" spans="1:59" ht="14.25" customHeight="1" x14ac:dyDescent="0.25">
      <c r="A33" s="37" t="str">
        <f>LEFT(Scharniere[[#This Row],[ArtikelNR]],4)</f>
        <v>F028</v>
      </c>
      <c r="B33" s="35" t="str">
        <f>MID(Scharniere[[#This Row],[ArtikelNR]],5,3)</f>
        <v>138</v>
      </c>
      <c r="C33" s="37" t="str">
        <f>RIGHT(Scharniere[[#This Row],[ArtikelNR]],3)</f>
        <v>100</v>
      </c>
      <c r="D33" s="35">
        <f>IF(AND(Scharniere[[#This Row],[Gruppenschlüssel]]=select!$A$44,Scharniere[[#This Row],[Scharnierart]]=1)=TRUE,1,0)</f>
        <v>1</v>
      </c>
      <c r="E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3" s="35">
        <f>IF(select!$F$57=IF(Scharniere[[#This Row],[mit Dämpfung]]=1,1,IF(Scharniere[[#This Row],[ohne Dämpfung]]=1,2,IF(Scharniere[[#This Row],[ohne Feder]]=1,3,0))),1,0)</f>
        <v>0</v>
      </c>
      <c r="G33" s="35">
        <f>IF(Scharniere[[#This Row],[Bohrbild]]=select!$V$43,1,0)</f>
        <v>1</v>
      </c>
      <c r="H33" s="35">
        <f>IF(IF(Scharniere[[#This Row],[Anschrauben]]=1,1,IF(Scharniere[[#This Row],[Einpressen]]=1,2,IF(Scharniere[[#This Row],[Quick]]=1,3,IF(Scharniere[[#This Row],[Werkzeuglos]]=1,4,0))))=select!$F$48,1,0)</f>
        <v>1</v>
      </c>
      <c r="I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" s="149">
        <f>IF(AND(Scharniere[[#This Row],[Scharnierart]]=2,Scharniere[[#This Row],[Gruppenschlüssel]]=select!$A$318)=TRUE,1,0)</f>
        <v>0</v>
      </c>
      <c r="K33" s="221">
        <f ca="1">IF(select!$O$424&lt;6,1,0)</f>
        <v>1</v>
      </c>
      <c r="L33" s="139">
        <f>IF(select!$A$362=IF(Scharniere[[#This Row],[mit Dämpfung]]=1,1,IF(Scharniere[[#This Row],[ohne Dämpfung]]=1,2,IF(Scharniere[[#This Row],[ohne Feder]]=1,3,0))),1,0)</f>
        <v>1</v>
      </c>
      <c r="M33" s="135">
        <f>IF(Scharniere[[#This Row],[Bohrbild]]=select!$O$334,1,0)</f>
        <v>1</v>
      </c>
      <c r="N33" s="135">
        <f>IF(IF(Scharniere[[#This Row],[Anschrauben]]=1,1,IF(Scharniere[[#This Row],[Einpressen]]=1,2,IF(Scharniere[[#This Row],[Quick]]=1,3,IF(Scharniere[[#This Row],[Werkzeuglos]]=1,4,0))))=select!$E$362,1,0)</f>
        <v>0</v>
      </c>
      <c r="O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" s="298">
        <f>IF(AND(Scharniere[[#This Row],[Scharnierart]]=3,Scharniere[[#This Row],[Gruppenschlüssel]]=select!$A$747)=TRUE,1,0)</f>
        <v>0</v>
      </c>
      <c r="Q33" s="298">
        <f ca="1">IF(select!$O$945&lt;6,1,0)</f>
        <v>1</v>
      </c>
      <c r="R33" s="298">
        <f>IF(select!$A$778=IF(Scharniere[[#This Row],[mit Dämpfung]]=1,1,IF(Scharniere[[#This Row],[ohne Dämpfung]]=1,2,IF(Scharniere[[#This Row],[ohne Feder]]=1,3,0))),1,0)</f>
        <v>0</v>
      </c>
      <c r="S33" s="298">
        <f>IF(Scharniere[[#This Row],[Bohrbild]]=select!$A$755,1,0)</f>
        <v>0</v>
      </c>
      <c r="T33" s="298">
        <f>IF(IF(Scharniere[[#This Row],[Anschrauben]]=1,1,IF(Scharniere[[#This Row],[Einpressen]]=1,2,IF(Scharniere[[#This Row],[Quick]]=1,3,IF(Scharniere[[#This Row],[Werkzeuglos]]=1,4,0))))=select!$A$769,1,0)</f>
        <v>0</v>
      </c>
      <c r="U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" s="359">
        <f>IF(AND(Scharniere[[#This Row],[Scharnierart]]=4,Scharniere[[#This Row],[Gruppenschlüssel]]=select!$A$981)=TRUE,1,0)</f>
        <v>0</v>
      </c>
      <c r="W33" s="359">
        <f ca="1">IF(select!$O$1185&lt;6,1,0)</f>
        <v>1</v>
      </c>
      <c r="X33" s="359">
        <f>IF(select!$A$1012=IF(Scharniere[[#This Row],[mit Dämpfung]]=1,1,IF(Scharniere[[#This Row],[ohne Dämpfung]]=1,2,IF(Scharniere[[#This Row],[ohne Feder]]=1,3,0))),1,0)</f>
        <v>0</v>
      </c>
      <c r="Y33" s="359">
        <f>IF(Scharniere[[#This Row],[Bohrbild]]=select!$A$989,1,0)</f>
        <v>0</v>
      </c>
      <c r="Z33" s="359">
        <f>IF(IF(Scharniere[[#This Row],[Anschrauben]]=1,1,IF(Scharniere[[#This Row],[Einpressen]]=1,2,IF(Scharniere[[#This Row],[Quick]]=1,3,IF(Scharniere[[#This Row],[Werkzeuglos]]=1,4,0))))=select!$A$1003,1,0)</f>
        <v>0</v>
      </c>
      <c r="AA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" s="359">
        <f ca="1">IF(select!$K$980="*",Scharniere[[#This Row],[AG Ges2]],Scharniere[[#This Row],[AG Ges1]])</f>
        <v>0</v>
      </c>
      <c r="AE33" s="451">
        <f ca="1">IF(AND(Scharniere[[#This Row],[Scharnierart]]=select!$A$1485,Scharniere[[#This Row],[Gruppenschlüssel]]=select!$B$1485)=TRUE,1,0)</f>
        <v>1</v>
      </c>
      <c r="AF33" s="451">
        <f ca="1">IF(AND(Scharniere[[#This Row],[Scharnierart]]=select!$A$1486,Scharniere[[#This Row],[Gruppenschlüssel]]=select!$B$1486)=TRUE,1,0)</f>
        <v>0</v>
      </c>
      <c r="AG33" s="451">
        <f ca="1">IF(AND(Scharniere[[#This Row],[Scharnierart]]=select!$A$1487,Scharniere[[#This Row],[Gruppenschlüssel]]=select!$B$1487)=TRUE,1,0)</f>
        <v>0</v>
      </c>
      <c r="AH33" s="451">
        <f ca="1">IF(AND(Scharniere[[#This Row],[Scharnierart]]=select!$A$1488,Scharniere[[#This Row],[Gruppenschlüssel]]=select!$B$1488)=TRUE,1,0)</f>
        <v>0</v>
      </c>
      <c r="AI33" s="451">
        <f ca="1">IF(SUM(Scharniere[[#This Row],[konf Scharnier 1]:[konf Scharnier 4]])&gt;0,1,0)</f>
        <v>1</v>
      </c>
      <c r="AJ33" s="451"/>
      <c r="AK33" s="451"/>
      <c r="AL33" s="451"/>
      <c r="AM33" s="451"/>
      <c r="AN33" s="451"/>
      <c r="AO33" s="146">
        <v>1</v>
      </c>
      <c r="AP33" s="146">
        <v>1</v>
      </c>
      <c r="AQ33" s="10" t="str">
        <f ca="1">Sprache!$A$112</f>
        <v>Tiomos Scharnier TS Click-on</v>
      </c>
      <c r="AR33" t="str">
        <f ca="1">"110°, M-BB, K19, "&amp;Sprache!A181&amp;", ni"</f>
        <v>110°, M-BB, K19, Dübel, ni</v>
      </c>
      <c r="AS33" t="str">
        <f ca="1">Sprache!$A$103</f>
        <v>Tiomos Click-On Scharniere</v>
      </c>
      <c r="AT33">
        <v>19</v>
      </c>
      <c r="AU33" t="s">
        <v>8</v>
      </c>
      <c r="AV33">
        <v>110</v>
      </c>
      <c r="AW33" s="10">
        <v>1</v>
      </c>
      <c r="AX33">
        <v>0</v>
      </c>
      <c r="AY33">
        <v>0</v>
      </c>
      <c r="AZ33" s="10">
        <v>0</v>
      </c>
      <c r="BA33">
        <v>1</v>
      </c>
      <c r="BB33">
        <v>0</v>
      </c>
      <c r="BC33">
        <v>0</v>
      </c>
      <c r="BD33" s="143" t="s">
        <v>236</v>
      </c>
      <c r="BG33"/>
    </row>
    <row r="34" spans="1:59" ht="14.25" customHeight="1" x14ac:dyDescent="0.25">
      <c r="A34" s="37" t="str">
        <f>LEFT(Scharniere[[#This Row],[ArtikelNR]],4)</f>
        <v>F046</v>
      </c>
      <c r="B34" s="35" t="str">
        <f>MID(Scharniere[[#This Row],[ArtikelNR]],5,3)</f>
        <v>138</v>
      </c>
      <c r="C34" s="37" t="str">
        <f>RIGHT(Scharniere[[#This Row],[ArtikelNR]],3)</f>
        <v>191</v>
      </c>
      <c r="D34" s="35">
        <f>IF(AND(Scharniere[[#This Row],[Gruppenschlüssel]]=select!$A$44,Scharniere[[#This Row],[Scharnierart]]=1)=TRUE,1,0)</f>
        <v>1</v>
      </c>
      <c r="E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" s="35">
        <f>IF(select!$F$57=IF(Scharniere[[#This Row],[mit Dämpfung]]=1,1,IF(Scharniere[[#This Row],[ohne Dämpfung]]=1,2,IF(Scharniere[[#This Row],[ohne Feder]]=1,3,0))),1,0)</f>
        <v>1</v>
      </c>
      <c r="G34" s="35">
        <f>IF(Scharniere[[#This Row],[Bohrbild]]=select!$V$43,1,0)</f>
        <v>1</v>
      </c>
      <c r="H34" s="35">
        <f>IF(IF(Scharniere[[#This Row],[Anschrauben]]=1,1,IF(Scharniere[[#This Row],[Einpressen]]=1,2,IF(Scharniere[[#This Row],[Quick]]=1,3,IF(Scharniere[[#This Row],[Werkzeuglos]]=1,4,0))))=select!$F$48,1,0)</f>
        <v>1</v>
      </c>
      <c r="I34" s="35">
        <f ca="1">IF(Scharniere[[#This Row],[Winkel_sel]]+Scharniere[[#This Row],[Kröpfung_sel]]+Scharniere[[#This Row],[Däpfung_sel]]+Scharniere[[#This Row],[Bohrbild_sel]]+Scharniere[[#This Row],[Scharnierbefestigung]]=5,1,0)</f>
        <v>1</v>
      </c>
      <c r="J34" s="149">
        <f>IF(AND(Scharniere[[#This Row],[Scharnierart]]=2,Scharniere[[#This Row],[Gruppenschlüssel]]=select!$A$318)=TRUE,1,0)</f>
        <v>0</v>
      </c>
      <c r="K34" s="221">
        <f ca="1">IF(select!$O$424&lt;6,1,0)</f>
        <v>1</v>
      </c>
      <c r="L34" s="139">
        <f>IF(select!$A$362=IF(Scharniere[[#This Row],[mit Dämpfung]]=1,1,IF(Scharniere[[#This Row],[ohne Dämpfung]]=1,2,IF(Scharniere[[#This Row],[ohne Feder]]=1,3,0))),1,0)</f>
        <v>0</v>
      </c>
      <c r="M34" s="135">
        <f>IF(Scharniere[[#This Row],[Bohrbild]]=select!$O$334,1,0)</f>
        <v>1</v>
      </c>
      <c r="N34" s="135">
        <f>IF(IF(Scharniere[[#This Row],[Anschrauben]]=1,1,IF(Scharniere[[#This Row],[Einpressen]]=1,2,IF(Scharniere[[#This Row],[Quick]]=1,3,IF(Scharniere[[#This Row],[Werkzeuglos]]=1,4,0))))=select!$E$362,1,0)</f>
        <v>0</v>
      </c>
      <c r="O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" s="298">
        <f>IF(AND(Scharniere[[#This Row],[Scharnierart]]=3,Scharniere[[#This Row],[Gruppenschlüssel]]=select!$A$747)=TRUE,1,0)</f>
        <v>0</v>
      </c>
      <c r="Q34" s="298">
        <f ca="1">IF(select!$O$945&lt;6,1,0)</f>
        <v>1</v>
      </c>
      <c r="R34" s="298">
        <f>IF(select!$A$778=IF(Scharniere[[#This Row],[mit Dämpfung]]=1,1,IF(Scharniere[[#This Row],[ohne Dämpfung]]=1,2,IF(Scharniere[[#This Row],[ohne Feder]]=1,3,0))),1,0)</f>
        <v>0</v>
      </c>
      <c r="S34" s="298">
        <f>IF(Scharniere[[#This Row],[Bohrbild]]=select!$A$755,1,0)</f>
        <v>0</v>
      </c>
      <c r="T34" s="298">
        <f>IF(IF(Scharniere[[#This Row],[Anschrauben]]=1,1,IF(Scharniere[[#This Row],[Einpressen]]=1,2,IF(Scharniere[[#This Row],[Quick]]=1,3,IF(Scharniere[[#This Row],[Werkzeuglos]]=1,4,0))))=select!$A$769,1,0)</f>
        <v>0</v>
      </c>
      <c r="U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" s="359">
        <f>IF(AND(Scharniere[[#This Row],[Scharnierart]]=4,Scharniere[[#This Row],[Gruppenschlüssel]]=select!$A$981)=TRUE,1,0)</f>
        <v>0</v>
      </c>
      <c r="W34" s="359">
        <f ca="1">IF(select!$O$1185&lt;6,1,0)</f>
        <v>1</v>
      </c>
      <c r="X34" s="359">
        <f>IF(select!$A$1012=IF(Scharniere[[#This Row],[mit Dämpfung]]=1,1,IF(Scharniere[[#This Row],[ohne Dämpfung]]=1,2,IF(Scharniere[[#This Row],[ohne Feder]]=1,3,0))),1,0)</f>
        <v>0</v>
      </c>
      <c r="Y34" s="359">
        <f>IF(Scharniere[[#This Row],[Bohrbild]]=select!$A$989,1,0)</f>
        <v>0</v>
      </c>
      <c r="Z34" s="359">
        <f>IF(IF(Scharniere[[#This Row],[Anschrauben]]=1,1,IF(Scharniere[[#This Row],[Einpressen]]=1,2,IF(Scharniere[[#This Row],[Quick]]=1,3,IF(Scharniere[[#This Row],[Werkzeuglos]]=1,4,0))))=select!$A$1003,1,0)</f>
        <v>0</v>
      </c>
      <c r="AA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" s="359">
        <f ca="1">IF(select!$K$980="*",Scharniere[[#This Row],[AG Ges2]],Scharniere[[#This Row],[AG Ges1]])</f>
        <v>0</v>
      </c>
      <c r="AE34" s="451">
        <f ca="1">IF(AND(Scharniere[[#This Row],[Scharnierart]]=select!$A$1485,Scharniere[[#This Row],[Gruppenschlüssel]]=select!$B$1485)=TRUE,1,0)</f>
        <v>1</v>
      </c>
      <c r="AF34" s="451">
        <f ca="1">IF(AND(Scharniere[[#This Row],[Scharnierart]]=select!$A$1486,Scharniere[[#This Row],[Gruppenschlüssel]]=select!$B$1486)=TRUE,1,0)</f>
        <v>0</v>
      </c>
      <c r="AG34" s="451">
        <f ca="1">IF(AND(Scharniere[[#This Row],[Scharnierart]]=select!$A$1487,Scharniere[[#This Row],[Gruppenschlüssel]]=select!$B$1487)=TRUE,1,0)</f>
        <v>0</v>
      </c>
      <c r="AH34" s="451">
        <f ca="1">IF(AND(Scharniere[[#This Row],[Scharnierart]]=select!$A$1488,Scharniere[[#This Row],[Gruppenschlüssel]]=select!$B$1488)=TRUE,1,0)</f>
        <v>0</v>
      </c>
      <c r="AI34" s="451">
        <f ca="1">IF(SUM(Scharniere[[#This Row],[konf Scharnier 1]:[konf Scharnier 4]])&gt;0,1,0)</f>
        <v>1</v>
      </c>
      <c r="AJ34" s="451"/>
      <c r="AK34" s="451"/>
      <c r="AL34" s="451"/>
      <c r="AM34" s="451"/>
      <c r="AN34" s="451"/>
      <c r="AO34" s="146">
        <v>1</v>
      </c>
      <c r="AP34" s="146">
        <v>1</v>
      </c>
      <c r="AQ34" s="10" t="str">
        <f ca="1">Sprache!$A$114</f>
        <v>Tiomos Scharnier TT Click-on</v>
      </c>
      <c r="AR34" t="str">
        <f ca="1">"110°, M-BB, K19, "&amp;Sprache!A181&amp;", ni"</f>
        <v>110°, M-BB, K19, Dübel, ni</v>
      </c>
      <c r="AS34" t="str">
        <f ca="1">Sprache!$A$103</f>
        <v>Tiomos Click-On Scharniere</v>
      </c>
      <c r="AT34">
        <v>19</v>
      </c>
      <c r="AU34" t="s">
        <v>8</v>
      </c>
      <c r="AV34">
        <v>110</v>
      </c>
      <c r="AW34" s="10">
        <v>0</v>
      </c>
      <c r="AX34">
        <v>0</v>
      </c>
      <c r="AY34">
        <v>1</v>
      </c>
      <c r="AZ34" s="10">
        <v>0</v>
      </c>
      <c r="BA34">
        <v>1</v>
      </c>
      <c r="BB34">
        <v>0</v>
      </c>
      <c r="BC34">
        <v>0</v>
      </c>
      <c r="BD34" s="143" t="s">
        <v>588</v>
      </c>
      <c r="BG34"/>
    </row>
    <row r="35" spans="1:59" ht="14.25" customHeight="1" x14ac:dyDescent="0.25">
      <c r="A35" s="37" t="str">
        <f>LEFT(Scharniere[[#This Row],[ArtikelNR]],4)</f>
        <v>F045</v>
      </c>
      <c r="B35" s="35" t="str">
        <f>MID(Scharniere[[#This Row],[ArtikelNR]],5,3)</f>
        <v>138</v>
      </c>
      <c r="C35" s="37" t="str">
        <f>RIGHT(Scharniere[[#This Row],[ArtikelNR]],3)</f>
        <v>003</v>
      </c>
      <c r="D35" s="35">
        <f>IF(AND(Scharniere[[#This Row],[Gruppenschlüssel]]=select!$A$44,Scharniere[[#This Row],[Scharnierart]]=1)=TRUE,1,0)</f>
        <v>1</v>
      </c>
      <c r="E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" s="35">
        <f>IF(select!$F$57=IF(Scharniere[[#This Row],[mit Dämpfung]]=1,1,IF(Scharniere[[#This Row],[ohne Dämpfung]]=1,2,IF(Scharniere[[#This Row],[ohne Feder]]=1,3,0))),1,0)</f>
        <v>0</v>
      </c>
      <c r="G35" s="35">
        <f>IF(Scharniere[[#This Row],[Bohrbild]]=select!$V$43,1,0)</f>
        <v>1</v>
      </c>
      <c r="H35" s="35">
        <f>IF(IF(Scharniere[[#This Row],[Anschrauben]]=1,1,IF(Scharniere[[#This Row],[Einpressen]]=1,2,IF(Scharniere[[#This Row],[Quick]]=1,3,IF(Scharniere[[#This Row],[Werkzeuglos]]=1,4,0))))=select!$F$48,1,0)</f>
        <v>0</v>
      </c>
      <c r="I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" s="149">
        <f>IF(AND(Scharniere[[#This Row],[Scharnierart]]=2,Scharniere[[#This Row],[Gruppenschlüssel]]=select!$A$318)=TRUE,1,0)</f>
        <v>0</v>
      </c>
      <c r="K35" s="221">
        <f ca="1">IF(select!$O$424&lt;6,1,0)</f>
        <v>1</v>
      </c>
      <c r="L35" s="139">
        <f>IF(select!$A$362=IF(Scharniere[[#This Row],[mit Dämpfung]]=1,1,IF(Scharniere[[#This Row],[ohne Dämpfung]]=1,2,IF(Scharniere[[#This Row],[ohne Feder]]=1,3,0))),1,0)</f>
        <v>0</v>
      </c>
      <c r="M35" s="135">
        <f>IF(Scharniere[[#This Row],[Bohrbild]]=select!$O$334,1,0)</f>
        <v>1</v>
      </c>
      <c r="N35" s="135">
        <f>IF(IF(Scharniere[[#This Row],[Anschrauben]]=1,1,IF(Scharniere[[#This Row],[Einpressen]]=1,2,IF(Scharniere[[#This Row],[Quick]]=1,3,IF(Scharniere[[#This Row],[Werkzeuglos]]=1,4,0))))=select!$E$362,1,0)</f>
        <v>1</v>
      </c>
      <c r="O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" s="298">
        <f>IF(AND(Scharniere[[#This Row],[Scharnierart]]=3,Scharniere[[#This Row],[Gruppenschlüssel]]=select!$A$747)=TRUE,1,0)</f>
        <v>0</v>
      </c>
      <c r="Q35" s="298">
        <f ca="1">IF(select!$O$945&lt;6,1,0)</f>
        <v>1</v>
      </c>
      <c r="R35" s="298">
        <f>IF(select!$A$778=IF(Scharniere[[#This Row],[mit Dämpfung]]=1,1,IF(Scharniere[[#This Row],[ohne Dämpfung]]=1,2,IF(Scharniere[[#This Row],[ohne Feder]]=1,3,0))),1,0)</f>
        <v>1</v>
      </c>
      <c r="S35" s="298">
        <f>IF(Scharniere[[#This Row],[Bohrbild]]=select!$A$755,1,0)</f>
        <v>0</v>
      </c>
      <c r="T35" s="298">
        <f>IF(IF(Scharniere[[#This Row],[Anschrauben]]=1,1,IF(Scharniere[[#This Row],[Einpressen]]=1,2,IF(Scharniere[[#This Row],[Quick]]=1,3,IF(Scharniere[[#This Row],[Werkzeuglos]]=1,4,0))))=select!$A$769,1,0)</f>
        <v>1</v>
      </c>
      <c r="U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" s="359">
        <f>IF(AND(Scharniere[[#This Row],[Scharnierart]]=4,Scharniere[[#This Row],[Gruppenschlüssel]]=select!$A$981)=TRUE,1,0)</f>
        <v>0</v>
      </c>
      <c r="W35" s="359">
        <f ca="1">IF(select!$O$1185&lt;6,1,0)</f>
        <v>1</v>
      </c>
      <c r="X35" s="359">
        <f>IF(select!$A$1012=IF(Scharniere[[#This Row],[mit Dämpfung]]=1,1,IF(Scharniere[[#This Row],[ohne Dämpfung]]=1,2,IF(Scharniere[[#This Row],[ohne Feder]]=1,3,0))),1,0)</f>
        <v>1</v>
      </c>
      <c r="Y35" s="359">
        <f>IF(Scharniere[[#This Row],[Bohrbild]]=select!$A$989,1,0)</f>
        <v>0</v>
      </c>
      <c r="Z35" s="359">
        <f>IF(IF(Scharniere[[#This Row],[Anschrauben]]=1,1,IF(Scharniere[[#This Row],[Einpressen]]=1,2,IF(Scharniere[[#This Row],[Quick]]=1,3,IF(Scharniere[[#This Row],[Werkzeuglos]]=1,4,0))))=select!$A$1003,1,0)</f>
        <v>1</v>
      </c>
      <c r="AA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" s="359">
        <f ca="1">IF(select!$K$980="*",Scharniere[[#This Row],[AG Ges2]],Scharniere[[#This Row],[AG Ges1]])</f>
        <v>0</v>
      </c>
      <c r="AE35" s="451">
        <f ca="1">IF(AND(Scharniere[[#This Row],[Scharnierart]]=select!$A$1485,Scharniere[[#This Row],[Gruppenschlüssel]]=select!$B$1485)=TRUE,1,0)</f>
        <v>1</v>
      </c>
      <c r="AF35" s="451">
        <f ca="1">IF(AND(Scharniere[[#This Row],[Scharnierart]]=select!$A$1486,Scharniere[[#This Row],[Gruppenschlüssel]]=select!$B$1486)=TRUE,1,0)</f>
        <v>0</v>
      </c>
      <c r="AG35" s="451">
        <f ca="1">IF(AND(Scharniere[[#This Row],[Scharnierart]]=select!$A$1487,Scharniere[[#This Row],[Gruppenschlüssel]]=select!$B$1487)=TRUE,1,0)</f>
        <v>0</v>
      </c>
      <c r="AH35" s="451">
        <f ca="1">IF(AND(Scharniere[[#This Row],[Scharnierart]]=select!$A$1488,Scharniere[[#This Row],[Gruppenschlüssel]]=select!$B$1488)=TRUE,1,0)</f>
        <v>0</v>
      </c>
      <c r="AI35" s="451">
        <f ca="1">IF(SUM(Scharniere[[#This Row],[konf Scharnier 1]:[konf Scharnier 4]])&gt;0,1,0)</f>
        <v>1</v>
      </c>
      <c r="AJ35" s="451"/>
      <c r="AK35" s="451"/>
      <c r="AL35" s="451"/>
      <c r="AM35" s="451"/>
      <c r="AN35" s="451"/>
      <c r="AO35" s="146">
        <v>1</v>
      </c>
      <c r="AP35" s="146">
        <v>1</v>
      </c>
      <c r="AQ35" s="10" t="str">
        <f ca="1">Sprache!$A$110</f>
        <v>Tiomos Scharnier T Click-on</v>
      </c>
      <c r="AR35" t="s">
        <v>232</v>
      </c>
      <c r="AS35" t="str">
        <f ca="1">Sprache!$A$103</f>
        <v>Tiomos Click-On Scharniere</v>
      </c>
      <c r="AT35">
        <v>19</v>
      </c>
      <c r="AU35" t="s">
        <v>8</v>
      </c>
      <c r="AV35">
        <v>110</v>
      </c>
      <c r="AW35" s="10">
        <v>0</v>
      </c>
      <c r="AX35">
        <v>1</v>
      </c>
      <c r="AY35">
        <v>0</v>
      </c>
      <c r="AZ35" s="10">
        <v>1</v>
      </c>
      <c r="BA35">
        <v>0</v>
      </c>
      <c r="BB35">
        <v>0</v>
      </c>
      <c r="BC35">
        <v>0</v>
      </c>
      <c r="BD35" s="143" t="s">
        <v>432</v>
      </c>
      <c r="BG35"/>
    </row>
    <row r="36" spans="1:59" ht="14.25" customHeight="1" x14ac:dyDescent="0.25">
      <c r="A36" s="37" t="str">
        <f>LEFT(Scharniere[[#This Row],[ArtikelNR]],4)</f>
        <v>F028</v>
      </c>
      <c r="B36" s="35" t="str">
        <f>MID(Scharniere[[#This Row],[ArtikelNR]],5,3)</f>
        <v>138</v>
      </c>
      <c r="C36" s="37" t="str">
        <f>RIGHT(Scharniere[[#This Row],[ArtikelNR]],3)</f>
        <v>096</v>
      </c>
      <c r="D36" s="35">
        <f>IF(AND(Scharniere[[#This Row],[Gruppenschlüssel]]=select!$A$44,Scharniere[[#This Row],[Scharnierart]]=1)=TRUE,1,0)</f>
        <v>1</v>
      </c>
      <c r="E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" s="35">
        <f>IF(select!$F$57=IF(Scharniere[[#This Row],[mit Dämpfung]]=1,1,IF(Scharniere[[#This Row],[ohne Dämpfung]]=1,2,IF(Scharniere[[#This Row],[ohne Feder]]=1,3,0))),1,0)</f>
        <v>0</v>
      </c>
      <c r="G36" s="35">
        <f>IF(Scharniere[[#This Row],[Bohrbild]]=select!$V$43,1,0)</f>
        <v>1</v>
      </c>
      <c r="H36" s="35">
        <f>IF(IF(Scharniere[[#This Row],[Anschrauben]]=1,1,IF(Scharniere[[#This Row],[Einpressen]]=1,2,IF(Scharniere[[#This Row],[Quick]]=1,3,IF(Scharniere[[#This Row],[Werkzeuglos]]=1,4,0))))=select!$F$48,1,0)</f>
        <v>0</v>
      </c>
      <c r="I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" s="149">
        <f>IF(AND(Scharniere[[#This Row],[Scharnierart]]=2,Scharniere[[#This Row],[Gruppenschlüssel]]=select!$A$318)=TRUE,1,0)</f>
        <v>0</v>
      </c>
      <c r="K36" s="221">
        <f ca="1">IF(select!$O$424&lt;6,1,0)</f>
        <v>1</v>
      </c>
      <c r="L36" s="139">
        <f>IF(select!$A$362=IF(Scharniere[[#This Row],[mit Dämpfung]]=1,1,IF(Scharniere[[#This Row],[ohne Dämpfung]]=1,2,IF(Scharniere[[#This Row],[ohne Feder]]=1,3,0))),1,0)</f>
        <v>1</v>
      </c>
      <c r="M36" s="135">
        <f>IF(Scharniere[[#This Row],[Bohrbild]]=select!$O$334,1,0)</f>
        <v>1</v>
      </c>
      <c r="N36" s="135">
        <f>IF(IF(Scharniere[[#This Row],[Anschrauben]]=1,1,IF(Scharniere[[#This Row],[Einpressen]]=1,2,IF(Scharniere[[#This Row],[Quick]]=1,3,IF(Scharniere[[#This Row],[Werkzeuglos]]=1,4,0))))=select!$E$362,1,0)</f>
        <v>1</v>
      </c>
      <c r="O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" s="298">
        <f>IF(AND(Scharniere[[#This Row],[Scharnierart]]=3,Scharniere[[#This Row],[Gruppenschlüssel]]=select!$A$747)=TRUE,1,0)</f>
        <v>0</v>
      </c>
      <c r="Q36" s="298">
        <f ca="1">IF(select!$O$945&lt;6,1,0)</f>
        <v>1</v>
      </c>
      <c r="R36" s="298">
        <f>IF(select!$A$778=IF(Scharniere[[#This Row],[mit Dämpfung]]=1,1,IF(Scharniere[[#This Row],[ohne Dämpfung]]=1,2,IF(Scharniere[[#This Row],[ohne Feder]]=1,3,0))),1,0)</f>
        <v>0</v>
      </c>
      <c r="S36" s="298">
        <f>IF(Scharniere[[#This Row],[Bohrbild]]=select!$A$755,1,0)</f>
        <v>0</v>
      </c>
      <c r="T36" s="298">
        <f>IF(IF(Scharniere[[#This Row],[Anschrauben]]=1,1,IF(Scharniere[[#This Row],[Einpressen]]=1,2,IF(Scharniere[[#This Row],[Quick]]=1,3,IF(Scharniere[[#This Row],[Werkzeuglos]]=1,4,0))))=select!$A$769,1,0)</f>
        <v>1</v>
      </c>
      <c r="U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" s="359">
        <f>IF(AND(Scharniere[[#This Row],[Scharnierart]]=4,Scharniere[[#This Row],[Gruppenschlüssel]]=select!$A$981)=TRUE,1,0)</f>
        <v>0</v>
      </c>
      <c r="W36" s="359">
        <f ca="1">IF(select!$O$1185&lt;6,1,0)</f>
        <v>1</v>
      </c>
      <c r="X36" s="359">
        <f>IF(select!$A$1012=IF(Scharniere[[#This Row],[mit Dämpfung]]=1,1,IF(Scharniere[[#This Row],[ohne Dämpfung]]=1,2,IF(Scharniere[[#This Row],[ohne Feder]]=1,3,0))),1,0)</f>
        <v>0</v>
      </c>
      <c r="Y36" s="359">
        <f>IF(Scharniere[[#This Row],[Bohrbild]]=select!$A$989,1,0)</f>
        <v>0</v>
      </c>
      <c r="Z36" s="359">
        <f>IF(IF(Scharniere[[#This Row],[Anschrauben]]=1,1,IF(Scharniere[[#This Row],[Einpressen]]=1,2,IF(Scharniere[[#This Row],[Quick]]=1,3,IF(Scharniere[[#This Row],[Werkzeuglos]]=1,4,0))))=select!$A$1003,1,0)</f>
        <v>1</v>
      </c>
      <c r="AA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" s="359">
        <f ca="1">IF(select!$K$980="*",Scharniere[[#This Row],[AG Ges2]],Scharniere[[#This Row],[AG Ges1]])</f>
        <v>0</v>
      </c>
      <c r="AE36" s="451">
        <f ca="1">IF(AND(Scharniere[[#This Row],[Scharnierart]]=select!$A$1485,Scharniere[[#This Row],[Gruppenschlüssel]]=select!$B$1485)=TRUE,1,0)</f>
        <v>1</v>
      </c>
      <c r="AF36" s="451">
        <f ca="1">IF(AND(Scharniere[[#This Row],[Scharnierart]]=select!$A$1486,Scharniere[[#This Row],[Gruppenschlüssel]]=select!$B$1486)=TRUE,1,0)</f>
        <v>0</v>
      </c>
      <c r="AG36" s="451">
        <f ca="1">IF(AND(Scharniere[[#This Row],[Scharnierart]]=select!$A$1487,Scharniere[[#This Row],[Gruppenschlüssel]]=select!$B$1487)=TRUE,1,0)</f>
        <v>0</v>
      </c>
      <c r="AH36" s="451">
        <f ca="1">IF(AND(Scharniere[[#This Row],[Scharnierart]]=select!$A$1488,Scharniere[[#This Row],[Gruppenschlüssel]]=select!$B$1488)=TRUE,1,0)</f>
        <v>0</v>
      </c>
      <c r="AI36" s="451">
        <f ca="1">IF(SUM(Scharniere[[#This Row],[konf Scharnier 1]:[konf Scharnier 4]])&gt;0,1,0)</f>
        <v>1</v>
      </c>
      <c r="AJ36" s="451"/>
      <c r="AK36" s="451"/>
      <c r="AL36" s="451"/>
      <c r="AM36" s="451"/>
      <c r="AN36" s="451"/>
      <c r="AO36" s="146">
        <v>1</v>
      </c>
      <c r="AP36" s="146">
        <v>1</v>
      </c>
      <c r="AQ36" s="10" t="str">
        <f ca="1">Sprache!$A$112</f>
        <v>Tiomos Scharnier TS Click-on</v>
      </c>
      <c r="AR36" t="s">
        <v>232</v>
      </c>
      <c r="AS36" t="str">
        <f ca="1">Sprache!$A$103</f>
        <v>Tiomos Click-On Scharniere</v>
      </c>
      <c r="AT36">
        <v>19</v>
      </c>
      <c r="AU36" t="s">
        <v>8</v>
      </c>
      <c r="AV36">
        <v>110</v>
      </c>
      <c r="AW36" s="10">
        <v>1</v>
      </c>
      <c r="AX36">
        <v>0</v>
      </c>
      <c r="AY36">
        <v>0</v>
      </c>
      <c r="AZ36" s="10">
        <v>1</v>
      </c>
      <c r="BA36">
        <v>0</v>
      </c>
      <c r="BB36">
        <v>0</v>
      </c>
      <c r="BC36">
        <v>0</v>
      </c>
      <c r="BD36" s="143" t="s">
        <v>231</v>
      </c>
      <c r="BG36"/>
    </row>
    <row r="37" spans="1:59" ht="14.25" customHeight="1" x14ac:dyDescent="0.25">
      <c r="A37" s="37" t="str">
        <f>LEFT(Scharniere[[#This Row],[ArtikelNR]],4)</f>
        <v>F046</v>
      </c>
      <c r="B37" s="35" t="str">
        <f>MID(Scharniere[[#This Row],[ArtikelNR]],5,3)</f>
        <v>138</v>
      </c>
      <c r="C37" s="37" t="str">
        <f>RIGHT(Scharniere[[#This Row],[ArtikelNR]],3)</f>
        <v>187</v>
      </c>
      <c r="D37" s="35">
        <f>IF(AND(Scharniere[[#This Row],[Gruppenschlüssel]]=select!$A$44,Scharniere[[#This Row],[Scharnierart]]=1)=TRUE,1,0)</f>
        <v>1</v>
      </c>
      <c r="E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" s="35">
        <f>IF(select!$F$57=IF(Scharniere[[#This Row],[mit Dämpfung]]=1,1,IF(Scharniere[[#This Row],[ohne Dämpfung]]=1,2,IF(Scharniere[[#This Row],[ohne Feder]]=1,3,0))),1,0)</f>
        <v>1</v>
      </c>
      <c r="G37" s="35">
        <f>IF(Scharniere[[#This Row],[Bohrbild]]=select!$V$43,1,0)</f>
        <v>1</v>
      </c>
      <c r="H37" s="35">
        <f>IF(IF(Scharniere[[#This Row],[Anschrauben]]=1,1,IF(Scharniere[[#This Row],[Einpressen]]=1,2,IF(Scharniere[[#This Row],[Quick]]=1,3,IF(Scharniere[[#This Row],[Werkzeuglos]]=1,4,0))))=select!$F$48,1,0)</f>
        <v>0</v>
      </c>
      <c r="I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" s="149">
        <f>IF(AND(Scharniere[[#This Row],[Scharnierart]]=2,Scharniere[[#This Row],[Gruppenschlüssel]]=select!$A$318)=TRUE,1,0)</f>
        <v>0</v>
      </c>
      <c r="K37" s="221">
        <f ca="1">IF(select!$O$424&lt;6,1,0)</f>
        <v>1</v>
      </c>
      <c r="L37" s="139">
        <f>IF(select!$A$362=IF(Scharniere[[#This Row],[mit Dämpfung]]=1,1,IF(Scharniere[[#This Row],[ohne Dämpfung]]=1,2,IF(Scharniere[[#This Row],[ohne Feder]]=1,3,0))),1,0)</f>
        <v>0</v>
      </c>
      <c r="M37" s="135">
        <f>IF(Scharniere[[#This Row],[Bohrbild]]=select!$O$334,1,0)</f>
        <v>1</v>
      </c>
      <c r="N37" s="135">
        <f>IF(IF(Scharniere[[#This Row],[Anschrauben]]=1,1,IF(Scharniere[[#This Row],[Einpressen]]=1,2,IF(Scharniere[[#This Row],[Quick]]=1,3,IF(Scharniere[[#This Row],[Werkzeuglos]]=1,4,0))))=select!$E$362,1,0)</f>
        <v>1</v>
      </c>
      <c r="O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" s="298">
        <f>IF(AND(Scharniere[[#This Row],[Scharnierart]]=3,Scharniere[[#This Row],[Gruppenschlüssel]]=select!$A$747)=TRUE,1,0)</f>
        <v>0</v>
      </c>
      <c r="Q37" s="298">
        <f ca="1">IF(select!$O$945&lt;6,1,0)</f>
        <v>1</v>
      </c>
      <c r="R37" s="298">
        <f>IF(select!$A$778=IF(Scharniere[[#This Row],[mit Dämpfung]]=1,1,IF(Scharniere[[#This Row],[ohne Dämpfung]]=1,2,IF(Scharniere[[#This Row],[ohne Feder]]=1,3,0))),1,0)</f>
        <v>0</v>
      </c>
      <c r="S37" s="298">
        <f>IF(Scharniere[[#This Row],[Bohrbild]]=select!$A$755,1,0)</f>
        <v>0</v>
      </c>
      <c r="T37" s="298">
        <f>IF(IF(Scharniere[[#This Row],[Anschrauben]]=1,1,IF(Scharniere[[#This Row],[Einpressen]]=1,2,IF(Scharniere[[#This Row],[Quick]]=1,3,IF(Scharniere[[#This Row],[Werkzeuglos]]=1,4,0))))=select!$A$769,1,0)</f>
        <v>1</v>
      </c>
      <c r="U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" s="359">
        <f>IF(AND(Scharniere[[#This Row],[Scharnierart]]=4,Scharniere[[#This Row],[Gruppenschlüssel]]=select!$A$981)=TRUE,1,0)</f>
        <v>0</v>
      </c>
      <c r="W37" s="359">
        <f ca="1">IF(select!$O$1185&lt;6,1,0)</f>
        <v>1</v>
      </c>
      <c r="X37" s="359">
        <f>IF(select!$A$1012=IF(Scharniere[[#This Row],[mit Dämpfung]]=1,1,IF(Scharniere[[#This Row],[ohne Dämpfung]]=1,2,IF(Scharniere[[#This Row],[ohne Feder]]=1,3,0))),1,0)</f>
        <v>0</v>
      </c>
      <c r="Y37" s="359">
        <f>IF(Scharniere[[#This Row],[Bohrbild]]=select!$A$989,1,0)</f>
        <v>0</v>
      </c>
      <c r="Z37" s="359">
        <f>IF(IF(Scharniere[[#This Row],[Anschrauben]]=1,1,IF(Scharniere[[#This Row],[Einpressen]]=1,2,IF(Scharniere[[#This Row],[Quick]]=1,3,IF(Scharniere[[#This Row],[Werkzeuglos]]=1,4,0))))=select!$A$1003,1,0)</f>
        <v>1</v>
      </c>
      <c r="AA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" s="359">
        <f ca="1">IF(select!$K$980="*",Scharniere[[#This Row],[AG Ges2]],Scharniere[[#This Row],[AG Ges1]])</f>
        <v>0</v>
      </c>
      <c r="AE37" s="451">
        <f ca="1">IF(AND(Scharniere[[#This Row],[Scharnierart]]=select!$A$1485,Scharniere[[#This Row],[Gruppenschlüssel]]=select!$B$1485)=TRUE,1,0)</f>
        <v>1</v>
      </c>
      <c r="AF37" s="451">
        <f ca="1">IF(AND(Scharniere[[#This Row],[Scharnierart]]=select!$A$1486,Scharniere[[#This Row],[Gruppenschlüssel]]=select!$B$1486)=TRUE,1,0)</f>
        <v>0</v>
      </c>
      <c r="AG37" s="451">
        <f ca="1">IF(AND(Scharniere[[#This Row],[Scharnierart]]=select!$A$1487,Scharniere[[#This Row],[Gruppenschlüssel]]=select!$B$1487)=TRUE,1,0)</f>
        <v>0</v>
      </c>
      <c r="AH37" s="451">
        <f ca="1">IF(AND(Scharniere[[#This Row],[Scharnierart]]=select!$A$1488,Scharniere[[#This Row],[Gruppenschlüssel]]=select!$B$1488)=TRUE,1,0)</f>
        <v>0</v>
      </c>
      <c r="AI37" s="451">
        <f ca="1">IF(SUM(Scharniere[[#This Row],[konf Scharnier 1]:[konf Scharnier 4]])&gt;0,1,0)</f>
        <v>1</v>
      </c>
      <c r="AJ37" s="451"/>
      <c r="AK37" s="451"/>
      <c r="AL37" s="451"/>
      <c r="AM37" s="451"/>
      <c r="AN37" s="451"/>
      <c r="AO37" s="146">
        <v>1</v>
      </c>
      <c r="AP37" s="146">
        <v>1</v>
      </c>
      <c r="AQ37" s="10" t="str">
        <f ca="1">Sprache!$A$114</f>
        <v>Tiomos Scharnier TT Click-on</v>
      </c>
      <c r="AR37" t="s">
        <v>232</v>
      </c>
      <c r="AS37" t="str">
        <f ca="1">Sprache!$A$103</f>
        <v>Tiomos Click-On Scharniere</v>
      </c>
      <c r="AT37">
        <v>19</v>
      </c>
      <c r="AU37" t="s">
        <v>8</v>
      </c>
      <c r="AV37">
        <v>110</v>
      </c>
      <c r="AW37" s="10">
        <v>0</v>
      </c>
      <c r="AX37">
        <v>0</v>
      </c>
      <c r="AY37">
        <v>1</v>
      </c>
      <c r="AZ37" s="10">
        <v>1</v>
      </c>
      <c r="BA37">
        <v>0</v>
      </c>
      <c r="BB37">
        <v>0</v>
      </c>
      <c r="BC37">
        <v>0</v>
      </c>
      <c r="BD37" s="143" t="s">
        <v>584</v>
      </c>
      <c r="BG37"/>
    </row>
    <row r="38" spans="1:59" ht="14.25" customHeight="1" x14ac:dyDescent="0.25">
      <c r="A38" s="37" t="str">
        <f>LEFT(Scharniere[[#This Row],[ArtikelNR]],4)</f>
        <v>F034</v>
      </c>
      <c r="B38" s="35" t="str">
        <f>MID(Scharniere[[#This Row],[ArtikelNR]],5,3)</f>
        <v>139</v>
      </c>
      <c r="C38" s="37" t="str">
        <f>RIGHT(Scharniere[[#This Row],[ArtikelNR]],3)</f>
        <v>303</v>
      </c>
      <c r="D38" s="35">
        <f>IF(AND(Scharniere[[#This Row],[Gruppenschlüssel]]=select!$A$44,Scharniere[[#This Row],[Scharnierart]]=1)=TRUE,1,0)</f>
        <v>1</v>
      </c>
      <c r="E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" s="35">
        <f>IF(select!$F$57=IF(Scharniere[[#This Row],[mit Dämpfung]]=1,1,IF(Scharniere[[#This Row],[ohne Dämpfung]]=1,2,IF(Scharniere[[#This Row],[ohne Feder]]=1,3,0))),1,0)</f>
        <v>0</v>
      </c>
      <c r="G38" s="35">
        <f>IF(Scharniere[[#This Row],[Bohrbild]]=select!$V$43,1,0)</f>
        <v>1</v>
      </c>
      <c r="H38" s="35">
        <f>IF(IF(Scharniere[[#This Row],[Anschrauben]]=1,1,IF(Scharniere[[#This Row],[Einpressen]]=1,2,IF(Scharniere[[#This Row],[Quick]]=1,3,IF(Scharniere[[#This Row],[Werkzeuglos]]=1,4,0))))=select!$F$48,1,0)</f>
        <v>0</v>
      </c>
      <c r="I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" s="149">
        <f>IF(AND(Scharniere[[#This Row],[Scharnierart]]=2,Scharniere[[#This Row],[Gruppenschlüssel]]=select!$A$318)=TRUE,1,0)</f>
        <v>0</v>
      </c>
      <c r="K38" s="221">
        <f ca="1">IF(select!$O$424&lt;6,1,0)</f>
        <v>1</v>
      </c>
      <c r="L38" s="139">
        <f>IF(select!$A$362=IF(Scharniere[[#This Row],[mit Dämpfung]]=1,1,IF(Scharniere[[#This Row],[ohne Dämpfung]]=1,2,IF(Scharniere[[#This Row],[ohne Feder]]=1,3,0))),1,0)</f>
        <v>0</v>
      </c>
      <c r="M38" s="135">
        <f>IF(Scharniere[[#This Row],[Bohrbild]]=select!$O$334,1,0)</f>
        <v>1</v>
      </c>
      <c r="N38" s="135">
        <f>IF(IF(Scharniere[[#This Row],[Anschrauben]]=1,1,IF(Scharniere[[#This Row],[Einpressen]]=1,2,IF(Scharniere[[#This Row],[Quick]]=1,3,IF(Scharniere[[#This Row],[Werkzeuglos]]=1,4,0))))=select!$E$362,1,0)</f>
        <v>0</v>
      </c>
      <c r="O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" s="298">
        <f>IF(AND(Scharniere[[#This Row],[Scharnierart]]=3,Scharniere[[#This Row],[Gruppenschlüssel]]=select!$A$747)=TRUE,1,0)</f>
        <v>0</v>
      </c>
      <c r="Q38" s="298">
        <f ca="1">IF(select!$O$945&lt;6,1,0)</f>
        <v>1</v>
      </c>
      <c r="R38" s="298">
        <f>IF(select!$A$778=IF(Scharniere[[#This Row],[mit Dämpfung]]=1,1,IF(Scharniere[[#This Row],[ohne Dämpfung]]=1,2,IF(Scharniere[[#This Row],[ohne Feder]]=1,3,0))),1,0)</f>
        <v>1</v>
      </c>
      <c r="S38" s="298">
        <f>IF(Scharniere[[#This Row],[Bohrbild]]=select!$A$755,1,0)</f>
        <v>0</v>
      </c>
      <c r="T38" s="298">
        <f>IF(IF(Scharniere[[#This Row],[Anschrauben]]=1,1,IF(Scharniere[[#This Row],[Einpressen]]=1,2,IF(Scharniere[[#This Row],[Quick]]=1,3,IF(Scharniere[[#This Row],[Werkzeuglos]]=1,4,0))))=select!$A$769,1,0)</f>
        <v>0</v>
      </c>
      <c r="U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" s="359">
        <f>IF(AND(Scharniere[[#This Row],[Scharnierart]]=4,Scharniere[[#This Row],[Gruppenschlüssel]]=select!$A$981)=TRUE,1,0)</f>
        <v>0</v>
      </c>
      <c r="W38" s="359">
        <f ca="1">IF(select!$O$1185&lt;6,1,0)</f>
        <v>1</v>
      </c>
      <c r="X38" s="359">
        <f>IF(select!$A$1012=IF(Scharniere[[#This Row],[mit Dämpfung]]=1,1,IF(Scharniere[[#This Row],[ohne Dämpfung]]=1,2,IF(Scharniere[[#This Row],[ohne Feder]]=1,3,0))),1,0)</f>
        <v>1</v>
      </c>
      <c r="Y38" s="359">
        <f>IF(Scharniere[[#This Row],[Bohrbild]]=select!$A$989,1,0)</f>
        <v>0</v>
      </c>
      <c r="Z38" s="359">
        <f>IF(IF(Scharniere[[#This Row],[Anschrauben]]=1,1,IF(Scharniere[[#This Row],[Einpressen]]=1,2,IF(Scharniere[[#This Row],[Quick]]=1,3,IF(Scharniere[[#This Row],[Werkzeuglos]]=1,4,0))))=select!$A$1003,1,0)</f>
        <v>0</v>
      </c>
      <c r="AA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" s="359">
        <f ca="1">IF(select!$K$980="*",Scharniere[[#This Row],[AG Ges2]],Scharniere[[#This Row],[AG Ges1]])</f>
        <v>0</v>
      </c>
      <c r="AE38" s="451">
        <f ca="1">IF(AND(Scharniere[[#This Row],[Scharnierart]]=select!$A$1485,Scharniere[[#This Row],[Gruppenschlüssel]]=select!$B$1485)=TRUE,1,0)</f>
        <v>1</v>
      </c>
      <c r="AF38" s="451">
        <f ca="1">IF(AND(Scharniere[[#This Row],[Scharnierart]]=select!$A$1486,Scharniere[[#This Row],[Gruppenschlüssel]]=select!$B$1486)=TRUE,1,0)</f>
        <v>0</v>
      </c>
      <c r="AG38" s="451">
        <f ca="1">IF(AND(Scharniere[[#This Row],[Scharnierart]]=select!$A$1487,Scharniere[[#This Row],[Gruppenschlüssel]]=select!$B$1487)=TRUE,1,0)</f>
        <v>0</v>
      </c>
      <c r="AH38" s="451">
        <f ca="1">IF(AND(Scharniere[[#This Row],[Scharnierart]]=select!$A$1488,Scharniere[[#This Row],[Gruppenschlüssel]]=select!$B$1488)=TRUE,1,0)</f>
        <v>0</v>
      </c>
      <c r="AI38" s="451">
        <f ca="1">IF(SUM(Scharniere[[#This Row],[konf Scharnier 1]:[konf Scharnier 4]])&gt;0,1,0)</f>
        <v>1</v>
      </c>
      <c r="AJ38" s="451"/>
      <c r="AK38" s="451"/>
      <c r="AL38" s="451"/>
      <c r="AM38" s="451"/>
      <c r="AN38" s="451"/>
      <c r="AO38" s="146">
        <v>1</v>
      </c>
      <c r="AP38" s="146">
        <v>1</v>
      </c>
      <c r="AQ38" s="10" t="str">
        <f ca="1">Sprache!$A$111</f>
        <v>Tiomos Scharnier T Impresso</v>
      </c>
      <c r="AR38" t="s">
        <v>65</v>
      </c>
      <c r="AS38" t="str">
        <f ca="1">Sprache!$A$116</f>
        <v>Tiomos Impresso Scharniere</v>
      </c>
      <c r="AT38">
        <v>19</v>
      </c>
      <c r="AU38" t="s">
        <v>8</v>
      </c>
      <c r="AV38">
        <v>110</v>
      </c>
      <c r="AW38" s="10">
        <v>0</v>
      </c>
      <c r="AX38">
        <v>1</v>
      </c>
      <c r="AY38">
        <v>0</v>
      </c>
      <c r="AZ38" s="10">
        <v>0</v>
      </c>
      <c r="BA38">
        <v>0</v>
      </c>
      <c r="BB38">
        <v>0</v>
      </c>
      <c r="BC38">
        <v>1</v>
      </c>
      <c r="BD38" s="143" t="s">
        <v>139</v>
      </c>
      <c r="BG38"/>
    </row>
    <row r="39" spans="1:59" ht="14.25" customHeight="1" x14ac:dyDescent="0.25">
      <c r="A39" s="37" t="str">
        <f>LEFT(Scharniere[[#This Row],[ArtikelNR]],4)</f>
        <v>F034</v>
      </c>
      <c r="B39" s="35" t="str">
        <f>MID(Scharniere[[#This Row],[ArtikelNR]],5,3)</f>
        <v>139</v>
      </c>
      <c r="C39" s="37" t="str">
        <f>RIGHT(Scharniere[[#This Row],[ArtikelNR]],3)</f>
        <v>303</v>
      </c>
      <c r="D39" s="35">
        <f>IF(AND(Scharniere[[#This Row],[Gruppenschlüssel]]=select!$A$44,Scharniere[[#This Row],[Scharnierart]]=1)=TRUE,1,0)</f>
        <v>1</v>
      </c>
      <c r="E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" s="35">
        <f>IF(select!$F$57=IF(Scharniere[[#This Row],[mit Dämpfung]]=1,1,IF(Scharniere[[#This Row],[ohne Dämpfung]]=1,2,IF(Scharniere[[#This Row],[ohne Feder]]=1,3,0))),1,0)</f>
        <v>0</v>
      </c>
      <c r="G39" s="35">
        <f>IF(Scharniere[[#This Row],[Bohrbild]]=select!$V$43,1,0)</f>
        <v>0</v>
      </c>
      <c r="H39" s="35">
        <f>IF(IF(Scharniere[[#This Row],[Anschrauben]]=1,1,IF(Scharniere[[#This Row],[Einpressen]]=1,2,IF(Scharniere[[#This Row],[Quick]]=1,3,IF(Scharniere[[#This Row],[Werkzeuglos]]=1,4,0))))=select!$F$48,1,0)</f>
        <v>0</v>
      </c>
      <c r="I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" s="149">
        <f>IF(AND(Scharniere[[#This Row],[Scharnierart]]=2,Scharniere[[#This Row],[Gruppenschlüssel]]=select!$A$318)=TRUE,1,0)</f>
        <v>0</v>
      </c>
      <c r="K39" s="221">
        <f ca="1">IF(select!$O$424&lt;6,1,0)</f>
        <v>1</v>
      </c>
      <c r="L39" s="139">
        <f>IF(select!$A$362=IF(Scharniere[[#This Row],[mit Dämpfung]]=1,1,IF(Scharniere[[#This Row],[ohne Dämpfung]]=1,2,IF(Scharniere[[#This Row],[ohne Feder]]=1,3,0))),1,0)</f>
        <v>0</v>
      </c>
      <c r="M39" s="135">
        <f>IF(Scharniere[[#This Row],[Bohrbild]]=select!$O$334,1,0)</f>
        <v>0</v>
      </c>
      <c r="N39" s="135">
        <f>IF(IF(Scharniere[[#This Row],[Anschrauben]]=1,1,IF(Scharniere[[#This Row],[Einpressen]]=1,2,IF(Scharniere[[#This Row],[Quick]]=1,3,IF(Scharniere[[#This Row],[Werkzeuglos]]=1,4,0))))=select!$E$362,1,0)</f>
        <v>0</v>
      </c>
      <c r="O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" s="298">
        <f>IF(AND(Scharniere[[#This Row],[Scharnierart]]=3,Scharniere[[#This Row],[Gruppenschlüssel]]=select!$A$747)=TRUE,1,0)</f>
        <v>0</v>
      </c>
      <c r="Q39" s="298">
        <f ca="1">IF(select!$O$945&lt;6,1,0)</f>
        <v>1</v>
      </c>
      <c r="R39" s="298">
        <f>IF(select!$A$778=IF(Scharniere[[#This Row],[mit Dämpfung]]=1,1,IF(Scharniere[[#This Row],[ohne Dämpfung]]=1,2,IF(Scharniere[[#This Row],[ohne Feder]]=1,3,0))),1,0)</f>
        <v>1</v>
      </c>
      <c r="S39" s="298">
        <f>IF(Scharniere[[#This Row],[Bohrbild]]=select!$A$755,1,0)</f>
        <v>0</v>
      </c>
      <c r="T39" s="298">
        <f>IF(IF(Scharniere[[#This Row],[Anschrauben]]=1,1,IF(Scharniere[[#This Row],[Einpressen]]=1,2,IF(Scharniere[[#This Row],[Quick]]=1,3,IF(Scharniere[[#This Row],[Werkzeuglos]]=1,4,0))))=select!$A$769,1,0)</f>
        <v>0</v>
      </c>
      <c r="U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" s="359">
        <f>IF(AND(Scharniere[[#This Row],[Scharnierart]]=4,Scharniere[[#This Row],[Gruppenschlüssel]]=select!$A$981)=TRUE,1,0)</f>
        <v>0</v>
      </c>
      <c r="W39" s="359">
        <f ca="1">IF(select!$O$1185&lt;6,1,0)</f>
        <v>1</v>
      </c>
      <c r="X39" s="359">
        <f>IF(select!$A$1012=IF(Scharniere[[#This Row],[mit Dämpfung]]=1,1,IF(Scharniere[[#This Row],[ohne Dämpfung]]=1,2,IF(Scharniere[[#This Row],[ohne Feder]]=1,3,0))),1,0)</f>
        <v>1</v>
      </c>
      <c r="Y39" s="359">
        <f>IF(Scharniere[[#This Row],[Bohrbild]]=select!$A$989,1,0)</f>
        <v>0</v>
      </c>
      <c r="Z39" s="359">
        <f>IF(IF(Scharniere[[#This Row],[Anschrauben]]=1,1,IF(Scharniere[[#This Row],[Einpressen]]=1,2,IF(Scharniere[[#This Row],[Quick]]=1,3,IF(Scharniere[[#This Row],[Werkzeuglos]]=1,4,0))))=select!$A$1003,1,0)</f>
        <v>0</v>
      </c>
      <c r="AA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" s="359">
        <f ca="1">IF(select!$K$980="*",Scharniere[[#This Row],[AG Ges2]],Scharniere[[#This Row],[AG Ges1]])</f>
        <v>0</v>
      </c>
      <c r="AE39" s="451">
        <f ca="1">IF(AND(Scharniere[[#This Row],[Scharnierart]]=select!$A$1485,Scharniere[[#This Row],[Gruppenschlüssel]]=select!$B$1485)=TRUE,1,0)</f>
        <v>1</v>
      </c>
      <c r="AF39" s="451">
        <f ca="1">IF(AND(Scharniere[[#This Row],[Scharnierart]]=select!$A$1486,Scharniere[[#This Row],[Gruppenschlüssel]]=select!$B$1486)=TRUE,1,0)</f>
        <v>0</v>
      </c>
      <c r="AG39" s="451">
        <f ca="1">IF(AND(Scharniere[[#This Row],[Scharnierart]]=select!$A$1487,Scharniere[[#This Row],[Gruppenschlüssel]]=select!$B$1487)=TRUE,1,0)</f>
        <v>0</v>
      </c>
      <c r="AH39" s="451">
        <f ca="1">IF(AND(Scharniere[[#This Row],[Scharnierart]]=select!$A$1488,Scharniere[[#This Row],[Gruppenschlüssel]]=select!$B$1488)=TRUE,1,0)</f>
        <v>0</v>
      </c>
      <c r="AI39" s="451">
        <f ca="1">IF(SUM(Scharniere[[#This Row],[konf Scharnier 1]:[konf Scharnier 4]])&gt;0,1,0)</f>
        <v>1</v>
      </c>
      <c r="AJ39" s="451"/>
      <c r="AK39" s="451"/>
      <c r="AL39" s="451"/>
      <c r="AM39" s="451"/>
      <c r="AN39" s="451"/>
      <c r="AO39" s="146">
        <v>1</v>
      </c>
      <c r="AP39" s="146">
        <v>1</v>
      </c>
      <c r="AQ39" s="10" t="str">
        <f ca="1">Sprache!$A$111</f>
        <v>Tiomos Scharnier T Impresso</v>
      </c>
      <c r="AR39" t="s">
        <v>65</v>
      </c>
      <c r="AS39" t="str">
        <f ca="1">Sprache!$A$116</f>
        <v>Tiomos Impresso Scharniere</v>
      </c>
      <c r="AT39">
        <v>19</v>
      </c>
      <c r="AU39" t="s">
        <v>3</v>
      </c>
      <c r="AV39">
        <v>110</v>
      </c>
      <c r="AW39" s="10">
        <v>0</v>
      </c>
      <c r="AX39">
        <v>1</v>
      </c>
      <c r="AY39">
        <v>0</v>
      </c>
      <c r="AZ39" s="10">
        <v>0</v>
      </c>
      <c r="BA39">
        <v>0</v>
      </c>
      <c r="BB39">
        <v>0</v>
      </c>
      <c r="BC39">
        <v>1</v>
      </c>
      <c r="BD39" s="143" t="s">
        <v>139</v>
      </c>
      <c r="BG39"/>
    </row>
    <row r="40" spans="1:59" ht="14.25" customHeight="1" x14ac:dyDescent="0.25">
      <c r="A40" s="37" t="str">
        <f>LEFT(Scharniere[[#This Row],[ArtikelNR]],4)</f>
        <v>F017</v>
      </c>
      <c r="B40" s="35" t="str">
        <f>MID(Scharniere[[#This Row],[ArtikelNR]],5,3)</f>
        <v>139</v>
      </c>
      <c r="C40" s="37" t="str">
        <f>RIGHT(Scharniere[[#This Row],[ArtikelNR]],3)</f>
        <v>332</v>
      </c>
      <c r="D40" s="35">
        <f>IF(AND(Scharniere[[#This Row],[Gruppenschlüssel]]=select!$A$44,Scharniere[[#This Row],[Scharnierart]]=1)=TRUE,1,0)</f>
        <v>1</v>
      </c>
      <c r="E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" s="35">
        <f>IF(select!$F$57=IF(Scharniere[[#This Row],[mit Dämpfung]]=1,1,IF(Scharniere[[#This Row],[ohne Dämpfung]]=1,2,IF(Scharniere[[#This Row],[ohne Feder]]=1,3,0))),1,0)</f>
        <v>0</v>
      </c>
      <c r="G40" s="35">
        <f>IF(Scharniere[[#This Row],[Bohrbild]]=select!$V$43,1,0)</f>
        <v>1</v>
      </c>
      <c r="H40" s="35">
        <f>IF(IF(Scharniere[[#This Row],[Anschrauben]]=1,1,IF(Scharniere[[#This Row],[Einpressen]]=1,2,IF(Scharniere[[#This Row],[Quick]]=1,3,IF(Scharniere[[#This Row],[Werkzeuglos]]=1,4,0))))=select!$F$48,1,0)</f>
        <v>0</v>
      </c>
      <c r="I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" s="149">
        <f>IF(AND(Scharniere[[#This Row],[Scharnierart]]=2,Scharniere[[#This Row],[Gruppenschlüssel]]=select!$A$318)=TRUE,1,0)</f>
        <v>0</v>
      </c>
      <c r="K40" s="221">
        <f ca="1">IF(select!$O$424&lt;6,1,0)</f>
        <v>1</v>
      </c>
      <c r="L40" s="139">
        <f>IF(select!$A$362=IF(Scharniere[[#This Row],[mit Dämpfung]]=1,1,IF(Scharniere[[#This Row],[ohne Dämpfung]]=1,2,IF(Scharniere[[#This Row],[ohne Feder]]=1,3,0))),1,0)</f>
        <v>1</v>
      </c>
      <c r="M40" s="135">
        <f>IF(Scharniere[[#This Row],[Bohrbild]]=select!$O$334,1,0)</f>
        <v>1</v>
      </c>
      <c r="N40" s="135">
        <f>IF(IF(Scharniere[[#This Row],[Anschrauben]]=1,1,IF(Scharniere[[#This Row],[Einpressen]]=1,2,IF(Scharniere[[#This Row],[Quick]]=1,3,IF(Scharniere[[#This Row],[Werkzeuglos]]=1,4,0))))=select!$E$362,1,0)</f>
        <v>0</v>
      </c>
      <c r="O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" s="298">
        <f>IF(AND(Scharniere[[#This Row],[Scharnierart]]=3,Scharniere[[#This Row],[Gruppenschlüssel]]=select!$A$747)=TRUE,1,0)</f>
        <v>0</v>
      </c>
      <c r="Q40" s="298">
        <f ca="1">IF(select!$O$945&lt;6,1,0)</f>
        <v>1</v>
      </c>
      <c r="R40" s="298">
        <f>IF(select!$A$778=IF(Scharniere[[#This Row],[mit Dämpfung]]=1,1,IF(Scharniere[[#This Row],[ohne Dämpfung]]=1,2,IF(Scharniere[[#This Row],[ohne Feder]]=1,3,0))),1,0)</f>
        <v>0</v>
      </c>
      <c r="S40" s="298">
        <f>IF(Scharniere[[#This Row],[Bohrbild]]=select!$A$755,1,0)</f>
        <v>0</v>
      </c>
      <c r="T40" s="298">
        <f>IF(IF(Scharniere[[#This Row],[Anschrauben]]=1,1,IF(Scharniere[[#This Row],[Einpressen]]=1,2,IF(Scharniere[[#This Row],[Quick]]=1,3,IF(Scharniere[[#This Row],[Werkzeuglos]]=1,4,0))))=select!$A$769,1,0)</f>
        <v>0</v>
      </c>
      <c r="U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" s="359">
        <f>IF(AND(Scharniere[[#This Row],[Scharnierart]]=4,Scharniere[[#This Row],[Gruppenschlüssel]]=select!$A$981)=TRUE,1,0)</f>
        <v>0</v>
      </c>
      <c r="W40" s="359">
        <f ca="1">IF(select!$O$1185&lt;6,1,0)</f>
        <v>1</v>
      </c>
      <c r="X40" s="359">
        <f>IF(select!$A$1012=IF(Scharniere[[#This Row],[mit Dämpfung]]=1,1,IF(Scharniere[[#This Row],[ohne Dämpfung]]=1,2,IF(Scharniere[[#This Row],[ohne Feder]]=1,3,0))),1,0)</f>
        <v>0</v>
      </c>
      <c r="Y40" s="359">
        <f>IF(Scharniere[[#This Row],[Bohrbild]]=select!$A$989,1,0)</f>
        <v>0</v>
      </c>
      <c r="Z40" s="359">
        <f>IF(IF(Scharniere[[#This Row],[Anschrauben]]=1,1,IF(Scharniere[[#This Row],[Einpressen]]=1,2,IF(Scharniere[[#This Row],[Quick]]=1,3,IF(Scharniere[[#This Row],[Werkzeuglos]]=1,4,0))))=select!$A$1003,1,0)</f>
        <v>0</v>
      </c>
      <c r="AA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" s="359">
        <f ca="1">IF(select!$K$980="*",Scharniere[[#This Row],[AG Ges2]],Scharniere[[#This Row],[AG Ges1]])</f>
        <v>0</v>
      </c>
      <c r="AE40" s="451">
        <f ca="1">IF(AND(Scharniere[[#This Row],[Scharnierart]]=select!$A$1485,Scharniere[[#This Row],[Gruppenschlüssel]]=select!$B$1485)=TRUE,1,0)</f>
        <v>1</v>
      </c>
      <c r="AF40" s="451">
        <f ca="1">IF(AND(Scharniere[[#This Row],[Scharnierart]]=select!$A$1486,Scharniere[[#This Row],[Gruppenschlüssel]]=select!$B$1486)=TRUE,1,0)</f>
        <v>0</v>
      </c>
      <c r="AG40" s="451">
        <f ca="1">IF(AND(Scharniere[[#This Row],[Scharnierart]]=select!$A$1487,Scharniere[[#This Row],[Gruppenschlüssel]]=select!$B$1487)=TRUE,1,0)</f>
        <v>0</v>
      </c>
      <c r="AH40" s="451">
        <f ca="1">IF(AND(Scharniere[[#This Row],[Scharnierart]]=select!$A$1488,Scharniere[[#This Row],[Gruppenschlüssel]]=select!$B$1488)=TRUE,1,0)</f>
        <v>0</v>
      </c>
      <c r="AI40" s="451">
        <f ca="1">IF(SUM(Scharniere[[#This Row],[konf Scharnier 1]:[konf Scharnier 4]])&gt;0,1,0)</f>
        <v>1</v>
      </c>
      <c r="AJ40" s="451"/>
      <c r="AK40" s="451"/>
      <c r="AL40" s="451"/>
      <c r="AM40" s="451"/>
      <c r="AN40" s="451"/>
      <c r="AO40" s="146">
        <v>1</v>
      </c>
      <c r="AP40" s="146">
        <v>1</v>
      </c>
      <c r="AQ40" s="10" t="str">
        <f ca="1">Sprache!$A$113</f>
        <v>Tiomos Scharnier TS Impresso</v>
      </c>
      <c r="AR40" t="s">
        <v>65</v>
      </c>
      <c r="AS40" t="str">
        <f ca="1">Sprache!$A$116</f>
        <v>Tiomos Impresso Scharniere</v>
      </c>
      <c r="AT40">
        <v>19</v>
      </c>
      <c r="AU40" t="s">
        <v>8</v>
      </c>
      <c r="AV40">
        <v>110</v>
      </c>
      <c r="AW40" s="10">
        <v>1</v>
      </c>
      <c r="AX40">
        <v>0</v>
      </c>
      <c r="AY40">
        <v>0</v>
      </c>
      <c r="AZ40" s="10">
        <v>0</v>
      </c>
      <c r="BA40">
        <v>0</v>
      </c>
      <c r="BB40">
        <v>0</v>
      </c>
      <c r="BC40">
        <v>1</v>
      </c>
      <c r="BD40" s="143" t="s">
        <v>64</v>
      </c>
      <c r="BG40"/>
    </row>
    <row r="41" spans="1:59" ht="14.25" customHeight="1" x14ac:dyDescent="0.25">
      <c r="A41" s="37" t="str">
        <f>LEFT(Scharniere[[#This Row],[ArtikelNR]],4)</f>
        <v>F017</v>
      </c>
      <c r="B41" s="35" t="str">
        <f>MID(Scharniere[[#This Row],[ArtikelNR]],5,3)</f>
        <v>139</v>
      </c>
      <c r="C41" s="37" t="str">
        <f>RIGHT(Scharniere[[#This Row],[ArtikelNR]],3)</f>
        <v>332</v>
      </c>
      <c r="D41" s="35">
        <f>IF(AND(Scharniere[[#This Row],[Gruppenschlüssel]]=select!$A$44,Scharniere[[#This Row],[Scharnierart]]=1)=TRUE,1,0)</f>
        <v>1</v>
      </c>
      <c r="E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" s="35">
        <f>IF(select!$F$57=IF(Scharniere[[#This Row],[mit Dämpfung]]=1,1,IF(Scharniere[[#This Row],[ohne Dämpfung]]=1,2,IF(Scharniere[[#This Row],[ohne Feder]]=1,3,0))),1,0)</f>
        <v>0</v>
      </c>
      <c r="G41" s="35">
        <f>IF(Scharniere[[#This Row],[Bohrbild]]=select!$V$43,1,0)</f>
        <v>0</v>
      </c>
      <c r="H41" s="35">
        <f>IF(IF(Scharniere[[#This Row],[Anschrauben]]=1,1,IF(Scharniere[[#This Row],[Einpressen]]=1,2,IF(Scharniere[[#This Row],[Quick]]=1,3,IF(Scharniere[[#This Row],[Werkzeuglos]]=1,4,0))))=select!$F$48,1,0)</f>
        <v>0</v>
      </c>
      <c r="I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" s="149">
        <f>IF(AND(Scharniere[[#This Row],[Scharnierart]]=2,Scharniere[[#This Row],[Gruppenschlüssel]]=select!$A$318)=TRUE,1,0)</f>
        <v>0</v>
      </c>
      <c r="K41" s="221">
        <f ca="1">IF(select!$O$424&lt;6,1,0)</f>
        <v>1</v>
      </c>
      <c r="L41" s="139">
        <f>IF(select!$A$362=IF(Scharniere[[#This Row],[mit Dämpfung]]=1,1,IF(Scharniere[[#This Row],[ohne Dämpfung]]=1,2,IF(Scharniere[[#This Row],[ohne Feder]]=1,3,0))),1,0)</f>
        <v>1</v>
      </c>
      <c r="M41" s="135">
        <f>IF(Scharniere[[#This Row],[Bohrbild]]=select!$O$334,1,0)</f>
        <v>0</v>
      </c>
      <c r="N41" s="135">
        <f>IF(IF(Scharniere[[#This Row],[Anschrauben]]=1,1,IF(Scharniere[[#This Row],[Einpressen]]=1,2,IF(Scharniere[[#This Row],[Quick]]=1,3,IF(Scharniere[[#This Row],[Werkzeuglos]]=1,4,0))))=select!$E$362,1,0)</f>
        <v>0</v>
      </c>
      <c r="O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" s="298">
        <f>IF(AND(Scharniere[[#This Row],[Scharnierart]]=3,Scharniere[[#This Row],[Gruppenschlüssel]]=select!$A$747)=TRUE,1,0)</f>
        <v>0</v>
      </c>
      <c r="Q41" s="298">
        <f ca="1">IF(select!$O$945&lt;6,1,0)</f>
        <v>1</v>
      </c>
      <c r="R41" s="298">
        <f>IF(select!$A$778=IF(Scharniere[[#This Row],[mit Dämpfung]]=1,1,IF(Scharniere[[#This Row],[ohne Dämpfung]]=1,2,IF(Scharniere[[#This Row],[ohne Feder]]=1,3,0))),1,0)</f>
        <v>0</v>
      </c>
      <c r="S41" s="298">
        <f>IF(Scharniere[[#This Row],[Bohrbild]]=select!$A$755,1,0)</f>
        <v>0</v>
      </c>
      <c r="T41" s="298">
        <f>IF(IF(Scharniere[[#This Row],[Anschrauben]]=1,1,IF(Scharniere[[#This Row],[Einpressen]]=1,2,IF(Scharniere[[#This Row],[Quick]]=1,3,IF(Scharniere[[#This Row],[Werkzeuglos]]=1,4,0))))=select!$A$769,1,0)</f>
        <v>0</v>
      </c>
      <c r="U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" s="359">
        <f>IF(AND(Scharniere[[#This Row],[Scharnierart]]=4,Scharniere[[#This Row],[Gruppenschlüssel]]=select!$A$981)=TRUE,1,0)</f>
        <v>0</v>
      </c>
      <c r="W41" s="359">
        <f ca="1">IF(select!$O$1185&lt;6,1,0)</f>
        <v>1</v>
      </c>
      <c r="X41" s="359">
        <f>IF(select!$A$1012=IF(Scharniere[[#This Row],[mit Dämpfung]]=1,1,IF(Scharniere[[#This Row],[ohne Dämpfung]]=1,2,IF(Scharniere[[#This Row],[ohne Feder]]=1,3,0))),1,0)</f>
        <v>0</v>
      </c>
      <c r="Y41" s="359">
        <f>IF(Scharniere[[#This Row],[Bohrbild]]=select!$A$989,1,0)</f>
        <v>0</v>
      </c>
      <c r="Z41" s="359">
        <f>IF(IF(Scharniere[[#This Row],[Anschrauben]]=1,1,IF(Scharniere[[#This Row],[Einpressen]]=1,2,IF(Scharniere[[#This Row],[Quick]]=1,3,IF(Scharniere[[#This Row],[Werkzeuglos]]=1,4,0))))=select!$A$1003,1,0)</f>
        <v>0</v>
      </c>
      <c r="AA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" s="359">
        <f ca="1">IF(select!$K$980="*",Scharniere[[#This Row],[AG Ges2]],Scharniere[[#This Row],[AG Ges1]])</f>
        <v>0</v>
      </c>
      <c r="AE41" s="451">
        <f ca="1">IF(AND(Scharniere[[#This Row],[Scharnierart]]=select!$A$1485,Scharniere[[#This Row],[Gruppenschlüssel]]=select!$B$1485)=TRUE,1,0)</f>
        <v>1</v>
      </c>
      <c r="AF41" s="451">
        <f ca="1">IF(AND(Scharniere[[#This Row],[Scharnierart]]=select!$A$1486,Scharniere[[#This Row],[Gruppenschlüssel]]=select!$B$1486)=TRUE,1,0)</f>
        <v>0</v>
      </c>
      <c r="AG41" s="451">
        <f ca="1">IF(AND(Scharniere[[#This Row],[Scharnierart]]=select!$A$1487,Scharniere[[#This Row],[Gruppenschlüssel]]=select!$B$1487)=TRUE,1,0)</f>
        <v>0</v>
      </c>
      <c r="AH41" s="451">
        <f ca="1">IF(AND(Scharniere[[#This Row],[Scharnierart]]=select!$A$1488,Scharniere[[#This Row],[Gruppenschlüssel]]=select!$B$1488)=TRUE,1,0)</f>
        <v>0</v>
      </c>
      <c r="AI41" s="451">
        <f ca="1">IF(SUM(Scharniere[[#This Row],[konf Scharnier 1]:[konf Scharnier 4]])&gt;0,1,0)</f>
        <v>1</v>
      </c>
      <c r="AJ41" s="451"/>
      <c r="AK41" s="451"/>
      <c r="AL41" s="451"/>
      <c r="AM41" s="451"/>
      <c r="AN41" s="451"/>
      <c r="AO41" s="146">
        <v>1</v>
      </c>
      <c r="AP41" s="146">
        <v>1</v>
      </c>
      <c r="AQ41" s="10" t="str">
        <f ca="1">Sprache!$A$113</f>
        <v>Tiomos Scharnier TS Impresso</v>
      </c>
      <c r="AR41" t="s">
        <v>65</v>
      </c>
      <c r="AS41" t="str">
        <f ca="1">Sprache!$A$116</f>
        <v>Tiomos Impresso Scharniere</v>
      </c>
      <c r="AT41">
        <v>19</v>
      </c>
      <c r="AU41" t="s">
        <v>3</v>
      </c>
      <c r="AV41">
        <v>110</v>
      </c>
      <c r="AW41" s="10">
        <v>1</v>
      </c>
      <c r="AX41">
        <v>0</v>
      </c>
      <c r="AY41">
        <v>0</v>
      </c>
      <c r="AZ41" s="10">
        <v>0</v>
      </c>
      <c r="BA41">
        <v>0</v>
      </c>
      <c r="BB41">
        <v>0</v>
      </c>
      <c r="BC41">
        <v>1</v>
      </c>
      <c r="BD41" s="143" t="s">
        <v>64</v>
      </c>
      <c r="BG41"/>
    </row>
    <row r="42" spans="1:59" ht="14.25" customHeight="1" x14ac:dyDescent="0.25">
      <c r="A42" s="37" t="str">
        <f>LEFT(Scharniere[[#This Row],[ArtikelNR]],4)</f>
        <v>F035</v>
      </c>
      <c r="B42" s="35" t="str">
        <f>MID(Scharniere[[#This Row],[ArtikelNR]],5,3)</f>
        <v>139</v>
      </c>
      <c r="C42" s="37" t="str">
        <f>RIGHT(Scharniere[[#This Row],[ArtikelNR]],3)</f>
        <v>360</v>
      </c>
      <c r="D42" s="35">
        <f>IF(AND(Scharniere[[#This Row],[Gruppenschlüssel]]=select!$A$44,Scharniere[[#This Row],[Scharnierart]]=1)=TRUE,1,0)</f>
        <v>1</v>
      </c>
      <c r="E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" s="35">
        <f>IF(select!$F$57=IF(Scharniere[[#This Row],[mit Dämpfung]]=1,1,IF(Scharniere[[#This Row],[ohne Dämpfung]]=1,2,IF(Scharniere[[#This Row],[ohne Feder]]=1,3,0))),1,0)</f>
        <v>1</v>
      </c>
      <c r="G42" s="35">
        <f>IF(Scharniere[[#This Row],[Bohrbild]]=select!$V$43,1,0)</f>
        <v>1</v>
      </c>
      <c r="H42" s="35">
        <f>IF(IF(Scharniere[[#This Row],[Anschrauben]]=1,1,IF(Scharniere[[#This Row],[Einpressen]]=1,2,IF(Scharniere[[#This Row],[Quick]]=1,3,IF(Scharniere[[#This Row],[Werkzeuglos]]=1,4,0))))=select!$F$48,1,0)</f>
        <v>0</v>
      </c>
      <c r="I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" s="149">
        <f>IF(AND(Scharniere[[#This Row],[Scharnierart]]=2,Scharniere[[#This Row],[Gruppenschlüssel]]=select!$A$318)=TRUE,1,0)</f>
        <v>0</v>
      </c>
      <c r="K42" s="221">
        <f ca="1">IF(select!$O$424&lt;6,1,0)</f>
        <v>1</v>
      </c>
      <c r="L42" s="139">
        <f>IF(select!$A$362=IF(Scharniere[[#This Row],[mit Dämpfung]]=1,1,IF(Scharniere[[#This Row],[ohne Dämpfung]]=1,2,IF(Scharniere[[#This Row],[ohne Feder]]=1,3,0))),1,0)</f>
        <v>0</v>
      </c>
      <c r="M42" s="135">
        <f>IF(Scharniere[[#This Row],[Bohrbild]]=select!$O$334,1,0)</f>
        <v>1</v>
      </c>
      <c r="N42" s="135">
        <f>IF(IF(Scharniere[[#This Row],[Anschrauben]]=1,1,IF(Scharniere[[#This Row],[Einpressen]]=1,2,IF(Scharniere[[#This Row],[Quick]]=1,3,IF(Scharniere[[#This Row],[Werkzeuglos]]=1,4,0))))=select!$E$362,1,0)</f>
        <v>0</v>
      </c>
      <c r="O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" s="298">
        <f>IF(AND(Scharniere[[#This Row],[Scharnierart]]=3,Scharniere[[#This Row],[Gruppenschlüssel]]=select!$A$747)=TRUE,1,0)</f>
        <v>0</v>
      </c>
      <c r="Q42" s="298">
        <f ca="1">IF(select!$O$945&lt;6,1,0)</f>
        <v>1</v>
      </c>
      <c r="R42" s="298">
        <f>IF(select!$A$778=IF(Scharniere[[#This Row],[mit Dämpfung]]=1,1,IF(Scharniere[[#This Row],[ohne Dämpfung]]=1,2,IF(Scharniere[[#This Row],[ohne Feder]]=1,3,0))),1,0)</f>
        <v>0</v>
      </c>
      <c r="S42" s="298">
        <f>IF(Scharniere[[#This Row],[Bohrbild]]=select!$A$755,1,0)</f>
        <v>0</v>
      </c>
      <c r="T42" s="298">
        <f>IF(IF(Scharniere[[#This Row],[Anschrauben]]=1,1,IF(Scharniere[[#This Row],[Einpressen]]=1,2,IF(Scharniere[[#This Row],[Quick]]=1,3,IF(Scharniere[[#This Row],[Werkzeuglos]]=1,4,0))))=select!$A$769,1,0)</f>
        <v>0</v>
      </c>
      <c r="U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" s="359">
        <f>IF(AND(Scharniere[[#This Row],[Scharnierart]]=4,Scharniere[[#This Row],[Gruppenschlüssel]]=select!$A$981)=TRUE,1,0)</f>
        <v>0</v>
      </c>
      <c r="W42" s="359">
        <f ca="1">IF(select!$O$1185&lt;6,1,0)</f>
        <v>1</v>
      </c>
      <c r="X42" s="359">
        <f>IF(select!$A$1012=IF(Scharniere[[#This Row],[mit Dämpfung]]=1,1,IF(Scharniere[[#This Row],[ohne Dämpfung]]=1,2,IF(Scharniere[[#This Row],[ohne Feder]]=1,3,0))),1,0)</f>
        <v>0</v>
      </c>
      <c r="Y42" s="359">
        <f>IF(Scharniere[[#This Row],[Bohrbild]]=select!$A$989,1,0)</f>
        <v>0</v>
      </c>
      <c r="Z42" s="359">
        <f>IF(IF(Scharniere[[#This Row],[Anschrauben]]=1,1,IF(Scharniere[[#This Row],[Einpressen]]=1,2,IF(Scharniere[[#This Row],[Quick]]=1,3,IF(Scharniere[[#This Row],[Werkzeuglos]]=1,4,0))))=select!$A$1003,1,0)</f>
        <v>0</v>
      </c>
      <c r="AA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" s="359">
        <f ca="1">IF(select!$K$980="*",Scharniere[[#This Row],[AG Ges2]],Scharniere[[#This Row],[AG Ges1]])</f>
        <v>0</v>
      </c>
      <c r="AE42" s="451">
        <f ca="1">IF(AND(Scharniere[[#This Row],[Scharnierart]]=select!$A$1485,Scharniere[[#This Row],[Gruppenschlüssel]]=select!$B$1485)=TRUE,1,0)</f>
        <v>1</v>
      </c>
      <c r="AF42" s="451">
        <f ca="1">IF(AND(Scharniere[[#This Row],[Scharnierart]]=select!$A$1486,Scharniere[[#This Row],[Gruppenschlüssel]]=select!$B$1486)=TRUE,1,0)</f>
        <v>0</v>
      </c>
      <c r="AG42" s="451">
        <f ca="1">IF(AND(Scharniere[[#This Row],[Scharnierart]]=select!$A$1487,Scharniere[[#This Row],[Gruppenschlüssel]]=select!$B$1487)=TRUE,1,0)</f>
        <v>0</v>
      </c>
      <c r="AH42" s="451">
        <f ca="1">IF(AND(Scharniere[[#This Row],[Scharnierart]]=select!$A$1488,Scharniere[[#This Row],[Gruppenschlüssel]]=select!$B$1488)=TRUE,1,0)</f>
        <v>0</v>
      </c>
      <c r="AI42" s="451">
        <f ca="1">IF(SUM(Scharniere[[#This Row],[konf Scharnier 1]:[konf Scharnier 4]])&gt;0,1,0)</f>
        <v>1</v>
      </c>
      <c r="AJ42" s="451"/>
      <c r="AK42" s="451"/>
      <c r="AL42" s="451"/>
      <c r="AM42" s="451"/>
      <c r="AN42" s="451"/>
      <c r="AO42" s="146">
        <v>1</v>
      </c>
      <c r="AP42" s="146">
        <v>1</v>
      </c>
      <c r="AQ42" s="10" t="str">
        <f ca="1">Sprache!$A$115</f>
        <v>Tiomos Scharnier TT Impresso</v>
      </c>
      <c r="AR42" t="s">
        <v>65</v>
      </c>
      <c r="AS42" t="str">
        <f ca="1">Sprache!$A$116</f>
        <v>Tiomos Impresso Scharniere</v>
      </c>
      <c r="AT42">
        <v>19</v>
      </c>
      <c r="AU42" t="s">
        <v>8</v>
      </c>
      <c r="AV42">
        <v>110</v>
      </c>
      <c r="AW42" s="10">
        <v>0</v>
      </c>
      <c r="AX42">
        <v>0</v>
      </c>
      <c r="AY42">
        <v>1</v>
      </c>
      <c r="AZ42" s="10">
        <v>0</v>
      </c>
      <c r="BA42">
        <v>0</v>
      </c>
      <c r="BB42">
        <v>0</v>
      </c>
      <c r="BC42">
        <v>1</v>
      </c>
      <c r="BD42" s="143" t="s">
        <v>183</v>
      </c>
      <c r="BG42"/>
    </row>
    <row r="43" spans="1:59" ht="14.25" customHeight="1" x14ac:dyDescent="0.25">
      <c r="A43" s="37" t="str">
        <f>LEFT(Scharniere[[#This Row],[ArtikelNR]],4)</f>
        <v>F035</v>
      </c>
      <c r="B43" s="35" t="str">
        <f>MID(Scharniere[[#This Row],[ArtikelNR]],5,3)</f>
        <v>139</v>
      </c>
      <c r="C43" s="37" t="str">
        <f>RIGHT(Scharniere[[#This Row],[ArtikelNR]],3)</f>
        <v>360</v>
      </c>
      <c r="D43" s="35">
        <f>IF(AND(Scharniere[[#This Row],[Gruppenschlüssel]]=select!$A$44,Scharniere[[#This Row],[Scharnierart]]=1)=TRUE,1,0)</f>
        <v>1</v>
      </c>
      <c r="E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" s="35">
        <f>IF(select!$F$57=IF(Scharniere[[#This Row],[mit Dämpfung]]=1,1,IF(Scharniere[[#This Row],[ohne Dämpfung]]=1,2,IF(Scharniere[[#This Row],[ohne Feder]]=1,3,0))),1,0)</f>
        <v>1</v>
      </c>
      <c r="G43" s="35">
        <f>IF(Scharniere[[#This Row],[Bohrbild]]=select!$V$43,1,0)</f>
        <v>0</v>
      </c>
      <c r="H43" s="35">
        <f>IF(IF(Scharniere[[#This Row],[Anschrauben]]=1,1,IF(Scharniere[[#This Row],[Einpressen]]=1,2,IF(Scharniere[[#This Row],[Quick]]=1,3,IF(Scharniere[[#This Row],[Werkzeuglos]]=1,4,0))))=select!$F$48,1,0)</f>
        <v>0</v>
      </c>
      <c r="I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" s="149">
        <f>IF(AND(Scharniere[[#This Row],[Scharnierart]]=2,Scharniere[[#This Row],[Gruppenschlüssel]]=select!$A$318)=TRUE,1,0)</f>
        <v>0</v>
      </c>
      <c r="K43" s="221">
        <f ca="1">IF(select!$O$424&lt;6,1,0)</f>
        <v>1</v>
      </c>
      <c r="L43" s="139">
        <f>IF(select!$A$362=IF(Scharniere[[#This Row],[mit Dämpfung]]=1,1,IF(Scharniere[[#This Row],[ohne Dämpfung]]=1,2,IF(Scharniere[[#This Row],[ohne Feder]]=1,3,0))),1,0)</f>
        <v>0</v>
      </c>
      <c r="M43" s="135">
        <f>IF(Scharniere[[#This Row],[Bohrbild]]=select!$O$334,1,0)</f>
        <v>0</v>
      </c>
      <c r="N43" s="135">
        <f>IF(IF(Scharniere[[#This Row],[Anschrauben]]=1,1,IF(Scharniere[[#This Row],[Einpressen]]=1,2,IF(Scharniere[[#This Row],[Quick]]=1,3,IF(Scharniere[[#This Row],[Werkzeuglos]]=1,4,0))))=select!$E$362,1,0)</f>
        <v>0</v>
      </c>
      <c r="O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" s="298">
        <f>IF(AND(Scharniere[[#This Row],[Scharnierart]]=3,Scharniere[[#This Row],[Gruppenschlüssel]]=select!$A$747)=TRUE,1,0)</f>
        <v>0</v>
      </c>
      <c r="Q43" s="298">
        <f ca="1">IF(select!$O$945&lt;6,1,0)</f>
        <v>1</v>
      </c>
      <c r="R43" s="298">
        <f>IF(select!$A$778=IF(Scharniere[[#This Row],[mit Dämpfung]]=1,1,IF(Scharniere[[#This Row],[ohne Dämpfung]]=1,2,IF(Scharniere[[#This Row],[ohne Feder]]=1,3,0))),1,0)</f>
        <v>0</v>
      </c>
      <c r="S43" s="298">
        <f>IF(Scharniere[[#This Row],[Bohrbild]]=select!$A$755,1,0)</f>
        <v>0</v>
      </c>
      <c r="T43" s="298">
        <f>IF(IF(Scharniere[[#This Row],[Anschrauben]]=1,1,IF(Scharniere[[#This Row],[Einpressen]]=1,2,IF(Scharniere[[#This Row],[Quick]]=1,3,IF(Scharniere[[#This Row],[Werkzeuglos]]=1,4,0))))=select!$A$769,1,0)</f>
        <v>0</v>
      </c>
      <c r="U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" s="359">
        <f>IF(AND(Scharniere[[#This Row],[Scharnierart]]=4,Scharniere[[#This Row],[Gruppenschlüssel]]=select!$A$981)=TRUE,1,0)</f>
        <v>0</v>
      </c>
      <c r="W43" s="359">
        <f ca="1">IF(select!$O$1185&lt;6,1,0)</f>
        <v>1</v>
      </c>
      <c r="X43" s="359">
        <f>IF(select!$A$1012=IF(Scharniere[[#This Row],[mit Dämpfung]]=1,1,IF(Scharniere[[#This Row],[ohne Dämpfung]]=1,2,IF(Scharniere[[#This Row],[ohne Feder]]=1,3,0))),1,0)</f>
        <v>0</v>
      </c>
      <c r="Y43" s="359">
        <f>IF(Scharniere[[#This Row],[Bohrbild]]=select!$A$989,1,0)</f>
        <v>0</v>
      </c>
      <c r="Z43" s="359">
        <f>IF(IF(Scharniere[[#This Row],[Anschrauben]]=1,1,IF(Scharniere[[#This Row],[Einpressen]]=1,2,IF(Scharniere[[#This Row],[Quick]]=1,3,IF(Scharniere[[#This Row],[Werkzeuglos]]=1,4,0))))=select!$A$1003,1,0)</f>
        <v>0</v>
      </c>
      <c r="AA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" s="359">
        <f ca="1">IF(select!$K$980="*",Scharniere[[#This Row],[AG Ges2]],Scharniere[[#This Row],[AG Ges1]])</f>
        <v>0</v>
      </c>
      <c r="AE43" s="451">
        <f ca="1">IF(AND(Scharniere[[#This Row],[Scharnierart]]=select!$A$1485,Scharniere[[#This Row],[Gruppenschlüssel]]=select!$B$1485)=TRUE,1,0)</f>
        <v>1</v>
      </c>
      <c r="AF43" s="451">
        <f ca="1">IF(AND(Scharniere[[#This Row],[Scharnierart]]=select!$A$1486,Scharniere[[#This Row],[Gruppenschlüssel]]=select!$B$1486)=TRUE,1,0)</f>
        <v>0</v>
      </c>
      <c r="AG43" s="451">
        <f ca="1">IF(AND(Scharniere[[#This Row],[Scharnierart]]=select!$A$1487,Scharniere[[#This Row],[Gruppenschlüssel]]=select!$B$1487)=TRUE,1,0)</f>
        <v>0</v>
      </c>
      <c r="AH43" s="451">
        <f ca="1">IF(AND(Scharniere[[#This Row],[Scharnierart]]=select!$A$1488,Scharniere[[#This Row],[Gruppenschlüssel]]=select!$B$1488)=TRUE,1,0)</f>
        <v>0</v>
      </c>
      <c r="AI43" s="451">
        <f ca="1">IF(SUM(Scharniere[[#This Row],[konf Scharnier 1]:[konf Scharnier 4]])&gt;0,1,0)</f>
        <v>1</v>
      </c>
      <c r="AJ43" s="451"/>
      <c r="AK43" s="451"/>
      <c r="AL43" s="451"/>
      <c r="AM43" s="451"/>
      <c r="AN43" s="451"/>
      <c r="AO43" s="146">
        <v>1</v>
      </c>
      <c r="AP43" s="146">
        <v>1</v>
      </c>
      <c r="AQ43" s="10" t="str">
        <f ca="1">Sprache!$A$115</f>
        <v>Tiomos Scharnier TT Impresso</v>
      </c>
      <c r="AR43" t="s">
        <v>65</v>
      </c>
      <c r="AS43" t="str">
        <f ca="1">Sprache!$A$116</f>
        <v>Tiomos Impresso Scharniere</v>
      </c>
      <c r="AT43">
        <v>19</v>
      </c>
      <c r="AU43" s="34" t="s">
        <v>3</v>
      </c>
      <c r="AV43">
        <v>110</v>
      </c>
      <c r="AW43" s="10">
        <v>0</v>
      </c>
      <c r="AX43">
        <v>0</v>
      </c>
      <c r="AY43">
        <v>1</v>
      </c>
      <c r="AZ43" s="10">
        <v>0</v>
      </c>
      <c r="BA43">
        <v>0</v>
      </c>
      <c r="BB43">
        <v>0</v>
      </c>
      <c r="BC43">
        <v>1</v>
      </c>
      <c r="BD43" s="143" t="s">
        <v>183</v>
      </c>
      <c r="BG43"/>
    </row>
    <row r="44" spans="1:59" ht="14.25" customHeight="1" x14ac:dyDescent="0.25">
      <c r="A44" s="37" t="str">
        <f>LEFT(Scharniere[[#This Row],[ArtikelNR]],4)</f>
        <v>F045</v>
      </c>
      <c r="B44" s="35" t="str">
        <f>MID(Scharniere[[#This Row],[ArtikelNR]],5,3)</f>
        <v>138</v>
      </c>
      <c r="C44" s="37" t="str">
        <f>RIGHT(Scharniere[[#This Row],[ArtikelNR]],3)</f>
        <v>828</v>
      </c>
      <c r="D44" s="35">
        <f>IF(AND(Scharniere[[#This Row],[Gruppenschlüssel]]=select!$A$44,Scharniere[[#This Row],[Scharnierart]]=1)=TRUE,1,0)</f>
        <v>1</v>
      </c>
      <c r="E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4" s="35">
        <f>IF(select!$F$57=IF(Scharniere[[#This Row],[mit Dämpfung]]=1,1,IF(Scharniere[[#This Row],[ohne Dämpfung]]=1,2,IF(Scharniere[[#This Row],[ohne Feder]]=1,3,0))),1,0)</f>
        <v>0</v>
      </c>
      <c r="G44" s="35">
        <f>IF(Scharniere[[#This Row],[Bohrbild]]=select!$V$43,1,0)</f>
        <v>0</v>
      </c>
      <c r="H44" s="35">
        <f>IF(IF(Scharniere[[#This Row],[Anschrauben]]=1,1,IF(Scharniere[[#This Row],[Einpressen]]=1,2,IF(Scharniere[[#This Row],[Quick]]=1,3,IF(Scharniere[[#This Row],[Werkzeuglos]]=1,4,0))))=select!$F$48,1,0)</f>
        <v>1</v>
      </c>
      <c r="I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" s="149">
        <f>IF(AND(Scharniere[[#This Row],[Scharnierart]]=2,Scharniere[[#This Row],[Gruppenschlüssel]]=select!$A$318)=TRUE,1,0)</f>
        <v>0</v>
      </c>
      <c r="K44" s="221">
        <f ca="1">IF(select!$O$424&lt;6,1,0)</f>
        <v>1</v>
      </c>
      <c r="L44" s="139">
        <f>IF(select!$A$362=IF(Scharniere[[#This Row],[mit Dämpfung]]=1,1,IF(Scharniere[[#This Row],[ohne Dämpfung]]=1,2,IF(Scharniere[[#This Row],[ohne Feder]]=1,3,0))),1,0)</f>
        <v>0</v>
      </c>
      <c r="M44" s="135">
        <f>IF(Scharniere[[#This Row],[Bohrbild]]=select!$O$334,1,0)</f>
        <v>0</v>
      </c>
      <c r="N44" s="135">
        <f>IF(IF(Scharniere[[#This Row],[Anschrauben]]=1,1,IF(Scharniere[[#This Row],[Einpressen]]=1,2,IF(Scharniere[[#This Row],[Quick]]=1,3,IF(Scharniere[[#This Row],[Werkzeuglos]]=1,4,0))))=select!$E$362,1,0)</f>
        <v>0</v>
      </c>
      <c r="O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" s="298">
        <f>IF(AND(Scharniere[[#This Row],[Scharnierart]]=3,Scharniere[[#This Row],[Gruppenschlüssel]]=select!$A$747)=TRUE,1,0)</f>
        <v>0</v>
      </c>
      <c r="Q44" s="298">
        <f ca="1">IF(select!$O$945&lt;6,1,0)</f>
        <v>1</v>
      </c>
      <c r="R44" s="298">
        <f>IF(select!$A$778=IF(Scharniere[[#This Row],[mit Dämpfung]]=1,1,IF(Scharniere[[#This Row],[ohne Dämpfung]]=1,2,IF(Scharniere[[#This Row],[ohne Feder]]=1,3,0))),1,0)</f>
        <v>1</v>
      </c>
      <c r="S44" s="298">
        <f>IF(Scharniere[[#This Row],[Bohrbild]]=select!$A$755,1,0)</f>
        <v>0</v>
      </c>
      <c r="T44" s="298">
        <f>IF(IF(Scharniere[[#This Row],[Anschrauben]]=1,1,IF(Scharniere[[#This Row],[Einpressen]]=1,2,IF(Scharniere[[#This Row],[Quick]]=1,3,IF(Scharniere[[#This Row],[Werkzeuglos]]=1,4,0))))=select!$A$769,1,0)</f>
        <v>0</v>
      </c>
      <c r="U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" s="359">
        <f>IF(AND(Scharniere[[#This Row],[Scharnierart]]=4,Scharniere[[#This Row],[Gruppenschlüssel]]=select!$A$981)=TRUE,1,0)</f>
        <v>0</v>
      </c>
      <c r="W44" s="359">
        <f ca="1">IF(select!$O$1185&lt;6,1,0)</f>
        <v>1</v>
      </c>
      <c r="X44" s="359">
        <f>IF(select!$A$1012=IF(Scharniere[[#This Row],[mit Dämpfung]]=1,1,IF(Scharniere[[#This Row],[ohne Dämpfung]]=1,2,IF(Scharniere[[#This Row],[ohne Feder]]=1,3,0))),1,0)</f>
        <v>1</v>
      </c>
      <c r="Y44" s="359">
        <f>IF(Scharniere[[#This Row],[Bohrbild]]=select!$A$989,1,0)</f>
        <v>0</v>
      </c>
      <c r="Z44" s="359">
        <f>IF(IF(Scharniere[[#This Row],[Anschrauben]]=1,1,IF(Scharniere[[#This Row],[Einpressen]]=1,2,IF(Scharniere[[#This Row],[Quick]]=1,3,IF(Scharniere[[#This Row],[Werkzeuglos]]=1,4,0))))=select!$A$1003,1,0)</f>
        <v>0</v>
      </c>
      <c r="AA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" s="359">
        <f ca="1">IF(select!$K$980="*",Scharniere[[#This Row],[AG Ges2]],Scharniere[[#This Row],[AG Ges1]])</f>
        <v>0</v>
      </c>
      <c r="AE44" s="451">
        <f ca="1">IF(AND(Scharniere[[#This Row],[Scharnierart]]=select!$A$1485,Scharniere[[#This Row],[Gruppenschlüssel]]=select!$B$1485)=TRUE,1,0)</f>
        <v>1</v>
      </c>
      <c r="AF44" s="451">
        <f ca="1">IF(AND(Scharniere[[#This Row],[Scharnierart]]=select!$A$1486,Scharniere[[#This Row],[Gruppenschlüssel]]=select!$B$1486)=TRUE,1,0)</f>
        <v>0</v>
      </c>
      <c r="AG44" s="451">
        <f ca="1">IF(AND(Scharniere[[#This Row],[Scharnierart]]=select!$A$1487,Scharniere[[#This Row],[Gruppenschlüssel]]=select!$B$1487)=TRUE,1,0)</f>
        <v>0</v>
      </c>
      <c r="AH44" s="451">
        <f ca="1">IF(AND(Scharniere[[#This Row],[Scharnierart]]=select!$A$1488,Scharniere[[#This Row],[Gruppenschlüssel]]=select!$B$1488)=TRUE,1,0)</f>
        <v>0</v>
      </c>
      <c r="AI44" s="451">
        <f ca="1">IF(SUM(Scharniere[[#This Row],[konf Scharnier 1]:[konf Scharnier 4]])&gt;0,1,0)</f>
        <v>1</v>
      </c>
      <c r="AJ44" s="451"/>
      <c r="AK44" s="451"/>
      <c r="AL44" s="451"/>
      <c r="AM44" s="451"/>
      <c r="AN44" s="451"/>
      <c r="AO44" s="146">
        <v>1</v>
      </c>
      <c r="AP44" s="146">
        <v>1</v>
      </c>
      <c r="AQ44" s="10" t="str">
        <f ca="1">Sprache!$A$110</f>
        <v>Tiomos Scharnier T Click-on</v>
      </c>
      <c r="AR44" t="str">
        <f ca="1">"110°, S-BB, K19, "&amp;Sprache!A181&amp;", ni"</f>
        <v>110°, S-BB, K19, Dübel, ni</v>
      </c>
      <c r="AS44" t="str">
        <f ca="1">Sprache!$A$103</f>
        <v>Tiomos Click-On Scharniere</v>
      </c>
      <c r="AT44">
        <v>19</v>
      </c>
      <c r="AU44" s="10" t="s">
        <v>11</v>
      </c>
      <c r="AV44">
        <v>110</v>
      </c>
      <c r="AW44" s="10">
        <v>0</v>
      </c>
      <c r="AX44">
        <v>1</v>
      </c>
      <c r="AY44">
        <v>0</v>
      </c>
      <c r="AZ44" s="10">
        <v>0</v>
      </c>
      <c r="BA44">
        <v>1</v>
      </c>
      <c r="BB44">
        <v>0</v>
      </c>
      <c r="BC44">
        <v>0</v>
      </c>
      <c r="BD44" s="143" t="s">
        <v>549</v>
      </c>
      <c r="BG44"/>
    </row>
    <row r="45" spans="1:59" ht="14.25" customHeight="1" x14ac:dyDescent="0.25">
      <c r="A45" s="37" t="str">
        <f>LEFT(Scharniere[[#This Row],[ArtikelNR]],4)</f>
        <v>F028</v>
      </c>
      <c r="B45" s="35" t="str">
        <f>MID(Scharniere[[#This Row],[ArtikelNR]],5,3)</f>
        <v>138</v>
      </c>
      <c r="C45" s="37" t="str">
        <f>RIGHT(Scharniere[[#This Row],[ArtikelNR]],3)</f>
        <v>890</v>
      </c>
      <c r="D45" s="35">
        <f>IF(AND(Scharniere[[#This Row],[Gruppenschlüssel]]=select!$A$44,Scharniere[[#This Row],[Scharnierart]]=1)=TRUE,1,0)</f>
        <v>1</v>
      </c>
      <c r="E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5" s="35">
        <f>IF(select!$F$57=IF(Scharniere[[#This Row],[mit Dämpfung]]=1,1,IF(Scharniere[[#This Row],[ohne Dämpfung]]=1,2,IF(Scharniere[[#This Row],[ohne Feder]]=1,3,0))),1,0)</f>
        <v>0</v>
      </c>
      <c r="G45" s="35">
        <f>IF(Scharniere[[#This Row],[Bohrbild]]=select!$V$43,1,0)</f>
        <v>0</v>
      </c>
      <c r="H45" s="35">
        <f>IF(IF(Scharniere[[#This Row],[Anschrauben]]=1,1,IF(Scharniere[[#This Row],[Einpressen]]=1,2,IF(Scharniere[[#This Row],[Quick]]=1,3,IF(Scharniere[[#This Row],[Werkzeuglos]]=1,4,0))))=select!$F$48,1,0)</f>
        <v>1</v>
      </c>
      <c r="I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" s="149">
        <f>IF(AND(Scharniere[[#This Row],[Scharnierart]]=2,Scharniere[[#This Row],[Gruppenschlüssel]]=select!$A$318)=TRUE,1,0)</f>
        <v>0</v>
      </c>
      <c r="K45" s="221">
        <f ca="1">IF(select!$O$424&lt;6,1,0)</f>
        <v>1</v>
      </c>
      <c r="L45" s="139">
        <f>IF(select!$A$362=IF(Scharniere[[#This Row],[mit Dämpfung]]=1,1,IF(Scharniere[[#This Row],[ohne Dämpfung]]=1,2,IF(Scharniere[[#This Row],[ohne Feder]]=1,3,0))),1,0)</f>
        <v>1</v>
      </c>
      <c r="M45" s="135">
        <f>IF(Scharniere[[#This Row],[Bohrbild]]=select!$O$334,1,0)</f>
        <v>0</v>
      </c>
      <c r="N45" s="135">
        <f>IF(IF(Scharniere[[#This Row],[Anschrauben]]=1,1,IF(Scharniere[[#This Row],[Einpressen]]=1,2,IF(Scharniere[[#This Row],[Quick]]=1,3,IF(Scharniere[[#This Row],[Werkzeuglos]]=1,4,0))))=select!$E$362,1,0)</f>
        <v>0</v>
      </c>
      <c r="O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" s="298">
        <f>IF(AND(Scharniere[[#This Row],[Scharnierart]]=3,Scharniere[[#This Row],[Gruppenschlüssel]]=select!$A$747)=TRUE,1,0)</f>
        <v>0</v>
      </c>
      <c r="Q45" s="298">
        <f ca="1">IF(select!$O$945&lt;6,1,0)</f>
        <v>1</v>
      </c>
      <c r="R45" s="298">
        <f>IF(select!$A$778=IF(Scharniere[[#This Row],[mit Dämpfung]]=1,1,IF(Scharniere[[#This Row],[ohne Dämpfung]]=1,2,IF(Scharniere[[#This Row],[ohne Feder]]=1,3,0))),1,0)</f>
        <v>0</v>
      </c>
      <c r="S45" s="298">
        <f>IF(Scharniere[[#This Row],[Bohrbild]]=select!$A$755,1,0)</f>
        <v>0</v>
      </c>
      <c r="T45" s="298">
        <f>IF(IF(Scharniere[[#This Row],[Anschrauben]]=1,1,IF(Scharniere[[#This Row],[Einpressen]]=1,2,IF(Scharniere[[#This Row],[Quick]]=1,3,IF(Scharniere[[#This Row],[Werkzeuglos]]=1,4,0))))=select!$A$769,1,0)</f>
        <v>0</v>
      </c>
      <c r="U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" s="359">
        <f>IF(AND(Scharniere[[#This Row],[Scharnierart]]=4,Scharniere[[#This Row],[Gruppenschlüssel]]=select!$A$981)=TRUE,1,0)</f>
        <v>0</v>
      </c>
      <c r="W45" s="359">
        <f ca="1">IF(select!$O$1185&lt;6,1,0)</f>
        <v>1</v>
      </c>
      <c r="X45" s="359">
        <f>IF(select!$A$1012=IF(Scharniere[[#This Row],[mit Dämpfung]]=1,1,IF(Scharniere[[#This Row],[ohne Dämpfung]]=1,2,IF(Scharniere[[#This Row],[ohne Feder]]=1,3,0))),1,0)</f>
        <v>0</v>
      </c>
      <c r="Y45" s="359">
        <f>IF(Scharniere[[#This Row],[Bohrbild]]=select!$A$989,1,0)</f>
        <v>0</v>
      </c>
      <c r="Z45" s="359">
        <f>IF(IF(Scharniere[[#This Row],[Anschrauben]]=1,1,IF(Scharniere[[#This Row],[Einpressen]]=1,2,IF(Scharniere[[#This Row],[Quick]]=1,3,IF(Scharniere[[#This Row],[Werkzeuglos]]=1,4,0))))=select!$A$1003,1,0)</f>
        <v>0</v>
      </c>
      <c r="AA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" s="359">
        <f ca="1">IF(select!$K$980="*",Scharniere[[#This Row],[AG Ges2]],Scharniere[[#This Row],[AG Ges1]])</f>
        <v>0</v>
      </c>
      <c r="AE45" s="451">
        <f ca="1">IF(AND(Scharniere[[#This Row],[Scharnierart]]=select!$A$1485,Scharniere[[#This Row],[Gruppenschlüssel]]=select!$B$1485)=TRUE,1,0)</f>
        <v>1</v>
      </c>
      <c r="AF45" s="451">
        <f ca="1">IF(AND(Scharniere[[#This Row],[Scharnierart]]=select!$A$1486,Scharniere[[#This Row],[Gruppenschlüssel]]=select!$B$1486)=TRUE,1,0)</f>
        <v>0</v>
      </c>
      <c r="AG45" s="451">
        <f ca="1">IF(AND(Scharniere[[#This Row],[Scharnierart]]=select!$A$1487,Scharniere[[#This Row],[Gruppenschlüssel]]=select!$B$1487)=TRUE,1,0)</f>
        <v>0</v>
      </c>
      <c r="AH45" s="451">
        <f ca="1">IF(AND(Scharniere[[#This Row],[Scharnierart]]=select!$A$1488,Scharniere[[#This Row],[Gruppenschlüssel]]=select!$B$1488)=TRUE,1,0)</f>
        <v>0</v>
      </c>
      <c r="AI45" s="451">
        <f ca="1">IF(SUM(Scharniere[[#This Row],[konf Scharnier 1]:[konf Scharnier 4]])&gt;0,1,0)</f>
        <v>1</v>
      </c>
      <c r="AJ45" s="451"/>
      <c r="AK45" s="451"/>
      <c r="AL45" s="451"/>
      <c r="AM45" s="451"/>
      <c r="AN45" s="451"/>
      <c r="AO45" s="146">
        <v>1</v>
      </c>
      <c r="AP45" s="146">
        <v>1</v>
      </c>
      <c r="AQ45" s="10" t="str">
        <f ca="1">Sprache!$A$112</f>
        <v>Tiomos Scharnier TS Click-on</v>
      </c>
      <c r="AR45" t="str">
        <f ca="1">"110°, S-BB, K19, "&amp;Sprache!A181&amp;", ni"</f>
        <v>110°, S-BB, K19, Dübel, ni</v>
      </c>
      <c r="AS45" t="str">
        <f ca="1">Sprache!$A$103</f>
        <v>Tiomos Click-On Scharniere</v>
      </c>
      <c r="AT45">
        <v>19</v>
      </c>
      <c r="AU45" s="10" t="s">
        <v>11</v>
      </c>
      <c r="AV45">
        <v>110</v>
      </c>
      <c r="AW45" s="10">
        <v>1</v>
      </c>
      <c r="AX45">
        <v>0</v>
      </c>
      <c r="AY45">
        <v>0</v>
      </c>
      <c r="AZ45" s="10">
        <v>0</v>
      </c>
      <c r="BA45">
        <v>1</v>
      </c>
      <c r="BB45">
        <v>0</v>
      </c>
      <c r="BC45">
        <v>0</v>
      </c>
      <c r="BD45" s="143" t="s">
        <v>389</v>
      </c>
      <c r="BG45"/>
    </row>
    <row r="46" spans="1:59" ht="14.25" customHeight="1" x14ac:dyDescent="0.25">
      <c r="A46" s="37" t="str">
        <f>LEFT(Scharniere[[#This Row],[ArtikelNR]],4)</f>
        <v>F046</v>
      </c>
      <c r="B46" s="35" t="str">
        <f>MID(Scharniere[[#This Row],[ArtikelNR]],5,3)</f>
        <v>138</v>
      </c>
      <c r="C46" s="37" t="str">
        <f>RIGHT(Scharniere[[#This Row],[ArtikelNR]],3)</f>
        <v>950</v>
      </c>
      <c r="D46" s="35">
        <f>IF(AND(Scharniere[[#This Row],[Gruppenschlüssel]]=select!$A$44,Scharniere[[#This Row],[Scharnierart]]=1)=TRUE,1,0)</f>
        <v>1</v>
      </c>
      <c r="E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6" s="35">
        <f>IF(select!$F$57=IF(Scharniere[[#This Row],[mit Dämpfung]]=1,1,IF(Scharniere[[#This Row],[ohne Dämpfung]]=1,2,IF(Scharniere[[#This Row],[ohne Feder]]=1,3,0))),1,0)</f>
        <v>1</v>
      </c>
      <c r="G46" s="35">
        <f>IF(Scharniere[[#This Row],[Bohrbild]]=select!$V$43,1,0)</f>
        <v>0</v>
      </c>
      <c r="H46" s="35">
        <f>IF(IF(Scharniere[[#This Row],[Anschrauben]]=1,1,IF(Scharniere[[#This Row],[Einpressen]]=1,2,IF(Scharniere[[#This Row],[Quick]]=1,3,IF(Scharniere[[#This Row],[Werkzeuglos]]=1,4,0))))=select!$F$48,1,0)</f>
        <v>1</v>
      </c>
      <c r="I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" s="149">
        <f>IF(AND(Scharniere[[#This Row],[Scharnierart]]=2,Scharniere[[#This Row],[Gruppenschlüssel]]=select!$A$318)=TRUE,1,0)</f>
        <v>0</v>
      </c>
      <c r="K46" s="221">
        <f ca="1">IF(select!$O$424&lt;6,1,0)</f>
        <v>1</v>
      </c>
      <c r="L46" s="139">
        <f>IF(select!$A$362=IF(Scharniere[[#This Row],[mit Dämpfung]]=1,1,IF(Scharniere[[#This Row],[ohne Dämpfung]]=1,2,IF(Scharniere[[#This Row],[ohne Feder]]=1,3,0))),1,0)</f>
        <v>0</v>
      </c>
      <c r="M46" s="135">
        <f>IF(Scharniere[[#This Row],[Bohrbild]]=select!$O$334,1,0)</f>
        <v>0</v>
      </c>
      <c r="N46" s="135">
        <f>IF(IF(Scharniere[[#This Row],[Anschrauben]]=1,1,IF(Scharniere[[#This Row],[Einpressen]]=1,2,IF(Scharniere[[#This Row],[Quick]]=1,3,IF(Scharniere[[#This Row],[Werkzeuglos]]=1,4,0))))=select!$E$362,1,0)</f>
        <v>0</v>
      </c>
      <c r="O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" s="298">
        <f>IF(AND(Scharniere[[#This Row],[Scharnierart]]=3,Scharniere[[#This Row],[Gruppenschlüssel]]=select!$A$747)=TRUE,1,0)</f>
        <v>0</v>
      </c>
      <c r="Q46" s="298">
        <f ca="1">IF(select!$O$945&lt;6,1,0)</f>
        <v>1</v>
      </c>
      <c r="R46" s="298">
        <f>IF(select!$A$778=IF(Scharniere[[#This Row],[mit Dämpfung]]=1,1,IF(Scharniere[[#This Row],[ohne Dämpfung]]=1,2,IF(Scharniere[[#This Row],[ohne Feder]]=1,3,0))),1,0)</f>
        <v>0</v>
      </c>
      <c r="S46" s="298">
        <f>IF(Scharniere[[#This Row],[Bohrbild]]=select!$A$755,1,0)</f>
        <v>0</v>
      </c>
      <c r="T46" s="298">
        <f>IF(IF(Scharniere[[#This Row],[Anschrauben]]=1,1,IF(Scharniere[[#This Row],[Einpressen]]=1,2,IF(Scharniere[[#This Row],[Quick]]=1,3,IF(Scharniere[[#This Row],[Werkzeuglos]]=1,4,0))))=select!$A$769,1,0)</f>
        <v>0</v>
      </c>
      <c r="U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" s="359">
        <f>IF(AND(Scharniere[[#This Row],[Scharnierart]]=4,Scharniere[[#This Row],[Gruppenschlüssel]]=select!$A$981)=TRUE,1,0)</f>
        <v>0</v>
      </c>
      <c r="W46" s="359">
        <f ca="1">IF(select!$O$1185&lt;6,1,0)</f>
        <v>1</v>
      </c>
      <c r="X46" s="359">
        <f>IF(select!$A$1012=IF(Scharniere[[#This Row],[mit Dämpfung]]=1,1,IF(Scharniere[[#This Row],[ohne Dämpfung]]=1,2,IF(Scharniere[[#This Row],[ohne Feder]]=1,3,0))),1,0)</f>
        <v>0</v>
      </c>
      <c r="Y46" s="359">
        <f>IF(Scharniere[[#This Row],[Bohrbild]]=select!$A$989,1,0)</f>
        <v>0</v>
      </c>
      <c r="Z46" s="359">
        <f>IF(IF(Scharniere[[#This Row],[Anschrauben]]=1,1,IF(Scharniere[[#This Row],[Einpressen]]=1,2,IF(Scharniere[[#This Row],[Quick]]=1,3,IF(Scharniere[[#This Row],[Werkzeuglos]]=1,4,0))))=select!$A$1003,1,0)</f>
        <v>0</v>
      </c>
      <c r="AA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" s="359">
        <f ca="1">IF(select!$K$980="*",Scharniere[[#This Row],[AG Ges2]],Scharniere[[#This Row],[AG Ges1]])</f>
        <v>0</v>
      </c>
      <c r="AE46" s="451">
        <f ca="1">IF(AND(Scharniere[[#This Row],[Scharnierart]]=select!$A$1485,Scharniere[[#This Row],[Gruppenschlüssel]]=select!$B$1485)=TRUE,1,0)</f>
        <v>1</v>
      </c>
      <c r="AF46" s="451">
        <f ca="1">IF(AND(Scharniere[[#This Row],[Scharnierart]]=select!$A$1486,Scharniere[[#This Row],[Gruppenschlüssel]]=select!$B$1486)=TRUE,1,0)</f>
        <v>0</v>
      </c>
      <c r="AG46" s="451">
        <f ca="1">IF(AND(Scharniere[[#This Row],[Scharnierart]]=select!$A$1487,Scharniere[[#This Row],[Gruppenschlüssel]]=select!$B$1487)=TRUE,1,0)</f>
        <v>0</v>
      </c>
      <c r="AH46" s="451">
        <f ca="1">IF(AND(Scharniere[[#This Row],[Scharnierart]]=select!$A$1488,Scharniere[[#This Row],[Gruppenschlüssel]]=select!$B$1488)=TRUE,1,0)</f>
        <v>0</v>
      </c>
      <c r="AI46" s="451">
        <f ca="1">IF(SUM(Scharniere[[#This Row],[konf Scharnier 1]:[konf Scharnier 4]])&gt;0,1,0)</f>
        <v>1</v>
      </c>
      <c r="AJ46" s="451"/>
      <c r="AK46" s="451"/>
      <c r="AL46" s="451"/>
      <c r="AM46" s="451"/>
      <c r="AN46" s="451"/>
      <c r="AO46" s="146">
        <v>1</v>
      </c>
      <c r="AP46" s="146">
        <v>1</v>
      </c>
      <c r="AQ46" s="10" t="str">
        <f ca="1">Sprache!$A$114</f>
        <v>Tiomos Scharnier TT Click-on</v>
      </c>
      <c r="AR46" t="str">
        <f ca="1">"110°, S-BB, K19, "&amp;Sprache!A181&amp;", ni"</f>
        <v>110°, S-BB, K19, Dübel, ni</v>
      </c>
      <c r="AS46" t="str">
        <f ca="1">Sprache!$A$103</f>
        <v>Tiomos Click-On Scharniere</v>
      </c>
      <c r="AT46">
        <v>19</v>
      </c>
      <c r="AU46" s="34" t="s">
        <v>11</v>
      </c>
      <c r="AV46">
        <v>110</v>
      </c>
      <c r="AW46" s="10">
        <v>0</v>
      </c>
      <c r="AX46">
        <v>0</v>
      </c>
      <c r="AY46">
        <v>1</v>
      </c>
      <c r="AZ46" s="10">
        <v>0</v>
      </c>
      <c r="BA46">
        <v>1</v>
      </c>
      <c r="BB46">
        <v>0</v>
      </c>
      <c r="BC46">
        <v>0</v>
      </c>
      <c r="BD46" s="143" t="s">
        <v>701</v>
      </c>
      <c r="BG46"/>
    </row>
    <row r="47" spans="1:59" ht="14.25" customHeight="1" x14ac:dyDescent="0.25">
      <c r="A47" s="37" t="str">
        <f>LEFT(Scharniere[[#This Row],[ArtikelNR]],4)</f>
        <v>F045</v>
      </c>
      <c r="B47" s="35" t="str">
        <f>MID(Scharniere[[#This Row],[ArtikelNR]],5,3)</f>
        <v>138</v>
      </c>
      <c r="C47" s="37" t="str">
        <f>RIGHT(Scharniere[[#This Row],[ArtikelNR]],3)</f>
        <v>824</v>
      </c>
      <c r="D47" s="35">
        <f>IF(AND(Scharniere[[#This Row],[Gruppenschlüssel]]=select!$A$44,Scharniere[[#This Row],[Scharnierart]]=1)=TRUE,1,0)</f>
        <v>1</v>
      </c>
      <c r="E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7" s="35">
        <f>IF(select!$F$57=IF(Scharniere[[#This Row],[mit Dämpfung]]=1,1,IF(Scharniere[[#This Row],[ohne Dämpfung]]=1,2,IF(Scharniere[[#This Row],[ohne Feder]]=1,3,0))),1,0)</f>
        <v>0</v>
      </c>
      <c r="G47" s="35">
        <f>IF(Scharniere[[#This Row],[Bohrbild]]=select!$V$43,1,0)</f>
        <v>0</v>
      </c>
      <c r="H47" s="35">
        <f>IF(IF(Scharniere[[#This Row],[Anschrauben]]=1,1,IF(Scharniere[[#This Row],[Einpressen]]=1,2,IF(Scharniere[[#This Row],[Quick]]=1,3,IF(Scharniere[[#This Row],[Werkzeuglos]]=1,4,0))))=select!$F$48,1,0)</f>
        <v>0</v>
      </c>
      <c r="I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" s="149">
        <f>IF(AND(Scharniere[[#This Row],[Scharnierart]]=2,Scharniere[[#This Row],[Gruppenschlüssel]]=select!$A$318)=TRUE,1,0)</f>
        <v>0</v>
      </c>
      <c r="K47" s="221">
        <f ca="1">IF(select!$O$424&lt;6,1,0)</f>
        <v>1</v>
      </c>
      <c r="L47" s="139">
        <f>IF(select!$A$362=IF(Scharniere[[#This Row],[mit Dämpfung]]=1,1,IF(Scharniere[[#This Row],[ohne Dämpfung]]=1,2,IF(Scharniere[[#This Row],[ohne Feder]]=1,3,0))),1,0)</f>
        <v>0</v>
      </c>
      <c r="M47" s="135">
        <f>IF(Scharniere[[#This Row],[Bohrbild]]=select!$O$334,1,0)</f>
        <v>0</v>
      </c>
      <c r="N47" s="135">
        <f>IF(IF(Scharniere[[#This Row],[Anschrauben]]=1,1,IF(Scharniere[[#This Row],[Einpressen]]=1,2,IF(Scharniere[[#This Row],[Quick]]=1,3,IF(Scharniere[[#This Row],[Werkzeuglos]]=1,4,0))))=select!$E$362,1,0)</f>
        <v>1</v>
      </c>
      <c r="O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" s="298">
        <f>IF(AND(Scharniere[[#This Row],[Scharnierart]]=3,Scharniere[[#This Row],[Gruppenschlüssel]]=select!$A$747)=TRUE,1,0)</f>
        <v>0</v>
      </c>
      <c r="Q47" s="298">
        <f ca="1">IF(select!$O$945&lt;6,1,0)</f>
        <v>1</v>
      </c>
      <c r="R47" s="298">
        <f>IF(select!$A$778=IF(Scharniere[[#This Row],[mit Dämpfung]]=1,1,IF(Scharniere[[#This Row],[ohne Dämpfung]]=1,2,IF(Scharniere[[#This Row],[ohne Feder]]=1,3,0))),1,0)</f>
        <v>1</v>
      </c>
      <c r="S47" s="298">
        <f>IF(Scharniere[[#This Row],[Bohrbild]]=select!$A$755,1,0)</f>
        <v>0</v>
      </c>
      <c r="T47" s="298">
        <f>IF(IF(Scharniere[[#This Row],[Anschrauben]]=1,1,IF(Scharniere[[#This Row],[Einpressen]]=1,2,IF(Scharniere[[#This Row],[Quick]]=1,3,IF(Scharniere[[#This Row],[Werkzeuglos]]=1,4,0))))=select!$A$769,1,0)</f>
        <v>1</v>
      </c>
      <c r="U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" s="359">
        <f>IF(AND(Scharniere[[#This Row],[Scharnierart]]=4,Scharniere[[#This Row],[Gruppenschlüssel]]=select!$A$981)=TRUE,1,0)</f>
        <v>0</v>
      </c>
      <c r="W47" s="359">
        <f ca="1">IF(select!$O$1185&lt;6,1,0)</f>
        <v>1</v>
      </c>
      <c r="X47" s="359">
        <f>IF(select!$A$1012=IF(Scharniere[[#This Row],[mit Dämpfung]]=1,1,IF(Scharniere[[#This Row],[ohne Dämpfung]]=1,2,IF(Scharniere[[#This Row],[ohne Feder]]=1,3,0))),1,0)</f>
        <v>1</v>
      </c>
      <c r="Y47" s="359">
        <f>IF(Scharniere[[#This Row],[Bohrbild]]=select!$A$989,1,0)</f>
        <v>0</v>
      </c>
      <c r="Z47" s="359">
        <f>IF(IF(Scharniere[[#This Row],[Anschrauben]]=1,1,IF(Scharniere[[#This Row],[Einpressen]]=1,2,IF(Scharniere[[#This Row],[Quick]]=1,3,IF(Scharniere[[#This Row],[Werkzeuglos]]=1,4,0))))=select!$A$1003,1,0)</f>
        <v>1</v>
      </c>
      <c r="AA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" s="359">
        <f ca="1">IF(select!$K$980="*",Scharniere[[#This Row],[AG Ges2]],Scharniere[[#This Row],[AG Ges1]])</f>
        <v>0</v>
      </c>
      <c r="AE47" s="451">
        <f ca="1">IF(AND(Scharniere[[#This Row],[Scharnierart]]=select!$A$1485,Scharniere[[#This Row],[Gruppenschlüssel]]=select!$B$1485)=TRUE,1,0)</f>
        <v>1</v>
      </c>
      <c r="AF47" s="451">
        <f ca="1">IF(AND(Scharniere[[#This Row],[Scharnierart]]=select!$A$1486,Scharniere[[#This Row],[Gruppenschlüssel]]=select!$B$1486)=TRUE,1,0)</f>
        <v>0</v>
      </c>
      <c r="AG47" s="451">
        <f ca="1">IF(AND(Scharniere[[#This Row],[Scharnierart]]=select!$A$1487,Scharniere[[#This Row],[Gruppenschlüssel]]=select!$B$1487)=TRUE,1,0)</f>
        <v>0</v>
      </c>
      <c r="AH47" s="451">
        <f ca="1">IF(AND(Scharniere[[#This Row],[Scharnierart]]=select!$A$1488,Scharniere[[#This Row],[Gruppenschlüssel]]=select!$B$1488)=TRUE,1,0)</f>
        <v>0</v>
      </c>
      <c r="AI47" s="451">
        <f ca="1">IF(SUM(Scharniere[[#This Row],[konf Scharnier 1]:[konf Scharnier 4]])&gt;0,1,0)</f>
        <v>1</v>
      </c>
      <c r="AJ47" s="451"/>
      <c r="AK47" s="451"/>
      <c r="AL47" s="451"/>
      <c r="AM47" s="451"/>
      <c r="AN47" s="451"/>
      <c r="AO47" s="146">
        <v>1</v>
      </c>
      <c r="AP47" s="146">
        <v>1</v>
      </c>
      <c r="AQ47" s="10" t="str">
        <f ca="1">Sprache!$A$110</f>
        <v>Tiomos Scharnier T Click-on</v>
      </c>
      <c r="AR47" t="s">
        <v>385</v>
      </c>
      <c r="AS47" t="str">
        <f ca="1">Sprache!$A$103</f>
        <v>Tiomos Click-On Scharniere</v>
      </c>
      <c r="AT47">
        <v>19</v>
      </c>
      <c r="AU47" s="34" t="s">
        <v>11</v>
      </c>
      <c r="AV47">
        <v>110</v>
      </c>
      <c r="AW47" s="10">
        <v>0</v>
      </c>
      <c r="AX47">
        <v>1</v>
      </c>
      <c r="AY47">
        <v>0</v>
      </c>
      <c r="AZ47" s="10">
        <v>1</v>
      </c>
      <c r="BA47">
        <v>0</v>
      </c>
      <c r="BB47">
        <v>0</v>
      </c>
      <c r="BC47">
        <v>0</v>
      </c>
      <c r="BD47" s="143" t="s">
        <v>545</v>
      </c>
      <c r="BG47"/>
    </row>
    <row r="48" spans="1:59" ht="14.25" customHeight="1" x14ac:dyDescent="0.25">
      <c r="A48" s="37" t="str">
        <f>LEFT(Scharniere[[#This Row],[ArtikelNR]],4)</f>
        <v>F028</v>
      </c>
      <c r="B48" s="35" t="str">
        <f>MID(Scharniere[[#This Row],[ArtikelNR]],5,3)</f>
        <v>138</v>
      </c>
      <c r="C48" s="37" t="str">
        <f>RIGHT(Scharniere[[#This Row],[ArtikelNR]],3)</f>
        <v>886</v>
      </c>
      <c r="D48" s="35">
        <f>IF(AND(Scharniere[[#This Row],[Gruppenschlüssel]]=select!$A$44,Scharniere[[#This Row],[Scharnierart]]=1)=TRUE,1,0)</f>
        <v>1</v>
      </c>
      <c r="E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8" s="35">
        <f>IF(select!$F$57=IF(Scharniere[[#This Row],[mit Dämpfung]]=1,1,IF(Scharniere[[#This Row],[ohne Dämpfung]]=1,2,IF(Scharniere[[#This Row],[ohne Feder]]=1,3,0))),1,0)</f>
        <v>0</v>
      </c>
      <c r="G48" s="35">
        <f>IF(Scharniere[[#This Row],[Bohrbild]]=select!$V$43,1,0)</f>
        <v>0</v>
      </c>
      <c r="H48" s="35">
        <f>IF(IF(Scharniere[[#This Row],[Anschrauben]]=1,1,IF(Scharniere[[#This Row],[Einpressen]]=1,2,IF(Scharniere[[#This Row],[Quick]]=1,3,IF(Scharniere[[#This Row],[Werkzeuglos]]=1,4,0))))=select!$F$48,1,0)</f>
        <v>0</v>
      </c>
      <c r="I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" s="149">
        <f>IF(AND(Scharniere[[#This Row],[Scharnierart]]=2,Scharniere[[#This Row],[Gruppenschlüssel]]=select!$A$318)=TRUE,1,0)</f>
        <v>0</v>
      </c>
      <c r="K48" s="221">
        <f ca="1">IF(select!$O$424&lt;6,1,0)</f>
        <v>1</v>
      </c>
      <c r="L48" s="139">
        <f>IF(select!$A$362=IF(Scharniere[[#This Row],[mit Dämpfung]]=1,1,IF(Scharniere[[#This Row],[ohne Dämpfung]]=1,2,IF(Scharniere[[#This Row],[ohne Feder]]=1,3,0))),1,0)</f>
        <v>1</v>
      </c>
      <c r="M48" s="135">
        <f>IF(Scharniere[[#This Row],[Bohrbild]]=select!$O$334,1,0)</f>
        <v>0</v>
      </c>
      <c r="N48" s="135">
        <f>IF(IF(Scharniere[[#This Row],[Anschrauben]]=1,1,IF(Scharniere[[#This Row],[Einpressen]]=1,2,IF(Scharniere[[#This Row],[Quick]]=1,3,IF(Scharniere[[#This Row],[Werkzeuglos]]=1,4,0))))=select!$E$362,1,0)</f>
        <v>1</v>
      </c>
      <c r="O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" s="298">
        <f>IF(AND(Scharniere[[#This Row],[Scharnierart]]=3,Scharniere[[#This Row],[Gruppenschlüssel]]=select!$A$747)=TRUE,1,0)</f>
        <v>0</v>
      </c>
      <c r="Q48" s="298">
        <f ca="1">IF(select!$O$945&lt;6,1,0)</f>
        <v>1</v>
      </c>
      <c r="R48" s="298">
        <f>IF(select!$A$778=IF(Scharniere[[#This Row],[mit Dämpfung]]=1,1,IF(Scharniere[[#This Row],[ohne Dämpfung]]=1,2,IF(Scharniere[[#This Row],[ohne Feder]]=1,3,0))),1,0)</f>
        <v>0</v>
      </c>
      <c r="S48" s="298">
        <f>IF(Scharniere[[#This Row],[Bohrbild]]=select!$A$755,1,0)</f>
        <v>0</v>
      </c>
      <c r="T48" s="298">
        <f>IF(IF(Scharniere[[#This Row],[Anschrauben]]=1,1,IF(Scharniere[[#This Row],[Einpressen]]=1,2,IF(Scharniere[[#This Row],[Quick]]=1,3,IF(Scharniere[[#This Row],[Werkzeuglos]]=1,4,0))))=select!$A$769,1,0)</f>
        <v>1</v>
      </c>
      <c r="U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" s="359">
        <f>IF(AND(Scharniere[[#This Row],[Scharnierart]]=4,Scharniere[[#This Row],[Gruppenschlüssel]]=select!$A$981)=TRUE,1,0)</f>
        <v>0</v>
      </c>
      <c r="W48" s="359">
        <f ca="1">IF(select!$O$1185&lt;6,1,0)</f>
        <v>1</v>
      </c>
      <c r="X48" s="359">
        <f>IF(select!$A$1012=IF(Scharniere[[#This Row],[mit Dämpfung]]=1,1,IF(Scharniere[[#This Row],[ohne Dämpfung]]=1,2,IF(Scharniere[[#This Row],[ohne Feder]]=1,3,0))),1,0)</f>
        <v>0</v>
      </c>
      <c r="Y48" s="359">
        <f>IF(Scharniere[[#This Row],[Bohrbild]]=select!$A$989,1,0)</f>
        <v>0</v>
      </c>
      <c r="Z48" s="359">
        <f>IF(IF(Scharniere[[#This Row],[Anschrauben]]=1,1,IF(Scharniere[[#This Row],[Einpressen]]=1,2,IF(Scharniere[[#This Row],[Quick]]=1,3,IF(Scharniere[[#This Row],[Werkzeuglos]]=1,4,0))))=select!$A$1003,1,0)</f>
        <v>1</v>
      </c>
      <c r="AA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" s="359">
        <f ca="1">IF(select!$K$980="*",Scharniere[[#This Row],[AG Ges2]],Scharniere[[#This Row],[AG Ges1]])</f>
        <v>0</v>
      </c>
      <c r="AE48" s="451">
        <f ca="1">IF(AND(Scharniere[[#This Row],[Scharnierart]]=select!$A$1485,Scharniere[[#This Row],[Gruppenschlüssel]]=select!$B$1485)=TRUE,1,0)</f>
        <v>1</v>
      </c>
      <c r="AF48" s="451">
        <f ca="1">IF(AND(Scharniere[[#This Row],[Scharnierart]]=select!$A$1486,Scharniere[[#This Row],[Gruppenschlüssel]]=select!$B$1486)=TRUE,1,0)</f>
        <v>0</v>
      </c>
      <c r="AG48" s="451">
        <f ca="1">IF(AND(Scharniere[[#This Row],[Scharnierart]]=select!$A$1487,Scharniere[[#This Row],[Gruppenschlüssel]]=select!$B$1487)=TRUE,1,0)</f>
        <v>0</v>
      </c>
      <c r="AH48" s="451">
        <f ca="1">IF(AND(Scharniere[[#This Row],[Scharnierart]]=select!$A$1488,Scharniere[[#This Row],[Gruppenschlüssel]]=select!$B$1488)=TRUE,1,0)</f>
        <v>0</v>
      </c>
      <c r="AI48" s="451">
        <f ca="1">IF(SUM(Scharniere[[#This Row],[konf Scharnier 1]:[konf Scharnier 4]])&gt;0,1,0)</f>
        <v>1</v>
      </c>
      <c r="AJ48" s="451"/>
      <c r="AK48" s="451"/>
      <c r="AL48" s="451"/>
      <c r="AM48" s="451"/>
      <c r="AN48" s="451"/>
      <c r="AO48" s="146">
        <v>1</v>
      </c>
      <c r="AP48" s="146">
        <v>1</v>
      </c>
      <c r="AQ48" s="10" t="str">
        <f ca="1">Sprache!$A$112</f>
        <v>Tiomos Scharnier TS Click-on</v>
      </c>
      <c r="AR48" t="s">
        <v>385</v>
      </c>
      <c r="AS48" t="str">
        <f ca="1">Sprache!$A$103</f>
        <v>Tiomos Click-On Scharniere</v>
      </c>
      <c r="AT48">
        <v>19</v>
      </c>
      <c r="AU48" t="s">
        <v>11</v>
      </c>
      <c r="AV48">
        <v>110</v>
      </c>
      <c r="AW48" s="10">
        <v>1</v>
      </c>
      <c r="AX48">
        <v>0</v>
      </c>
      <c r="AY48">
        <v>0</v>
      </c>
      <c r="AZ48" s="10">
        <v>1</v>
      </c>
      <c r="BA48">
        <v>0</v>
      </c>
      <c r="BB48">
        <v>0</v>
      </c>
      <c r="BC48">
        <v>0</v>
      </c>
      <c r="BD48" s="143" t="s">
        <v>384</v>
      </c>
      <c r="BG48"/>
    </row>
    <row r="49" spans="1:59" ht="14.25" customHeight="1" x14ac:dyDescent="0.25">
      <c r="A49" s="37" t="str">
        <f>LEFT(Scharniere[[#This Row],[ArtikelNR]],4)</f>
        <v>F046</v>
      </c>
      <c r="B49" s="35" t="str">
        <f>MID(Scharniere[[#This Row],[ArtikelNR]],5,3)</f>
        <v>138</v>
      </c>
      <c r="C49" s="37" t="str">
        <f>RIGHT(Scharniere[[#This Row],[ArtikelNR]],3)</f>
        <v>946</v>
      </c>
      <c r="D49" s="35">
        <f>IF(AND(Scharniere[[#This Row],[Gruppenschlüssel]]=select!$A$44,Scharniere[[#This Row],[Scharnierart]]=1)=TRUE,1,0)</f>
        <v>1</v>
      </c>
      <c r="E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" s="35">
        <f>IF(select!$F$57=IF(Scharniere[[#This Row],[mit Dämpfung]]=1,1,IF(Scharniere[[#This Row],[ohne Dämpfung]]=1,2,IF(Scharniere[[#This Row],[ohne Feder]]=1,3,0))),1,0)</f>
        <v>1</v>
      </c>
      <c r="G49" s="35">
        <f>IF(Scharniere[[#This Row],[Bohrbild]]=select!$V$43,1,0)</f>
        <v>0</v>
      </c>
      <c r="H49" s="35">
        <f>IF(IF(Scharniere[[#This Row],[Anschrauben]]=1,1,IF(Scharniere[[#This Row],[Einpressen]]=1,2,IF(Scharniere[[#This Row],[Quick]]=1,3,IF(Scharniere[[#This Row],[Werkzeuglos]]=1,4,0))))=select!$F$48,1,0)</f>
        <v>0</v>
      </c>
      <c r="I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" s="149">
        <f>IF(AND(Scharniere[[#This Row],[Scharnierart]]=2,Scharniere[[#This Row],[Gruppenschlüssel]]=select!$A$318)=TRUE,1,0)</f>
        <v>0</v>
      </c>
      <c r="K49" s="221">
        <f ca="1">IF(select!$O$424&lt;6,1,0)</f>
        <v>1</v>
      </c>
      <c r="L49" s="139">
        <f>IF(select!$A$362=IF(Scharniere[[#This Row],[mit Dämpfung]]=1,1,IF(Scharniere[[#This Row],[ohne Dämpfung]]=1,2,IF(Scharniere[[#This Row],[ohne Feder]]=1,3,0))),1,0)</f>
        <v>0</v>
      </c>
      <c r="M49" s="135">
        <f>IF(Scharniere[[#This Row],[Bohrbild]]=select!$O$334,1,0)</f>
        <v>0</v>
      </c>
      <c r="N49" s="135">
        <f>IF(IF(Scharniere[[#This Row],[Anschrauben]]=1,1,IF(Scharniere[[#This Row],[Einpressen]]=1,2,IF(Scharniere[[#This Row],[Quick]]=1,3,IF(Scharniere[[#This Row],[Werkzeuglos]]=1,4,0))))=select!$E$362,1,0)</f>
        <v>1</v>
      </c>
      <c r="O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" s="298">
        <f>IF(AND(Scharniere[[#This Row],[Scharnierart]]=3,Scharniere[[#This Row],[Gruppenschlüssel]]=select!$A$747)=TRUE,1,0)</f>
        <v>0</v>
      </c>
      <c r="Q49" s="298">
        <f ca="1">IF(select!$O$945&lt;6,1,0)</f>
        <v>1</v>
      </c>
      <c r="R49" s="298">
        <f>IF(select!$A$778=IF(Scharniere[[#This Row],[mit Dämpfung]]=1,1,IF(Scharniere[[#This Row],[ohne Dämpfung]]=1,2,IF(Scharniere[[#This Row],[ohne Feder]]=1,3,0))),1,0)</f>
        <v>0</v>
      </c>
      <c r="S49" s="298">
        <f>IF(Scharniere[[#This Row],[Bohrbild]]=select!$A$755,1,0)</f>
        <v>0</v>
      </c>
      <c r="T49" s="298">
        <f>IF(IF(Scharniere[[#This Row],[Anschrauben]]=1,1,IF(Scharniere[[#This Row],[Einpressen]]=1,2,IF(Scharniere[[#This Row],[Quick]]=1,3,IF(Scharniere[[#This Row],[Werkzeuglos]]=1,4,0))))=select!$A$769,1,0)</f>
        <v>1</v>
      </c>
      <c r="U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" s="359">
        <f>IF(AND(Scharniere[[#This Row],[Scharnierart]]=4,Scharniere[[#This Row],[Gruppenschlüssel]]=select!$A$981)=TRUE,1,0)</f>
        <v>0</v>
      </c>
      <c r="W49" s="359">
        <f ca="1">IF(select!$O$1185&lt;6,1,0)</f>
        <v>1</v>
      </c>
      <c r="X49" s="359">
        <f>IF(select!$A$1012=IF(Scharniere[[#This Row],[mit Dämpfung]]=1,1,IF(Scharniere[[#This Row],[ohne Dämpfung]]=1,2,IF(Scharniere[[#This Row],[ohne Feder]]=1,3,0))),1,0)</f>
        <v>0</v>
      </c>
      <c r="Y49" s="359">
        <f>IF(Scharniere[[#This Row],[Bohrbild]]=select!$A$989,1,0)</f>
        <v>0</v>
      </c>
      <c r="Z49" s="359">
        <f>IF(IF(Scharniere[[#This Row],[Anschrauben]]=1,1,IF(Scharniere[[#This Row],[Einpressen]]=1,2,IF(Scharniere[[#This Row],[Quick]]=1,3,IF(Scharniere[[#This Row],[Werkzeuglos]]=1,4,0))))=select!$A$1003,1,0)</f>
        <v>1</v>
      </c>
      <c r="AA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" s="359">
        <f ca="1">IF(select!$K$980="*",Scharniere[[#This Row],[AG Ges2]],Scharniere[[#This Row],[AG Ges1]])</f>
        <v>0</v>
      </c>
      <c r="AE49" s="451">
        <f ca="1">IF(AND(Scharniere[[#This Row],[Scharnierart]]=select!$A$1485,Scharniere[[#This Row],[Gruppenschlüssel]]=select!$B$1485)=TRUE,1,0)</f>
        <v>1</v>
      </c>
      <c r="AF49" s="451">
        <f ca="1">IF(AND(Scharniere[[#This Row],[Scharnierart]]=select!$A$1486,Scharniere[[#This Row],[Gruppenschlüssel]]=select!$B$1486)=TRUE,1,0)</f>
        <v>0</v>
      </c>
      <c r="AG49" s="451">
        <f ca="1">IF(AND(Scharniere[[#This Row],[Scharnierart]]=select!$A$1487,Scharniere[[#This Row],[Gruppenschlüssel]]=select!$B$1487)=TRUE,1,0)</f>
        <v>0</v>
      </c>
      <c r="AH49" s="451">
        <f ca="1">IF(AND(Scharniere[[#This Row],[Scharnierart]]=select!$A$1488,Scharniere[[#This Row],[Gruppenschlüssel]]=select!$B$1488)=TRUE,1,0)</f>
        <v>0</v>
      </c>
      <c r="AI49" s="451">
        <f ca="1">IF(SUM(Scharniere[[#This Row],[konf Scharnier 1]:[konf Scharnier 4]])&gt;0,1,0)</f>
        <v>1</v>
      </c>
      <c r="AJ49" s="451"/>
      <c r="AK49" s="451"/>
      <c r="AL49" s="451"/>
      <c r="AM49" s="451"/>
      <c r="AN49" s="451"/>
      <c r="AO49" s="146">
        <v>1</v>
      </c>
      <c r="AP49" s="146">
        <v>1</v>
      </c>
      <c r="AQ49" s="10" t="str">
        <f ca="1">Sprache!$A$114</f>
        <v>Tiomos Scharnier TT Click-on</v>
      </c>
      <c r="AR49" t="s">
        <v>385</v>
      </c>
      <c r="AS49" t="str">
        <f ca="1">Sprache!$A$103</f>
        <v>Tiomos Click-On Scharniere</v>
      </c>
      <c r="AT49">
        <v>19</v>
      </c>
      <c r="AU49" t="s">
        <v>11</v>
      </c>
      <c r="AV49">
        <v>110</v>
      </c>
      <c r="AW49" s="10">
        <v>0</v>
      </c>
      <c r="AX49">
        <v>0</v>
      </c>
      <c r="AY49">
        <v>1</v>
      </c>
      <c r="AZ49" s="10">
        <v>1</v>
      </c>
      <c r="BA49">
        <v>0</v>
      </c>
      <c r="BB49">
        <v>0</v>
      </c>
      <c r="BC49">
        <v>0</v>
      </c>
      <c r="BD49" s="143" t="s">
        <v>697</v>
      </c>
      <c r="BG49"/>
    </row>
    <row r="50" spans="1:59" ht="14.25" customHeight="1" x14ac:dyDescent="0.25">
      <c r="A50" s="37" t="str">
        <f>LEFT(Scharniere[[#This Row],[ArtikelNR]],4)</f>
        <v>F022</v>
      </c>
      <c r="B50" s="35" t="str">
        <f>MID(Scharniere[[#This Row],[ArtikelNR]],5,3)</f>
        <v>140</v>
      </c>
      <c r="C50" s="37" t="str">
        <f>RIGHT(Scharniere[[#This Row],[ArtikelNR]],3)</f>
        <v>093</v>
      </c>
      <c r="D50" s="35">
        <f>IF(AND(Scharniere[[#This Row],[Gruppenschlüssel]]=select!$A$44,Scharniere[[#This Row],[Scharnierart]]=1)=TRUE,1,0)</f>
        <v>1</v>
      </c>
      <c r="E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" s="35">
        <f>IF(select!$F$57=IF(Scharniere[[#This Row],[mit Dämpfung]]=1,1,IF(Scharniere[[#This Row],[ohne Dämpfung]]=1,2,IF(Scharniere[[#This Row],[ohne Feder]]=1,3,0))),1,0)</f>
        <v>0</v>
      </c>
      <c r="G50" s="35">
        <f>IF(Scharniere[[#This Row],[Bohrbild]]=select!$V$43,1,0)</f>
        <v>0</v>
      </c>
      <c r="H50" s="35">
        <f>IF(IF(Scharniere[[#This Row],[Anschrauben]]=1,1,IF(Scharniere[[#This Row],[Einpressen]]=1,2,IF(Scharniere[[#This Row],[Quick]]=1,3,IF(Scharniere[[#This Row],[Werkzeuglos]]=1,4,0))))=select!$F$48,1,0)</f>
        <v>0</v>
      </c>
      <c r="I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" s="149">
        <f>IF(AND(Scharniere[[#This Row],[Scharnierart]]=2,Scharniere[[#This Row],[Gruppenschlüssel]]=select!$A$318)=TRUE,1,0)</f>
        <v>0</v>
      </c>
      <c r="K50" s="221">
        <f ca="1">IF(select!$O$424&lt;6,1,0)</f>
        <v>1</v>
      </c>
      <c r="L50" s="139">
        <f>IF(select!$A$362=IF(Scharniere[[#This Row],[mit Dämpfung]]=1,1,IF(Scharniere[[#This Row],[ohne Dämpfung]]=1,2,IF(Scharniere[[#This Row],[ohne Feder]]=1,3,0))),1,0)</f>
        <v>1</v>
      </c>
      <c r="M50" s="135">
        <f>IF(Scharniere[[#This Row],[Bohrbild]]=select!$O$334,1,0)</f>
        <v>0</v>
      </c>
      <c r="N50" s="135">
        <f>IF(IF(Scharniere[[#This Row],[Anschrauben]]=1,1,IF(Scharniere[[#This Row],[Einpressen]]=1,2,IF(Scharniere[[#This Row],[Quick]]=1,3,IF(Scharniere[[#This Row],[Werkzeuglos]]=1,4,0))))=select!$E$362,1,0)</f>
        <v>0</v>
      </c>
      <c r="O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" s="298">
        <f>IF(AND(Scharniere[[#This Row],[Scharnierart]]=3,Scharniere[[#This Row],[Gruppenschlüssel]]=select!$A$747)=TRUE,1,0)</f>
        <v>0</v>
      </c>
      <c r="Q50" s="298">
        <f ca="1">IF(select!$O$945&lt;6,1,0)</f>
        <v>1</v>
      </c>
      <c r="R50" s="298">
        <f>IF(select!$A$778=IF(Scharniere[[#This Row],[mit Dämpfung]]=1,1,IF(Scharniere[[#This Row],[ohne Dämpfung]]=1,2,IF(Scharniere[[#This Row],[ohne Feder]]=1,3,0))),1,0)</f>
        <v>0</v>
      </c>
      <c r="S50" s="298">
        <f>IF(Scharniere[[#This Row],[Bohrbild]]=select!$A$755,1,0)</f>
        <v>0</v>
      </c>
      <c r="T50" s="298">
        <f>IF(IF(Scharniere[[#This Row],[Anschrauben]]=1,1,IF(Scharniere[[#This Row],[Einpressen]]=1,2,IF(Scharniere[[#This Row],[Quick]]=1,3,IF(Scharniere[[#This Row],[Werkzeuglos]]=1,4,0))))=select!$A$769,1,0)</f>
        <v>0</v>
      </c>
      <c r="U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" s="359">
        <f>IF(AND(Scharniere[[#This Row],[Scharnierart]]=4,Scharniere[[#This Row],[Gruppenschlüssel]]=select!$A$981)=TRUE,1,0)</f>
        <v>0</v>
      </c>
      <c r="W50" s="359">
        <f ca="1">IF(select!$O$1185&lt;6,1,0)</f>
        <v>1</v>
      </c>
      <c r="X50" s="359">
        <f>IF(select!$A$1012=IF(Scharniere[[#This Row],[mit Dämpfung]]=1,1,IF(Scharniere[[#This Row],[ohne Dämpfung]]=1,2,IF(Scharniere[[#This Row],[ohne Feder]]=1,3,0))),1,0)</f>
        <v>0</v>
      </c>
      <c r="Y50" s="359">
        <f>IF(Scharniere[[#This Row],[Bohrbild]]=select!$A$989,1,0)</f>
        <v>0</v>
      </c>
      <c r="Z50" s="359">
        <f>IF(IF(Scharniere[[#This Row],[Anschrauben]]=1,1,IF(Scharniere[[#This Row],[Einpressen]]=1,2,IF(Scharniere[[#This Row],[Quick]]=1,3,IF(Scharniere[[#This Row],[Werkzeuglos]]=1,4,0))))=select!$A$1003,1,0)</f>
        <v>0</v>
      </c>
      <c r="AA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" s="359">
        <f ca="1">IF(select!$K$980="*",Scharniere[[#This Row],[AG Ges2]],Scharniere[[#This Row],[AG Ges1]])</f>
        <v>0</v>
      </c>
      <c r="AE50" s="451">
        <f ca="1">IF(AND(Scharniere[[#This Row],[Scharnierart]]=select!$A$1485,Scharniere[[#This Row],[Gruppenschlüssel]]=select!$B$1485)=TRUE,1,0)</f>
        <v>1</v>
      </c>
      <c r="AF50" s="451">
        <f ca="1">IF(AND(Scharniere[[#This Row],[Scharnierart]]=select!$A$1486,Scharniere[[#This Row],[Gruppenschlüssel]]=select!$B$1486)=TRUE,1,0)</f>
        <v>0</v>
      </c>
      <c r="AG50" s="451">
        <f ca="1">IF(AND(Scharniere[[#This Row],[Scharnierart]]=select!$A$1487,Scharniere[[#This Row],[Gruppenschlüssel]]=select!$B$1487)=TRUE,1,0)</f>
        <v>0</v>
      </c>
      <c r="AH50" s="451">
        <f ca="1">IF(AND(Scharniere[[#This Row],[Scharnierart]]=select!$A$1488,Scharniere[[#This Row],[Gruppenschlüssel]]=select!$B$1488)=TRUE,1,0)</f>
        <v>0</v>
      </c>
      <c r="AI50" s="451">
        <f ca="1">IF(SUM(Scharniere[[#This Row],[konf Scharnier 1]:[konf Scharnier 4]])&gt;0,1,0)</f>
        <v>1</v>
      </c>
      <c r="AJ50" s="451"/>
      <c r="AK50" s="451"/>
      <c r="AL50" s="451"/>
      <c r="AM50" s="451"/>
      <c r="AN50" s="451"/>
      <c r="AO50" s="146">
        <v>1</v>
      </c>
      <c r="AP50" s="146">
        <v>1</v>
      </c>
      <c r="AQ50" s="10" t="str">
        <f ca="1">Sprache!$A$126</f>
        <v>Tiomos Scharnier TS Quick</v>
      </c>
      <c r="AR50" t="s">
        <v>307</v>
      </c>
      <c r="AS50" t="str">
        <f ca="1">Sprache!$A$102</f>
        <v>Tiomos Quick Scharnier</v>
      </c>
      <c r="AT50">
        <v>19</v>
      </c>
      <c r="AU50" s="820" t="s">
        <v>3</v>
      </c>
      <c r="AV50" t="s">
        <v>1489</v>
      </c>
      <c r="AW50" s="10">
        <v>1</v>
      </c>
      <c r="AX50">
        <v>0</v>
      </c>
      <c r="AY50">
        <v>0</v>
      </c>
      <c r="AZ50" s="10">
        <v>0</v>
      </c>
      <c r="BA50">
        <v>0</v>
      </c>
      <c r="BB50">
        <v>1</v>
      </c>
      <c r="BC50">
        <v>0</v>
      </c>
      <c r="BD50" s="143" t="s">
        <v>1512</v>
      </c>
      <c r="BG50"/>
    </row>
    <row r="51" spans="1:59" ht="14.25" customHeight="1" x14ac:dyDescent="0.25">
      <c r="A51" s="37" t="str">
        <f>LEFT(Scharniere[[#This Row],[ArtikelNR]],4)</f>
        <v>F039</v>
      </c>
      <c r="B51" s="35" t="str">
        <f>MID(Scharniere[[#This Row],[ArtikelNR]],5,3)</f>
        <v>140</v>
      </c>
      <c r="C51" s="37" t="str">
        <f>RIGHT(Scharniere[[#This Row],[ArtikelNR]],3)</f>
        <v>033</v>
      </c>
      <c r="D51" s="35">
        <f>IF(AND(Scharniere[[#This Row],[Gruppenschlüssel]]=select!$A$44,Scharniere[[#This Row],[Scharnierart]]=1)=TRUE,1,0)</f>
        <v>1</v>
      </c>
      <c r="E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" s="35">
        <f>IF(select!$F$57=IF(Scharniere[[#This Row],[mit Dämpfung]]=1,1,IF(Scharniere[[#This Row],[ohne Dämpfung]]=1,2,IF(Scharniere[[#This Row],[ohne Feder]]=1,3,0))),1,0)</f>
        <v>0</v>
      </c>
      <c r="G51" s="35">
        <f>IF(Scharniere[[#This Row],[Bohrbild]]=select!$V$43,1,0)</f>
        <v>0</v>
      </c>
      <c r="H51" s="35">
        <f>IF(IF(Scharniere[[#This Row],[Anschrauben]]=1,1,IF(Scharniere[[#This Row],[Einpressen]]=1,2,IF(Scharniere[[#This Row],[Quick]]=1,3,IF(Scharniere[[#This Row],[Werkzeuglos]]=1,4,0))))=select!$F$48,1,0)</f>
        <v>0</v>
      </c>
      <c r="I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" s="149">
        <f>IF(AND(Scharniere[[#This Row],[Scharnierart]]=2,Scharniere[[#This Row],[Gruppenschlüssel]]=select!$A$318)=TRUE,1,0)</f>
        <v>0</v>
      </c>
      <c r="K51" s="221">
        <f ca="1">IF(select!$O$424&lt;6,1,0)</f>
        <v>1</v>
      </c>
      <c r="L51" s="139">
        <f>IF(select!$A$362=IF(Scharniere[[#This Row],[mit Dämpfung]]=1,1,IF(Scharniere[[#This Row],[ohne Dämpfung]]=1,2,IF(Scharniere[[#This Row],[ohne Feder]]=1,3,0))),1,0)</f>
        <v>0</v>
      </c>
      <c r="M51" s="135">
        <f>IF(Scharniere[[#This Row],[Bohrbild]]=select!$O$334,1,0)</f>
        <v>0</v>
      </c>
      <c r="N51" s="135">
        <f>IF(IF(Scharniere[[#This Row],[Anschrauben]]=1,1,IF(Scharniere[[#This Row],[Einpressen]]=1,2,IF(Scharniere[[#This Row],[Quick]]=1,3,IF(Scharniere[[#This Row],[Werkzeuglos]]=1,4,0))))=select!$E$362,1,0)</f>
        <v>0</v>
      </c>
      <c r="O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" s="298">
        <f>IF(AND(Scharniere[[#This Row],[Scharnierart]]=3,Scharniere[[#This Row],[Gruppenschlüssel]]=select!$A$747)=TRUE,1,0)</f>
        <v>0</v>
      </c>
      <c r="Q51" s="298">
        <f ca="1">IF(select!$O$945&lt;6,1,0)</f>
        <v>1</v>
      </c>
      <c r="R51" s="298">
        <f>IF(select!$A$778=IF(Scharniere[[#This Row],[mit Dämpfung]]=1,1,IF(Scharniere[[#This Row],[ohne Dämpfung]]=1,2,IF(Scharniere[[#This Row],[ohne Feder]]=1,3,0))),1,0)</f>
        <v>1</v>
      </c>
      <c r="S51" s="298">
        <f>IF(Scharniere[[#This Row],[Bohrbild]]=select!$A$755,1,0)</f>
        <v>0</v>
      </c>
      <c r="T51" s="298">
        <f>IF(IF(Scharniere[[#This Row],[Anschrauben]]=1,1,IF(Scharniere[[#This Row],[Einpressen]]=1,2,IF(Scharniere[[#This Row],[Quick]]=1,3,IF(Scharniere[[#This Row],[Werkzeuglos]]=1,4,0))))=select!$A$769,1,0)</f>
        <v>0</v>
      </c>
      <c r="U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" s="359">
        <f>IF(AND(Scharniere[[#This Row],[Scharnierart]]=4,Scharniere[[#This Row],[Gruppenschlüssel]]=select!$A$981)=TRUE,1,0)</f>
        <v>0</v>
      </c>
      <c r="W51" s="359">
        <f ca="1">IF(select!$O$1185&lt;6,1,0)</f>
        <v>1</v>
      </c>
      <c r="X51" s="359">
        <f>IF(select!$A$1012=IF(Scharniere[[#This Row],[mit Dämpfung]]=1,1,IF(Scharniere[[#This Row],[ohne Dämpfung]]=1,2,IF(Scharniere[[#This Row],[ohne Feder]]=1,3,0))),1,0)</f>
        <v>1</v>
      </c>
      <c r="Y51" s="359">
        <f>IF(Scharniere[[#This Row],[Bohrbild]]=select!$A$989,1,0)</f>
        <v>0</v>
      </c>
      <c r="Z51" s="359">
        <f>IF(IF(Scharniere[[#This Row],[Anschrauben]]=1,1,IF(Scharniere[[#This Row],[Einpressen]]=1,2,IF(Scharniere[[#This Row],[Quick]]=1,3,IF(Scharniere[[#This Row],[Werkzeuglos]]=1,4,0))))=select!$A$1003,1,0)</f>
        <v>0</v>
      </c>
      <c r="AA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" s="359">
        <f ca="1">IF(select!$K$980="*",Scharniere[[#This Row],[AG Ges2]],Scharniere[[#This Row],[AG Ges1]])</f>
        <v>0</v>
      </c>
      <c r="AE51" s="451">
        <f ca="1">IF(AND(Scharniere[[#This Row],[Scharnierart]]=select!$A$1485,Scharniere[[#This Row],[Gruppenschlüssel]]=select!$B$1485)=TRUE,1,0)</f>
        <v>1</v>
      </c>
      <c r="AF51" s="451">
        <f ca="1">IF(AND(Scharniere[[#This Row],[Scharnierart]]=select!$A$1486,Scharniere[[#This Row],[Gruppenschlüssel]]=select!$B$1486)=TRUE,1,0)</f>
        <v>0</v>
      </c>
      <c r="AG51" s="451">
        <f ca="1">IF(AND(Scharniere[[#This Row],[Scharnierart]]=select!$A$1487,Scharniere[[#This Row],[Gruppenschlüssel]]=select!$B$1487)=TRUE,1,0)</f>
        <v>0</v>
      </c>
      <c r="AH51" s="451">
        <f ca="1">IF(AND(Scharniere[[#This Row],[Scharnierart]]=select!$A$1488,Scharniere[[#This Row],[Gruppenschlüssel]]=select!$B$1488)=TRUE,1,0)</f>
        <v>0</v>
      </c>
      <c r="AI51" s="451">
        <f ca="1">IF(SUM(Scharniere[[#This Row],[konf Scharnier 1]:[konf Scharnier 4]])&gt;0,1,0)</f>
        <v>1</v>
      </c>
      <c r="AJ51" s="451"/>
      <c r="AK51" s="451"/>
      <c r="AL51" s="451"/>
      <c r="AM51" s="451"/>
      <c r="AN51" s="451"/>
      <c r="AO51" s="146">
        <v>1</v>
      </c>
      <c r="AP51" s="146">
        <v>1</v>
      </c>
      <c r="AQ51" s="10" t="str">
        <f ca="1">Sprache!$A$123</f>
        <v>Tiomos Scharnier T Quick</v>
      </c>
      <c r="AR51" t="s">
        <v>307</v>
      </c>
      <c r="AS51" t="str">
        <f ca="1">Sprache!$A$102</f>
        <v>Tiomos Quick Scharnier</v>
      </c>
      <c r="AT51">
        <v>19</v>
      </c>
      <c r="AU51" t="s">
        <v>3</v>
      </c>
      <c r="AV51" t="s">
        <v>1489</v>
      </c>
      <c r="AW51" s="10">
        <v>0</v>
      </c>
      <c r="AX51">
        <v>1</v>
      </c>
      <c r="AY51">
        <v>0</v>
      </c>
      <c r="AZ51" s="10">
        <v>0</v>
      </c>
      <c r="BA51">
        <v>0</v>
      </c>
      <c r="BB51">
        <v>1</v>
      </c>
      <c r="BC51">
        <v>0</v>
      </c>
      <c r="BD51" s="143" t="s">
        <v>1614</v>
      </c>
      <c r="BG51"/>
    </row>
    <row r="52" spans="1:59" ht="14.25" customHeight="1" x14ac:dyDescent="0.25">
      <c r="A52" s="37" t="str">
        <f>LEFT(Scharniere[[#This Row],[ArtikelNR]],4)</f>
        <v>F045</v>
      </c>
      <c r="B52" s="35" t="str">
        <f>MID(Scharniere[[#This Row],[ArtikelNR]],5,3)</f>
        <v>138</v>
      </c>
      <c r="C52" s="37" t="str">
        <f>RIGHT(Scharniere[[#This Row],[ArtikelNR]],3)</f>
        <v>463</v>
      </c>
      <c r="D52" s="35">
        <f>IF(AND(Scharniere[[#This Row],[Gruppenschlüssel]]=select!$A$44,Scharniere[[#This Row],[Scharnierart]]=1)=TRUE,1,0)</f>
        <v>1</v>
      </c>
      <c r="E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" s="35">
        <f>IF(select!$F$57=IF(Scharniere[[#This Row],[mit Dämpfung]]=1,1,IF(Scharniere[[#This Row],[ohne Dämpfung]]=1,2,IF(Scharniere[[#This Row],[ohne Feder]]=1,3,0))),1,0)</f>
        <v>0</v>
      </c>
      <c r="G52" s="35">
        <f>IF(Scharniere[[#This Row],[Bohrbild]]=select!$V$43,1,0)</f>
        <v>0</v>
      </c>
      <c r="H52" s="35">
        <f>IF(IF(Scharniere[[#This Row],[Anschrauben]]=1,1,IF(Scharniere[[#This Row],[Einpressen]]=1,2,IF(Scharniere[[#This Row],[Quick]]=1,3,IF(Scharniere[[#This Row],[Werkzeuglos]]=1,4,0))))=select!$F$48,1,0)</f>
        <v>1</v>
      </c>
      <c r="I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" s="149">
        <f>IF(AND(Scharniere[[#This Row],[Scharnierart]]=2,Scharniere[[#This Row],[Gruppenschlüssel]]=select!$A$318)=TRUE,1,0)</f>
        <v>0</v>
      </c>
      <c r="K52" s="221">
        <f ca="1">IF(select!$O$424&lt;6,1,0)</f>
        <v>1</v>
      </c>
      <c r="L52" s="139">
        <f>IF(select!$A$362=IF(Scharniere[[#This Row],[mit Dämpfung]]=1,1,IF(Scharniere[[#This Row],[ohne Dämpfung]]=1,2,IF(Scharniere[[#This Row],[ohne Feder]]=1,3,0))),1,0)</f>
        <v>0</v>
      </c>
      <c r="M52" s="135">
        <f>IF(Scharniere[[#This Row],[Bohrbild]]=select!$O$334,1,0)</f>
        <v>0</v>
      </c>
      <c r="N52" s="135">
        <f>IF(IF(Scharniere[[#This Row],[Anschrauben]]=1,1,IF(Scharniere[[#This Row],[Einpressen]]=1,2,IF(Scharniere[[#This Row],[Quick]]=1,3,IF(Scharniere[[#This Row],[Werkzeuglos]]=1,4,0))))=select!$E$362,1,0)</f>
        <v>0</v>
      </c>
      <c r="O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" s="298">
        <f>IF(AND(Scharniere[[#This Row],[Scharnierart]]=3,Scharniere[[#This Row],[Gruppenschlüssel]]=select!$A$747)=TRUE,1,0)</f>
        <v>0</v>
      </c>
      <c r="Q52" s="298">
        <f ca="1">IF(select!$O$945&lt;6,1,0)</f>
        <v>1</v>
      </c>
      <c r="R52" s="298">
        <f>IF(select!$A$778=IF(Scharniere[[#This Row],[mit Dämpfung]]=1,1,IF(Scharniere[[#This Row],[ohne Dämpfung]]=1,2,IF(Scharniere[[#This Row],[ohne Feder]]=1,3,0))),1,0)</f>
        <v>1</v>
      </c>
      <c r="S52" s="298">
        <f>IF(Scharniere[[#This Row],[Bohrbild]]=select!$A$755,1,0)</f>
        <v>0</v>
      </c>
      <c r="T52" s="298">
        <f>IF(IF(Scharniere[[#This Row],[Anschrauben]]=1,1,IF(Scharniere[[#This Row],[Einpressen]]=1,2,IF(Scharniere[[#This Row],[Quick]]=1,3,IF(Scharniere[[#This Row],[Werkzeuglos]]=1,4,0))))=select!$A$769,1,0)</f>
        <v>0</v>
      </c>
      <c r="U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" s="359">
        <f>IF(AND(Scharniere[[#This Row],[Scharnierart]]=4,Scharniere[[#This Row],[Gruppenschlüssel]]=select!$A$981)=TRUE,1,0)</f>
        <v>0</v>
      </c>
      <c r="W52" s="359">
        <f ca="1">IF(select!$O$1185&lt;6,1,0)</f>
        <v>1</v>
      </c>
      <c r="X52" s="359">
        <f>IF(select!$A$1012=IF(Scharniere[[#This Row],[mit Dämpfung]]=1,1,IF(Scharniere[[#This Row],[ohne Dämpfung]]=1,2,IF(Scharniere[[#This Row],[ohne Feder]]=1,3,0))),1,0)</f>
        <v>1</v>
      </c>
      <c r="Y52" s="359">
        <f>IF(Scharniere[[#This Row],[Bohrbild]]=select!$A$989,1,0)</f>
        <v>0</v>
      </c>
      <c r="Z52" s="359">
        <f>IF(IF(Scharniere[[#This Row],[Anschrauben]]=1,1,IF(Scharniere[[#This Row],[Einpressen]]=1,2,IF(Scharniere[[#This Row],[Quick]]=1,3,IF(Scharniere[[#This Row],[Werkzeuglos]]=1,4,0))))=select!$A$1003,1,0)</f>
        <v>0</v>
      </c>
      <c r="AA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" s="359">
        <f ca="1">IF(select!$K$980="*",Scharniere[[#This Row],[AG Ges2]],Scharniere[[#This Row],[AG Ges1]])</f>
        <v>0</v>
      </c>
      <c r="AE52" s="451">
        <f ca="1">IF(AND(Scharniere[[#This Row],[Scharnierart]]=select!$A$1485,Scharniere[[#This Row],[Gruppenschlüssel]]=select!$B$1485)=TRUE,1,0)</f>
        <v>1</v>
      </c>
      <c r="AF52" s="451">
        <f ca="1">IF(AND(Scharniere[[#This Row],[Scharnierart]]=select!$A$1486,Scharniere[[#This Row],[Gruppenschlüssel]]=select!$B$1486)=TRUE,1,0)</f>
        <v>0</v>
      </c>
      <c r="AG52" s="451">
        <f ca="1">IF(AND(Scharniere[[#This Row],[Scharnierart]]=select!$A$1487,Scharniere[[#This Row],[Gruppenschlüssel]]=select!$B$1487)=TRUE,1,0)</f>
        <v>0</v>
      </c>
      <c r="AH52" s="451">
        <f ca="1">IF(AND(Scharniere[[#This Row],[Scharnierart]]=select!$A$1488,Scharniere[[#This Row],[Gruppenschlüssel]]=select!$B$1488)=TRUE,1,0)</f>
        <v>0</v>
      </c>
      <c r="AI52" s="451">
        <f ca="1">IF(SUM(Scharniere[[#This Row],[konf Scharnier 1]:[konf Scharnier 4]])&gt;0,1,0)</f>
        <v>1</v>
      </c>
      <c r="AJ52" s="451"/>
      <c r="AK52" s="451"/>
      <c r="AL52" s="451"/>
      <c r="AM52" s="451"/>
      <c r="AN52" s="451"/>
      <c r="AO52" s="146">
        <v>1</v>
      </c>
      <c r="AP52" s="146">
        <v>1</v>
      </c>
      <c r="AQ52" s="10" t="str">
        <f ca="1">Sprache!$A$110</f>
        <v>Tiomos Scharnier T Click-on</v>
      </c>
      <c r="AR52" t="str">
        <f ca="1">"110°, B-BB, K9.5, "&amp;Sprache!A181&amp;", ni"</f>
        <v>110°, B-BB, K9.5, Dübel, ni</v>
      </c>
      <c r="AS52" t="str">
        <f ca="1">Sprache!$A$103</f>
        <v>Tiomos Click-On Scharniere</v>
      </c>
      <c r="AT52">
        <v>9.5</v>
      </c>
      <c r="AU52" t="s">
        <v>3</v>
      </c>
      <c r="AV52">
        <v>110</v>
      </c>
      <c r="AW52" s="10">
        <v>0</v>
      </c>
      <c r="AX52">
        <v>1</v>
      </c>
      <c r="AY52">
        <v>0</v>
      </c>
      <c r="AZ52" s="10">
        <v>0</v>
      </c>
      <c r="BA52">
        <v>1</v>
      </c>
      <c r="BB52">
        <v>0</v>
      </c>
      <c r="BC52">
        <v>0</v>
      </c>
      <c r="BD52" s="143" t="s">
        <v>490</v>
      </c>
      <c r="BG52"/>
    </row>
    <row r="53" spans="1:59" ht="14.25" customHeight="1" x14ac:dyDescent="0.25">
      <c r="A53" s="37" t="str">
        <f>LEFT(Scharniere[[#This Row],[ArtikelNR]],4)</f>
        <v>F028</v>
      </c>
      <c r="B53" s="35" t="str">
        <f>MID(Scharniere[[#This Row],[ArtikelNR]],5,3)</f>
        <v>138</v>
      </c>
      <c r="C53" s="37" t="str">
        <f>RIGHT(Scharniere[[#This Row],[ArtikelNR]],3)</f>
        <v>525</v>
      </c>
      <c r="D53" s="35">
        <f>IF(AND(Scharniere[[#This Row],[Gruppenschlüssel]]=select!$A$44,Scharniere[[#This Row],[Scharnierart]]=1)=TRUE,1,0)</f>
        <v>1</v>
      </c>
      <c r="E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" s="35">
        <f>IF(select!$F$57=IF(Scharniere[[#This Row],[mit Dämpfung]]=1,1,IF(Scharniere[[#This Row],[ohne Dämpfung]]=1,2,IF(Scharniere[[#This Row],[ohne Feder]]=1,3,0))),1,0)</f>
        <v>0</v>
      </c>
      <c r="G53" s="35">
        <f>IF(Scharniere[[#This Row],[Bohrbild]]=select!$V$43,1,0)</f>
        <v>0</v>
      </c>
      <c r="H53" s="35">
        <f>IF(IF(Scharniere[[#This Row],[Anschrauben]]=1,1,IF(Scharniere[[#This Row],[Einpressen]]=1,2,IF(Scharniere[[#This Row],[Quick]]=1,3,IF(Scharniere[[#This Row],[Werkzeuglos]]=1,4,0))))=select!$F$48,1,0)</f>
        <v>1</v>
      </c>
      <c r="I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" s="149">
        <f>IF(AND(Scharniere[[#This Row],[Scharnierart]]=2,Scharniere[[#This Row],[Gruppenschlüssel]]=select!$A$318)=TRUE,1,0)</f>
        <v>0</v>
      </c>
      <c r="K53" s="221">
        <f ca="1">IF(select!$O$424&lt;6,1,0)</f>
        <v>1</v>
      </c>
      <c r="L53" s="139">
        <f>IF(select!$A$362=IF(Scharniere[[#This Row],[mit Dämpfung]]=1,1,IF(Scharniere[[#This Row],[ohne Dämpfung]]=1,2,IF(Scharniere[[#This Row],[ohne Feder]]=1,3,0))),1,0)</f>
        <v>1</v>
      </c>
      <c r="M53" s="135">
        <f>IF(Scharniere[[#This Row],[Bohrbild]]=select!$O$334,1,0)</f>
        <v>0</v>
      </c>
      <c r="N53" s="135">
        <f>IF(IF(Scharniere[[#This Row],[Anschrauben]]=1,1,IF(Scharniere[[#This Row],[Einpressen]]=1,2,IF(Scharniere[[#This Row],[Quick]]=1,3,IF(Scharniere[[#This Row],[Werkzeuglos]]=1,4,0))))=select!$E$362,1,0)</f>
        <v>0</v>
      </c>
      <c r="O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" s="298">
        <f>IF(AND(Scharniere[[#This Row],[Scharnierart]]=3,Scharniere[[#This Row],[Gruppenschlüssel]]=select!$A$747)=TRUE,1,0)</f>
        <v>0</v>
      </c>
      <c r="Q53" s="298">
        <f ca="1">IF(select!$O$945&lt;6,1,0)</f>
        <v>1</v>
      </c>
      <c r="R53" s="298">
        <f>IF(select!$A$778=IF(Scharniere[[#This Row],[mit Dämpfung]]=1,1,IF(Scharniere[[#This Row],[ohne Dämpfung]]=1,2,IF(Scharniere[[#This Row],[ohne Feder]]=1,3,0))),1,0)</f>
        <v>0</v>
      </c>
      <c r="S53" s="298">
        <f>IF(Scharniere[[#This Row],[Bohrbild]]=select!$A$755,1,0)</f>
        <v>0</v>
      </c>
      <c r="T53" s="298">
        <f>IF(IF(Scharniere[[#This Row],[Anschrauben]]=1,1,IF(Scharniere[[#This Row],[Einpressen]]=1,2,IF(Scharniere[[#This Row],[Quick]]=1,3,IF(Scharniere[[#This Row],[Werkzeuglos]]=1,4,0))))=select!$A$769,1,0)</f>
        <v>0</v>
      </c>
      <c r="U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" s="359">
        <f>IF(AND(Scharniere[[#This Row],[Scharnierart]]=4,Scharniere[[#This Row],[Gruppenschlüssel]]=select!$A$981)=TRUE,1,0)</f>
        <v>0</v>
      </c>
      <c r="W53" s="359">
        <f ca="1">IF(select!$O$1185&lt;6,1,0)</f>
        <v>1</v>
      </c>
      <c r="X53" s="359">
        <f>IF(select!$A$1012=IF(Scharniere[[#This Row],[mit Dämpfung]]=1,1,IF(Scharniere[[#This Row],[ohne Dämpfung]]=1,2,IF(Scharniere[[#This Row],[ohne Feder]]=1,3,0))),1,0)</f>
        <v>0</v>
      </c>
      <c r="Y53" s="359">
        <f>IF(Scharniere[[#This Row],[Bohrbild]]=select!$A$989,1,0)</f>
        <v>0</v>
      </c>
      <c r="Z53" s="359">
        <f>IF(IF(Scharniere[[#This Row],[Anschrauben]]=1,1,IF(Scharniere[[#This Row],[Einpressen]]=1,2,IF(Scharniere[[#This Row],[Quick]]=1,3,IF(Scharniere[[#This Row],[Werkzeuglos]]=1,4,0))))=select!$A$1003,1,0)</f>
        <v>0</v>
      </c>
      <c r="AA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" s="359">
        <f ca="1">IF(select!$K$980="*",Scharniere[[#This Row],[AG Ges2]],Scharniere[[#This Row],[AG Ges1]])</f>
        <v>0</v>
      </c>
      <c r="AE53" s="451">
        <f ca="1">IF(AND(Scharniere[[#This Row],[Scharnierart]]=select!$A$1485,Scharniere[[#This Row],[Gruppenschlüssel]]=select!$B$1485)=TRUE,1,0)</f>
        <v>1</v>
      </c>
      <c r="AF53" s="451">
        <f ca="1">IF(AND(Scharniere[[#This Row],[Scharnierart]]=select!$A$1486,Scharniere[[#This Row],[Gruppenschlüssel]]=select!$B$1486)=TRUE,1,0)</f>
        <v>0</v>
      </c>
      <c r="AG53" s="451">
        <f ca="1">IF(AND(Scharniere[[#This Row],[Scharnierart]]=select!$A$1487,Scharniere[[#This Row],[Gruppenschlüssel]]=select!$B$1487)=TRUE,1,0)</f>
        <v>0</v>
      </c>
      <c r="AH53" s="451">
        <f ca="1">IF(AND(Scharniere[[#This Row],[Scharnierart]]=select!$A$1488,Scharniere[[#This Row],[Gruppenschlüssel]]=select!$B$1488)=TRUE,1,0)</f>
        <v>0</v>
      </c>
      <c r="AI53" s="451">
        <f ca="1">IF(SUM(Scharniere[[#This Row],[konf Scharnier 1]:[konf Scharnier 4]])&gt;0,1,0)</f>
        <v>1</v>
      </c>
      <c r="AJ53" s="451"/>
      <c r="AK53" s="451"/>
      <c r="AL53" s="451"/>
      <c r="AM53" s="451"/>
      <c r="AN53" s="451"/>
      <c r="AO53" s="146">
        <v>1</v>
      </c>
      <c r="AP53" s="146">
        <v>1</v>
      </c>
      <c r="AQ53" s="10" t="str">
        <f ca="1">Sprache!$A$112</f>
        <v>Tiomos Scharnier TS Click-on</v>
      </c>
      <c r="AR53" t="str">
        <f ca="1">"110°, B-BB, K9.5, "&amp;Sprache!A181&amp;", ni"</f>
        <v>110°, B-BB, K9.5, Dübel, ni</v>
      </c>
      <c r="AS53" t="str">
        <f ca="1">Sprache!$A$103</f>
        <v>Tiomos Click-On Scharniere</v>
      </c>
      <c r="AT53">
        <v>9.5</v>
      </c>
      <c r="AU53" s="34" t="s">
        <v>3</v>
      </c>
      <c r="AV53">
        <v>110</v>
      </c>
      <c r="AW53" s="10">
        <v>1</v>
      </c>
      <c r="AX53">
        <v>0</v>
      </c>
      <c r="AY53">
        <v>0</v>
      </c>
      <c r="AZ53" s="10">
        <v>0</v>
      </c>
      <c r="BA53">
        <v>1</v>
      </c>
      <c r="BB53">
        <v>0</v>
      </c>
      <c r="BC53">
        <v>0</v>
      </c>
      <c r="BD53" s="143" t="s">
        <v>309</v>
      </c>
      <c r="BG53"/>
    </row>
    <row r="54" spans="1:59" ht="14.25" customHeight="1" x14ac:dyDescent="0.25">
      <c r="A54" s="37" t="str">
        <f>LEFT(Scharniere[[#This Row],[ArtikelNR]],4)</f>
        <v>F046</v>
      </c>
      <c r="B54" s="35" t="str">
        <f>MID(Scharniere[[#This Row],[ArtikelNR]],5,3)</f>
        <v>138</v>
      </c>
      <c r="C54" s="37" t="str">
        <f>RIGHT(Scharniere[[#This Row],[ArtikelNR]],3)</f>
        <v>585</v>
      </c>
      <c r="D54" s="35">
        <f>IF(AND(Scharniere[[#This Row],[Gruppenschlüssel]]=select!$A$44,Scharniere[[#This Row],[Scharnierart]]=1)=TRUE,1,0)</f>
        <v>1</v>
      </c>
      <c r="E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" s="35">
        <f>IF(select!$F$57=IF(Scharniere[[#This Row],[mit Dämpfung]]=1,1,IF(Scharniere[[#This Row],[ohne Dämpfung]]=1,2,IF(Scharniere[[#This Row],[ohne Feder]]=1,3,0))),1,0)</f>
        <v>1</v>
      </c>
      <c r="G54" s="35">
        <f>IF(Scharniere[[#This Row],[Bohrbild]]=select!$V$43,1,0)</f>
        <v>0</v>
      </c>
      <c r="H54" s="35">
        <f>IF(IF(Scharniere[[#This Row],[Anschrauben]]=1,1,IF(Scharniere[[#This Row],[Einpressen]]=1,2,IF(Scharniere[[#This Row],[Quick]]=1,3,IF(Scharniere[[#This Row],[Werkzeuglos]]=1,4,0))))=select!$F$48,1,0)</f>
        <v>1</v>
      </c>
      <c r="I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" s="149">
        <f>IF(AND(Scharniere[[#This Row],[Scharnierart]]=2,Scharniere[[#This Row],[Gruppenschlüssel]]=select!$A$318)=TRUE,1,0)</f>
        <v>0</v>
      </c>
      <c r="K54" s="221">
        <f ca="1">IF(select!$O$424&lt;6,1,0)</f>
        <v>1</v>
      </c>
      <c r="L54" s="139">
        <f>IF(select!$A$362=IF(Scharniere[[#This Row],[mit Dämpfung]]=1,1,IF(Scharniere[[#This Row],[ohne Dämpfung]]=1,2,IF(Scharniere[[#This Row],[ohne Feder]]=1,3,0))),1,0)</f>
        <v>0</v>
      </c>
      <c r="M54" s="135">
        <f>IF(Scharniere[[#This Row],[Bohrbild]]=select!$O$334,1,0)</f>
        <v>0</v>
      </c>
      <c r="N54" s="135">
        <f>IF(IF(Scharniere[[#This Row],[Anschrauben]]=1,1,IF(Scharniere[[#This Row],[Einpressen]]=1,2,IF(Scharniere[[#This Row],[Quick]]=1,3,IF(Scharniere[[#This Row],[Werkzeuglos]]=1,4,0))))=select!$E$362,1,0)</f>
        <v>0</v>
      </c>
      <c r="O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" s="298">
        <f>IF(AND(Scharniere[[#This Row],[Scharnierart]]=3,Scharniere[[#This Row],[Gruppenschlüssel]]=select!$A$747)=TRUE,1,0)</f>
        <v>0</v>
      </c>
      <c r="Q54" s="298">
        <f ca="1">IF(select!$O$945&lt;6,1,0)</f>
        <v>1</v>
      </c>
      <c r="R54" s="298">
        <f>IF(select!$A$778=IF(Scharniere[[#This Row],[mit Dämpfung]]=1,1,IF(Scharniere[[#This Row],[ohne Dämpfung]]=1,2,IF(Scharniere[[#This Row],[ohne Feder]]=1,3,0))),1,0)</f>
        <v>0</v>
      </c>
      <c r="S54" s="298">
        <f>IF(Scharniere[[#This Row],[Bohrbild]]=select!$A$755,1,0)</f>
        <v>0</v>
      </c>
      <c r="T54" s="298">
        <f>IF(IF(Scharniere[[#This Row],[Anschrauben]]=1,1,IF(Scharniere[[#This Row],[Einpressen]]=1,2,IF(Scharniere[[#This Row],[Quick]]=1,3,IF(Scharniere[[#This Row],[Werkzeuglos]]=1,4,0))))=select!$A$769,1,0)</f>
        <v>0</v>
      </c>
      <c r="U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" s="359">
        <f>IF(AND(Scharniere[[#This Row],[Scharnierart]]=4,Scharniere[[#This Row],[Gruppenschlüssel]]=select!$A$981)=TRUE,1,0)</f>
        <v>0</v>
      </c>
      <c r="W54" s="359">
        <f ca="1">IF(select!$O$1185&lt;6,1,0)</f>
        <v>1</v>
      </c>
      <c r="X54" s="359">
        <f>IF(select!$A$1012=IF(Scharniere[[#This Row],[mit Dämpfung]]=1,1,IF(Scharniere[[#This Row],[ohne Dämpfung]]=1,2,IF(Scharniere[[#This Row],[ohne Feder]]=1,3,0))),1,0)</f>
        <v>0</v>
      </c>
      <c r="Y54" s="359">
        <f>IF(Scharniere[[#This Row],[Bohrbild]]=select!$A$989,1,0)</f>
        <v>0</v>
      </c>
      <c r="Z54" s="359">
        <f>IF(IF(Scharniere[[#This Row],[Anschrauben]]=1,1,IF(Scharniere[[#This Row],[Einpressen]]=1,2,IF(Scharniere[[#This Row],[Quick]]=1,3,IF(Scharniere[[#This Row],[Werkzeuglos]]=1,4,0))))=select!$A$1003,1,0)</f>
        <v>0</v>
      </c>
      <c r="AA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" s="359">
        <f ca="1">IF(select!$K$980="*",Scharniere[[#This Row],[AG Ges2]],Scharniere[[#This Row],[AG Ges1]])</f>
        <v>0</v>
      </c>
      <c r="AE54" s="451">
        <f ca="1">IF(AND(Scharniere[[#This Row],[Scharnierart]]=select!$A$1485,Scharniere[[#This Row],[Gruppenschlüssel]]=select!$B$1485)=TRUE,1,0)</f>
        <v>1</v>
      </c>
      <c r="AF54" s="451">
        <f ca="1">IF(AND(Scharniere[[#This Row],[Scharnierart]]=select!$A$1486,Scharniere[[#This Row],[Gruppenschlüssel]]=select!$B$1486)=TRUE,1,0)</f>
        <v>0</v>
      </c>
      <c r="AG54" s="451">
        <f ca="1">IF(AND(Scharniere[[#This Row],[Scharnierart]]=select!$A$1487,Scharniere[[#This Row],[Gruppenschlüssel]]=select!$B$1487)=TRUE,1,0)</f>
        <v>0</v>
      </c>
      <c r="AH54" s="451">
        <f ca="1">IF(AND(Scharniere[[#This Row],[Scharnierart]]=select!$A$1488,Scharniere[[#This Row],[Gruppenschlüssel]]=select!$B$1488)=TRUE,1,0)</f>
        <v>0</v>
      </c>
      <c r="AI54" s="451">
        <f ca="1">IF(SUM(Scharniere[[#This Row],[konf Scharnier 1]:[konf Scharnier 4]])&gt;0,1,0)</f>
        <v>1</v>
      </c>
      <c r="AJ54" s="451"/>
      <c r="AK54" s="451"/>
      <c r="AL54" s="451"/>
      <c r="AM54" s="451"/>
      <c r="AN54" s="451"/>
      <c r="AO54" s="146">
        <v>1</v>
      </c>
      <c r="AP54" s="146">
        <v>1</v>
      </c>
      <c r="AQ54" s="10" t="str">
        <f ca="1">Sprache!$A$114</f>
        <v>Tiomos Scharnier TT Click-on</v>
      </c>
      <c r="AR54" t="str">
        <f ca="1">"110°, B-BB, K9.5, "&amp;Sprache!A181&amp;", ni"</f>
        <v>110°, B-BB, K9.5, Dübel, ni</v>
      </c>
      <c r="AS54" t="str">
        <f ca="1">Sprache!$A$103</f>
        <v>Tiomos Click-On Scharniere</v>
      </c>
      <c r="AT54">
        <v>9.5</v>
      </c>
      <c r="AU54" t="s">
        <v>3</v>
      </c>
      <c r="AV54">
        <v>110</v>
      </c>
      <c r="AW54" s="10">
        <v>0</v>
      </c>
      <c r="AX54">
        <v>0</v>
      </c>
      <c r="AY54">
        <v>1</v>
      </c>
      <c r="AZ54" s="10">
        <v>0</v>
      </c>
      <c r="BA54">
        <v>1</v>
      </c>
      <c r="BB54">
        <v>0</v>
      </c>
      <c r="BC54">
        <v>0</v>
      </c>
      <c r="BD54" s="143" t="s">
        <v>642</v>
      </c>
      <c r="BG54"/>
    </row>
    <row r="55" spans="1:59" ht="14.25" customHeight="1" x14ac:dyDescent="0.25">
      <c r="A55" s="37" t="str">
        <f>LEFT(Scharniere[[#This Row],[ArtikelNR]],4)</f>
        <v>F045</v>
      </c>
      <c r="B55" s="35" t="str">
        <f>MID(Scharniere[[#This Row],[ArtikelNR]],5,3)</f>
        <v>138</v>
      </c>
      <c r="C55" s="37" t="str">
        <f>RIGHT(Scharniere[[#This Row],[ArtikelNR]],3)</f>
        <v>459</v>
      </c>
      <c r="D55" s="35">
        <f>IF(AND(Scharniere[[#This Row],[Gruppenschlüssel]]=select!$A$44,Scharniere[[#This Row],[Scharnierart]]=1)=TRUE,1,0)</f>
        <v>1</v>
      </c>
      <c r="E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" s="35">
        <f>IF(select!$F$57=IF(Scharniere[[#This Row],[mit Dämpfung]]=1,1,IF(Scharniere[[#This Row],[ohne Dämpfung]]=1,2,IF(Scharniere[[#This Row],[ohne Feder]]=1,3,0))),1,0)</f>
        <v>0</v>
      </c>
      <c r="G55" s="35">
        <f>IF(Scharniere[[#This Row],[Bohrbild]]=select!$V$43,1,0)</f>
        <v>0</v>
      </c>
      <c r="H55" s="35">
        <f>IF(IF(Scharniere[[#This Row],[Anschrauben]]=1,1,IF(Scharniere[[#This Row],[Einpressen]]=1,2,IF(Scharniere[[#This Row],[Quick]]=1,3,IF(Scharniere[[#This Row],[Werkzeuglos]]=1,4,0))))=select!$F$48,1,0)</f>
        <v>0</v>
      </c>
      <c r="I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" s="149">
        <f>IF(AND(Scharniere[[#This Row],[Scharnierart]]=2,Scharniere[[#This Row],[Gruppenschlüssel]]=select!$A$318)=TRUE,1,0)</f>
        <v>0</v>
      </c>
      <c r="K55" s="221">
        <f ca="1">IF(select!$O$424&lt;6,1,0)</f>
        <v>1</v>
      </c>
      <c r="L55" s="139">
        <f>IF(select!$A$362=IF(Scharniere[[#This Row],[mit Dämpfung]]=1,1,IF(Scharniere[[#This Row],[ohne Dämpfung]]=1,2,IF(Scharniere[[#This Row],[ohne Feder]]=1,3,0))),1,0)</f>
        <v>0</v>
      </c>
      <c r="M55" s="135">
        <f>IF(Scharniere[[#This Row],[Bohrbild]]=select!$O$334,1,0)</f>
        <v>0</v>
      </c>
      <c r="N55" s="135">
        <f>IF(IF(Scharniere[[#This Row],[Anschrauben]]=1,1,IF(Scharniere[[#This Row],[Einpressen]]=1,2,IF(Scharniere[[#This Row],[Quick]]=1,3,IF(Scharniere[[#This Row],[Werkzeuglos]]=1,4,0))))=select!$E$362,1,0)</f>
        <v>1</v>
      </c>
      <c r="O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" s="298">
        <f>IF(AND(Scharniere[[#This Row],[Scharnierart]]=3,Scharniere[[#This Row],[Gruppenschlüssel]]=select!$A$747)=TRUE,1,0)</f>
        <v>0</v>
      </c>
      <c r="Q55" s="298">
        <f ca="1">IF(select!$O$945&lt;6,1,0)</f>
        <v>1</v>
      </c>
      <c r="R55" s="298">
        <f>IF(select!$A$778=IF(Scharniere[[#This Row],[mit Dämpfung]]=1,1,IF(Scharniere[[#This Row],[ohne Dämpfung]]=1,2,IF(Scharniere[[#This Row],[ohne Feder]]=1,3,0))),1,0)</f>
        <v>1</v>
      </c>
      <c r="S55" s="298">
        <f>IF(Scharniere[[#This Row],[Bohrbild]]=select!$A$755,1,0)</f>
        <v>0</v>
      </c>
      <c r="T55" s="298">
        <f>IF(IF(Scharniere[[#This Row],[Anschrauben]]=1,1,IF(Scharniere[[#This Row],[Einpressen]]=1,2,IF(Scharniere[[#This Row],[Quick]]=1,3,IF(Scharniere[[#This Row],[Werkzeuglos]]=1,4,0))))=select!$A$769,1,0)</f>
        <v>1</v>
      </c>
      <c r="U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" s="359">
        <f>IF(AND(Scharniere[[#This Row],[Scharnierart]]=4,Scharniere[[#This Row],[Gruppenschlüssel]]=select!$A$981)=TRUE,1,0)</f>
        <v>0</v>
      </c>
      <c r="W55" s="359">
        <f ca="1">IF(select!$O$1185&lt;6,1,0)</f>
        <v>1</v>
      </c>
      <c r="X55" s="359">
        <f>IF(select!$A$1012=IF(Scharniere[[#This Row],[mit Dämpfung]]=1,1,IF(Scharniere[[#This Row],[ohne Dämpfung]]=1,2,IF(Scharniere[[#This Row],[ohne Feder]]=1,3,0))),1,0)</f>
        <v>1</v>
      </c>
      <c r="Y55" s="359">
        <f>IF(Scharniere[[#This Row],[Bohrbild]]=select!$A$989,1,0)</f>
        <v>0</v>
      </c>
      <c r="Z55" s="359">
        <f>IF(IF(Scharniere[[#This Row],[Anschrauben]]=1,1,IF(Scharniere[[#This Row],[Einpressen]]=1,2,IF(Scharniere[[#This Row],[Quick]]=1,3,IF(Scharniere[[#This Row],[Werkzeuglos]]=1,4,0))))=select!$A$1003,1,0)</f>
        <v>1</v>
      </c>
      <c r="AA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" s="359">
        <f ca="1">IF(select!$K$980="*",Scharniere[[#This Row],[AG Ges2]],Scharniere[[#This Row],[AG Ges1]])</f>
        <v>0</v>
      </c>
      <c r="AE55" s="451">
        <f ca="1">IF(AND(Scharniere[[#This Row],[Scharnierart]]=select!$A$1485,Scharniere[[#This Row],[Gruppenschlüssel]]=select!$B$1485)=TRUE,1,0)</f>
        <v>1</v>
      </c>
      <c r="AF55" s="451">
        <f ca="1">IF(AND(Scharniere[[#This Row],[Scharnierart]]=select!$A$1486,Scharniere[[#This Row],[Gruppenschlüssel]]=select!$B$1486)=TRUE,1,0)</f>
        <v>0</v>
      </c>
      <c r="AG55" s="451">
        <f ca="1">IF(AND(Scharniere[[#This Row],[Scharnierart]]=select!$A$1487,Scharniere[[#This Row],[Gruppenschlüssel]]=select!$B$1487)=TRUE,1,0)</f>
        <v>0</v>
      </c>
      <c r="AH55" s="451">
        <f ca="1">IF(AND(Scharniere[[#This Row],[Scharnierart]]=select!$A$1488,Scharniere[[#This Row],[Gruppenschlüssel]]=select!$B$1488)=TRUE,1,0)</f>
        <v>0</v>
      </c>
      <c r="AI55" s="451">
        <f ca="1">IF(SUM(Scharniere[[#This Row],[konf Scharnier 1]:[konf Scharnier 4]])&gt;0,1,0)</f>
        <v>1</v>
      </c>
      <c r="AJ55" s="451"/>
      <c r="AK55" s="451"/>
      <c r="AL55" s="451"/>
      <c r="AM55" s="451"/>
      <c r="AN55" s="451"/>
      <c r="AO55" s="146">
        <v>1</v>
      </c>
      <c r="AP55" s="146">
        <v>1</v>
      </c>
      <c r="AQ55" s="10" t="str">
        <f ca="1">Sprache!$A$110</f>
        <v>Tiomos Scharnier T Click-on</v>
      </c>
      <c r="AR55" t="s">
        <v>1923</v>
      </c>
      <c r="AS55" t="str">
        <f ca="1">Sprache!$A$103</f>
        <v>Tiomos Click-On Scharniere</v>
      </c>
      <c r="AT55">
        <v>9.5</v>
      </c>
      <c r="AU55" s="34" t="s">
        <v>3</v>
      </c>
      <c r="AV55">
        <v>110</v>
      </c>
      <c r="AW55" s="10">
        <v>0</v>
      </c>
      <c r="AX55">
        <v>1</v>
      </c>
      <c r="AY55">
        <v>0</v>
      </c>
      <c r="AZ55" s="10">
        <v>1</v>
      </c>
      <c r="BA55">
        <v>0</v>
      </c>
      <c r="BB55">
        <v>0</v>
      </c>
      <c r="BC55">
        <v>0</v>
      </c>
      <c r="BD55" s="143" t="s">
        <v>487</v>
      </c>
      <c r="BG55"/>
    </row>
    <row r="56" spans="1:59" ht="14.25" customHeight="1" x14ac:dyDescent="0.25">
      <c r="A56" s="37" t="str">
        <f>LEFT(Scharniere[[#This Row],[ArtikelNR]],4)</f>
        <v>F028</v>
      </c>
      <c r="B56" s="35" t="str">
        <f>MID(Scharniere[[#This Row],[ArtikelNR]],5,3)</f>
        <v>138</v>
      </c>
      <c r="C56" s="37" t="str">
        <f>RIGHT(Scharniere[[#This Row],[ArtikelNR]],3)</f>
        <v>521</v>
      </c>
      <c r="D56" s="35">
        <f>IF(AND(Scharniere[[#This Row],[Gruppenschlüssel]]=select!$A$44,Scharniere[[#This Row],[Scharnierart]]=1)=TRUE,1,0)</f>
        <v>1</v>
      </c>
      <c r="E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" s="35">
        <f>IF(select!$F$57=IF(Scharniere[[#This Row],[mit Dämpfung]]=1,1,IF(Scharniere[[#This Row],[ohne Dämpfung]]=1,2,IF(Scharniere[[#This Row],[ohne Feder]]=1,3,0))),1,0)</f>
        <v>0</v>
      </c>
      <c r="G56" s="35">
        <f>IF(Scharniere[[#This Row],[Bohrbild]]=select!$V$43,1,0)</f>
        <v>0</v>
      </c>
      <c r="H56" s="35">
        <f>IF(IF(Scharniere[[#This Row],[Anschrauben]]=1,1,IF(Scharniere[[#This Row],[Einpressen]]=1,2,IF(Scharniere[[#This Row],[Quick]]=1,3,IF(Scharniere[[#This Row],[Werkzeuglos]]=1,4,0))))=select!$F$48,1,0)</f>
        <v>0</v>
      </c>
      <c r="I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" s="149">
        <f>IF(AND(Scharniere[[#This Row],[Scharnierart]]=2,Scharniere[[#This Row],[Gruppenschlüssel]]=select!$A$318)=TRUE,1,0)</f>
        <v>0</v>
      </c>
      <c r="K56" s="221">
        <f ca="1">IF(select!$O$424&lt;6,1,0)</f>
        <v>1</v>
      </c>
      <c r="L56" s="139">
        <f>IF(select!$A$362=IF(Scharniere[[#This Row],[mit Dämpfung]]=1,1,IF(Scharniere[[#This Row],[ohne Dämpfung]]=1,2,IF(Scharniere[[#This Row],[ohne Feder]]=1,3,0))),1,0)</f>
        <v>1</v>
      </c>
      <c r="M56" s="135">
        <f>IF(Scharniere[[#This Row],[Bohrbild]]=select!$O$334,1,0)</f>
        <v>0</v>
      </c>
      <c r="N56" s="135">
        <f>IF(IF(Scharniere[[#This Row],[Anschrauben]]=1,1,IF(Scharniere[[#This Row],[Einpressen]]=1,2,IF(Scharniere[[#This Row],[Quick]]=1,3,IF(Scharniere[[#This Row],[Werkzeuglos]]=1,4,0))))=select!$E$362,1,0)</f>
        <v>1</v>
      </c>
      <c r="O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" s="298">
        <f>IF(AND(Scharniere[[#This Row],[Scharnierart]]=3,Scharniere[[#This Row],[Gruppenschlüssel]]=select!$A$747)=TRUE,1,0)</f>
        <v>0</v>
      </c>
      <c r="Q56" s="298">
        <f ca="1">IF(select!$O$945&lt;6,1,0)</f>
        <v>1</v>
      </c>
      <c r="R56" s="298">
        <f>IF(select!$A$778=IF(Scharniere[[#This Row],[mit Dämpfung]]=1,1,IF(Scharniere[[#This Row],[ohne Dämpfung]]=1,2,IF(Scharniere[[#This Row],[ohne Feder]]=1,3,0))),1,0)</f>
        <v>0</v>
      </c>
      <c r="S56" s="298">
        <f>IF(Scharniere[[#This Row],[Bohrbild]]=select!$A$755,1,0)</f>
        <v>0</v>
      </c>
      <c r="T56" s="298">
        <f>IF(IF(Scharniere[[#This Row],[Anschrauben]]=1,1,IF(Scharniere[[#This Row],[Einpressen]]=1,2,IF(Scharniere[[#This Row],[Quick]]=1,3,IF(Scharniere[[#This Row],[Werkzeuglos]]=1,4,0))))=select!$A$769,1,0)</f>
        <v>1</v>
      </c>
      <c r="U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" s="359">
        <f>IF(AND(Scharniere[[#This Row],[Scharnierart]]=4,Scharniere[[#This Row],[Gruppenschlüssel]]=select!$A$981)=TRUE,1,0)</f>
        <v>0</v>
      </c>
      <c r="W56" s="359">
        <f ca="1">IF(select!$O$1185&lt;6,1,0)</f>
        <v>1</v>
      </c>
      <c r="X56" s="359">
        <f>IF(select!$A$1012=IF(Scharniere[[#This Row],[mit Dämpfung]]=1,1,IF(Scharniere[[#This Row],[ohne Dämpfung]]=1,2,IF(Scharniere[[#This Row],[ohne Feder]]=1,3,0))),1,0)</f>
        <v>0</v>
      </c>
      <c r="Y56" s="359">
        <f>IF(Scharniere[[#This Row],[Bohrbild]]=select!$A$989,1,0)</f>
        <v>0</v>
      </c>
      <c r="Z56" s="359">
        <f>IF(IF(Scharniere[[#This Row],[Anschrauben]]=1,1,IF(Scharniere[[#This Row],[Einpressen]]=1,2,IF(Scharniere[[#This Row],[Quick]]=1,3,IF(Scharniere[[#This Row],[Werkzeuglos]]=1,4,0))))=select!$A$1003,1,0)</f>
        <v>1</v>
      </c>
      <c r="AA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" s="359">
        <f ca="1">IF(select!$K$980="*",Scharniere[[#This Row],[AG Ges2]],Scharniere[[#This Row],[AG Ges1]])</f>
        <v>0</v>
      </c>
      <c r="AE56" s="451">
        <f ca="1">IF(AND(Scharniere[[#This Row],[Scharnierart]]=select!$A$1485,Scharniere[[#This Row],[Gruppenschlüssel]]=select!$B$1485)=TRUE,1,0)</f>
        <v>1</v>
      </c>
      <c r="AF56" s="451">
        <f ca="1">IF(AND(Scharniere[[#This Row],[Scharnierart]]=select!$A$1486,Scharniere[[#This Row],[Gruppenschlüssel]]=select!$B$1486)=TRUE,1,0)</f>
        <v>0</v>
      </c>
      <c r="AG56" s="451">
        <f ca="1">IF(AND(Scharniere[[#This Row],[Scharnierart]]=select!$A$1487,Scharniere[[#This Row],[Gruppenschlüssel]]=select!$B$1487)=TRUE,1,0)</f>
        <v>0</v>
      </c>
      <c r="AH56" s="451">
        <f ca="1">IF(AND(Scharniere[[#This Row],[Scharnierart]]=select!$A$1488,Scharniere[[#This Row],[Gruppenschlüssel]]=select!$B$1488)=TRUE,1,0)</f>
        <v>0</v>
      </c>
      <c r="AI56" s="451">
        <f ca="1">IF(SUM(Scharniere[[#This Row],[konf Scharnier 1]:[konf Scharnier 4]])&gt;0,1,0)</f>
        <v>1</v>
      </c>
      <c r="AJ56" s="451"/>
      <c r="AK56" s="451"/>
      <c r="AL56" s="451"/>
      <c r="AM56" s="451"/>
      <c r="AN56" s="451"/>
      <c r="AO56" s="146">
        <v>1</v>
      </c>
      <c r="AP56" s="146">
        <v>1</v>
      </c>
      <c r="AQ56" s="10" t="str">
        <f ca="1">Sprache!$A$112</f>
        <v>Tiomos Scharnier TS Click-on</v>
      </c>
      <c r="AR56" t="s">
        <v>1923</v>
      </c>
      <c r="AS56" t="str">
        <f ca="1">Sprache!$A$103</f>
        <v>Tiomos Click-On Scharniere</v>
      </c>
      <c r="AT56">
        <v>9.5</v>
      </c>
      <c r="AU56" t="s">
        <v>3</v>
      </c>
      <c r="AV56">
        <v>110</v>
      </c>
      <c r="AW56" s="10">
        <v>1</v>
      </c>
      <c r="AX56">
        <v>0</v>
      </c>
      <c r="AY56">
        <v>0</v>
      </c>
      <c r="AZ56" s="10">
        <v>1</v>
      </c>
      <c r="BA56">
        <v>0</v>
      </c>
      <c r="BB56">
        <v>0</v>
      </c>
      <c r="BC56">
        <v>0</v>
      </c>
      <c r="BD56" s="143" t="s">
        <v>305</v>
      </c>
      <c r="BG56"/>
    </row>
    <row r="57" spans="1:59" ht="14.25" customHeight="1" x14ac:dyDescent="0.25">
      <c r="A57" s="37" t="str">
        <f>LEFT(Scharniere[[#This Row],[ArtikelNR]],4)</f>
        <v>F046</v>
      </c>
      <c r="B57" s="35" t="str">
        <f>MID(Scharniere[[#This Row],[ArtikelNR]],5,3)</f>
        <v>138</v>
      </c>
      <c r="C57" s="37" t="str">
        <f>RIGHT(Scharniere[[#This Row],[ArtikelNR]],3)</f>
        <v>581</v>
      </c>
      <c r="D57" s="35">
        <f>IF(AND(Scharniere[[#This Row],[Gruppenschlüssel]]=select!$A$44,Scharniere[[#This Row],[Scharnierart]]=1)=TRUE,1,0)</f>
        <v>1</v>
      </c>
      <c r="E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" s="35">
        <f>IF(select!$F$57=IF(Scharniere[[#This Row],[mit Dämpfung]]=1,1,IF(Scharniere[[#This Row],[ohne Dämpfung]]=1,2,IF(Scharniere[[#This Row],[ohne Feder]]=1,3,0))),1,0)</f>
        <v>1</v>
      </c>
      <c r="G57" s="35">
        <f>IF(Scharniere[[#This Row],[Bohrbild]]=select!$V$43,1,0)</f>
        <v>0</v>
      </c>
      <c r="H57" s="35">
        <f>IF(IF(Scharniere[[#This Row],[Anschrauben]]=1,1,IF(Scharniere[[#This Row],[Einpressen]]=1,2,IF(Scharniere[[#This Row],[Quick]]=1,3,IF(Scharniere[[#This Row],[Werkzeuglos]]=1,4,0))))=select!$F$48,1,0)</f>
        <v>0</v>
      </c>
      <c r="I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" s="149">
        <f>IF(AND(Scharniere[[#This Row],[Scharnierart]]=2,Scharniere[[#This Row],[Gruppenschlüssel]]=select!$A$318)=TRUE,1,0)</f>
        <v>0</v>
      </c>
      <c r="K57" s="221">
        <f ca="1">IF(select!$O$424&lt;6,1,0)</f>
        <v>1</v>
      </c>
      <c r="L57" s="139">
        <f>IF(select!$A$362=IF(Scharniere[[#This Row],[mit Dämpfung]]=1,1,IF(Scharniere[[#This Row],[ohne Dämpfung]]=1,2,IF(Scharniere[[#This Row],[ohne Feder]]=1,3,0))),1,0)</f>
        <v>0</v>
      </c>
      <c r="M57" s="135">
        <f>IF(Scharniere[[#This Row],[Bohrbild]]=select!$O$334,1,0)</f>
        <v>0</v>
      </c>
      <c r="N57" s="135">
        <f>IF(IF(Scharniere[[#This Row],[Anschrauben]]=1,1,IF(Scharniere[[#This Row],[Einpressen]]=1,2,IF(Scharniere[[#This Row],[Quick]]=1,3,IF(Scharniere[[#This Row],[Werkzeuglos]]=1,4,0))))=select!$E$362,1,0)</f>
        <v>1</v>
      </c>
      <c r="O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" s="298">
        <f>IF(AND(Scharniere[[#This Row],[Scharnierart]]=3,Scharniere[[#This Row],[Gruppenschlüssel]]=select!$A$747)=TRUE,1,0)</f>
        <v>0</v>
      </c>
      <c r="Q57" s="298">
        <f ca="1">IF(select!$O$945&lt;6,1,0)</f>
        <v>1</v>
      </c>
      <c r="R57" s="298">
        <f>IF(select!$A$778=IF(Scharniere[[#This Row],[mit Dämpfung]]=1,1,IF(Scharniere[[#This Row],[ohne Dämpfung]]=1,2,IF(Scharniere[[#This Row],[ohne Feder]]=1,3,0))),1,0)</f>
        <v>0</v>
      </c>
      <c r="S57" s="298">
        <f>IF(Scharniere[[#This Row],[Bohrbild]]=select!$A$755,1,0)</f>
        <v>0</v>
      </c>
      <c r="T57" s="298">
        <f>IF(IF(Scharniere[[#This Row],[Anschrauben]]=1,1,IF(Scharniere[[#This Row],[Einpressen]]=1,2,IF(Scharniere[[#This Row],[Quick]]=1,3,IF(Scharniere[[#This Row],[Werkzeuglos]]=1,4,0))))=select!$A$769,1,0)</f>
        <v>1</v>
      </c>
      <c r="U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" s="359">
        <f>IF(AND(Scharniere[[#This Row],[Scharnierart]]=4,Scharniere[[#This Row],[Gruppenschlüssel]]=select!$A$981)=TRUE,1,0)</f>
        <v>0</v>
      </c>
      <c r="W57" s="359">
        <f ca="1">IF(select!$O$1185&lt;6,1,0)</f>
        <v>1</v>
      </c>
      <c r="X57" s="359">
        <f>IF(select!$A$1012=IF(Scharniere[[#This Row],[mit Dämpfung]]=1,1,IF(Scharniere[[#This Row],[ohne Dämpfung]]=1,2,IF(Scharniere[[#This Row],[ohne Feder]]=1,3,0))),1,0)</f>
        <v>0</v>
      </c>
      <c r="Y57" s="359">
        <f>IF(Scharniere[[#This Row],[Bohrbild]]=select!$A$989,1,0)</f>
        <v>0</v>
      </c>
      <c r="Z57" s="359">
        <f>IF(IF(Scharniere[[#This Row],[Anschrauben]]=1,1,IF(Scharniere[[#This Row],[Einpressen]]=1,2,IF(Scharniere[[#This Row],[Quick]]=1,3,IF(Scharniere[[#This Row],[Werkzeuglos]]=1,4,0))))=select!$A$1003,1,0)</f>
        <v>1</v>
      </c>
      <c r="AA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" s="359">
        <f ca="1">IF(select!$K$980="*",Scharniere[[#This Row],[AG Ges2]],Scharniere[[#This Row],[AG Ges1]])</f>
        <v>0</v>
      </c>
      <c r="AE57" s="451">
        <f ca="1">IF(AND(Scharniere[[#This Row],[Scharnierart]]=select!$A$1485,Scharniere[[#This Row],[Gruppenschlüssel]]=select!$B$1485)=TRUE,1,0)</f>
        <v>1</v>
      </c>
      <c r="AF57" s="451">
        <f ca="1">IF(AND(Scharniere[[#This Row],[Scharnierart]]=select!$A$1486,Scharniere[[#This Row],[Gruppenschlüssel]]=select!$B$1486)=TRUE,1,0)</f>
        <v>0</v>
      </c>
      <c r="AG57" s="451">
        <f ca="1">IF(AND(Scharniere[[#This Row],[Scharnierart]]=select!$A$1487,Scharniere[[#This Row],[Gruppenschlüssel]]=select!$B$1487)=TRUE,1,0)</f>
        <v>0</v>
      </c>
      <c r="AH57" s="451">
        <f ca="1">IF(AND(Scharniere[[#This Row],[Scharnierart]]=select!$A$1488,Scharniere[[#This Row],[Gruppenschlüssel]]=select!$B$1488)=TRUE,1,0)</f>
        <v>0</v>
      </c>
      <c r="AI57" s="451">
        <f ca="1">IF(SUM(Scharniere[[#This Row],[konf Scharnier 1]:[konf Scharnier 4]])&gt;0,1,0)</f>
        <v>1</v>
      </c>
      <c r="AJ57" s="451"/>
      <c r="AK57" s="451"/>
      <c r="AL57" s="451"/>
      <c r="AM57" s="451"/>
      <c r="AN57" s="451"/>
      <c r="AO57" s="146">
        <v>1</v>
      </c>
      <c r="AP57" s="146">
        <v>1</v>
      </c>
      <c r="AQ57" s="10" t="str">
        <f ca="1">Sprache!$A$114</f>
        <v>Tiomos Scharnier TT Click-on</v>
      </c>
      <c r="AR57" t="s">
        <v>1923</v>
      </c>
      <c r="AS57" t="str">
        <f ca="1">Sprache!$A$103</f>
        <v>Tiomos Click-On Scharniere</v>
      </c>
      <c r="AT57">
        <v>9.5</v>
      </c>
      <c r="AU57" t="s">
        <v>3</v>
      </c>
      <c r="AV57">
        <v>110</v>
      </c>
      <c r="AW57" s="10">
        <v>0</v>
      </c>
      <c r="AX57">
        <v>0</v>
      </c>
      <c r="AY57">
        <v>1</v>
      </c>
      <c r="AZ57" s="10">
        <v>1</v>
      </c>
      <c r="BA57">
        <v>0</v>
      </c>
      <c r="BB57">
        <v>0</v>
      </c>
      <c r="BC57">
        <v>0</v>
      </c>
      <c r="BD57" s="143" t="s">
        <v>638</v>
      </c>
      <c r="BG57"/>
    </row>
    <row r="58" spans="1:59" ht="14.25" customHeight="1" x14ac:dyDescent="0.25">
      <c r="A58" s="37" t="str">
        <f>LEFT(Scharniere[[#This Row],[ArtikelNR]],4)</f>
        <v>F045</v>
      </c>
      <c r="B58" s="35" t="str">
        <f>MID(Scharniere[[#This Row],[ArtikelNR]],5,3)</f>
        <v>138</v>
      </c>
      <c r="C58" s="37" t="str">
        <f>RIGHT(Scharniere[[#This Row],[ArtikelNR]],3)</f>
        <v>281</v>
      </c>
      <c r="D58" s="35">
        <f>IF(AND(Scharniere[[#This Row],[Gruppenschlüssel]]=select!$A$44,Scharniere[[#This Row],[Scharnierart]]=1)=TRUE,1,0)</f>
        <v>1</v>
      </c>
      <c r="E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" s="35">
        <f>IF(select!$F$57=IF(Scharniere[[#This Row],[mit Dämpfung]]=1,1,IF(Scharniere[[#This Row],[ohne Dämpfung]]=1,2,IF(Scharniere[[#This Row],[ohne Feder]]=1,3,0))),1,0)</f>
        <v>0</v>
      </c>
      <c r="G58" s="35">
        <f>IF(Scharniere[[#This Row],[Bohrbild]]=select!$V$43,1,0)</f>
        <v>0</v>
      </c>
      <c r="H58" s="35">
        <f>IF(IF(Scharniere[[#This Row],[Anschrauben]]=1,1,IF(Scharniere[[#This Row],[Einpressen]]=1,2,IF(Scharniere[[#This Row],[Quick]]=1,3,IF(Scharniere[[#This Row],[Werkzeuglos]]=1,4,0))))=select!$F$48,1,0)</f>
        <v>1</v>
      </c>
      <c r="I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" s="149">
        <f>IF(AND(Scharniere[[#This Row],[Scharnierart]]=2,Scharniere[[#This Row],[Gruppenschlüssel]]=select!$A$318)=TRUE,1,0)</f>
        <v>0</v>
      </c>
      <c r="K58" s="221">
        <f ca="1">IF(select!$O$424&lt;6,1,0)</f>
        <v>1</v>
      </c>
      <c r="L58" s="139">
        <f>IF(select!$A$362=IF(Scharniere[[#This Row],[mit Dämpfung]]=1,1,IF(Scharniere[[#This Row],[ohne Dämpfung]]=1,2,IF(Scharniere[[#This Row],[ohne Feder]]=1,3,0))),1,0)</f>
        <v>0</v>
      </c>
      <c r="M58" s="135">
        <f>IF(Scharniere[[#This Row],[Bohrbild]]=select!$O$334,1,0)</f>
        <v>0</v>
      </c>
      <c r="N58" s="135">
        <f>IF(IF(Scharniere[[#This Row],[Anschrauben]]=1,1,IF(Scharniere[[#This Row],[Einpressen]]=1,2,IF(Scharniere[[#This Row],[Quick]]=1,3,IF(Scharniere[[#This Row],[Werkzeuglos]]=1,4,0))))=select!$E$362,1,0)</f>
        <v>0</v>
      </c>
      <c r="O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" s="298">
        <f>IF(AND(Scharniere[[#This Row],[Scharnierart]]=3,Scharniere[[#This Row],[Gruppenschlüssel]]=select!$A$747)=TRUE,1,0)</f>
        <v>0</v>
      </c>
      <c r="Q58" s="298">
        <f ca="1">IF(select!$O$945&lt;6,1,0)</f>
        <v>1</v>
      </c>
      <c r="R58" s="298">
        <f>IF(select!$A$778=IF(Scharniere[[#This Row],[mit Dämpfung]]=1,1,IF(Scharniere[[#This Row],[ohne Dämpfung]]=1,2,IF(Scharniere[[#This Row],[ohne Feder]]=1,3,0))),1,0)</f>
        <v>1</v>
      </c>
      <c r="S58" s="298">
        <f>IF(Scharniere[[#This Row],[Bohrbild]]=select!$A$755,1,0)</f>
        <v>0</v>
      </c>
      <c r="T58" s="298">
        <f>IF(IF(Scharniere[[#This Row],[Anschrauben]]=1,1,IF(Scharniere[[#This Row],[Einpressen]]=1,2,IF(Scharniere[[#This Row],[Quick]]=1,3,IF(Scharniere[[#This Row],[Werkzeuglos]]=1,4,0))))=select!$A$769,1,0)</f>
        <v>0</v>
      </c>
      <c r="U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" s="359">
        <f>IF(AND(Scharniere[[#This Row],[Scharnierart]]=4,Scharniere[[#This Row],[Gruppenschlüssel]]=select!$A$981)=TRUE,1,0)</f>
        <v>0</v>
      </c>
      <c r="W58" s="359">
        <f ca="1">IF(select!$O$1185&lt;6,1,0)</f>
        <v>1</v>
      </c>
      <c r="X58" s="359">
        <f>IF(select!$A$1012=IF(Scharniere[[#This Row],[mit Dämpfung]]=1,1,IF(Scharniere[[#This Row],[ohne Dämpfung]]=1,2,IF(Scharniere[[#This Row],[ohne Feder]]=1,3,0))),1,0)</f>
        <v>1</v>
      </c>
      <c r="Y58" s="359">
        <f>IF(Scharniere[[#This Row],[Bohrbild]]=select!$A$989,1,0)</f>
        <v>0</v>
      </c>
      <c r="Z58" s="359">
        <f>IF(IF(Scharniere[[#This Row],[Anschrauben]]=1,1,IF(Scharniere[[#This Row],[Einpressen]]=1,2,IF(Scharniere[[#This Row],[Quick]]=1,3,IF(Scharniere[[#This Row],[Werkzeuglos]]=1,4,0))))=select!$A$1003,1,0)</f>
        <v>0</v>
      </c>
      <c r="AA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" s="359">
        <f ca="1">IF(select!$K$980="*",Scharniere[[#This Row],[AG Ges2]],Scharniere[[#This Row],[AG Ges1]])</f>
        <v>0</v>
      </c>
      <c r="AE58" s="451">
        <f ca="1">IF(AND(Scharniere[[#This Row],[Scharnierart]]=select!$A$1485,Scharniere[[#This Row],[Gruppenschlüssel]]=select!$B$1485)=TRUE,1,0)</f>
        <v>1</v>
      </c>
      <c r="AF58" s="451">
        <f ca="1">IF(AND(Scharniere[[#This Row],[Scharnierart]]=select!$A$1486,Scharniere[[#This Row],[Gruppenschlüssel]]=select!$B$1486)=TRUE,1,0)</f>
        <v>0</v>
      </c>
      <c r="AG58" s="451">
        <f ca="1">IF(AND(Scharniere[[#This Row],[Scharnierart]]=select!$A$1487,Scharniere[[#This Row],[Gruppenschlüssel]]=select!$B$1487)=TRUE,1,0)</f>
        <v>0</v>
      </c>
      <c r="AH58" s="451">
        <f ca="1">IF(AND(Scharniere[[#This Row],[Scharnierart]]=select!$A$1488,Scharniere[[#This Row],[Gruppenschlüssel]]=select!$B$1488)=TRUE,1,0)</f>
        <v>0</v>
      </c>
      <c r="AI58" s="451">
        <f ca="1">IF(SUM(Scharniere[[#This Row],[konf Scharnier 1]:[konf Scharnier 4]])&gt;0,1,0)</f>
        <v>1</v>
      </c>
      <c r="AJ58" s="451"/>
      <c r="AK58" s="451"/>
      <c r="AL58" s="451"/>
      <c r="AM58" s="451"/>
      <c r="AN58" s="451"/>
      <c r="AO58" s="146">
        <v>1</v>
      </c>
      <c r="AP58" s="146">
        <v>1</v>
      </c>
      <c r="AQ58" s="10" t="str">
        <f ca="1">Sprache!$A$110</f>
        <v>Tiomos Scharnier T Click-on</v>
      </c>
      <c r="AR58" t="str">
        <f ca="1">"110°, G-BB, K9.5, "&amp;Sprache!A181&amp;", ni"</f>
        <v>110°, G-BB, K9.5, Dübel, ni</v>
      </c>
      <c r="AS58" t="str">
        <f ca="1">Sprache!$A$103</f>
        <v>Tiomos Click-On Scharniere</v>
      </c>
      <c r="AT58">
        <v>9.5</v>
      </c>
      <c r="AU58" t="s">
        <v>9</v>
      </c>
      <c r="AV58">
        <v>110</v>
      </c>
      <c r="AW58" s="10">
        <v>0</v>
      </c>
      <c r="AX58">
        <v>1</v>
      </c>
      <c r="AY58">
        <v>0</v>
      </c>
      <c r="AZ58" s="10">
        <v>0</v>
      </c>
      <c r="BA58">
        <v>1</v>
      </c>
      <c r="BB58">
        <v>0</v>
      </c>
      <c r="BC58">
        <v>0</v>
      </c>
      <c r="BD58" s="143" t="s">
        <v>463</v>
      </c>
      <c r="BG58"/>
    </row>
    <row r="59" spans="1:59" ht="14.25" customHeight="1" x14ac:dyDescent="0.25">
      <c r="A59" s="37" t="str">
        <f>LEFT(Scharniere[[#This Row],[ArtikelNR]],4)</f>
        <v>F028</v>
      </c>
      <c r="B59" s="35" t="str">
        <f>MID(Scharniere[[#This Row],[ArtikelNR]],5,3)</f>
        <v>138</v>
      </c>
      <c r="C59" s="37" t="str">
        <f>RIGHT(Scharniere[[#This Row],[ArtikelNR]],3)</f>
        <v>343</v>
      </c>
      <c r="D59" s="35">
        <f>IF(AND(Scharniere[[#This Row],[Gruppenschlüssel]]=select!$A$44,Scharniere[[#This Row],[Scharnierart]]=1)=TRUE,1,0)</f>
        <v>1</v>
      </c>
      <c r="E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" s="35">
        <f>IF(select!$F$57=IF(Scharniere[[#This Row],[mit Dämpfung]]=1,1,IF(Scharniere[[#This Row],[ohne Dämpfung]]=1,2,IF(Scharniere[[#This Row],[ohne Feder]]=1,3,0))),1,0)</f>
        <v>0</v>
      </c>
      <c r="G59" s="35">
        <f>IF(Scharniere[[#This Row],[Bohrbild]]=select!$V$43,1,0)</f>
        <v>0</v>
      </c>
      <c r="H59" s="35">
        <f>IF(IF(Scharniere[[#This Row],[Anschrauben]]=1,1,IF(Scharniere[[#This Row],[Einpressen]]=1,2,IF(Scharniere[[#This Row],[Quick]]=1,3,IF(Scharniere[[#This Row],[Werkzeuglos]]=1,4,0))))=select!$F$48,1,0)</f>
        <v>1</v>
      </c>
      <c r="I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" s="149">
        <f>IF(AND(Scharniere[[#This Row],[Scharnierart]]=2,Scharniere[[#This Row],[Gruppenschlüssel]]=select!$A$318)=TRUE,1,0)</f>
        <v>0</v>
      </c>
      <c r="K59" s="221">
        <f ca="1">IF(select!$O$424&lt;6,1,0)</f>
        <v>1</v>
      </c>
      <c r="L59" s="139">
        <f>IF(select!$A$362=IF(Scharniere[[#This Row],[mit Dämpfung]]=1,1,IF(Scharniere[[#This Row],[ohne Dämpfung]]=1,2,IF(Scharniere[[#This Row],[ohne Feder]]=1,3,0))),1,0)</f>
        <v>1</v>
      </c>
      <c r="M59" s="135">
        <f>IF(Scharniere[[#This Row],[Bohrbild]]=select!$O$334,1,0)</f>
        <v>0</v>
      </c>
      <c r="N59" s="135">
        <f>IF(IF(Scharniere[[#This Row],[Anschrauben]]=1,1,IF(Scharniere[[#This Row],[Einpressen]]=1,2,IF(Scharniere[[#This Row],[Quick]]=1,3,IF(Scharniere[[#This Row],[Werkzeuglos]]=1,4,0))))=select!$E$362,1,0)</f>
        <v>0</v>
      </c>
      <c r="O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" s="298">
        <f>IF(AND(Scharniere[[#This Row],[Scharnierart]]=3,Scharniere[[#This Row],[Gruppenschlüssel]]=select!$A$747)=TRUE,1,0)</f>
        <v>0</v>
      </c>
      <c r="Q59" s="298">
        <f ca="1">IF(select!$O$945&lt;6,1,0)</f>
        <v>1</v>
      </c>
      <c r="R59" s="298">
        <f>IF(select!$A$778=IF(Scharniere[[#This Row],[mit Dämpfung]]=1,1,IF(Scharniere[[#This Row],[ohne Dämpfung]]=1,2,IF(Scharniere[[#This Row],[ohne Feder]]=1,3,0))),1,0)</f>
        <v>0</v>
      </c>
      <c r="S59" s="298">
        <f>IF(Scharniere[[#This Row],[Bohrbild]]=select!$A$755,1,0)</f>
        <v>0</v>
      </c>
      <c r="T59" s="298">
        <f>IF(IF(Scharniere[[#This Row],[Anschrauben]]=1,1,IF(Scharniere[[#This Row],[Einpressen]]=1,2,IF(Scharniere[[#This Row],[Quick]]=1,3,IF(Scharniere[[#This Row],[Werkzeuglos]]=1,4,0))))=select!$A$769,1,0)</f>
        <v>0</v>
      </c>
      <c r="U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" s="359">
        <f>IF(AND(Scharniere[[#This Row],[Scharnierart]]=4,Scharniere[[#This Row],[Gruppenschlüssel]]=select!$A$981)=TRUE,1,0)</f>
        <v>0</v>
      </c>
      <c r="W59" s="359">
        <f ca="1">IF(select!$O$1185&lt;6,1,0)</f>
        <v>1</v>
      </c>
      <c r="X59" s="359">
        <f>IF(select!$A$1012=IF(Scharniere[[#This Row],[mit Dämpfung]]=1,1,IF(Scharniere[[#This Row],[ohne Dämpfung]]=1,2,IF(Scharniere[[#This Row],[ohne Feder]]=1,3,0))),1,0)</f>
        <v>0</v>
      </c>
      <c r="Y59" s="359">
        <f>IF(Scharniere[[#This Row],[Bohrbild]]=select!$A$989,1,0)</f>
        <v>0</v>
      </c>
      <c r="Z59" s="359">
        <f>IF(IF(Scharniere[[#This Row],[Anschrauben]]=1,1,IF(Scharniere[[#This Row],[Einpressen]]=1,2,IF(Scharniere[[#This Row],[Quick]]=1,3,IF(Scharniere[[#This Row],[Werkzeuglos]]=1,4,0))))=select!$A$1003,1,0)</f>
        <v>0</v>
      </c>
      <c r="AA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" s="359">
        <f ca="1">IF(select!$K$980="*",Scharniere[[#This Row],[AG Ges2]],Scharniere[[#This Row],[AG Ges1]])</f>
        <v>0</v>
      </c>
      <c r="AE59" s="451">
        <f ca="1">IF(AND(Scharniere[[#This Row],[Scharnierart]]=select!$A$1485,Scharniere[[#This Row],[Gruppenschlüssel]]=select!$B$1485)=TRUE,1,0)</f>
        <v>1</v>
      </c>
      <c r="AF59" s="451">
        <f ca="1">IF(AND(Scharniere[[#This Row],[Scharnierart]]=select!$A$1486,Scharniere[[#This Row],[Gruppenschlüssel]]=select!$B$1486)=TRUE,1,0)</f>
        <v>0</v>
      </c>
      <c r="AG59" s="451">
        <f ca="1">IF(AND(Scharniere[[#This Row],[Scharnierart]]=select!$A$1487,Scharniere[[#This Row],[Gruppenschlüssel]]=select!$B$1487)=TRUE,1,0)</f>
        <v>0</v>
      </c>
      <c r="AH59" s="451">
        <f ca="1">IF(AND(Scharniere[[#This Row],[Scharnierart]]=select!$A$1488,Scharniere[[#This Row],[Gruppenschlüssel]]=select!$B$1488)=TRUE,1,0)</f>
        <v>0</v>
      </c>
      <c r="AI59" s="451">
        <f ca="1">IF(SUM(Scharniere[[#This Row],[konf Scharnier 1]:[konf Scharnier 4]])&gt;0,1,0)</f>
        <v>1</v>
      </c>
      <c r="AJ59" s="451"/>
      <c r="AK59" s="451"/>
      <c r="AL59" s="451"/>
      <c r="AM59" s="451"/>
      <c r="AN59" s="451"/>
      <c r="AO59" s="146">
        <v>1</v>
      </c>
      <c r="AP59" s="146">
        <v>1</v>
      </c>
      <c r="AQ59" s="10" t="str">
        <f ca="1">Sprache!$A$112</f>
        <v>Tiomos Scharnier TS Click-on</v>
      </c>
      <c r="AR59" t="str">
        <f ca="1">"110°, G-BB, K9.5, "&amp;Sprache!A181&amp;", ni"</f>
        <v>110°, G-BB, K9.5, Dübel, ni</v>
      </c>
      <c r="AS59" t="str">
        <f ca="1">Sprache!$A$103</f>
        <v>Tiomos Click-On Scharniere</v>
      </c>
      <c r="AT59">
        <v>9.5</v>
      </c>
      <c r="AU59" s="34" t="s">
        <v>9</v>
      </c>
      <c r="AV59">
        <v>110</v>
      </c>
      <c r="AW59" s="10">
        <v>1</v>
      </c>
      <c r="AX59">
        <v>0</v>
      </c>
      <c r="AY59">
        <v>0</v>
      </c>
      <c r="AZ59" s="10">
        <v>0</v>
      </c>
      <c r="BA59">
        <v>1</v>
      </c>
      <c r="BB59">
        <v>0</v>
      </c>
      <c r="BC59">
        <v>0</v>
      </c>
      <c r="BD59" s="143" t="s">
        <v>273</v>
      </c>
      <c r="BG59"/>
    </row>
    <row r="60" spans="1:59" ht="14.25" customHeight="1" x14ac:dyDescent="0.25">
      <c r="A60" s="37" t="str">
        <f>LEFT(Scharniere[[#This Row],[ArtikelNR]],4)</f>
        <v>F046</v>
      </c>
      <c r="B60" s="35" t="str">
        <f>MID(Scharniere[[#This Row],[ArtikelNR]],5,3)</f>
        <v>138</v>
      </c>
      <c r="C60" s="37" t="str">
        <f>RIGHT(Scharniere[[#This Row],[ArtikelNR]],3)</f>
        <v>403</v>
      </c>
      <c r="D60" s="35">
        <f>IF(AND(Scharniere[[#This Row],[Gruppenschlüssel]]=select!$A$44,Scharniere[[#This Row],[Scharnierart]]=1)=TRUE,1,0)</f>
        <v>1</v>
      </c>
      <c r="E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" s="35">
        <f>IF(select!$F$57=IF(Scharniere[[#This Row],[mit Dämpfung]]=1,1,IF(Scharniere[[#This Row],[ohne Dämpfung]]=1,2,IF(Scharniere[[#This Row],[ohne Feder]]=1,3,0))),1,0)</f>
        <v>1</v>
      </c>
      <c r="G60" s="35">
        <f>IF(Scharniere[[#This Row],[Bohrbild]]=select!$V$43,1,0)</f>
        <v>0</v>
      </c>
      <c r="H60" s="35">
        <f>IF(IF(Scharniere[[#This Row],[Anschrauben]]=1,1,IF(Scharniere[[#This Row],[Einpressen]]=1,2,IF(Scharniere[[#This Row],[Quick]]=1,3,IF(Scharniere[[#This Row],[Werkzeuglos]]=1,4,0))))=select!$F$48,1,0)</f>
        <v>1</v>
      </c>
      <c r="I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" s="149">
        <f>IF(AND(Scharniere[[#This Row],[Scharnierart]]=2,Scharniere[[#This Row],[Gruppenschlüssel]]=select!$A$318)=TRUE,1,0)</f>
        <v>0</v>
      </c>
      <c r="K60" s="221">
        <f ca="1">IF(select!$O$424&lt;6,1,0)</f>
        <v>1</v>
      </c>
      <c r="L60" s="139">
        <f>IF(select!$A$362=IF(Scharniere[[#This Row],[mit Dämpfung]]=1,1,IF(Scharniere[[#This Row],[ohne Dämpfung]]=1,2,IF(Scharniere[[#This Row],[ohne Feder]]=1,3,0))),1,0)</f>
        <v>0</v>
      </c>
      <c r="M60" s="135">
        <f>IF(Scharniere[[#This Row],[Bohrbild]]=select!$O$334,1,0)</f>
        <v>0</v>
      </c>
      <c r="N60" s="135">
        <f>IF(IF(Scharniere[[#This Row],[Anschrauben]]=1,1,IF(Scharniere[[#This Row],[Einpressen]]=1,2,IF(Scharniere[[#This Row],[Quick]]=1,3,IF(Scharniere[[#This Row],[Werkzeuglos]]=1,4,0))))=select!$E$362,1,0)</f>
        <v>0</v>
      </c>
      <c r="O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" s="298">
        <f>IF(AND(Scharniere[[#This Row],[Scharnierart]]=3,Scharniere[[#This Row],[Gruppenschlüssel]]=select!$A$747)=TRUE,1,0)</f>
        <v>0</v>
      </c>
      <c r="Q60" s="298">
        <f ca="1">IF(select!$O$945&lt;6,1,0)</f>
        <v>1</v>
      </c>
      <c r="R60" s="298">
        <f>IF(select!$A$778=IF(Scharniere[[#This Row],[mit Dämpfung]]=1,1,IF(Scharniere[[#This Row],[ohne Dämpfung]]=1,2,IF(Scharniere[[#This Row],[ohne Feder]]=1,3,0))),1,0)</f>
        <v>0</v>
      </c>
      <c r="S60" s="298">
        <f>IF(Scharniere[[#This Row],[Bohrbild]]=select!$A$755,1,0)</f>
        <v>0</v>
      </c>
      <c r="T60" s="298">
        <f>IF(IF(Scharniere[[#This Row],[Anschrauben]]=1,1,IF(Scharniere[[#This Row],[Einpressen]]=1,2,IF(Scharniere[[#This Row],[Quick]]=1,3,IF(Scharniere[[#This Row],[Werkzeuglos]]=1,4,0))))=select!$A$769,1,0)</f>
        <v>0</v>
      </c>
      <c r="U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" s="359">
        <f>IF(AND(Scharniere[[#This Row],[Scharnierart]]=4,Scharniere[[#This Row],[Gruppenschlüssel]]=select!$A$981)=TRUE,1,0)</f>
        <v>0</v>
      </c>
      <c r="W60" s="359">
        <f ca="1">IF(select!$O$1185&lt;6,1,0)</f>
        <v>1</v>
      </c>
      <c r="X60" s="359">
        <f>IF(select!$A$1012=IF(Scharniere[[#This Row],[mit Dämpfung]]=1,1,IF(Scharniere[[#This Row],[ohne Dämpfung]]=1,2,IF(Scharniere[[#This Row],[ohne Feder]]=1,3,0))),1,0)</f>
        <v>0</v>
      </c>
      <c r="Y60" s="359">
        <f>IF(Scharniere[[#This Row],[Bohrbild]]=select!$A$989,1,0)</f>
        <v>0</v>
      </c>
      <c r="Z60" s="359">
        <f>IF(IF(Scharniere[[#This Row],[Anschrauben]]=1,1,IF(Scharniere[[#This Row],[Einpressen]]=1,2,IF(Scharniere[[#This Row],[Quick]]=1,3,IF(Scharniere[[#This Row],[Werkzeuglos]]=1,4,0))))=select!$A$1003,1,0)</f>
        <v>0</v>
      </c>
      <c r="AA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" s="359">
        <f ca="1">IF(select!$K$980="*",Scharniere[[#This Row],[AG Ges2]],Scharniere[[#This Row],[AG Ges1]])</f>
        <v>0</v>
      </c>
      <c r="AE60" s="451">
        <f ca="1">IF(AND(Scharniere[[#This Row],[Scharnierart]]=select!$A$1485,Scharniere[[#This Row],[Gruppenschlüssel]]=select!$B$1485)=TRUE,1,0)</f>
        <v>1</v>
      </c>
      <c r="AF60" s="451">
        <f ca="1">IF(AND(Scharniere[[#This Row],[Scharnierart]]=select!$A$1486,Scharniere[[#This Row],[Gruppenschlüssel]]=select!$B$1486)=TRUE,1,0)</f>
        <v>0</v>
      </c>
      <c r="AG60" s="451">
        <f ca="1">IF(AND(Scharniere[[#This Row],[Scharnierart]]=select!$A$1487,Scharniere[[#This Row],[Gruppenschlüssel]]=select!$B$1487)=TRUE,1,0)</f>
        <v>0</v>
      </c>
      <c r="AH60" s="451">
        <f ca="1">IF(AND(Scharniere[[#This Row],[Scharnierart]]=select!$A$1488,Scharniere[[#This Row],[Gruppenschlüssel]]=select!$B$1488)=TRUE,1,0)</f>
        <v>0</v>
      </c>
      <c r="AI60" s="451">
        <f ca="1">IF(SUM(Scharniere[[#This Row],[konf Scharnier 1]:[konf Scharnier 4]])&gt;0,1,0)</f>
        <v>1</v>
      </c>
      <c r="AJ60" s="451"/>
      <c r="AK60" s="451"/>
      <c r="AL60" s="451"/>
      <c r="AM60" s="451"/>
      <c r="AN60" s="451"/>
      <c r="AO60" s="146">
        <v>1</v>
      </c>
      <c r="AP60" s="146">
        <v>1</v>
      </c>
      <c r="AQ60" s="10" t="str">
        <f ca="1">Sprache!$A$114</f>
        <v>Tiomos Scharnier TT Click-on</v>
      </c>
      <c r="AR60" t="str">
        <f ca="1">"110°, G-BB, K9.5, "&amp;Sprache!A181&amp;", ni"</f>
        <v>110°, G-BB, K9.5, Dübel, ni</v>
      </c>
      <c r="AS60" t="str">
        <f ca="1">Sprache!$A$103</f>
        <v>Tiomos Click-On Scharniere</v>
      </c>
      <c r="AT60">
        <v>9.5</v>
      </c>
      <c r="AU60" s="34" t="s">
        <v>9</v>
      </c>
      <c r="AV60">
        <v>110</v>
      </c>
      <c r="AW60" s="10">
        <v>0</v>
      </c>
      <c r="AX60">
        <v>0</v>
      </c>
      <c r="AY60">
        <v>1</v>
      </c>
      <c r="AZ60" s="10">
        <v>0</v>
      </c>
      <c r="BA60">
        <v>1</v>
      </c>
      <c r="BB60">
        <v>0</v>
      </c>
      <c r="BC60">
        <v>0</v>
      </c>
      <c r="BD60" s="143" t="s">
        <v>615</v>
      </c>
      <c r="BG60"/>
    </row>
    <row r="61" spans="1:59" ht="14.25" customHeight="1" x14ac:dyDescent="0.25">
      <c r="A61" s="37" t="str">
        <f>LEFT(Scharniere[[#This Row],[ArtikelNR]],4)</f>
        <v>F045</v>
      </c>
      <c r="B61" s="35" t="str">
        <f>MID(Scharniere[[#This Row],[ArtikelNR]],5,3)</f>
        <v>138</v>
      </c>
      <c r="C61" s="37" t="str">
        <f>RIGHT(Scharniere[[#This Row],[ArtikelNR]],3)</f>
        <v>277</v>
      </c>
      <c r="D61" s="35">
        <f>IF(AND(Scharniere[[#This Row],[Gruppenschlüssel]]=select!$A$44,Scharniere[[#This Row],[Scharnierart]]=1)=TRUE,1,0)</f>
        <v>1</v>
      </c>
      <c r="E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" s="35">
        <f>IF(select!$F$57=IF(Scharniere[[#This Row],[mit Dämpfung]]=1,1,IF(Scharniere[[#This Row],[ohne Dämpfung]]=1,2,IF(Scharniere[[#This Row],[ohne Feder]]=1,3,0))),1,0)</f>
        <v>0</v>
      </c>
      <c r="G61" s="35">
        <f>IF(Scharniere[[#This Row],[Bohrbild]]=select!$V$43,1,0)</f>
        <v>0</v>
      </c>
      <c r="H61" s="35">
        <f>IF(IF(Scharniere[[#This Row],[Anschrauben]]=1,1,IF(Scharniere[[#This Row],[Einpressen]]=1,2,IF(Scharniere[[#This Row],[Quick]]=1,3,IF(Scharniere[[#This Row],[Werkzeuglos]]=1,4,0))))=select!$F$48,1,0)</f>
        <v>0</v>
      </c>
      <c r="I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" s="149">
        <f>IF(AND(Scharniere[[#This Row],[Scharnierart]]=2,Scharniere[[#This Row],[Gruppenschlüssel]]=select!$A$318)=TRUE,1,0)</f>
        <v>0</v>
      </c>
      <c r="K61" s="221">
        <f ca="1">IF(select!$O$424&lt;6,1,0)</f>
        <v>1</v>
      </c>
      <c r="L61" s="139">
        <f>IF(select!$A$362=IF(Scharniere[[#This Row],[mit Dämpfung]]=1,1,IF(Scharniere[[#This Row],[ohne Dämpfung]]=1,2,IF(Scharniere[[#This Row],[ohne Feder]]=1,3,0))),1,0)</f>
        <v>0</v>
      </c>
      <c r="M61" s="135">
        <f>IF(Scharniere[[#This Row],[Bohrbild]]=select!$O$334,1,0)</f>
        <v>0</v>
      </c>
      <c r="N61" s="135">
        <f>IF(IF(Scharniere[[#This Row],[Anschrauben]]=1,1,IF(Scharniere[[#This Row],[Einpressen]]=1,2,IF(Scharniere[[#This Row],[Quick]]=1,3,IF(Scharniere[[#This Row],[Werkzeuglos]]=1,4,0))))=select!$E$362,1,0)</f>
        <v>1</v>
      </c>
      <c r="O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" s="298">
        <f>IF(AND(Scharniere[[#This Row],[Scharnierart]]=3,Scharniere[[#This Row],[Gruppenschlüssel]]=select!$A$747)=TRUE,1,0)</f>
        <v>0</v>
      </c>
      <c r="Q61" s="298">
        <f ca="1">IF(select!$O$945&lt;6,1,0)</f>
        <v>1</v>
      </c>
      <c r="R61" s="298">
        <f>IF(select!$A$778=IF(Scharniere[[#This Row],[mit Dämpfung]]=1,1,IF(Scharniere[[#This Row],[ohne Dämpfung]]=1,2,IF(Scharniere[[#This Row],[ohne Feder]]=1,3,0))),1,0)</f>
        <v>1</v>
      </c>
      <c r="S61" s="298">
        <f>IF(Scharniere[[#This Row],[Bohrbild]]=select!$A$755,1,0)</f>
        <v>0</v>
      </c>
      <c r="T61" s="298">
        <f>IF(IF(Scharniere[[#This Row],[Anschrauben]]=1,1,IF(Scharniere[[#This Row],[Einpressen]]=1,2,IF(Scharniere[[#This Row],[Quick]]=1,3,IF(Scharniere[[#This Row],[Werkzeuglos]]=1,4,0))))=select!$A$769,1,0)</f>
        <v>1</v>
      </c>
      <c r="U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" s="359">
        <f>IF(AND(Scharniere[[#This Row],[Scharnierart]]=4,Scharniere[[#This Row],[Gruppenschlüssel]]=select!$A$981)=TRUE,1,0)</f>
        <v>0</v>
      </c>
      <c r="W61" s="359">
        <f ca="1">IF(select!$O$1185&lt;6,1,0)</f>
        <v>1</v>
      </c>
      <c r="X61" s="359">
        <f>IF(select!$A$1012=IF(Scharniere[[#This Row],[mit Dämpfung]]=1,1,IF(Scharniere[[#This Row],[ohne Dämpfung]]=1,2,IF(Scharniere[[#This Row],[ohne Feder]]=1,3,0))),1,0)</f>
        <v>1</v>
      </c>
      <c r="Y61" s="359">
        <f>IF(Scharniere[[#This Row],[Bohrbild]]=select!$A$989,1,0)</f>
        <v>0</v>
      </c>
      <c r="Z61" s="359">
        <f>IF(IF(Scharniere[[#This Row],[Anschrauben]]=1,1,IF(Scharniere[[#This Row],[Einpressen]]=1,2,IF(Scharniere[[#This Row],[Quick]]=1,3,IF(Scharniere[[#This Row],[Werkzeuglos]]=1,4,0))))=select!$A$1003,1,0)</f>
        <v>1</v>
      </c>
      <c r="AA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" s="359">
        <f ca="1">IF(select!$K$980="*",Scharniere[[#This Row],[AG Ges2]],Scharniere[[#This Row],[AG Ges1]])</f>
        <v>0</v>
      </c>
      <c r="AE61" s="451">
        <f ca="1">IF(AND(Scharniere[[#This Row],[Scharnierart]]=select!$A$1485,Scharniere[[#This Row],[Gruppenschlüssel]]=select!$B$1485)=TRUE,1,0)</f>
        <v>1</v>
      </c>
      <c r="AF61" s="451">
        <f ca="1">IF(AND(Scharniere[[#This Row],[Scharnierart]]=select!$A$1486,Scharniere[[#This Row],[Gruppenschlüssel]]=select!$B$1486)=TRUE,1,0)</f>
        <v>0</v>
      </c>
      <c r="AG61" s="451">
        <f ca="1">IF(AND(Scharniere[[#This Row],[Scharnierart]]=select!$A$1487,Scharniere[[#This Row],[Gruppenschlüssel]]=select!$B$1487)=TRUE,1,0)</f>
        <v>0</v>
      </c>
      <c r="AH61" s="451">
        <f ca="1">IF(AND(Scharniere[[#This Row],[Scharnierart]]=select!$A$1488,Scharniere[[#This Row],[Gruppenschlüssel]]=select!$B$1488)=TRUE,1,0)</f>
        <v>0</v>
      </c>
      <c r="AI61" s="451">
        <f ca="1">IF(SUM(Scharniere[[#This Row],[konf Scharnier 1]:[konf Scharnier 4]])&gt;0,1,0)</f>
        <v>1</v>
      </c>
      <c r="AJ61" s="451"/>
      <c r="AK61" s="451"/>
      <c r="AL61" s="451"/>
      <c r="AM61" s="451"/>
      <c r="AN61" s="451"/>
      <c r="AO61" s="146">
        <v>1</v>
      </c>
      <c r="AP61" s="146">
        <v>1</v>
      </c>
      <c r="AQ61" s="10" t="str">
        <f ca="1">Sprache!$A$110</f>
        <v>Tiomos Scharnier T Click-on</v>
      </c>
      <c r="AR61" t="s">
        <v>1924</v>
      </c>
      <c r="AS61" t="str">
        <f ca="1">Sprache!$A$103</f>
        <v>Tiomos Click-On Scharniere</v>
      </c>
      <c r="AT61">
        <v>9.5</v>
      </c>
      <c r="AU61" s="34" t="s">
        <v>9</v>
      </c>
      <c r="AV61">
        <v>110</v>
      </c>
      <c r="AW61" s="10">
        <v>0</v>
      </c>
      <c r="AX61">
        <v>1</v>
      </c>
      <c r="AY61">
        <v>0</v>
      </c>
      <c r="AZ61" s="10">
        <v>1</v>
      </c>
      <c r="BA61">
        <v>0</v>
      </c>
      <c r="BB61">
        <v>0</v>
      </c>
      <c r="BC61">
        <v>0</v>
      </c>
      <c r="BD61" s="143" t="s">
        <v>459</v>
      </c>
      <c r="BG61"/>
    </row>
    <row r="62" spans="1:59" ht="14.25" customHeight="1" x14ac:dyDescent="0.25">
      <c r="A62" s="37" t="str">
        <f>LEFT(Scharniere[[#This Row],[ArtikelNR]],4)</f>
        <v>F028</v>
      </c>
      <c r="B62" s="35" t="str">
        <f>MID(Scharniere[[#This Row],[ArtikelNR]],5,3)</f>
        <v>138</v>
      </c>
      <c r="C62" s="37" t="str">
        <f>RIGHT(Scharniere[[#This Row],[ArtikelNR]],3)</f>
        <v>339</v>
      </c>
      <c r="D62" s="35">
        <f>IF(AND(Scharniere[[#This Row],[Gruppenschlüssel]]=select!$A$44,Scharniere[[#This Row],[Scharnierart]]=1)=TRUE,1,0)</f>
        <v>1</v>
      </c>
      <c r="E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" s="35">
        <f>IF(select!$F$57=IF(Scharniere[[#This Row],[mit Dämpfung]]=1,1,IF(Scharniere[[#This Row],[ohne Dämpfung]]=1,2,IF(Scharniere[[#This Row],[ohne Feder]]=1,3,0))),1,0)</f>
        <v>0</v>
      </c>
      <c r="G62" s="35">
        <f>IF(Scharniere[[#This Row],[Bohrbild]]=select!$V$43,1,0)</f>
        <v>0</v>
      </c>
      <c r="H62" s="35">
        <f>IF(IF(Scharniere[[#This Row],[Anschrauben]]=1,1,IF(Scharniere[[#This Row],[Einpressen]]=1,2,IF(Scharniere[[#This Row],[Quick]]=1,3,IF(Scharniere[[#This Row],[Werkzeuglos]]=1,4,0))))=select!$F$48,1,0)</f>
        <v>0</v>
      </c>
      <c r="I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" s="149">
        <f>IF(AND(Scharniere[[#This Row],[Scharnierart]]=2,Scharniere[[#This Row],[Gruppenschlüssel]]=select!$A$318)=TRUE,1,0)</f>
        <v>0</v>
      </c>
      <c r="K62" s="221">
        <f ca="1">IF(select!$O$424&lt;6,1,0)</f>
        <v>1</v>
      </c>
      <c r="L62" s="139">
        <f>IF(select!$A$362=IF(Scharniere[[#This Row],[mit Dämpfung]]=1,1,IF(Scharniere[[#This Row],[ohne Dämpfung]]=1,2,IF(Scharniere[[#This Row],[ohne Feder]]=1,3,0))),1,0)</f>
        <v>1</v>
      </c>
      <c r="M62" s="135">
        <f>IF(Scharniere[[#This Row],[Bohrbild]]=select!$O$334,1,0)</f>
        <v>0</v>
      </c>
      <c r="N62" s="135">
        <f>IF(IF(Scharniere[[#This Row],[Anschrauben]]=1,1,IF(Scharniere[[#This Row],[Einpressen]]=1,2,IF(Scharniere[[#This Row],[Quick]]=1,3,IF(Scharniere[[#This Row],[Werkzeuglos]]=1,4,0))))=select!$E$362,1,0)</f>
        <v>1</v>
      </c>
      <c r="O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" s="298">
        <f>IF(AND(Scharniere[[#This Row],[Scharnierart]]=3,Scharniere[[#This Row],[Gruppenschlüssel]]=select!$A$747)=TRUE,1,0)</f>
        <v>0</v>
      </c>
      <c r="Q62" s="298">
        <f ca="1">IF(select!$O$945&lt;6,1,0)</f>
        <v>1</v>
      </c>
      <c r="R62" s="298">
        <f>IF(select!$A$778=IF(Scharniere[[#This Row],[mit Dämpfung]]=1,1,IF(Scharniere[[#This Row],[ohne Dämpfung]]=1,2,IF(Scharniere[[#This Row],[ohne Feder]]=1,3,0))),1,0)</f>
        <v>0</v>
      </c>
      <c r="S62" s="298">
        <f>IF(Scharniere[[#This Row],[Bohrbild]]=select!$A$755,1,0)</f>
        <v>0</v>
      </c>
      <c r="T62" s="298">
        <f>IF(IF(Scharniere[[#This Row],[Anschrauben]]=1,1,IF(Scharniere[[#This Row],[Einpressen]]=1,2,IF(Scharniere[[#This Row],[Quick]]=1,3,IF(Scharniere[[#This Row],[Werkzeuglos]]=1,4,0))))=select!$A$769,1,0)</f>
        <v>1</v>
      </c>
      <c r="U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" s="359">
        <f>IF(AND(Scharniere[[#This Row],[Scharnierart]]=4,Scharniere[[#This Row],[Gruppenschlüssel]]=select!$A$981)=TRUE,1,0)</f>
        <v>0</v>
      </c>
      <c r="W62" s="359">
        <f ca="1">IF(select!$O$1185&lt;6,1,0)</f>
        <v>1</v>
      </c>
      <c r="X62" s="359">
        <f>IF(select!$A$1012=IF(Scharniere[[#This Row],[mit Dämpfung]]=1,1,IF(Scharniere[[#This Row],[ohne Dämpfung]]=1,2,IF(Scharniere[[#This Row],[ohne Feder]]=1,3,0))),1,0)</f>
        <v>0</v>
      </c>
      <c r="Y62" s="359">
        <f>IF(Scharniere[[#This Row],[Bohrbild]]=select!$A$989,1,0)</f>
        <v>0</v>
      </c>
      <c r="Z62" s="359">
        <f>IF(IF(Scharniere[[#This Row],[Anschrauben]]=1,1,IF(Scharniere[[#This Row],[Einpressen]]=1,2,IF(Scharniere[[#This Row],[Quick]]=1,3,IF(Scharniere[[#This Row],[Werkzeuglos]]=1,4,0))))=select!$A$1003,1,0)</f>
        <v>1</v>
      </c>
      <c r="AA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" s="359">
        <f ca="1">IF(select!$K$980="*",Scharniere[[#This Row],[AG Ges2]],Scharniere[[#This Row],[AG Ges1]])</f>
        <v>0</v>
      </c>
      <c r="AE62" s="451">
        <f ca="1">IF(AND(Scharniere[[#This Row],[Scharnierart]]=select!$A$1485,Scharniere[[#This Row],[Gruppenschlüssel]]=select!$B$1485)=TRUE,1,0)</f>
        <v>1</v>
      </c>
      <c r="AF62" s="451">
        <f ca="1">IF(AND(Scharniere[[#This Row],[Scharnierart]]=select!$A$1486,Scharniere[[#This Row],[Gruppenschlüssel]]=select!$B$1486)=TRUE,1,0)</f>
        <v>0</v>
      </c>
      <c r="AG62" s="451">
        <f ca="1">IF(AND(Scharniere[[#This Row],[Scharnierart]]=select!$A$1487,Scharniere[[#This Row],[Gruppenschlüssel]]=select!$B$1487)=TRUE,1,0)</f>
        <v>0</v>
      </c>
      <c r="AH62" s="451">
        <f ca="1">IF(AND(Scharniere[[#This Row],[Scharnierart]]=select!$A$1488,Scharniere[[#This Row],[Gruppenschlüssel]]=select!$B$1488)=TRUE,1,0)</f>
        <v>0</v>
      </c>
      <c r="AI62" s="451">
        <f ca="1">IF(SUM(Scharniere[[#This Row],[konf Scharnier 1]:[konf Scharnier 4]])&gt;0,1,0)</f>
        <v>1</v>
      </c>
      <c r="AJ62" s="451"/>
      <c r="AK62" s="451"/>
      <c r="AL62" s="451"/>
      <c r="AM62" s="451"/>
      <c r="AN62" s="451"/>
      <c r="AO62" s="146">
        <v>1</v>
      </c>
      <c r="AP62" s="146">
        <v>1</v>
      </c>
      <c r="AQ62" s="10" t="str">
        <f ca="1">Sprache!$A$112</f>
        <v>Tiomos Scharnier TS Click-on</v>
      </c>
      <c r="AR62" t="s">
        <v>1924</v>
      </c>
      <c r="AS62" t="str">
        <f ca="1">Sprache!$A$103</f>
        <v>Tiomos Click-On Scharniere</v>
      </c>
      <c r="AT62">
        <v>9.5</v>
      </c>
      <c r="AU62" s="34" t="s">
        <v>9</v>
      </c>
      <c r="AV62">
        <v>110</v>
      </c>
      <c r="AW62" s="10">
        <v>1</v>
      </c>
      <c r="AX62">
        <v>0</v>
      </c>
      <c r="AY62">
        <v>0</v>
      </c>
      <c r="AZ62" s="10">
        <v>1</v>
      </c>
      <c r="BA62">
        <v>0</v>
      </c>
      <c r="BB62">
        <v>0</v>
      </c>
      <c r="BC62">
        <v>0</v>
      </c>
      <c r="BD62" s="143" t="s">
        <v>268</v>
      </c>
      <c r="BG62"/>
    </row>
    <row r="63" spans="1:59" ht="14.25" customHeight="1" x14ac:dyDescent="0.25">
      <c r="A63" s="37" t="str">
        <f>LEFT(Scharniere[[#This Row],[ArtikelNR]],4)</f>
        <v>F046</v>
      </c>
      <c r="B63" s="35" t="str">
        <f>MID(Scharniere[[#This Row],[ArtikelNR]],5,3)</f>
        <v>138</v>
      </c>
      <c r="C63" s="37" t="str">
        <f>RIGHT(Scharniere[[#This Row],[ArtikelNR]],3)</f>
        <v>399</v>
      </c>
      <c r="D63" s="35">
        <f>IF(AND(Scharniere[[#This Row],[Gruppenschlüssel]]=select!$A$44,Scharniere[[#This Row],[Scharnierart]]=1)=TRUE,1,0)</f>
        <v>1</v>
      </c>
      <c r="E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3" s="35">
        <f>IF(select!$F$57=IF(Scharniere[[#This Row],[mit Dämpfung]]=1,1,IF(Scharniere[[#This Row],[ohne Dämpfung]]=1,2,IF(Scharniere[[#This Row],[ohne Feder]]=1,3,0))),1,0)</f>
        <v>1</v>
      </c>
      <c r="G63" s="35">
        <f>IF(Scharniere[[#This Row],[Bohrbild]]=select!$V$43,1,0)</f>
        <v>0</v>
      </c>
      <c r="H63" s="35">
        <f>IF(IF(Scharniere[[#This Row],[Anschrauben]]=1,1,IF(Scharniere[[#This Row],[Einpressen]]=1,2,IF(Scharniere[[#This Row],[Quick]]=1,3,IF(Scharniere[[#This Row],[Werkzeuglos]]=1,4,0))))=select!$F$48,1,0)</f>
        <v>0</v>
      </c>
      <c r="I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" s="149">
        <f>IF(AND(Scharniere[[#This Row],[Scharnierart]]=2,Scharniere[[#This Row],[Gruppenschlüssel]]=select!$A$318)=TRUE,1,0)</f>
        <v>0</v>
      </c>
      <c r="K63" s="221">
        <f ca="1">IF(select!$O$424&lt;6,1,0)</f>
        <v>1</v>
      </c>
      <c r="L63" s="139">
        <f>IF(select!$A$362=IF(Scharniere[[#This Row],[mit Dämpfung]]=1,1,IF(Scharniere[[#This Row],[ohne Dämpfung]]=1,2,IF(Scharniere[[#This Row],[ohne Feder]]=1,3,0))),1,0)</f>
        <v>0</v>
      </c>
      <c r="M63" s="135">
        <f>IF(Scharniere[[#This Row],[Bohrbild]]=select!$O$334,1,0)</f>
        <v>0</v>
      </c>
      <c r="N63" s="135">
        <f>IF(IF(Scharniere[[#This Row],[Anschrauben]]=1,1,IF(Scharniere[[#This Row],[Einpressen]]=1,2,IF(Scharniere[[#This Row],[Quick]]=1,3,IF(Scharniere[[#This Row],[Werkzeuglos]]=1,4,0))))=select!$E$362,1,0)</f>
        <v>1</v>
      </c>
      <c r="O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" s="298">
        <f>IF(AND(Scharniere[[#This Row],[Scharnierart]]=3,Scharniere[[#This Row],[Gruppenschlüssel]]=select!$A$747)=TRUE,1,0)</f>
        <v>0</v>
      </c>
      <c r="Q63" s="298">
        <f ca="1">IF(select!$O$945&lt;6,1,0)</f>
        <v>1</v>
      </c>
      <c r="R63" s="298">
        <f>IF(select!$A$778=IF(Scharniere[[#This Row],[mit Dämpfung]]=1,1,IF(Scharniere[[#This Row],[ohne Dämpfung]]=1,2,IF(Scharniere[[#This Row],[ohne Feder]]=1,3,0))),1,0)</f>
        <v>0</v>
      </c>
      <c r="S63" s="298">
        <f>IF(Scharniere[[#This Row],[Bohrbild]]=select!$A$755,1,0)</f>
        <v>0</v>
      </c>
      <c r="T63" s="298">
        <f>IF(IF(Scharniere[[#This Row],[Anschrauben]]=1,1,IF(Scharniere[[#This Row],[Einpressen]]=1,2,IF(Scharniere[[#This Row],[Quick]]=1,3,IF(Scharniere[[#This Row],[Werkzeuglos]]=1,4,0))))=select!$A$769,1,0)</f>
        <v>1</v>
      </c>
      <c r="U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" s="359">
        <f>IF(AND(Scharniere[[#This Row],[Scharnierart]]=4,Scharniere[[#This Row],[Gruppenschlüssel]]=select!$A$981)=TRUE,1,0)</f>
        <v>0</v>
      </c>
      <c r="W63" s="359">
        <f ca="1">IF(select!$O$1185&lt;6,1,0)</f>
        <v>1</v>
      </c>
      <c r="X63" s="359">
        <f>IF(select!$A$1012=IF(Scharniere[[#This Row],[mit Dämpfung]]=1,1,IF(Scharniere[[#This Row],[ohne Dämpfung]]=1,2,IF(Scharniere[[#This Row],[ohne Feder]]=1,3,0))),1,0)</f>
        <v>0</v>
      </c>
      <c r="Y63" s="359">
        <f>IF(Scharniere[[#This Row],[Bohrbild]]=select!$A$989,1,0)</f>
        <v>0</v>
      </c>
      <c r="Z63" s="359">
        <f>IF(IF(Scharniere[[#This Row],[Anschrauben]]=1,1,IF(Scharniere[[#This Row],[Einpressen]]=1,2,IF(Scharniere[[#This Row],[Quick]]=1,3,IF(Scharniere[[#This Row],[Werkzeuglos]]=1,4,0))))=select!$A$1003,1,0)</f>
        <v>1</v>
      </c>
      <c r="AA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" s="359">
        <f ca="1">IF(select!$K$980="*",Scharniere[[#This Row],[AG Ges2]],Scharniere[[#This Row],[AG Ges1]])</f>
        <v>0</v>
      </c>
      <c r="AE63" s="451">
        <f ca="1">IF(AND(Scharniere[[#This Row],[Scharnierart]]=select!$A$1485,Scharniere[[#This Row],[Gruppenschlüssel]]=select!$B$1485)=TRUE,1,0)</f>
        <v>1</v>
      </c>
      <c r="AF63" s="451">
        <f ca="1">IF(AND(Scharniere[[#This Row],[Scharnierart]]=select!$A$1486,Scharniere[[#This Row],[Gruppenschlüssel]]=select!$B$1486)=TRUE,1,0)</f>
        <v>0</v>
      </c>
      <c r="AG63" s="451">
        <f ca="1">IF(AND(Scharniere[[#This Row],[Scharnierart]]=select!$A$1487,Scharniere[[#This Row],[Gruppenschlüssel]]=select!$B$1487)=TRUE,1,0)</f>
        <v>0</v>
      </c>
      <c r="AH63" s="451">
        <f ca="1">IF(AND(Scharniere[[#This Row],[Scharnierart]]=select!$A$1488,Scharniere[[#This Row],[Gruppenschlüssel]]=select!$B$1488)=TRUE,1,0)</f>
        <v>0</v>
      </c>
      <c r="AI63" s="451">
        <f ca="1">IF(SUM(Scharniere[[#This Row],[konf Scharnier 1]:[konf Scharnier 4]])&gt;0,1,0)</f>
        <v>1</v>
      </c>
      <c r="AJ63" s="451"/>
      <c r="AK63" s="451"/>
      <c r="AL63" s="451"/>
      <c r="AM63" s="451"/>
      <c r="AN63" s="451"/>
      <c r="AO63" s="146">
        <v>1</v>
      </c>
      <c r="AP63" s="146">
        <v>1</v>
      </c>
      <c r="AQ63" s="10" t="str">
        <f ca="1">Sprache!$A$114</f>
        <v>Tiomos Scharnier TT Click-on</v>
      </c>
      <c r="AR63" t="s">
        <v>1924</v>
      </c>
      <c r="AS63" t="str">
        <f ca="1">Sprache!$A$103</f>
        <v>Tiomos Click-On Scharniere</v>
      </c>
      <c r="AT63">
        <v>9.5</v>
      </c>
      <c r="AU63" t="s">
        <v>9</v>
      </c>
      <c r="AV63">
        <v>110</v>
      </c>
      <c r="AW63" s="10">
        <v>0</v>
      </c>
      <c r="AX63">
        <v>0</v>
      </c>
      <c r="AY63">
        <v>1</v>
      </c>
      <c r="AZ63" s="10">
        <v>1</v>
      </c>
      <c r="BA63">
        <v>0</v>
      </c>
      <c r="BB63">
        <v>0</v>
      </c>
      <c r="BC63">
        <v>0</v>
      </c>
      <c r="BD63" s="143" t="s">
        <v>611</v>
      </c>
      <c r="BG63"/>
    </row>
    <row r="64" spans="1:59" ht="14.25" customHeight="1" x14ac:dyDescent="0.25">
      <c r="A64" s="37" t="str">
        <f>LEFT(Scharniere[[#This Row],[ArtikelNR]],4)</f>
        <v>F034</v>
      </c>
      <c r="B64" s="35" t="str">
        <f>MID(Scharniere[[#This Row],[ArtikelNR]],5,3)</f>
        <v>139</v>
      </c>
      <c r="C64" s="37" t="str">
        <f>RIGHT(Scharniere[[#This Row],[ArtikelNR]],3)</f>
        <v>387</v>
      </c>
      <c r="D64" s="35">
        <f>IF(AND(Scharniere[[#This Row],[Gruppenschlüssel]]=select!$A$44,Scharniere[[#This Row],[Scharnierart]]=1)=TRUE,1,0)</f>
        <v>1</v>
      </c>
      <c r="E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4" s="35">
        <f>IF(select!$F$57=IF(Scharniere[[#This Row],[mit Dämpfung]]=1,1,IF(Scharniere[[#This Row],[ohne Dämpfung]]=1,2,IF(Scharniere[[#This Row],[ohne Feder]]=1,3,0))),1,0)</f>
        <v>0</v>
      </c>
      <c r="G64" s="35">
        <f>IF(Scharniere[[#This Row],[Bohrbild]]=select!$V$43,1,0)</f>
        <v>0</v>
      </c>
      <c r="H64" s="35">
        <f>IF(IF(Scharniere[[#This Row],[Anschrauben]]=1,1,IF(Scharniere[[#This Row],[Einpressen]]=1,2,IF(Scharniere[[#This Row],[Quick]]=1,3,IF(Scharniere[[#This Row],[Werkzeuglos]]=1,4,0))))=select!$F$48,1,0)</f>
        <v>0</v>
      </c>
      <c r="I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" s="149">
        <f>IF(AND(Scharniere[[#This Row],[Scharnierart]]=2,Scharniere[[#This Row],[Gruppenschlüssel]]=select!$A$318)=TRUE,1,0)</f>
        <v>0</v>
      </c>
      <c r="K64" s="221">
        <f ca="1">IF(select!$O$424&lt;6,1,0)</f>
        <v>1</v>
      </c>
      <c r="L64" s="139">
        <f>IF(select!$A$362=IF(Scharniere[[#This Row],[mit Dämpfung]]=1,1,IF(Scharniere[[#This Row],[ohne Dämpfung]]=1,2,IF(Scharniere[[#This Row],[ohne Feder]]=1,3,0))),1,0)</f>
        <v>0</v>
      </c>
      <c r="M64" s="135">
        <f>IF(Scharniere[[#This Row],[Bohrbild]]=select!$O$334,1,0)</f>
        <v>0</v>
      </c>
      <c r="N64" s="135">
        <f>IF(IF(Scharniere[[#This Row],[Anschrauben]]=1,1,IF(Scharniere[[#This Row],[Einpressen]]=1,2,IF(Scharniere[[#This Row],[Quick]]=1,3,IF(Scharniere[[#This Row],[Werkzeuglos]]=1,4,0))))=select!$E$362,1,0)</f>
        <v>0</v>
      </c>
      <c r="O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" s="298">
        <f>IF(AND(Scharniere[[#This Row],[Scharnierart]]=3,Scharniere[[#This Row],[Gruppenschlüssel]]=select!$A$747)=TRUE,1,0)</f>
        <v>0</v>
      </c>
      <c r="Q64" s="298">
        <f ca="1">IF(select!$O$945&lt;6,1,0)</f>
        <v>1</v>
      </c>
      <c r="R64" s="298">
        <f>IF(select!$A$778=IF(Scharniere[[#This Row],[mit Dämpfung]]=1,1,IF(Scharniere[[#This Row],[ohne Dämpfung]]=1,2,IF(Scharniere[[#This Row],[ohne Feder]]=1,3,0))),1,0)</f>
        <v>1</v>
      </c>
      <c r="S64" s="298">
        <f>IF(Scharniere[[#This Row],[Bohrbild]]=select!$A$755,1,0)</f>
        <v>0</v>
      </c>
      <c r="T64" s="298">
        <f>IF(IF(Scharniere[[#This Row],[Anschrauben]]=1,1,IF(Scharniere[[#This Row],[Einpressen]]=1,2,IF(Scharniere[[#This Row],[Quick]]=1,3,IF(Scharniere[[#This Row],[Werkzeuglos]]=1,4,0))))=select!$A$769,1,0)</f>
        <v>0</v>
      </c>
      <c r="U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" s="359">
        <f>IF(AND(Scharniere[[#This Row],[Scharnierart]]=4,Scharniere[[#This Row],[Gruppenschlüssel]]=select!$A$981)=TRUE,1,0)</f>
        <v>0</v>
      </c>
      <c r="W64" s="359">
        <f ca="1">IF(select!$O$1185&lt;6,1,0)</f>
        <v>1</v>
      </c>
      <c r="X64" s="359">
        <f>IF(select!$A$1012=IF(Scharniere[[#This Row],[mit Dämpfung]]=1,1,IF(Scharniere[[#This Row],[ohne Dämpfung]]=1,2,IF(Scharniere[[#This Row],[ohne Feder]]=1,3,0))),1,0)</f>
        <v>1</v>
      </c>
      <c r="Y64" s="359">
        <f>IF(Scharniere[[#This Row],[Bohrbild]]=select!$A$989,1,0)</f>
        <v>0</v>
      </c>
      <c r="Z64" s="359">
        <f>IF(IF(Scharniere[[#This Row],[Anschrauben]]=1,1,IF(Scharniere[[#This Row],[Einpressen]]=1,2,IF(Scharniere[[#This Row],[Quick]]=1,3,IF(Scharniere[[#This Row],[Werkzeuglos]]=1,4,0))))=select!$A$1003,1,0)</f>
        <v>0</v>
      </c>
      <c r="AA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" s="359">
        <f ca="1">IF(select!$K$980="*",Scharniere[[#This Row],[AG Ges2]],Scharniere[[#This Row],[AG Ges1]])</f>
        <v>0</v>
      </c>
      <c r="AE64" s="451">
        <f ca="1">IF(AND(Scharniere[[#This Row],[Scharnierart]]=select!$A$1485,Scharniere[[#This Row],[Gruppenschlüssel]]=select!$B$1485)=TRUE,1,0)</f>
        <v>1</v>
      </c>
      <c r="AF64" s="451">
        <f ca="1">IF(AND(Scharniere[[#This Row],[Scharnierart]]=select!$A$1486,Scharniere[[#This Row],[Gruppenschlüssel]]=select!$B$1486)=TRUE,1,0)</f>
        <v>0</v>
      </c>
      <c r="AG64" s="451">
        <f ca="1">IF(AND(Scharniere[[#This Row],[Scharnierart]]=select!$A$1487,Scharniere[[#This Row],[Gruppenschlüssel]]=select!$B$1487)=TRUE,1,0)</f>
        <v>0</v>
      </c>
      <c r="AH64" s="451">
        <f ca="1">IF(AND(Scharniere[[#This Row],[Scharnierart]]=select!$A$1488,Scharniere[[#This Row],[Gruppenschlüssel]]=select!$B$1488)=TRUE,1,0)</f>
        <v>0</v>
      </c>
      <c r="AI64" s="451">
        <f ca="1">IF(SUM(Scharniere[[#This Row],[konf Scharnier 1]:[konf Scharnier 4]])&gt;0,1,0)</f>
        <v>1</v>
      </c>
      <c r="AJ64" s="451"/>
      <c r="AK64" s="451"/>
      <c r="AL64" s="451"/>
      <c r="AM64" s="451"/>
      <c r="AN64" s="451"/>
      <c r="AO64" s="146">
        <v>1</v>
      </c>
      <c r="AP64" s="146">
        <v>1</v>
      </c>
      <c r="AQ64" s="10" t="str">
        <f ca="1">Sprache!$A$111</f>
        <v>Tiomos Scharnier T Impresso</v>
      </c>
      <c r="AR64" t="s">
        <v>1925</v>
      </c>
      <c r="AS64" t="str">
        <f ca="1">Sprache!$A$116</f>
        <v>Tiomos Impresso Scharniere</v>
      </c>
      <c r="AT64">
        <v>9.5</v>
      </c>
      <c r="AU64" s="34" t="s">
        <v>9</v>
      </c>
      <c r="AV64">
        <v>110</v>
      </c>
      <c r="AW64" s="10">
        <v>0</v>
      </c>
      <c r="AX64">
        <v>1</v>
      </c>
      <c r="AY64">
        <v>0</v>
      </c>
      <c r="AZ64" s="10">
        <v>0</v>
      </c>
      <c r="BA64">
        <v>0</v>
      </c>
      <c r="BB64">
        <v>0</v>
      </c>
      <c r="BC64">
        <v>1</v>
      </c>
      <c r="BD64" s="143" t="s">
        <v>153</v>
      </c>
      <c r="BG64"/>
    </row>
    <row r="65" spans="1:59" ht="14.25" customHeight="1" x14ac:dyDescent="0.25">
      <c r="A65" s="37" t="str">
        <f>LEFT(Scharniere[[#This Row],[ArtikelNR]],4)</f>
        <v>F034</v>
      </c>
      <c r="B65" s="35" t="str">
        <f>MID(Scharniere[[#This Row],[ArtikelNR]],5,3)</f>
        <v>139</v>
      </c>
      <c r="C65" s="37" t="str">
        <f>RIGHT(Scharniere[[#This Row],[ArtikelNR]],3)</f>
        <v>387</v>
      </c>
      <c r="D65" s="35">
        <f>IF(AND(Scharniere[[#This Row],[Gruppenschlüssel]]=select!$A$44,Scharniere[[#This Row],[Scharnierart]]=1)=TRUE,1,0)</f>
        <v>1</v>
      </c>
      <c r="E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5" s="35">
        <f>IF(select!$F$57=IF(Scharniere[[#This Row],[mit Dämpfung]]=1,1,IF(Scharniere[[#This Row],[ohne Dämpfung]]=1,2,IF(Scharniere[[#This Row],[ohne Feder]]=1,3,0))),1,0)</f>
        <v>0</v>
      </c>
      <c r="G65" s="35">
        <f>IF(Scharniere[[#This Row],[Bohrbild]]=select!$V$43,1,0)</f>
        <v>0</v>
      </c>
      <c r="H65" s="35">
        <f>IF(IF(Scharniere[[#This Row],[Anschrauben]]=1,1,IF(Scharniere[[#This Row],[Einpressen]]=1,2,IF(Scharniere[[#This Row],[Quick]]=1,3,IF(Scharniere[[#This Row],[Werkzeuglos]]=1,4,0))))=select!$F$48,1,0)</f>
        <v>0</v>
      </c>
      <c r="I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" s="149">
        <f>IF(AND(Scharniere[[#This Row],[Scharnierart]]=2,Scharniere[[#This Row],[Gruppenschlüssel]]=select!$A$318)=TRUE,1,0)</f>
        <v>0</v>
      </c>
      <c r="K65" s="221">
        <f ca="1">IF(select!$O$424&lt;6,1,0)</f>
        <v>1</v>
      </c>
      <c r="L65" s="139">
        <f>IF(select!$A$362=IF(Scharniere[[#This Row],[mit Dämpfung]]=1,1,IF(Scharniere[[#This Row],[ohne Dämpfung]]=1,2,IF(Scharniere[[#This Row],[ohne Feder]]=1,3,0))),1,0)</f>
        <v>0</v>
      </c>
      <c r="M65" s="135">
        <f>IF(Scharniere[[#This Row],[Bohrbild]]=select!$O$334,1,0)</f>
        <v>0</v>
      </c>
      <c r="N65" s="135">
        <f>IF(IF(Scharniere[[#This Row],[Anschrauben]]=1,1,IF(Scharniere[[#This Row],[Einpressen]]=1,2,IF(Scharniere[[#This Row],[Quick]]=1,3,IF(Scharniere[[#This Row],[Werkzeuglos]]=1,4,0))))=select!$E$362,1,0)</f>
        <v>0</v>
      </c>
      <c r="O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" s="298">
        <f>IF(AND(Scharniere[[#This Row],[Scharnierart]]=3,Scharniere[[#This Row],[Gruppenschlüssel]]=select!$A$747)=TRUE,1,0)</f>
        <v>0</v>
      </c>
      <c r="Q65" s="298">
        <f ca="1">IF(select!$O$945&lt;6,1,0)</f>
        <v>1</v>
      </c>
      <c r="R65" s="298">
        <f>IF(select!$A$778=IF(Scharniere[[#This Row],[mit Dämpfung]]=1,1,IF(Scharniere[[#This Row],[ohne Dämpfung]]=1,2,IF(Scharniere[[#This Row],[ohne Feder]]=1,3,0))),1,0)</f>
        <v>1</v>
      </c>
      <c r="S65" s="298">
        <f>IF(Scharniere[[#This Row],[Bohrbild]]=select!$A$755,1,0)</f>
        <v>0</v>
      </c>
      <c r="T65" s="298">
        <f>IF(IF(Scharniere[[#This Row],[Anschrauben]]=1,1,IF(Scharniere[[#This Row],[Einpressen]]=1,2,IF(Scharniere[[#This Row],[Quick]]=1,3,IF(Scharniere[[#This Row],[Werkzeuglos]]=1,4,0))))=select!$A$769,1,0)</f>
        <v>0</v>
      </c>
      <c r="U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" s="359">
        <f>IF(AND(Scharniere[[#This Row],[Scharnierart]]=4,Scharniere[[#This Row],[Gruppenschlüssel]]=select!$A$981)=TRUE,1,0)</f>
        <v>0</v>
      </c>
      <c r="W65" s="359">
        <f ca="1">IF(select!$O$1185&lt;6,1,0)</f>
        <v>1</v>
      </c>
      <c r="X65" s="359">
        <f>IF(select!$A$1012=IF(Scharniere[[#This Row],[mit Dämpfung]]=1,1,IF(Scharniere[[#This Row],[ohne Dämpfung]]=1,2,IF(Scharniere[[#This Row],[ohne Feder]]=1,3,0))),1,0)</f>
        <v>1</v>
      </c>
      <c r="Y65" s="359">
        <f>IF(Scharniere[[#This Row],[Bohrbild]]=select!$A$989,1,0)</f>
        <v>0</v>
      </c>
      <c r="Z65" s="359">
        <f>IF(IF(Scharniere[[#This Row],[Anschrauben]]=1,1,IF(Scharniere[[#This Row],[Einpressen]]=1,2,IF(Scharniere[[#This Row],[Quick]]=1,3,IF(Scharniere[[#This Row],[Werkzeuglos]]=1,4,0))))=select!$A$1003,1,0)</f>
        <v>0</v>
      </c>
      <c r="AA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" s="359">
        <f ca="1">IF(select!$K$980="*",Scharniere[[#This Row],[AG Ges2]],Scharniere[[#This Row],[AG Ges1]])</f>
        <v>0</v>
      </c>
      <c r="AE65" s="451">
        <f ca="1">IF(AND(Scharniere[[#This Row],[Scharnierart]]=select!$A$1485,Scharniere[[#This Row],[Gruppenschlüssel]]=select!$B$1485)=TRUE,1,0)</f>
        <v>1</v>
      </c>
      <c r="AF65" s="451">
        <f ca="1">IF(AND(Scharniere[[#This Row],[Scharnierart]]=select!$A$1486,Scharniere[[#This Row],[Gruppenschlüssel]]=select!$B$1486)=TRUE,1,0)</f>
        <v>0</v>
      </c>
      <c r="AG65" s="451">
        <f ca="1">IF(AND(Scharniere[[#This Row],[Scharnierart]]=select!$A$1487,Scharniere[[#This Row],[Gruppenschlüssel]]=select!$B$1487)=TRUE,1,0)</f>
        <v>0</v>
      </c>
      <c r="AH65" s="451">
        <f ca="1">IF(AND(Scharniere[[#This Row],[Scharnierart]]=select!$A$1488,Scharniere[[#This Row],[Gruppenschlüssel]]=select!$B$1488)=TRUE,1,0)</f>
        <v>0</v>
      </c>
      <c r="AI65" s="451">
        <f ca="1">IF(SUM(Scharniere[[#This Row],[konf Scharnier 1]:[konf Scharnier 4]])&gt;0,1,0)</f>
        <v>1</v>
      </c>
      <c r="AJ65" s="451"/>
      <c r="AK65" s="451"/>
      <c r="AL65" s="451"/>
      <c r="AM65" s="451"/>
      <c r="AN65" s="451"/>
      <c r="AO65" s="146">
        <v>1</v>
      </c>
      <c r="AP65" s="146">
        <v>1</v>
      </c>
      <c r="AQ65" s="10" t="str">
        <f ca="1">Sprache!$A$111</f>
        <v>Tiomos Scharnier T Impresso</v>
      </c>
      <c r="AR65" t="s">
        <v>1925</v>
      </c>
      <c r="AS65" t="str">
        <f ca="1">Sprache!$A$116</f>
        <v>Tiomos Impresso Scharniere</v>
      </c>
      <c r="AT65">
        <v>9.5</v>
      </c>
      <c r="AU65" s="34" t="s">
        <v>3</v>
      </c>
      <c r="AV65">
        <v>110</v>
      </c>
      <c r="AW65" s="10">
        <v>0</v>
      </c>
      <c r="AX65">
        <v>1</v>
      </c>
      <c r="AY65">
        <v>0</v>
      </c>
      <c r="AZ65" s="10">
        <v>0</v>
      </c>
      <c r="BA65">
        <v>0</v>
      </c>
      <c r="BB65">
        <v>0</v>
      </c>
      <c r="BC65">
        <v>1</v>
      </c>
      <c r="BD65" s="143" t="s">
        <v>153</v>
      </c>
      <c r="BG65"/>
    </row>
    <row r="66" spans="1:59" ht="14.25" customHeight="1" x14ac:dyDescent="0.25">
      <c r="A66" s="37" t="str">
        <f>LEFT(Scharniere[[#This Row],[ArtikelNR]],4)</f>
        <v>F017</v>
      </c>
      <c r="B66" s="35" t="str">
        <f>MID(Scharniere[[#This Row],[ArtikelNR]],5,3)</f>
        <v>139</v>
      </c>
      <c r="C66" s="37" t="str">
        <f>RIGHT(Scharniere[[#This Row],[ArtikelNR]],3)</f>
        <v>416</v>
      </c>
      <c r="D66" s="35">
        <f>IF(AND(Scharniere[[#This Row],[Gruppenschlüssel]]=select!$A$44,Scharniere[[#This Row],[Scharnierart]]=1)=TRUE,1,0)</f>
        <v>1</v>
      </c>
      <c r="E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6" s="35">
        <f>IF(select!$F$57=IF(Scharniere[[#This Row],[mit Dämpfung]]=1,1,IF(Scharniere[[#This Row],[ohne Dämpfung]]=1,2,IF(Scharniere[[#This Row],[ohne Feder]]=1,3,0))),1,0)</f>
        <v>0</v>
      </c>
      <c r="G66" s="35">
        <f>IF(Scharniere[[#This Row],[Bohrbild]]=select!$V$43,1,0)</f>
        <v>0</v>
      </c>
      <c r="H66" s="35">
        <f>IF(IF(Scharniere[[#This Row],[Anschrauben]]=1,1,IF(Scharniere[[#This Row],[Einpressen]]=1,2,IF(Scharniere[[#This Row],[Quick]]=1,3,IF(Scharniere[[#This Row],[Werkzeuglos]]=1,4,0))))=select!$F$48,1,0)</f>
        <v>0</v>
      </c>
      <c r="I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" s="149">
        <f>IF(AND(Scharniere[[#This Row],[Scharnierart]]=2,Scharniere[[#This Row],[Gruppenschlüssel]]=select!$A$318)=TRUE,1,0)</f>
        <v>0</v>
      </c>
      <c r="K66" s="221">
        <f ca="1">IF(select!$O$424&lt;6,1,0)</f>
        <v>1</v>
      </c>
      <c r="L66" s="139">
        <f>IF(select!$A$362=IF(Scharniere[[#This Row],[mit Dämpfung]]=1,1,IF(Scharniere[[#This Row],[ohne Dämpfung]]=1,2,IF(Scharniere[[#This Row],[ohne Feder]]=1,3,0))),1,0)</f>
        <v>1</v>
      </c>
      <c r="M66" s="135">
        <f>IF(Scharniere[[#This Row],[Bohrbild]]=select!$O$334,1,0)</f>
        <v>0</v>
      </c>
      <c r="N66" s="135">
        <f>IF(IF(Scharniere[[#This Row],[Anschrauben]]=1,1,IF(Scharniere[[#This Row],[Einpressen]]=1,2,IF(Scharniere[[#This Row],[Quick]]=1,3,IF(Scharniere[[#This Row],[Werkzeuglos]]=1,4,0))))=select!$E$362,1,0)</f>
        <v>0</v>
      </c>
      <c r="O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" s="298">
        <f>IF(AND(Scharniere[[#This Row],[Scharnierart]]=3,Scharniere[[#This Row],[Gruppenschlüssel]]=select!$A$747)=TRUE,1,0)</f>
        <v>0</v>
      </c>
      <c r="Q66" s="298">
        <f ca="1">IF(select!$O$945&lt;6,1,0)</f>
        <v>1</v>
      </c>
      <c r="R66" s="298">
        <f>IF(select!$A$778=IF(Scharniere[[#This Row],[mit Dämpfung]]=1,1,IF(Scharniere[[#This Row],[ohne Dämpfung]]=1,2,IF(Scharniere[[#This Row],[ohne Feder]]=1,3,0))),1,0)</f>
        <v>0</v>
      </c>
      <c r="S66" s="298">
        <f>IF(Scharniere[[#This Row],[Bohrbild]]=select!$A$755,1,0)</f>
        <v>0</v>
      </c>
      <c r="T66" s="298">
        <f>IF(IF(Scharniere[[#This Row],[Anschrauben]]=1,1,IF(Scharniere[[#This Row],[Einpressen]]=1,2,IF(Scharniere[[#This Row],[Quick]]=1,3,IF(Scharniere[[#This Row],[Werkzeuglos]]=1,4,0))))=select!$A$769,1,0)</f>
        <v>0</v>
      </c>
      <c r="U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" s="359">
        <f>IF(AND(Scharniere[[#This Row],[Scharnierart]]=4,Scharniere[[#This Row],[Gruppenschlüssel]]=select!$A$981)=TRUE,1,0)</f>
        <v>0</v>
      </c>
      <c r="W66" s="359">
        <f ca="1">IF(select!$O$1185&lt;6,1,0)</f>
        <v>1</v>
      </c>
      <c r="X66" s="359">
        <f>IF(select!$A$1012=IF(Scharniere[[#This Row],[mit Dämpfung]]=1,1,IF(Scharniere[[#This Row],[ohne Dämpfung]]=1,2,IF(Scharniere[[#This Row],[ohne Feder]]=1,3,0))),1,0)</f>
        <v>0</v>
      </c>
      <c r="Y66" s="359">
        <f>IF(Scharniere[[#This Row],[Bohrbild]]=select!$A$989,1,0)</f>
        <v>0</v>
      </c>
      <c r="Z66" s="359">
        <f>IF(IF(Scharniere[[#This Row],[Anschrauben]]=1,1,IF(Scharniere[[#This Row],[Einpressen]]=1,2,IF(Scharniere[[#This Row],[Quick]]=1,3,IF(Scharniere[[#This Row],[Werkzeuglos]]=1,4,0))))=select!$A$1003,1,0)</f>
        <v>0</v>
      </c>
      <c r="AA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" s="359">
        <f ca="1">IF(select!$K$980="*",Scharniere[[#This Row],[AG Ges2]],Scharniere[[#This Row],[AG Ges1]])</f>
        <v>0</v>
      </c>
      <c r="AE66" s="451">
        <f ca="1">IF(AND(Scharniere[[#This Row],[Scharnierart]]=select!$A$1485,Scharniere[[#This Row],[Gruppenschlüssel]]=select!$B$1485)=TRUE,1,0)</f>
        <v>1</v>
      </c>
      <c r="AF66" s="451">
        <f ca="1">IF(AND(Scharniere[[#This Row],[Scharnierart]]=select!$A$1486,Scharniere[[#This Row],[Gruppenschlüssel]]=select!$B$1486)=TRUE,1,0)</f>
        <v>0</v>
      </c>
      <c r="AG66" s="451">
        <f ca="1">IF(AND(Scharniere[[#This Row],[Scharnierart]]=select!$A$1487,Scharniere[[#This Row],[Gruppenschlüssel]]=select!$B$1487)=TRUE,1,0)</f>
        <v>0</v>
      </c>
      <c r="AH66" s="451">
        <f ca="1">IF(AND(Scharniere[[#This Row],[Scharnierart]]=select!$A$1488,Scharniere[[#This Row],[Gruppenschlüssel]]=select!$B$1488)=TRUE,1,0)</f>
        <v>0</v>
      </c>
      <c r="AI66" s="451">
        <f ca="1">IF(SUM(Scharniere[[#This Row],[konf Scharnier 1]:[konf Scharnier 4]])&gt;0,1,0)</f>
        <v>1</v>
      </c>
      <c r="AJ66" s="451"/>
      <c r="AK66" s="451"/>
      <c r="AL66" s="451"/>
      <c r="AM66" s="451"/>
      <c r="AN66" s="451"/>
      <c r="AO66" s="146">
        <v>1</v>
      </c>
      <c r="AP66" s="146">
        <v>1</v>
      </c>
      <c r="AQ66" s="10" t="str">
        <f ca="1">Sprache!$A$113</f>
        <v>Tiomos Scharnier TS Impresso</v>
      </c>
      <c r="AR66" t="s">
        <v>1925</v>
      </c>
      <c r="AS66" t="str">
        <f ca="1">Sprache!$A$116</f>
        <v>Tiomos Impresso Scharniere</v>
      </c>
      <c r="AT66">
        <v>9.5</v>
      </c>
      <c r="AU66" s="34" t="s">
        <v>9</v>
      </c>
      <c r="AV66">
        <v>110</v>
      </c>
      <c r="AW66" s="10">
        <v>1</v>
      </c>
      <c r="AX66">
        <v>0</v>
      </c>
      <c r="AY66">
        <v>0</v>
      </c>
      <c r="AZ66" s="10">
        <v>0</v>
      </c>
      <c r="BA66">
        <v>0</v>
      </c>
      <c r="BB66">
        <v>0</v>
      </c>
      <c r="BC66">
        <v>1</v>
      </c>
      <c r="BD66" s="143" t="s">
        <v>89</v>
      </c>
      <c r="BG66"/>
    </row>
    <row r="67" spans="1:59" ht="14.25" customHeight="1" x14ac:dyDescent="0.25">
      <c r="A67" s="37" t="str">
        <f>LEFT(Scharniere[[#This Row],[ArtikelNR]],4)</f>
        <v>F017</v>
      </c>
      <c r="B67" s="35" t="str">
        <f>MID(Scharniere[[#This Row],[ArtikelNR]],5,3)</f>
        <v>139</v>
      </c>
      <c r="C67" s="37" t="str">
        <f>RIGHT(Scharniere[[#This Row],[ArtikelNR]],3)</f>
        <v>416</v>
      </c>
      <c r="D67" s="35">
        <f>IF(AND(Scharniere[[#This Row],[Gruppenschlüssel]]=select!$A$44,Scharniere[[#This Row],[Scharnierart]]=1)=TRUE,1,0)</f>
        <v>1</v>
      </c>
      <c r="E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7" s="35">
        <f>IF(select!$F$57=IF(Scharniere[[#This Row],[mit Dämpfung]]=1,1,IF(Scharniere[[#This Row],[ohne Dämpfung]]=1,2,IF(Scharniere[[#This Row],[ohne Feder]]=1,3,0))),1,0)</f>
        <v>0</v>
      </c>
      <c r="G67" s="35">
        <f>IF(Scharniere[[#This Row],[Bohrbild]]=select!$V$43,1,0)</f>
        <v>0</v>
      </c>
      <c r="H67" s="35">
        <f>IF(IF(Scharniere[[#This Row],[Anschrauben]]=1,1,IF(Scharniere[[#This Row],[Einpressen]]=1,2,IF(Scharniere[[#This Row],[Quick]]=1,3,IF(Scharniere[[#This Row],[Werkzeuglos]]=1,4,0))))=select!$F$48,1,0)</f>
        <v>0</v>
      </c>
      <c r="I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" s="149">
        <f>IF(AND(Scharniere[[#This Row],[Scharnierart]]=2,Scharniere[[#This Row],[Gruppenschlüssel]]=select!$A$318)=TRUE,1,0)</f>
        <v>0</v>
      </c>
      <c r="K67" s="221">
        <f ca="1">IF(select!$O$424&lt;6,1,0)</f>
        <v>1</v>
      </c>
      <c r="L67" s="139">
        <f>IF(select!$A$362=IF(Scharniere[[#This Row],[mit Dämpfung]]=1,1,IF(Scharniere[[#This Row],[ohne Dämpfung]]=1,2,IF(Scharniere[[#This Row],[ohne Feder]]=1,3,0))),1,0)</f>
        <v>1</v>
      </c>
      <c r="M67" s="135">
        <f>IF(Scharniere[[#This Row],[Bohrbild]]=select!$O$334,1,0)</f>
        <v>0</v>
      </c>
      <c r="N67" s="135">
        <f>IF(IF(Scharniere[[#This Row],[Anschrauben]]=1,1,IF(Scharniere[[#This Row],[Einpressen]]=1,2,IF(Scharniere[[#This Row],[Quick]]=1,3,IF(Scharniere[[#This Row],[Werkzeuglos]]=1,4,0))))=select!$E$362,1,0)</f>
        <v>0</v>
      </c>
      <c r="O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" s="298">
        <f>IF(AND(Scharniere[[#This Row],[Scharnierart]]=3,Scharniere[[#This Row],[Gruppenschlüssel]]=select!$A$747)=TRUE,1,0)</f>
        <v>0</v>
      </c>
      <c r="Q67" s="298">
        <f ca="1">IF(select!$O$945&lt;6,1,0)</f>
        <v>1</v>
      </c>
      <c r="R67" s="298">
        <f>IF(select!$A$778=IF(Scharniere[[#This Row],[mit Dämpfung]]=1,1,IF(Scharniere[[#This Row],[ohne Dämpfung]]=1,2,IF(Scharniere[[#This Row],[ohne Feder]]=1,3,0))),1,0)</f>
        <v>0</v>
      </c>
      <c r="S67" s="298">
        <f>IF(Scharniere[[#This Row],[Bohrbild]]=select!$A$755,1,0)</f>
        <v>0</v>
      </c>
      <c r="T67" s="298">
        <f>IF(IF(Scharniere[[#This Row],[Anschrauben]]=1,1,IF(Scharniere[[#This Row],[Einpressen]]=1,2,IF(Scharniere[[#This Row],[Quick]]=1,3,IF(Scharniere[[#This Row],[Werkzeuglos]]=1,4,0))))=select!$A$769,1,0)</f>
        <v>0</v>
      </c>
      <c r="U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" s="359">
        <f>IF(AND(Scharniere[[#This Row],[Scharnierart]]=4,Scharniere[[#This Row],[Gruppenschlüssel]]=select!$A$981)=TRUE,1,0)</f>
        <v>0</v>
      </c>
      <c r="W67" s="359">
        <f ca="1">IF(select!$O$1185&lt;6,1,0)</f>
        <v>1</v>
      </c>
      <c r="X67" s="359">
        <f>IF(select!$A$1012=IF(Scharniere[[#This Row],[mit Dämpfung]]=1,1,IF(Scharniere[[#This Row],[ohne Dämpfung]]=1,2,IF(Scharniere[[#This Row],[ohne Feder]]=1,3,0))),1,0)</f>
        <v>0</v>
      </c>
      <c r="Y67" s="359">
        <f>IF(Scharniere[[#This Row],[Bohrbild]]=select!$A$989,1,0)</f>
        <v>0</v>
      </c>
      <c r="Z67" s="359">
        <f>IF(IF(Scharniere[[#This Row],[Anschrauben]]=1,1,IF(Scharniere[[#This Row],[Einpressen]]=1,2,IF(Scharniere[[#This Row],[Quick]]=1,3,IF(Scharniere[[#This Row],[Werkzeuglos]]=1,4,0))))=select!$A$1003,1,0)</f>
        <v>0</v>
      </c>
      <c r="AA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" s="359">
        <f ca="1">IF(select!$K$980="*",Scharniere[[#This Row],[AG Ges2]],Scharniere[[#This Row],[AG Ges1]])</f>
        <v>0</v>
      </c>
      <c r="AE67" s="451">
        <f ca="1">IF(AND(Scharniere[[#This Row],[Scharnierart]]=select!$A$1485,Scharniere[[#This Row],[Gruppenschlüssel]]=select!$B$1485)=TRUE,1,0)</f>
        <v>1</v>
      </c>
      <c r="AF67" s="451">
        <f ca="1">IF(AND(Scharniere[[#This Row],[Scharnierart]]=select!$A$1486,Scharniere[[#This Row],[Gruppenschlüssel]]=select!$B$1486)=TRUE,1,0)</f>
        <v>0</v>
      </c>
      <c r="AG67" s="451">
        <f ca="1">IF(AND(Scharniere[[#This Row],[Scharnierart]]=select!$A$1487,Scharniere[[#This Row],[Gruppenschlüssel]]=select!$B$1487)=TRUE,1,0)</f>
        <v>0</v>
      </c>
      <c r="AH67" s="451">
        <f ca="1">IF(AND(Scharniere[[#This Row],[Scharnierart]]=select!$A$1488,Scharniere[[#This Row],[Gruppenschlüssel]]=select!$B$1488)=TRUE,1,0)</f>
        <v>0</v>
      </c>
      <c r="AI67" s="451">
        <f ca="1">IF(SUM(Scharniere[[#This Row],[konf Scharnier 1]:[konf Scharnier 4]])&gt;0,1,0)</f>
        <v>1</v>
      </c>
      <c r="AJ67" s="451"/>
      <c r="AK67" s="451"/>
      <c r="AL67" s="451"/>
      <c r="AM67" s="451"/>
      <c r="AN67" s="451"/>
      <c r="AO67" s="146">
        <v>1</v>
      </c>
      <c r="AP67" s="146">
        <v>1</v>
      </c>
      <c r="AQ67" s="10" t="str">
        <f ca="1">Sprache!$A$113</f>
        <v>Tiomos Scharnier TS Impresso</v>
      </c>
      <c r="AR67" t="s">
        <v>1925</v>
      </c>
      <c r="AS67" t="str">
        <f ca="1">Sprache!$A$116</f>
        <v>Tiomos Impresso Scharniere</v>
      </c>
      <c r="AT67">
        <v>9.5</v>
      </c>
      <c r="AU67" s="34" t="s">
        <v>3</v>
      </c>
      <c r="AV67">
        <v>110</v>
      </c>
      <c r="AW67" s="10">
        <v>1</v>
      </c>
      <c r="AX67">
        <v>0</v>
      </c>
      <c r="AY67">
        <v>0</v>
      </c>
      <c r="AZ67" s="10">
        <v>0</v>
      </c>
      <c r="BA67">
        <v>0</v>
      </c>
      <c r="BB67">
        <v>0</v>
      </c>
      <c r="BC67">
        <v>1</v>
      </c>
      <c r="BD67" s="143" t="s">
        <v>89</v>
      </c>
      <c r="BG67"/>
    </row>
    <row r="68" spans="1:59" ht="14.25" customHeight="1" x14ac:dyDescent="0.25">
      <c r="A68" s="37" t="str">
        <f>LEFT(Scharniere[[#This Row],[ArtikelNR]],4)</f>
        <v>F035</v>
      </c>
      <c r="B68" s="35" t="str">
        <f>MID(Scharniere[[#This Row],[ArtikelNR]],5,3)</f>
        <v>139</v>
      </c>
      <c r="C68" s="37" t="str">
        <f>RIGHT(Scharniere[[#This Row],[ArtikelNR]],3)</f>
        <v>444</v>
      </c>
      <c r="D68" s="35">
        <f>IF(AND(Scharniere[[#This Row],[Gruppenschlüssel]]=select!$A$44,Scharniere[[#This Row],[Scharnierart]]=1)=TRUE,1,0)</f>
        <v>1</v>
      </c>
      <c r="E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" s="35">
        <f>IF(select!$F$57=IF(Scharniere[[#This Row],[mit Dämpfung]]=1,1,IF(Scharniere[[#This Row],[ohne Dämpfung]]=1,2,IF(Scharniere[[#This Row],[ohne Feder]]=1,3,0))),1,0)</f>
        <v>1</v>
      </c>
      <c r="G68" s="35">
        <f>IF(Scharniere[[#This Row],[Bohrbild]]=select!$V$43,1,0)</f>
        <v>0</v>
      </c>
      <c r="H68" s="35">
        <f>IF(IF(Scharniere[[#This Row],[Anschrauben]]=1,1,IF(Scharniere[[#This Row],[Einpressen]]=1,2,IF(Scharniere[[#This Row],[Quick]]=1,3,IF(Scharniere[[#This Row],[Werkzeuglos]]=1,4,0))))=select!$F$48,1,0)</f>
        <v>0</v>
      </c>
      <c r="I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" s="149">
        <f>IF(AND(Scharniere[[#This Row],[Scharnierart]]=2,Scharniere[[#This Row],[Gruppenschlüssel]]=select!$A$318)=TRUE,1,0)</f>
        <v>0</v>
      </c>
      <c r="K68" s="221">
        <f ca="1">IF(select!$O$424&lt;6,1,0)</f>
        <v>1</v>
      </c>
      <c r="L68" s="139">
        <f>IF(select!$A$362=IF(Scharniere[[#This Row],[mit Dämpfung]]=1,1,IF(Scharniere[[#This Row],[ohne Dämpfung]]=1,2,IF(Scharniere[[#This Row],[ohne Feder]]=1,3,0))),1,0)</f>
        <v>0</v>
      </c>
      <c r="M68" s="135">
        <f>IF(Scharniere[[#This Row],[Bohrbild]]=select!$O$334,1,0)</f>
        <v>0</v>
      </c>
      <c r="N68" s="135">
        <f>IF(IF(Scharniere[[#This Row],[Anschrauben]]=1,1,IF(Scharniere[[#This Row],[Einpressen]]=1,2,IF(Scharniere[[#This Row],[Quick]]=1,3,IF(Scharniere[[#This Row],[Werkzeuglos]]=1,4,0))))=select!$E$362,1,0)</f>
        <v>0</v>
      </c>
      <c r="O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" s="298">
        <f>IF(AND(Scharniere[[#This Row],[Scharnierart]]=3,Scharniere[[#This Row],[Gruppenschlüssel]]=select!$A$747)=TRUE,1,0)</f>
        <v>0</v>
      </c>
      <c r="Q68" s="298">
        <f ca="1">IF(select!$O$945&lt;6,1,0)</f>
        <v>1</v>
      </c>
      <c r="R68" s="298">
        <f>IF(select!$A$778=IF(Scharniere[[#This Row],[mit Dämpfung]]=1,1,IF(Scharniere[[#This Row],[ohne Dämpfung]]=1,2,IF(Scharniere[[#This Row],[ohne Feder]]=1,3,0))),1,0)</f>
        <v>0</v>
      </c>
      <c r="S68" s="298">
        <f>IF(Scharniere[[#This Row],[Bohrbild]]=select!$A$755,1,0)</f>
        <v>0</v>
      </c>
      <c r="T68" s="298">
        <f>IF(IF(Scharniere[[#This Row],[Anschrauben]]=1,1,IF(Scharniere[[#This Row],[Einpressen]]=1,2,IF(Scharniere[[#This Row],[Quick]]=1,3,IF(Scharniere[[#This Row],[Werkzeuglos]]=1,4,0))))=select!$A$769,1,0)</f>
        <v>0</v>
      </c>
      <c r="U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" s="359">
        <f>IF(AND(Scharniere[[#This Row],[Scharnierart]]=4,Scharniere[[#This Row],[Gruppenschlüssel]]=select!$A$981)=TRUE,1,0)</f>
        <v>0</v>
      </c>
      <c r="W68" s="359">
        <f ca="1">IF(select!$O$1185&lt;6,1,0)</f>
        <v>1</v>
      </c>
      <c r="X68" s="359">
        <f>IF(select!$A$1012=IF(Scharniere[[#This Row],[mit Dämpfung]]=1,1,IF(Scharniere[[#This Row],[ohne Dämpfung]]=1,2,IF(Scharniere[[#This Row],[ohne Feder]]=1,3,0))),1,0)</f>
        <v>0</v>
      </c>
      <c r="Y68" s="359">
        <f>IF(Scharniere[[#This Row],[Bohrbild]]=select!$A$989,1,0)</f>
        <v>0</v>
      </c>
      <c r="Z68" s="359">
        <f>IF(IF(Scharniere[[#This Row],[Anschrauben]]=1,1,IF(Scharniere[[#This Row],[Einpressen]]=1,2,IF(Scharniere[[#This Row],[Quick]]=1,3,IF(Scharniere[[#This Row],[Werkzeuglos]]=1,4,0))))=select!$A$1003,1,0)</f>
        <v>0</v>
      </c>
      <c r="AA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" s="359">
        <f ca="1">IF(select!$K$980="*",Scharniere[[#This Row],[AG Ges2]],Scharniere[[#This Row],[AG Ges1]])</f>
        <v>0</v>
      </c>
      <c r="AE68" s="451">
        <f ca="1">IF(AND(Scharniere[[#This Row],[Scharnierart]]=select!$A$1485,Scharniere[[#This Row],[Gruppenschlüssel]]=select!$B$1485)=TRUE,1,0)</f>
        <v>1</v>
      </c>
      <c r="AF68" s="451">
        <f ca="1">IF(AND(Scharniere[[#This Row],[Scharnierart]]=select!$A$1486,Scharniere[[#This Row],[Gruppenschlüssel]]=select!$B$1486)=TRUE,1,0)</f>
        <v>0</v>
      </c>
      <c r="AG68" s="451">
        <f ca="1">IF(AND(Scharniere[[#This Row],[Scharnierart]]=select!$A$1487,Scharniere[[#This Row],[Gruppenschlüssel]]=select!$B$1487)=TRUE,1,0)</f>
        <v>0</v>
      </c>
      <c r="AH68" s="451">
        <f ca="1">IF(AND(Scharniere[[#This Row],[Scharnierart]]=select!$A$1488,Scharniere[[#This Row],[Gruppenschlüssel]]=select!$B$1488)=TRUE,1,0)</f>
        <v>0</v>
      </c>
      <c r="AI68" s="451">
        <f ca="1">IF(SUM(Scharniere[[#This Row],[konf Scharnier 1]:[konf Scharnier 4]])&gt;0,1,0)</f>
        <v>1</v>
      </c>
      <c r="AJ68" s="451"/>
      <c r="AK68" s="451"/>
      <c r="AL68" s="451"/>
      <c r="AM68" s="451"/>
      <c r="AN68" s="451"/>
      <c r="AO68" s="146">
        <v>1</v>
      </c>
      <c r="AP68" s="146">
        <v>1</v>
      </c>
      <c r="AQ68" s="10" t="str">
        <f ca="1">Sprache!$A$115</f>
        <v>Tiomos Scharnier TT Impresso</v>
      </c>
      <c r="AR68" t="s">
        <v>1925</v>
      </c>
      <c r="AS68" t="str">
        <f ca="1">Sprache!$A$116</f>
        <v>Tiomos Impresso Scharniere</v>
      </c>
      <c r="AT68">
        <v>9.5</v>
      </c>
      <c r="AU68" t="s">
        <v>9</v>
      </c>
      <c r="AV68">
        <v>110</v>
      </c>
      <c r="AW68" s="10">
        <v>0</v>
      </c>
      <c r="AX68">
        <v>0</v>
      </c>
      <c r="AY68">
        <v>1</v>
      </c>
      <c r="AZ68" s="10">
        <v>0</v>
      </c>
      <c r="BA68">
        <v>0</v>
      </c>
      <c r="BB68">
        <v>0</v>
      </c>
      <c r="BC68">
        <v>1</v>
      </c>
      <c r="BD68" s="143" t="s">
        <v>197</v>
      </c>
      <c r="BG68"/>
    </row>
    <row r="69" spans="1:59" ht="14.25" customHeight="1" x14ac:dyDescent="0.25">
      <c r="A69" s="37" t="str">
        <f>LEFT(Scharniere[[#This Row],[ArtikelNR]],4)</f>
        <v>F035</v>
      </c>
      <c r="B69" s="35" t="str">
        <f>MID(Scharniere[[#This Row],[ArtikelNR]],5,3)</f>
        <v>139</v>
      </c>
      <c r="C69" s="37" t="str">
        <f>RIGHT(Scharniere[[#This Row],[ArtikelNR]],3)</f>
        <v>444</v>
      </c>
      <c r="D69" s="35">
        <f>IF(AND(Scharniere[[#This Row],[Gruppenschlüssel]]=select!$A$44,Scharniere[[#This Row],[Scharnierart]]=1)=TRUE,1,0)</f>
        <v>1</v>
      </c>
      <c r="E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" s="35">
        <f>IF(select!$F$57=IF(Scharniere[[#This Row],[mit Dämpfung]]=1,1,IF(Scharniere[[#This Row],[ohne Dämpfung]]=1,2,IF(Scharniere[[#This Row],[ohne Feder]]=1,3,0))),1,0)</f>
        <v>1</v>
      </c>
      <c r="G69" s="35">
        <f>IF(Scharniere[[#This Row],[Bohrbild]]=select!$V$43,1,0)</f>
        <v>0</v>
      </c>
      <c r="H69" s="35">
        <f>IF(IF(Scharniere[[#This Row],[Anschrauben]]=1,1,IF(Scharniere[[#This Row],[Einpressen]]=1,2,IF(Scharniere[[#This Row],[Quick]]=1,3,IF(Scharniere[[#This Row],[Werkzeuglos]]=1,4,0))))=select!$F$48,1,0)</f>
        <v>0</v>
      </c>
      <c r="I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" s="149">
        <f>IF(AND(Scharniere[[#This Row],[Scharnierart]]=2,Scharniere[[#This Row],[Gruppenschlüssel]]=select!$A$318)=TRUE,1,0)</f>
        <v>0</v>
      </c>
      <c r="K69" s="221">
        <f ca="1">IF(select!$O$424&lt;6,1,0)</f>
        <v>1</v>
      </c>
      <c r="L69" s="139">
        <f>IF(select!$A$362=IF(Scharniere[[#This Row],[mit Dämpfung]]=1,1,IF(Scharniere[[#This Row],[ohne Dämpfung]]=1,2,IF(Scharniere[[#This Row],[ohne Feder]]=1,3,0))),1,0)</f>
        <v>0</v>
      </c>
      <c r="M69" s="135">
        <f>IF(Scharniere[[#This Row],[Bohrbild]]=select!$O$334,1,0)</f>
        <v>0</v>
      </c>
      <c r="N69" s="135">
        <f>IF(IF(Scharniere[[#This Row],[Anschrauben]]=1,1,IF(Scharniere[[#This Row],[Einpressen]]=1,2,IF(Scharniere[[#This Row],[Quick]]=1,3,IF(Scharniere[[#This Row],[Werkzeuglos]]=1,4,0))))=select!$E$362,1,0)</f>
        <v>0</v>
      </c>
      <c r="O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" s="298">
        <f>IF(AND(Scharniere[[#This Row],[Scharnierart]]=3,Scharniere[[#This Row],[Gruppenschlüssel]]=select!$A$747)=TRUE,1,0)</f>
        <v>0</v>
      </c>
      <c r="Q69" s="298">
        <f ca="1">IF(select!$O$945&lt;6,1,0)</f>
        <v>1</v>
      </c>
      <c r="R69" s="298">
        <f>IF(select!$A$778=IF(Scharniere[[#This Row],[mit Dämpfung]]=1,1,IF(Scharniere[[#This Row],[ohne Dämpfung]]=1,2,IF(Scharniere[[#This Row],[ohne Feder]]=1,3,0))),1,0)</f>
        <v>0</v>
      </c>
      <c r="S69" s="298">
        <f>IF(Scharniere[[#This Row],[Bohrbild]]=select!$A$755,1,0)</f>
        <v>0</v>
      </c>
      <c r="T69" s="298">
        <f>IF(IF(Scharniere[[#This Row],[Anschrauben]]=1,1,IF(Scharniere[[#This Row],[Einpressen]]=1,2,IF(Scharniere[[#This Row],[Quick]]=1,3,IF(Scharniere[[#This Row],[Werkzeuglos]]=1,4,0))))=select!$A$769,1,0)</f>
        <v>0</v>
      </c>
      <c r="U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" s="359">
        <f>IF(AND(Scharniere[[#This Row],[Scharnierart]]=4,Scharniere[[#This Row],[Gruppenschlüssel]]=select!$A$981)=TRUE,1,0)</f>
        <v>0</v>
      </c>
      <c r="W69" s="359">
        <f ca="1">IF(select!$O$1185&lt;6,1,0)</f>
        <v>1</v>
      </c>
      <c r="X69" s="359">
        <f>IF(select!$A$1012=IF(Scharniere[[#This Row],[mit Dämpfung]]=1,1,IF(Scharniere[[#This Row],[ohne Dämpfung]]=1,2,IF(Scharniere[[#This Row],[ohne Feder]]=1,3,0))),1,0)</f>
        <v>0</v>
      </c>
      <c r="Y69" s="359">
        <f>IF(Scharniere[[#This Row],[Bohrbild]]=select!$A$989,1,0)</f>
        <v>0</v>
      </c>
      <c r="Z69" s="359">
        <f>IF(IF(Scharniere[[#This Row],[Anschrauben]]=1,1,IF(Scharniere[[#This Row],[Einpressen]]=1,2,IF(Scharniere[[#This Row],[Quick]]=1,3,IF(Scharniere[[#This Row],[Werkzeuglos]]=1,4,0))))=select!$A$1003,1,0)</f>
        <v>0</v>
      </c>
      <c r="AA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" s="359">
        <f ca="1">IF(select!$K$980="*",Scharniere[[#This Row],[AG Ges2]],Scharniere[[#This Row],[AG Ges1]])</f>
        <v>0</v>
      </c>
      <c r="AE69" s="451">
        <f ca="1">IF(AND(Scharniere[[#This Row],[Scharnierart]]=select!$A$1485,Scharniere[[#This Row],[Gruppenschlüssel]]=select!$B$1485)=TRUE,1,0)</f>
        <v>1</v>
      </c>
      <c r="AF69" s="451">
        <f ca="1">IF(AND(Scharniere[[#This Row],[Scharnierart]]=select!$A$1486,Scharniere[[#This Row],[Gruppenschlüssel]]=select!$B$1486)=TRUE,1,0)</f>
        <v>0</v>
      </c>
      <c r="AG69" s="451">
        <f ca="1">IF(AND(Scharniere[[#This Row],[Scharnierart]]=select!$A$1487,Scharniere[[#This Row],[Gruppenschlüssel]]=select!$B$1487)=TRUE,1,0)</f>
        <v>0</v>
      </c>
      <c r="AH69" s="451">
        <f ca="1">IF(AND(Scharniere[[#This Row],[Scharnierart]]=select!$A$1488,Scharniere[[#This Row],[Gruppenschlüssel]]=select!$B$1488)=TRUE,1,0)</f>
        <v>0</v>
      </c>
      <c r="AI69" s="451">
        <f ca="1">IF(SUM(Scharniere[[#This Row],[konf Scharnier 1]:[konf Scharnier 4]])&gt;0,1,0)</f>
        <v>1</v>
      </c>
      <c r="AJ69" s="451"/>
      <c r="AK69" s="451"/>
      <c r="AL69" s="451"/>
      <c r="AM69" s="451"/>
      <c r="AN69" s="451"/>
      <c r="AO69" s="146">
        <v>1</v>
      </c>
      <c r="AP69" s="146">
        <v>1</v>
      </c>
      <c r="AQ69" s="10" t="str">
        <f ca="1">Sprache!$A$115</f>
        <v>Tiomos Scharnier TT Impresso</v>
      </c>
      <c r="AR69" t="s">
        <v>1925</v>
      </c>
      <c r="AS69" t="str">
        <f ca="1">Sprache!$A$116</f>
        <v>Tiomos Impresso Scharniere</v>
      </c>
      <c r="AT69">
        <v>9.5</v>
      </c>
      <c r="AU69" t="s">
        <v>3</v>
      </c>
      <c r="AV69">
        <v>110</v>
      </c>
      <c r="AW69" s="10">
        <v>0</v>
      </c>
      <c r="AX69">
        <v>0</v>
      </c>
      <c r="AY69">
        <v>1</v>
      </c>
      <c r="AZ69" s="10">
        <v>0</v>
      </c>
      <c r="BA69">
        <v>0</v>
      </c>
      <c r="BB69">
        <v>0</v>
      </c>
      <c r="BC69">
        <v>1</v>
      </c>
      <c r="BD69" s="143" t="s">
        <v>197</v>
      </c>
      <c r="BG69"/>
    </row>
    <row r="70" spans="1:59" ht="14.25" customHeight="1" x14ac:dyDescent="0.25">
      <c r="A70" s="37" t="str">
        <f>LEFT(Scharniere[[#This Row],[ArtikelNR]],4)</f>
        <v>F045</v>
      </c>
      <c r="B70" s="35" t="str">
        <f>MID(Scharniere[[#This Row],[ArtikelNR]],5,3)</f>
        <v>138</v>
      </c>
      <c r="C70" s="37" t="str">
        <f>RIGHT(Scharniere[[#This Row],[ArtikelNR]],3)</f>
        <v>645</v>
      </c>
      <c r="D70" s="35">
        <f>IF(AND(Scharniere[[#This Row],[Gruppenschlüssel]]=select!$A$44,Scharniere[[#This Row],[Scharnierart]]=1)=TRUE,1,0)</f>
        <v>1</v>
      </c>
      <c r="E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" s="35">
        <f>IF(select!$F$57=IF(Scharniere[[#This Row],[mit Dämpfung]]=1,1,IF(Scharniere[[#This Row],[ohne Dämpfung]]=1,2,IF(Scharniere[[#This Row],[ohne Feder]]=1,3,0))),1,0)</f>
        <v>0</v>
      </c>
      <c r="G70" s="35">
        <f>IF(Scharniere[[#This Row],[Bohrbild]]=select!$V$43,1,0)</f>
        <v>0</v>
      </c>
      <c r="H70" s="35">
        <f>IF(IF(Scharniere[[#This Row],[Anschrauben]]=1,1,IF(Scharniere[[#This Row],[Einpressen]]=1,2,IF(Scharniere[[#This Row],[Quick]]=1,3,IF(Scharniere[[#This Row],[Werkzeuglos]]=1,4,0))))=select!$F$48,1,0)</f>
        <v>1</v>
      </c>
      <c r="I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" s="149">
        <f>IF(AND(Scharniere[[#This Row],[Scharnierart]]=2,Scharniere[[#This Row],[Gruppenschlüssel]]=select!$A$318)=TRUE,1,0)</f>
        <v>0</v>
      </c>
      <c r="K70" s="221">
        <f ca="1">IF(select!$O$424&lt;6,1,0)</f>
        <v>1</v>
      </c>
      <c r="L70" s="139">
        <f>IF(select!$A$362=IF(Scharniere[[#This Row],[mit Dämpfung]]=1,1,IF(Scharniere[[#This Row],[ohne Dämpfung]]=1,2,IF(Scharniere[[#This Row],[ohne Feder]]=1,3,0))),1,0)</f>
        <v>0</v>
      </c>
      <c r="M70" s="135">
        <f>IF(Scharniere[[#This Row],[Bohrbild]]=select!$O$334,1,0)</f>
        <v>0</v>
      </c>
      <c r="N70" s="135">
        <f>IF(IF(Scharniere[[#This Row],[Anschrauben]]=1,1,IF(Scharniere[[#This Row],[Einpressen]]=1,2,IF(Scharniere[[#This Row],[Quick]]=1,3,IF(Scharniere[[#This Row],[Werkzeuglos]]=1,4,0))))=select!$E$362,1,0)</f>
        <v>0</v>
      </c>
      <c r="O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" s="298">
        <f>IF(AND(Scharniere[[#This Row],[Scharnierart]]=3,Scharniere[[#This Row],[Gruppenschlüssel]]=select!$A$747)=TRUE,1,0)</f>
        <v>0</v>
      </c>
      <c r="Q70" s="298">
        <f ca="1">IF(select!$O$945&lt;6,1,0)</f>
        <v>1</v>
      </c>
      <c r="R70" s="298">
        <f>IF(select!$A$778=IF(Scharniere[[#This Row],[mit Dämpfung]]=1,1,IF(Scharniere[[#This Row],[ohne Dämpfung]]=1,2,IF(Scharniere[[#This Row],[ohne Feder]]=1,3,0))),1,0)</f>
        <v>1</v>
      </c>
      <c r="S70" s="298">
        <f>IF(Scharniere[[#This Row],[Bohrbild]]=select!$A$755,1,0)</f>
        <v>0</v>
      </c>
      <c r="T70" s="298">
        <f>IF(IF(Scharniere[[#This Row],[Anschrauben]]=1,1,IF(Scharniere[[#This Row],[Einpressen]]=1,2,IF(Scharniere[[#This Row],[Quick]]=1,3,IF(Scharniere[[#This Row],[Werkzeuglos]]=1,4,0))))=select!$A$769,1,0)</f>
        <v>0</v>
      </c>
      <c r="U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" s="359">
        <f>IF(AND(Scharniere[[#This Row],[Scharnierart]]=4,Scharniere[[#This Row],[Gruppenschlüssel]]=select!$A$981)=TRUE,1,0)</f>
        <v>0</v>
      </c>
      <c r="W70" s="359">
        <f ca="1">IF(select!$O$1185&lt;6,1,0)</f>
        <v>1</v>
      </c>
      <c r="X70" s="359">
        <f>IF(select!$A$1012=IF(Scharniere[[#This Row],[mit Dämpfung]]=1,1,IF(Scharniere[[#This Row],[ohne Dämpfung]]=1,2,IF(Scharniere[[#This Row],[ohne Feder]]=1,3,0))),1,0)</f>
        <v>1</v>
      </c>
      <c r="Y70" s="359">
        <f>IF(Scharniere[[#This Row],[Bohrbild]]=select!$A$989,1,0)</f>
        <v>0</v>
      </c>
      <c r="Z70" s="359">
        <f>IF(IF(Scharniere[[#This Row],[Anschrauben]]=1,1,IF(Scharniere[[#This Row],[Einpressen]]=1,2,IF(Scharniere[[#This Row],[Quick]]=1,3,IF(Scharniere[[#This Row],[Werkzeuglos]]=1,4,0))))=select!$A$1003,1,0)</f>
        <v>0</v>
      </c>
      <c r="AA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" s="359">
        <f ca="1">IF(select!$K$980="*",Scharniere[[#This Row],[AG Ges2]],Scharniere[[#This Row],[AG Ges1]])</f>
        <v>0</v>
      </c>
      <c r="AE70" s="451">
        <f ca="1">IF(AND(Scharniere[[#This Row],[Scharnierart]]=select!$A$1485,Scharniere[[#This Row],[Gruppenschlüssel]]=select!$B$1485)=TRUE,1,0)</f>
        <v>1</v>
      </c>
      <c r="AF70" s="451">
        <f ca="1">IF(AND(Scharniere[[#This Row],[Scharnierart]]=select!$A$1486,Scharniere[[#This Row],[Gruppenschlüssel]]=select!$B$1486)=TRUE,1,0)</f>
        <v>0</v>
      </c>
      <c r="AG70" s="451">
        <f ca="1">IF(AND(Scharniere[[#This Row],[Scharnierart]]=select!$A$1487,Scharniere[[#This Row],[Gruppenschlüssel]]=select!$B$1487)=TRUE,1,0)</f>
        <v>0</v>
      </c>
      <c r="AH70" s="451">
        <f ca="1">IF(AND(Scharniere[[#This Row],[Scharnierart]]=select!$A$1488,Scharniere[[#This Row],[Gruppenschlüssel]]=select!$B$1488)=TRUE,1,0)</f>
        <v>0</v>
      </c>
      <c r="AI70" s="451">
        <f ca="1">IF(SUM(Scharniere[[#This Row],[konf Scharnier 1]:[konf Scharnier 4]])&gt;0,1,0)</f>
        <v>1</v>
      </c>
      <c r="AJ70" s="451"/>
      <c r="AK70" s="451"/>
      <c r="AL70" s="451"/>
      <c r="AM70" s="451"/>
      <c r="AN70" s="451"/>
      <c r="AO70" s="146">
        <v>1</v>
      </c>
      <c r="AP70" s="146">
        <v>1</v>
      </c>
      <c r="AQ70" s="10" t="str">
        <f ca="1">Sprache!$A$110</f>
        <v>Tiomos Scharnier T Click-on</v>
      </c>
      <c r="AR70" t="str">
        <f ca="1">"110°, H-BB, K9.5, "&amp;Sprache!A181&amp;", ni"</f>
        <v>110°, H-BB, K9.5, Dübel, ni</v>
      </c>
      <c r="AS70" t="str">
        <f ca="1">Sprache!$A$103</f>
        <v>Tiomos Click-On Scharniere</v>
      </c>
      <c r="AT70">
        <v>9.5</v>
      </c>
      <c r="AU70" t="s">
        <v>10</v>
      </c>
      <c r="AV70">
        <v>110</v>
      </c>
      <c r="AW70" s="10">
        <v>0</v>
      </c>
      <c r="AX70">
        <v>1</v>
      </c>
      <c r="AY70">
        <v>0</v>
      </c>
      <c r="AZ70" s="10">
        <v>0</v>
      </c>
      <c r="BA70">
        <v>1</v>
      </c>
      <c r="BB70">
        <v>0</v>
      </c>
      <c r="BC70">
        <v>0</v>
      </c>
      <c r="BD70" s="143" t="s">
        <v>520</v>
      </c>
      <c r="BG70"/>
    </row>
    <row r="71" spans="1:59" ht="14.25" customHeight="1" x14ac:dyDescent="0.25">
      <c r="A71" s="37" t="str">
        <f>LEFT(Scharniere[[#This Row],[ArtikelNR]],4)</f>
        <v>F028</v>
      </c>
      <c r="B71" s="35" t="str">
        <f>MID(Scharniere[[#This Row],[ArtikelNR]],5,3)</f>
        <v>138</v>
      </c>
      <c r="C71" s="37" t="str">
        <f>RIGHT(Scharniere[[#This Row],[ArtikelNR]],3)</f>
        <v>707</v>
      </c>
      <c r="D71" s="35">
        <f>IF(AND(Scharniere[[#This Row],[Gruppenschlüssel]]=select!$A$44,Scharniere[[#This Row],[Scharnierart]]=1)=TRUE,1,0)</f>
        <v>1</v>
      </c>
      <c r="E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" s="35">
        <f>IF(select!$F$57=IF(Scharniere[[#This Row],[mit Dämpfung]]=1,1,IF(Scharniere[[#This Row],[ohne Dämpfung]]=1,2,IF(Scharniere[[#This Row],[ohne Feder]]=1,3,0))),1,0)</f>
        <v>0</v>
      </c>
      <c r="G71" s="35">
        <f>IF(Scharniere[[#This Row],[Bohrbild]]=select!$V$43,1,0)</f>
        <v>0</v>
      </c>
      <c r="H71" s="35">
        <f>IF(IF(Scharniere[[#This Row],[Anschrauben]]=1,1,IF(Scharniere[[#This Row],[Einpressen]]=1,2,IF(Scharniere[[#This Row],[Quick]]=1,3,IF(Scharniere[[#This Row],[Werkzeuglos]]=1,4,0))))=select!$F$48,1,0)</f>
        <v>1</v>
      </c>
      <c r="I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" s="149">
        <f>IF(AND(Scharniere[[#This Row],[Scharnierart]]=2,Scharniere[[#This Row],[Gruppenschlüssel]]=select!$A$318)=TRUE,1,0)</f>
        <v>0</v>
      </c>
      <c r="K71" s="221">
        <f ca="1">IF(select!$O$424&lt;6,1,0)</f>
        <v>1</v>
      </c>
      <c r="L71" s="139">
        <f>IF(select!$A$362=IF(Scharniere[[#This Row],[mit Dämpfung]]=1,1,IF(Scharniere[[#This Row],[ohne Dämpfung]]=1,2,IF(Scharniere[[#This Row],[ohne Feder]]=1,3,0))),1,0)</f>
        <v>1</v>
      </c>
      <c r="M71" s="135">
        <f>IF(Scharniere[[#This Row],[Bohrbild]]=select!$O$334,1,0)</f>
        <v>0</v>
      </c>
      <c r="N71" s="135">
        <f>IF(IF(Scharniere[[#This Row],[Anschrauben]]=1,1,IF(Scharniere[[#This Row],[Einpressen]]=1,2,IF(Scharniere[[#This Row],[Quick]]=1,3,IF(Scharniere[[#This Row],[Werkzeuglos]]=1,4,0))))=select!$E$362,1,0)</f>
        <v>0</v>
      </c>
      <c r="O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" s="298">
        <f>IF(AND(Scharniere[[#This Row],[Scharnierart]]=3,Scharniere[[#This Row],[Gruppenschlüssel]]=select!$A$747)=TRUE,1,0)</f>
        <v>0</v>
      </c>
      <c r="Q71" s="298">
        <f ca="1">IF(select!$O$945&lt;6,1,0)</f>
        <v>1</v>
      </c>
      <c r="R71" s="298">
        <f>IF(select!$A$778=IF(Scharniere[[#This Row],[mit Dämpfung]]=1,1,IF(Scharniere[[#This Row],[ohne Dämpfung]]=1,2,IF(Scharniere[[#This Row],[ohne Feder]]=1,3,0))),1,0)</f>
        <v>0</v>
      </c>
      <c r="S71" s="298">
        <f>IF(Scharniere[[#This Row],[Bohrbild]]=select!$A$755,1,0)</f>
        <v>0</v>
      </c>
      <c r="T71" s="298">
        <f>IF(IF(Scharniere[[#This Row],[Anschrauben]]=1,1,IF(Scharniere[[#This Row],[Einpressen]]=1,2,IF(Scharniere[[#This Row],[Quick]]=1,3,IF(Scharniere[[#This Row],[Werkzeuglos]]=1,4,0))))=select!$A$769,1,0)</f>
        <v>0</v>
      </c>
      <c r="U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" s="359">
        <f>IF(AND(Scharniere[[#This Row],[Scharnierart]]=4,Scharniere[[#This Row],[Gruppenschlüssel]]=select!$A$981)=TRUE,1,0)</f>
        <v>0</v>
      </c>
      <c r="W71" s="359">
        <f ca="1">IF(select!$O$1185&lt;6,1,0)</f>
        <v>1</v>
      </c>
      <c r="X71" s="359">
        <f>IF(select!$A$1012=IF(Scharniere[[#This Row],[mit Dämpfung]]=1,1,IF(Scharniere[[#This Row],[ohne Dämpfung]]=1,2,IF(Scharniere[[#This Row],[ohne Feder]]=1,3,0))),1,0)</f>
        <v>0</v>
      </c>
      <c r="Y71" s="359">
        <f>IF(Scharniere[[#This Row],[Bohrbild]]=select!$A$989,1,0)</f>
        <v>0</v>
      </c>
      <c r="Z71" s="359">
        <f>IF(IF(Scharniere[[#This Row],[Anschrauben]]=1,1,IF(Scharniere[[#This Row],[Einpressen]]=1,2,IF(Scharniere[[#This Row],[Quick]]=1,3,IF(Scharniere[[#This Row],[Werkzeuglos]]=1,4,0))))=select!$A$1003,1,0)</f>
        <v>0</v>
      </c>
      <c r="AA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" s="359">
        <f ca="1">IF(select!$K$980="*",Scharniere[[#This Row],[AG Ges2]],Scharniere[[#This Row],[AG Ges1]])</f>
        <v>0</v>
      </c>
      <c r="AE71" s="451">
        <f ca="1">IF(AND(Scharniere[[#This Row],[Scharnierart]]=select!$A$1485,Scharniere[[#This Row],[Gruppenschlüssel]]=select!$B$1485)=TRUE,1,0)</f>
        <v>1</v>
      </c>
      <c r="AF71" s="451">
        <f ca="1">IF(AND(Scharniere[[#This Row],[Scharnierart]]=select!$A$1486,Scharniere[[#This Row],[Gruppenschlüssel]]=select!$B$1486)=TRUE,1,0)</f>
        <v>0</v>
      </c>
      <c r="AG71" s="451">
        <f ca="1">IF(AND(Scharniere[[#This Row],[Scharnierart]]=select!$A$1487,Scharniere[[#This Row],[Gruppenschlüssel]]=select!$B$1487)=TRUE,1,0)</f>
        <v>0</v>
      </c>
      <c r="AH71" s="451">
        <f ca="1">IF(AND(Scharniere[[#This Row],[Scharnierart]]=select!$A$1488,Scharniere[[#This Row],[Gruppenschlüssel]]=select!$B$1488)=TRUE,1,0)</f>
        <v>0</v>
      </c>
      <c r="AI71" s="451">
        <f ca="1">IF(SUM(Scharniere[[#This Row],[konf Scharnier 1]:[konf Scharnier 4]])&gt;0,1,0)</f>
        <v>1</v>
      </c>
      <c r="AJ71" s="451"/>
      <c r="AK71" s="451"/>
      <c r="AL71" s="451"/>
      <c r="AM71" s="451"/>
      <c r="AN71" s="451"/>
      <c r="AO71" s="146">
        <v>1</v>
      </c>
      <c r="AP71" s="146">
        <v>1</v>
      </c>
      <c r="AQ71" s="10" t="str">
        <f ca="1">Sprache!$A$112</f>
        <v>Tiomos Scharnier TS Click-on</v>
      </c>
      <c r="AR71" t="str">
        <f ca="1">"110°, H-BB, K9.5, "&amp;Sprache!A181&amp;", ni"</f>
        <v>110°, H-BB, K9.5, Dübel, ni</v>
      </c>
      <c r="AS71" t="str">
        <f ca="1">Sprache!$A$103</f>
        <v>Tiomos Click-On Scharniere</v>
      </c>
      <c r="AT71">
        <v>9.5</v>
      </c>
      <c r="AU71" t="s">
        <v>10</v>
      </c>
      <c r="AV71">
        <v>110</v>
      </c>
      <c r="AW71" s="10">
        <v>1</v>
      </c>
      <c r="AX71">
        <v>0</v>
      </c>
      <c r="AY71">
        <v>0</v>
      </c>
      <c r="AZ71" s="10">
        <v>0</v>
      </c>
      <c r="BA71">
        <v>1</v>
      </c>
      <c r="BB71">
        <v>0</v>
      </c>
      <c r="BC71">
        <v>0</v>
      </c>
      <c r="BD71" s="143" t="s">
        <v>350</v>
      </c>
      <c r="BG71"/>
    </row>
    <row r="72" spans="1:59" ht="14.25" customHeight="1" x14ac:dyDescent="0.25">
      <c r="A72" s="37" t="str">
        <f>LEFT(Scharniere[[#This Row],[ArtikelNR]],4)</f>
        <v>F046</v>
      </c>
      <c r="B72" s="35" t="str">
        <f>MID(Scharniere[[#This Row],[ArtikelNR]],5,3)</f>
        <v>138</v>
      </c>
      <c r="C72" s="37" t="str">
        <f>RIGHT(Scharniere[[#This Row],[ArtikelNR]],3)</f>
        <v>767</v>
      </c>
      <c r="D72" s="35">
        <f>IF(AND(Scharniere[[#This Row],[Gruppenschlüssel]]=select!$A$44,Scharniere[[#This Row],[Scharnierart]]=1)=TRUE,1,0)</f>
        <v>1</v>
      </c>
      <c r="E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" s="35">
        <f>IF(select!$F$57=IF(Scharniere[[#This Row],[mit Dämpfung]]=1,1,IF(Scharniere[[#This Row],[ohne Dämpfung]]=1,2,IF(Scharniere[[#This Row],[ohne Feder]]=1,3,0))),1,0)</f>
        <v>1</v>
      </c>
      <c r="G72" s="35">
        <f>IF(Scharniere[[#This Row],[Bohrbild]]=select!$V$43,1,0)</f>
        <v>0</v>
      </c>
      <c r="H72" s="35">
        <f>IF(IF(Scharniere[[#This Row],[Anschrauben]]=1,1,IF(Scharniere[[#This Row],[Einpressen]]=1,2,IF(Scharniere[[#This Row],[Quick]]=1,3,IF(Scharniere[[#This Row],[Werkzeuglos]]=1,4,0))))=select!$F$48,1,0)</f>
        <v>1</v>
      </c>
      <c r="I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" s="149">
        <f>IF(AND(Scharniere[[#This Row],[Scharnierart]]=2,Scharniere[[#This Row],[Gruppenschlüssel]]=select!$A$318)=TRUE,1,0)</f>
        <v>0</v>
      </c>
      <c r="K72" s="221">
        <f ca="1">IF(select!$O$424&lt;6,1,0)</f>
        <v>1</v>
      </c>
      <c r="L72" s="139">
        <f>IF(select!$A$362=IF(Scharniere[[#This Row],[mit Dämpfung]]=1,1,IF(Scharniere[[#This Row],[ohne Dämpfung]]=1,2,IF(Scharniere[[#This Row],[ohne Feder]]=1,3,0))),1,0)</f>
        <v>0</v>
      </c>
      <c r="M72" s="135">
        <f>IF(Scharniere[[#This Row],[Bohrbild]]=select!$O$334,1,0)</f>
        <v>0</v>
      </c>
      <c r="N72" s="135">
        <f>IF(IF(Scharniere[[#This Row],[Anschrauben]]=1,1,IF(Scharniere[[#This Row],[Einpressen]]=1,2,IF(Scharniere[[#This Row],[Quick]]=1,3,IF(Scharniere[[#This Row],[Werkzeuglos]]=1,4,0))))=select!$E$362,1,0)</f>
        <v>0</v>
      </c>
      <c r="O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" s="298">
        <f>IF(AND(Scharniere[[#This Row],[Scharnierart]]=3,Scharniere[[#This Row],[Gruppenschlüssel]]=select!$A$747)=TRUE,1,0)</f>
        <v>0</v>
      </c>
      <c r="Q72" s="298">
        <f ca="1">IF(select!$O$945&lt;6,1,0)</f>
        <v>1</v>
      </c>
      <c r="R72" s="298">
        <f>IF(select!$A$778=IF(Scharniere[[#This Row],[mit Dämpfung]]=1,1,IF(Scharniere[[#This Row],[ohne Dämpfung]]=1,2,IF(Scharniere[[#This Row],[ohne Feder]]=1,3,0))),1,0)</f>
        <v>0</v>
      </c>
      <c r="S72" s="298">
        <f>IF(Scharniere[[#This Row],[Bohrbild]]=select!$A$755,1,0)</f>
        <v>0</v>
      </c>
      <c r="T72" s="298">
        <f>IF(IF(Scharniere[[#This Row],[Anschrauben]]=1,1,IF(Scharniere[[#This Row],[Einpressen]]=1,2,IF(Scharniere[[#This Row],[Quick]]=1,3,IF(Scharniere[[#This Row],[Werkzeuglos]]=1,4,0))))=select!$A$769,1,0)</f>
        <v>0</v>
      </c>
      <c r="U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" s="359">
        <f>IF(AND(Scharniere[[#This Row],[Scharnierart]]=4,Scharniere[[#This Row],[Gruppenschlüssel]]=select!$A$981)=TRUE,1,0)</f>
        <v>0</v>
      </c>
      <c r="W72" s="359">
        <f ca="1">IF(select!$O$1185&lt;6,1,0)</f>
        <v>1</v>
      </c>
      <c r="X72" s="359">
        <f>IF(select!$A$1012=IF(Scharniere[[#This Row],[mit Dämpfung]]=1,1,IF(Scharniere[[#This Row],[ohne Dämpfung]]=1,2,IF(Scharniere[[#This Row],[ohne Feder]]=1,3,0))),1,0)</f>
        <v>0</v>
      </c>
      <c r="Y72" s="359">
        <f>IF(Scharniere[[#This Row],[Bohrbild]]=select!$A$989,1,0)</f>
        <v>0</v>
      </c>
      <c r="Z72" s="359">
        <f>IF(IF(Scharniere[[#This Row],[Anschrauben]]=1,1,IF(Scharniere[[#This Row],[Einpressen]]=1,2,IF(Scharniere[[#This Row],[Quick]]=1,3,IF(Scharniere[[#This Row],[Werkzeuglos]]=1,4,0))))=select!$A$1003,1,0)</f>
        <v>0</v>
      </c>
      <c r="AA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" s="359">
        <f ca="1">IF(select!$K$980="*",Scharniere[[#This Row],[AG Ges2]],Scharniere[[#This Row],[AG Ges1]])</f>
        <v>0</v>
      </c>
      <c r="AE72" s="451">
        <f ca="1">IF(AND(Scharniere[[#This Row],[Scharnierart]]=select!$A$1485,Scharniere[[#This Row],[Gruppenschlüssel]]=select!$B$1485)=TRUE,1,0)</f>
        <v>1</v>
      </c>
      <c r="AF72" s="451">
        <f ca="1">IF(AND(Scharniere[[#This Row],[Scharnierart]]=select!$A$1486,Scharniere[[#This Row],[Gruppenschlüssel]]=select!$B$1486)=TRUE,1,0)</f>
        <v>0</v>
      </c>
      <c r="AG72" s="451">
        <f ca="1">IF(AND(Scharniere[[#This Row],[Scharnierart]]=select!$A$1487,Scharniere[[#This Row],[Gruppenschlüssel]]=select!$B$1487)=TRUE,1,0)</f>
        <v>0</v>
      </c>
      <c r="AH72" s="451">
        <f ca="1">IF(AND(Scharniere[[#This Row],[Scharnierart]]=select!$A$1488,Scharniere[[#This Row],[Gruppenschlüssel]]=select!$B$1488)=TRUE,1,0)</f>
        <v>0</v>
      </c>
      <c r="AI72" s="451">
        <f ca="1">IF(SUM(Scharniere[[#This Row],[konf Scharnier 1]:[konf Scharnier 4]])&gt;0,1,0)</f>
        <v>1</v>
      </c>
      <c r="AJ72" s="451"/>
      <c r="AK72" s="451"/>
      <c r="AL72" s="451"/>
      <c r="AM72" s="451"/>
      <c r="AN72" s="451"/>
      <c r="AO72" s="146">
        <v>1</v>
      </c>
      <c r="AP72" s="146">
        <v>1</v>
      </c>
      <c r="AQ72" s="10" t="str">
        <f ca="1">Sprache!$A$114</f>
        <v>Tiomos Scharnier TT Click-on</v>
      </c>
      <c r="AR72" t="str">
        <f ca="1">"110°, H-BB, K9.5, "&amp;Sprache!A181&amp;", ni"</f>
        <v>110°, H-BB, K9.5, Dübel, ni</v>
      </c>
      <c r="AS72" t="str">
        <f ca="1">Sprache!$A$103</f>
        <v>Tiomos Click-On Scharniere</v>
      </c>
      <c r="AT72">
        <v>9.5</v>
      </c>
      <c r="AU72" t="s">
        <v>10</v>
      </c>
      <c r="AV72">
        <v>110</v>
      </c>
      <c r="AW72" s="10">
        <v>0</v>
      </c>
      <c r="AX72">
        <v>0</v>
      </c>
      <c r="AY72">
        <v>1</v>
      </c>
      <c r="AZ72" s="10">
        <v>0</v>
      </c>
      <c r="BA72">
        <v>1</v>
      </c>
      <c r="BB72">
        <v>0</v>
      </c>
      <c r="BC72">
        <v>0</v>
      </c>
      <c r="BD72" s="143" t="s">
        <v>672</v>
      </c>
      <c r="BG72"/>
    </row>
    <row r="73" spans="1:59" ht="14.25" customHeight="1" x14ac:dyDescent="0.25">
      <c r="A73" s="37" t="str">
        <f>LEFT(Scharniere[[#This Row],[ArtikelNR]],4)</f>
        <v>F045</v>
      </c>
      <c r="B73" s="35" t="str">
        <f>MID(Scharniere[[#This Row],[ArtikelNR]],5,3)</f>
        <v>138</v>
      </c>
      <c r="C73" s="37" t="str">
        <f>RIGHT(Scharniere[[#This Row],[ArtikelNR]],3)</f>
        <v>641</v>
      </c>
      <c r="D73" s="35">
        <f>IF(AND(Scharniere[[#This Row],[Gruppenschlüssel]]=select!$A$44,Scharniere[[#This Row],[Scharnierart]]=1)=TRUE,1,0)</f>
        <v>1</v>
      </c>
      <c r="E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3" s="35">
        <f>IF(select!$F$57=IF(Scharniere[[#This Row],[mit Dämpfung]]=1,1,IF(Scharniere[[#This Row],[ohne Dämpfung]]=1,2,IF(Scharniere[[#This Row],[ohne Feder]]=1,3,0))),1,0)</f>
        <v>0</v>
      </c>
      <c r="G73" s="35">
        <f>IF(Scharniere[[#This Row],[Bohrbild]]=select!$V$43,1,0)</f>
        <v>0</v>
      </c>
      <c r="H73" s="35">
        <f>IF(IF(Scharniere[[#This Row],[Anschrauben]]=1,1,IF(Scharniere[[#This Row],[Einpressen]]=1,2,IF(Scharniere[[#This Row],[Quick]]=1,3,IF(Scharniere[[#This Row],[Werkzeuglos]]=1,4,0))))=select!$F$48,1,0)</f>
        <v>0</v>
      </c>
      <c r="I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" s="149">
        <f>IF(AND(Scharniere[[#This Row],[Scharnierart]]=2,Scharniere[[#This Row],[Gruppenschlüssel]]=select!$A$318)=TRUE,1,0)</f>
        <v>0</v>
      </c>
      <c r="K73" s="221">
        <f ca="1">IF(select!$O$424&lt;6,1,0)</f>
        <v>1</v>
      </c>
      <c r="L73" s="139">
        <f>IF(select!$A$362=IF(Scharniere[[#This Row],[mit Dämpfung]]=1,1,IF(Scharniere[[#This Row],[ohne Dämpfung]]=1,2,IF(Scharniere[[#This Row],[ohne Feder]]=1,3,0))),1,0)</f>
        <v>0</v>
      </c>
      <c r="M73" s="135">
        <f>IF(Scharniere[[#This Row],[Bohrbild]]=select!$O$334,1,0)</f>
        <v>0</v>
      </c>
      <c r="N73" s="135">
        <f>IF(IF(Scharniere[[#This Row],[Anschrauben]]=1,1,IF(Scharniere[[#This Row],[Einpressen]]=1,2,IF(Scharniere[[#This Row],[Quick]]=1,3,IF(Scharniere[[#This Row],[Werkzeuglos]]=1,4,0))))=select!$E$362,1,0)</f>
        <v>1</v>
      </c>
      <c r="O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" s="298">
        <f>IF(AND(Scharniere[[#This Row],[Scharnierart]]=3,Scharniere[[#This Row],[Gruppenschlüssel]]=select!$A$747)=TRUE,1,0)</f>
        <v>0</v>
      </c>
      <c r="Q73" s="298">
        <f ca="1">IF(select!$O$945&lt;6,1,0)</f>
        <v>1</v>
      </c>
      <c r="R73" s="298">
        <f>IF(select!$A$778=IF(Scharniere[[#This Row],[mit Dämpfung]]=1,1,IF(Scharniere[[#This Row],[ohne Dämpfung]]=1,2,IF(Scharniere[[#This Row],[ohne Feder]]=1,3,0))),1,0)</f>
        <v>1</v>
      </c>
      <c r="S73" s="298">
        <f>IF(Scharniere[[#This Row],[Bohrbild]]=select!$A$755,1,0)</f>
        <v>0</v>
      </c>
      <c r="T73" s="298">
        <f>IF(IF(Scharniere[[#This Row],[Anschrauben]]=1,1,IF(Scharniere[[#This Row],[Einpressen]]=1,2,IF(Scharniere[[#This Row],[Quick]]=1,3,IF(Scharniere[[#This Row],[Werkzeuglos]]=1,4,0))))=select!$A$769,1,0)</f>
        <v>1</v>
      </c>
      <c r="U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" s="359">
        <f>IF(AND(Scharniere[[#This Row],[Scharnierart]]=4,Scharniere[[#This Row],[Gruppenschlüssel]]=select!$A$981)=TRUE,1,0)</f>
        <v>0</v>
      </c>
      <c r="W73" s="359">
        <f ca="1">IF(select!$O$1185&lt;6,1,0)</f>
        <v>1</v>
      </c>
      <c r="X73" s="359">
        <f>IF(select!$A$1012=IF(Scharniere[[#This Row],[mit Dämpfung]]=1,1,IF(Scharniere[[#This Row],[ohne Dämpfung]]=1,2,IF(Scharniere[[#This Row],[ohne Feder]]=1,3,0))),1,0)</f>
        <v>1</v>
      </c>
      <c r="Y73" s="359">
        <f>IF(Scharniere[[#This Row],[Bohrbild]]=select!$A$989,1,0)</f>
        <v>0</v>
      </c>
      <c r="Z73" s="359">
        <f>IF(IF(Scharniere[[#This Row],[Anschrauben]]=1,1,IF(Scharniere[[#This Row],[Einpressen]]=1,2,IF(Scharniere[[#This Row],[Quick]]=1,3,IF(Scharniere[[#This Row],[Werkzeuglos]]=1,4,0))))=select!$A$1003,1,0)</f>
        <v>1</v>
      </c>
      <c r="AA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" s="359">
        <f ca="1">IF(select!$K$980="*",Scharniere[[#This Row],[AG Ges2]],Scharniere[[#This Row],[AG Ges1]])</f>
        <v>0</v>
      </c>
      <c r="AE73" s="451">
        <f ca="1">IF(AND(Scharniere[[#This Row],[Scharnierart]]=select!$A$1485,Scharniere[[#This Row],[Gruppenschlüssel]]=select!$B$1485)=TRUE,1,0)</f>
        <v>1</v>
      </c>
      <c r="AF73" s="451">
        <f ca="1">IF(AND(Scharniere[[#This Row],[Scharnierart]]=select!$A$1486,Scharniere[[#This Row],[Gruppenschlüssel]]=select!$B$1486)=TRUE,1,0)</f>
        <v>0</v>
      </c>
      <c r="AG73" s="451">
        <f ca="1">IF(AND(Scharniere[[#This Row],[Scharnierart]]=select!$A$1487,Scharniere[[#This Row],[Gruppenschlüssel]]=select!$B$1487)=TRUE,1,0)</f>
        <v>0</v>
      </c>
      <c r="AH73" s="451">
        <f ca="1">IF(AND(Scharniere[[#This Row],[Scharnierart]]=select!$A$1488,Scharniere[[#This Row],[Gruppenschlüssel]]=select!$B$1488)=TRUE,1,0)</f>
        <v>0</v>
      </c>
      <c r="AI73" s="451">
        <f ca="1">IF(SUM(Scharniere[[#This Row],[konf Scharnier 1]:[konf Scharnier 4]])&gt;0,1,0)</f>
        <v>1</v>
      </c>
      <c r="AJ73" s="451"/>
      <c r="AK73" s="451"/>
      <c r="AL73" s="451"/>
      <c r="AM73" s="451"/>
      <c r="AN73" s="451"/>
      <c r="AO73" s="146">
        <v>1</v>
      </c>
      <c r="AP73" s="146">
        <v>1</v>
      </c>
      <c r="AQ73" s="10" t="str">
        <f ca="1">Sprache!$A$110</f>
        <v>Tiomos Scharnier T Click-on</v>
      </c>
      <c r="AR73" t="s">
        <v>1926</v>
      </c>
      <c r="AS73" t="str">
        <f ca="1">Sprache!$A$103</f>
        <v>Tiomos Click-On Scharniere</v>
      </c>
      <c r="AT73">
        <v>9.5</v>
      </c>
      <c r="AU73" t="s">
        <v>10</v>
      </c>
      <c r="AV73">
        <v>110</v>
      </c>
      <c r="AW73" s="10">
        <v>0</v>
      </c>
      <c r="AX73">
        <v>1</v>
      </c>
      <c r="AY73">
        <v>0</v>
      </c>
      <c r="AZ73" s="10">
        <v>1</v>
      </c>
      <c r="BA73">
        <v>0</v>
      </c>
      <c r="BB73">
        <v>0</v>
      </c>
      <c r="BC73">
        <v>0</v>
      </c>
      <c r="BD73" s="143" t="s">
        <v>516</v>
      </c>
      <c r="BG73"/>
    </row>
    <row r="74" spans="1:59" ht="14.25" customHeight="1" x14ac:dyDescent="0.25">
      <c r="A74" s="37" t="str">
        <f>LEFT(Scharniere[[#This Row],[ArtikelNR]],4)</f>
        <v>F028</v>
      </c>
      <c r="B74" s="35" t="str">
        <f>MID(Scharniere[[#This Row],[ArtikelNR]],5,3)</f>
        <v>138</v>
      </c>
      <c r="C74" s="37" t="str">
        <f>RIGHT(Scharniere[[#This Row],[ArtikelNR]],3)</f>
        <v>703</v>
      </c>
      <c r="D74" s="35">
        <f>IF(AND(Scharniere[[#This Row],[Gruppenschlüssel]]=select!$A$44,Scharniere[[#This Row],[Scharnierart]]=1)=TRUE,1,0)</f>
        <v>1</v>
      </c>
      <c r="E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4" s="35">
        <f>IF(select!$F$57=IF(Scharniere[[#This Row],[mit Dämpfung]]=1,1,IF(Scharniere[[#This Row],[ohne Dämpfung]]=1,2,IF(Scharniere[[#This Row],[ohne Feder]]=1,3,0))),1,0)</f>
        <v>0</v>
      </c>
      <c r="G74" s="35">
        <f>IF(Scharniere[[#This Row],[Bohrbild]]=select!$V$43,1,0)</f>
        <v>0</v>
      </c>
      <c r="H74" s="35">
        <f>IF(IF(Scharniere[[#This Row],[Anschrauben]]=1,1,IF(Scharniere[[#This Row],[Einpressen]]=1,2,IF(Scharniere[[#This Row],[Quick]]=1,3,IF(Scharniere[[#This Row],[Werkzeuglos]]=1,4,0))))=select!$F$48,1,0)</f>
        <v>0</v>
      </c>
      <c r="I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" s="149">
        <f>IF(AND(Scharniere[[#This Row],[Scharnierart]]=2,Scharniere[[#This Row],[Gruppenschlüssel]]=select!$A$318)=TRUE,1,0)</f>
        <v>0</v>
      </c>
      <c r="K74" s="221">
        <f ca="1">IF(select!$O$424&lt;6,1,0)</f>
        <v>1</v>
      </c>
      <c r="L74" s="139">
        <f>IF(select!$A$362=IF(Scharniere[[#This Row],[mit Dämpfung]]=1,1,IF(Scharniere[[#This Row],[ohne Dämpfung]]=1,2,IF(Scharniere[[#This Row],[ohne Feder]]=1,3,0))),1,0)</f>
        <v>1</v>
      </c>
      <c r="M74" s="135">
        <f>IF(Scharniere[[#This Row],[Bohrbild]]=select!$O$334,1,0)</f>
        <v>0</v>
      </c>
      <c r="N74" s="135">
        <f>IF(IF(Scharniere[[#This Row],[Anschrauben]]=1,1,IF(Scharniere[[#This Row],[Einpressen]]=1,2,IF(Scharniere[[#This Row],[Quick]]=1,3,IF(Scharniere[[#This Row],[Werkzeuglos]]=1,4,0))))=select!$E$362,1,0)</f>
        <v>1</v>
      </c>
      <c r="O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" s="298">
        <f>IF(AND(Scharniere[[#This Row],[Scharnierart]]=3,Scharniere[[#This Row],[Gruppenschlüssel]]=select!$A$747)=TRUE,1,0)</f>
        <v>0</v>
      </c>
      <c r="Q74" s="298">
        <f ca="1">IF(select!$O$945&lt;6,1,0)</f>
        <v>1</v>
      </c>
      <c r="R74" s="298">
        <f>IF(select!$A$778=IF(Scharniere[[#This Row],[mit Dämpfung]]=1,1,IF(Scharniere[[#This Row],[ohne Dämpfung]]=1,2,IF(Scharniere[[#This Row],[ohne Feder]]=1,3,0))),1,0)</f>
        <v>0</v>
      </c>
      <c r="S74" s="298">
        <f>IF(Scharniere[[#This Row],[Bohrbild]]=select!$A$755,1,0)</f>
        <v>0</v>
      </c>
      <c r="T74" s="298">
        <f>IF(IF(Scharniere[[#This Row],[Anschrauben]]=1,1,IF(Scharniere[[#This Row],[Einpressen]]=1,2,IF(Scharniere[[#This Row],[Quick]]=1,3,IF(Scharniere[[#This Row],[Werkzeuglos]]=1,4,0))))=select!$A$769,1,0)</f>
        <v>1</v>
      </c>
      <c r="U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" s="359">
        <f>IF(AND(Scharniere[[#This Row],[Scharnierart]]=4,Scharniere[[#This Row],[Gruppenschlüssel]]=select!$A$981)=TRUE,1,0)</f>
        <v>0</v>
      </c>
      <c r="W74" s="359">
        <f ca="1">IF(select!$O$1185&lt;6,1,0)</f>
        <v>1</v>
      </c>
      <c r="X74" s="359">
        <f>IF(select!$A$1012=IF(Scharniere[[#This Row],[mit Dämpfung]]=1,1,IF(Scharniere[[#This Row],[ohne Dämpfung]]=1,2,IF(Scharniere[[#This Row],[ohne Feder]]=1,3,0))),1,0)</f>
        <v>0</v>
      </c>
      <c r="Y74" s="359">
        <f>IF(Scharniere[[#This Row],[Bohrbild]]=select!$A$989,1,0)</f>
        <v>0</v>
      </c>
      <c r="Z74" s="359">
        <f>IF(IF(Scharniere[[#This Row],[Anschrauben]]=1,1,IF(Scharniere[[#This Row],[Einpressen]]=1,2,IF(Scharniere[[#This Row],[Quick]]=1,3,IF(Scharniere[[#This Row],[Werkzeuglos]]=1,4,0))))=select!$A$1003,1,0)</f>
        <v>1</v>
      </c>
      <c r="AA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" s="359">
        <f ca="1">IF(select!$K$980="*",Scharniere[[#This Row],[AG Ges2]],Scharniere[[#This Row],[AG Ges1]])</f>
        <v>0</v>
      </c>
      <c r="AE74" s="451">
        <f ca="1">IF(AND(Scharniere[[#This Row],[Scharnierart]]=select!$A$1485,Scharniere[[#This Row],[Gruppenschlüssel]]=select!$B$1485)=TRUE,1,0)</f>
        <v>1</v>
      </c>
      <c r="AF74" s="451">
        <f ca="1">IF(AND(Scharniere[[#This Row],[Scharnierart]]=select!$A$1486,Scharniere[[#This Row],[Gruppenschlüssel]]=select!$B$1486)=TRUE,1,0)</f>
        <v>0</v>
      </c>
      <c r="AG74" s="451">
        <f ca="1">IF(AND(Scharniere[[#This Row],[Scharnierart]]=select!$A$1487,Scharniere[[#This Row],[Gruppenschlüssel]]=select!$B$1487)=TRUE,1,0)</f>
        <v>0</v>
      </c>
      <c r="AH74" s="451">
        <f ca="1">IF(AND(Scharniere[[#This Row],[Scharnierart]]=select!$A$1488,Scharniere[[#This Row],[Gruppenschlüssel]]=select!$B$1488)=TRUE,1,0)</f>
        <v>0</v>
      </c>
      <c r="AI74" s="451">
        <f ca="1">IF(SUM(Scharniere[[#This Row],[konf Scharnier 1]:[konf Scharnier 4]])&gt;0,1,0)</f>
        <v>1</v>
      </c>
      <c r="AJ74" s="451"/>
      <c r="AK74" s="451"/>
      <c r="AL74" s="451"/>
      <c r="AM74" s="451"/>
      <c r="AN74" s="451"/>
      <c r="AO74" s="146">
        <v>1</v>
      </c>
      <c r="AP74" s="146">
        <v>1</v>
      </c>
      <c r="AQ74" s="10" t="str">
        <f ca="1">Sprache!$A$112</f>
        <v>Tiomos Scharnier TS Click-on</v>
      </c>
      <c r="AR74" t="s">
        <v>1926</v>
      </c>
      <c r="AS74" t="str">
        <f ca="1">Sprache!$A$103</f>
        <v>Tiomos Click-On Scharniere</v>
      </c>
      <c r="AT74">
        <v>9.5</v>
      </c>
      <c r="AU74" t="s">
        <v>10</v>
      </c>
      <c r="AV74">
        <v>110</v>
      </c>
      <c r="AW74" s="10">
        <v>1</v>
      </c>
      <c r="AX74">
        <v>0</v>
      </c>
      <c r="AY74">
        <v>0</v>
      </c>
      <c r="AZ74" s="10">
        <v>1</v>
      </c>
      <c r="BA74">
        <v>0</v>
      </c>
      <c r="BB74">
        <v>0</v>
      </c>
      <c r="BC74">
        <v>0</v>
      </c>
      <c r="BD74" s="143" t="s">
        <v>345</v>
      </c>
      <c r="BG74"/>
    </row>
    <row r="75" spans="1:59" ht="14.25" customHeight="1" x14ac:dyDescent="0.25">
      <c r="A75" s="37" t="str">
        <f>LEFT(Scharniere[[#This Row],[ArtikelNR]],4)</f>
        <v>F046</v>
      </c>
      <c r="B75" s="35" t="str">
        <f>MID(Scharniere[[#This Row],[ArtikelNR]],5,3)</f>
        <v>138</v>
      </c>
      <c r="C75" s="37" t="str">
        <f>RIGHT(Scharniere[[#This Row],[ArtikelNR]],3)</f>
        <v>763</v>
      </c>
      <c r="D75" s="35">
        <f>IF(AND(Scharniere[[#This Row],[Gruppenschlüssel]]=select!$A$44,Scharniere[[#This Row],[Scharnierart]]=1)=TRUE,1,0)</f>
        <v>1</v>
      </c>
      <c r="E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5" s="35">
        <f>IF(select!$F$57=IF(Scharniere[[#This Row],[mit Dämpfung]]=1,1,IF(Scharniere[[#This Row],[ohne Dämpfung]]=1,2,IF(Scharniere[[#This Row],[ohne Feder]]=1,3,0))),1,0)</f>
        <v>1</v>
      </c>
      <c r="G75" s="35">
        <f>IF(Scharniere[[#This Row],[Bohrbild]]=select!$V$43,1,0)</f>
        <v>0</v>
      </c>
      <c r="H75" s="35">
        <f>IF(IF(Scharniere[[#This Row],[Anschrauben]]=1,1,IF(Scharniere[[#This Row],[Einpressen]]=1,2,IF(Scharniere[[#This Row],[Quick]]=1,3,IF(Scharniere[[#This Row],[Werkzeuglos]]=1,4,0))))=select!$F$48,1,0)</f>
        <v>0</v>
      </c>
      <c r="I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" s="149">
        <f>IF(AND(Scharniere[[#This Row],[Scharnierart]]=2,Scharniere[[#This Row],[Gruppenschlüssel]]=select!$A$318)=TRUE,1,0)</f>
        <v>0</v>
      </c>
      <c r="K75" s="221">
        <f ca="1">IF(select!$O$424&lt;6,1,0)</f>
        <v>1</v>
      </c>
      <c r="L75" s="139">
        <f>IF(select!$A$362=IF(Scharniere[[#This Row],[mit Dämpfung]]=1,1,IF(Scharniere[[#This Row],[ohne Dämpfung]]=1,2,IF(Scharniere[[#This Row],[ohne Feder]]=1,3,0))),1,0)</f>
        <v>0</v>
      </c>
      <c r="M75" s="135">
        <f>IF(Scharniere[[#This Row],[Bohrbild]]=select!$O$334,1,0)</f>
        <v>0</v>
      </c>
      <c r="N75" s="135">
        <f>IF(IF(Scharniere[[#This Row],[Anschrauben]]=1,1,IF(Scharniere[[#This Row],[Einpressen]]=1,2,IF(Scharniere[[#This Row],[Quick]]=1,3,IF(Scharniere[[#This Row],[Werkzeuglos]]=1,4,0))))=select!$E$362,1,0)</f>
        <v>1</v>
      </c>
      <c r="O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" s="298">
        <f>IF(AND(Scharniere[[#This Row],[Scharnierart]]=3,Scharniere[[#This Row],[Gruppenschlüssel]]=select!$A$747)=TRUE,1,0)</f>
        <v>0</v>
      </c>
      <c r="Q75" s="298">
        <f ca="1">IF(select!$O$945&lt;6,1,0)</f>
        <v>1</v>
      </c>
      <c r="R75" s="298">
        <f>IF(select!$A$778=IF(Scharniere[[#This Row],[mit Dämpfung]]=1,1,IF(Scharniere[[#This Row],[ohne Dämpfung]]=1,2,IF(Scharniere[[#This Row],[ohne Feder]]=1,3,0))),1,0)</f>
        <v>0</v>
      </c>
      <c r="S75" s="298">
        <f>IF(Scharniere[[#This Row],[Bohrbild]]=select!$A$755,1,0)</f>
        <v>0</v>
      </c>
      <c r="T75" s="298">
        <f>IF(IF(Scharniere[[#This Row],[Anschrauben]]=1,1,IF(Scharniere[[#This Row],[Einpressen]]=1,2,IF(Scharniere[[#This Row],[Quick]]=1,3,IF(Scharniere[[#This Row],[Werkzeuglos]]=1,4,0))))=select!$A$769,1,0)</f>
        <v>1</v>
      </c>
      <c r="U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" s="359">
        <f>IF(AND(Scharniere[[#This Row],[Scharnierart]]=4,Scharniere[[#This Row],[Gruppenschlüssel]]=select!$A$981)=TRUE,1,0)</f>
        <v>0</v>
      </c>
      <c r="W75" s="359">
        <f ca="1">IF(select!$O$1185&lt;6,1,0)</f>
        <v>1</v>
      </c>
      <c r="X75" s="359">
        <f>IF(select!$A$1012=IF(Scharniere[[#This Row],[mit Dämpfung]]=1,1,IF(Scharniere[[#This Row],[ohne Dämpfung]]=1,2,IF(Scharniere[[#This Row],[ohne Feder]]=1,3,0))),1,0)</f>
        <v>0</v>
      </c>
      <c r="Y75" s="359">
        <f>IF(Scharniere[[#This Row],[Bohrbild]]=select!$A$989,1,0)</f>
        <v>0</v>
      </c>
      <c r="Z75" s="359">
        <f>IF(IF(Scharniere[[#This Row],[Anschrauben]]=1,1,IF(Scharniere[[#This Row],[Einpressen]]=1,2,IF(Scharniere[[#This Row],[Quick]]=1,3,IF(Scharniere[[#This Row],[Werkzeuglos]]=1,4,0))))=select!$A$1003,1,0)</f>
        <v>1</v>
      </c>
      <c r="AA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" s="359">
        <f ca="1">IF(select!$K$980="*",Scharniere[[#This Row],[AG Ges2]],Scharniere[[#This Row],[AG Ges1]])</f>
        <v>0</v>
      </c>
      <c r="AE75" s="451">
        <f ca="1">IF(AND(Scharniere[[#This Row],[Scharnierart]]=select!$A$1485,Scharniere[[#This Row],[Gruppenschlüssel]]=select!$B$1485)=TRUE,1,0)</f>
        <v>1</v>
      </c>
      <c r="AF75" s="451">
        <f ca="1">IF(AND(Scharniere[[#This Row],[Scharnierart]]=select!$A$1486,Scharniere[[#This Row],[Gruppenschlüssel]]=select!$B$1486)=TRUE,1,0)</f>
        <v>0</v>
      </c>
      <c r="AG75" s="451">
        <f ca="1">IF(AND(Scharniere[[#This Row],[Scharnierart]]=select!$A$1487,Scharniere[[#This Row],[Gruppenschlüssel]]=select!$B$1487)=TRUE,1,0)</f>
        <v>0</v>
      </c>
      <c r="AH75" s="451">
        <f ca="1">IF(AND(Scharniere[[#This Row],[Scharnierart]]=select!$A$1488,Scharniere[[#This Row],[Gruppenschlüssel]]=select!$B$1488)=TRUE,1,0)</f>
        <v>0</v>
      </c>
      <c r="AI75" s="451">
        <f ca="1">IF(SUM(Scharniere[[#This Row],[konf Scharnier 1]:[konf Scharnier 4]])&gt;0,1,0)</f>
        <v>1</v>
      </c>
      <c r="AJ75" s="451"/>
      <c r="AK75" s="451"/>
      <c r="AL75" s="451"/>
      <c r="AM75" s="451"/>
      <c r="AN75" s="451"/>
      <c r="AO75" s="146">
        <v>1</v>
      </c>
      <c r="AP75" s="146">
        <v>1</v>
      </c>
      <c r="AQ75" s="10" t="str">
        <f ca="1">Sprache!$A$114</f>
        <v>Tiomos Scharnier TT Click-on</v>
      </c>
      <c r="AR75" t="s">
        <v>1926</v>
      </c>
      <c r="AS75" t="str">
        <f ca="1">Sprache!$A$103</f>
        <v>Tiomos Click-On Scharniere</v>
      </c>
      <c r="AT75">
        <v>9.5</v>
      </c>
      <c r="AU75" t="s">
        <v>10</v>
      </c>
      <c r="AV75">
        <v>110</v>
      </c>
      <c r="AW75" s="10">
        <v>0</v>
      </c>
      <c r="AX75">
        <v>0</v>
      </c>
      <c r="AY75">
        <v>1</v>
      </c>
      <c r="AZ75" s="10">
        <v>1</v>
      </c>
      <c r="BA75">
        <v>0</v>
      </c>
      <c r="BB75">
        <v>0</v>
      </c>
      <c r="BC75">
        <v>0</v>
      </c>
      <c r="BD75" s="143" t="s">
        <v>668</v>
      </c>
      <c r="BG75"/>
    </row>
    <row r="76" spans="1:59" ht="14.25" customHeight="1" x14ac:dyDescent="0.25">
      <c r="A76" s="37" t="str">
        <f>LEFT(Scharniere[[#This Row],[ArtikelNR]],4)</f>
        <v>F034</v>
      </c>
      <c r="B76" s="35" t="str">
        <f>MID(Scharniere[[#This Row],[ArtikelNR]],5,3)</f>
        <v>139</v>
      </c>
      <c r="C76" s="37" t="str">
        <f>RIGHT(Scharniere[[#This Row],[ArtikelNR]],3)</f>
        <v>472</v>
      </c>
      <c r="D76" s="35">
        <f>IF(AND(Scharniere[[#This Row],[Gruppenschlüssel]]=select!$A$44,Scharniere[[#This Row],[Scharnierart]]=1)=TRUE,1,0)</f>
        <v>1</v>
      </c>
      <c r="E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6" s="35">
        <f>IF(select!$F$57=IF(Scharniere[[#This Row],[mit Dämpfung]]=1,1,IF(Scharniere[[#This Row],[ohne Dämpfung]]=1,2,IF(Scharniere[[#This Row],[ohne Feder]]=1,3,0))),1,0)</f>
        <v>0</v>
      </c>
      <c r="G76" s="35">
        <f>IF(Scharniere[[#This Row],[Bohrbild]]=select!$V$43,1,0)</f>
        <v>0</v>
      </c>
      <c r="H76" s="35">
        <f>IF(IF(Scharniere[[#This Row],[Anschrauben]]=1,1,IF(Scharniere[[#This Row],[Einpressen]]=1,2,IF(Scharniere[[#This Row],[Quick]]=1,3,IF(Scharniere[[#This Row],[Werkzeuglos]]=1,4,0))))=select!$F$48,1,0)</f>
        <v>0</v>
      </c>
      <c r="I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" s="149">
        <f>IF(AND(Scharniere[[#This Row],[Scharnierart]]=2,Scharniere[[#This Row],[Gruppenschlüssel]]=select!$A$318)=TRUE,1,0)</f>
        <v>0</v>
      </c>
      <c r="K76" s="221">
        <f ca="1">IF(select!$O$424&lt;6,1,0)</f>
        <v>1</v>
      </c>
      <c r="L76" s="139">
        <f>IF(select!$A$362=IF(Scharniere[[#This Row],[mit Dämpfung]]=1,1,IF(Scharniere[[#This Row],[ohne Dämpfung]]=1,2,IF(Scharniere[[#This Row],[ohne Feder]]=1,3,0))),1,0)</f>
        <v>0</v>
      </c>
      <c r="M76" s="135">
        <f>IF(Scharniere[[#This Row],[Bohrbild]]=select!$O$334,1,0)</f>
        <v>0</v>
      </c>
      <c r="N76" s="135">
        <f>IF(IF(Scharniere[[#This Row],[Anschrauben]]=1,1,IF(Scharniere[[#This Row],[Einpressen]]=1,2,IF(Scharniere[[#This Row],[Quick]]=1,3,IF(Scharniere[[#This Row],[Werkzeuglos]]=1,4,0))))=select!$E$362,1,0)</f>
        <v>0</v>
      </c>
      <c r="O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" s="298">
        <f>IF(AND(Scharniere[[#This Row],[Scharnierart]]=3,Scharniere[[#This Row],[Gruppenschlüssel]]=select!$A$747)=TRUE,1,0)</f>
        <v>0</v>
      </c>
      <c r="Q76" s="298">
        <f ca="1">IF(select!$O$945&lt;6,1,0)</f>
        <v>1</v>
      </c>
      <c r="R76" s="298">
        <f>IF(select!$A$778=IF(Scharniere[[#This Row],[mit Dämpfung]]=1,1,IF(Scharniere[[#This Row],[ohne Dämpfung]]=1,2,IF(Scharniere[[#This Row],[ohne Feder]]=1,3,0))),1,0)</f>
        <v>1</v>
      </c>
      <c r="S76" s="298">
        <f>IF(Scharniere[[#This Row],[Bohrbild]]=select!$A$755,1,0)</f>
        <v>0</v>
      </c>
      <c r="T76" s="298">
        <f>IF(IF(Scharniere[[#This Row],[Anschrauben]]=1,1,IF(Scharniere[[#This Row],[Einpressen]]=1,2,IF(Scharniere[[#This Row],[Quick]]=1,3,IF(Scharniere[[#This Row],[Werkzeuglos]]=1,4,0))))=select!$A$769,1,0)</f>
        <v>0</v>
      </c>
      <c r="U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" s="359">
        <f>IF(AND(Scharniere[[#This Row],[Scharnierart]]=4,Scharniere[[#This Row],[Gruppenschlüssel]]=select!$A$981)=TRUE,1,0)</f>
        <v>0</v>
      </c>
      <c r="W76" s="359">
        <f ca="1">IF(select!$O$1185&lt;6,1,0)</f>
        <v>1</v>
      </c>
      <c r="X76" s="359">
        <f>IF(select!$A$1012=IF(Scharniere[[#This Row],[mit Dämpfung]]=1,1,IF(Scharniere[[#This Row],[ohne Dämpfung]]=1,2,IF(Scharniere[[#This Row],[ohne Feder]]=1,3,0))),1,0)</f>
        <v>1</v>
      </c>
      <c r="Y76" s="359">
        <f>IF(Scharniere[[#This Row],[Bohrbild]]=select!$A$989,1,0)</f>
        <v>0</v>
      </c>
      <c r="Z76" s="359">
        <f>IF(IF(Scharniere[[#This Row],[Anschrauben]]=1,1,IF(Scharniere[[#This Row],[Einpressen]]=1,2,IF(Scharniere[[#This Row],[Quick]]=1,3,IF(Scharniere[[#This Row],[Werkzeuglos]]=1,4,0))))=select!$A$1003,1,0)</f>
        <v>0</v>
      </c>
      <c r="AA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" s="359">
        <f ca="1">IF(select!$K$980="*",Scharniere[[#This Row],[AG Ges2]],Scharniere[[#This Row],[AG Ges1]])</f>
        <v>0</v>
      </c>
      <c r="AE76" s="451">
        <f ca="1">IF(AND(Scharniere[[#This Row],[Scharnierart]]=select!$A$1485,Scharniere[[#This Row],[Gruppenschlüssel]]=select!$B$1485)=TRUE,1,0)</f>
        <v>1</v>
      </c>
      <c r="AF76" s="451">
        <f ca="1">IF(AND(Scharniere[[#This Row],[Scharnierart]]=select!$A$1486,Scharniere[[#This Row],[Gruppenschlüssel]]=select!$B$1486)=TRUE,1,0)</f>
        <v>0</v>
      </c>
      <c r="AG76" s="451">
        <f ca="1">IF(AND(Scharniere[[#This Row],[Scharnierart]]=select!$A$1487,Scharniere[[#This Row],[Gruppenschlüssel]]=select!$B$1487)=TRUE,1,0)</f>
        <v>0</v>
      </c>
      <c r="AH76" s="451">
        <f ca="1">IF(AND(Scharniere[[#This Row],[Scharnierart]]=select!$A$1488,Scharniere[[#This Row],[Gruppenschlüssel]]=select!$B$1488)=TRUE,1,0)</f>
        <v>0</v>
      </c>
      <c r="AI76" s="451">
        <f ca="1">IF(SUM(Scharniere[[#This Row],[konf Scharnier 1]:[konf Scharnier 4]])&gt;0,1,0)</f>
        <v>1</v>
      </c>
      <c r="AJ76" s="451"/>
      <c r="AK76" s="451"/>
      <c r="AL76" s="451"/>
      <c r="AM76" s="451"/>
      <c r="AN76" s="451"/>
      <c r="AO76" s="146">
        <v>1</v>
      </c>
      <c r="AP76" s="146">
        <v>1</v>
      </c>
      <c r="AQ76" s="10" t="str">
        <f ca="1">Sprache!$A$111</f>
        <v>Tiomos Scharnier T Impresso</v>
      </c>
      <c r="AR76" t="s">
        <v>1927</v>
      </c>
      <c r="AS76" t="str">
        <f ca="1">Sprache!$A$116</f>
        <v>Tiomos Impresso Scharniere</v>
      </c>
      <c r="AT76">
        <v>9.5</v>
      </c>
      <c r="AU76" s="34" t="s">
        <v>10</v>
      </c>
      <c r="AV76">
        <v>110</v>
      </c>
      <c r="AW76" s="10">
        <v>0</v>
      </c>
      <c r="AX76">
        <v>1</v>
      </c>
      <c r="AY76">
        <v>0</v>
      </c>
      <c r="AZ76" s="10">
        <v>0</v>
      </c>
      <c r="BA76">
        <v>0</v>
      </c>
      <c r="BB76">
        <v>0</v>
      </c>
      <c r="BC76">
        <v>1</v>
      </c>
      <c r="BD76" s="143" t="s">
        <v>167</v>
      </c>
      <c r="BG76"/>
    </row>
    <row r="77" spans="1:59" ht="14.25" customHeight="1" x14ac:dyDescent="0.25">
      <c r="A77" s="37" t="str">
        <f>LEFT(Scharniere[[#This Row],[ArtikelNR]],4)</f>
        <v>F034</v>
      </c>
      <c r="B77" s="35" t="str">
        <f>MID(Scharniere[[#This Row],[ArtikelNR]],5,3)</f>
        <v>139</v>
      </c>
      <c r="C77" s="37" t="str">
        <f>RIGHT(Scharniere[[#This Row],[ArtikelNR]],3)</f>
        <v>472</v>
      </c>
      <c r="D77" s="35">
        <f>IF(AND(Scharniere[[#This Row],[Gruppenschlüssel]]=select!$A$44,Scharniere[[#This Row],[Scharnierart]]=1)=TRUE,1,0)</f>
        <v>1</v>
      </c>
      <c r="E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7" s="35">
        <f>IF(select!$F$57=IF(Scharniere[[#This Row],[mit Dämpfung]]=1,1,IF(Scharniere[[#This Row],[ohne Dämpfung]]=1,2,IF(Scharniere[[#This Row],[ohne Feder]]=1,3,0))),1,0)</f>
        <v>0</v>
      </c>
      <c r="G77" s="35">
        <f>IF(Scharniere[[#This Row],[Bohrbild]]=select!$V$43,1,0)</f>
        <v>0</v>
      </c>
      <c r="H77" s="35">
        <f>IF(IF(Scharniere[[#This Row],[Anschrauben]]=1,1,IF(Scharniere[[#This Row],[Einpressen]]=1,2,IF(Scharniere[[#This Row],[Quick]]=1,3,IF(Scharniere[[#This Row],[Werkzeuglos]]=1,4,0))))=select!$F$48,1,0)</f>
        <v>0</v>
      </c>
      <c r="I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" s="149">
        <f>IF(AND(Scharniere[[#This Row],[Scharnierart]]=2,Scharniere[[#This Row],[Gruppenschlüssel]]=select!$A$318)=TRUE,1,0)</f>
        <v>0</v>
      </c>
      <c r="K77" s="221">
        <f ca="1">IF(select!$O$424&lt;6,1,0)</f>
        <v>1</v>
      </c>
      <c r="L77" s="139">
        <f>IF(select!$A$362=IF(Scharniere[[#This Row],[mit Dämpfung]]=1,1,IF(Scharniere[[#This Row],[ohne Dämpfung]]=1,2,IF(Scharniere[[#This Row],[ohne Feder]]=1,3,0))),1,0)</f>
        <v>0</v>
      </c>
      <c r="M77" s="135">
        <f>IF(Scharniere[[#This Row],[Bohrbild]]=select!$O$334,1,0)</f>
        <v>0</v>
      </c>
      <c r="N77" s="135">
        <f>IF(IF(Scharniere[[#This Row],[Anschrauben]]=1,1,IF(Scharniere[[#This Row],[Einpressen]]=1,2,IF(Scharniere[[#This Row],[Quick]]=1,3,IF(Scharniere[[#This Row],[Werkzeuglos]]=1,4,0))))=select!$E$362,1,0)</f>
        <v>0</v>
      </c>
      <c r="O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" s="298">
        <f>IF(AND(Scharniere[[#This Row],[Scharnierart]]=3,Scharniere[[#This Row],[Gruppenschlüssel]]=select!$A$747)=TRUE,1,0)</f>
        <v>0</v>
      </c>
      <c r="Q77" s="298">
        <f ca="1">IF(select!$O$945&lt;6,1,0)</f>
        <v>1</v>
      </c>
      <c r="R77" s="298">
        <f>IF(select!$A$778=IF(Scharniere[[#This Row],[mit Dämpfung]]=1,1,IF(Scharniere[[#This Row],[ohne Dämpfung]]=1,2,IF(Scharniere[[#This Row],[ohne Feder]]=1,3,0))),1,0)</f>
        <v>1</v>
      </c>
      <c r="S77" s="298">
        <f>IF(Scharniere[[#This Row],[Bohrbild]]=select!$A$755,1,0)</f>
        <v>0</v>
      </c>
      <c r="T77" s="298">
        <f>IF(IF(Scharniere[[#This Row],[Anschrauben]]=1,1,IF(Scharniere[[#This Row],[Einpressen]]=1,2,IF(Scharniere[[#This Row],[Quick]]=1,3,IF(Scharniere[[#This Row],[Werkzeuglos]]=1,4,0))))=select!$A$769,1,0)</f>
        <v>0</v>
      </c>
      <c r="U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" s="359">
        <f>IF(AND(Scharniere[[#This Row],[Scharnierart]]=4,Scharniere[[#This Row],[Gruppenschlüssel]]=select!$A$981)=TRUE,1,0)</f>
        <v>0</v>
      </c>
      <c r="W77" s="359">
        <f ca="1">IF(select!$O$1185&lt;6,1,0)</f>
        <v>1</v>
      </c>
      <c r="X77" s="359">
        <f>IF(select!$A$1012=IF(Scharniere[[#This Row],[mit Dämpfung]]=1,1,IF(Scharniere[[#This Row],[ohne Dämpfung]]=1,2,IF(Scharniere[[#This Row],[ohne Feder]]=1,3,0))),1,0)</f>
        <v>1</v>
      </c>
      <c r="Y77" s="359">
        <f>IF(Scharniere[[#This Row],[Bohrbild]]=select!$A$989,1,0)</f>
        <v>0</v>
      </c>
      <c r="Z77" s="359">
        <f>IF(IF(Scharniere[[#This Row],[Anschrauben]]=1,1,IF(Scharniere[[#This Row],[Einpressen]]=1,2,IF(Scharniere[[#This Row],[Quick]]=1,3,IF(Scharniere[[#This Row],[Werkzeuglos]]=1,4,0))))=select!$A$1003,1,0)</f>
        <v>0</v>
      </c>
      <c r="AA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" s="359">
        <f ca="1">IF(select!$K$980="*",Scharniere[[#This Row],[AG Ges2]],Scharniere[[#This Row],[AG Ges1]])</f>
        <v>0</v>
      </c>
      <c r="AE77" s="451">
        <f ca="1">IF(AND(Scharniere[[#This Row],[Scharnierart]]=select!$A$1485,Scharniere[[#This Row],[Gruppenschlüssel]]=select!$B$1485)=TRUE,1,0)</f>
        <v>1</v>
      </c>
      <c r="AF77" s="451">
        <f ca="1">IF(AND(Scharniere[[#This Row],[Scharnierart]]=select!$A$1486,Scharniere[[#This Row],[Gruppenschlüssel]]=select!$B$1486)=TRUE,1,0)</f>
        <v>0</v>
      </c>
      <c r="AG77" s="451">
        <f ca="1">IF(AND(Scharniere[[#This Row],[Scharnierart]]=select!$A$1487,Scharniere[[#This Row],[Gruppenschlüssel]]=select!$B$1487)=TRUE,1,0)</f>
        <v>0</v>
      </c>
      <c r="AH77" s="451">
        <f ca="1">IF(AND(Scharniere[[#This Row],[Scharnierart]]=select!$A$1488,Scharniere[[#This Row],[Gruppenschlüssel]]=select!$B$1488)=TRUE,1,0)</f>
        <v>0</v>
      </c>
      <c r="AI77" s="451">
        <f ca="1">IF(SUM(Scharniere[[#This Row],[konf Scharnier 1]:[konf Scharnier 4]])&gt;0,1,0)</f>
        <v>1</v>
      </c>
      <c r="AJ77" s="451"/>
      <c r="AK77" s="451"/>
      <c r="AL77" s="451"/>
      <c r="AM77" s="451"/>
      <c r="AN77" s="451"/>
      <c r="AO77" s="146">
        <v>1</v>
      </c>
      <c r="AP77" s="146">
        <v>1</v>
      </c>
      <c r="AQ77" s="10" t="str">
        <f ca="1">Sprache!$A$111</f>
        <v>Tiomos Scharnier T Impresso</v>
      </c>
      <c r="AR77" t="s">
        <v>1927</v>
      </c>
      <c r="AS77" t="str">
        <f ca="1">Sprache!$A$116</f>
        <v>Tiomos Impresso Scharniere</v>
      </c>
      <c r="AT77">
        <v>9.5</v>
      </c>
      <c r="AU77" s="34" t="s">
        <v>11</v>
      </c>
      <c r="AV77">
        <v>110</v>
      </c>
      <c r="AW77" s="10">
        <v>0</v>
      </c>
      <c r="AX77">
        <v>1</v>
      </c>
      <c r="AY77">
        <v>0</v>
      </c>
      <c r="AZ77" s="10">
        <v>0</v>
      </c>
      <c r="BA77">
        <v>0</v>
      </c>
      <c r="BB77">
        <v>0</v>
      </c>
      <c r="BC77">
        <v>1</v>
      </c>
      <c r="BD77" s="143" t="s">
        <v>167</v>
      </c>
      <c r="BG77"/>
    </row>
    <row r="78" spans="1:59" ht="14.25" customHeight="1" x14ac:dyDescent="0.25">
      <c r="A78" s="37" t="str">
        <f>LEFT(Scharniere[[#This Row],[ArtikelNR]],4)</f>
        <v>F017</v>
      </c>
      <c r="B78" s="35" t="str">
        <f>MID(Scharniere[[#This Row],[ArtikelNR]],5,3)</f>
        <v>139</v>
      </c>
      <c r="C78" s="37" t="str">
        <f>RIGHT(Scharniere[[#This Row],[ArtikelNR]],3)</f>
        <v>501</v>
      </c>
      <c r="D78" s="35">
        <f>IF(AND(Scharniere[[#This Row],[Gruppenschlüssel]]=select!$A$44,Scharniere[[#This Row],[Scharnierart]]=1)=TRUE,1,0)</f>
        <v>1</v>
      </c>
      <c r="E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8" s="35">
        <f>IF(select!$F$57=IF(Scharniere[[#This Row],[mit Dämpfung]]=1,1,IF(Scharniere[[#This Row],[ohne Dämpfung]]=1,2,IF(Scharniere[[#This Row],[ohne Feder]]=1,3,0))),1,0)</f>
        <v>0</v>
      </c>
      <c r="G78" s="35">
        <f>IF(Scharniere[[#This Row],[Bohrbild]]=select!$V$43,1,0)</f>
        <v>0</v>
      </c>
      <c r="H78" s="35">
        <f>IF(IF(Scharniere[[#This Row],[Anschrauben]]=1,1,IF(Scharniere[[#This Row],[Einpressen]]=1,2,IF(Scharniere[[#This Row],[Quick]]=1,3,IF(Scharniere[[#This Row],[Werkzeuglos]]=1,4,0))))=select!$F$48,1,0)</f>
        <v>0</v>
      </c>
      <c r="I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" s="149">
        <f>IF(AND(Scharniere[[#This Row],[Scharnierart]]=2,Scharniere[[#This Row],[Gruppenschlüssel]]=select!$A$318)=TRUE,1,0)</f>
        <v>0</v>
      </c>
      <c r="K78" s="221">
        <f ca="1">IF(select!$O$424&lt;6,1,0)</f>
        <v>1</v>
      </c>
      <c r="L78" s="139">
        <f>IF(select!$A$362=IF(Scharniere[[#This Row],[mit Dämpfung]]=1,1,IF(Scharniere[[#This Row],[ohne Dämpfung]]=1,2,IF(Scharniere[[#This Row],[ohne Feder]]=1,3,0))),1,0)</f>
        <v>1</v>
      </c>
      <c r="M78" s="135">
        <f>IF(Scharniere[[#This Row],[Bohrbild]]=select!$O$334,1,0)</f>
        <v>0</v>
      </c>
      <c r="N78" s="135">
        <f>IF(IF(Scharniere[[#This Row],[Anschrauben]]=1,1,IF(Scharniere[[#This Row],[Einpressen]]=1,2,IF(Scharniere[[#This Row],[Quick]]=1,3,IF(Scharniere[[#This Row],[Werkzeuglos]]=1,4,0))))=select!$E$362,1,0)</f>
        <v>0</v>
      </c>
      <c r="O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" s="298">
        <f>IF(AND(Scharniere[[#This Row],[Scharnierart]]=3,Scharniere[[#This Row],[Gruppenschlüssel]]=select!$A$747)=TRUE,1,0)</f>
        <v>0</v>
      </c>
      <c r="Q78" s="298">
        <f ca="1">IF(select!$O$945&lt;6,1,0)</f>
        <v>1</v>
      </c>
      <c r="R78" s="298">
        <f>IF(select!$A$778=IF(Scharniere[[#This Row],[mit Dämpfung]]=1,1,IF(Scharniere[[#This Row],[ohne Dämpfung]]=1,2,IF(Scharniere[[#This Row],[ohne Feder]]=1,3,0))),1,0)</f>
        <v>0</v>
      </c>
      <c r="S78" s="298">
        <f>IF(Scharniere[[#This Row],[Bohrbild]]=select!$A$755,1,0)</f>
        <v>0</v>
      </c>
      <c r="T78" s="298">
        <f>IF(IF(Scharniere[[#This Row],[Anschrauben]]=1,1,IF(Scharniere[[#This Row],[Einpressen]]=1,2,IF(Scharniere[[#This Row],[Quick]]=1,3,IF(Scharniere[[#This Row],[Werkzeuglos]]=1,4,0))))=select!$A$769,1,0)</f>
        <v>0</v>
      </c>
      <c r="U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" s="359">
        <f>IF(AND(Scharniere[[#This Row],[Scharnierart]]=4,Scharniere[[#This Row],[Gruppenschlüssel]]=select!$A$981)=TRUE,1,0)</f>
        <v>0</v>
      </c>
      <c r="W78" s="359">
        <f ca="1">IF(select!$O$1185&lt;6,1,0)</f>
        <v>1</v>
      </c>
      <c r="X78" s="359">
        <f>IF(select!$A$1012=IF(Scharniere[[#This Row],[mit Dämpfung]]=1,1,IF(Scharniere[[#This Row],[ohne Dämpfung]]=1,2,IF(Scharniere[[#This Row],[ohne Feder]]=1,3,0))),1,0)</f>
        <v>0</v>
      </c>
      <c r="Y78" s="359">
        <f>IF(Scharniere[[#This Row],[Bohrbild]]=select!$A$989,1,0)</f>
        <v>0</v>
      </c>
      <c r="Z78" s="359">
        <f>IF(IF(Scharniere[[#This Row],[Anschrauben]]=1,1,IF(Scharniere[[#This Row],[Einpressen]]=1,2,IF(Scharniere[[#This Row],[Quick]]=1,3,IF(Scharniere[[#This Row],[Werkzeuglos]]=1,4,0))))=select!$A$1003,1,0)</f>
        <v>0</v>
      </c>
      <c r="AA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" s="359">
        <f ca="1">IF(select!$K$980="*",Scharniere[[#This Row],[AG Ges2]],Scharniere[[#This Row],[AG Ges1]])</f>
        <v>0</v>
      </c>
      <c r="AE78" s="451">
        <f ca="1">IF(AND(Scharniere[[#This Row],[Scharnierart]]=select!$A$1485,Scharniere[[#This Row],[Gruppenschlüssel]]=select!$B$1485)=TRUE,1,0)</f>
        <v>1</v>
      </c>
      <c r="AF78" s="451">
        <f ca="1">IF(AND(Scharniere[[#This Row],[Scharnierart]]=select!$A$1486,Scharniere[[#This Row],[Gruppenschlüssel]]=select!$B$1486)=TRUE,1,0)</f>
        <v>0</v>
      </c>
      <c r="AG78" s="451">
        <f ca="1">IF(AND(Scharniere[[#This Row],[Scharnierart]]=select!$A$1487,Scharniere[[#This Row],[Gruppenschlüssel]]=select!$B$1487)=TRUE,1,0)</f>
        <v>0</v>
      </c>
      <c r="AH78" s="451">
        <f ca="1">IF(AND(Scharniere[[#This Row],[Scharnierart]]=select!$A$1488,Scharniere[[#This Row],[Gruppenschlüssel]]=select!$B$1488)=TRUE,1,0)</f>
        <v>0</v>
      </c>
      <c r="AI78" s="451">
        <f ca="1">IF(SUM(Scharniere[[#This Row],[konf Scharnier 1]:[konf Scharnier 4]])&gt;0,1,0)</f>
        <v>1</v>
      </c>
      <c r="AJ78" s="451"/>
      <c r="AK78" s="451"/>
      <c r="AL78" s="451"/>
      <c r="AM78" s="451"/>
      <c r="AN78" s="451"/>
      <c r="AO78" s="146">
        <v>1</v>
      </c>
      <c r="AP78" s="146">
        <v>1</v>
      </c>
      <c r="AQ78" s="10" t="str">
        <f ca="1">Sprache!$A$113</f>
        <v>Tiomos Scharnier TS Impresso</v>
      </c>
      <c r="AR78" t="s">
        <v>1927</v>
      </c>
      <c r="AS78" t="str">
        <f ca="1">Sprache!$A$116</f>
        <v>Tiomos Impresso Scharniere</v>
      </c>
      <c r="AT78">
        <v>9.5</v>
      </c>
      <c r="AU78" s="34" t="s">
        <v>10</v>
      </c>
      <c r="AV78">
        <v>110</v>
      </c>
      <c r="AW78" s="10">
        <v>1</v>
      </c>
      <c r="AX78">
        <v>0</v>
      </c>
      <c r="AY78">
        <v>0</v>
      </c>
      <c r="AZ78" s="10">
        <v>0</v>
      </c>
      <c r="BA78">
        <v>0</v>
      </c>
      <c r="BB78">
        <v>0</v>
      </c>
      <c r="BC78">
        <v>1</v>
      </c>
      <c r="BD78" s="143" t="s">
        <v>113</v>
      </c>
      <c r="BG78"/>
    </row>
    <row r="79" spans="1:59" ht="14.25" customHeight="1" x14ac:dyDescent="0.25">
      <c r="A79" s="37" t="str">
        <f>LEFT(Scharniere[[#This Row],[ArtikelNR]],4)</f>
        <v>F017</v>
      </c>
      <c r="B79" s="35" t="str">
        <f>MID(Scharniere[[#This Row],[ArtikelNR]],5,3)</f>
        <v>139</v>
      </c>
      <c r="C79" s="37" t="str">
        <f>RIGHT(Scharniere[[#This Row],[ArtikelNR]],3)</f>
        <v>501</v>
      </c>
      <c r="D79" s="35">
        <f>IF(AND(Scharniere[[#This Row],[Gruppenschlüssel]]=select!$A$44,Scharniere[[#This Row],[Scharnierart]]=1)=TRUE,1,0)</f>
        <v>1</v>
      </c>
      <c r="E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9" s="35">
        <f>IF(select!$F$57=IF(Scharniere[[#This Row],[mit Dämpfung]]=1,1,IF(Scharniere[[#This Row],[ohne Dämpfung]]=1,2,IF(Scharniere[[#This Row],[ohne Feder]]=1,3,0))),1,0)</f>
        <v>0</v>
      </c>
      <c r="G79" s="35">
        <f>IF(Scharniere[[#This Row],[Bohrbild]]=select!$V$43,1,0)</f>
        <v>0</v>
      </c>
      <c r="H79" s="35">
        <f>IF(IF(Scharniere[[#This Row],[Anschrauben]]=1,1,IF(Scharniere[[#This Row],[Einpressen]]=1,2,IF(Scharniere[[#This Row],[Quick]]=1,3,IF(Scharniere[[#This Row],[Werkzeuglos]]=1,4,0))))=select!$F$48,1,0)</f>
        <v>0</v>
      </c>
      <c r="I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" s="149">
        <f>IF(AND(Scharniere[[#This Row],[Scharnierart]]=2,Scharniere[[#This Row],[Gruppenschlüssel]]=select!$A$318)=TRUE,1,0)</f>
        <v>0</v>
      </c>
      <c r="K79" s="221">
        <f ca="1">IF(select!$O$424&lt;6,1,0)</f>
        <v>1</v>
      </c>
      <c r="L79" s="139">
        <f>IF(select!$A$362=IF(Scharniere[[#This Row],[mit Dämpfung]]=1,1,IF(Scharniere[[#This Row],[ohne Dämpfung]]=1,2,IF(Scharniere[[#This Row],[ohne Feder]]=1,3,0))),1,0)</f>
        <v>1</v>
      </c>
      <c r="M79" s="135">
        <f>IF(Scharniere[[#This Row],[Bohrbild]]=select!$O$334,1,0)</f>
        <v>0</v>
      </c>
      <c r="N79" s="135">
        <f>IF(IF(Scharniere[[#This Row],[Anschrauben]]=1,1,IF(Scharniere[[#This Row],[Einpressen]]=1,2,IF(Scharniere[[#This Row],[Quick]]=1,3,IF(Scharniere[[#This Row],[Werkzeuglos]]=1,4,0))))=select!$E$362,1,0)</f>
        <v>0</v>
      </c>
      <c r="O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" s="298">
        <f>IF(AND(Scharniere[[#This Row],[Scharnierart]]=3,Scharniere[[#This Row],[Gruppenschlüssel]]=select!$A$747)=TRUE,1,0)</f>
        <v>0</v>
      </c>
      <c r="Q79" s="298">
        <f ca="1">IF(select!$O$945&lt;6,1,0)</f>
        <v>1</v>
      </c>
      <c r="R79" s="298">
        <f>IF(select!$A$778=IF(Scharniere[[#This Row],[mit Dämpfung]]=1,1,IF(Scharniere[[#This Row],[ohne Dämpfung]]=1,2,IF(Scharniere[[#This Row],[ohne Feder]]=1,3,0))),1,0)</f>
        <v>0</v>
      </c>
      <c r="S79" s="298">
        <f>IF(Scharniere[[#This Row],[Bohrbild]]=select!$A$755,1,0)</f>
        <v>0</v>
      </c>
      <c r="T79" s="298">
        <f>IF(IF(Scharniere[[#This Row],[Anschrauben]]=1,1,IF(Scharniere[[#This Row],[Einpressen]]=1,2,IF(Scharniere[[#This Row],[Quick]]=1,3,IF(Scharniere[[#This Row],[Werkzeuglos]]=1,4,0))))=select!$A$769,1,0)</f>
        <v>0</v>
      </c>
      <c r="U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" s="359">
        <f>IF(AND(Scharniere[[#This Row],[Scharnierart]]=4,Scharniere[[#This Row],[Gruppenschlüssel]]=select!$A$981)=TRUE,1,0)</f>
        <v>0</v>
      </c>
      <c r="W79" s="359">
        <f ca="1">IF(select!$O$1185&lt;6,1,0)</f>
        <v>1</v>
      </c>
      <c r="X79" s="359">
        <f>IF(select!$A$1012=IF(Scharniere[[#This Row],[mit Dämpfung]]=1,1,IF(Scharniere[[#This Row],[ohne Dämpfung]]=1,2,IF(Scharniere[[#This Row],[ohne Feder]]=1,3,0))),1,0)</f>
        <v>0</v>
      </c>
      <c r="Y79" s="359">
        <f>IF(Scharniere[[#This Row],[Bohrbild]]=select!$A$989,1,0)</f>
        <v>0</v>
      </c>
      <c r="Z79" s="359">
        <f>IF(IF(Scharniere[[#This Row],[Anschrauben]]=1,1,IF(Scharniere[[#This Row],[Einpressen]]=1,2,IF(Scharniere[[#This Row],[Quick]]=1,3,IF(Scharniere[[#This Row],[Werkzeuglos]]=1,4,0))))=select!$A$1003,1,0)</f>
        <v>0</v>
      </c>
      <c r="AA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" s="359">
        <f ca="1">IF(select!$K$980="*",Scharniere[[#This Row],[AG Ges2]],Scharniere[[#This Row],[AG Ges1]])</f>
        <v>0</v>
      </c>
      <c r="AE79" s="451">
        <f ca="1">IF(AND(Scharniere[[#This Row],[Scharnierart]]=select!$A$1485,Scharniere[[#This Row],[Gruppenschlüssel]]=select!$B$1485)=TRUE,1,0)</f>
        <v>1</v>
      </c>
      <c r="AF79" s="451">
        <f ca="1">IF(AND(Scharniere[[#This Row],[Scharnierart]]=select!$A$1486,Scharniere[[#This Row],[Gruppenschlüssel]]=select!$B$1486)=TRUE,1,0)</f>
        <v>0</v>
      </c>
      <c r="AG79" s="451">
        <f ca="1">IF(AND(Scharniere[[#This Row],[Scharnierart]]=select!$A$1487,Scharniere[[#This Row],[Gruppenschlüssel]]=select!$B$1487)=TRUE,1,0)</f>
        <v>0</v>
      </c>
      <c r="AH79" s="451">
        <f ca="1">IF(AND(Scharniere[[#This Row],[Scharnierart]]=select!$A$1488,Scharniere[[#This Row],[Gruppenschlüssel]]=select!$B$1488)=TRUE,1,0)</f>
        <v>0</v>
      </c>
      <c r="AI79" s="451">
        <f ca="1">IF(SUM(Scharniere[[#This Row],[konf Scharnier 1]:[konf Scharnier 4]])&gt;0,1,0)</f>
        <v>1</v>
      </c>
      <c r="AJ79" s="451"/>
      <c r="AK79" s="451"/>
      <c r="AL79" s="451"/>
      <c r="AM79" s="451"/>
      <c r="AN79" s="451"/>
      <c r="AO79" s="146">
        <v>1</v>
      </c>
      <c r="AP79" s="146">
        <v>1</v>
      </c>
      <c r="AQ79" s="10" t="str">
        <f ca="1">Sprache!$A$113</f>
        <v>Tiomos Scharnier TS Impresso</v>
      </c>
      <c r="AR79" t="s">
        <v>1927</v>
      </c>
      <c r="AS79" t="str">
        <f ca="1">Sprache!$A$116</f>
        <v>Tiomos Impresso Scharniere</v>
      </c>
      <c r="AT79">
        <v>9.5</v>
      </c>
      <c r="AU79" s="34" t="s">
        <v>11</v>
      </c>
      <c r="AV79">
        <v>110</v>
      </c>
      <c r="AW79" s="10">
        <v>1</v>
      </c>
      <c r="AX79">
        <v>0</v>
      </c>
      <c r="AY79">
        <v>0</v>
      </c>
      <c r="AZ79" s="10">
        <v>0</v>
      </c>
      <c r="BA79">
        <v>0</v>
      </c>
      <c r="BB79">
        <v>0</v>
      </c>
      <c r="BC79">
        <v>1</v>
      </c>
      <c r="BD79" s="143" t="s">
        <v>113</v>
      </c>
      <c r="BG79"/>
    </row>
    <row r="80" spans="1:59" ht="14.25" customHeight="1" x14ac:dyDescent="0.25">
      <c r="A80" s="37" t="str">
        <f>LEFT(Scharniere[[#This Row],[ArtikelNR]],4)</f>
        <v>F035</v>
      </c>
      <c r="B80" s="35" t="str">
        <f>MID(Scharniere[[#This Row],[ArtikelNR]],5,3)</f>
        <v>139</v>
      </c>
      <c r="C80" s="37" t="str">
        <f>RIGHT(Scharniere[[#This Row],[ArtikelNR]],3)</f>
        <v>529</v>
      </c>
      <c r="D80" s="35">
        <f>IF(AND(Scharniere[[#This Row],[Gruppenschlüssel]]=select!$A$44,Scharniere[[#This Row],[Scharnierart]]=1)=TRUE,1,0)</f>
        <v>1</v>
      </c>
      <c r="E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0" s="35">
        <f>IF(select!$F$57=IF(Scharniere[[#This Row],[mit Dämpfung]]=1,1,IF(Scharniere[[#This Row],[ohne Dämpfung]]=1,2,IF(Scharniere[[#This Row],[ohne Feder]]=1,3,0))),1,0)</f>
        <v>1</v>
      </c>
      <c r="G80" s="35">
        <f>IF(Scharniere[[#This Row],[Bohrbild]]=select!$V$43,1,0)</f>
        <v>0</v>
      </c>
      <c r="H80" s="35">
        <f>IF(IF(Scharniere[[#This Row],[Anschrauben]]=1,1,IF(Scharniere[[#This Row],[Einpressen]]=1,2,IF(Scharniere[[#This Row],[Quick]]=1,3,IF(Scharniere[[#This Row],[Werkzeuglos]]=1,4,0))))=select!$F$48,1,0)</f>
        <v>0</v>
      </c>
      <c r="I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" s="149">
        <f>IF(AND(Scharniere[[#This Row],[Scharnierart]]=2,Scharniere[[#This Row],[Gruppenschlüssel]]=select!$A$318)=TRUE,1,0)</f>
        <v>0</v>
      </c>
      <c r="K80" s="221">
        <f ca="1">IF(select!$O$424&lt;6,1,0)</f>
        <v>1</v>
      </c>
      <c r="L80" s="139">
        <f>IF(select!$A$362=IF(Scharniere[[#This Row],[mit Dämpfung]]=1,1,IF(Scharniere[[#This Row],[ohne Dämpfung]]=1,2,IF(Scharniere[[#This Row],[ohne Feder]]=1,3,0))),1,0)</f>
        <v>0</v>
      </c>
      <c r="M80" s="135">
        <f>IF(Scharniere[[#This Row],[Bohrbild]]=select!$O$334,1,0)</f>
        <v>0</v>
      </c>
      <c r="N80" s="135">
        <f>IF(IF(Scharniere[[#This Row],[Anschrauben]]=1,1,IF(Scharniere[[#This Row],[Einpressen]]=1,2,IF(Scharniere[[#This Row],[Quick]]=1,3,IF(Scharniere[[#This Row],[Werkzeuglos]]=1,4,0))))=select!$E$362,1,0)</f>
        <v>0</v>
      </c>
      <c r="O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" s="298">
        <f>IF(AND(Scharniere[[#This Row],[Scharnierart]]=3,Scharniere[[#This Row],[Gruppenschlüssel]]=select!$A$747)=TRUE,1,0)</f>
        <v>0</v>
      </c>
      <c r="Q80" s="298">
        <f ca="1">IF(select!$O$945&lt;6,1,0)</f>
        <v>1</v>
      </c>
      <c r="R80" s="298">
        <f>IF(select!$A$778=IF(Scharniere[[#This Row],[mit Dämpfung]]=1,1,IF(Scharniere[[#This Row],[ohne Dämpfung]]=1,2,IF(Scharniere[[#This Row],[ohne Feder]]=1,3,0))),1,0)</f>
        <v>0</v>
      </c>
      <c r="S80" s="298">
        <f>IF(Scharniere[[#This Row],[Bohrbild]]=select!$A$755,1,0)</f>
        <v>0</v>
      </c>
      <c r="T80" s="298">
        <f>IF(IF(Scharniere[[#This Row],[Anschrauben]]=1,1,IF(Scharniere[[#This Row],[Einpressen]]=1,2,IF(Scharniere[[#This Row],[Quick]]=1,3,IF(Scharniere[[#This Row],[Werkzeuglos]]=1,4,0))))=select!$A$769,1,0)</f>
        <v>0</v>
      </c>
      <c r="U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" s="359">
        <f>IF(AND(Scharniere[[#This Row],[Scharnierart]]=4,Scharniere[[#This Row],[Gruppenschlüssel]]=select!$A$981)=TRUE,1,0)</f>
        <v>0</v>
      </c>
      <c r="W80" s="359">
        <f ca="1">IF(select!$O$1185&lt;6,1,0)</f>
        <v>1</v>
      </c>
      <c r="X80" s="359">
        <f>IF(select!$A$1012=IF(Scharniere[[#This Row],[mit Dämpfung]]=1,1,IF(Scharniere[[#This Row],[ohne Dämpfung]]=1,2,IF(Scharniere[[#This Row],[ohne Feder]]=1,3,0))),1,0)</f>
        <v>0</v>
      </c>
      <c r="Y80" s="359">
        <f>IF(Scharniere[[#This Row],[Bohrbild]]=select!$A$989,1,0)</f>
        <v>0</v>
      </c>
      <c r="Z80" s="359">
        <f>IF(IF(Scharniere[[#This Row],[Anschrauben]]=1,1,IF(Scharniere[[#This Row],[Einpressen]]=1,2,IF(Scharniere[[#This Row],[Quick]]=1,3,IF(Scharniere[[#This Row],[Werkzeuglos]]=1,4,0))))=select!$A$1003,1,0)</f>
        <v>0</v>
      </c>
      <c r="AA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" s="359">
        <f ca="1">IF(select!$K$980="*",Scharniere[[#This Row],[AG Ges2]],Scharniere[[#This Row],[AG Ges1]])</f>
        <v>0</v>
      </c>
      <c r="AE80" s="451">
        <f ca="1">IF(AND(Scharniere[[#This Row],[Scharnierart]]=select!$A$1485,Scharniere[[#This Row],[Gruppenschlüssel]]=select!$B$1485)=TRUE,1,0)</f>
        <v>1</v>
      </c>
      <c r="AF80" s="451">
        <f ca="1">IF(AND(Scharniere[[#This Row],[Scharnierart]]=select!$A$1486,Scharniere[[#This Row],[Gruppenschlüssel]]=select!$B$1486)=TRUE,1,0)</f>
        <v>0</v>
      </c>
      <c r="AG80" s="451">
        <f ca="1">IF(AND(Scharniere[[#This Row],[Scharnierart]]=select!$A$1487,Scharniere[[#This Row],[Gruppenschlüssel]]=select!$B$1487)=TRUE,1,0)</f>
        <v>0</v>
      </c>
      <c r="AH80" s="451">
        <f ca="1">IF(AND(Scharniere[[#This Row],[Scharnierart]]=select!$A$1488,Scharniere[[#This Row],[Gruppenschlüssel]]=select!$B$1488)=TRUE,1,0)</f>
        <v>0</v>
      </c>
      <c r="AI80" s="451">
        <f ca="1">IF(SUM(Scharniere[[#This Row],[konf Scharnier 1]:[konf Scharnier 4]])&gt;0,1,0)</f>
        <v>1</v>
      </c>
      <c r="AJ80" s="451"/>
      <c r="AK80" s="451"/>
      <c r="AL80" s="451"/>
      <c r="AM80" s="451"/>
      <c r="AN80" s="451"/>
      <c r="AO80" s="146">
        <v>1</v>
      </c>
      <c r="AP80" s="146">
        <v>1</v>
      </c>
      <c r="AQ80" s="10" t="str">
        <f ca="1">Sprache!$A$115</f>
        <v>Tiomos Scharnier TT Impresso</v>
      </c>
      <c r="AR80" t="s">
        <v>1927</v>
      </c>
      <c r="AS80" t="str">
        <f ca="1">Sprache!$A$116</f>
        <v>Tiomos Impresso Scharniere</v>
      </c>
      <c r="AT80">
        <v>9.5</v>
      </c>
      <c r="AU80" s="10" t="s">
        <v>10</v>
      </c>
      <c r="AV80">
        <v>110</v>
      </c>
      <c r="AW80" s="10">
        <v>0</v>
      </c>
      <c r="AX80">
        <v>0</v>
      </c>
      <c r="AY80">
        <v>1</v>
      </c>
      <c r="AZ80" s="10">
        <v>0</v>
      </c>
      <c r="BA80">
        <v>0</v>
      </c>
      <c r="BB80">
        <v>0</v>
      </c>
      <c r="BC80">
        <v>1</v>
      </c>
      <c r="BD80" s="143" t="s">
        <v>211</v>
      </c>
      <c r="BG80"/>
    </row>
    <row r="81" spans="1:59" ht="14.25" customHeight="1" x14ac:dyDescent="0.25">
      <c r="A81" s="37" t="str">
        <f>LEFT(Scharniere[[#This Row],[ArtikelNR]],4)</f>
        <v>F035</v>
      </c>
      <c r="B81" s="35" t="str">
        <f>MID(Scharniere[[#This Row],[ArtikelNR]],5,3)</f>
        <v>139</v>
      </c>
      <c r="C81" s="37" t="str">
        <f>RIGHT(Scharniere[[#This Row],[ArtikelNR]],3)</f>
        <v>529</v>
      </c>
      <c r="D81" s="35">
        <f>IF(AND(Scharniere[[#This Row],[Gruppenschlüssel]]=select!$A$44,Scharniere[[#This Row],[Scharnierart]]=1)=TRUE,1,0)</f>
        <v>1</v>
      </c>
      <c r="E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1" s="35">
        <f>IF(select!$F$57=IF(Scharniere[[#This Row],[mit Dämpfung]]=1,1,IF(Scharniere[[#This Row],[ohne Dämpfung]]=1,2,IF(Scharniere[[#This Row],[ohne Feder]]=1,3,0))),1,0)</f>
        <v>1</v>
      </c>
      <c r="G81" s="35">
        <f>IF(Scharniere[[#This Row],[Bohrbild]]=select!$V$43,1,0)</f>
        <v>0</v>
      </c>
      <c r="H81" s="35">
        <f>IF(IF(Scharniere[[#This Row],[Anschrauben]]=1,1,IF(Scharniere[[#This Row],[Einpressen]]=1,2,IF(Scharniere[[#This Row],[Quick]]=1,3,IF(Scharniere[[#This Row],[Werkzeuglos]]=1,4,0))))=select!$F$48,1,0)</f>
        <v>0</v>
      </c>
      <c r="I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" s="149">
        <f>IF(AND(Scharniere[[#This Row],[Scharnierart]]=2,Scharniere[[#This Row],[Gruppenschlüssel]]=select!$A$318)=TRUE,1,0)</f>
        <v>0</v>
      </c>
      <c r="K81" s="221">
        <f ca="1">IF(select!$O$424&lt;6,1,0)</f>
        <v>1</v>
      </c>
      <c r="L81" s="139">
        <f>IF(select!$A$362=IF(Scharniere[[#This Row],[mit Dämpfung]]=1,1,IF(Scharniere[[#This Row],[ohne Dämpfung]]=1,2,IF(Scharniere[[#This Row],[ohne Feder]]=1,3,0))),1,0)</f>
        <v>0</v>
      </c>
      <c r="M81" s="135">
        <f>IF(Scharniere[[#This Row],[Bohrbild]]=select!$O$334,1,0)</f>
        <v>0</v>
      </c>
      <c r="N81" s="135">
        <f>IF(IF(Scharniere[[#This Row],[Anschrauben]]=1,1,IF(Scharniere[[#This Row],[Einpressen]]=1,2,IF(Scharniere[[#This Row],[Quick]]=1,3,IF(Scharniere[[#This Row],[Werkzeuglos]]=1,4,0))))=select!$E$362,1,0)</f>
        <v>0</v>
      </c>
      <c r="O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" s="298">
        <f>IF(AND(Scharniere[[#This Row],[Scharnierart]]=3,Scharniere[[#This Row],[Gruppenschlüssel]]=select!$A$747)=TRUE,1,0)</f>
        <v>0</v>
      </c>
      <c r="Q81" s="298">
        <f ca="1">IF(select!$O$945&lt;6,1,0)</f>
        <v>1</v>
      </c>
      <c r="R81" s="298">
        <f>IF(select!$A$778=IF(Scharniere[[#This Row],[mit Dämpfung]]=1,1,IF(Scharniere[[#This Row],[ohne Dämpfung]]=1,2,IF(Scharniere[[#This Row],[ohne Feder]]=1,3,0))),1,0)</f>
        <v>0</v>
      </c>
      <c r="S81" s="298">
        <f>IF(Scharniere[[#This Row],[Bohrbild]]=select!$A$755,1,0)</f>
        <v>0</v>
      </c>
      <c r="T81" s="298">
        <f>IF(IF(Scharniere[[#This Row],[Anschrauben]]=1,1,IF(Scharniere[[#This Row],[Einpressen]]=1,2,IF(Scharniere[[#This Row],[Quick]]=1,3,IF(Scharniere[[#This Row],[Werkzeuglos]]=1,4,0))))=select!$A$769,1,0)</f>
        <v>0</v>
      </c>
      <c r="U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" s="359">
        <f>IF(AND(Scharniere[[#This Row],[Scharnierart]]=4,Scharniere[[#This Row],[Gruppenschlüssel]]=select!$A$981)=TRUE,1,0)</f>
        <v>0</v>
      </c>
      <c r="W81" s="359">
        <f ca="1">IF(select!$O$1185&lt;6,1,0)</f>
        <v>1</v>
      </c>
      <c r="X81" s="359">
        <f>IF(select!$A$1012=IF(Scharniere[[#This Row],[mit Dämpfung]]=1,1,IF(Scharniere[[#This Row],[ohne Dämpfung]]=1,2,IF(Scharniere[[#This Row],[ohne Feder]]=1,3,0))),1,0)</f>
        <v>0</v>
      </c>
      <c r="Y81" s="359">
        <f>IF(Scharniere[[#This Row],[Bohrbild]]=select!$A$989,1,0)</f>
        <v>0</v>
      </c>
      <c r="Z81" s="359">
        <f>IF(IF(Scharniere[[#This Row],[Anschrauben]]=1,1,IF(Scharniere[[#This Row],[Einpressen]]=1,2,IF(Scharniere[[#This Row],[Quick]]=1,3,IF(Scharniere[[#This Row],[Werkzeuglos]]=1,4,0))))=select!$A$1003,1,0)</f>
        <v>0</v>
      </c>
      <c r="AA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" s="359">
        <f ca="1">IF(select!$K$980="*",Scharniere[[#This Row],[AG Ges2]],Scharniere[[#This Row],[AG Ges1]])</f>
        <v>0</v>
      </c>
      <c r="AE81" s="451">
        <f ca="1">IF(AND(Scharniere[[#This Row],[Scharnierart]]=select!$A$1485,Scharniere[[#This Row],[Gruppenschlüssel]]=select!$B$1485)=TRUE,1,0)</f>
        <v>1</v>
      </c>
      <c r="AF81" s="451">
        <f ca="1">IF(AND(Scharniere[[#This Row],[Scharnierart]]=select!$A$1486,Scharniere[[#This Row],[Gruppenschlüssel]]=select!$B$1486)=TRUE,1,0)</f>
        <v>0</v>
      </c>
      <c r="AG81" s="451">
        <f ca="1">IF(AND(Scharniere[[#This Row],[Scharnierart]]=select!$A$1487,Scharniere[[#This Row],[Gruppenschlüssel]]=select!$B$1487)=TRUE,1,0)</f>
        <v>0</v>
      </c>
      <c r="AH81" s="451">
        <f ca="1">IF(AND(Scharniere[[#This Row],[Scharnierart]]=select!$A$1488,Scharniere[[#This Row],[Gruppenschlüssel]]=select!$B$1488)=TRUE,1,0)</f>
        <v>0</v>
      </c>
      <c r="AI81" s="451">
        <f ca="1">IF(SUM(Scharniere[[#This Row],[konf Scharnier 1]:[konf Scharnier 4]])&gt;0,1,0)</f>
        <v>1</v>
      </c>
      <c r="AJ81" s="451"/>
      <c r="AK81" s="451"/>
      <c r="AL81" s="451"/>
      <c r="AM81" s="451"/>
      <c r="AN81" s="451"/>
      <c r="AO81" s="146">
        <v>1</v>
      </c>
      <c r="AP81" s="146">
        <v>1</v>
      </c>
      <c r="AQ81" s="10" t="str">
        <f ca="1">Sprache!$A$115</f>
        <v>Tiomos Scharnier TT Impresso</v>
      </c>
      <c r="AR81" t="s">
        <v>1927</v>
      </c>
      <c r="AS81" t="str">
        <f ca="1">Sprache!$A$116</f>
        <v>Tiomos Impresso Scharniere</v>
      </c>
      <c r="AT81">
        <v>9.5</v>
      </c>
      <c r="AU81" s="10" t="s">
        <v>11</v>
      </c>
      <c r="AV81">
        <v>110</v>
      </c>
      <c r="AW81" s="10">
        <v>0</v>
      </c>
      <c r="AX81">
        <v>0</v>
      </c>
      <c r="AY81">
        <v>1</v>
      </c>
      <c r="AZ81" s="10">
        <v>0</v>
      </c>
      <c r="BA81">
        <v>0</v>
      </c>
      <c r="BB81">
        <v>0</v>
      </c>
      <c r="BC81">
        <v>1</v>
      </c>
      <c r="BD81" s="143" t="s">
        <v>211</v>
      </c>
      <c r="BG81"/>
    </row>
    <row r="82" spans="1:59" ht="14.25" customHeight="1" x14ac:dyDescent="0.25">
      <c r="A82" s="37" t="str">
        <f>LEFT(Scharniere[[#This Row],[ArtikelNR]],4)</f>
        <v>F045</v>
      </c>
      <c r="B82" s="35" t="str">
        <f>MID(Scharniere[[#This Row],[ArtikelNR]],5,3)</f>
        <v>138</v>
      </c>
      <c r="C82" s="37" t="str">
        <f>RIGHT(Scharniere[[#This Row],[ArtikelNR]],3)</f>
        <v>006</v>
      </c>
      <c r="D82" s="35">
        <f>IF(AND(Scharniere[[#This Row],[Gruppenschlüssel]]=select!$A$44,Scharniere[[#This Row],[Scharnierart]]=1)=TRUE,1,0)</f>
        <v>1</v>
      </c>
      <c r="E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2" s="35">
        <f>IF(select!$F$57=IF(Scharniere[[#This Row],[mit Dämpfung]]=1,1,IF(Scharniere[[#This Row],[ohne Dämpfung]]=1,2,IF(Scharniere[[#This Row],[ohne Feder]]=1,3,0))),1,0)</f>
        <v>0</v>
      </c>
      <c r="G82" s="35">
        <f>IF(Scharniere[[#This Row],[Bohrbild]]=select!$V$43,1,0)</f>
        <v>1</v>
      </c>
      <c r="H82" s="35">
        <f>IF(IF(Scharniere[[#This Row],[Anschrauben]]=1,1,IF(Scharniere[[#This Row],[Einpressen]]=1,2,IF(Scharniere[[#This Row],[Quick]]=1,3,IF(Scharniere[[#This Row],[Werkzeuglos]]=1,4,0))))=select!$F$48,1,0)</f>
        <v>1</v>
      </c>
      <c r="I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" s="149">
        <f>IF(AND(Scharniere[[#This Row],[Scharnierart]]=2,Scharniere[[#This Row],[Gruppenschlüssel]]=select!$A$318)=TRUE,1,0)</f>
        <v>0</v>
      </c>
      <c r="K82" s="221">
        <f ca="1">IF(select!$O$424&lt;6,1,0)</f>
        <v>1</v>
      </c>
      <c r="L82" s="139">
        <f>IF(select!$A$362=IF(Scharniere[[#This Row],[mit Dämpfung]]=1,1,IF(Scharniere[[#This Row],[ohne Dämpfung]]=1,2,IF(Scharniere[[#This Row],[ohne Feder]]=1,3,0))),1,0)</f>
        <v>0</v>
      </c>
      <c r="M82" s="135">
        <f>IF(Scharniere[[#This Row],[Bohrbild]]=select!$O$334,1,0)</f>
        <v>1</v>
      </c>
      <c r="N82" s="135">
        <f>IF(IF(Scharniere[[#This Row],[Anschrauben]]=1,1,IF(Scharniere[[#This Row],[Einpressen]]=1,2,IF(Scharniere[[#This Row],[Quick]]=1,3,IF(Scharniere[[#This Row],[Werkzeuglos]]=1,4,0))))=select!$E$362,1,0)</f>
        <v>0</v>
      </c>
      <c r="O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" s="298">
        <f>IF(AND(Scharniere[[#This Row],[Scharnierart]]=3,Scharniere[[#This Row],[Gruppenschlüssel]]=select!$A$747)=TRUE,1,0)</f>
        <v>0</v>
      </c>
      <c r="Q82" s="298">
        <f ca="1">IF(select!$O$945&lt;6,1,0)</f>
        <v>1</v>
      </c>
      <c r="R82" s="298">
        <f>IF(select!$A$778=IF(Scharniere[[#This Row],[mit Dämpfung]]=1,1,IF(Scharniere[[#This Row],[ohne Dämpfung]]=1,2,IF(Scharniere[[#This Row],[ohne Feder]]=1,3,0))),1,0)</f>
        <v>1</v>
      </c>
      <c r="S82" s="298">
        <f>IF(Scharniere[[#This Row],[Bohrbild]]=select!$A$755,1,0)</f>
        <v>0</v>
      </c>
      <c r="T82" s="298">
        <f>IF(IF(Scharniere[[#This Row],[Anschrauben]]=1,1,IF(Scharniere[[#This Row],[Einpressen]]=1,2,IF(Scharniere[[#This Row],[Quick]]=1,3,IF(Scharniere[[#This Row],[Werkzeuglos]]=1,4,0))))=select!$A$769,1,0)</f>
        <v>0</v>
      </c>
      <c r="U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" s="359">
        <f>IF(AND(Scharniere[[#This Row],[Scharnierart]]=4,Scharniere[[#This Row],[Gruppenschlüssel]]=select!$A$981)=TRUE,1,0)</f>
        <v>0</v>
      </c>
      <c r="W82" s="359">
        <f ca="1">IF(select!$O$1185&lt;6,1,0)</f>
        <v>1</v>
      </c>
      <c r="X82" s="359">
        <f>IF(select!$A$1012=IF(Scharniere[[#This Row],[mit Dämpfung]]=1,1,IF(Scharniere[[#This Row],[ohne Dämpfung]]=1,2,IF(Scharniere[[#This Row],[ohne Feder]]=1,3,0))),1,0)</f>
        <v>1</v>
      </c>
      <c r="Y82" s="359">
        <f>IF(Scharniere[[#This Row],[Bohrbild]]=select!$A$989,1,0)</f>
        <v>0</v>
      </c>
      <c r="Z82" s="359">
        <f>IF(IF(Scharniere[[#This Row],[Anschrauben]]=1,1,IF(Scharniere[[#This Row],[Einpressen]]=1,2,IF(Scharniere[[#This Row],[Quick]]=1,3,IF(Scharniere[[#This Row],[Werkzeuglos]]=1,4,0))))=select!$A$1003,1,0)</f>
        <v>0</v>
      </c>
      <c r="AA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" s="359">
        <f ca="1">IF(select!$K$980="*",Scharniere[[#This Row],[AG Ges2]],Scharniere[[#This Row],[AG Ges1]])</f>
        <v>0</v>
      </c>
      <c r="AE82" s="451">
        <f ca="1">IF(AND(Scharniere[[#This Row],[Scharnierart]]=select!$A$1485,Scharniere[[#This Row],[Gruppenschlüssel]]=select!$B$1485)=TRUE,1,0)</f>
        <v>1</v>
      </c>
      <c r="AF82" s="451">
        <f ca="1">IF(AND(Scharniere[[#This Row],[Scharnierart]]=select!$A$1486,Scharniere[[#This Row],[Gruppenschlüssel]]=select!$B$1486)=TRUE,1,0)</f>
        <v>0</v>
      </c>
      <c r="AG82" s="451">
        <f ca="1">IF(AND(Scharniere[[#This Row],[Scharnierart]]=select!$A$1487,Scharniere[[#This Row],[Gruppenschlüssel]]=select!$B$1487)=TRUE,1,0)</f>
        <v>0</v>
      </c>
      <c r="AH82" s="451">
        <f ca="1">IF(AND(Scharniere[[#This Row],[Scharnierart]]=select!$A$1488,Scharniere[[#This Row],[Gruppenschlüssel]]=select!$B$1488)=TRUE,1,0)</f>
        <v>0</v>
      </c>
      <c r="AI82" s="451">
        <f ca="1">IF(SUM(Scharniere[[#This Row],[konf Scharnier 1]:[konf Scharnier 4]])&gt;0,1,0)</f>
        <v>1</v>
      </c>
      <c r="AJ82" s="451"/>
      <c r="AK82" s="451"/>
      <c r="AL82" s="451"/>
      <c r="AM82" s="451"/>
      <c r="AN82" s="451"/>
      <c r="AO82" s="146">
        <v>1</v>
      </c>
      <c r="AP82" s="146">
        <v>1</v>
      </c>
      <c r="AQ82" s="10" t="str">
        <f ca="1">Sprache!$A$110</f>
        <v>Tiomos Scharnier T Click-on</v>
      </c>
      <c r="AR82" t="str">
        <f ca="1">"110°, M-BB, K9.5, "&amp;Sprache!A181&amp;", ni"</f>
        <v>110°, M-BB, K9.5, Dübel, ni</v>
      </c>
      <c r="AS82" t="str">
        <f ca="1">Sprache!$A$103</f>
        <v>Tiomos Click-On Scharniere</v>
      </c>
      <c r="AT82">
        <v>9.5</v>
      </c>
      <c r="AU82" t="s">
        <v>8</v>
      </c>
      <c r="AV82">
        <v>110</v>
      </c>
      <c r="AW82" s="10">
        <v>0</v>
      </c>
      <c r="AX82">
        <v>1</v>
      </c>
      <c r="AY82">
        <v>0</v>
      </c>
      <c r="AZ82" s="10">
        <v>0</v>
      </c>
      <c r="BA82">
        <v>1</v>
      </c>
      <c r="BB82">
        <v>0</v>
      </c>
      <c r="BC82">
        <v>0</v>
      </c>
      <c r="BD82" s="143" t="s">
        <v>435</v>
      </c>
      <c r="BG82"/>
    </row>
    <row r="83" spans="1:59" ht="14.25" customHeight="1" x14ac:dyDescent="0.25">
      <c r="A83" s="37" t="str">
        <f>LEFT(Scharniere[[#This Row],[ArtikelNR]],4)</f>
        <v>F028</v>
      </c>
      <c r="B83" s="35" t="str">
        <f>MID(Scharniere[[#This Row],[ArtikelNR]],5,3)</f>
        <v>138</v>
      </c>
      <c r="C83" s="37" t="str">
        <f>RIGHT(Scharniere[[#This Row],[ArtikelNR]],3)</f>
        <v>099</v>
      </c>
      <c r="D83" s="35">
        <f>IF(AND(Scharniere[[#This Row],[Gruppenschlüssel]]=select!$A$44,Scharniere[[#This Row],[Scharnierart]]=1)=TRUE,1,0)</f>
        <v>1</v>
      </c>
      <c r="E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3" s="35">
        <f>IF(select!$F$57=IF(Scharniere[[#This Row],[mit Dämpfung]]=1,1,IF(Scharniere[[#This Row],[ohne Dämpfung]]=1,2,IF(Scharniere[[#This Row],[ohne Feder]]=1,3,0))),1,0)</f>
        <v>0</v>
      </c>
      <c r="G83" s="35">
        <f>IF(Scharniere[[#This Row],[Bohrbild]]=select!$V$43,1,0)</f>
        <v>1</v>
      </c>
      <c r="H83" s="35">
        <f>IF(IF(Scharniere[[#This Row],[Anschrauben]]=1,1,IF(Scharniere[[#This Row],[Einpressen]]=1,2,IF(Scharniere[[#This Row],[Quick]]=1,3,IF(Scharniere[[#This Row],[Werkzeuglos]]=1,4,0))))=select!$F$48,1,0)</f>
        <v>1</v>
      </c>
      <c r="I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" s="149">
        <f>IF(AND(Scharniere[[#This Row],[Scharnierart]]=2,Scharniere[[#This Row],[Gruppenschlüssel]]=select!$A$318)=TRUE,1,0)</f>
        <v>0</v>
      </c>
      <c r="K83" s="221">
        <f ca="1">IF(select!$O$424&lt;6,1,0)</f>
        <v>1</v>
      </c>
      <c r="L83" s="139">
        <f>IF(select!$A$362=IF(Scharniere[[#This Row],[mit Dämpfung]]=1,1,IF(Scharniere[[#This Row],[ohne Dämpfung]]=1,2,IF(Scharniere[[#This Row],[ohne Feder]]=1,3,0))),1,0)</f>
        <v>1</v>
      </c>
      <c r="M83" s="135">
        <f>IF(Scharniere[[#This Row],[Bohrbild]]=select!$O$334,1,0)</f>
        <v>1</v>
      </c>
      <c r="N83" s="135">
        <f>IF(IF(Scharniere[[#This Row],[Anschrauben]]=1,1,IF(Scharniere[[#This Row],[Einpressen]]=1,2,IF(Scharniere[[#This Row],[Quick]]=1,3,IF(Scharniere[[#This Row],[Werkzeuglos]]=1,4,0))))=select!$E$362,1,0)</f>
        <v>0</v>
      </c>
      <c r="O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" s="298">
        <f>IF(AND(Scharniere[[#This Row],[Scharnierart]]=3,Scharniere[[#This Row],[Gruppenschlüssel]]=select!$A$747)=TRUE,1,0)</f>
        <v>0</v>
      </c>
      <c r="Q83" s="298">
        <f ca="1">IF(select!$O$945&lt;6,1,0)</f>
        <v>1</v>
      </c>
      <c r="R83" s="298">
        <f>IF(select!$A$778=IF(Scharniere[[#This Row],[mit Dämpfung]]=1,1,IF(Scharniere[[#This Row],[ohne Dämpfung]]=1,2,IF(Scharniere[[#This Row],[ohne Feder]]=1,3,0))),1,0)</f>
        <v>0</v>
      </c>
      <c r="S83" s="298">
        <f>IF(Scharniere[[#This Row],[Bohrbild]]=select!$A$755,1,0)</f>
        <v>0</v>
      </c>
      <c r="T83" s="298">
        <f>IF(IF(Scharniere[[#This Row],[Anschrauben]]=1,1,IF(Scharniere[[#This Row],[Einpressen]]=1,2,IF(Scharniere[[#This Row],[Quick]]=1,3,IF(Scharniere[[#This Row],[Werkzeuglos]]=1,4,0))))=select!$A$769,1,0)</f>
        <v>0</v>
      </c>
      <c r="U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" s="359">
        <f>IF(AND(Scharniere[[#This Row],[Scharnierart]]=4,Scharniere[[#This Row],[Gruppenschlüssel]]=select!$A$981)=TRUE,1,0)</f>
        <v>0</v>
      </c>
      <c r="W83" s="359">
        <f ca="1">IF(select!$O$1185&lt;6,1,0)</f>
        <v>1</v>
      </c>
      <c r="X83" s="359">
        <f>IF(select!$A$1012=IF(Scharniere[[#This Row],[mit Dämpfung]]=1,1,IF(Scharniere[[#This Row],[ohne Dämpfung]]=1,2,IF(Scharniere[[#This Row],[ohne Feder]]=1,3,0))),1,0)</f>
        <v>0</v>
      </c>
      <c r="Y83" s="359">
        <f>IF(Scharniere[[#This Row],[Bohrbild]]=select!$A$989,1,0)</f>
        <v>0</v>
      </c>
      <c r="Z83" s="359">
        <f>IF(IF(Scharniere[[#This Row],[Anschrauben]]=1,1,IF(Scharniere[[#This Row],[Einpressen]]=1,2,IF(Scharniere[[#This Row],[Quick]]=1,3,IF(Scharniere[[#This Row],[Werkzeuglos]]=1,4,0))))=select!$A$1003,1,0)</f>
        <v>0</v>
      </c>
      <c r="AA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" s="359">
        <f ca="1">IF(select!$K$980="*",Scharniere[[#This Row],[AG Ges2]],Scharniere[[#This Row],[AG Ges1]])</f>
        <v>0</v>
      </c>
      <c r="AE83" s="451">
        <f ca="1">IF(AND(Scharniere[[#This Row],[Scharnierart]]=select!$A$1485,Scharniere[[#This Row],[Gruppenschlüssel]]=select!$B$1485)=TRUE,1,0)</f>
        <v>1</v>
      </c>
      <c r="AF83" s="451">
        <f ca="1">IF(AND(Scharniere[[#This Row],[Scharnierart]]=select!$A$1486,Scharniere[[#This Row],[Gruppenschlüssel]]=select!$B$1486)=TRUE,1,0)</f>
        <v>0</v>
      </c>
      <c r="AG83" s="451">
        <f ca="1">IF(AND(Scharniere[[#This Row],[Scharnierart]]=select!$A$1487,Scharniere[[#This Row],[Gruppenschlüssel]]=select!$B$1487)=TRUE,1,0)</f>
        <v>0</v>
      </c>
      <c r="AH83" s="451">
        <f ca="1">IF(AND(Scharniere[[#This Row],[Scharnierart]]=select!$A$1488,Scharniere[[#This Row],[Gruppenschlüssel]]=select!$B$1488)=TRUE,1,0)</f>
        <v>0</v>
      </c>
      <c r="AI83" s="451">
        <f ca="1">IF(SUM(Scharniere[[#This Row],[konf Scharnier 1]:[konf Scharnier 4]])&gt;0,1,0)</f>
        <v>1</v>
      </c>
      <c r="AJ83" s="451"/>
      <c r="AK83" s="451"/>
      <c r="AL83" s="451"/>
      <c r="AM83" s="451"/>
      <c r="AN83" s="451"/>
      <c r="AO83" s="146">
        <v>1</v>
      </c>
      <c r="AP83" s="146">
        <v>1</v>
      </c>
      <c r="AQ83" s="10" t="str">
        <f ca="1">Sprache!$A$112</f>
        <v>Tiomos Scharnier TS Click-on</v>
      </c>
      <c r="AR83" t="str">
        <f ca="1">"110°, M-BB, K9.5, "&amp;Sprache!A181&amp;", ni"</f>
        <v>110°, M-BB, K9.5, Dübel, ni</v>
      </c>
      <c r="AS83" t="str">
        <f ca="1">Sprache!$A$103</f>
        <v>Tiomos Click-On Scharniere</v>
      </c>
      <c r="AT83">
        <v>9.5</v>
      </c>
      <c r="AU83" s="34" t="s">
        <v>8</v>
      </c>
      <c r="AV83">
        <v>110</v>
      </c>
      <c r="AW83" s="10">
        <v>1</v>
      </c>
      <c r="AX83">
        <v>0</v>
      </c>
      <c r="AY83">
        <v>0</v>
      </c>
      <c r="AZ83" s="10">
        <v>0</v>
      </c>
      <c r="BA83">
        <v>1</v>
      </c>
      <c r="BB83">
        <v>0</v>
      </c>
      <c r="BC83">
        <v>0</v>
      </c>
      <c r="BD83" s="143" t="s">
        <v>235</v>
      </c>
      <c r="BG83"/>
    </row>
    <row r="84" spans="1:59" ht="14.25" customHeight="1" x14ac:dyDescent="0.25">
      <c r="A84" s="37" t="str">
        <f>LEFT(Scharniere[[#This Row],[ArtikelNR]],4)</f>
        <v>F046</v>
      </c>
      <c r="B84" s="35" t="str">
        <f>MID(Scharniere[[#This Row],[ArtikelNR]],5,3)</f>
        <v>138</v>
      </c>
      <c r="C84" s="37" t="str">
        <f>RIGHT(Scharniere[[#This Row],[ArtikelNR]],3)</f>
        <v>190</v>
      </c>
      <c r="D84" s="35">
        <f>IF(AND(Scharniere[[#This Row],[Gruppenschlüssel]]=select!$A$44,Scharniere[[#This Row],[Scharnierart]]=1)=TRUE,1,0)</f>
        <v>1</v>
      </c>
      <c r="E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4" s="35">
        <f>IF(select!$F$57=IF(Scharniere[[#This Row],[mit Dämpfung]]=1,1,IF(Scharniere[[#This Row],[ohne Dämpfung]]=1,2,IF(Scharniere[[#This Row],[ohne Feder]]=1,3,0))),1,0)</f>
        <v>1</v>
      </c>
      <c r="G84" s="35">
        <f>IF(Scharniere[[#This Row],[Bohrbild]]=select!$V$43,1,0)</f>
        <v>1</v>
      </c>
      <c r="H84" s="35">
        <f>IF(IF(Scharniere[[#This Row],[Anschrauben]]=1,1,IF(Scharniere[[#This Row],[Einpressen]]=1,2,IF(Scharniere[[#This Row],[Quick]]=1,3,IF(Scharniere[[#This Row],[Werkzeuglos]]=1,4,0))))=select!$F$48,1,0)</f>
        <v>1</v>
      </c>
      <c r="I84" s="35">
        <f ca="1">IF(Scharniere[[#This Row],[Winkel_sel]]+Scharniere[[#This Row],[Kröpfung_sel]]+Scharniere[[#This Row],[Däpfung_sel]]+Scharniere[[#This Row],[Bohrbild_sel]]+Scharniere[[#This Row],[Scharnierbefestigung]]=5,1,0)</f>
        <v>1</v>
      </c>
      <c r="J84" s="149">
        <f>IF(AND(Scharniere[[#This Row],[Scharnierart]]=2,Scharniere[[#This Row],[Gruppenschlüssel]]=select!$A$318)=TRUE,1,0)</f>
        <v>0</v>
      </c>
      <c r="K84" s="221">
        <f ca="1">IF(select!$O$424&lt;6,1,0)</f>
        <v>1</v>
      </c>
      <c r="L84" s="139">
        <f>IF(select!$A$362=IF(Scharniere[[#This Row],[mit Dämpfung]]=1,1,IF(Scharniere[[#This Row],[ohne Dämpfung]]=1,2,IF(Scharniere[[#This Row],[ohne Feder]]=1,3,0))),1,0)</f>
        <v>0</v>
      </c>
      <c r="M84" s="135">
        <f>IF(Scharniere[[#This Row],[Bohrbild]]=select!$O$334,1,0)</f>
        <v>1</v>
      </c>
      <c r="N84" s="135">
        <f>IF(IF(Scharniere[[#This Row],[Anschrauben]]=1,1,IF(Scharniere[[#This Row],[Einpressen]]=1,2,IF(Scharniere[[#This Row],[Quick]]=1,3,IF(Scharniere[[#This Row],[Werkzeuglos]]=1,4,0))))=select!$E$362,1,0)</f>
        <v>0</v>
      </c>
      <c r="O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" s="298">
        <f>IF(AND(Scharniere[[#This Row],[Scharnierart]]=3,Scharniere[[#This Row],[Gruppenschlüssel]]=select!$A$747)=TRUE,1,0)</f>
        <v>0</v>
      </c>
      <c r="Q84" s="298">
        <f ca="1">IF(select!$O$945&lt;6,1,0)</f>
        <v>1</v>
      </c>
      <c r="R84" s="298">
        <f>IF(select!$A$778=IF(Scharniere[[#This Row],[mit Dämpfung]]=1,1,IF(Scharniere[[#This Row],[ohne Dämpfung]]=1,2,IF(Scharniere[[#This Row],[ohne Feder]]=1,3,0))),1,0)</f>
        <v>0</v>
      </c>
      <c r="S84" s="298">
        <f>IF(Scharniere[[#This Row],[Bohrbild]]=select!$A$755,1,0)</f>
        <v>0</v>
      </c>
      <c r="T84" s="298">
        <f>IF(IF(Scharniere[[#This Row],[Anschrauben]]=1,1,IF(Scharniere[[#This Row],[Einpressen]]=1,2,IF(Scharniere[[#This Row],[Quick]]=1,3,IF(Scharniere[[#This Row],[Werkzeuglos]]=1,4,0))))=select!$A$769,1,0)</f>
        <v>0</v>
      </c>
      <c r="U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" s="359">
        <f>IF(AND(Scharniere[[#This Row],[Scharnierart]]=4,Scharniere[[#This Row],[Gruppenschlüssel]]=select!$A$981)=TRUE,1,0)</f>
        <v>0</v>
      </c>
      <c r="W84" s="359">
        <f ca="1">IF(select!$O$1185&lt;6,1,0)</f>
        <v>1</v>
      </c>
      <c r="X84" s="359">
        <f>IF(select!$A$1012=IF(Scharniere[[#This Row],[mit Dämpfung]]=1,1,IF(Scharniere[[#This Row],[ohne Dämpfung]]=1,2,IF(Scharniere[[#This Row],[ohne Feder]]=1,3,0))),1,0)</f>
        <v>0</v>
      </c>
      <c r="Y84" s="359">
        <f>IF(Scharniere[[#This Row],[Bohrbild]]=select!$A$989,1,0)</f>
        <v>0</v>
      </c>
      <c r="Z84" s="359">
        <f>IF(IF(Scharniere[[#This Row],[Anschrauben]]=1,1,IF(Scharniere[[#This Row],[Einpressen]]=1,2,IF(Scharniere[[#This Row],[Quick]]=1,3,IF(Scharniere[[#This Row],[Werkzeuglos]]=1,4,0))))=select!$A$1003,1,0)</f>
        <v>0</v>
      </c>
      <c r="AA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" s="359">
        <f ca="1">IF(select!$K$980="*",Scharniere[[#This Row],[AG Ges2]],Scharniere[[#This Row],[AG Ges1]])</f>
        <v>0</v>
      </c>
      <c r="AE84" s="451">
        <f ca="1">IF(AND(Scharniere[[#This Row],[Scharnierart]]=select!$A$1485,Scharniere[[#This Row],[Gruppenschlüssel]]=select!$B$1485)=TRUE,1,0)</f>
        <v>1</v>
      </c>
      <c r="AF84" s="451">
        <f ca="1">IF(AND(Scharniere[[#This Row],[Scharnierart]]=select!$A$1486,Scharniere[[#This Row],[Gruppenschlüssel]]=select!$B$1486)=TRUE,1,0)</f>
        <v>0</v>
      </c>
      <c r="AG84" s="451">
        <f ca="1">IF(AND(Scharniere[[#This Row],[Scharnierart]]=select!$A$1487,Scharniere[[#This Row],[Gruppenschlüssel]]=select!$B$1487)=TRUE,1,0)</f>
        <v>0</v>
      </c>
      <c r="AH84" s="451">
        <f ca="1">IF(AND(Scharniere[[#This Row],[Scharnierart]]=select!$A$1488,Scharniere[[#This Row],[Gruppenschlüssel]]=select!$B$1488)=TRUE,1,0)</f>
        <v>0</v>
      </c>
      <c r="AI84" s="451">
        <f ca="1">IF(SUM(Scharniere[[#This Row],[konf Scharnier 1]:[konf Scharnier 4]])&gt;0,1,0)</f>
        <v>1</v>
      </c>
      <c r="AJ84" s="451"/>
      <c r="AK84" s="451"/>
      <c r="AL84" s="451"/>
      <c r="AM84" s="451"/>
      <c r="AN84" s="451"/>
      <c r="AO84" s="146">
        <v>1</v>
      </c>
      <c r="AP84" s="146">
        <v>1</v>
      </c>
      <c r="AQ84" s="10" t="str">
        <f ca="1">Sprache!$A$114</f>
        <v>Tiomos Scharnier TT Click-on</v>
      </c>
      <c r="AR84" t="str">
        <f ca="1">"110°, M-BB, K9.5, "&amp;Sprache!A181&amp;", ni"</f>
        <v>110°, M-BB, K9.5, Dübel, ni</v>
      </c>
      <c r="AS84" t="str">
        <f ca="1">Sprache!$A$103</f>
        <v>Tiomos Click-On Scharniere</v>
      </c>
      <c r="AT84">
        <v>9.5</v>
      </c>
      <c r="AU84" s="34" t="s">
        <v>8</v>
      </c>
      <c r="AV84">
        <v>110</v>
      </c>
      <c r="AW84" s="10">
        <v>0</v>
      </c>
      <c r="AX84">
        <v>0</v>
      </c>
      <c r="AY84">
        <v>1</v>
      </c>
      <c r="AZ84" s="10">
        <v>0</v>
      </c>
      <c r="BA84">
        <v>1</v>
      </c>
      <c r="BB84">
        <v>0</v>
      </c>
      <c r="BC84">
        <v>0</v>
      </c>
      <c r="BD84" s="143" t="s">
        <v>587</v>
      </c>
      <c r="BG84"/>
    </row>
    <row r="85" spans="1:59" ht="14.25" customHeight="1" x14ac:dyDescent="0.25">
      <c r="A85" s="37" t="str">
        <f>LEFT(Scharniere[[#This Row],[ArtikelNR]],4)</f>
        <v>F045</v>
      </c>
      <c r="B85" s="35" t="str">
        <f>MID(Scharniere[[#This Row],[ArtikelNR]],5,3)</f>
        <v>138</v>
      </c>
      <c r="C85" s="37" t="str">
        <f>RIGHT(Scharniere[[#This Row],[ArtikelNR]],3)</f>
        <v>002</v>
      </c>
      <c r="D85" s="35">
        <f>IF(AND(Scharniere[[#This Row],[Gruppenschlüssel]]=select!$A$44,Scharniere[[#This Row],[Scharnierart]]=1)=TRUE,1,0)</f>
        <v>1</v>
      </c>
      <c r="E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5" s="35">
        <f>IF(select!$F$57=IF(Scharniere[[#This Row],[mit Dämpfung]]=1,1,IF(Scharniere[[#This Row],[ohne Dämpfung]]=1,2,IF(Scharniere[[#This Row],[ohne Feder]]=1,3,0))),1,0)</f>
        <v>0</v>
      </c>
      <c r="G85" s="35">
        <f>IF(Scharniere[[#This Row],[Bohrbild]]=select!$V$43,1,0)</f>
        <v>1</v>
      </c>
      <c r="H85" s="35">
        <f>IF(IF(Scharniere[[#This Row],[Anschrauben]]=1,1,IF(Scharniere[[#This Row],[Einpressen]]=1,2,IF(Scharniere[[#This Row],[Quick]]=1,3,IF(Scharniere[[#This Row],[Werkzeuglos]]=1,4,0))))=select!$F$48,1,0)</f>
        <v>0</v>
      </c>
      <c r="I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" s="149">
        <f>IF(AND(Scharniere[[#This Row],[Scharnierart]]=2,Scharniere[[#This Row],[Gruppenschlüssel]]=select!$A$318)=TRUE,1,0)</f>
        <v>0</v>
      </c>
      <c r="K85" s="221">
        <f ca="1">IF(select!$O$424&lt;6,1,0)</f>
        <v>1</v>
      </c>
      <c r="L85" s="139">
        <f>IF(select!$A$362=IF(Scharniere[[#This Row],[mit Dämpfung]]=1,1,IF(Scharniere[[#This Row],[ohne Dämpfung]]=1,2,IF(Scharniere[[#This Row],[ohne Feder]]=1,3,0))),1,0)</f>
        <v>0</v>
      </c>
      <c r="M85" s="135">
        <f>IF(Scharniere[[#This Row],[Bohrbild]]=select!$O$334,1,0)</f>
        <v>1</v>
      </c>
      <c r="N85" s="135">
        <f>IF(IF(Scharniere[[#This Row],[Anschrauben]]=1,1,IF(Scharniere[[#This Row],[Einpressen]]=1,2,IF(Scharniere[[#This Row],[Quick]]=1,3,IF(Scharniere[[#This Row],[Werkzeuglos]]=1,4,0))))=select!$E$362,1,0)</f>
        <v>1</v>
      </c>
      <c r="O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" s="298">
        <f>IF(AND(Scharniere[[#This Row],[Scharnierart]]=3,Scharniere[[#This Row],[Gruppenschlüssel]]=select!$A$747)=TRUE,1,0)</f>
        <v>0</v>
      </c>
      <c r="Q85" s="298">
        <f ca="1">IF(select!$O$945&lt;6,1,0)</f>
        <v>1</v>
      </c>
      <c r="R85" s="298">
        <f>IF(select!$A$778=IF(Scharniere[[#This Row],[mit Dämpfung]]=1,1,IF(Scharniere[[#This Row],[ohne Dämpfung]]=1,2,IF(Scharniere[[#This Row],[ohne Feder]]=1,3,0))),1,0)</f>
        <v>1</v>
      </c>
      <c r="S85" s="298">
        <f>IF(Scharniere[[#This Row],[Bohrbild]]=select!$A$755,1,0)</f>
        <v>0</v>
      </c>
      <c r="T85" s="298">
        <f>IF(IF(Scharniere[[#This Row],[Anschrauben]]=1,1,IF(Scharniere[[#This Row],[Einpressen]]=1,2,IF(Scharniere[[#This Row],[Quick]]=1,3,IF(Scharniere[[#This Row],[Werkzeuglos]]=1,4,0))))=select!$A$769,1,0)</f>
        <v>1</v>
      </c>
      <c r="U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" s="359">
        <f>IF(AND(Scharniere[[#This Row],[Scharnierart]]=4,Scharniere[[#This Row],[Gruppenschlüssel]]=select!$A$981)=TRUE,1,0)</f>
        <v>0</v>
      </c>
      <c r="W85" s="359">
        <f ca="1">IF(select!$O$1185&lt;6,1,0)</f>
        <v>1</v>
      </c>
      <c r="X85" s="359">
        <f>IF(select!$A$1012=IF(Scharniere[[#This Row],[mit Dämpfung]]=1,1,IF(Scharniere[[#This Row],[ohne Dämpfung]]=1,2,IF(Scharniere[[#This Row],[ohne Feder]]=1,3,0))),1,0)</f>
        <v>1</v>
      </c>
      <c r="Y85" s="359">
        <f>IF(Scharniere[[#This Row],[Bohrbild]]=select!$A$989,1,0)</f>
        <v>0</v>
      </c>
      <c r="Z85" s="359">
        <f>IF(IF(Scharniere[[#This Row],[Anschrauben]]=1,1,IF(Scharniere[[#This Row],[Einpressen]]=1,2,IF(Scharniere[[#This Row],[Quick]]=1,3,IF(Scharniere[[#This Row],[Werkzeuglos]]=1,4,0))))=select!$A$1003,1,0)</f>
        <v>1</v>
      </c>
      <c r="AA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" s="359">
        <f ca="1">IF(select!$K$980="*",Scharniere[[#This Row],[AG Ges2]],Scharniere[[#This Row],[AG Ges1]])</f>
        <v>0</v>
      </c>
      <c r="AE85" s="451">
        <f ca="1">IF(AND(Scharniere[[#This Row],[Scharnierart]]=select!$A$1485,Scharniere[[#This Row],[Gruppenschlüssel]]=select!$B$1485)=TRUE,1,0)</f>
        <v>1</v>
      </c>
      <c r="AF85" s="451">
        <f ca="1">IF(AND(Scharniere[[#This Row],[Scharnierart]]=select!$A$1486,Scharniere[[#This Row],[Gruppenschlüssel]]=select!$B$1486)=TRUE,1,0)</f>
        <v>0</v>
      </c>
      <c r="AG85" s="451">
        <f ca="1">IF(AND(Scharniere[[#This Row],[Scharnierart]]=select!$A$1487,Scharniere[[#This Row],[Gruppenschlüssel]]=select!$B$1487)=TRUE,1,0)</f>
        <v>0</v>
      </c>
      <c r="AH85" s="451">
        <f ca="1">IF(AND(Scharniere[[#This Row],[Scharnierart]]=select!$A$1488,Scharniere[[#This Row],[Gruppenschlüssel]]=select!$B$1488)=TRUE,1,0)</f>
        <v>0</v>
      </c>
      <c r="AI85" s="451">
        <f ca="1">IF(SUM(Scharniere[[#This Row],[konf Scharnier 1]:[konf Scharnier 4]])&gt;0,1,0)</f>
        <v>1</v>
      </c>
      <c r="AJ85" s="451"/>
      <c r="AK85" s="451"/>
      <c r="AL85" s="451"/>
      <c r="AM85" s="451"/>
      <c r="AN85" s="451"/>
      <c r="AO85" s="146">
        <v>1</v>
      </c>
      <c r="AP85" s="146">
        <v>1</v>
      </c>
      <c r="AQ85" s="10" t="str">
        <f ca="1">Sprache!$A$110</f>
        <v>Tiomos Scharnier T Click-on</v>
      </c>
      <c r="AR85" t="s">
        <v>1928</v>
      </c>
      <c r="AS85" t="str">
        <f ca="1">Sprache!$A$103</f>
        <v>Tiomos Click-On Scharniere</v>
      </c>
      <c r="AT85">
        <v>9.5</v>
      </c>
      <c r="AU85" s="34" t="s">
        <v>8</v>
      </c>
      <c r="AV85">
        <v>110</v>
      </c>
      <c r="AW85" s="10">
        <v>0</v>
      </c>
      <c r="AX85">
        <v>1</v>
      </c>
      <c r="AY85">
        <v>0</v>
      </c>
      <c r="AZ85" s="10">
        <v>1</v>
      </c>
      <c r="BA85">
        <v>0</v>
      </c>
      <c r="BB85">
        <v>0</v>
      </c>
      <c r="BC85">
        <v>0</v>
      </c>
      <c r="BD85" s="143" t="s">
        <v>431</v>
      </c>
      <c r="BG85"/>
    </row>
    <row r="86" spans="1:59" ht="14.25" customHeight="1" x14ac:dyDescent="0.25">
      <c r="A86" s="37" t="str">
        <f>LEFT(Scharniere[[#This Row],[ArtikelNR]],4)</f>
        <v>F028</v>
      </c>
      <c r="B86" s="35" t="str">
        <f>MID(Scharniere[[#This Row],[ArtikelNR]],5,3)</f>
        <v>138</v>
      </c>
      <c r="C86" s="37" t="str">
        <f>RIGHT(Scharniere[[#This Row],[ArtikelNR]],3)</f>
        <v>095</v>
      </c>
      <c r="D86" s="35">
        <f>IF(AND(Scharniere[[#This Row],[Gruppenschlüssel]]=select!$A$44,Scharniere[[#This Row],[Scharnierart]]=1)=TRUE,1,0)</f>
        <v>1</v>
      </c>
      <c r="E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6" s="35">
        <f>IF(select!$F$57=IF(Scharniere[[#This Row],[mit Dämpfung]]=1,1,IF(Scharniere[[#This Row],[ohne Dämpfung]]=1,2,IF(Scharniere[[#This Row],[ohne Feder]]=1,3,0))),1,0)</f>
        <v>0</v>
      </c>
      <c r="G86" s="35">
        <f>IF(Scharniere[[#This Row],[Bohrbild]]=select!$V$43,1,0)</f>
        <v>1</v>
      </c>
      <c r="H86" s="35">
        <f>IF(IF(Scharniere[[#This Row],[Anschrauben]]=1,1,IF(Scharniere[[#This Row],[Einpressen]]=1,2,IF(Scharniere[[#This Row],[Quick]]=1,3,IF(Scharniere[[#This Row],[Werkzeuglos]]=1,4,0))))=select!$F$48,1,0)</f>
        <v>0</v>
      </c>
      <c r="I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" s="149">
        <f>IF(AND(Scharniere[[#This Row],[Scharnierart]]=2,Scharniere[[#This Row],[Gruppenschlüssel]]=select!$A$318)=TRUE,1,0)</f>
        <v>0</v>
      </c>
      <c r="K86" s="221">
        <f ca="1">IF(select!$O$424&lt;6,1,0)</f>
        <v>1</v>
      </c>
      <c r="L86" s="139">
        <f>IF(select!$A$362=IF(Scharniere[[#This Row],[mit Dämpfung]]=1,1,IF(Scharniere[[#This Row],[ohne Dämpfung]]=1,2,IF(Scharniere[[#This Row],[ohne Feder]]=1,3,0))),1,0)</f>
        <v>1</v>
      </c>
      <c r="M86" s="135">
        <f>IF(Scharniere[[#This Row],[Bohrbild]]=select!$O$334,1,0)</f>
        <v>1</v>
      </c>
      <c r="N86" s="135">
        <f>IF(IF(Scharniere[[#This Row],[Anschrauben]]=1,1,IF(Scharniere[[#This Row],[Einpressen]]=1,2,IF(Scharniere[[#This Row],[Quick]]=1,3,IF(Scharniere[[#This Row],[Werkzeuglos]]=1,4,0))))=select!$E$362,1,0)</f>
        <v>1</v>
      </c>
      <c r="O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" s="298">
        <f>IF(AND(Scharniere[[#This Row],[Scharnierart]]=3,Scharniere[[#This Row],[Gruppenschlüssel]]=select!$A$747)=TRUE,1,0)</f>
        <v>0</v>
      </c>
      <c r="Q86" s="298">
        <f ca="1">IF(select!$O$945&lt;6,1,0)</f>
        <v>1</v>
      </c>
      <c r="R86" s="298">
        <f>IF(select!$A$778=IF(Scharniere[[#This Row],[mit Dämpfung]]=1,1,IF(Scharniere[[#This Row],[ohne Dämpfung]]=1,2,IF(Scharniere[[#This Row],[ohne Feder]]=1,3,0))),1,0)</f>
        <v>0</v>
      </c>
      <c r="S86" s="298">
        <f>IF(Scharniere[[#This Row],[Bohrbild]]=select!$A$755,1,0)</f>
        <v>0</v>
      </c>
      <c r="T86" s="298">
        <f>IF(IF(Scharniere[[#This Row],[Anschrauben]]=1,1,IF(Scharniere[[#This Row],[Einpressen]]=1,2,IF(Scharniere[[#This Row],[Quick]]=1,3,IF(Scharniere[[#This Row],[Werkzeuglos]]=1,4,0))))=select!$A$769,1,0)</f>
        <v>1</v>
      </c>
      <c r="U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" s="359">
        <f>IF(AND(Scharniere[[#This Row],[Scharnierart]]=4,Scharniere[[#This Row],[Gruppenschlüssel]]=select!$A$981)=TRUE,1,0)</f>
        <v>0</v>
      </c>
      <c r="W86" s="359">
        <f ca="1">IF(select!$O$1185&lt;6,1,0)</f>
        <v>1</v>
      </c>
      <c r="X86" s="359">
        <f>IF(select!$A$1012=IF(Scharniere[[#This Row],[mit Dämpfung]]=1,1,IF(Scharniere[[#This Row],[ohne Dämpfung]]=1,2,IF(Scharniere[[#This Row],[ohne Feder]]=1,3,0))),1,0)</f>
        <v>0</v>
      </c>
      <c r="Y86" s="359">
        <f>IF(Scharniere[[#This Row],[Bohrbild]]=select!$A$989,1,0)</f>
        <v>0</v>
      </c>
      <c r="Z86" s="359">
        <f>IF(IF(Scharniere[[#This Row],[Anschrauben]]=1,1,IF(Scharniere[[#This Row],[Einpressen]]=1,2,IF(Scharniere[[#This Row],[Quick]]=1,3,IF(Scharniere[[#This Row],[Werkzeuglos]]=1,4,0))))=select!$A$1003,1,0)</f>
        <v>1</v>
      </c>
      <c r="AA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" s="359">
        <f ca="1">IF(select!$K$980="*",Scharniere[[#This Row],[AG Ges2]],Scharniere[[#This Row],[AG Ges1]])</f>
        <v>0</v>
      </c>
      <c r="AE86" s="451">
        <f ca="1">IF(AND(Scharniere[[#This Row],[Scharnierart]]=select!$A$1485,Scharniere[[#This Row],[Gruppenschlüssel]]=select!$B$1485)=TRUE,1,0)</f>
        <v>1</v>
      </c>
      <c r="AF86" s="451">
        <f ca="1">IF(AND(Scharniere[[#This Row],[Scharnierart]]=select!$A$1486,Scharniere[[#This Row],[Gruppenschlüssel]]=select!$B$1486)=TRUE,1,0)</f>
        <v>0</v>
      </c>
      <c r="AG86" s="451">
        <f ca="1">IF(AND(Scharniere[[#This Row],[Scharnierart]]=select!$A$1487,Scharniere[[#This Row],[Gruppenschlüssel]]=select!$B$1487)=TRUE,1,0)</f>
        <v>0</v>
      </c>
      <c r="AH86" s="451">
        <f ca="1">IF(AND(Scharniere[[#This Row],[Scharnierart]]=select!$A$1488,Scharniere[[#This Row],[Gruppenschlüssel]]=select!$B$1488)=TRUE,1,0)</f>
        <v>0</v>
      </c>
      <c r="AI86" s="451">
        <f ca="1">IF(SUM(Scharniere[[#This Row],[konf Scharnier 1]:[konf Scharnier 4]])&gt;0,1,0)</f>
        <v>1</v>
      </c>
      <c r="AJ86" s="451"/>
      <c r="AK86" s="451"/>
      <c r="AL86" s="451"/>
      <c r="AM86" s="451"/>
      <c r="AN86" s="451"/>
      <c r="AO86" s="146">
        <v>1</v>
      </c>
      <c r="AP86" s="146">
        <v>1</v>
      </c>
      <c r="AQ86" s="10" t="str">
        <f ca="1">Sprache!$A$112</f>
        <v>Tiomos Scharnier TS Click-on</v>
      </c>
      <c r="AR86" t="s">
        <v>1928</v>
      </c>
      <c r="AS86" t="str">
        <f ca="1">Sprache!$A$103</f>
        <v>Tiomos Click-On Scharniere</v>
      </c>
      <c r="AT86">
        <v>9.5</v>
      </c>
      <c r="AU86" s="34" t="s">
        <v>8</v>
      </c>
      <c r="AV86">
        <v>110</v>
      </c>
      <c r="AW86" s="10">
        <v>1</v>
      </c>
      <c r="AX86">
        <v>0</v>
      </c>
      <c r="AY86">
        <v>0</v>
      </c>
      <c r="AZ86" s="10">
        <v>1</v>
      </c>
      <c r="BA86">
        <v>0</v>
      </c>
      <c r="BB86">
        <v>0</v>
      </c>
      <c r="BC86">
        <v>0</v>
      </c>
      <c r="BD86" s="143" t="s">
        <v>230</v>
      </c>
      <c r="BG86"/>
    </row>
    <row r="87" spans="1:59" ht="14.25" customHeight="1" x14ac:dyDescent="0.25">
      <c r="A87" s="37" t="str">
        <f>LEFT(Scharniere[[#This Row],[ArtikelNR]],4)</f>
        <v>F046</v>
      </c>
      <c r="B87" s="35" t="str">
        <f>MID(Scharniere[[#This Row],[ArtikelNR]],5,3)</f>
        <v>138</v>
      </c>
      <c r="C87" s="37" t="str">
        <f>RIGHT(Scharniere[[#This Row],[ArtikelNR]],3)</f>
        <v>186</v>
      </c>
      <c r="D87" s="35">
        <f>IF(AND(Scharniere[[#This Row],[Gruppenschlüssel]]=select!$A$44,Scharniere[[#This Row],[Scharnierart]]=1)=TRUE,1,0)</f>
        <v>1</v>
      </c>
      <c r="E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7" s="35">
        <f>IF(select!$F$57=IF(Scharniere[[#This Row],[mit Dämpfung]]=1,1,IF(Scharniere[[#This Row],[ohne Dämpfung]]=1,2,IF(Scharniere[[#This Row],[ohne Feder]]=1,3,0))),1,0)</f>
        <v>1</v>
      </c>
      <c r="G87" s="35">
        <f>IF(Scharniere[[#This Row],[Bohrbild]]=select!$V$43,1,0)</f>
        <v>1</v>
      </c>
      <c r="H87" s="35">
        <f>IF(IF(Scharniere[[#This Row],[Anschrauben]]=1,1,IF(Scharniere[[#This Row],[Einpressen]]=1,2,IF(Scharniere[[#This Row],[Quick]]=1,3,IF(Scharniere[[#This Row],[Werkzeuglos]]=1,4,0))))=select!$F$48,1,0)</f>
        <v>0</v>
      </c>
      <c r="I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" s="149">
        <f>IF(AND(Scharniere[[#This Row],[Scharnierart]]=2,Scharniere[[#This Row],[Gruppenschlüssel]]=select!$A$318)=TRUE,1,0)</f>
        <v>0</v>
      </c>
      <c r="K87" s="221">
        <f ca="1">IF(select!$O$424&lt;6,1,0)</f>
        <v>1</v>
      </c>
      <c r="L87" s="139">
        <f>IF(select!$A$362=IF(Scharniere[[#This Row],[mit Dämpfung]]=1,1,IF(Scharniere[[#This Row],[ohne Dämpfung]]=1,2,IF(Scharniere[[#This Row],[ohne Feder]]=1,3,0))),1,0)</f>
        <v>0</v>
      </c>
      <c r="M87" s="135">
        <f>IF(Scharniere[[#This Row],[Bohrbild]]=select!$O$334,1,0)</f>
        <v>1</v>
      </c>
      <c r="N87" s="135">
        <f>IF(IF(Scharniere[[#This Row],[Anschrauben]]=1,1,IF(Scharniere[[#This Row],[Einpressen]]=1,2,IF(Scharniere[[#This Row],[Quick]]=1,3,IF(Scharniere[[#This Row],[Werkzeuglos]]=1,4,0))))=select!$E$362,1,0)</f>
        <v>1</v>
      </c>
      <c r="O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" s="298">
        <f>IF(AND(Scharniere[[#This Row],[Scharnierart]]=3,Scharniere[[#This Row],[Gruppenschlüssel]]=select!$A$747)=TRUE,1,0)</f>
        <v>0</v>
      </c>
      <c r="Q87" s="298">
        <f ca="1">IF(select!$O$945&lt;6,1,0)</f>
        <v>1</v>
      </c>
      <c r="R87" s="298">
        <f>IF(select!$A$778=IF(Scharniere[[#This Row],[mit Dämpfung]]=1,1,IF(Scharniere[[#This Row],[ohne Dämpfung]]=1,2,IF(Scharniere[[#This Row],[ohne Feder]]=1,3,0))),1,0)</f>
        <v>0</v>
      </c>
      <c r="S87" s="298">
        <f>IF(Scharniere[[#This Row],[Bohrbild]]=select!$A$755,1,0)</f>
        <v>0</v>
      </c>
      <c r="T87" s="298">
        <f>IF(IF(Scharniere[[#This Row],[Anschrauben]]=1,1,IF(Scharniere[[#This Row],[Einpressen]]=1,2,IF(Scharniere[[#This Row],[Quick]]=1,3,IF(Scharniere[[#This Row],[Werkzeuglos]]=1,4,0))))=select!$A$769,1,0)</f>
        <v>1</v>
      </c>
      <c r="U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" s="359">
        <f>IF(AND(Scharniere[[#This Row],[Scharnierart]]=4,Scharniere[[#This Row],[Gruppenschlüssel]]=select!$A$981)=TRUE,1,0)</f>
        <v>0</v>
      </c>
      <c r="W87" s="359">
        <f ca="1">IF(select!$O$1185&lt;6,1,0)</f>
        <v>1</v>
      </c>
      <c r="X87" s="359">
        <f>IF(select!$A$1012=IF(Scharniere[[#This Row],[mit Dämpfung]]=1,1,IF(Scharniere[[#This Row],[ohne Dämpfung]]=1,2,IF(Scharniere[[#This Row],[ohne Feder]]=1,3,0))),1,0)</f>
        <v>0</v>
      </c>
      <c r="Y87" s="359">
        <f>IF(Scharniere[[#This Row],[Bohrbild]]=select!$A$989,1,0)</f>
        <v>0</v>
      </c>
      <c r="Z87" s="359">
        <f>IF(IF(Scharniere[[#This Row],[Anschrauben]]=1,1,IF(Scharniere[[#This Row],[Einpressen]]=1,2,IF(Scharniere[[#This Row],[Quick]]=1,3,IF(Scharniere[[#This Row],[Werkzeuglos]]=1,4,0))))=select!$A$1003,1,0)</f>
        <v>1</v>
      </c>
      <c r="AA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" s="359">
        <f ca="1">IF(select!$K$980="*",Scharniere[[#This Row],[AG Ges2]],Scharniere[[#This Row],[AG Ges1]])</f>
        <v>0</v>
      </c>
      <c r="AE87" s="451">
        <f ca="1">IF(AND(Scharniere[[#This Row],[Scharnierart]]=select!$A$1485,Scharniere[[#This Row],[Gruppenschlüssel]]=select!$B$1485)=TRUE,1,0)</f>
        <v>1</v>
      </c>
      <c r="AF87" s="451">
        <f ca="1">IF(AND(Scharniere[[#This Row],[Scharnierart]]=select!$A$1486,Scharniere[[#This Row],[Gruppenschlüssel]]=select!$B$1486)=TRUE,1,0)</f>
        <v>0</v>
      </c>
      <c r="AG87" s="451">
        <f ca="1">IF(AND(Scharniere[[#This Row],[Scharnierart]]=select!$A$1487,Scharniere[[#This Row],[Gruppenschlüssel]]=select!$B$1487)=TRUE,1,0)</f>
        <v>0</v>
      </c>
      <c r="AH87" s="451">
        <f ca="1">IF(AND(Scharniere[[#This Row],[Scharnierart]]=select!$A$1488,Scharniere[[#This Row],[Gruppenschlüssel]]=select!$B$1488)=TRUE,1,0)</f>
        <v>0</v>
      </c>
      <c r="AI87" s="451">
        <f ca="1">IF(SUM(Scharniere[[#This Row],[konf Scharnier 1]:[konf Scharnier 4]])&gt;0,1,0)</f>
        <v>1</v>
      </c>
      <c r="AJ87" s="451"/>
      <c r="AK87" s="451"/>
      <c r="AL87" s="451"/>
      <c r="AM87" s="451"/>
      <c r="AN87" s="451"/>
      <c r="AO87" s="146">
        <v>1</v>
      </c>
      <c r="AP87" s="146">
        <v>1</v>
      </c>
      <c r="AQ87" s="10" t="str">
        <f ca="1">Sprache!$A$114</f>
        <v>Tiomos Scharnier TT Click-on</v>
      </c>
      <c r="AR87" t="s">
        <v>1928</v>
      </c>
      <c r="AS87" t="str">
        <f ca="1">Sprache!$A$103</f>
        <v>Tiomos Click-On Scharniere</v>
      </c>
      <c r="AT87">
        <v>9.5</v>
      </c>
      <c r="AU87" t="s">
        <v>8</v>
      </c>
      <c r="AV87">
        <v>110</v>
      </c>
      <c r="AW87" s="10">
        <v>0</v>
      </c>
      <c r="AX87">
        <v>0</v>
      </c>
      <c r="AY87">
        <v>1</v>
      </c>
      <c r="AZ87" s="10">
        <v>1</v>
      </c>
      <c r="BA87">
        <v>0</v>
      </c>
      <c r="BB87">
        <v>0</v>
      </c>
      <c r="BC87">
        <v>0</v>
      </c>
      <c r="BD87" s="143" t="s">
        <v>583</v>
      </c>
      <c r="BG87"/>
    </row>
    <row r="88" spans="1:59" ht="14.25" customHeight="1" x14ac:dyDescent="0.25">
      <c r="A88" s="37" t="str">
        <f>LEFT(Scharniere[[#This Row],[ArtikelNR]],4)</f>
        <v>F034</v>
      </c>
      <c r="B88" s="35" t="str">
        <f>MID(Scharniere[[#This Row],[ArtikelNR]],5,3)</f>
        <v>139</v>
      </c>
      <c r="C88" s="37" t="str">
        <f>RIGHT(Scharniere[[#This Row],[ArtikelNR]],3)</f>
        <v>302</v>
      </c>
      <c r="D88" s="35">
        <f>IF(AND(Scharniere[[#This Row],[Gruppenschlüssel]]=select!$A$44,Scharniere[[#This Row],[Scharnierart]]=1)=TRUE,1,0)</f>
        <v>1</v>
      </c>
      <c r="E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8" s="35">
        <f>IF(select!$F$57=IF(Scharniere[[#This Row],[mit Dämpfung]]=1,1,IF(Scharniere[[#This Row],[ohne Dämpfung]]=1,2,IF(Scharniere[[#This Row],[ohne Feder]]=1,3,0))),1,0)</f>
        <v>0</v>
      </c>
      <c r="G88" s="35">
        <f>IF(Scharniere[[#This Row],[Bohrbild]]=select!$V$43,1,0)</f>
        <v>1</v>
      </c>
      <c r="H88" s="35">
        <f>IF(IF(Scharniere[[#This Row],[Anschrauben]]=1,1,IF(Scharniere[[#This Row],[Einpressen]]=1,2,IF(Scharniere[[#This Row],[Quick]]=1,3,IF(Scharniere[[#This Row],[Werkzeuglos]]=1,4,0))))=select!$F$48,1,0)</f>
        <v>0</v>
      </c>
      <c r="I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" s="149">
        <f>IF(AND(Scharniere[[#This Row],[Scharnierart]]=2,Scharniere[[#This Row],[Gruppenschlüssel]]=select!$A$318)=TRUE,1,0)</f>
        <v>0</v>
      </c>
      <c r="K88" s="221">
        <f ca="1">IF(select!$O$424&lt;6,1,0)</f>
        <v>1</v>
      </c>
      <c r="L88" s="139">
        <f>IF(select!$A$362=IF(Scharniere[[#This Row],[mit Dämpfung]]=1,1,IF(Scharniere[[#This Row],[ohne Dämpfung]]=1,2,IF(Scharniere[[#This Row],[ohne Feder]]=1,3,0))),1,0)</f>
        <v>0</v>
      </c>
      <c r="M88" s="135">
        <f>IF(Scharniere[[#This Row],[Bohrbild]]=select!$O$334,1,0)</f>
        <v>1</v>
      </c>
      <c r="N88" s="135">
        <f>IF(IF(Scharniere[[#This Row],[Anschrauben]]=1,1,IF(Scharniere[[#This Row],[Einpressen]]=1,2,IF(Scharniere[[#This Row],[Quick]]=1,3,IF(Scharniere[[#This Row],[Werkzeuglos]]=1,4,0))))=select!$E$362,1,0)</f>
        <v>0</v>
      </c>
      <c r="O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" s="298">
        <f>IF(AND(Scharniere[[#This Row],[Scharnierart]]=3,Scharniere[[#This Row],[Gruppenschlüssel]]=select!$A$747)=TRUE,1,0)</f>
        <v>0</v>
      </c>
      <c r="Q88" s="298">
        <f ca="1">IF(select!$O$945&lt;6,1,0)</f>
        <v>1</v>
      </c>
      <c r="R88" s="298">
        <f>IF(select!$A$778=IF(Scharniere[[#This Row],[mit Dämpfung]]=1,1,IF(Scharniere[[#This Row],[ohne Dämpfung]]=1,2,IF(Scharniere[[#This Row],[ohne Feder]]=1,3,0))),1,0)</f>
        <v>1</v>
      </c>
      <c r="S88" s="298">
        <f>IF(Scharniere[[#This Row],[Bohrbild]]=select!$A$755,1,0)</f>
        <v>0</v>
      </c>
      <c r="T88" s="298">
        <f>IF(IF(Scharniere[[#This Row],[Anschrauben]]=1,1,IF(Scharniere[[#This Row],[Einpressen]]=1,2,IF(Scharniere[[#This Row],[Quick]]=1,3,IF(Scharniere[[#This Row],[Werkzeuglos]]=1,4,0))))=select!$A$769,1,0)</f>
        <v>0</v>
      </c>
      <c r="U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" s="359">
        <f>IF(AND(Scharniere[[#This Row],[Scharnierart]]=4,Scharniere[[#This Row],[Gruppenschlüssel]]=select!$A$981)=TRUE,1,0)</f>
        <v>0</v>
      </c>
      <c r="W88" s="359">
        <f ca="1">IF(select!$O$1185&lt;6,1,0)</f>
        <v>1</v>
      </c>
      <c r="X88" s="359">
        <f>IF(select!$A$1012=IF(Scharniere[[#This Row],[mit Dämpfung]]=1,1,IF(Scharniere[[#This Row],[ohne Dämpfung]]=1,2,IF(Scharniere[[#This Row],[ohne Feder]]=1,3,0))),1,0)</f>
        <v>1</v>
      </c>
      <c r="Y88" s="359">
        <f>IF(Scharniere[[#This Row],[Bohrbild]]=select!$A$989,1,0)</f>
        <v>0</v>
      </c>
      <c r="Z88" s="359">
        <f>IF(IF(Scharniere[[#This Row],[Anschrauben]]=1,1,IF(Scharniere[[#This Row],[Einpressen]]=1,2,IF(Scharniere[[#This Row],[Quick]]=1,3,IF(Scharniere[[#This Row],[Werkzeuglos]]=1,4,0))))=select!$A$1003,1,0)</f>
        <v>0</v>
      </c>
      <c r="AA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" s="359">
        <f ca="1">IF(select!$K$980="*",Scharniere[[#This Row],[AG Ges2]],Scharniere[[#This Row],[AG Ges1]])</f>
        <v>0</v>
      </c>
      <c r="AE88" s="451">
        <f ca="1">IF(AND(Scharniere[[#This Row],[Scharnierart]]=select!$A$1485,Scharniere[[#This Row],[Gruppenschlüssel]]=select!$B$1485)=TRUE,1,0)</f>
        <v>1</v>
      </c>
      <c r="AF88" s="451">
        <f ca="1">IF(AND(Scharniere[[#This Row],[Scharnierart]]=select!$A$1486,Scharniere[[#This Row],[Gruppenschlüssel]]=select!$B$1486)=TRUE,1,0)</f>
        <v>0</v>
      </c>
      <c r="AG88" s="451">
        <f ca="1">IF(AND(Scharniere[[#This Row],[Scharnierart]]=select!$A$1487,Scharniere[[#This Row],[Gruppenschlüssel]]=select!$B$1487)=TRUE,1,0)</f>
        <v>0</v>
      </c>
      <c r="AH88" s="451">
        <f ca="1">IF(AND(Scharniere[[#This Row],[Scharnierart]]=select!$A$1488,Scharniere[[#This Row],[Gruppenschlüssel]]=select!$B$1488)=TRUE,1,0)</f>
        <v>0</v>
      </c>
      <c r="AI88" s="451">
        <f ca="1">IF(SUM(Scharniere[[#This Row],[konf Scharnier 1]:[konf Scharnier 4]])&gt;0,1,0)</f>
        <v>1</v>
      </c>
      <c r="AJ88" s="451"/>
      <c r="AK88" s="451"/>
      <c r="AL88" s="451"/>
      <c r="AM88" s="451"/>
      <c r="AN88" s="451"/>
      <c r="AO88" s="146">
        <v>1</v>
      </c>
      <c r="AP88" s="146">
        <v>1</v>
      </c>
      <c r="AQ88" s="10" t="str">
        <f ca="1">Sprache!$A$111</f>
        <v>Tiomos Scharnier T Impresso</v>
      </c>
      <c r="AR88" t="s">
        <v>1929</v>
      </c>
      <c r="AS88" t="str">
        <f ca="1">Sprache!$A$116</f>
        <v>Tiomos Impresso Scharniere</v>
      </c>
      <c r="AT88">
        <v>9.5</v>
      </c>
      <c r="AU88" s="34" t="s">
        <v>8</v>
      </c>
      <c r="AV88">
        <v>110</v>
      </c>
      <c r="AW88" s="10">
        <v>0</v>
      </c>
      <c r="AX88">
        <v>1</v>
      </c>
      <c r="AY88">
        <v>0</v>
      </c>
      <c r="AZ88" s="10">
        <v>0</v>
      </c>
      <c r="BA88">
        <v>0</v>
      </c>
      <c r="BB88">
        <v>0</v>
      </c>
      <c r="BC88">
        <v>1</v>
      </c>
      <c r="BD88" s="143" t="s">
        <v>138</v>
      </c>
      <c r="BG88"/>
    </row>
    <row r="89" spans="1:59" ht="14.25" customHeight="1" x14ac:dyDescent="0.25">
      <c r="A89" s="37" t="str">
        <f>LEFT(Scharniere[[#This Row],[ArtikelNR]],4)</f>
        <v>F034</v>
      </c>
      <c r="B89" s="35" t="str">
        <f>MID(Scharniere[[#This Row],[ArtikelNR]],5,3)</f>
        <v>139</v>
      </c>
      <c r="C89" s="37" t="str">
        <f>RIGHT(Scharniere[[#This Row],[ArtikelNR]],3)</f>
        <v>302</v>
      </c>
      <c r="D89" s="35">
        <f>IF(AND(Scharniere[[#This Row],[Gruppenschlüssel]]=select!$A$44,Scharniere[[#This Row],[Scharnierart]]=1)=TRUE,1,0)</f>
        <v>1</v>
      </c>
      <c r="E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89" s="35">
        <f>IF(select!$F$57=IF(Scharniere[[#This Row],[mit Dämpfung]]=1,1,IF(Scharniere[[#This Row],[ohne Dämpfung]]=1,2,IF(Scharniere[[#This Row],[ohne Feder]]=1,3,0))),1,0)</f>
        <v>0</v>
      </c>
      <c r="G89" s="35">
        <f>IF(Scharniere[[#This Row],[Bohrbild]]=select!$V$43,1,0)</f>
        <v>0</v>
      </c>
      <c r="H89" s="35">
        <f>IF(IF(Scharniere[[#This Row],[Anschrauben]]=1,1,IF(Scharniere[[#This Row],[Einpressen]]=1,2,IF(Scharniere[[#This Row],[Quick]]=1,3,IF(Scharniere[[#This Row],[Werkzeuglos]]=1,4,0))))=select!$F$48,1,0)</f>
        <v>0</v>
      </c>
      <c r="I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" s="149">
        <f>IF(AND(Scharniere[[#This Row],[Scharnierart]]=2,Scharniere[[#This Row],[Gruppenschlüssel]]=select!$A$318)=TRUE,1,0)</f>
        <v>0</v>
      </c>
      <c r="K89" s="221">
        <f ca="1">IF(select!$O$424&lt;6,1,0)</f>
        <v>1</v>
      </c>
      <c r="L89" s="139">
        <f>IF(select!$A$362=IF(Scharniere[[#This Row],[mit Dämpfung]]=1,1,IF(Scharniere[[#This Row],[ohne Dämpfung]]=1,2,IF(Scharniere[[#This Row],[ohne Feder]]=1,3,0))),1,0)</f>
        <v>0</v>
      </c>
      <c r="M89" s="135">
        <f>IF(Scharniere[[#This Row],[Bohrbild]]=select!$O$334,1,0)</f>
        <v>0</v>
      </c>
      <c r="N89" s="135">
        <f>IF(IF(Scharniere[[#This Row],[Anschrauben]]=1,1,IF(Scharniere[[#This Row],[Einpressen]]=1,2,IF(Scharniere[[#This Row],[Quick]]=1,3,IF(Scharniere[[#This Row],[Werkzeuglos]]=1,4,0))))=select!$E$362,1,0)</f>
        <v>0</v>
      </c>
      <c r="O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" s="298">
        <f>IF(AND(Scharniere[[#This Row],[Scharnierart]]=3,Scharniere[[#This Row],[Gruppenschlüssel]]=select!$A$747)=TRUE,1,0)</f>
        <v>0</v>
      </c>
      <c r="Q89" s="298">
        <f ca="1">IF(select!$O$945&lt;6,1,0)</f>
        <v>1</v>
      </c>
      <c r="R89" s="298">
        <f>IF(select!$A$778=IF(Scharniere[[#This Row],[mit Dämpfung]]=1,1,IF(Scharniere[[#This Row],[ohne Dämpfung]]=1,2,IF(Scharniere[[#This Row],[ohne Feder]]=1,3,0))),1,0)</f>
        <v>1</v>
      </c>
      <c r="S89" s="298">
        <f>IF(Scharniere[[#This Row],[Bohrbild]]=select!$A$755,1,0)</f>
        <v>0</v>
      </c>
      <c r="T89" s="298">
        <f>IF(IF(Scharniere[[#This Row],[Anschrauben]]=1,1,IF(Scharniere[[#This Row],[Einpressen]]=1,2,IF(Scharniere[[#This Row],[Quick]]=1,3,IF(Scharniere[[#This Row],[Werkzeuglos]]=1,4,0))))=select!$A$769,1,0)</f>
        <v>0</v>
      </c>
      <c r="U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" s="359">
        <f>IF(AND(Scharniere[[#This Row],[Scharnierart]]=4,Scharniere[[#This Row],[Gruppenschlüssel]]=select!$A$981)=TRUE,1,0)</f>
        <v>0</v>
      </c>
      <c r="W89" s="359">
        <f ca="1">IF(select!$O$1185&lt;6,1,0)</f>
        <v>1</v>
      </c>
      <c r="X89" s="359">
        <f>IF(select!$A$1012=IF(Scharniere[[#This Row],[mit Dämpfung]]=1,1,IF(Scharniere[[#This Row],[ohne Dämpfung]]=1,2,IF(Scharniere[[#This Row],[ohne Feder]]=1,3,0))),1,0)</f>
        <v>1</v>
      </c>
      <c r="Y89" s="359">
        <f>IF(Scharniere[[#This Row],[Bohrbild]]=select!$A$989,1,0)</f>
        <v>0</v>
      </c>
      <c r="Z89" s="359">
        <f>IF(IF(Scharniere[[#This Row],[Anschrauben]]=1,1,IF(Scharniere[[#This Row],[Einpressen]]=1,2,IF(Scharniere[[#This Row],[Quick]]=1,3,IF(Scharniere[[#This Row],[Werkzeuglos]]=1,4,0))))=select!$A$1003,1,0)</f>
        <v>0</v>
      </c>
      <c r="AA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" s="359">
        <f ca="1">IF(select!$K$980="*",Scharniere[[#This Row],[AG Ges2]],Scharniere[[#This Row],[AG Ges1]])</f>
        <v>0</v>
      </c>
      <c r="AE89" s="451">
        <f ca="1">IF(AND(Scharniere[[#This Row],[Scharnierart]]=select!$A$1485,Scharniere[[#This Row],[Gruppenschlüssel]]=select!$B$1485)=TRUE,1,0)</f>
        <v>1</v>
      </c>
      <c r="AF89" s="451">
        <f ca="1">IF(AND(Scharniere[[#This Row],[Scharnierart]]=select!$A$1486,Scharniere[[#This Row],[Gruppenschlüssel]]=select!$B$1486)=TRUE,1,0)</f>
        <v>0</v>
      </c>
      <c r="AG89" s="451">
        <f ca="1">IF(AND(Scharniere[[#This Row],[Scharnierart]]=select!$A$1487,Scharniere[[#This Row],[Gruppenschlüssel]]=select!$B$1487)=TRUE,1,0)</f>
        <v>0</v>
      </c>
      <c r="AH89" s="451">
        <f ca="1">IF(AND(Scharniere[[#This Row],[Scharnierart]]=select!$A$1488,Scharniere[[#This Row],[Gruppenschlüssel]]=select!$B$1488)=TRUE,1,0)</f>
        <v>0</v>
      </c>
      <c r="AI89" s="451">
        <f ca="1">IF(SUM(Scharniere[[#This Row],[konf Scharnier 1]:[konf Scharnier 4]])&gt;0,1,0)</f>
        <v>1</v>
      </c>
      <c r="AJ89" s="451"/>
      <c r="AK89" s="451"/>
      <c r="AL89" s="451"/>
      <c r="AM89" s="451"/>
      <c r="AN89" s="451"/>
      <c r="AO89" s="146">
        <v>1</v>
      </c>
      <c r="AP89" s="146">
        <v>1</v>
      </c>
      <c r="AQ89" s="10" t="str">
        <f ca="1">Sprache!$A$111</f>
        <v>Tiomos Scharnier T Impresso</v>
      </c>
      <c r="AR89" t="s">
        <v>1929</v>
      </c>
      <c r="AS89" t="str">
        <f ca="1">Sprache!$A$116</f>
        <v>Tiomos Impresso Scharniere</v>
      </c>
      <c r="AT89">
        <v>9.5</v>
      </c>
      <c r="AU89" t="s">
        <v>3</v>
      </c>
      <c r="AV89">
        <v>110</v>
      </c>
      <c r="AW89" s="10">
        <v>0</v>
      </c>
      <c r="AX89">
        <v>1</v>
      </c>
      <c r="AY89">
        <v>0</v>
      </c>
      <c r="AZ89" s="10">
        <v>0</v>
      </c>
      <c r="BA89">
        <v>0</v>
      </c>
      <c r="BB89">
        <v>0</v>
      </c>
      <c r="BC89">
        <v>1</v>
      </c>
      <c r="BD89" s="143" t="s">
        <v>138</v>
      </c>
      <c r="BG89"/>
    </row>
    <row r="90" spans="1:59" ht="14.25" customHeight="1" x14ac:dyDescent="0.25">
      <c r="A90" s="37" t="str">
        <f>LEFT(Scharniere[[#This Row],[ArtikelNR]],4)</f>
        <v>F017</v>
      </c>
      <c r="B90" s="35" t="str">
        <f>MID(Scharniere[[#This Row],[ArtikelNR]],5,3)</f>
        <v>139</v>
      </c>
      <c r="C90" s="37" t="str">
        <f>RIGHT(Scharniere[[#This Row],[ArtikelNR]],3)</f>
        <v>331</v>
      </c>
      <c r="D90" s="35">
        <f>IF(AND(Scharniere[[#This Row],[Gruppenschlüssel]]=select!$A$44,Scharniere[[#This Row],[Scharnierart]]=1)=TRUE,1,0)</f>
        <v>1</v>
      </c>
      <c r="E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0" s="35">
        <f>IF(select!$F$57=IF(Scharniere[[#This Row],[mit Dämpfung]]=1,1,IF(Scharniere[[#This Row],[ohne Dämpfung]]=1,2,IF(Scharniere[[#This Row],[ohne Feder]]=1,3,0))),1,0)</f>
        <v>0</v>
      </c>
      <c r="G90" s="35">
        <f>IF(Scharniere[[#This Row],[Bohrbild]]=select!$V$43,1,0)</f>
        <v>1</v>
      </c>
      <c r="H90" s="35">
        <f>IF(IF(Scharniere[[#This Row],[Anschrauben]]=1,1,IF(Scharniere[[#This Row],[Einpressen]]=1,2,IF(Scharniere[[#This Row],[Quick]]=1,3,IF(Scharniere[[#This Row],[Werkzeuglos]]=1,4,0))))=select!$F$48,1,0)</f>
        <v>0</v>
      </c>
      <c r="I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" s="149">
        <f>IF(AND(Scharniere[[#This Row],[Scharnierart]]=2,Scharniere[[#This Row],[Gruppenschlüssel]]=select!$A$318)=TRUE,1,0)</f>
        <v>0</v>
      </c>
      <c r="K90" s="221">
        <f ca="1">IF(select!$O$424&lt;6,1,0)</f>
        <v>1</v>
      </c>
      <c r="L90" s="139">
        <f>IF(select!$A$362=IF(Scharniere[[#This Row],[mit Dämpfung]]=1,1,IF(Scharniere[[#This Row],[ohne Dämpfung]]=1,2,IF(Scharniere[[#This Row],[ohne Feder]]=1,3,0))),1,0)</f>
        <v>1</v>
      </c>
      <c r="M90" s="135">
        <f>IF(Scharniere[[#This Row],[Bohrbild]]=select!$O$334,1,0)</f>
        <v>1</v>
      </c>
      <c r="N90" s="135">
        <f>IF(IF(Scharniere[[#This Row],[Anschrauben]]=1,1,IF(Scharniere[[#This Row],[Einpressen]]=1,2,IF(Scharniere[[#This Row],[Quick]]=1,3,IF(Scharniere[[#This Row],[Werkzeuglos]]=1,4,0))))=select!$E$362,1,0)</f>
        <v>0</v>
      </c>
      <c r="O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" s="298">
        <f>IF(AND(Scharniere[[#This Row],[Scharnierart]]=3,Scharniere[[#This Row],[Gruppenschlüssel]]=select!$A$747)=TRUE,1,0)</f>
        <v>0</v>
      </c>
      <c r="Q90" s="298">
        <f ca="1">IF(select!$O$945&lt;6,1,0)</f>
        <v>1</v>
      </c>
      <c r="R90" s="298">
        <f>IF(select!$A$778=IF(Scharniere[[#This Row],[mit Dämpfung]]=1,1,IF(Scharniere[[#This Row],[ohne Dämpfung]]=1,2,IF(Scharniere[[#This Row],[ohne Feder]]=1,3,0))),1,0)</f>
        <v>0</v>
      </c>
      <c r="S90" s="298">
        <f>IF(Scharniere[[#This Row],[Bohrbild]]=select!$A$755,1,0)</f>
        <v>0</v>
      </c>
      <c r="T90" s="298">
        <f>IF(IF(Scharniere[[#This Row],[Anschrauben]]=1,1,IF(Scharniere[[#This Row],[Einpressen]]=1,2,IF(Scharniere[[#This Row],[Quick]]=1,3,IF(Scharniere[[#This Row],[Werkzeuglos]]=1,4,0))))=select!$A$769,1,0)</f>
        <v>0</v>
      </c>
      <c r="U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" s="359">
        <f>IF(AND(Scharniere[[#This Row],[Scharnierart]]=4,Scharniere[[#This Row],[Gruppenschlüssel]]=select!$A$981)=TRUE,1,0)</f>
        <v>0</v>
      </c>
      <c r="W90" s="359">
        <f ca="1">IF(select!$O$1185&lt;6,1,0)</f>
        <v>1</v>
      </c>
      <c r="X90" s="359">
        <f>IF(select!$A$1012=IF(Scharniere[[#This Row],[mit Dämpfung]]=1,1,IF(Scharniere[[#This Row],[ohne Dämpfung]]=1,2,IF(Scharniere[[#This Row],[ohne Feder]]=1,3,0))),1,0)</f>
        <v>0</v>
      </c>
      <c r="Y90" s="359">
        <f>IF(Scharniere[[#This Row],[Bohrbild]]=select!$A$989,1,0)</f>
        <v>0</v>
      </c>
      <c r="Z90" s="359">
        <f>IF(IF(Scharniere[[#This Row],[Anschrauben]]=1,1,IF(Scharniere[[#This Row],[Einpressen]]=1,2,IF(Scharniere[[#This Row],[Quick]]=1,3,IF(Scharniere[[#This Row],[Werkzeuglos]]=1,4,0))))=select!$A$1003,1,0)</f>
        <v>0</v>
      </c>
      <c r="AA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" s="359">
        <f ca="1">IF(select!$K$980="*",Scharniere[[#This Row],[AG Ges2]],Scharniere[[#This Row],[AG Ges1]])</f>
        <v>0</v>
      </c>
      <c r="AE90" s="451">
        <f ca="1">IF(AND(Scharniere[[#This Row],[Scharnierart]]=select!$A$1485,Scharniere[[#This Row],[Gruppenschlüssel]]=select!$B$1485)=TRUE,1,0)</f>
        <v>1</v>
      </c>
      <c r="AF90" s="451">
        <f ca="1">IF(AND(Scharniere[[#This Row],[Scharnierart]]=select!$A$1486,Scharniere[[#This Row],[Gruppenschlüssel]]=select!$B$1486)=TRUE,1,0)</f>
        <v>0</v>
      </c>
      <c r="AG90" s="451">
        <f ca="1">IF(AND(Scharniere[[#This Row],[Scharnierart]]=select!$A$1487,Scharniere[[#This Row],[Gruppenschlüssel]]=select!$B$1487)=TRUE,1,0)</f>
        <v>0</v>
      </c>
      <c r="AH90" s="451">
        <f ca="1">IF(AND(Scharniere[[#This Row],[Scharnierart]]=select!$A$1488,Scharniere[[#This Row],[Gruppenschlüssel]]=select!$B$1488)=TRUE,1,0)</f>
        <v>0</v>
      </c>
      <c r="AI90" s="451">
        <f ca="1">IF(SUM(Scharniere[[#This Row],[konf Scharnier 1]:[konf Scharnier 4]])&gt;0,1,0)</f>
        <v>1</v>
      </c>
      <c r="AJ90" s="451"/>
      <c r="AK90" s="451"/>
      <c r="AL90" s="451"/>
      <c r="AM90" s="451"/>
      <c r="AN90" s="451"/>
      <c r="AO90" s="146">
        <v>1</v>
      </c>
      <c r="AP90" s="146">
        <v>1</v>
      </c>
      <c r="AQ90" s="10" t="str">
        <f ca="1">Sprache!$A$113</f>
        <v>Tiomos Scharnier TS Impresso</v>
      </c>
      <c r="AR90" t="s">
        <v>1929</v>
      </c>
      <c r="AS90" t="str">
        <f ca="1">Sprache!$A$116</f>
        <v>Tiomos Impresso Scharniere</v>
      </c>
      <c r="AT90">
        <v>9.5</v>
      </c>
      <c r="AU90" s="34" t="s">
        <v>8</v>
      </c>
      <c r="AV90">
        <v>110</v>
      </c>
      <c r="AW90" s="10">
        <v>1</v>
      </c>
      <c r="AX90">
        <v>0</v>
      </c>
      <c r="AY90">
        <v>0</v>
      </c>
      <c r="AZ90" s="10">
        <v>0</v>
      </c>
      <c r="BA90">
        <v>0</v>
      </c>
      <c r="BB90">
        <v>0</v>
      </c>
      <c r="BC90">
        <v>1</v>
      </c>
      <c r="BD90" s="143" t="s">
        <v>63</v>
      </c>
      <c r="BG90"/>
    </row>
    <row r="91" spans="1:59" ht="14.25" customHeight="1" x14ac:dyDescent="0.25">
      <c r="A91" s="37" t="str">
        <f>LEFT(Scharniere[[#This Row],[ArtikelNR]],4)</f>
        <v>F017</v>
      </c>
      <c r="B91" s="35" t="str">
        <f>MID(Scharniere[[#This Row],[ArtikelNR]],5,3)</f>
        <v>139</v>
      </c>
      <c r="C91" s="37" t="str">
        <f>RIGHT(Scharniere[[#This Row],[ArtikelNR]],3)</f>
        <v>331</v>
      </c>
      <c r="D91" s="35">
        <f>IF(AND(Scharniere[[#This Row],[Gruppenschlüssel]]=select!$A$44,Scharniere[[#This Row],[Scharnierart]]=1)=TRUE,1,0)</f>
        <v>1</v>
      </c>
      <c r="E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1" s="35">
        <f>IF(select!$F$57=IF(Scharniere[[#This Row],[mit Dämpfung]]=1,1,IF(Scharniere[[#This Row],[ohne Dämpfung]]=1,2,IF(Scharniere[[#This Row],[ohne Feder]]=1,3,0))),1,0)</f>
        <v>0</v>
      </c>
      <c r="G91" s="35">
        <f>IF(Scharniere[[#This Row],[Bohrbild]]=select!$V$43,1,0)</f>
        <v>0</v>
      </c>
      <c r="H91" s="35">
        <f>IF(IF(Scharniere[[#This Row],[Anschrauben]]=1,1,IF(Scharniere[[#This Row],[Einpressen]]=1,2,IF(Scharniere[[#This Row],[Quick]]=1,3,IF(Scharniere[[#This Row],[Werkzeuglos]]=1,4,0))))=select!$F$48,1,0)</f>
        <v>0</v>
      </c>
      <c r="I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" s="149">
        <f>IF(AND(Scharniere[[#This Row],[Scharnierart]]=2,Scharniere[[#This Row],[Gruppenschlüssel]]=select!$A$318)=TRUE,1,0)</f>
        <v>0</v>
      </c>
      <c r="K91" s="221">
        <f ca="1">IF(select!$O$424&lt;6,1,0)</f>
        <v>1</v>
      </c>
      <c r="L91" s="139">
        <f>IF(select!$A$362=IF(Scharniere[[#This Row],[mit Dämpfung]]=1,1,IF(Scharniere[[#This Row],[ohne Dämpfung]]=1,2,IF(Scharniere[[#This Row],[ohne Feder]]=1,3,0))),1,0)</f>
        <v>1</v>
      </c>
      <c r="M91" s="135">
        <f>IF(Scharniere[[#This Row],[Bohrbild]]=select!$O$334,1,0)</f>
        <v>0</v>
      </c>
      <c r="N91" s="135">
        <f>IF(IF(Scharniere[[#This Row],[Anschrauben]]=1,1,IF(Scharniere[[#This Row],[Einpressen]]=1,2,IF(Scharniere[[#This Row],[Quick]]=1,3,IF(Scharniere[[#This Row],[Werkzeuglos]]=1,4,0))))=select!$E$362,1,0)</f>
        <v>0</v>
      </c>
      <c r="O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" s="298">
        <f>IF(AND(Scharniere[[#This Row],[Scharnierart]]=3,Scharniere[[#This Row],[Gruppenschlüssel]]=select!$A$747)=TRUE,1,0)</f>
        <v>0</v>
      </c>
      <c r="Q91" s="298">
        <f ca="1">IF(select!$O$945&lt;6,1,0)</f>
        <v>1</v>
      </c>
      <c r="R91" s="298">
        <f>IF(select!$A$778=IF(Scharniere[[#This Row],[mit Dämpfung]]=1,1,IF(Scharniere[[#This Row],[ohne Dämpfung]]=1,2,IF(Scharniere[[#This Row],[ohne Feder]]=1,3,0))),1,0)</f>
        <v>0</v>
      </c>
      <c r="S91" s="298">
        <f>IF(Scharniere[[#This Row],[Bohrbild]]=select!$A$755,1,0)</f>
        <v>0</v>
      </c>
      <c r="T91" s="298">
        <f>IF(IF(Scharniere[[#This Row],[Anschrauben]]=1,1,IF(Scharniere[[#This Row],[Einpressen]]=1,2,IF(Scharniere[[#This Row],[Quick]]=1,3,IF(Scharniere[[#This Row],[Werkzeuglos]]=1,4,0))))=select!$A$769,1,0)</f>
        <v>0</v>
      </c>
      <c r="U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" s="359">
        <f>IF(AND(Scharniere[[#This Row],[Scharnierart]]=4,Scharniere[[#This Row],[Gruppenschlüssel]]=select!$A$981)=TRUE,1,0)</f>
        <v>0</v>
      </c>
      <c r="W91" s="359">
        <f ca="1">IF(select!$O$1185&lt;6,1,0)</f>
        <v>1</v>
      </c>
      <c r="X91" s="359">
        <f>IF(select!$A$1012=IF(Scharniere[[#This Row],[mit Dämpfung]]=1,1,IF(Scharniere[[#This Row],[ohne Dämpfung]]=1,2,IF(Scharniere[[#This Row],[ohne Feder]]=1,3,0))),1,0)</f>
        <v>0</v>
      </c>
      <c r="Y91" s="359">
        <f>IF(Scharniere[[#This Row],[Bohrbild]]=select!$A$989,1,0)</f>
        <v>0</v>
      </c>
      <c r="Z91" s="359">
        <f>IF(IF(Scharniere[[#This Row],[Anschrauben]]=1,1,IF(Scharniere[[#This Row],[Einpressen]]=1,2,IF(Scharniere[[#This Row],[Quick]]=1,3,IF(Scharniere[[#This Row],[Werkzeuglos]]=1,4,0))))=select!$A$1003,1,0)</f>
        <v>0</v>
      </c>
      <c r="AA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" s="359">
        <f ca="1">IF(select!$K$980="*",Scharniere[[#This Row],[AG Ges2]],Scharniere[[#This Row],[AG Ges1]])</f>
        <v>0</v>
      </c>
      <c r="AE91" s="451">
        <f ca="1">IF(AND(Scharniere[[#This Row],[Scharnierart]]=select!$A$1485,Scharniere[[#This Row],[Gruppenschlüssel]]=select!$B$1485)=TRUE,1,0)</f>
        <v>1</v>
      </c>
      <c r="AF91" s="451">
        <f ca="1">IF(AND(Scharniere[[#This Row],[Scharnierart]]=select!$A$1486,Scharniere[[#This Row],[Gruppenschlüssel]]=select!$B$1486)=TRUE,1,0)</f>
        <v>0</v>
      </c>
      <c r="AG91" s="451">
        <f ca="1">IF(AND(Scharniere[[#This Row],[Scharnierart]]=select!$A$1487,Scharniere[[#This Row],[Gruppenschlüssel]]=select!$B$1487)=TRUE,1,0)</f>
        <v>0</v>
      </c>
      <c r="AH91" s="451">
        <f ca="1">IF(AND(Scharniere[[#This Row],[Scharnierart]]=select!$A$1488,Scharniere[[#This Row],[Gruppenschlüssel]]=select!$B$1488)=TRUE,1,0)</f>
        <v>0</v>
      </c>
      <c r="AI91" s="451">
        <f ca="1">IF(SUM(Scharniere[[#This Row],[konf Scharnier 1]:[konf Scharnier 4]])&gt;0,1,0)</f>
        <v>1</v>
      </c>
      <c r="AJ91" s="451"/>
      <c r="AK91" s="451"/>
      <c r="AL91" s="451"/>
      <c r="AM91" s="451"/>
      <c r="AN91" s="451"/>
      <c r="AO91" s="146">
        <v>1</v>
      </c>
      <c r="AP91" s="146">
        <v>1</v>
      </c>
      <c r="AQ91" s="10" t="str">
        <f ca="1">Sprache!$A$113</f>
        <v>Tiomos Scharnier TS Impresso</v>
      </c>
      <c r="AR91" t="s">
        <v>1929</v>
      </c>
      <c r="AS91" t="str">
        <f ca="1">Sprache!$A$116</f>
        <v>Tiomos Impresso Scharniere</v>
      </c>
      <c r="AT91">
        <v>9.5</v>
      </c>
      <c r="AU91" s="34" t="s">
        <v>3</v>
      </c>
      <c r="AV91">
        <v>110</v>
      </c>
      <c r="AW91" s="10">
        <v>1</v>
      </c>
      <c r="AX91">
        <v>0</v>
      </c>
      <c r="AY91">
        <v>0</v>
      </c>
      <c r="AZ91" s="10">
        <v>0</v>
      </c>
      <c r="BA91">
        <v>0</v>
      </c>
      <c r="BB91">
        <v>0</v>
      </c>
      <c r="BC91">
        <v>1</v>
      </c>
      <c r="BD91" s="143" t="s">
        <v>63</v>
      </c>
      <c r="BG91"/>
    </row>
    <row r="92" spans="1:59" ht="14.25" customHeight="1" x14ac:dyDescent="0.25">
      <c r="A92" s="37" t="str">
        <f>LEFT(Scharniere[[#This Row],[ArtikelNR]],4)</f>
        <v>F035</v>
      </c>
      <c r="B92" s="35" t="str">
        <f>MID(Scharniere[[#This Row],[ArtikelNR]],5,3)</f>
        <v>139</v>
      </c>
      <c r="C92" s="37" t="str">
        <f>RIGHT(Scharniere[[#This Row],[ArtikelNR]],3)</f>
        <v>359</v>
      </c>
      <c r="D92" s="35">
        <f>IF(AND(Scharniere[[#This Row],[Gruppenschlüssel]]=select!$A$44,Scharniere[[#This Row],[Scharnierart]]=1)=TRUE,1,0)</f>
        <v>1</v>
      </c>
      <c r="E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2" s="35">
        <f>IF(select!$F$57=IF(Scharniere[[#This Row],[mit Dämpfung]]=1,1,IF(Scharniere[[#This Row],[ohne Dämpfung]]=1,2,IF(Scharniere[[#This Row],[ohne Feder]]=1,3,0))),1,0)</f>
        <v>1</v>
      </c>
      <c r="G92" s="35">
        <f>IF(Scharniere[[#This Row],[Bohrbild]]=select!$V$43,1,0)</f>
        <v>1</v>
      </c>
      <c r="H92" s="35">
        <f>IF(IF(Scharniere[[#This Row],[Anschrauben]]=1,1,IF(Scharniere[[#This Row],[Einpressen]]=1,2,IF(Scharniere[[#This Row],[Quick]]=1,3,IF(Scharniere[[#This Row],[Werkzeuglos]]=1,4,0))))=select!$F$48,1,0)</f>
        <v>0</v>
      </c>
      <c r="I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" s="149">
        <f>IF(AND(Scharniere[[#This Row],[Scharnierart]]=2,Scharniere[[#This Row],[Gruppenschlüssel]]=select!$A$318)=TRUE,1,0)</f>
        <v>0</v>
      </c>
      <c r="K92" s="221">
        <f ca="1">IF(select!$O$424&lt;6,1,0)</f>
        <v>1</v>
      </c>
      <c r="L92" s="139">
        <f>IF(select!$A$362=IF(Scharniere[[#This Row],[mit Dämpfung]]=1,1,IF(Scharniere[[#This Row],[ohne Dämpfung]]=1,2,IF(Scharniere[[#This Row],[ohne Feder]]=1,3,0))),1,0)</f>
        <v>0</v>
      </c>
      <c r="M92" s="135">
        <f>IF(Scharniere[[#This Row],[Bohrbild]]=select!$O$334,1,0)</f>
        <v>1</v>
      </c>
      <c r="N92" s="135">
        <f>IF(IF(Scharniere[[#This Row],[Anschrauben]]=1,1,IF(Scharniere[[#This Row],[Einpressen]]=1,2,IF(Scharniere[[#This Row],[Quick]]=1,3,IF(Scharniere[[#This Row],[Werkzeuglos]]=1,4,0))))=select!$E$362,1,0)</f>
        <v>0</v>
      </c>
      <c r="O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" s="298">
        <f>IF(AND(Scharniere[[#This Row],[Scharnierart]]=3,Scharniere[[#This Row],[Gruppenschlüssel]]=select!$A$747)=TRUE,1,0)</f>
        <v>0</v>
      </c>
      <c r="Q92" s="298">
        <f ca="1">IF(select!$O$945&lt;6,1,0)</f>
        <v>1</v>
      </c>
      <c r="R92" s="298">
        <f>IF(select!$A$778=IF(Scharniere[[#This Row],[mit Dämpfung]]=1,1,IF(Scharniere[[#This Row],[ohne Dämpfung]]=1,2,IF(Scharniere[[#This Row],[ohne Feder]]=1,3,0))),1,0)</f>
        <v>0</v>
      </c>
      <c r="S92" s="298">
        <f>IF(Scharniere[[#This Row],[Bohrbild]]=select!$A$755,1,0)</f>
        <v>0</v>
      </c>
      <c r="T92" s="298">
        <f>IF(IF(Scharniere[[#This Row],[Anschrauben]]=1,1,IF(Scharniere[[#This Row],[Einpressen]]=1,2,IF(Scharniere[[#This Row],[Quick]]=1,3,IF(Scharniere[[#This Row],[Werkzeuglos]]=1,4,0))))=select!$A$769,1,0)</f>
        <v>0</v>
      </c>
      <c r="U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" s="359">
        <f>IF(AND(Scharniere[[#This Row],[Scharnierart]]=4,Scharniere[[#This Row],[Gruppenschlüssel]]=select!$A$981)=TRUE,1,0)</f>
        <v>0</v>
      </c>
      <c r="W92" s="359">
        <f ca="1">IF(select!$O$1185&lt;6,1,0)</f>
        <v>1</v>
      </c>
      <c r="X92" s="359">
        <f>IF(select!$A$1012=IF(Scharniere[[#This Row],[mit Dämpfung]]=1,1,IF(Scharniere[[#This Row],[ohne Dämpfung]]=1,2,IF(Scharniere[[#This Row],[ohne Feder]]=1,3,0))),1,0)</f>
        <v>0</v>
      </c>
      <c r="Y92" s="359">
        <f>IF(Scharniere[[#This Row],[Bohrbild]]=select!$A$989,1,0)</f>
        <v>0</v>
      </c>
      <c r="Z92" s="359">
        <f>IF(IF(Scharniere[[#This Row],[Anschrauben]]=1,1,IF(Scharniere[[#This Row],[Einpressen]]=1,2,IF(Scharniere[[#This Row],[Quick]]=1,3,IF(Scharniere[[#This Row],[Werkzeuglos]]=1,4,0))))=select!$A$1003,1,0)</f>
        <v>0</v>
      </c>
      <c r="AA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" s="359">
        <f ca="1">IF(select!$K$980="*",Scharniere[[#This Row],[AG Ges2]],Scharniere[[#This Row],[AG Ges1]])</f>
        <v>0</v>
      </c>
      <c r="AE92" s="451">
        <f ca="1">IF(AND(Scharniere[[#This Row],[Scharnierart]]=select!$A$1485,Scharniere[[#This Row],[Gruppenschlüssel]]=select!$B$1485)=TRUE,1,0)</f>
        <v>1</v>
      </c>
      <c r="AF92" s="451">
        <f ca="1">IF(AND(Scharniere[[#This Row],[Scharnierart]]=select!$A$1486,Scharniere[[#This Row],[Gruppenschlüssel]]=select!$B$1486)=TRUE,1,0)</f>
        <v>0</v>
      </c>
      <c r="AG92" s="451">
        <f ca="1">IF(AND(Scharniere[[#This Row],[Scharnierart]]=select!$A$1487,Scharniere[[#This Row],[Gruppenschlüssel]]=select!$B$1487)=TRUE,1,0)</f>
        <v>0</v>
      </c>
      <c r="AH92" s="451">
        <f ca="1">IF(AND(Scharniere[[#This Row],[Scharnierart]]=select!$A$1488,Scharniere[[#This Row],[Gruppenschlüssel]]=select!$B$1488)=TRUE,1,0)</f>
        <v>0</v>
      </c>
      <c r="AI92" s="451">
        <f ca="1">IF(SUM(Scharniere[[#This Row],[konf Scharnier 1]:[konf Scharnier 4]])&gt;0,1,0)</f>
        <v>1</v>
      </c>
      <c r="AJ92" s="451"/>
      <c r="AK92" s="451"/>
      <c r="AL92" s="451"/>
      <c r="AM92" s="451"/>
      <c r="AN92" s="451"/>
      <c r="AO92" s="146">
        <v>1</v>
      </c>
      <c r="AP92" s="146">
        <v>1</v>
      </c>
      <c r="AQ92" s="10" t="str">
        <f ca="1">Sprache!$A$115</f>
        <v>Tiomos Scharnier TT Impresso</v>
      </c>
      <c r="AR92" t="s">
        <v>1929</v>
      </c>
      <c r="AS92" t="str">
        <f ca="1">Sprache!$A$116</f>
        <v>Tiomos Impresso Scharniere</v>
      </c>
      <c r="AT92">
        <v>9.5</v>
      </c>
      <c r="AU92" t="s">
        <v>8</v>
      </c>
      <c r="AV92">
        <v>110</v>
      </c>
      <c r="AW92" s="10">
        <v>0</v>
      </c>
      <c r="AX92">
        <v>0</v>
      </c>
      <c r="AY92">
        <v>1</v>
      </c>
      <c r="AZ92" s="10">
        <v>0</v>
      </c>
      <c r="BA92">
        <v>0</v>
      </c>
      <c r="BB92">
        <v>0</v>
      </c>
      <c r="BC92">
        <v>1</v>
      </c>
      <c r="BD92" s="143" t="s">
        <v>182</v>
      </c>
      <c r="BG92"/>
    </row>
    <row r="93" spans="1:59" ht="14.25" customHeight="1" x14ac:dyDescent="0.25">
      <c r="A93" s="37" t="str">
        <f>LEFT(Scharniere[[#This Row],[ArtikelNR]],4)</f>
        <v>F035</v>
      </c>
      <c r="B93" s="35" t="str">
        <f>MID(Scharniere[[#This Row],[ArtikelNR]],5,3)</f>
        <v>139</v>
      </c>
      <c r="C93" s="37" t="str">
        <f>RIGHT(Scharniere[[#This Row],[ArtikelNR]],3)</f>
        <v>359</v>
      </c>
      <c r="D93" s="35">
        <f>IF(AND(Scharniere[[#This Row],[Gruppenschlüssel]]=select!$A$44,Scharniere[[#This Row],[Scharnierart]]=1)=TRUE,1,0)</f>
        <v>1</v>
      </c>
      <c r="E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3" s="35">
        <f>IF(select!$F$57=IF(Scharniere[[#This Row],[mit Dämpfung]]=1,1,IF(Scharniere[[#This Row],[ohne Dämpfung]]=1,2,IF(Scharniere[[#This Row],[ohne Feder]]=1,3,0))),1,0)</f>
        <v>1</v>
      </c>
      <c r="G93" s="35">
        <f>IF(Scharniere[[#This Row],[Bohrbild]]=select!$V$43,1,0)</f>
        <v>0</v>
      </c>
      <c r="H93" s="35">
        <f>IF(IF(Scharniere[[#This Row],[Anschrauben]]=1,1,IF(Scharniere[[#This Row],[Einpressen]]=1,2,IF(Scharniere[[#This Row],[Quick]]=1,3,IF(Scharniere[[#This Row],[Werkzeuglos]]=1,4,0))))=select!$F$48,1,0)</f>
        <v>0</v>
      </c>
      <c r="I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" s="149">
        <f>IF(AND(Scharniere[[#This Row],[Scharnierart]]=2,Scharniere[[#This Row],[Gruppenschlüssel]]=select!$A$318)=TRUE,1,0)</f>
        <v>0</v>
      </c>
      <c r="K93" s="221">
        <f ca="1">IF(select!$O$424&lt;6,1,0)</f>
        <v>1</v>
      </c>
      <c r="L93" s="139">
        <f>IF(select!$A$362=IF(Scharniere[[#This Row],[mit Dämpfung]]=1,1,IF(Scharniere[[#This Row],[ohne Dämpfung]]=1,2,IF(Scharniere[[#This Row],[ohne Feder]]=1,3,0))),1,0)</f>
        <v>0</v>
      </c>
      <c r="M93" s="135">
        <f>IF(Scharniere[[#This Row],[Bohrbild]]=select!$O$334,1,0)</f>
        <v>0</v>
      </c>
      <c r="N93" s="135">
        <f>IF(IF(Scharniere[[#This Row],[Anschrauben]]=1,1,IF(Scharniere[[#This Row],[Einpressen]]=1,2,IF(Scharniere[[#This Row],[Quick]]=1,3,IF(Scharniere[[#This Row],[Werkzeuglos]]=1,4,0))))=select!$E$362,1,0)</f>
        <v>0</v>
      </c>
      <c r="O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" s="298">
        <f>IF(AND(Scharniere[[#This Row],[Scharnierart]]=3,Scharniere[[#This Row],[Gruppenschlüssel]]=select!$A$747)=TRUE,1,0)</f>
        <v>0</v>
      </c>
      <c r="Q93" s="298">
        <f ca="1">IF(select!$O$945&lt;6,1,0)</f>
        <v>1</v>
      </c>
      <c r="R93" s="298">
        <f>IF(select!$A$778=IF(Scharniere[[#This Row],[mit Dämpfung]]=1,1,IF(Scharniere[[#This Row],[ohne Dämpfung]]=1,2,IF(Scharniere[[#This Row],[ohne Feder]]=1,3,0))),1,0)</f>
        <v>0</v>
      </c>
      <c r="S93" s="298">
        <f>IF(Scharniere[[#This Row],[Bohrbild]]=select!$A$755,1,0)</f>
        <v>0</v>
      </c>
      <c r="T93" s="298">
        <f>IF(IF(Scharniere[[#This Row],[Anschrauben]]=1,1,IF(Scharniere[[#This Row],[Einpressen]]=1,2,IF(Scharniere[[#This Row],[Quick]]=1,3,IF(Scharniere[[#This Row],[Werkzeuglos]]=1,4,0))))=select!$A$769,1,0)</f>
        <v>0</v>
      </c>
      <c r="U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" s="359">
        <f>IF(AND(Scharniere[[#This Row],[Scharnierart]]=4,Scharniere[[#This Row],[Gruppenschlüssel]]=select!$A$981)=TRUE,1,0)</f>
        <v>0</v>
      </c>
      <c r="W93" s="359">
        <f ca="1">IF(select!$O$1185&lt;6,1,0)</f>
        <v>1</v>
      </c>
      <c r="X93" s="359">
        <f>IF(select!$A$1012=IF(Scharniere[[#This Row],[mit Dämpfung]]=1,1,IF(Scharniere[[#This Row],[ohne Dämpfung]]=1,2,IF(Scharniere[[#This Row],[ohne Feder]]=1,3,0))),1,0)</f>
        <v>0</v>
      </c>
      <c r="Y93" s="359">
        <f>IF(Scharniere[[#This Row],[Bohrbild]]=select!$A$989,1,0)</f>
        <v>0</v>
      </c>
      <c r="Z93" s="359">
        <f>IF(IF(Scharniere[[#This Row],[Anschrauben]]=1,1,IF(Scharniere[[#This Row],[Einpressen]]=1,2,IF(Scharniere[[#This Row],[Quick]]=1,3,IF(Scharniere[[#This Row],[Werkzeuglos]]=1,4,0))))=select!$A$1003,1,0)</f>
        <v>0</v>
      </c>
      <c r="AA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" s="359">
        <f ca="1">IF(select!$K$980="*",Scharniere[[#This Row],[AG Ges2]],Scharniere[[#This Row],[AG Ges1]])</f>
        <v>0</v>
      </c>
      <c r="AE93" s="451">
        <f ca="1">IF(AND(Scharniere[[#This Row],[Scharnierart]]=select!$A$1485,Scharniere[[#This Row],[Gruppenschlüssel]]=select!$B$1485)=TRUE,1,0)</f>
        <v>1</v>
      </c>
      <c r="AF93" s="451">
        <f ca="1">IF(AND(Scharniere[[#This Row],[Scharnierart]]=select!$A$1486,Scharniere[[#This Row],[Gruppenschlüssel]]=select!$B$1486)=TRUE,1,0)</f>
        <v>0</v>
      </c>
      <c r="AG93" s="451">
        <f ca="1">IF(AND(Scharniere[[#This Row],[Scharnierart]]=select!$A$1487,Scharniere[[#This Row],[Gruppenschlüssel]]=select!$B$1487)=TRUE,1,0)</f>
        <v>0</v>
      </c>
      <c r="AH93" s="451">
        <f ca="1">IF(AND(Scharniere[[#This Row],[Scharnierart]]=select!$A$1488,Scharniere[[#This Row],[Gruppenschlüssel]]=select!$B$1488)=TRUE,1,0)</f>
        <v>0</v>
      </c>
      <c r="AI93" s="451">
        <f ca="1">IF(SUM(Scharniere[[#This Row],[konf Scharnier 1]:[konf Scharnier 4]])&gt;0,1,0)</f>
        <v>1</v>
      </c>
      <c r="AJ93" s="451"/>
      <c r="AK93" s="451"/>
      <c r="AL93" s="451"/>
      <c r="AM93" s="451"/>
      <c r="AN93" s="451"/>
      <c r="AO93" s="146">
        <v>1</v>
      </c>
      <c r="AP93" s="146">
        <v>1</v>
      </c>
      <c r="AQ93" s="10" t="str">
        <f ca="1">Sprache!$A$115</f>
        <v>Tiomos Scharnier TT Impresso</v>
      </c>
      <c r="AR93" t="s">
        <v>1929</v>
      </c>
      <c r="AS93" t="str">
        <f ca="1">Sprache!$A$116</f>
        <v>Tiomos Impresso Scharniere</v>
      </c>
      <c r="AT93">
        <v>9.5</v>
      </c>
      <c r="AU93" t="s">
        <v>3</v>
      </c>
      <c r="AV93">
        <v>110</v>
      </c>
      <c r="AW93" s="10">
        <v>0</v>
      </c>
      <c r="AX93">
        <v>0</v>
      </c>
      <c r="AY93">
        <v>1</v>
      </c>
      <c r="AZ93" s="10">
        <v>0</v>
      </c>
      <c r="BA93">
        <v>0</v>
      </c>
      <c r="BB93">
        <v>0</v>
      </c>
      <c r="BC93">
        <v>1</v>
      </c>
      <c r="BD93" s="143" t="s">
        <v>182</v>
      </c>
      <c r="BG93"/>
    </row>
    <row r="94" spans="1:59" ht="14.25" customHeight="1" x14ac:dyDescent="0.25">
      <c r="A94" s="37" t="str">
        <f>LEFT(Scharniere[[#This Row],[ArtikelNR]],4)</f>
        <v>F045</v>
      </c>
      <c r="B94" s="35" t="str">
        <f>MID(Scharniere[[#This Row],[ArtikelNR]],5,3)</f>
        <v>138</v>
      </c>
      <c r="C94" s="37" t="str">
        <f>RIGHT(Scharniere[[#This Row],[ArtikelNR]],3)</f>
        <v>827</v>
      </c>
      <c r="D94" s="35">
        <f>IF(AND(Scharniere[[#This Row],[Gruppenschlüssel]]=select!$A$44,Scharniere[[#This Row],[Scharnierart]]=1)=TRUE,1,0)</f>
        <v>1</v>
      </c>
      <c r="E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4" s="35">
        <f>IF(select!$F$57=IF(Scharniere[[#This Row],[mit Dämpfung]]=1,1,IF(Scharniere[[#This Row],[ohne Dämpfung]]=1,2,IF(Scharniere[[#This Row],[ohne Feder]]=1,3,0))),1,0)</f>
        <v>0</v>
      </c>
      <c r="G94" s="35">
        <f>IF(Scharniere[[#This Row],[Bohrbild]]=select!$V$43,1,0)</f>
        <v>0</v>
      </c>
      <c r="H94" s="35">
        <f>IF(IF(Scharniere[[#This Row],[Anschrauben]]=1,1,IF(Scharniere[[#This Row],[Einpressen]]=1,2,IF(Scharniere[[#This Row],[Quick]]=1,3,IF(Scharniere[[#This Row],[Werkzeuglos]]=1,4,0))))=select!$F$48,1,0)</f>
        <v>1</v>
      </c>
      <c r="I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" s="149">
        <f>IF(AND(Scharniere[[#This Row],[Scharnierart]]=2,Scharniere[[#This Row],[Gruppenschlüssel]]=select!$A$318)=TRUE,1,0)</f>
        <v>0</v>
      </c>
      <c r="K94" s="221">
        <f ca="1">IF(select!$O$424&lt;6,1,0)</f>
        <v>1</v>
      </c>
      <c r="L94" s="139">
        <f>IF(select!$A$362=IF(Scharniere[[#This Row],[mit Dämpfung]]=1,1,IF(Scharniere[[#This Row],[ohne Dämpfung]]=1,2,IF(Scharniere[[#This Row],[ohne Feder]]=1,3,0))),1,0)</f>
        <v>0</v>
      </c>
      <c r="M94" s="135">
        <f>IF(Scharniere[[#This Row],[Bohrbild]]=select!$O$334,1,0)</f>
        <v>0</v>
      </c>
      <c r="N94" s="135">
        <f>IF(IF(Scharniere[[#This Row],[Anschrauben]]=1,1,IF(Scharniere[[#This Row],[Einpressen]]=1,2,IF(Scharniere[[#This Row],[Quick]]=1,3,IF(Scharniere[[#This Row],[Werkzeuglos]]=1,4,0))))=select!$E$362,1,0)</f>
        <v>0</v>
      </c>
      <c r="O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" s="298">
        <f>IF(AND(Scharniere[[#This Row],[Scharnierart]]=3,Scharniere[[#This Row],[Gruppenschlüssel]]=select!$A$747)=TRUE,1,0)</f>
        <v>0</v>
      </c>
      <c r="Q94" s="298">
        <f ca="1">IF(select!$O$945&lt;6,1,0)</f>
        <v>1</v>
      </c>
      <c r="R94" s="298">
        <f>IF(select!$A$778=IF(Scharniere[[#This Row],[mit Dämpfung]]=1,1,IF(Scharniere[[#This Row],[ohne Dämpfung]]=1,2,IF(Scharniere[[#This Row],[ohne Feder]]=1,3,0))),1,0)</f>
        <v>1</v>
      </c>
      <c r="S94" s="298">
        <f>IF(Scharniere[[#This Row],[Bohrbild]]=select!$A$755,1,0)</f>
        <v>0</v>
      </c>
      <c r="T94" s="298">
        <f>IF(IF(Scharniere[[#This Row],[Anschrauben]]=1,1,IF(Scharniere[[#This Row],[Einpressen]]=1,2,IF(Scharniere[[#This Row],[Quick]]=1,3,IF(Scharniere[[#This Row],[Werkzeuglos]]=1,4,0))))=select!$A$769,1,0)</f>
        <v>0</v>
      </c>
      <c r="U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" s="359">
        <f>IF(AND(Scharniere[[#This Row],[Scharnierart]]=4,Scharniere[[#This Row],[Gruppenschlüssel]]=select!$A$981)=TRUE,1,0)</f>
        <v>0</v>
      </c>
      <c r="W94" s="359">
        <f ca="1">IF(select!$O$1185&lt;6,1,0)</f>
        <v>1</v>
      </c>
      <c r="X94" s="359">
        <f>IF(select!$A$1012=IF(Scharniere[[#This Row],[mit Dämpfung]]=1,1,IF(Scharniere[[#This Row],[ohne Dämpfung]]=1,2,IF(Scharniere[[#This Row],[ohne Feder]]=1,3,0))),1,0)</f>
        <v>1</v>
      </c>
      <c r="Y94" s="359">
        <f>IF(Scharniere[[#This Row],[Bohrbild]]=select!$A$989,1,0)</f>
        <v>0</v>
      </c>
      <c r="Z94" s="359">
        <f>IF(IF(Scharniere[[#This Row],[Anschrauben]]=1,1,IF(Scharniere[[#This Row],[Einpressen]]=1,2,IF(Scharniere[[#This Row],[Quick]]=1,3,IF(Scharniere[[#This Row],[Werkzeuglos]]=1,4,0))))=select!$A$1003,1,0)</f>
        <v>0</v>
      </c>
      <c r="AA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" s="359">
        <f ca="1">IF(select!$K$980="*",Scharniere[[#This Row],[AG Ges2]],Scharniere[[#This Row],[AG Ges1]])</f>
        <v>0</v>
      </c>
      <c r="AE94" s="451">
        <f ca="1">IF(AND(Scharniere[[#This Row],[Scharnierart]]=select!$A$1485,Scharniere[[#This Row],[Gruppenschlüssel]]=select!$B$1485)=TRUE,1,0)</f>
        <v>1</v>
      </c>
      <c r="AF94" s="451">
        <f ca="1">IF(AND(Scharniere[[#This Row],[Scharnierart]]=select!$A$1486,Scharniere[[#This Row],[Gruppenschlüssel]]=select!$B$1486)=TRUE,1,0)</f>
        <v>0</v>
      </c>
      <c r="AG94" s="451">
        <f ca="1">IF(AND(Scharniere[[#This Row],[Scharnierart]]=select!$A$1487,Scharniere[[#This Row],[Gruppenschlüssel]]=select!$B$1487)=TRUE,1,0)</f>
        <v>0</v>
      </c>
      <c r="AH94" s="451">
        <f ca="1">IF(AND(Scharniere[[#This Row],[Scharnierart]]=select!$A$1488,Scharniere[[#This Row],[Gruppenschlüssel]]=select!$B$1488)=TRUE,1,0)</f>
        <v>0</v>
      </c>
      <c r="AI94" s="451">
        <f ca="1">IF(SUM(Scharniere[[#This Row],[konf Scharnier 1]:[konf Scharnier 4]])&gt;0,1,0)</f>
        <v>1</v>
      </c>
      <c r="AJ94" s="451"/>
      <c r="AK94" s="451"/>
      <c r="AL94" s="451"/>
      <c r="AM94" s="451"/>
      <c r="AN94" s="451"/>
      <c r="AO94" s="146">
        <v>1</v>
      </c>
      <c r="AP94" s="146">
        <v>1</v>
      </c>
      <c r="AQ94" s="10" t="str">
        <f ca="1">Sprache!$A$110</f>
        <v>Tiomos Scharnier T Click-on</v>
      </c>
      <c r="AR94" t="str">
        <f ca="1">"110°, S-BB, K9.5, "&amp;Sprache!A181&amp;", ni"</f>
        <v>110°, S-BB, K9.5, Dübel, ni</v>
      </c>
      <c r="AS94" t="str">
        <f ca="1">Sprache!$A$103</f>
        <v>Tiomos Click-On Scharniere</v>
      </c>
      <c r="AT94">
        <v>9.5</v>
      </c>
      <c r="AU94" t="s">
        <v>11</v>
      </c>
      <c r="AV94">
        <v>110</v>
      </c>
      <c r="AW94" s="10">
        <v>0</v>
      </c>
      <c r="AX94">
        <v>1</v>
      </c>
      <c r="AY94">
        <v>0</v>
      </c>
      <c r="AZ94" s="10">
        <v>0</v>
      </c>
      <c r="BA94">
        <v>1</v>
      </c>
      <c r="BB94">
        <v>0</v>
      </c>
      <c r="BC94">
        <v>0</v>
      </c>
      <c r="BD94" s="143" t="s">
        <v>548</v>
      </c>
      <c r="BG94"/>
    </row>
    <row r="95" spans="1:59" ht="14.25" customHeight="1" x14ac:dyDescent="0.25">
      <c r="A95" s="37" t="str">
        <f>LEFT(Scharniere[[#This Row],[ArtikelNR]],4)</f>
        <v>F028</v>
      </c>
      <c r="B95" s="35" t="str">
        <f>MID(Scharniere[[#This Row],[ArtikelNR]],5,3)</f>
        <v>138</v>
      </c>
      <c r="C95" s="37" t="str">
        <f>RIGHT(Scharniere[[#This Row],[ArtikelNR]],3)</f>
        <v>889</v>
      </c>
      <c r="D95" s="35">
        <f>IF(AND(Scharniere[[#This Row],[Gruppenschlüssel]]=select!$A$44,Scharniere[[#This Row],[Scharnierart]]=1)=TRUE,1,0)</f>
        <v>1</v>
      </c>
      <c r="E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5" s="35">
        <f>IF(select!$F$57=IF(Scharniere[[#This Row],[mit Dämpfung]]=1,1,IF(Scharniere[[#This Row],[ohne Dämpfung]]=1,2,IF(Scharniere[[#This Row],[ohne Feder]]=1,3,0))),1,0)</f>
        <v>0</v>
      </c>
      <c r="G95" s="35">
        <f>IF(Scharniere[[#This Row],[Bohrbild]]=select!$V$43,1,0)</f>
        <v>0</v>
      </c>
      <c r="H95" s="35">
        <f>IF(IF(Scharniere[[#This Row],[Anschrauben]]=1,1,IF(Scharniere[[#This Row],[Einpressen]]=1,2,IF(Scharniere[[#This Row],[Quick]]=1,3,IF(Scharniere[[#This Row],[Werkzeuglos]]=1,4,0))))=select!$F$48,1,0)</f>
        <v>1</v>
      </c>
      <c r="I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" s="149">
        <f>IF(AND(Scharniere[[#This Row],[Scharnierart]]=2,Scharniere[[#This Row],[Gruppenschlüssel]]=select!$A$318)=TRUE,1,0)</f>
        <v>0</v>
      </c>
      <c r="K95" s="221">
        <f ca="1">IF(select!$O$424&lt;6,1,0)</f>
        <v>1</v>
      </c>
      <c r="L95" s="139">
        <f>IF(select!$A$362=IF(Scharniere[[#This Row],[mit Dämpfung]]=1,1,IF(Scharniere[[#This Row],[ohne Dämpfung]]=1,2,IF(Scharniere[[#This Row],[ohne Feder]]=1,3,0))),1,0)</f>
        <v>1</v>
      </c>
      <c r="M95" s="135">
        <f>IF(Scharniere[[#This Row],[Bohrbild]]=select!$O$334,1,0)</f>
        <v>0</v>
      </c>
      <c r="N95" s="135">
        <f>IF(IF(Scharniere[[#This Row],[Anschrauben]]=1,1,IF(Scharniere[[#This Row],[Einpressen]]=1,2,IF(Scharniere[[#This Row],[Quick]]=1,3,IF(Scharniere[[#This Row],[Werkzeuglos]]=1,4,0))))=select!$E$362,1,0)</f>
        <v>0</v>
      </c>
      <c r="O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" s="298">
        <f>IF(AND(Scharniere[[#This Row],[Scharnierart]]=3,Scharniere[[#This Row],[Gruppenschlüssel]]=select!$A$747)=TRUE,1,0)</f>
        <v>0</v>
      </c>
      <c r="Q95" s="298">
        <f ca="1">IF(select!$O$945&lt;6,1,0)</f>
        <v>1</v>
      </c>
      <c r="R95" s="298">
        <f>IF(select!$A$778=IF(Scharniere[[#This Row],[mit Dämpfung]]=1,1,IF(Scharniere[[#This Row],[ohne Dämpfung]]=1,2,IF(Scharniere[[#This Row],[ohne Feder]]=1,3,0))),1,0)</f>
        <v>0</v>
      </c>
      <c r="S95" s="298">
        <f>IF(Scharniere[[#This Row],[Bohrbild]]=select!$A$755,1,0)</f>
        <v>0</v>
      </c>
      <c r="T95" s="298">
        <f>IF(IF(Scharniere[[#This Row],[Anschrauben]]=1,1,IF(Scharniere[[#This Row],[Einpressen]]=1,2,IF(Scharniere[[#This Row],[Quick]]=1,3,IF(Scharniere[[#This Row],[Werkzeuglos]]=1,4,0))))=select!$A$769,1,0)</f>
        <v>0</v>
      </c>
      <c r="U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" s="359">
        <f>IF(AND(Scharniere[[#This Row],[Scharnierart]]=4,Scharniere[[#This Row],[Gruppenschlüssel]]=select!$A$981)=TRUE,1,0)</f>
        <v>0</v>
      </c>
      <c r="W95" s="359">
        <f ca="1">IF(select!$O$1185&lt;6,1,0)</f>
        <v>1</v>
      </c>
      <c r="X95" s="359">
        <f>IF(select!$A$1012=IF(Scharniere[[#This Row],[mit Dämpfung]]=1,1,IF(Scharniere[[#This Row],[ohne Dämpfung]]=1,2,IF(Scharniere[[#This Row],[ohne Feder]]=1,3,0))),1,0)</f>
        <v>0</v>
      </c>
      <c r="Y95" s="359">
        <f>IF(Scharniere[[#This Row],[Bohrbild]]=select!$A$989,1,0)</f>
        <v>0</v>
      </c>
      <c r="Z95" s="359">
        <f>IF(IF(Scharniere[[#This Row],[Anschrauben]]=1,1,IF(Scharniere[[#This Row],[Einpressen]]=1,2,IF(Scharniere[[#This Row],[Quick]]=1,3,IF(Scharniere[[#This Row],[Werkzeuglos]]=1,4,0))))=select!$A$1003,1,0)</f>
        <v>0</v>
      </c>
      <c r="AA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" s="359">
        <f ca="1">IF(select!$K$980="*",Scharniere[[#This Row],[AG Ges2]],Scharniere[[#This Row],[AG Ges1]])</f>
        <v>0</v>
      </c>
      <c r="AE95" s="451">
        <f ca="1">IF(AND(Scharniere[[#This Row],[Scharnierart]]=select!$A$1485,Scharniere[[#This Row],[Gruppenschlüssel]]=select!$B$1485)=TRUE,1,0)</f>
        <v>1</v>
      </c>
      <c r="AF95" s="451">
        <f ca="1">IF(AND(Scharniere[[#This Row],[Scharnierart]]=select!$A$1486,Scharniere[[#This Row],[Gruppenschlüssel]]=select!$B$1486)=TRUE,1,0)</f>
        <v>0</v>
      </c>
      <c r="AG95" s="451">
        <f ca="1">IF(AND(Scharniere[[#This Row],[Scharnierart]]=select!$A$1487,Scharniere[[#This Row],[Gruppenschlüssel]]=select!$B$1487)=TRUE,1,0)</f>
        <v>0</v>
      </c>
      <c r="AH95" s="451">
        <f ca="1">IF(AND(Scharniere[[#This Row],[Scharnierart]]=select!$A$1488,Scharniere[[#This Row],[Gruppenschlüssel]]=select!$B$1488)=TRUE,1,0)</f>
        <v>0</v>
      </c>
      <c r="AI95" s="451">
        <f ca="1">IF(SUM(Scharniere[[#This Row],[konf Scharnier 1]:[konf Scharnier 4]])&gt;0,1,0)</f>
        <v>1</v>
      </c>
      <c r="AJ95" s="451"/>
      <c r="AK95" s="451"/>
      <c r="AL95" s="451"/>
      <c r="AM95" s="451"/>
      <c r="AN95" s="451"/>
      <c r="AO95" s="146">
        <v>1</v>
      </c>
      <c r="AP95" s="146">
        <v>1</v>
      </c>
      <c r="AQ95" s="10" t="str">
        <f ca="1">Sprache!$A$112</f>
        <v>Tiomos Scharnier TS Click-on</v>
      </c>
      <c r="AR95" t="str">
        <f ca="1">"110°, S-BB, K9.5, "&amp;Sprache!A181&amp;", ni"</f>
        <v>110°, S-BB, K9.5, Dübel, ni</v>
      </c>
      <c r="AS95" t="str">
        <f ca="1">Sprache!$A$103</f>
        <v>Tiomos Click-On Scharniere</v>
      </c>
      <c r="AT95">
        <v>9.5</v>
      </c>
      <c r="AU95" t="s">
        <v>11</v>
      </c>
      <c r="AV95">
        <v>110</v>
      </c>
      <c r="AW95" s="10">
        <v>1</v>
      </c>
      <c r="AX95">
        <v>0</v>
      </c>
      <c r="AY95">
        <v>0</v>
      </c>
      <c r="AZ95" s="10">
        <v>0</v>
      </c>
      <c r="BA95">
        <v>1</v>
      </c>
      <c r="BB95">
        <v>0</v>
      </c>
      <c r="BC95">
        <v>0</v>
      </c>
      <c r="BD95" s="143" t="s">
        <v>388</v>
      </c>
      <c r="BG95"/>
    </row>
    <row r="96" spans="1:59" ht="14.25" customHeight="1" x14ac:dyDescent="0.25">
      <c r="A96" s="37" t="str">
        <f>LEFT(Scharniere[[#This Row],[ArtikelNR]],4)</f>
        <v>F046</v>
      </c>
      <c r="B96" s="35" t="str">
        <f>MID(Scharniere[[#This Row],[ArtikelNR]],5,3)</f>
        <v>138</v>
      </c>
      <c r="C96" s="37" t="str">
        <f>RIGHT(Scharniere[[#This Row],[ArtikelNR]],3)</f>
        <v>949</v>
      </c>
      <c r="D96" s="35">
        <f>IF(AND(Scharniere[[#This Row],[Gruppenschlüssel]]=select!$A$44,Scharniere[[#This Row],[Scharnierart]]=1)=TRUE,1,0)</f>
        <v>1</v>
      </c>
      <c r="E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6" s="35">
        <f>IF(select!$F$57=IF(Scharniere[[#This Row],[mit Dämpfung]]=1,1,IF(Scharniere[[#This Row],[ohne Dämpfung]]=1,2,IF(Scharniere[[#This Row],[ohne Feder]]=1,3,0))),1,0)</f>
        <v>1</v>
      </c>
      <c r="G96" s="35">
        <f>IF(Scharniere[[#This Row],[Bohrbild]]=select!$V$43,1,0)</f>
        <v>0</v>
      </c>
      <c r="H96" s="35">
        <f>IF(IF(Scharniere[[#This Row],[Anschrauben]]=1,1,IF(Scharniere[[#This Row],[Einpressen]]=1,2,IF(Scharniere[[#This Row],[Quick]]=1,3,IF(Scharniere[[#This Row],[Werkzeuglos]]=1,4,0))))=select!$F$48,1,0)</f>
        <v>1</v>
      </c>
      <c r="I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" s="149">
        <f>IF(AND(Scharniere[[#This Row],[Scharnierart]]=2,Scharniere[[#This Row],[Gruppenschlüssel]]=select!$A$318)=TRUE,1,0)</f>
        <v>0</v>
      </c>
      <c r="K96" s="221">
        <f ca="1">IF(select!$O$424&lt;6,1,0)</f>
        <v>1</v>
      </c>
      <c r="L96" s="139">
        <f>IF(select!$A$362=IF(Scharniere[[#This Row],[mit Dämpfung]]=1,1,IF(Scharniere[[#This Row],[ohne Dämpfung]]=1,2,IF(Scharniere[[#This Row],[ohne Feder]]=1,3,0))),1,0)</f>
        <v>0</v>
      </c>
      <c r="M96" s="135">
        <f>IF(Scharniere[[#This Row],[Bohrbild]]=select!$O$334,1,0)</f>
        <v>0</v>
      </c>
      <c r="N96" s="135">
        <f>IF(IF(Scharniere[[#This Row],[Anschrauben]]=1,1,IF(Scharniere[[#This Row],[Einpressen]]=1,2,IF(Scharniere[[#This Row],[Quick]]=1,3,IF(Scharniere[[#This Row],[Werkzeuglos]]=1,4,0))))=select!$E$362,1,0)</f>
        <v>0</v>
      </c>
      <c r="O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" s="298">
        <f>IF(AND(Scharniere[[#This Row],[Scharnierart]]=3,Scharniere[[#This Row],[Gruppenschlüssel]]=select!$A$747)=TRUE,1,0)</f>
        <v>0</v>
      </c>
      <c r="Q96" s="298">
        <f ca="1">IF(select!$O$945&lt;6,1,0)</f>
        <v>1</v>
      </c>
      <c r="R96" s="298">
        <f>IF(select!$A$778=IF(Scharniere[[#This Row],[mit Dämpfung]]=1,1,IF(Scharniere[[#This Row],[ohne Dämpfung]]=1,2,IF(Scharniere[[#This Row],[ohne Feder]]=1,3,0))),1,0)</f>
        <v>0</v>
      </c>
      <c r="S96" s="298">
        <f>IF(Scharniere[[#This Row],[Bohrbild]]=select!$A$755,1,0)</f>
        <v>0</v>
      </c>
      <c r="T96" s="298">
        <f>IF(IF(Scharniere[[#This Row],[Anschrauben]]=1,1,IF(Scharniere[[#This Row],[Einpressen]]=1,2,IF(Scharniere[[#This Row],[Quick]]=1,3,IF(Scharniere[[#This Row],[Werkzeuglos]]=1,4,0))))=select!$A$769,1,0)</f>
        <v>0</v>
      </c>
      <c r="U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" s="359">
        <f>IF(AND(Scharniere[[#This Row],[Scharnierart]]=4,Scharniere[[#This Row],[Gruppenschlüssel]]=select!$A$981)=TRUE,1,0)</f>
        <v>0</v>
      </c>
      <c r="W96" s="359">
        <f ca="1">IF(select!$O$1185&lt;6,1,0)</f>
        <v>1</v>
      </c>
      <c r="X96" s="359">
        <f>IF(select!$A$1012=IF(Scharniere[[#This Row],[mit Dämpfung]]=1,1,IF(Scharniere[[#This Row],[ohne Dämpfung]]=1,2,IF(Scharniere[[#This Row],[ohne Feder]]=1,3,0))),1,0)</f>
        <v>0</v>
      </c>
      <c r="Y96" s="359">
        <f>IF(Scharniere[[#This Row],[Bohrbild]]=select!$A$989,1,0)</f>
        <v>0</v>
      </c>
      <c r="Z96" s="359">
        <f>IF(IF(Scharniere[[#This Row],[Anschrauben]]=1,1,IF(Scharniere[[#This Row],[Einpressen]]=1,2,IF(Scharniere[[#This Row],[Quick]]=1,3,IF(Scharniere[[#This Row],[Werkzeuglos]]=1,4,0))))=select!$A$1003,1,0)</f>
        <v>0</v>
      </c>
      <c r="AA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" s="359">
        <f ca="1">IF(select!$K$980="*",Scharniere[[#This Row],[AG Ges2]],Scharniere[[#This Row],[AG Ges1]])</f>
        <v>0</v>
      </c>
      <c r="AE96" s="451">
        <f ca="1">IF(AND(Scharniere[[#This Row],[Scharnierart]]=select!$A$1485,Scharniere[[#This Row],[Gruppenschlüssel]]=select!$B$1485)=TRUE,1,0)</f>
        <v>1</v>
      </c>
      <c r="AF96" s="451">
        <f ca="1">IF(AND(Scharniere[[#This Row],[Scharnierart]]=select!$A$1486,Scharniere[[#This Row],[Gruppenschlüssel]]=select!$B$1486)=TRUE,1,0)</f>
        <v>0</v>
      </c>
      <c r="AG96" s="451">
        <f ca="1">IF(AND(Scharniere[[#This Row],[Scharnierart]]=select!$A$1487,Scharniere[[#This Row],[Gruppenschlüssel]]=select!$B$1487)=TRUE,1,0)</f>
        <v>0</v>
      </c>
      <c r="AH96" s="451">
        <f ca="1">IF(AND(Scharniere[[#This Row],[Scharnierart]]=select!$A$1488,Scharniere[[#This Row],[Gruppenschlüssel]]=select!$B$1488)=TRUE,1,0)</f>
        <v>0</v>
      </c>
      <c r="AI96" s="451">
        <f ca="1">IF(SUM(Scharniere[[#This Row],[konf Scharnier 1]:[konf Scharnier 4]])&gt;0,1,0)</f>
        <v>1</v>
      </c>
      <c r="AJ96" s="451"/>
      <c r="AK96" s="451"/>
      <c r="AL96" s="451"/>
      <c r="AM96" s="451"/>
      <c r="AN96" s="451"/>
      <c r="AO96" s="146">
        <v>1</v>
      </c>
      <c r="AP96" s="146">
        <v>1</v>
      </c>
      <c r="AQ96" s="10" t="str">
        <f ca="1">Sprache!$A$114</f>
        <v>Tiomos Scharnier TT Click-on</v>
      </c>
      <c r="AR96" t="str">
        <f ca="1">"110°, S-BB, K9.5, "&amp;Sprache!A181&amp;", ni"</f>
        <v>110°, S-BB, K9.5, Dübel, ni</v>
      </c>
      <c r="AS96" t="str">
        <f ca="1">Sprache!$A$103</f>
        <v>Tiomos Click-On Scharniere</v>
      </c>
      <c r="AT96">
        <v>9.5</v>
      </c>
      <c r="AU96" t="s">
        <v>11</v>
      </c>
      <c r="AV96">
        <v>110</v>
      </c>
      <c r="AW96" s="10">
        <v>0</v>
      </c>
      <c r="AX96">
        <v>0</v>
      </c>
      <c r="AY96">
        <v>1</v>
      </c>
      <c r="AZ96" s="10">
        <v>0</v>
      </c>
      <c r="BA96">
        <v>1</v>
      </c>
      <c r="BB96">
        <v>0</v>
      </c>
      <c r="BC96">
        <v>0</v>
      </c>
      <c r="BD96" s="143" t="s">
        <v>700</v>
      </c>
      <c r="BG96"/>
    </row>
    <row r="97" spans="1:59" ht="14.25" customHeight="1" x14ac:dyDescent="0.25">
      <c r="A97" s="37" t="str">
        <f>LEFT(Scharniere[[#This Row],[ArtikelNR]],4)</f>
        <v>F045</v>
      </c>
      <c r="B97" s="35" t="str">
        <f>MID(Scharniere[[#This Row],[ArtikelNR]],5,3)</f>
        <v>138</v>
      </c>
      <c r="C97" s="37" t="str">
        <f>RIGHT(Scharniere[[#This Row],[ArtikelNR]],3)</f>
        <v>823</v>
      </c>
      <c r="D97" s="35">
        <f>IF(AND(Scharniere[[#This Row],[Gruppenschlüssel]]=select!$A$44,Scharniere[[#This Row],[Scharnierart]]=1)=TRUE,1,0)</f>
        <v>1</v>
      </c>
      <c r="E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7" s="35">
        <f>IF(select!$F$57=IF(Scharniere[[#This Row],[mit Dämpfung]]=1,1,IF(Scharniere[[#This Row],[ohne Dämpfung]]=1,2,IF(Scharniere[[#This Row],[ohne Feder]]=1,3,0))),1,0)</f>
        <v>0</v>
      </c>
      <c r="G97" s="35">
        <f>IF(Scharniere[[#This Row],[Bohrbild]]=select!$V$43,1,0)</f>
        <v>0</v>
      </c>
      <c r="H97" s="35">
        <f>IF(IF(Scharniere[[#This Row],[Anschrauben]]=1,1,IF(Scharniere[[#This Row],[Einpressen]]=1,2,IF(Scharniere[[#This Row],[Quick]]=1,3,IF(Scharniere[[#This Row],[Werkzeuglos]]=1,4,0))))=select!$F$48,1,0)</f>
        <v>0</v>
      </c>
      <c r="I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" s="149">
        <f>IF(AND(Scharniere[[#This Row],[Scharnierart]]=2,Scharniere[[#This Row],[Gruppenschlüssel]]=select!$A$318)=TRUE,1,0)</f>
        <v>0</v>
      </c>
      <c r="K97" s="221">
        <f ca="1">IF(select!$O$424&lt;6,1,0)</f>
        <v>1</v>
      </c>
      <c r="L97" s="139">
        <f>IF(select!$A$362=IF(Scharniere[[#This Row],[mit Dämpfung]]=1,1,IF(Scharniere[[#This Row],[ohne Dämpfung]]=1,2,IF(Scharniere[[#This Row],[ohne Feder]]=1,3,0))),1,0)</f>
        <v>0</v>
      </c>
      <c r="M97" s="135">
        <f>IF(Scharniere[[#This Row],[Bohrbild]]=select!$O$334,1,0)</f>
        <v>0</v>
      </c>
      <c r="N97" s="135">
        <f>IF(IF(Scharniere[[#This Row],[Anschrauben]]=1,1,IF(Scharniere[[#This Row],[Einpressen]]=1,2,IF(Scharniere[[#This Row],[Quick]]=1,3,IF(Scharniere[[#This Row],[Werkzeuglos]]=1,4,0))))=select!$E$362,1,0)</f>
        <v>1</v>
      </c>
      <c r="O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" s="298">
        <f>IF(AND(Scharniere[[#This Row],[Scharnierart]]=3,Scharniere[[#This Row],[Gruppenschlüssel]]=select!$A$747)=TRUE,1,0)</f>
        <v>0</v>
      </c>
      <c r="Q97" s="298">
        <f ca="1">IF(select!$O$945&lt;6,1,0)</f>
        <v>1</v>
      </c>
      <c r="R97" s="298">
        <f>IF(select!$A$778=IF(Scharniere[[#This Row],[mit Dämpfung]]=1,1,IF(Scharniere[[#This Row],[ohne Dämpfung]]=1,2,IF(Scharniere[[#This Row],[ohne Feder]]=1,3,0))),1,0)</f>
        <v>1</v>
      </c>
      <c r="S97" s="298">
        <f>IF(Scharniere[[#This Row],[Bohrbild]]=select!$A$755,1,0)</f>
        <v>0</v>
      </c>
      <c r="T97" s="298">
        <f>IF(IF(Scharniere[[#This Row],[Anschrauben]]=1,1,IF(Scharniere[[#This Row],[Einpressen]]=1,2,IF(Scharniere[[#This Row],[Quick]]=1,3,IF(Scharniere[[#This Row],[Werkzeuglos]]=1,4,0))))=select!$A$769,1,0)</f>
        <v>1</v>
      </c>
      <c r="U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" s="359">
        <f>IF(AND(Scharniere[[#This Row],[Scharnierart]]=4,Scharniere[[#This Row],[Gruppenschlüssel]]=select!$A$981)=TRUE,1,0)</f>
        <v>0</v>
      </c>
      <c r="W97" s="359">
        <f ca="1">IF(select!$O$1185&lt;6,1,0)</f>
        <v>1</v>
      </c>
      <c r="X97" s="359">
        <f>IF(select!$A$1012=IF(Scharniere[[#This Row],[mit Dämpfung]]=1,1,IF(Scharniere[[#This Row],[ohne Dämpfung]]=1,2,IF(Scharniere[[#This Row],[ohne Feder]]=1,3,0))),1,0)</f>
        <v>1</v>
      </c>
      <c r="Y97" s="359">
        <f>IF(Scharniere[[#This Row],[Bohrbild]]=select!$A$989,1,0)</f>
        <v>0</v>
      </c>
      <c r="Z97" s="359">
        <f>IF(IF(Scharniere[[#This Row],[Anschrauben]]=1,1,IF(Scharniere[[#This Row],[Einpressen]]=1,2,IF(Scharniere[[#This Row],[Quick]]=1,3,IF(Scharniere[[#This Row],[Werkzeuglos]]=1,4,0))))=select!$A$1003,1,0)</f>
        <v>1</v>
      </c>
      <c r="AA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" s="359">
        <f ca="1">IF(select!$K$980="*",Scharniere[[#This Row],[AG Ges2]],Scharniere[[#This Row],[AG Ges1]])</f>
        <v>0</v>
      </c>
      <c r="AE97" s="451">
        <f ca="1">IF(AND(Scharniere[[#This Row],[Scharnierart]]=select!$A$1485,Scharniere[[#This Row],[Gruppenschlüssel]]=select!$B$1485)=TRUE,1,0)</f>
        <v>1</v>
      </c>
      <c r="AF97" s="451">
        <f ca="1">IF(AND(Scharniere[[#This Row],[Scharnierart]]=select!$A$1486,Scharniere[[#This Row],[Gruppenschlüssel]]=select!$B$1486)=TRUE,1,0)</f>
        <v>0</v>
      </c>
      <c r="AG97" s="451">
        <f ca="1">IF(AND(Scharniere[[#This Row],[Scharnierart]]=select!$A$1487,Scharniere[[#This Row],[Gruppenschlüssel]]=select!$B$1487)=TRUE,1,0)</f>
        <v>0</v>
      </c>
      <c r="AH97" s="451">
        <f ca="1">IF(AND(Scharniere[[#This Row],[Scharnierart]]=select!$A$1488,Scharniere[[#This Row],[Gruppenschlüssel]]=select!$B$1488)=TRUE,1,0)</f>
        <v>0</v>
      </c>
      <c r="AI97" s="451">
        <f ca="1">IF(SUM(Scharniere[[#This Row],[konf Scharnier 1]:[konf Scharnier 4]])&gt;0,1,0)</f>
        <v>1</v>
      </c>
      <c r="AJ97" s="451"/>
      <c r="AK97" s="451"/>
      <c r="AL97" s="451"/>
      <c r="AM97" s="451"/>
      <c r="AN97" s="451"/>
      <c r="AO97" s="146">
        <v>1</v>
      </c>
      <c r="AP97" s="146">
        <v>1</v>
      </c>
      <c r="AQ97" s="10" t="str">
        <f ca="1">Sprache!$A$110</f>
        <v>Tiomos Scharnier T Click-on</v>
      </c>
      <c r="AR97" t="s">
        <v>1930</v>
      </c>
      <c r="AS97" t="str">
        <f ca="1">Sprache!$A$103</f>
        <v>Tiomos Click-On Scharniere</v>
      </c>
      <c r="AT97">
        <v>9.5</v>
      </c>
      <c r="AU97" t="s">
        <v>11</v>
      </c>
      <c r="AV97">
        <v>110</v>
      </c>
      <c r="AW97" s="10">
        <v>0</v>
      </c>
      <c r="AX97">
        <v>1</v>
      </c>
      <c r="AY97">
        <v>0</v>
      </c>
      <c r="AZ97" s="10">
        <v>1</v>
      </c>
      <c r="BA97">
        <v>0</v>
      </c>
      <c r="BB97">
        <v>0</v>
      </c>
      <c r="BC97">
        <v>0</v>
      </c>
      <c r="BD97" s="143" t="s">
        <v>544</v>
      </c>
      <c r="BG97"/>
    </row>
    <row r="98" spans="1:59" ht="14.25" customHeight="1" x14ac:dyDescent="0.25">
      <c r="A98" s="37" t="str">
        <f>LEFT(Scharniere[[#This Row],[ArtikelNR]],4)</f>
        <v>F028</v>
      </c>
      <c r="B98" s="35" t="str">
        <f>MID(Scharniere[[#This Row],[ArtikelNR]],5,3)</f>
        <v>138</v>
      </c>
      <c r="C98" s="37" t="str">
        <f>RIGHT(Scharniere[[#This Row],[ArtikelNR]],3)</f>
        <v>885</v>
      </c>
      <c r="D98" s="35">
        <f>IF(AND(Scharniere[[#This Row],[Gruppenschlüssel]]=select!$A$44,Scharniere[[#This Row],[Scharnierart]]=1)=TRUE,1,0)</f>
        <v>1</v>
      </c>
      <c r="E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8" s="35">
        <f>IF(select!$F$57=IF(Scharniere[[#This Row],[mit Dämpfung]]=1,1,IF(Scharniere[[#This Row],[ohne Dämpfung]]=1,2,IF(Scharniere[[#This Row],[ohne Feder]]=1,3,0))),1,0)</f>
        <v>0</v>
      </c>
      <c r="G98" s="35">
        <f>IF(Scharniere[[#This Row],[Bohrbild]]=select!$V$43,1,0)</f>
        <v>0</v>
      </c>
      <c r="H98" s="35">
        <f>IF(IF(Scharniere[[#This Row],[Anschrauben]]=1,1,IF(Scharniere[[#This Row],[Einpressen]]=1,2,IF(Scharniere[[#This Row],[Quick]]=1,3,IF(Scharniere[[#This Row],[Werkzeuglos]]=1,4,0))))=select!$F$48,1,0)</f>
        <v>0</v>
      </c>
      <c r="I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" s="149">
        <f>IF(AND(Scharniere[[#This Row],[Scharnierart]]=2,Scharniere[[#This Row],[Gruppenschlüssel]]=select!$A$318)=TRUE,1,0)</f>
        <v>0</v>
      </c>
      <c r="K98" s="221">
        <f ca="1">IF(select!$O$424&lt;6,1,0)</f>
        <v>1</v>
      </c>
      <c r="L98" s="139">
        <f>IF(select!$A$362=IF(Scharniere[[#This Row],[mit Dämpfung]]=1,1,IF(Scharniere[[#This Row],[ohne Dämpfung]]=1,2,IF(Scharniere[[#This Row],[ohne Feder]]=1,3,0))),1,0)</f>
        <v>1</v>
      </c>
      <c r="M98" s="135">
        <f>IF(Scharniere[[#This Row],[Bohrbild]]=select!$O$334,1,0)</f>
        <v>0</v>
      </c>
      <c r="N98" s="135">
        <f>IF(IF(Scharniere[[#This Row],[Anschrauben]]=1,1,IF(Scharniere[[#This Row],[Einpressen]]=1,2,IF(Scharniere[[#This Row],[Quick]]=1,3,IF(Scharniere[[#This Row],[Werkzeuglos]]=1,4,0))))=select!$E$362,1,0)</f>
        <v>1</v>
      </c>
      <c r="O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" s="298">
        <f>IF(AND(Scharniere[[#This Row],[Scharnierart]]=3,Scharniere[[#This Row],[Gruppenschlüssel]]=select!$A$747)=TRUE,1,0)</f>
        <v>0</v>
      </c>
      <c r="Q98" s="298">
        <f ca="1">IF(select!$O$945&lt;6,1,0)</f>
        <v>1</v>
      </c>
      <c r="R98" s="298">
        <f>IF(select!$A$778=IF(Scharniere[[#This Row],[mit Dämpfung]]=1,1,IF(Scharniere[[#This Row],[ohne Dämpfung]]=1,2,IF(Scharniere[[#This Row],[ohne Feder]]=1,3,0))),1,0)</f>
        <v>0</v>
      </c>
      <c r="S98" s="298">
        <f>IF(Scharniere[[#This Row],[Bohrbild]]=select!$A$755,1,0)</f>
        <v>0</v>
      </c>
      <c r="T98" s="298">
        <f>IF(IF(Scharniere[[#This Row],[Anschrauben]]=1,1,IF(Scharniere[[#This Row],[Einpressen]]=1,2,IF(Scharniere[[#This Row],[Quick]]=1,3,IF(Scharniere[[#This Row],[Werkzeuglos]]=1,4,0))))=select!$A$769,1,0)</f>
        <v>1</v>
      </c>
      <c r="U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" s="359">
        <f>IF(AND(Scharniere[[#This Row],[Scharnierart]]=4,Scharniere[[#This Row],[Gruppenschlüssel]]=select!$A$981)=TRUE,1,0)</f>
        <v>0</v>
      </c>
      <c r="W98" s="359">
        <f ca="1">IF(select!$O$1185&lt;6,1,0)</f>
        <v>1</v>
      </c>
      <c r="X98" s="359">
        <f>IF(select!$A$1012=IF(Scharniere[[#This Row],[mit Dämpfung]]=1,1,IF(Scharniere[[#This Row],[ohne Dämpfung]]=1,2,IF(Scharniere[[#This Row],[ohne Feder]]=1,3,0))),1,0)</f>
        <v>0</v>
      </c>
      <c r="Y98" s="359">
        <f>IF(Scharniere[[#This Row],[Bohrbild]]=select!$A$989,1,0)</f>
        <v>0</v>
      </c>
      <c r="Z98" s="359">
        <f>IF(IF(Scharniere[[#This Row],[Anschrauben]]=1,1,IF(Scharniere[[#This Row],[Einpressen]]=1,2,IF(Scharniere[[#This Row],[Quick]]=1,3,IF(Scharniere[[#This Row],[Werkzeuglos]]=1,4,0))))=select!$A$1003,1,0)</f>
        <v>1</v>
      </c>
      <c r="AA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" s="359">
        <f ca="1">IF(select!$K$980="*",Scharniere[[#This Row],[AG Ges2]],Scharniere[[#This Row],[AG Ges1]])</f>
        <v>0</v>
      </c>
      <c r="AE98" s="451">
        <f ca="1">IF(AND(Scharniere[[#This Row],[Scharnierart]]=select!$A$1485,Scharniere[[#This Row],[Gruppenschlüssel]]=select!$B$1485)=TRUE,1,0)</f>
        <v>1</v>
      </c>
      <c r="AF98" s="451">
        <f ca="1">IF(AND(Scharniere[[#This Row],[Scharnierart]]=select!$A$1486,Scharniere[[#This Row],[Gruppenschlüssel]]=select!$B$1486)=TRUE,1,0)</f>
        <v>0</v>
      </c>
      <c r="AG98" s="451">
        <f ca="1">IF(AND(Scharniere[[#This Row],[Scharnierart]]=select!$A$1487,Scharniere[[#This Row],[Gruppenschlüssel]]=select!$B$1487)=TRUE,1,0)</f>
        <v>0</v>
      </c>
      <c r="AH98" s="451">
        <f ca="1">IF(AND(Scharniere[[#This Row],[Scharnierart]]=select!$A$1488,Scharniere[[#This Row],[Gruppenschlüssel]]=select!$B$1488)=TRUE,1,0)</f>
        <v>0</v>
      </c>
      <c r="AI98" s="451">
        <f ca="1">IF(SUM(Scharniere[[#This Row],[konf Scharnier 1]:[konf Scharnier 4]])&gt;0,1,0)</f>
        <v>1</v>
      </c>
      <c r="AJ98" s="451"/>
      <c r="AK98" s="451"/>
      <c r="AL98" s="451"/>
      <c r="AM98" s="451"/>
      <c r="AN98" s="451"/>
      <c r="AO98" s="146">
        <v>1</v>
      </c>
      <c r="AP98" s="146">
        <v>1</v>
      </c>
      <c r="AQ98" s="10" t="str">
        <f ca="1">Sprache!$A$112</f>
        <v>Tiomos Scharnier TS Click-on</v>
      </c>
      <c r="AR98" t="s">
        <v>1930</v>
      </c>
      <c r="AS98" t="str">
        <f ca="1">Sprache!$A$103</f>
        <v>Tiomos Click-On Scharniere</v>
      </c>
      <c r="AT98">
        <v>9.5</v>
      </c>
      <c r="AU98" t="s">
        <v>11</v>
      </c>
      <c r="AV98">
        <v>110</v>
      </c>
      <c r="AW98" s="10">
        <v>1</v>
      </c>
      <c r="AX98">
        <v>0</v>
      </c>
      <c r="AY98">
        <v>0</v>
      </c>
      <c r="AZ98" s="10">
        <v>1</v>
      </c>
      <c r="BA98">
        <v>0</v>
      </c>
      <c r="BB98">
        <v>0</v>
      </c>
      <c r="BC98">
        <v>0</v>
      </c>
      <c r="BD98" s="143" t="s">
        <v>383</v>
      </c>
      <c r="BG98"/>
    </row>
    <row r="99" spans="1:59" ht="14.25" customHeight="1" x14ac:dyDescent="0.25">
      <c r="A99" s="37" t="str">
        <f>LEFT(Scharniere[[#This Row],[ArtikelNR]],4)</f>
        <v>F046</v>
      </c>
      <c r="B99" s="35" t="str">
        <f>MID(Scharniere[[#This Row],[ArtikelNR]],5,3)</f>
        <v>138</v>
      </c>
      <c r="C99" s="37" t="str">
        <f>RIGHT(Scharniere[[#This Row],[ArtikelNR]],3)</f>
        <v>945</v>
      </c>
      <c r="D99" s="35">
        <f>IF(AND(Scharniere[[#This Row],[Gruppenschlüssel]]=select!$A$44,Scharniere[[#This Row],[Scharnierart]]=1)=TRUE,1,0)</f>
        <v>1</v>
      </c>
      <c r="E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99" s="35">
        <f>IF(select!$F$57=IF(Scharniere[[#This Row],[mit Dämpfung]]=1,1,IF(Scharniere[[#This Row],[ohne Dämpfung]]=1,2,IF(Scharniere[[#This Row],[ohne Feder]]=1,3,0))),1,0)</f>
        <v>1</v>
      </c>
      <c r="G99" s="35">
        <f>IF(Scharniere[[#This Row],[Bohrbild]]=select!$V$43,1,0)</f>
        <v>0</v>
      </c>
      <c r="H99" s="35">
        <f>IF(IF(Scharniere[[#This Row],[Anschrauben]]=1,1,IF(Scharniere[[#This Row],[Einpressen]]=1,2,IF(Scharniere[[#This Row],[Quick]]=1,3,IF(Scharniere[[#This Row],[Werkzeuglos]]=1,4,0))))=select!$F$48,1,0)</f>
        <v>0</v>
      </c>
      <c r="I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" s="149">
        <f>IF(AND(Scharniere[[#This Row],[Scharnierart]]=2,Scharniere[[#This Row],[Gruppenschlüssel]]=select!$A$318)=TRUE,1,0)</f>
        <v>0</v>
      </c>
      <c r="K99" s="221">
        <f ca="1">IF(select!$O$424&lt;6,1,0)</f>
        <v>1</v>
      </c>
      <c r="L99" s="139">
        <f>IF(select!$A$362=IF(Scharniere[[#This Row],[mit Dämpfung]]=1,1,IF(Scharniere[[#This Row],[ohne Dämpfung]]=1,2,IF(Scharniere[[#This Row],[ohne Feder]]=1,3,0))),1,0)</f>
        <v>0</v>
      </c>
      <c r="M99" s="135">
        <f>IF(Scharniere[[#This Row],[Bohrbild]]=select!$O$334,1,0)</f>
        <v>0</v>
      </c>
      <c r="N99" s="135">
        <f>IF(IF(Scharniere[[#This Row],[Anschrauben]]=1,1,IF(Scharniere[[#This Row],[Einpressen]]=1,2,IF(Scharniere[[#This Row],[Quick]]=1,3,IF(Scharniere[[#This Row],[Werkzeuglos]]=1,4,0))))=select!$E$362,1,0)</f>
        <v>1</v>
      </c>
      <c r="O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" s="298">
        <f>IF(AND(Scharniere[[#This Row],[Scharnierart]]=3,Scharniere[[#This Row],[Gruppenschlüssel]]=select!$A$747)=TRUE,1,0)</f>
        <v>0</v>
      </c>
      <c r="Q99" s="298">
        <f ca="1">IF(select!$O$945&lt;6,1,0)</f>
        <v>1</v>
      </c>
      <c r="R99" s="298">
        <f>IF(select!$A$778=IF(Scharniere[[#This Row],[mit Dämpfung]]=1,1,IF(Scharniere[[#This Row],[ohne Dämpfung]]=1,2,IF(Scharniere[[#This Row],[ohne Feder]]=1,3,0))),1,0)</f>
        <v>0</v>
      </c>
      <c r="S99" s="298">
        <f>IF(Scharniere[[#This Row],[Bohrbild]]=select!$A$755,1,0)</f>
        <v>0</v>
      </c>
      <c r="T99" s="298">
        <f>IF(IF(Scharniere[[#This Row],[Anschrauben]]=1,1,IF(Scharniere[[#This Row],[Einpressen]]=1,2,IF(Scharniere[[#This Row],[Quick]]=1,3,IF(Scharniere[[#This Row],[Werkzeuglos]]=1,4,0))))=select!$A$769,1,0)</f>
        <v>1</v>
      </c>
      <c r="U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" s="359">
        <f>IF(AND(Scharniere[[#This Row],[Scharnierart]]=4,Scharniere[[#This Row],[Gruppenschlüssel]]=select!$A$981)=TRUE,1,0)</f>
        <v>0</v>
      </c>
      <c r="W99" s="359">
        <f ca="1">IF(select!$O$1185&lt;6,1,0)</f>
        <v>1</v>
      </c>
      <c r="X99" s="359">
        <f>IF(select!$A$1012=IF(Scharniere[[#This Row],[mit Dämpfung]]=1,1,IF(Scharniere[[#This Row],[ohne Dämpfung]]=1,2,IF(Scharniere[[#This Row],[ohne Feder]]=1,3,0))),1,0)</f>
        <v>0</v>
      </c>
      <c r="Y99" s="359">
        <f>IF(Scharniere[[#This Row],[Bohrbild]]=select!$A$989,1,0)</f>
        <v>0</v>
      </c>
      <c r="Z99" s="359">
        <f>IF(IF(Scharniere[[#This Row],[Anschrauben]]=1,1,IF(Scharniere[[#This Row],[Einpressen]]=1,2,IF(Scharniere[[#This Row],[Quick]]=1,3,IF(Scharniere[[#This Row],[Werkzeuglos]]=1,4,0))))=select!$A$1003,1,0)</f>
        <v>1</v>
      </c>
      <c r="AA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" s="359">
        <f ca="1">IF(select!$K$980="*",Scharniere[[#This Row],[AG Ges2]],Scharniere[[#This Row],[AG Ges1]])</f>
        <v>0</v>
      </c>
      <c r="AE99" s="451">
        <f ca="1">IF(AND(Scharniere[[#This Row],[Scharnierart]]=select!$A$1485,Scharniere[[#This Row],[Gruppenschlüssel]]=select!$B$1485)=TRUE,1,0)</f>
        <v>1</v>
      </c>
      <c r="AF99" s="451">
        <f ca="1">IF(AND(Scharniere[[#This Row],[Scharnierart]]=select!$A$1486,Scharniere[[#This Row],[Gruppenschlüssel]]=select!$B$1486)=TRUE,1,0)</f>
        <v>0</v>
      </c>
      <c r="AG99" s="451">
        <f ca="1">IF(AND(Scharniere[[#This Row],[Scharnierart]]=select!$A$1487,Scharniere[[#This Row],[Gruppenschlüssel]]=select!$B$1487)=TRUE,1,0)</f>
        <v>0</v>
      </c>
      <c r="AH99" s="451">
        <f ca="1">IF(AND(Scharniere[[#This Row],[Scharnierart]]=select!$A$1488,Scharniere[[#This Row],[Gruppenschlüssel]]=select!$B$1488)=TRUE,1,0)</f>
        <v>0</v>
      </c>
      <c r="AI99" s="451">
        <f ca="1">IF(SUM(Scharniere[[#This Row],[konf Scharnier 1]:[konf Scharnier 4]])&gt;0,1,0)</f>
        <v>1</v>
      </c>
      <c r="AJ99" s="451"/>
      <c r="AK99" s="451"/>
      <c r="AL99" s="451"/>
      <c r="AM99" s="451"/>
      <c r="AN99" s="451"/>
      <c r="AO99" s="146">
        <v>1</v>
      </c>
      <c r="AP99" s="146">
        <v>1</v>
      </c>
      <c r="AQ99" s="10" t="str">
        <f ca="1">Sprache!$A$114</f>
        <v>Tiomos Scharnier TT Click-on</v>
      </c>
      <c r="AR99" t="s">
        <v>1930</v>
      </c>
      <c r="AS99" t="str">
        <f ca="1">Sprache!$A$103</f>
        <v>Tiomos Click-On Scharniere</v>
      </c>
      <c r="AT99">
        <v>9.5</v>
      </c>
      <c r="AU99" t="s">
        <v>11</v>
      </c>
      <c r="AV99">
        <v>110</v>
      </c>
      <c r="AW99" s="10">
        <v>0</v>
      </c>
      <c r="AX99">
        <v>0</v>
      </c>
      <c r="AY99">
        <v>1</v>
      </c>
      <c r="AZ99" s="10">
        <v>1</v>
      </c>
      <c r="BA99">
        <v>0</v>
      </c>
      <c r="BB99">
        <v>0</v>
      </c>
      <c r="BC99">
        <v>0</v>
      </c>
      <c r="BD99" s="143" t="s">
        <v>696</v>
      </c>
      <c r="BG99"/>
    </row>
    <row r="100" spans="1:59" ht="14.25" customHeight="1" x14ac:dyDescent="0.25">
      <c r="A100" s="37" t="str">
        <f>LEFT(Scharniere[[#This Row],[ArtikelNR]],4)</f>
        <v>F022</v>
      </c>
      <c r="B100" s="35" t="str">
        <f>MID(Scharniere[[#This Row],[ArtikelNR]],5,3)</f>
        <v>140</v>
      </c>
      <c r="C100" s="37" t="str">
        <f>RIGHT(Scharniere[[#This Row],[ArtikelNR]],3)</f>
        <v>092</v>
      </c>
      <c r="D100" s="35">
        <f>IF(AND(Scharniere[[#This Row],[Gruppenschlüssel]]=select!$A$44,Scharniere[[#This Row],[Scharnierart]]=1)=TRUE,1,0)</f>
        <v>1</v>
      </c>
      <c r="E1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0" s="35">
        <f>IF(select!$F$57=IF(Scharniere[[#This Row],[mit Dämpfung]]=1,1,IF(Scharniere[[#This Row],[ohne Dämpfung]]=1,2,IF(Scharniere[[#This Row],[ohne Feder]]=1,3,0))),1,0)</f>
        <v>0</v>
      </c>
      <c r="G100" s="35">
        <f>IF(Scharniere[[#This Row],[Bohrbild]]=select!$V$43,1,0)</f>
        <v>0</v>
      </c>
      <c r="H100" s="35">
        <f>IF(IF(Scharniere[[#This Row],[Anschrauben]]=1,1,IF(Scharniere[[#This Row],[Einpressen]]=1,2,IF(Scharniere[[#This Row],[Quick]]=1,3,IF(Scharniere[[#This Row],[Werkzeuglos]]=1,4,0))))=select!$F$48,1,0)</f>
        <v>0</v>
      </c>
      <c r="I1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" s="149">
        <f>IF(AND(Scharniere[[#This Row],[Scharnierart]]=2,Scharniere[[#This Row],[Gruppenschlüssel]]=select!$A$318)=TRUE,1,0)</f>
        <v>0</v>
      </c>
      <c r="K100" s="221">
        <f ca="1">IF(select!$O$424&lt;6,1,0)</f>
        <v>1</v>
      </c>
      <c r="L100" s="139">
        <f>IF(select!$A$362=IF(Scharniere[[#This Row],[mit Dämpfung]]=1,1,IF(Scharniere[[#This Row],[ohne Dämpfung]]=1,2,IF(Scharniere[[#This Row],[ohne Feder]]=1,3,0))),1,0)</f>
        <v>1</v>
      </c>
      <c r="M100" s="135">
        <f>IF(Scharniere[[#This Row],[Bohrbild]]=select!$O$334,1,0)</f>
        <v>0</v>
      </c>
      <c r="N100" s="135">
        <f>IF(IF(Scharniere[[#This Row],[Anschrauben]]=1,1,IF(Scharniere[[#This Row],[Einpressen]]=1,2,IF(Scharniere[[#This Row],[Quick]]=1,3,IF(Scharniere[[#This Row],[Werkzeuglos]]=1,4,0))))=select!$E$362,1,0)</f>
        <v>0</v>
      </c>
      <c r="O1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" s="298">
        <f>IF(AND(Scharniere[[#This Row],[Scharnierart]]=3,Scharniere[[#This Row],[Gruppenschlüssel]]=select!$A$747)=TRUE,1,0)</f>
        <v>0</v>
      </c>
      <c r="Q100" s="298">
        <f ca="1">IF(select!$O$945&lt;6,1,0)</f>
        <v>1</v>
      </c>
      <c r="R100" s="298">
        <f>IF(select!$A$778=IF(Scharniere[[#This Row],[mit Dämpfung]]=1,1,IF(Scharniere[[#This Row],[ohne Dämpfung]]=1,2,IF(Scharniere[[#This Row],[ohne Feder]]=1,3,0))),1,0)</f>
        <v>0</v>
      </c>
      <c r="S100" s="298">
        <f>IF(Scharniere[[#This Row],[Bohrbild]]=select!$A$755,1,0)</f>
        <v>0</v>
      </c>
      <c r="T100" s="298">
        <f>IF(IF(Scharniere[[#This Row],[Anschrauben]]=1,1,IF(Scharniere[[#This Row],[Einpressen]]=1,2,IF(Scharniere[[#This Row],[Quick]]=1,3,IF(Scharniere[[#This Row],[Werkzeuglos]]=1,4,0))))=select!$A$769,1,0)</f>
        <v>0</v>
      </c>
      <c r="U1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" s="359">
        <f>IF(AND(Scharniere[[#This Row],[Scharnierart]]=4,Scharniere[[#This Row],[Gruppenschlüssel]]=select!$A$981)=TRUE,1,0)</f>
        <v>0</v>
      </c>
      <c r="W100" s="359">
        <f ca="1">IF(select!$O$1185&lt;6,1,0)</f>
        <v>1</v>
      </c>
      <c r="X100" s="359">
        <f>IF(select!$A$1012=IF(Scharniere[[#This Row],[mit Dämpfung]]=1,1,IF(Scharniere[[#This Row],[ohne Dämpfung]]=1,2,IF(Scharniere[[#This Row],[ohne Feder]]=1,3,0))),1,0)</f>
        <v>0</v>
      </c>
      <c r="Y100" s="359">
        <f>IF(Scharniere[[#This Row],[Bohrbild]]=select!$A$989,1,0)</f>
        <v>0</v>
      </c>
      <c r="Z100" s="359">
        <f>IF(IF(Scharniere[[#This Row],[Anschrauben]]=1,1,IF(Scharniere[[#This Row],[Einpressen]]=1,2,IF(Scharniere[[#This Row],[Quick]]=1,3,IF(Scharniere[[#This Row],[Werkzeuglos]]=1,4,0))))=select!$A$1003,1,0)</f>
        <v>0</v>
      </c>
      <c r="AA1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" s="359">
        <f ca="1">IF(select!$K$980="*",Scharniere[[#This Row],[AG Ges2]],Scharniere[[#This Row],[AG Ges1]])</f>
        <v>0</v>
      </c>
      <c r="AE100" s="451">
        <f ca="1">IF(AND(Scharniere[[#This Row],[Scharnierart]]=select!$A$1485,Scharniere[[#This Row],[Gruppenschlüssel]]=select!$B$1485)=TRUE,1,0)</f>
        <v>1</v>
      </c>
      <c r="AF100" s="451">
        <f ca="1">IF(AND(Scharniere[[#This Row],[Scharnierart]]=select!$A$1486,Scharniere[[#This Row],[Gruppenschlüssel]]=select!$B$1486)=TRUE,1,0)</f>
        <v>0</v>
      </c>
      <c r="AG100" s="451">
        <f ca="1">IF(AND(Scharniere[[#This Row],[Scharnierart]]=select!$A$1487,Scharniere[[#This Row],[Gruppenschlüssel]]=select!$B$1487)=TRUE,1,0)</f>
        <v>0</v>
      </c>
      <c r="AH100" s="451">
        <f ca="1">IF(AND(Scharniere[[#This Row],[Scharnierart]]=select!$A$1488,Scharniere[[#This Row],[Gruppenschlüssel]]=select!$B$1488)=TRUE,1,0)</f>
        <v>0</v>
      </c>
      <c r="AI100" s="451">
        <f ca="1">IF(SUM(Scharniere[[#This Row],[konf Scharnier 1]:[konf Scharnier 4]])&gt;0,1,0)</f>
        <v>1</v>
      </c>
      <c r="AJ100" s="451"/>
      <c r="AK100" s="451"/>
      <c r="AL100" s="451"/>
      <c r="AM100" s="451"/>
      <c r="AN100" s="451"/>
      <c r="AO100" s="146">
        <v>1</v>
      </c>
      <c r="AP100" s="146">
        <v>1</v>
      </c>
      <c r="AQ100" s="10" t="str">
        <f ca="1">Sprache!$A$126</f>
        <v>Tiomos Scharnier TS Quick</v>
      </c>
      <c r="AR100" t="s">
        <v>1923</v>
      </c>
      <c r="AS100" t="str">
        <f ca="1">Sprache!$A$102</f>
        <v>Tiomos Quick Scharnier</v>
      </c>
      <c r="AT100">
        <v>9.5</v>
      </c>
      <c r="AU100" t="s">
        <v>3</v>
      </c>
      <c r="AV100" t="s">
        <v>1489</v>
      </c>
      <c r="AW100" s="10">
        <v>1</v>
      </c>
      <c r="AX100">
        <v>0</v>
      </c>
      <c r="AY100">
        <v>0</v>
      </c>
      <c r="AZ100" s="10">
        <v>0</v>
      </c>
      <c r="BA100">
        <v>0</v>
      </c>
      <c r="BB100">
        <v>1</v>
      </c>
      <c r="BC100">
        <v>0</v>
      </c>
      <c r="BD100" s="143" t="s">
        <v>1511</v>
      </c>
      <c r="BG100"/>
    </row>
    <row r="101" spans="1:59" ht="14.25" customHeight="1" x14ac:dyDescent="0.25">
      <c r="A101" s="37" t="str">
        <f>LEFT(Scharniere[[#This Row],[ArtikelNR]],4)</f>
        <v>F039</v>
      </c>
      <c r="B101" s="35" t="str">
        <f>MID(Scharniere[[#This Row],[ArtikelNR]],5,3)</f>
        <v>140</v>
      </c>
      <c r="C101" s="37" t="str">
        <f>RIGHT(Scharniere[[#This Row],[ArtikelNR]],3)</f>
        <v>032</v>
      </c>
      <c r="D101" s="35">
        <f>IF(AND(Scharniere[[#This Row],[Gruppenschlüssel]]=select!$A$44,Scharniere[[#This Row],[Scharnierart]]=1)=TRUE,1,0)</f>
        <v>1</v>
      </c>
      <c r="E1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1" s="35">
        <f>IF(select!$F$57=IF(Scharniere[[#This Row],[mit Dämpfung]]=1,1,IF(Scharniere[[#This Row],[ohne Dämpfung]]=1,2,IF(Scharniere[[#This Row],[ohne Feder]]=1,3,0))),1,0)</f>
        <v>0</v>
      </c>
      <c r="G101" s="35">
        <f>IF(Scharniere[[#This Row],[Bohrbild]]=select!$V$43,1,0)</f>
        <v>0</v>
      </c>
      <c r="H101" s="35">
        <f>IF(IF(Scharniere[[#This Row],[Anschrauben]]=1,1,IF(Scharniere[[#This Row],[Einpressen]]=1,2,IF(Scharniere[[#This Row],[Quick]]=1,3,IF(Scharniere[[#This Row],[Werkzeuglos]]=1,4,0))))=select!$F$48,1,0)</f>
        <v>0</v>
      </c>
      <c r="I1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" s="149">
        <f>IF(AND(Scharniere[[#This Row],[Scharnierart]]=2,Scharniere[[#This Row],[Gruppenschlüssel]]=select!$A$318)=TRUE,1,0)</f>
        <v>0</v>
      </c>
      <c r="K101" s="221">
        <f ca="1">IF(select!$O$424&lt;6,1,0)</f>
        <v>1</v>
      </c>
      <c r="L101" s="139">
        <f>IF(select!$A$362=IF(Scharniere[[#This Row],[mit Dämpfung]]=1,1,IF(Scharniere[[#This Row],[ohne Dämpfung]]=1,2,IF(Scharniere[[#This Row],[ohne Feder]]=1,3,0))),1,0)</f>
        <v>0</v>
      </c>
      <c r="M101" s="135">
        <f>IF(Scharniere[[#This Row],[Bohrbild]]=select!$O$334,1,0)</f>
        <v>0</v>
      </c>
      <c r="N101" s="135">
        <f>IF(IF(Scharniere[[#This Row],[Anschrauben]]=1,1,IF(Scharniere[[#This Row],[Einpressen]]=1,2,IF(Scharniere[[#This Row],[Quick]]=1,3,IF(Scharniere[[#This Row],[Werkzeuglos]]=1,4,0))))=select!$E$362,1,0)</f>
        <v>0</v>
      </c>
      <c r="O1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" s="298">
        <f>IF(AND(Scharniere[[#This Row],[Scharnierart]]=3,Scharniere[[#This Row],[Gruppenschlüssel]]=select!$A$747)=TRUE,1,0)</f>
        <v>0</v>
      </c>
      <c r="Q101" s="298">
        <f ca="1">IF(select!$O$945&lt;6,1,0)</f>
        <v>1</v>
      </c>
      <c r="R101" s="298">
        <f>IF(select!$A$778=IF(Scharniere[[#This Row],[mit Dämpfung]]=1,1,IF(Scharniere[[#This Row],[ohne Dämpfung]]=1,2,IF(Scharniere[[#This Row],[ohne Feder]]=1,3,0))),1,0)</f>
        <v>1</v>
      </c>
      <c r="S101" s="298">
        <f>IF(Scharniere[[#This Row],[Bohrbild]]=select!$A$755,1,0)</f>
        <v>0</v>
      </c>
      <c r="T101" s="298">
        <f>IF(IF(Scharniere[[#This Row],[Anschrauben]]=1,1,IF(Scharniere[[#This Row],[Einpressen]]=1,2,IF(Scharniere[[#This Row],[Quick]]=1,3,IF(Scharniere[[#This Row],[Werkzeuglos]]=1,4,0))))=select!$A$769,1,0)</f>
        <v>0</v>
      </c>
      <c r="U1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" s="359">
        <f>IF(AND(Scharniere[[#This Row],[Scharnierart]]=4,Scharniere[[#This Row],[Gruppenschlüssel]]=select!$A$981)=TRUE,1,0)</f>
        <v>0</v>
      </c>
      <c r="W101" s="359">
        <f ca="1">IF(select!$O$1185&lt;6,1,0)</f>
        <v>1</v>
      </c>
      <c r="X101" s="359">
        <f>IF(select!$A$1012=IF(Scharniere[[#This Row],[mit Dämpfung]]=1,1,IF(Scharniere[[#This Row],[ohne Dämpfung]]=1,2,IF(Scharniere[[#This Row],[ohne Feder]]=1,3,0))),1,0)</f>
        <v>1</v>
      </c>
      <c r="Y101" s="359">
        <f>IF(Scharniere[[#This Row],[Bohrbild]]=select!$A$989,1,0)</f>
        <v>0</v>
      </c>
      <c r="Z101" s="359">
        <f>IF(IF(Scharniere[[#This Row],[Anschrauben]]=1,1,IF(Scharniere[[#This Row],[Einpressen]]=1,2,IF(Scharniere[[#This Row],[Quick]]=1,3,IF(Scharniere[[#This Row],[Werkzeuglos]]=1,4,0))))=select!$A$1003,1,0)</f>
        <v>0</v>
      </c>
      <c r="AA1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" s="359">
        <f ca="1">IF(select!$K$980="*",Scharniere[[#This Row],[AG Ges2]],Scharniere[[#This Row],[AG Ges1]])</f>
        <v>0</v>
      </c>
      <c r="AE101" s="451">
        <f ca="1">IF(AND(Scharniere[[#This Row],[Scharnierart]]=select!$A$1485,Scharniere[[#This Row],[Gruppenschlüssel]]=select!$B$1485)=TRUE,1,0)</f>
        <v>1</v>
      </c>
      <c r="AF101" s="451">
        <f ca="1">IF(AND(Scharniere[[#This Row],[Scharnierart]]=select!$A$1486,Scharniere[[#This Row],[Gruppenschlüssel]]=select!$B$1486)=TRUE,1,0)</f>
        <v>0</v>
      </c>
      <c r="AG101" s="451">
        <f ca="1">IF(AND(Scharniere[[#This Row],[Scharnierart]]=select!$A$1487,Scharniere[[#This Row],[Gruppenschlüssel]]=select!$B$1487)=TRUE,1,0)</f>
        <v>0</v>
      </c>
      <c r="AH101" s="451">
        <f ca="1">IF(AND(Scharniere[[#This Row],[Scharnierart]]=select!$A$1488,Scharniere[[#This Row],[Gruppenschlüssel]]=select!$B$1488)=TRUE,1,0)</f>
        <v>0</v>
      </c>
      <c r="AI101" s="451">
        <f ca="1">IF(SUM(Scharniere[[#This Row],[konf Scharnier 1]:[konf Scharnier 4]])&gt;0,1,0)</f>
        <v>1</v>
      </c>
      <c r="AJ101" s="451"/>
      <c r="AK101" s="451"/>
      <c r="AL101" s="451"/>
      <c r="AM101" s="451"/>
      <c r="AN101" s="451"/>
      <c r="AO101" s="146">
        <v>1</v>
      </c>
      <c r="AP101" s="146">
        <v>1</v>
      </c>
      <c r="AQ101" s="10" t="str">
        <f ca="1">Sprache!$A$123</f>
        <v>Tiomos Scharnier T Quick</v>
      </c>
      <c r="AR101" t="s">
        <v>1923</v>
      </c>
      <c r="AS101" t="str">
        <f ca="1">Sprache!$A$102</f>
        <v>Tiomos Quick Scharnier</v>
      </c>
      <c r="AT101">
        <v>9.5</v>
      </c>
      <c r="AU101" t="s">
        <v>3</v>
      </c>
      <c r="AV101" t="s">
        <v>1489</v>
      </c>
      <c r="AW101" s="10">
        <v>0</v>
      </c>
      <c r="AX101">
        <v>1</v>
      </c>
      <c r="AY101">
        <v>0</v>
      </c>
      <c r="AZ101" s="10">
        <v>0</v>
      </c>
      <c r="BA101">
        <v>0</v>
      </c>
      <c r="BB101">
        <v>1</v>
      </c>
      <c r="BC101">
        <v>0</v>
      </c>
      <c r="BD101" s="143" t="s">
        <v>1613</v>
      </c>
      <c r="BG101"/>
    </row>
    <row r="102" spans="1:59" ht="14.25" customHeight="1" x14ac:dyDescent="0.25">
      <c r="A102" s="37" t="str">
        <f>LEFT(Scharniere[[#This Row],[ArtikelNR]],4)</f>
        <v>F045</v>
      </c>
      <c r="B102" s="35" t="str">
        <f>MID(Scharniere[[#This Row],[ArtikelNR]],5,3)</f>
        <v>138</v>
      </c>
      <c r="C102" s="37" t="str">
        <f>RIGHT(Scharniere[[#This Row],[ArtikelNR]],3)</f>
        <v>462</v>
      </c>
      <c r="D102" s="35">
        <f>IF(AND(Scharniere[[#This Row],[Gruppenschlüssel]]=select!$A$44,Scharniere[[#This Row],[Scharnierart]]=1)=TRUE,1,0)</f>
        <v>1</v>
      </c>
      <c r="E1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" s="35">
        <f>IF(select!$F$57=IF(Scharniere[[#This Row],[mit Dämpfung]]=1,1,IF(Scharniere[[#This Row],[ohne Dämpfung]]=1,2,IF(Scharniere[[#This Row],[ohne Feder]]=1,3,0))),1,0)</f>
        <v>0</v>
      </c>
      <c r="G102" s="35">
        <f>IF(Scharniere[[#This Row],[Bohrbild]]=select!$V$43,1,0)</f>
        <v>0</v>
      </c>
      <c r="H102" s="35">
        <f>IF(IF(Scharniere[[#This Row],[Anschrauben]]=1,1,IF(Scharniere[[#This Row],[Einpressen]]=1,2,IF(Scharniere[[#This Row],[Quick]]=1,3,IF(Scharniere[[#This Row],[Werkzeuglos]]=1,4,0))))=select!$F$48,1,0)</f>
        <v>1</v>
      </c>
      <c r="I1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" s="149">
        <f>IF(AND(Scharniere[[#This Row],[Scharnierart]]=2,Scharniere[[#This Row],[Gruppenschlüssel]]=select!$A$318)=TRUE,1,0)</f>
        <v>0</v>
      </c>
      <c r="K102" s="221">
        <f ca="1">IF(select!$O$424&lt;6,1,0)</f>
        <v>1</v>
      </c>
      <c r="L102" s="139">
        <f>IF(select!$A$362=IF(Scharniere[[#This Row],[mit Dämpfung]]=1,1,IF(Scharniere[[#This Row],[ohne Dämpfung]]=1,2,IF(Scharniere[[#This Row],[ohne Feder]]=1,3,0))),1,0)</f>
        <v>0</v>
      </c>
      <c r="M102" s="135">
        <f>IF(Scharniere[[#This Row],[Bohrbild]]=select!$O$334,1,0)</f>
        <v>0</v>
      </c>
      <c r="N102" s="135">
        <f>IF(IF(Scharniere[[#This Row],[Anschrauben]]=1,1,IF(Scharniere[[#This Row],[Einpressen]]=1,2,IF(Scharniere[[#This Row],[Quick]]=1,3,IF(Scharniere[[#This Row],[Werkzeuglos]]=1,4,0))))=select!$E$362,1,0)</f>
        <v>0</v>
      </c>
      <c r="O1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" s="298">
        <f>IF(AND(Scharniere[[#This Row],[Scharnierart]]=3,Scharniere[[#This Row],[Gruppenschlüssel]]=select!$A$747)=TRUE,1,0)</f>
        <v>0</v>
      </c>
      <c r="Q102" s="298">
        <f ca="1">IF(select!$O$945&lt;6,1,0)</f>
        <v>1</v>
      </c>
      <c r="R102" s="298">
        <f>IF(select!$A$778=IF(Scharniere[[#This Row],[mit Dämpfung]]=1,1,IF(Scharniere[[#This Row],[ohne Dämpfung]]=1,2,IF(Scharniere[[#This Row],[ohne Feder]]=1,3,0))),1,0)</f>
        <v>1</v>
      </c>
      <c r="S102" s="298">
        <f>IF(Scharniere[[#This Row],[Bohrbild]]=select!$A$755,1,0)</f>
        <v>0</v>
      </c>
      <c r="T102" s="298">
        <f>IF(IF(Scharniere[[#This Row],[Anschrauben]]=1,1,IF(Scharniere[[#This Row],[Einpressen]]=1,2,IF(Scharniere[[#This Row],[Quick]]=1,3,IF(Scharniere[[#This Row],[Werkzeuglos]]=1,4,0))))=select!$A$769,1,0)</f>
        <v>0</v>
      </c>
      <c r="U1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" s="359">
        <f>IF(AND(Scharniere[[#This Row],[Scharnierart]]=4,Scharniere[[#This Row],[Gruppenschlüssel]]=select!$A$981)=TRUE,1,0)</f>
        <v>0</v>
      </c>
      <c r="W102" s="359">
        <f ca="1">IF(select!$O$1185&lt;6,1,0)</f>
        <v>1</v>
      </c>
      <c r="X102" s="359">
        <f>IF(select!$A$1012=IF(Scharniere[[#This Row],[mit Dämpfung]]=1,1,IF(Scharniere[[#This Row],[ohne Dämpfung]]=1,2,IF(Scharniere[[#This Row],[ohne Feder]]=1,3,0))),1,0)</f>
        <v>1</v>
      </c>
      <c r="Y102" s="359">
        <f>IF(Scharniere[[#This Row],[Bohrbild]]=select!$A$989,1,0)</f>
        <v>0</v>
      </c>
      <c r="Z102" s="359">
        <f>IF(IF(Scharniere[[#This Row],[Anschrauben]]=1,1,IF(Scharniere[[#This Row],[Einpressen]]=1,2,IF(Scharniere[[#This Row],[Quick]]=1,3,IF(Scharniere[[#This Row],[Werkzeuglos]]=1,4,0))))=select!$A$1003,1,0)</f>
        <v>0</v>
      </c>
      <c r="AA1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" s="359">
        <f ca="1">IF(select!$K$980="*",Scharniere[[#This Row],[AG Ges2]],Scharniere[[#This Row],[AG Ges1]])</f>
        <v>0</v>
      </c>
      <c r="AE102" s="451">
        <f ca="1">IF(AND(Scharniere[[#This Row],[Scharnierart]]=select!$A$1485,Scharniere[[#This Row],[Gruppenschlüssel]]=select!$B$1485)=TRUE,1,0)</f>
        <v>1</v>
      </c>
      <c r="AF102" s="451">
        <f ca="1">IF(AND(Scharniere[[#This Row],[Scharnierart]]=select!$A$1486,Scharniere[[#This Row],[Gruppenschlüssel]]=select!$B$1486)=TRUE,1,0)</f>
        <v>0</v>
      </c>
      <c r="AG102" s="451">
        <f ca="1">IF(AND(Scharniere[[#This Row],[Scharnierart]]=select!$A$1487,Scharniere[[#This Row],[Gruppenschlüssel]]=select!$B$1487)=TRUE,1,0)</f>
        <v>0</v>
      </c>
      <c r="AH102" s="451">
        <f ca="1">IF(AND(Scharniere[[#This Row],[Scharnierart]]=select!$A$1488,Scharniere[[#This Row],[Gruppenschlüssel]]=select!$B$1488)=TRUE,1,0)</f>
        <v>0</v>
      </c>
      <c r="AI102" s="451">
        <f ca="1">IF(SUM(Scharniere[[#This Row],[konf Scharnier 1]:[konf Scharnier 4]])&gt;0,1,0)</f>
        <v>1</v>
      </c>
      <c r="AJ102" s="451"/>
      <c r="AK102" s="451"/>
      <c r="AL102" s="451"/>
      <c r="AM102" s="451"/>
      <c r="AN102" s="451"/>
      <c r="AO102" s="146">
        <v>1</v>
      </c>
      <c r="AP102" s="146">
        <v>1</v>
      </c>
      <c r="AQ102" s="10" t="str">
        <f ca="1">Sprache!$A$110</f>
        <v>Tiomos Scharnier T Click-on</v>
      </c>
      <c r="AR102" t="str">
        <f ca="1">"110°, B-BB, K03, "&amp;Sprache!A181&amp;", ni"</f>
        <v>110°, B-BB, K03, Dübel, ni</v>
      </c>
      <c r="AS102" t="str">
        <f ca="1">Sprache!$A$103</f>
        <v>Tiomos Click-On Scharniere</v>
      </c>
      <c r="AT102">
        <v>3</v>
      </c>
      <c r="AU102" t="s">
        <v>3</v>
      </c>
      <c r="AV102">
        <v>110</v>
      </c>
      <c r="AW102" s="10">
        <v>0</v>
      </c>
      <c r="AX102">
        <v>1</v>
      </c>
      <c r="AY102">
        <v>0</v>
      </c>
      <c r="AZ102" s="10">
        <v>0</v>
      </c>
      <c r="BA102">
        <v>1</v>
      </c>
      <c r="BB102">
        <v>0</v>
      </c>
      <c r="BC102">
        <v>0</v>
      </c>
      <c r="BD102" s="143" t="s">
        <v>489</v>
      </c>
      <c r="BG102"/>
    </row>
    <row r="103" spans="1:59" ht="14.25" customHeight="1" x14ac:dyDescent="0.25">
      <c r="A103" s="37" t="str">
        <f>LEFT(Scharniere[[#This Row],[ArtikelNR]],4)</f>
        <v>F028</v>
      </c>
      <c r="B103" s="35" t="str">
        <f>MID(Scharniere[[#This Row],[ArtikelNR]],5,3)</f>
        <v>138</v>
      </c>
      <c r="C103" s="37" t="str">
        <f>RIGHT(Scharniere[[#This Row],[ArtikelNR]],3)</f>
        <v>524</v>
      </c>
      <c r="D103" s="35">
        <f>IF(AND(Scharniere[[#This Row],[Gruppenschlüssel]]=select!$A$44,Scharniere[[#This Row],[Scharnierart]]=1)=TRUE,1,0)</f>
        <v>1</v>
      </c>
      <c r="E1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" s="35">
        <f>IF(select!$F$57=IF(Scharniere[[#This Row],[mit Dämpfung]]=1,1,IF(Scharniere[[#This Row],[ohne Dämpfung]]=1,2,IF(Scharniere[[#This Row],[ohne Feder]]=1,3,0))),1,0)</f>
        <v>0</v>
      </c>
      <c r="G103" s="35">
        <f>IF(Scharniere[[#This Row],[Bohrbild]]=select!$V$43,1,0)</f>
        <v>0</v>
      </c>
      <c r="H103" s="35">
        <f>IF(IF(Scharniere[[#This Row],[Anschrauben]]=1,1,IF(Scharniere[[#This Row],[Einpressen]]=1,2,IF(Scharniere[[#This Row],[Quick]]=1,3,IF(Scharniere[[#This Row],[Werkzeuglos]]=1,4,0))))=select!$F$48,1,0)</f>
        <v>1</v>
      </c>
      <c r="I1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" s="149">
        <f>IF(AND(Scharniere[[#This Row],[Scharnierart]]=2,Scharniere[[#This Row],[Gruppenschlüssel]]=select!$A$318)=TRUE,1,0)</f>
        <v>0</v>
      </c>
      <c r="K103" s="221">
        <f ca="1">IF(select!$O$424&lt;6,1,0)</f>
        <v>1</v>
      </c>
      <c r="L103" s="139">
        <f>IF(select!$A$362=IF(Scharniere[[#This Row],[mit Dämpfung]]=1,1,IF(Scharniere[[#This Row],[ohne Dämpfung]]=1,2,IF(Scharniere[[#This Row],[ohne Feder]]=1,3,0))),1,0)</f>
        <v>1</v>
      </c>
      <c r="M103" s="135">
        <f>IF(Scharniere[[#This Row],[Bohrbild]]=select!$O$334,1,0)</f>
        <v>0</v>
      </c>
      <c r="N103" s="135">
        <f>IF(IF(Scharniere[[#This Row],[Anschrauben]]=1,1,IF(Scharniere[[#This Row],[Einpressen]]=1,2,IF(Scharniere[[#This Row],[Quick]]=1,3,IF(Scharniere[[#This Row],[Werkzeuglos]]=1,4,0))))=select!$E$362,1,0)</f>
        <v>0</v>
      </c>
      <c r="O1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" s="298">
        <f>IF(AND(Scharniere[[#This Row],[Scharnierart]]=3,Scharniere[[#This Row],[Gruppenschlüssel]]=select!$A$747)=TRUE,1,0)</f>
        <v>0</v>
      </c>
      <c r="Q103" s="298">
        <f ca="1">IF(select!$O$945&lt;6,1,0)</f>
        <v>1</v>
      </c>
      <c r="R103" s="298">
        <f>IF(select!$A$778=IF(Scharniere[[#This Row],[mit Dämpfung]]=1,1,IF(Scharniere[[#This Row],[ohne Dämpfung]]=1,2,IF(Scharniere[[#This Row],[ohne Feder]]=1,3,0))),1,0)</f>
        <v>0</v>
      </c>
      <c r="S103" s="298">
        <f>IF(Scharniere[[#This Row],[Bohrbild]]=select!$A$755,1,0)</f>
        <v>0</v>
      </c>
      <c r="T103" s="298">
        <f>IF(IF(Scharniere[[#This Row],[Anschrauben]]=1,1,IF(Scharniere[[#This Row],[Einpressen]]=1,2,IF(Scharniere[[#This Row],[Quick]]=1,3,IF(Scharniere[[#This Row],[Werkzeuglos]]=1,4,0))))=select!$A$769,1,0)</f>
        <v>0</v>
      </c>
      <c r="U1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" s="359">
        <f>IF(AND(Scharniere[[#This Row],[Scharnierart]]=4,Scharniere[[#This Row],[Gruppenschlüssel]]=select!$A$981)=TRUE,1,0)</f>
        <v>0</v>
      </c>
      <c r="W103" s="359">
        <f ca="1">IF(select!$O$1185&lt;6,1,0)</f>
        <v>1</v>
      </c>
      <c r="X103" s="359">
        <f>IF(select!$A$1012=IF(Scharniere[[#This Row],[mit Dämpfung]]=1,1,IF(Scharniere[[#This Row],[ohne Dämpfung]]=1,2,IF(Scharniere[[#This Row],[ohne Feder]]=1,3,0))),1,0)</f>
        <v>0</v>
      </c>
      <c r="Y103" s="359">
        <f>IF(Scharniere[[#This Row],[Bohrbild]]=select!$A$989,1,0)</f>
        <v>0</v>
      </c>
      <c r="Z103" s="359">
        <f>IF(IF(Scharniere[[#This Row],[Anschrauben]]=1,1,IF(Scharniere[[#This Row],[Einpressen]]=1,2,IF(Scharniere[[#This Row],[Quick]]=1,3,IF(Scharniere[[#This Row],[Werkzeuglos]]=1,4,0))))=select!$A$1003,1,0)</f>
        <v>0</v>
      </c>
      <c r="AA1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" s="359">
        <f ca="1">IF(select!$K$980="*",Scharniere[[#This Row],[AG Ges2]],Scharniere[[#This Row],[AG Ges1]])</f>
        <v>0</v>
      </c>
      <c r="AE103" s="451">
        <f ca="1">IF(AND(Scharniere[[#This Row],[Scharnierart]]=select!$A$1485,Scharniere[[#This Row],[Gruppenschlüssel]]=select!$B$1485)=TRUE,1,0)</f>
        <v>1</v>
      </c>
      <c r="AF103" s="451">
        <f ca="1">IF(AND(Scharniere[[#This Row],[Scharnierart]]=select!$A$1486,Scharniere[[#This Row],[Gruppenschlüssel]]=select!$B$1486)=TRUE,1,0)</f>
        <v>0</v>
      </c>
      <c r="AG103" s="451">
        <f ca="1">IF(AND(Scharniere[[#This Row],[Scharnierart]]=select!$A$1487,Scharniere[[#This Row],[Gruppenschlüssel]]=select!$B$1487)=TRUE,1,0)</f>
        <v>0</v>
      </c>
      <c r="AH103" s="451">
        <f ca="1">IF(AND(Scharniere[[#This Row],[Scharnierart]]=select!$A$1488,Scharniere[[#This Row],[Gruppenschlüssel]]=select!$B$1488)=TRUE,1,0)</f>
        <v>0</v>
      </c>
      <c r="AI103" s="451">
        <f ca="1">IF(SUM(Scharniere[[#This Row],[konf Scharnier 1]:[konf Scharnier 4]])&gt;0,1,0)</f>
        <v>1</v>
      </c>
      <c r="AJ103" s="451"/>
      <c r="AK103" s="451"/>
      <c r="AL103" s="451"/>
      <c r="AM103" s="451"/>
      <c r="AN103" s="451"/>
      <c r="AO103" s="146">
        <v>1</v>
      </c>
      <c r="AP103" s="146">
        <v>1</v>
      </c>
      <c r="AQ103" s="10" t="str">
        <f ca="1">Sprache!$A$112</f>
        <v>Tiomos Scharnier TS Click-on</v>
      </c>
      <c r="AR103" t="str">
        <f ca="1">"110°, B-BB, K03, "&amp;Sprache!A181&amp;", ni"</f>
        <v>110°, B-BB, K03, Dübel, ni</v>
      </c>
      <c r="AS103" t="str">
        <f ca="1">Sprache!$A$103</f>
        <v>Tiomos Click-On Scharniere</v>
      </c>
      <c r="AT103">
        <v>3</v>
      </c>
      <c r="AU103" t="s">
        <v>3</v>
      </c>
      <c r="AV103">
        <v>110</v>
      </c>
      <c r="AW103" s="10">
        <v>1</v>
      </c>
      <c r="AX103">
        <v>0</v>
      </c>
      <c r="AY103">
        <v>0</v>
      </c>
      <c r="AZ103" s="10">
        <v>0</v>
      </c>
      <c r="BA103">
        <v>1</v>
      </c>
      <c r="BB103">
        <v>0</v>
      </c>
      <c r="BC103">
        <v>0</v>
      </c>
      <c r="BD103" s="143" t="s">
        <v>308</v>
      </c>
      <c r="BG103"/>
    </row>
    <row r="104" spans="1:59" ht="14.25" customHeight="1" x14ac:dyDescent="0.25">
      <c r="A104" s="37" t="str">
        <f>LEFT(Scharniere[[#This Row],[ArtikelNR]],4)</f>
        <v>F046</v>
      </c>
      <c r="B104" s="35" t="str">
        <f>MID(Scharniere[[#This Row],[ArtikelNR]],5,3)</f>
        <v>138</v>
      </c>
      <c r="C104" s="37" t="str">
        <f>RIGHT(Scharniere[[#This Row],[ArtikelNR]],3)</f>
        <v>584</v>
      </c>
      <c r="D104" s="35">
        <f>IF(AND(Scharniere[[#This Row],[Gruppenschlüssel]]=select!$A$44,Scharniere[[#This Row],[Scharnierart]]=1)=TRUE,1,0)</f>
        <v>1</v>
      </c>
      <c r="E1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" s="35">
        <f>IF(select!$F$57=IF(Scharniere[[#This Row],[mit Dämpfung]]=1,1,IF(Scharniere[[#This Row],[ohne Dämpfung]]=1,2,IF(Scharniere[[#This Row],[ohne Feder]]=1,3,0))),1,0)</f>
        <v>1</v>
      </c>
      <c r="G104" s="35">
        <f>IF(Scharniere[[#This Row],[Bohrbild]]=select!$V$43,1,0)</f>
        <v>0</v>
      </c>
      <c r="H104" s="35">
        <f>IF(IF(Scharniere[[#This Row],[Anschrauben]]=1,1,IF(Scharniere[[#This Row],[Einpressen]]=1,2,IF(Scharniere[[#This Row],[Quick]]=1,3,IF(Scharniere[[#This Row],[Werkzeuglos]]=1,4,0))))=select!$F$48,1,0)</f>
        <v>1</v>
      </c>
      <c r="I1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" s="149">
        <f>IF(AND(Scharniere[[#This Row],[Scharnierart]]=2,Scharniere[[#This Row],[Gruppenschlüssel]]=select!$A$318)=TRUE,1,0)</f>
        <v>0</v>
      </c>
      <c r="K104" s="221">
        <f ca="1">IF(select!$O$424&lt;6,1,0)</f>
        <v>1</v>
      </c>
      <c r="L104" s="139">
        <f>IF(select!$A$362=IF(Scharniere[[#This Row],[mit Dämpfung]]=1,1,IF(Scharniere[[#This Row],[ohne Dämpfung]]=1,2,IF(Scharniere[[#This Row],[ohne Feder]]=1,3,0))),1,0)</f>
        <v>0</v>
      </c>
      <c r="M104" s="135">
        <f>IF(Scharniere[[#This Row],[Bohrbild]]=select!$O$334,1,0)</f>
        <v>0</v>
      </c>
      <c r="N104" s="135">
        <f>IF(IF(Scharniere[[#This Row],[Anschrauben]]=1,1,IF(Scharniere[[#This Row],[Einpressen]]=1,2,IF(Scharniere[[#This Row],[Quick]]=1,3,IF(Scharniere[[#This Row],[Werkzeuglos]]=1,4,0))))=select!$E$362,1,0)</f>
        <v>0</v>
      </c>
      <c r="O1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" s="298">
        <f>IF(AND(Scharniere[[#This Row],[Scharnierart]]=3,Scharniere[[#This Row],[Gruppenschlüssel]]=select!$A$747)=TRUE,1,0)</f>
        <v>0</v>
      </c>
      <c r="Q104" s="298">
        <f ca="1">IF(select!$O$945&lt;6,1,0)</f>
        <v>1</v>
      </c>
      <c r="R104" s="298">
        <f>IF(select!$A$778=IF(Scharniere[[#This Row],[mit Dämpfung]]=1,1,IF(Scharniere[[#This Row],[ohne Dämpfung]]=1,2,IF(Scharniere[[#This Row],[ohne Feder]]=1,3,0))),1,0)</f>
        <v>0</v>
      </c>
      <c r="S104" s="298">
        <f>IF(Scharniere[[#This Row],[Bohrbild]]=select!$A$755,1,0)</f>
        <v>0</v>
      </c>
      <c r="T104" s="298">
        <f>IF(IF(Scharniere[[#This Row],[Anschrauben]]=1,1,IF(Scharniere[[#This Row],[Einpressen]]=1,2,IF(Scharniere[[#This Row],[Quick]]=1,3,IF(Scharniere[[#This Row],[Werkzeuglos]]=1,4,0))))=select!$A$769,1,0)</f>
        <v>0</v>
      </c>
      <c r="U1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" s="359">
        <f>IF(AND(Scharniere[[#This Row],[Scharnierart]]=4,Scharniere[[#This Row],[Gruppenschlüssel]]=select!$A$981)=TRUE,1,0)</f>
        <v>0</v>
      </c>
      <c r="W104" s="359">
        <f ca="1">IF(select!$O$1185&lt;6,1,0)</f>
        <v>1</v>
      </c>
      <c r="X104" s="359">
        <f>IF(select!$A$1012=IF(Scharniere[[#This Row],[mit Dämpfung]]=1,1,IF(Scharniere[[#This Row],[ohne Dämpfung]]=1,2,IF(Scharniere[[#This Row],[ohne Feder]]=1,3,0))),1,0)</f>
        <v>0</v>
      </c>
      <c r="Y104" s="359">
        <f>IF(Scharniere[[#This Row],[Bohrbild]]=select!$A$989,1,0)</f>
        <v>0</v>
      </c>
      <c r="Z104" s="359">
        <f>IF(IF(Scharniere[[#This Row],[Anschrauben]]=1,1,IF(Scharniere[[#This Row],[Einpressen]]=1,2,IF(Scharniere[[#This Row],[Quick]]=1,3,IF(Scharniere[[#This Row],[Werkzeuglos]]=1,4,0))))=select!$A$1003,1,0)</f>
        <v>0</v>
      </c>
      <c r="AA1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" s="359">
        <f ca="1">IF(select!$K$980="*",Scharniere[[#This Row],[AG Ges2]],Scharniere[[#This Row],[AG Ges1]])</f>
        <v>0</v>
      </c>
      <c r="AE104" s="451">
        <f ca="1">IF(AND(Scharniere[[#This Row],[Scharnierart]]=select!$A$1485,Scharniere[[#This Row],[Gruppenschlüssel]]=select!$B$1485)=TRUE,1,0)</f>
        <v>1</v>
      </c>
      <c r="AF104" s="451">
        <f ca="1">IF(AND(Scharniere[[#This Row],[Scharnierart]]=select!$A$1486,Scharniere[[#This Row],[Gruppenschlüssel]]=select!$B$1486)=TRUE,1,0)</f>
        <v>0</v>
      </c>
      <c r="AG104" s="451">
        <f ca="1">IF(AND(Scharniere[[#This Row],[Scharnierart]]=select!$A$1487,Scharniere[[#This Row],[Gruppenschlüssel]]=select!$B$1487)=TRUE,1,0)</f>
        <v>0</v>
      </c>
      <c r="AH104" s="451">
        <f ca="1">IF(AND(Scharniere[[#This Row],[Scharnierart]]=select!$A$1488,Scharniere[[#This Row],[Gruppenschlüssel]]=select!$B$1488)=TRUE,1,0)</f>
        <v>0</v>
      </c>
      <c r="AI104" s="451">
        <f ca="1">IF(SUM(Scharniere[[#This Row],[konf Scharnier 1]:[konf Scharnier 4]])&gt;0,1,0)</f>
        <v>1</v>
      </c>
      <c r="AJ104" s="451"/>
      <c r="AK104" s="451"/>
      <c r="AL104" s="451"/>
      <c r="AM104" s="451"/>
      <c r="AN104" s="451"/>
      <c r="AO104" s="146">
        <v>1</v>
      </c>
      <c r="AP104" s="146">
        <v>1</v>
      </c>
      <c r="AQ104" s="10" t="str">
        <f ca="1">Sprache!$A$114</f>
        <v>Tiomos Scharnier TT Click-on</v>
      </c>
      <c r="AR104" t="str">
        <f ca="1">"110°, B-BB, K03, "&amp;Sprache!A181&amp;", ni"</f>
        <v>110°, B-BB, K03, Dübel, ni</v>
      </c>
      <c r="AS104" t="str">
        <f ca="1">Sprache!$A$103</f>
        <v>Tiomos Click-On Scharniere</v>
      </c>
      <c r="AT104">
        <v>3</v>
      </c>
      <c r="AU104" s="34" t="s">
        <v>3</v>
      </c>
      <c r="AV104">
        <v>110</v>
      </c>
      <c r="AW104" s="10">
        <v>0</v>
      </c>
      <c r="AX104">
        <v>0</v>
      </c>
      <c r="AY104">
        <v>1</v>
      </c>
      <c r="AZ104" s="10">
        <v>0</v>
      </c>
      <c r="BA104">
        <v>1</v>
      </c>
      <c r="BB104">
        <v>0</v>
      </c>
      <c r="BC104">
        <v>0</v>
      </c>
      <c r="BD104" s="143" t="s">
        <v>641</v>
      </c>
      <c r="BG104"/>
    </row>
    <row r="105" spans="1:59" ht="14.25" customHeight="1" x14ac:dyDescent="0.25">
      <c r="A105" s="37" t="str">
        <f>LEFT(Scharniere[[#This Row],[ArtikelNR]],4)</f>
        <v>F045</v>
      </c>
      <c r="B105" s="35" t="str">
        <f>MID(Scharniere[[#This Row],[ArtikelNR]],5,3)</f>
        <v>138</v>
      </c>
      <c r="C105" s="37" t="str">
        <f>RIGHT(Scharniere[[#This Row],[ArtikelNR]],3)</f>
        <v>458</v>
      </c>
      <c r="D105" s="35">
        <f>IF(AND(Scharniere[[#This Row],[Gruppenschlüssel]]=select!$A$44,Scharniere[[#This Row],[Scharnierart]]=1)=TRUE,1,0)</f>
        <v>1</v>
      </c>
      <c r="E1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" s="35">
        <f>IF(select!$F$57=IF(Scharniere[[#This Row],[mit Dämpfung]]=1,1,IF(Scharniere[[#This Row],[ohne Dämpfung]]=1,2,IF(Scharniere[[#This Row],[ohne Feder]]=1,3,0))),1,0)</f>
        <v>0</v>
      </c>
      <c r="G105" s="35">
        <f>IF(Scharniere[[#This Row],[Bohrbild]]=select!$V$43,1,0)</f>
        <v>0</v>
      </c>
      <c r="H105" s="35">
        <f>IF(IF(Scharniere[[#This Row],[Anschrauben]]=1,1,IF(Scharniere[[#This Row],[Einpressen]]=1,2,IF(Scharniere[[#This Row],[Quick]]=1,3,IF(Scharniere[[#This Row],[Werkzeuglos]]=1,4,0))))=select!$F$48,1,0)</f>
        <v>0</v>
      </c>
      <c r="I1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" s="149">
        <f>IF(AND(Scharniere[[#This Row],[Scharnierart]]=2,Scharniere[[#This Row],[Gruppenschlüssel]]=select!$A$318)=TRUE,1,0)</f>
        <v>0</v>
      </c>
      <c r="K105" s="221">
        <f ca="1">IF(select!$O$424&lt;6,1,0)</f>
        <v>1</v>
      </c>
      <c r="L105" s="139">
        <f>IF(select!$A$362=IF(Scharniere[[#This Row],[mit Dämpfung]]=1,1,IF(Scharniere[[#This Row],[ohne Dämpfung]]=1,2,IF(Scharniere[[#This Row],[ohne Feder]]=1,3,0))),1,0)</f>
        <v>0</v>
      </c>
      <c r="M105" s="135">
        <f>IF(Scharniere[[#This Row],[Bohrbild]]=select!$O$334,1,0)</f>
        <v>0</v>
      </c>
      <c r="N105" s="135">
        <f>IF(IF(Scharniere[[#This Row],[Anschrauben]]=1,1,IF(Scharniere[[#This Row],[Einpressen]]=1,2,IF(Scharniere[[#This Row],[Quick]]=1,3,IF(Scharniere[[#This Row],[Werkzeuglos]]=1,4,0))))=select!$E$362,1,0)</f>
        <v>1</v>
      </c>
      <c r="O1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" s="298">
        <f>IF(AND(Scharniere[[#This Row],[Scharnierart]]=3,Scharniere[[#This Row],[Gruppenschlüssel]]=select!$A$747)=TRUE,1,0)</f>
        <v>0</v>
      </c>
      <c r="Q105" s="298">
        <f ca="1">IF(select!$O$945&lt;6,1,0)</f>
        <v>1</v>
      </c>
      <c r="R105" s="298">
        <f>IF(select!$A$778=IF(Scharniere[[#This Row],[mit Dämpfung]]=1,1,IF(Scharniere[[#This Row],[ohne Dämpfung]]=1,2,IF(Scharniere[[#This Row],[ohne Feder]]=1,3,0))),1,0)</f>
        <v>1</v>
      </c>
      <c r="S105" s="298">
        <f>IF(Scharniere[[#This Row],[Bohrbild]]=select!$A$755,1,0)</f>
        <v>0</v>
      </c>
      <c r="T105" s="298">
        <f>IF(IF(Scharniere[[#This Row],[Anschrauben]]=1,1,IF(Scharniere[[#This Row],[Einpressen]]=1,2,IF(Scharniere[[#This Row],[Quick]]=1,3,IF(Scharniere[[#This Row],[Werkzeuglos]]=1,4,0))))=select!$A$769,1,0)</f>
        <v>1</v>
      </c>
      <c r="U1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" s="359">
        <f>IF(AND(Scharniere[[#This Row],[Scharnierart]]=4,Scharniere[[#This Row],[Gruppenschlüssel]]=select!$A$981)=TRUE,1,0)</f>
        <v>0</v>
      </c>
      <c r="W105" s="359">
        <f ca="1">IF(select!$O$1185&lt;6,1,0)</f>
        <v>1</v>
      </c>
      <c r="X105" s="359">
        <f>IF(select!$A$1012=IF(Scharniere[[#This Row],[mit Dämpfung]]=1,1,IF(Scharniere[[#This Row],[ohne Dämpfung]]=1,2,IF(Scharniere[[#This Row],[ohne Feder]]=1,3,0))),1,0)</f>
        <v>1</v>
      </c>
      <c r="Y105" s="359">
        <f>IF(Scharniere[[#This Row],[Bohrbild]]=select!$A$989,1,0)</f>
        <v>0</v>
      </c>
      <c r="Z105" s="359">
        <f>IF(IF(Scharniere[[#This Row],[Anschrauben]]=1,1,IF(Scharniere[[#This Row],[Einpressen]]=1,2,IF(Scharniere[[#This Row],[Quick]]=1,3,IF(Scharniere[[#This Row],[Werkzeuglos]]=1,4,0))))=select!$A$1003,1,0)</f>
        <v>1</v>
      </c>
      <c r="AA1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" s="359">
        <f ca="1">IF(select!$K$980="*",Scharniere[[#This Row],[AG Ges2]],Scharniere[[#This Row],[AG Ges1]])</f>
        <v>0</v>
      </c>
      <c r="AE105" s="451">
        <f ca="1">IF(AND(Scharniere[[#This Row],[Scharnierart]]=select!$A$1485,Scharniere[[#This Row],[Gruppenschlüssel]]=select!$B$1485)=TRUE,1,0)</f>
        <v>1</v>
      </c>
      <c r="AF105" s="451">
        <f ca="1">IF(AND(Scharniere[[#This Row],[Scharnierart]]=select!$A$1486,Scharniere[[#This Row],[Gruppenschlüssel]]=select!$B$1486)=TRUE,1,0)</f>
        <v>0</v>
      </c>
      <c r="AG105" s="451">
        <f ca="1">IF(AND(Scharniere[[#This Row],[Scharnierart]]=select!$A$1487,Scharniere[[#This Row],[Gruppenschlüssel]]=select!$B$1487)=TRUE,1,0)</f>
        <v>0</v>
      </c>
      <c r="AH105" s="451">
        <f ca="1">IF(AND(Scharniere[[#This Row],[Scharnierart]]=select!$A$1488,Scharniere[[#This Row],[Gruppenschlüssel]]=select!$B$1488)=TRUE,1,0)</f>
        <v>0</v>
      </c>
      <c r="AI105" s="451">
        <f ca="1">IF(SUM(Scharniere[[#This Row],[konf Scharnier 1]:[konf Scharnier 4]])&gt;0,1,0)</f>
        <v>1</v>
      </c>
      <c r="AJ105" s="451"/>
      <c r="AK105" s="451"/>
      <c r="AL105" s="451"/>
      <c r="AM105" s="451"/>
      <c r="AN105" s="451"/>
      <c r="AO105" s="146">
        <v>1</v>
      </c>
      <c r="AP105" s="146">
        <v>1</v>
      </c>
      <c r="AQ105" s="10" t="str">
        <f ca="1">Sprache!$A$110</f>
        <v>Tiomos Scharnier T Click-on</v>
      </c>
      <c r="AR105" t="s">
        <v>304</v>
      </c>
      <c r="AS105" t="str">
        <f ca="1">Sprache!$A$103</f>
        <v>Tiomos Click-On Scharniere</v>
      </c>
      <c r="AT105">
        <v>3</v>
      </c>
      <c r="AU105" t="s">
        <v>3</v>
      </c>
      <c r="AV105">
        <v>110</v>
      </c>
      <c r="AW105" s="10">
        <v>0</v>
      </c>
      <c r="AX105">
        <v>1</v>
      </c>
      <c r="AY105">
        <v>0</v>
      </c>
      <c r="AZ105" s="10">
        <v>1</v>
      </c>
      <c r="BA105">
        <v>0</v>
      </c>
      <c r="BB105">
        <v>0</v>
      </c>
      <c r="BC105">
        <v>0</v>
      </c>
      <c r="BD105" s="143" t="s">
        <v>486</v>
      </c>
      <c r="BG105"/>
    </row>
    <row r="106" spans="1:59" ht="14.25" customHeight="1" x14ac:dyDescent="0.25">
      <c r="A106" s="37" t="str">
        <f>LEFT(Scharniere[[#This Row],[ArtikelNR]],4)</f>
        <v>F028</v>
      </c>
      <c r="B106" s="35" t="str">
        <f>MID(Scharniere[[#This Row],[ArtikelNR]],5,3)</f>
        <v>138</v>
      </c>
      <c r="C106" s="37" t="str">
        <f>RIGHT(Scharniere[[#This Row],[ArtikelNR]],3)</f>
        <v>520</v>
      </c>
      <c r="D106" s="35">
        <f>IF(AND(Scharniere[[#This Row],[Gruppenschlüssel]]=select!$A$44,Scharniere[[#This Row],[Scharnierart]]=1)=TRUE,1,0)</f>
        <v>1</v>
      </c>
      <c r="E1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6" s="35">
        <f>IF(select!$F$57=IF(Scharniere[[#This Row],[mit Dämpfung]]=1,1,IF(Scharniere[[#This Row],[ohne Dämpfung]]=1,2,IF(Scharniere[[#This Row],[ohne Feder]]=1,3,0))),1,0)</f>
        <v>0</v>
      </c>
      <c r="G106" s="35">
        <f>IF(Scharniere[[#This Row],[Bohrbild]]=select!$V$43,1,0)</f>
        <v>0</v>
      </c>
      <c r="H106" s="35">
        <f>IF(IF(Scharniere[[#This Row],[Anschrauben]]=1,1,IF(Scharniere[[#This Row],[Einpressen]]=1,2,IF(Scharniere[[#This Row],[Quick]]=1,3,IF(Scharniere[[#This Row],[Werkzeuglos]]=1,4,0))))=select!$F$48,1,0)</f>
        <v>0</v>
      </c>
      <c r="I1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" s="149">
        <f>IF(AND(Scharniere[[#This Row],[Scharnierart]]=2,Scharniere[[#This Row],[Gruppenschlüssel]]=select!$A$318)=TRUE,1,0)</f>
        <v>0</v>
      </c>
      <c r="K106" s="221">
        <f ca="1">IF(select!$O$424&lt;6,1,0)</f>
        <v>1</v>
      </c>
      <c r="L106" s="139">
        <f>IF(select!$A$362=IF(Scharniere[[#This Row],[mit Dämpfung]]=1,1,IF(Scharniere[[#This Row],[ohne Dämpfung]]=1,2,IF(Scharniere[[#This Row],[ohne Feder]]=1,3,0))),1,0)</f>
        <v>1</v>
      </c>
      <c r="M106" s="135">
        <f>IF(Scharniere[[#This Row],[Bohrbild]]=select!$O$334,1,0)</f>
        <v>0</v>
      </c>
      <c r="N106" s="135">
        <f>IF(IF(Scharniere[[#This Row],[Anschrauben]]=1,1,IF(Scharniere[[#This Row],[Einpressen]]=1,2,IF(Scharniere[[#This Row],[Quick]]=1,3,IF(Scharniere[[#This Row],[Werkzeuglos]]=1,4,0))))=select!$E$362,1,0)</f>
        <v>1</v>
      </c>
      <c r="O1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" s="298">
        <f>IF(AND(Scharniere[[#This Row],[Scharnierart]]=3,Scharniere[[#This Row],[Gruppenschlüssel]]=select!$A$747)=TRUE,1,0)</f>
        <v>0</v>
      </c>
      <c r="Q106" s="298">
        <f ca="1">IF(select!$O$945&lt;6,1,0)</f>
        <v>1</v>
      </c>
      <c r="R106" s="298">
        <f>IF(select!$A$778=IF(Scharniere[[#This Row],[mit Dämpfung]]=1,1,IF(Scharniere[[#This Row],[ohne Dämpfung]]=1,2,IF(Scharniere[[#This Row],[ohne Feder]]=1,3,0))),1,0)</f>
        <v>0</v>
      </c>
      <c r="S106" s="298">
        <f>IF(Scharniere[[#This Row],[Bohrbild]]=select!$A$755,1,0)</f>
        <v>0</v>
      </c>
      <c r="T106" s="298">
        <f>IF(IF(Scharniere[[#This Row],[Anschrauben]]=1,1,IF(Scharniere[[#This Row],[Einpressen]]=1,2,IF(Scharniere[[#This Row],[Quick]]=1,3,IF(Scharniere[[#This Row],[Werkzeuglos]]=1,4,0))))=select!$A$769,1,0)</f>
        <v>1</v>
      </c>
      <c r="U1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" s="359">
        <f>IF(AND(Scharniere[[#This Row],[Scharnierart]]=4,Scharniere[[#This Row],[Gruppenschlüssel]]=select!$A$981)=TRUE,1,0)</f>
        <v>0</v>
      </c>
      <c r="W106" s="359">
        <f ca="1">IF(select!$O$1185&lt;6,1,0)</f>
        <v>1</v>
      </c>
      <c r="X106" s="359">
        <f>IF(select!$A$1012=IF(Scharniere[[#This Row],[mit Dämpfung]]=1,1,IF(Scharniere[[#This Row],[ohne Dämpfung]]=1,2,IF(Scharniere[[#This Row],[ohne Feder]]=1,3,0))),1,0)</f>
        <v>0</v>
      </c>
      <c r="Y106" s="359">
        <f>IF(Scharniere[[#This Row],[Bohrbild]]=select!$A$989,1,0)</f>
        <v>0</v>
      </c>
      <c r="Z106" s="359">
        <f>IF(IF(Scharniere[[#This Row],[Anschrauben]]=1,1,IF(Scharniere[[#This Row],[Einpressen]]=1,2,IF(Scharniere[[#This Row],[Quick]]=1,3,IF(Scharniere[[#This Row],[Werkzeuglos]]=1,4,0))))=select!$A$1003,1,0)</f>
        <v>1</v>
      </c>
      <c r="AA1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" s="359">
        <f ca="1">IF(select!$K$980="*",Scharniere[[#This Row],[AG Ges2]],Scharniere[[#This Row],[AG Ges1]])</f>
        <v>0</v>
      </c>
      <c r="AE106" s="451">
        <f ca="1">IF(AND(Scharniere[[#This Row],[Scharnierart]]=select!$A$1485,Scharniere[[#This Row],[Gruppenschlüssel]]=select!$B$1485)=TRUE,1,0)</f>
        <v>1</v>
      </c>
      <c r="AF106" s="451">
        <f ca="1">IF(AND(Scharniere[[#This Row],[Scharnierart]]=select!$A$1486,Scharniere[[#This Row],[Gruppenschlüssel]]=select!$B$1486)=TRUE,1,0)</f>
        <v>0</v>
      </c>
      <c r="AG106" s="451">
        <f ca="1">IF(AND(Scharniere[[#This Row],[Scharnierart]]=select!$A$1487,Scharniere[[#This Row],[Gruppenschlüssel]]=select!$B$1487)=TRUE,1,0)</f>
        <v>0</v>
      </c>
      <c r="AH106" s="451">
        <f ca="1">IF(AND(Scharniere[[#This Row],[Scharnierart]]=select!$A$1488,Scharniere[[#This Row],[Gruppenschlüssel]]=select!$B$1488)=TRUE,1,0)</f>
        <v>0</v>
      </c>
      <c r="AI106" s="451">
        <f ca="1">IF(SUM(Scharniere[[#This Row],[konf Scharnier 1]:[konf Scharnier 4]])&gt;0,1,0)</f>
        <v>1</v>
      </c>
      <c r="AJ106" s="451"/>
      <c r="AK106" s="451"/>
      <c r="AL106" s="451"/>
      <c r="AM106" s="451"/>
      <c r="AN106" s="451"/>
      <c r="AO106" s="146">
        <v>1</v>
      </c>
      <c r="AP106" s="146">
        <v>1</v>
      </c>
      <c r="AQ106" s="10" t="str">
        <f ca="1">Sprache!$A$112</f>
        <v>Tiomos Scharnier TS Click-on</v>
      </c>
      <c r="AR106" t="s">
        <v>304</v>
      </c>
      <c r="AS106" t="str">
        <f ca="1">Sprache!$A$103</f>
        <v>Tiomos Click-On Scharniere</v>
      </c>
      <c r="AT106">
        <v>3</v>
      </c>
      <c r="AU106" t="s">
        <v>3</v>
      </c>
      <c r="AV106">
        <v>110</v>
      </c>
      <c r="AW106" s="10">
        <v>1</v>
      </c>
      <c r="AX106">
        <v>0</v>
      </c>
      <c r="AY106">
        <v>0</v>
      </c>
      <c r="AZ106" s="10">
        <v>1</v>
      </c>
      <c r="BA106">
        <v>0</v>
      </c>
      <c r="BB106">
        <v>0</v>
      </c>
      <c r="BC106">
        <v>0</v>
      </c>
      <c r="BD106" s="143" t="s">
        <v>303</v>
      </c>
      <c r="BG106"/>
    </row>
    <row r="107" spans="1:59" ht="14.25" customHeight="1" x14ac:dyDescent="0.25">
      <c r="A107" s="37" t="str">
        <f>LEFT(Scharniere[[#This Row],[ArtikelNR]],4)</f>
        <v>F046</v>
      </c>
      <c r="B107" s="35" t="str">
        <f>MID(Scharniere[[#This Row],[ArtikelNR]],5,3)</f>
        <v>138</v>
      </c>
      <c r="C107" s="37" t="str">
        <f>RIGHT(Scharniere[[#This Row],[ArtikelNR]],3)</f>
        <v>580</v>
      </c>
      <c r="D107" s="35">
        <f>IF(AND(Scharniere[[#This Row],[Gruppenschlüssel]]=select!$A$44,Scharniere[[#This Row],[Scharnierart]]=1)=TRUE,1,0)</f>
        <v>1</v>
      </c>
      <c r="E1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" s="35">
        <f>IF(select!$F$57=IF(Scharniere[[#This Row],[mit Dämpfung]]=1,1,IF(Scharniere[[#This Row],[ohne Dämpfung]]=1,2,IF(Scharniere[[#This Row],[ohne Feder]]=1,3,0))),1,0)</f>
        <v>1</v>
      </c>
      <c r="G107" s="35">
        <f>IF(Scharniere[[#This Row],[Bohrbild]]=select!$V$43,1,0)</f>
        <v>0</v>
      </c>
      <c r="H107" s="35">
        <f>IF(IF(Scharniere[[#This Row],[Anschrauben]]=1,1,IF(Scharniere[[#This Row],[Einpressen]]=1,2,IF(Scharniere[[#This Row],[Quick]]=1,3,IF(Scharniere[[#This Row],[Werkzeuglos]]=1,4,0))))=select!$F$48,1,0)</f>
        <v>0</v>
      </c>
      <c r="I1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" s="149">
        <f>IF(AND(Scharniere[[#This Row],[Scharnierart]]=2,Scharniere[[#This Row],[Gruppenschlüssel]]=select!$A$318)=TRUE,1,0)</f>
        <v>0</v>
      </c>
      <c r="K107" s="221">
        <f ca="1">IF(select!$O$424&lt;6,1,0)</f>
        <v>1</v>
      </c>
      <c r="L107" s="139">
        <f>IF(select!$A$362=IF(Scharniere[[#This Row],[mit Dämpfung]]=1,1,IF(Scharniere[[#This Row],[ohne Dämpfung]]=1,2,IF(Scharniere[[#This Row],[ohne Feder]]=1,3,0))),1,0)</f>
        <v>0</v>
      </c>
      <c r="M107" s="135">
        <f>IF(Scharniere[[#This Row],[Bohrbild]]=select!$O$334,1,0)</f>
        <v>0</v>
      </c>
      <c r="N107" s="135">
        <f>IF(IF(Scharniere[[#This Row],[Anschrauben]]=1,1,IF(Scharniere[[#This Row],[Einpressen]]=1,2,IF(Scharniere[[#This Row],[Quick]]=1,3,IF(Scharniere[[#This Row],[Werkzeuglos]]=1,4,0))))=select!$E$362,1,0)</f>
        <v>1</v>
      </c>
      <c r="O1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" s="298">
        <f>IF(AND(Scharniere[[#This Row],[Scharnierart]]=3,Scharniere[[#This Row],[Gruppenschlüssel]]=select!$A$747)=TRUE,1,0)</f>
        <v>0</v>
      </c>
      <c r="Q107" s="298">
        <f ca="1">IF(select!$O$945&lt;6,1,0)</f>
        <v>1</v>
      </c>
      <c r="R107" s="298">
        <f>IF(select!$A$778=IF(Scharniere[[#This Row],[mit Dämpfung]]=1,1,IF(Scharniere[[#This Row],[ohne Dämpfung]]=1,2,IF(Scharniere[[#This Row],[ohne Feder]]=1,3,0))),1,0)</f>
        <v>0</v>
      </c>
      <c r="S107" s="298">
        <f>IF(Scharniere[[#This Row],[Bohrbild]]=select!$A$755,1,0)</f>
        <v>0</v>
      </c>
      <c r="T107" s="298">
        <f>IF(IF(Scharniere[[#This Row],[Anschrauben]]=1,1,IF(Scharniere[[#This Row],[Einpressen]]=1,2,IF(Scharniere[[#This Row],[Quick]]=1,3,IF(Scharniere[[#This Row],[Werkzeuglos]]=1,4,0))))=select!$A$769,1,0)</f>
        <v>1</v>
      </c>
      <c r="U1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" s="359">
        <f>IF(AND(Scharniere[[#This Row],[Scharnierart]]=4,Scharniere[[#This Row],[Gruppenschlüssel]]=select!$A$981)=TRUE,1,0)</f>
        <v>0</v>
      </c>
      <c r="W107" s="359">
        <f ca="1">IF(select!$O$1185&lt;6,1,0)</f>
        <v>1</v>
      </c>
      <c r="X107" s="359">
        <f>IF(select!$A$1012=IF(Scharniere[[#This Row],[mit Dämpfung]]=1,1,IF(Scharniere[[#This Row],[ohne Dämpfung]]=1,2,IF(Scharniere[[#This Row],[ohne Feder]]=1,3,0))),1,0)</f>
        <v>0</v>
      </c>
      <c r="Y107" s="359">
        <f>IF(Scharniere[[#This Row],[Bohrbild]]=select!$A$989,1,0)</f>
        <v>0</v>
      </c>
      <c r="Z107" s="359">
        <f>IF(IF(Scharniere[[#This Row],[Anschrauben]]=1,1,IF(Scharniere[[#This Row],[Einpressen]]=1,2,IF(Scharniere[[#This Row],[Quick]]=1,3,IF(Scharniere[[#This Row],[Werkzeuglos]]=1,4,0))))=select!$A$1003,1,0)</f>
        <v>1</v>
      </c>
      <c r="AA1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" s="359">
        <f ca="1">IF(select!$K$980="*",Scharniere[[#This Row],[AG Ges2]],Scharniere[[#This Row],[AG Ges1]])</f>
        <v>0</v>
      </c>
      <c r="AE107" s="451">
        <f ca="1">IF(AND(Scharniere[[#This Row],[Scharnierart]]=select!$A$1485,Scharniere[[#This Row],[Gruppenschlüssel]]=select!$B$1485)=TRUE,1,0)</f>
        <v>1</v>
      </c>
      <c r="AF107" s="451">
        <f ca="1">IF(AND(Scharniere[[#This Row],[Scharnierart]]=select!$A$1486,Scharniere[[#This Row],[Gruppenschlüssel]]=select!$B$1486)=TRUE,1,0)</f>
        <v>0</v>
      </c>
      <c r="AG107" s="451">
        <f ca="1">IF(AND(Scharniere[[#This Row],[Scharnierart]]=select!$A$1487,Scharniere[[#This Row],[Gruppenschlüssel]]=select!$B$1487)=TRUE,1,0)</f>
        <v>0</v>
      </c>
      <c r="AH107" s="451">
        <f ca="1">IF(AND(Scharniere[[#This Row],[Scharnierart]]=select!$A$1488,Scharniere[[#This Row],[Gruppenschlüssel]]=select!$B$1488)=TRUE,1,0)</f>
        <v>0</v>
      </c>
      <c r="AI107" s="451">
        <f ca="1">IF(SUM(Scharniere[[#This Row],[konf Scharnier 1]:[konf Scharnier 4]])&gt;0,1,0)</f>
        <v>1</v>
      </c>
      <c r="AJ107" s="451"/>
      <c r="AK107" s="451"/>
      <c r="AL107" s="451"/>
      <c r="AM107" s="451"/>
      <c r="AN107" s="451"/>
      <c r="AO107" s="146">
        <v>1</v>
      </c>
      <c r="AP107" s="146">
        <v>1</v>
      </c>
      <c r="AQ107" s="10" t="str">
        <f ca="1">Sprache!$A$114</f>
        <v>Tiomos Scharnier TT Click-on</v>
      </c>
      <c r="AR107" t="s">
        <v>304</v>
      </c>
      <c r="AS107" t="str">
        <f ca="1">Sprache!$A$103</f>
        <v>Tiomos Click-On Scharniere</v>
      </c>
      <c r="AT107">
        <v>3</v>
      </c>
      <c r="AU107" t="s">
        <v>3</v>
      </c>
      <c r="AV107">
        <v>110</v>
      </c>
      <c r="AW107" s="10">
        <v>0</v>
      </c>
      <c r="AX107">
        <v>0</v>
      </c>
      <c r="AY107">
        <v>1</v>
      </c>
      <c r="AZ107" s="10">
        <v>1</v>
      </c>
      <c r="BA107">
        <v>0</v>
      </c>
      <c r="BB107">
        <v>0</v>
      </c>
      <c r="BC107">
        <v>0</v>
      </c>
      <c r="BD107" s="143" t="s">
        <v>637</v>
      </c>
      <c r="BG107"/>
    </row>
    <row r="108" spans="1:59" ht="14.25" customHeight="1" x14ac:dyDescent="0.25">
      <c r="A108" s="37" t="str">
        <f>LEFT(Scharniere[[#This Row],[ArtikelNR]],4)</f>
        <v>F045</v>
      </c>
      <c r="B108" s="35" t="str">
        <f>MID(Scharniere[[#This Row],[ArtikelNR]],5,3)</f>
        <v>138</v>
      </c>
      <c r="C108" s="37" t="str">
        <f>RIGHT(Scharniere[[#This Row],[ArtikelNR]],3)</f>
        <v>280</v>
      </c>
      <c r="D108" s="35">
        <f>IF(AND(Scharniere[[#This Row],[Gruppenschlüssel]]=select!$A$44,Scharniere[[#This Row],[Scharnierart]]=1)=TRUE,1,0)</f>
        <v>1</v>
      </c>
      <c r="E1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8" s="35">
        <f>IF(select!$F$57=IF(Scharniere[[#This Row],[mit Dämpfung]]=1,1,IF(Scharniere[[#This Row],[ohne Dämpfung]]=1,2,IF(Scharniere[[#This Row],[ohne Feder]]=1,3,0))),1,0)</f>
        <v>0</v>
      </c>
      <c r="G108" s="35">
        <f>IF(Scharniere[[#This Row],[Bohrbild]]=select!$V$43,1,0)</f>
        <v>0</v>
      </c>
      <c r="H108" s="35">
        <f>IF(IF(Scharniere[[#This Row],[Anschrauben]]=1,1,IF(Scharniere[[#This Row],[Einpressen]]=1,2,IF(Scharniere[[#This Row],[Quick]]=1,3,IF(Scharniere[[#This Row],[Werkzeuglos]]=1,4,0))))=select!$F$48,1,0)</f>
        <v>1</v>
      </c>
      <c r="I1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8" s="149">
        <f>IF(AND(Scharniere[[#This Row],[Scharnierart]]=2,Scharniere[[#This Row],[Gruppenschlüssel]]=select!$A$318)=TRUE,1,0)</f>
        <v>0</v>
      </c>
      <c r="K108" s="221">
        <f ca="1">IF(select!$O$424&lt;6,1,0)</f>
        <v>1</v>
      </c>
      <c r="L108" s="139">
        <f>IF(select!$A$362=IF(Scharniere[[#This Row],[mit Dämpfung]]=1,1,IF(Scharniere[[#This Row],[ohne Dämpfung]]=1,2,IF(Scharniere[[#This Row],[ohne Feder]]=1,3,0))),1,0)</f>
        <v>0</v>
      </c>
      <c r="M108" s="135">
        <f>IF(Scharniere[[#This Row],[Bohrbild]]=select!$O$334,1,0)</f>
        <v>0</v>
      </c>
      <c r="N108" s="135">
        <f>IF(IF(Scharniere[[#This Row],[Anschrauben]]=1,1,IF(Scharniere[[#This Row],[Einpressen]]=1,2,IF(Scharniere[[#This Row],[Quick]]=1,3,IF(Scharniere[[#This Row],[Werkzeuglos]]=1,4,0))))=select!$E$362,1,0)</f>
        <v>0</v>
      </c>
      <c r="O1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8" s="298">
        <f>IF(AND(Scharniere[[#This Row],[Scharnierart]]=3,Scharniere[[#This Row],[Gruppenschlüssel]]=select!$A$747)=TRUE,1,0)</f>
        <v>0</v>
      </c>
      <c r="Q108" s="298">
        <f ca="1">IF(select!$O$945&lt;6,1,0)</f>
        <v>1</v>
      </c>
      <c r="R108" s="298">
        <f>IF(select!$A$778=IF(Scharniere[[#This Row],[mit Dämpfung]]=1,1,IF(Scharniere[[#This Row],[ohne Dämpfung]]=1,2,IF(Scharniere[[#This Row],[ohne Feder]]=1,3,0))),1,0)</f>
        <v>1</v>
      </c>
      <c r="S108" s="298">
        <f>IF(Scharniere[[#This Row],[Bohrbild]]=select!$A$755,1,0)</f>
        <v>0</v>
      </c>
      <c r="T108" s="298">
        <f>IF(IF(Scharniere[[#This Row],[Anschrauben]]=1,1,IF(Scharniere[[#This Row],[Einpressen]]=1,2,IF(Scharniere[[#This Row],[Quick]]=1,3,IF(Scharniere[[#This Row],[Werkzeuglos]]=1,4,0))))=select!$A$769,1,0)</f>
        <v>0</v>
      </c>
      <c r="U1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8" s="359">
        <f>IF(AND(Scharniere[[#This Row],[Scharnierart]]=4,Scharniere[[#This Row],[Gruppenschlüssel]]=select!$A$981)=TRUE,1,0)</f>
        <v>0</v>
      </c>
      <c r="W108" s="359">
        <f ca="1">IF(select!$O$1185&lt;6,1,0)</f>
        <v>1</v>
      </c>
      <c r="X108" s="359">
        <f>IF(select!$A$1012=IF(Scharniere[[#This Row],[mit Dämpfung]]=1,1,IF(Scharniere[[#This Row],[ohne Dämpfung]]=1,2,IF(Scharniere[[#This Row],[ohne Feder]]=1,3,0))),1,0)</f>
        <v>1</v>
      </c>
      <c r="Y108" s="359">
        <f>IF(Scharniere[[#This Row],[Bohrbild]]=select!$A$989,1,0)</f>
        <v>0</v>
      </c>
      <c r="Z108" s="359">
        <f>IF(IF(Scharniere[[#This Row],[Anschrauben]]=1,1,IF(Scharniere[[#This Row],[Einpressen]]=1,2,IF(Scharniere[[#This Row],[Quick]]=1,3,IF(Scharniere[[#This Row],[Werkzeuglos]]=1,4,0))))=select!$A$1003,1,0)</f>
        <v>0</v>
      </c>
      <c r="AA1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8" s="359">
        <f ca="1">IF(select!$K$980="*",Scharniere[[#This Row],[AG Ges2]],Scharniere[[#This Row],[AG Ges1]])</f>
        <v>0</v>
      </c>
      <c r="AE108" s="451">
        <f ca="1">IF(AND(Scharniere[[#This Row],[Scharnierart]]=select!$A$1485,Scharniere[[#This Row],[Gruppenschlüssel]]=select!$B$1485)=TRUE,1,0)</f>
        <v>1</v>
      </c>
      <c r="AF108" s="451">
        <f ca="1">IF(AND(Scharniere[[#This Row],[Scharnierart]]=select!$A$1486,Scharniere[[#This Row],[Gruppenschlüssel]]=select!$B$1486)=TRUE,1,0)</f>
        <v>0</v>
      </c>
      <c r="AG108" s="451">
        <f ca="1">IF(AND(Scharniere[[#This Row],[Scharnierart]]=select!$A$1487,Scharniere[[#This Row],[Gruppenschlüssel]]=select!$B$1487)=TRUE,1,0)</f>
        <v>0</v>
      </c>
      <c r="AH108" s="451">
        <f ca="1">IF(AND(Scharniere[[#This Row],[Scharnierart]]=select!$A$1488,Scharniere[[#This Row],[Gruppenschlüssel]]=select!$B$1488)=TRUE,1,0)</f>
        <v>0</v>
      </c>
      <c r="AI108" s="451">
        <f ca="1">IF(SUM(Scharniere[[#This Row],[konf Scharnier 1]:[konf Scharnier 4]])&gt;0,1,0)</f>
        <v>1</v>
      </c>
      <c r="AJ108" s="451"/>
      <c r="AK108" s="451"/>
      <c r="AL108" s="451"/>
      <c r="AM108" s="451"/>
      <c r="AN108" s="451"/>
      <c r="AO108" s="146">
        <v>1</v>
      </c>
      <c r="AP108" s="146">
        <v>1</v>
      </c>
      <c r="AQ108" s="10" t="str">
        <f ca="1">Sprache!$A$110</f>
        <v>Tiomos Scharnier T Click-on</v>
      </c>
      <c r="AR108" t="str">
        <f ca="1">"110°, G-BB, K03, "&amp;Sprache!A181&amp;", ni"</f>
        <v>110°, G-BB, K03, Dübel, ni</v>
      </c>
      <c r="AS108" t="str">
        <f ca="1">Sprache!$A$103</f>
        <v>Tiomos Click-On Scharniere</v>
      </c>
      <c r="AT108">
        <v>3</v>
      </c>
      <c r="AU108" t="s">
        <v>9</v>
      </c>
      <c r="AV108">
        <v>110</v>
      </c>
      <c r="AW108" s="10">
        <v>0</v>
      </c>
      <c r="AX108">
        <v>1</v>
      </c>
      <c r="AY108">
        <v>0</v>
      </c>
      <c r="AZ108" s="10">
        <v>0</v>
      </c>
      <c r="BA108">
        <v>1</v>
      </c>
      <c r="BB108">
        <v>0</v>
      </c>
      <c r="BC108">
        <v>0</v>
      </c>
      <c r="BD108" s="143" t="s">
        <v>462</v>
      </c>
      <c r="BG108"/>
    </row>
    <row r="109" spans="1:59" ht="14.25" customHeight="1" x14ac:dyDescent="0.25">
      <c r="A109" s="37" t="str">
        <f>LEFT(Scharniere[[#This Row],[ArtikelNR]],4)</f>
        <v>F028</v>
      </c>
      <c r="B109" s="35" t="str">
        <f>MID(Scharniere[[#This Row],[ArtikelNR]],5,3)</f>
        <v>138</v>
      </c>
      <c r="C109" s="37" t="str">
        <f>RIGHT(Scharniere[[#This Row],[ArtikelNR]],3)</f>
        <v>342</v>
      </c>
      <c r="D109" s="35">
        <f>IF(AND(Scharniere[[#This Row],[Gruppenschlüssel]]=select!$A$44,Scharniere[[#This Row],[Scharnierart]]=1)=TRUE,1,0)</f>
        <v>1</v>
      </c>
      <c r="E1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9" s="35">
        <f>IF(select!$F$57=IF(Scharniere[[#This Row],[mit Dämpfung]]=1,1,IF(Scharniere[[#This Row],[ohne Dämpfung]]=1,2,IF(Scharniere[[#This Row],[ohne Feder]]=1,3,0))),1,0)</f>
        <v>0</v>
      </c>
      <c r="G109" s="35">
        <f>IF(Scharniere[[#This Row],[Bohrbild]]=select!$V$43,1,0)</f>
        <v>0</v>
      </c>
      <c r="H109" s="35">
        <f>IF(IF(Scharniere[[#This Row],[Anschrauben]]=1,1,IF(Scharniere[[#This Row],[Einpressen]]=1,2,IF(Scharniere[[#This Row],[Quick]]=1,3,IF(Scharniere[[#This Row],[Werkzeuglos]]=1,4,0))))=select!$F$48,1,0)</f>
        <v>1</v>
      </c>
      <c r="I1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9" s="149">
        <f>IF(AND(Scharniere[[#This Row],[Scharnierart]]=2,Scharniere[[#This Row],[Gruppenschlüssel]]=select!$A$318)=TRUE,1,0)</f>
        <v>0</v>
      </c>
      <c r="K109" s="221">
        <f ca="1">IF(select!$O$424&lt;6,1,0)</f>
        <v>1</v>
      </c>
      <c r="L109" s="139">
        <f>IF(select!$A$362=IF(Scharniere[[#This Row],[mit Dämpfung]]=1,1,IF(Scharniere[[#This Row],[ohne Dämpfung]]=1,2,IF(Scharniere[[#This Row],[ohne Feder]]=1,3,0))),1,0)</f>
        <v>1</v>
      </c>
      <c r="M109" s="135">
        <f>IF(Scharniere[[#This Row],[Bohrbild]]=select!$O$334,1,0)</f>
        <v>0</v>
      </c>
      <c r="N109" s="135">
        <f>IF(IF(Scharniere[[#This Row],[Anschrauben]]=1,1,IF(Scharniere[[#This Row],[Einpressen]]=1,2,IF(Scharniere[[#This Row],[Quick]]=1,3,IF(Scharniere[[#This Row],[Werkzeuglos]]=1,4,0))))=select!$E$362,1,0)</f>
        <v>0</v>
      </c>
      <c r="O1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9" s="298">
        <f>IF(AND(Scharniere[[#This Row],[Scharnierart]]=3,Scharniere[[#This Row],[Gruppenschlüssel]]=select!$A$747)=TRUE,1,0)</f>
        <v>0</v>
      </c>
      <c r="Q109" s="298">
        <f ca="1">IF(select!$O$945&lt;6,1,0)</f>
        <v>1</v>
      </c>
      <c r="R109" s="298">
        <f>IF(select!$A$778=IF(Scharniere[[#This Row],[mit Dämpfung]]=1,1,IF(Scharniere[[#This Row],[ohne Dämpfung]]=1,2,IF(Scharniere[[#This Row],[ohne Feder]]=1,3,0))),1,0)</f>
        <v>0</v>
      </c>
      <c r="S109" s="298">
        <f>IF(Scharniere[[#This Row],[Bohrbild]]=select!$A$755,1,0)</f>
        <v>0</v>
      </c>
      <c r="T109" s="298">
        <f>IF(IF(Scharniere[[#This Row],[Anschrauben]]=1,1,IF(Scharniere[[#This Row],[Einpressen]]=1,2,IF(Scharniere[[#This Row],[Quick]]=1,3,IF(Scharniere[[#This Row],[Werkzeuglos]]=1,4,0))))=select!$A$769,1,0)</f>
        <v>0</v>
      </c>
      <c r="U1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9" s="359">
        <f>IF(AND(Scharniere[[#This Row],[Scharnierart]]=4,Scharniere[[#This Row],[Gruppenschlüssel]]=select!$A$981)=TRUE,1,0)</f>
        <v>0</v>
      </c>
      <c r="W109" s="359">
        <f ca="1">IF(select!$O$1185&lt;6,1,0)</f>
        <v>1</v>
      </c>
      <c r="X109" s="359">
        <f>IF(select!$A$1012=IF(Scharniere[[#This Row],[mit Dämpfung]]=1,1,IF(Scharniere[[#This Row],[ohne Dämpfung]]=1,2,IF(Scharniere[[#This Row],[ohne Feder]]=1,3,0))),1,0)</f>
        <v>0</v>
      </c>
      <c r="Y109" s="359">
        <f>IF(Scharniere[[#This Row],[Bohrbild]]=select!$A$989,1,0)</f>
        <v>0</v>
      </c>
      <c r="Z109" s="359">
        <f>IF(IF(Scharniere[[#This Row],[Anschrauben]]=1,1,IF(Scharniere[[#This Row],[Einpressen]]=1,2,IF(Scharniere[[#This Row],[Quick]]=1,3,IF(Scharniere[[#This Row],[Werkzeuglos]]=1,4,0))))=select!$A$1003,1,0)</f>
        <v>0</v>
      </c>
      <c r="AA1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9" s="359">
        <f ca="1">IF(select!$K$980="*",Scharniere[[#This Row],[AG Ges2]],Scharniere[[#This Row],[AG Ges1]])</f>
        <v>0</v>
      </c>
      <c r="AE109" s="451">
        <f ca="1">IF(AND(Scharniere[[#This Row],[Scharnierart]]=select!$A$1485,Scharniere[[#This Row],[Gruppenschlüssel]]=select!$B$1485)=TRUE,1,0)</f>
        <v>1</v>
      </c>
      <c r="AF109" s="451">
        <f ca="1">IF(AND(Scharniere[[#This Row],[Scharnierart]]=select!$A$1486,Scharniere[[#This Row],[Gruppenschlüssel]]=select!$B$1486)=TRUE,1,0)</f>
        <v>0</v>
      </c>
      <c r="AG109" s="451">
        <f ca="1">IF(AND(Scharniere[[#This Row],[Scharnierart]]=select!$A$1487,Scharniere[[#This Row],[Gruppenschlüssel]]=select!$B$1487)=TRUE,1,0)</f>
        <v>0</v>
      </c>
      <c r="AH109" s="451">
        <f ca="1">IF(AND(Scharniere[[#This Row],[Scharnierart]]=select!$A$1488,Scharniere[[#This Row],[Gruppenschlüssel]]=select!$B$1488)=TRUE,1,0)</f>
        <v>0</v>
      </c>
      <c r="AI109" s="451">
        <f ca="1">IF(SUM(Scharniere[[#This Row],[konf Scharnier 1]:[konf Scharnier 4]])&gt;0,1,0)</f>
        <v>1</v>
      </c>
      <c r="AJ109" s="451"/>
      <c r="AK109" s="451"/>
      <c r="AL109" s="451"/>
      <c r="AM109" s="451"/>
      <c r="AN109" s="451"/>
      <c r="AO109" s="146">
        <v>1</v>
      </c>
      <c r="AP109" s="146">
        <v>1</v>
      </c>
      <c r="AQ109" s="10" t="str">
        <f ca="1">Sprache!$A$112</f>
        <v>Tiomos Scharnier TS Click-on</v>
      </c>
      <c r="AR109" t="str">
        <f ca="1">"110°, G-BB, K03, "&amp;Sprache!A181&amp;", ni"</f>
        <v>110°, G-BB, K03, Dübel, ni</v>
      </c>
      <c r="AS109" t="str">
        <f ca="1">Sprache!$A$103</f>
        <v>Tiomos Click-On Scharniere</v>
      </c>
      <c r="AT109">
        <v>3</v>
      </c>
      <c r="AU109" s="34" t="s">
        <v>9</v>
      </c>
      <c r="AV109">
        <v>110</v>
      </c>
      <c r="AW109" s="10">
        <v>1</v>
      </c>
      <c r="AX109">
        <v>0</v>
      </c>
      <c r="AY109">
        <v>0</v>
      </c>
      <c r="AZ109" s="10">
        <v>0</v>
      </c>
      <c r="BA109">
        <v>1</v>
      </c>
      <c r="BB109">
        <v>0</v>
      </c>
      <c r="BC109">
        <v>0</v>
      </c>
      <c r="BD109" s="143" t="s">
        <v>272</v>
      </c>
      <c r="BG109"/>
    </row>
    <row r="110" spans="1:59" ht="14.25" customHeight="1" x14ac:dyDescent="0.25">
      <c r="A110" s="37" t="str">
        <f>LEFT(Scharniere[[#This Row],[ArtikelNR]],4)</f>
        <v>F046</v>
      </c>
      <c r="B110" s="35" t="str">
        <f>MID(Scharniere[[#This Row],[ArtikelNR]],5,3)</f>
        <v>138</v>
      </c>
      <c r="C110" s="37" t="str">
        <f>RIGHT(Scharniere[[#This Row],[ArtikelNR]],3)</f>
        <v>402</v>
      </c>
      <c r="D110" s="35">
        <f>IF(AND(Scharniere[[#This Row],[Gruppenschlüssel]]=select!$A$44,Scharniere[[#This Row],[Scharnierart]]=1)=TRUE,1,0)</f>
        <v>1</v>
      </c>
      <c r="E1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0" s="35">
        <f>IF(select!$F$57=IF(Scharniere[[#This Row],[mit Dämpfung]]=1,1,IF(Scharniere[[#This Row],[ohne Dämpfung]]=1,2,IF(Scharniere[[#This Row],[ohne Feder]]=1,3,0))),1,0)</f>
        <v>1</v>
      </c>
      <c r="G110" s="35">
        <f>IF(Scharniere[[#This Row],[Bohrbild]]=select!$V$43,1,0)</f>
        <v>0</v>
      </c>
      <c r="H110" s="35">
        <f>IF(IF(Scharniere[[#This Row],[Anschrauben]]=1,1,IF(Scharniere[[#This Row],[Einpressen]]=1,2,IF(Scharniere[[#This Row],[Quick]]=1,3,IF(Scharniere[[#This Row],[Werkzeuglos]]=1,4,0))))=select!$F$48,1,0)</f>
        <v>1</v>
      </c>
      <c r="I1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0" s="149">
        <f>IF(AND(Scharniere[[#This Row],[Scharnierart]]=2,Scharniere[[#This Row],[Gruppenschlüssel]]=select!$A$318)=TRUE,1,0)</f>
        <v>0</v>
      </c>
      <c r="K110" s="221">
        <f ca="1">IF(select!$O$424&lt;6,1,0)</f>
        <v>1</v>
      </c>
      <c r="L110" s="139">
        <f>IF(select!$A$362=IF(Scharniere[[#This Row],[mit Dämpfung]]=1,1,IF(Scharniere[[#This Row],[ohne Dämpfung]]=1,2,IF(Scharniere[[#This Row],[ohne Feder]]=1,3,0))),1,0)</f>
        <v>0</v>
      </c>
      <c r="M110" s="135">
        <f>IF(Scharniere[[#This Row],[Bohrbild]]=select!$O$334,1,0)</f>
        <v>0</v>
      </c>
      <c r="N110" s="135">
        <f>IF(IF(Scharniere[[#This Row],[Anschrauben]]=1,1,IF(Scharniere[[#This Row],[Einpressen]]=1,2,IF(Scharniere[[#This Row],[Quick]]=1,3,IF(Scharniere[[#This Row],[Werkzeuglos]]=1,4,0))))=select!$E$362,1,0)</f>
        <v>0</v>
      </c>
      <c r="O1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0" s="298">
        <f>IF(AND(Scharniere[[#This Row],[Scharnierart]]=3,Scharniere[[#This Row],[Gruppenschlüssel]]=select!$A$747)=TRUE,1,0)</f>
        <v>0</v>
      </c>
      <c r="Q110" s="298">
        <f ca="1">IF(select!$O$945&lt;6,1,0)</f>
        <v>1</v>
      </c>
      <c r="R110" s="298">
        <f>IF(select!$A$778=IF(Scharniere[[#This Row],[mit Dämpfung]]=1,1,IF(Scharniere[[#This Row],[ohne Dämpfung]]=1,2,IF(Scharniere[[#This Row],[ohne Feder]]=1,3,0))),1,0)</f>
        <v>0</v>
      </c>
      <c r="S110" s="298">
        <f>IF(Scharniere[[#This Row],[Bohrbild]]=select!$A$755,1,0)</f>
        <v>0</v>
      </c>
      <c r="T110" s="298">
        <f>IF(IF(Scharniere[[#This Row],[Anschrauben]]=1,1,IF(Scharniere[[#This Row],[Einpressen]]=1,2,IF(Scharniere[[#This Row],[Quick]]=1,3,IF(Scharniere[[#This Row],[Werkzeuglos]]=1,4,0))))=select!$A$769,1,0)</f>
        <v>0</v>
      </c>
      <c r="U1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0" s="359">
        <f>IF(AND(Scharniere[[#This Row],[Scharnierart]]=4,Scharniere[[#This Row],[Gruppenschlüssel]]=select!$A$981)=TRUE,1,0)</f>
        <v>0</v>
      </c>
      <c r="W110" s="359">
        <f ca="1">IF(select!$O$1185&lt;6,1,0)</f>
        <v>1</v>
      </c>
      <c r="X110" s="359">
        <f>IF(select!$A$1012=IF(Scharniere[[#This Row],[mit Dämpfung]]=1,1,IF(Scharniere[[#This Row],[ohne Dämpfung]]=1,2,IF(Scharniere[[#This Row],[ohne Feder]]=1,3,0))),1,0)</f>
        <v>0</v>
      </c>
      <c r="Y110" s="359">
        <f>IF(Scharniere[[#This Row],[Bohrbild]]=select!$A$989,1,0)</f>
        <v>0</v>
      </c>
      <c r="Z110" s="359">
        <f>IF(IF(Scharniere[[#This Row],[Anschrauben]]=1,1,IF(Scharniere[[#This Row],[Einpressen]]=1,2,IF(Scharniere[[#This Row],[Quick]]=1,3,IF(Scharniere[[#This Row],[Werkzeuglos]]=1,4,0))))=select!$A$1003,1,0)</f>
        <v>0</v>
      </c>
      <c r="AA1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0" s="359">
        <f ca="1">IF(select!$K$980="*",Scharniere[[#This Row],[AG Ges2]],Scharniere[[#This Row],[AG Ges1]])</f>
        <v>0</v>
      </c>
      <c r="AE110" s="451">
        <f ca="1">IF(AND(Scharniere[[#This Row],[Scharnierart]]=select!$A$1485,Scharniere[[#This Row],[Gruppenschlüssel]]=select!$B$1485)=TRUE,1,0)</f>
        <v>1</v>
      </c>
      <c r="AF110" s="451">
        <f ca="1">IF(AND(Scharniere[[#This Row],[Scharnierart]]=select!$A$1486,Scharniere[[#This Row],[Gruppenschlüssel]]=select!$B$1486)=TRUE,1,0)</f>
        <v>0</v>
      </c>
      <c r="AG110" s="451">
        <f ca="1">IF(AND(Scharniere[[#This Row],[Scharnierart]]=select!$A$1487,Scharniere[[#This Row],[Gruppenschlüssel]]=select!$B$1487)=TRUE,1,0)</f>
        <v>0</v>
      </c>
      <c r="AH110" s="451">
        <f ca="1">IF(AND(Scharniere[[#This Row],[Scharnierart]]=select!$A$1488,Scharniere[[#This Row],[Gruppenschlüssel]]=select!$B$1488)=TRUE,1,0)</f>
        <v>0</v>
      </c>
      <c r="AI110" s="451">
        <f ca="1">IF(SUM(Scharniere[[#This Row],[konf Scharnier 1]:[konf Scharnier 4]])&gt;0,1,0)</f>
        <v>1</v>
      </c>
      <c r="AJ110" s="451"/>
      <c r="AK110" s="451"/>
      <c r="AL110" s="451"/>
      <c r="AM110" s="451"/>
      <c r="AN110" s="451"/>
      <c r="AO110" s="146">
        <v>1</v>
      </c>
      <c r="AP110" s="146">
        <v>1</v>
      </c>
      <c r="AQ110" s="10" t="str">
        <f ca="1">Sprache!$A$114</f>
        <v>Tiomos Scharnier TT Click-on</v>
      </c>
      <c r="AR110" t="str">
        <f ca="1">"110°, G-BB, K03, "&amp;Sprache!A181&amp;", ni"</f>
        <v>110°, G-BB, K03, Dübel, ni</v>
      </c>
      <c r="AS110" t="str">
        <f ca="1">Sprache!$A$103</f>
        <v>Tiomos Click-On Scharniere</v>
      </c>
      <c r="AT110">
        <v>3</v>
      </c>
      <c r="AU110" t="s">
        <v>9</v>
      </c>
      <c r="AV110">
        <v>110</v>
      </c>
      <c r="AW110" s="10">
        <v>0</v>
      </c>
      <c r="AX110">
        <v>0</v>
      </c>
      <c r="AY110">
        <v>1</v>
      </c>
      <c r="AZ110" s="10">
        <v>0</v>
      </c>
      <c r="BA110">
        <v>1</v>
      </c>
      <c r="BB110">
        <v>0</v>
      </c>
      <c r="BC110">
        <v>0</v>
      </c>
      <c r="BD110" s="143" t="s">
        <v>614</v>
      </c>
      <c r="BG110"/>
    </row>
    <row r="111" spans="1:59" ht="14.25" customHeight="1" x14ac:dyDescent="0.25">
      <c r="A111" s="37" t="str">
        <f>LEFT(Scharniere[[#This Row],[ArtikelNR]],4)</f>
        <v>F045</v>
      </c>
      <c r="B111" s="35" t="str">
        <f>MID(Scharniere[[#This Row],[ArtikelNR]],5,3)</f>
        <v>138</v>
      </c>
      <c r="C111" s="37" t="str">
        <f>RIGHT(Scharniere[[#This Row],[ArtikelNR]],3)</f>
        <v>276</v>
      </c>
      <c r="D111" s="35">
        <f>IF(AND(Scharniere[[#This Row],[Gruppenschlüssel]]=select!$A$44,Scharniere[[#This Row],[Scharnierart]]=1)=TRUE,1,0)</f>
        <v>1</v>
      </c>
      <c r="E1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1" s="35">
        <f>IF(select!$F$57=IF(Scharniere[[#This Row],[mit Dämpfung]]=1,1,IF(Scharniere[[#This Row],[ohne Dämpfung]]=1,2,IF(Scharniere[[#This Row],[ohne Feder]]=1,3,0))),1,0)</f>
        <v>0</v>
      </c>
      <c r="G111" s="35">
        <f>IF(Scharniere[[#This Row],[Bohrbild]]=select!$V$43,1,0)</f>
        <v>0</v>
      </c>
      <c r="H111" s="35">
        <f>IF(IF(Scharniere[[#This Row],[Anschrauben]]=1,1,IF(Scharniere[[#This Row],[Einpressen]]=1,2,IF(Scharniere[[#This Row],[Quick]]=1,3,IF(Scharniere[[#This Row],[Werkzeuglos]]=1,4,0))))=select!$F$48,1,0)</f>
        <v>0</v>
      </c>
      <c r="I1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1" s="149">
        <f>IF(AND(Scharniere[[#This Row],[Scharnierart]]=2,Scharniere[[#This Row],[Gruppenschlüssel]]=select!$A$318)=TRUE,1,0)</f>
        <v>0</v>
      </c>
      <c r="K111" s="221">
        <f ca="1">IF(select!$O$424&lt;6,1,0)</f>
        <v>1</v>
      </c>
      <c r="L111" s="139">
        <f>IF(select!$A$362=IF(Scharniere[[#This Row],[mit Dämpfung]]=1,1,IF(Scharniere[[#This Row],[ohne Dämpfung]]=1,2,IF(Scharniere[[#This Row],[ohne Feder]]=1,3,0))),1,0)</f>
        <v>0</v>
      </c>
      <c r="M111" s="135">
        <f>IF(Scharniere[[#This Row],[Bohrbild]]=select!$O$334,1,0)</f>
        <v>0</v>
      </c>
      <c r="N111" s="135">
        <f>IF(IF(Scharniere[[#This Row],[Anschrauben]]=1,1,IF(Scharniere[[#This Row],[Einpressen]]=1,2,IF(Scharniere[[#This Row],[Quick]]=1,3,IF(Scharniere[[#This Row],[Werkzeuglos]]=1,4,0))))=select!$E$362,1,0)</f>
        <v>1</v>
      </c>
      <c r="O1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1" s="298">
        <f>IF(AND(Scharniere[[#This Row],[Scharnierart]]=3,Scharniere[[#This Row],[Gruppenschlüssel]]=select!$A$747)=TRUE,1,0)</f>
        <v>0</v>
      </c>
      <c r="Q111" s="298">
        <f ca="1">IF(select!$O$945&lt;6,1,0)</f>
        <v>1</v>
      </c>
      <c r="R111" s="298">
        <f>IF(select!$A$778=IF(Scharniere[[#This Row],[mit Dämpfung]]=1,1,IF(Scharniere[[#This Row],[ohne Dämpfung]]=1,2,IF(Scharniere[[#This Row],[ohne Feder]]=1,3,0))),1,0)</f>
        <v>1</v>
      </c>
      <c r="S111" s="298">
        <f>IF(Scharniere[[#This Row],[Bohrbild]]=select!$A$755,1,0)</f>
        <v>0</v>
      </c>
      <c r="T111" s="298">
        <f>IF(IF(Scharniere[[#This Row],[Anschrauben]]=1,1,IF(Scharniere[[#This Row],[Einpressen]]=1,2,IF(Scharniere[[#This Row],[Quick]]=1,3,IF(Scharniere[[#This Row],[Werkzeuglos]]=1,4,0))))=select!$A$769,1,0)</f>
        <v>1</v>
      </c>
      <c r="U1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1" s="359">
        <f>IF(AND(Scharniere[[#This Row],[Scharnierart]]=4,Scharniere[[#This Row],[Gruppenschlüssel]]=select!$A$981)=TRUE,1,0)</f>
        <v>0</v>
      </c>
      <c r="W111" s="359">
        <f ca="1">IF(select!$O$1185&lt;6,1,0)</f>
        <v>1</v>
      </c>
      <c r="X111" s="359">
        <f>IF(select!$A$1012=IF(Scharniere[[#This Row],[mit Dämpfung]]=1,1,IF(Scharniere[[#This Row],[ohne Dämpfung]]=1,2,IF(Scharniere[[#This Row],[ohne Feder]]=1,3,0))),1,0)</f>
        <v>1</v>
      </c>
      <c r="Y111" s="359">
        <f>IF(Scharniere[[#This Row],[Bohrbild]]=select!$A$989,1,0)</f>
        <v>0</v>
      </c>
      <c r="Z111" s="359">
        <f>IF(IF(Scharniere[[#This Row],[Anschrauben]]=1,1,IF(Scharniere[[#This Row],[Einpressen]]=1,2,IF(Scharniere[[#This Row],[Quick]]=1,3,IF(Scharniere[[#This Row],[Werkzeuglos]]=1,4,0))))=select!$A$1003,1,0)</f>
        <v>1</v>
      </c>
      <c r="AA1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1" s="359">
        <f ca="1">IF(select!$K$980="*",Scharniere[[#This Row],[AG Ges2]],Scharniere[[#This Row],[AG Ges1]])</f>
        <v>0</v>
      </c>
      <c r="AE111" s="451">
        <f ca="1">IF(AND(Scharniere[[#This Row],[Scharnierart]]=select!$A$1485,Scharniere[[#This Row],[Gruppenschlüssel]]=select!$B$1485)=TRUE,1,0)</f>
        <v>1</v>
      </c>
      <c r="AF111" s="451">
        <f ca="1">IF(AND(Scharniere[[#This Row],[Scharnierart]]=select!$A$1486,Scharniere[[#This Row],[Gruppenschlüssel]]=select!$B$1486)=TRUE,1,0)</f>
        <v>0</v>
      </c>
      <c r="AG111" s="451">
        <f ca="1">IF(AND(Scharniere[[#This Row],[Scharnierart]]=select!$A$1487,Scharniere[[#This Row],[Gruppenschlüssel]]=select!$B$1487)=TRUE,1,0)</f>
        <v>0</v>
      </c>
      <c r="AH111" s="451">
        <f ca="1">IF(AND(Scharniere[[#This Row],[Scharnierart]]=select!$A$1488,Scharniere[[#This Row],[Gruppenschlüssel]]=select!$B$1488)=TRUE,1,0)</f>
        <v>0</v>
      </c>
      <c r="AI111" s="451">
        <f ca="1">IF(SUM(Scharniere[[#This Row],[konf Scharnier 1]:[konf Scharnier 4]])&gt;0,1,0)</f>
        <v>1</v>
      </c>
      <c r="AJ111" s="451"/>
      <c r="AK111" s="451"/>
      <c r="AL111" s="451"/>
      <c r="AM111" s="451"/>
      <c r="AN111" s="451"/>
      <c r="AO111" s="146">
        <v>1</v>
      </c>
      <c r="AP111" s="146">
        <v>1</v>
      </c>
      <c r="AQ111" s="10" t="str">
        <f ca="1">Sprache!$A$110</f>
        <v>Tiomos Scharnier T Click-on</v>
      </c>
      <c r="AR111" t="s">
        <v>267</v>
      </c>
      <c r="AS111" t="str">
        <f ca="1">Sprache!$A$103</f>
        <v>Tiomos Click-On Scharniere</v>
      </c>
      <c r="AT111">
        <v>3</v>
      </c>
      <c r="AU111" s="34" t="s">
        <v>9</v>
      </c>
      <c r="AV111">
        <v>110</v>
      </c>
      <c r="AW111" s="10">
        <v>0</v>
      </c>
      <c r="AX111">
        <v>1</v>
      </c>
      <c r="AY111">
        <v>0</v>
      </c>
      <c r="AZ111" s="10">
        <v>1</v>
      </c>
      <c r="BA111">
        <v>0</v>
      </c>
      <c r="BB111">
        <v>0</v>
      </c>
      <c r="BC111">
        <v>0</v>
      </c>
      <c r="BD111" s="143" t="s">
        <v>458</v>
      </c>
      <c r="BG111"/>
    </row>
    <row r="112" spans="1:59" ht="14.25" customHeight="1" x14ac:dyDescent="0.25">
      <c r="A112" s="37" t="str">
        <f>LEFT(Scharniere[[#This Row],[ArtikelNR]],4)</f>
        <v>F028</v>
      </c>
      <c r="B112" s="35" t="str">
        <f>MID(Scharniere[[#This Row],[ArtikelNR]],5,3)</f>
        <v>138</v>
      </c>
      <c r="C112" s="37" t="str">
        <f>RIGHT(Scharniere[[#This Row],[ArtikelNR]],3)</f>
        <v>338</v>
      </c>
      <c r="D112" s="35">
        <f>IF(AND(Scharniere[[#This Row],[Gruppenschlüssel]]=select!$A$44,Scharniere[[#This Row],[Scharnierart]]=1)=TRUE,1,0)</f>
        <v>1</v>
      </c>
      <c r="E1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2" s="35">
        <f>IF(select!$F$57=IF(Scharniere[[#This Row],[mit Dämpfung]]=1,1,IF(Scharniere[[#This Row],[ohne Dämpfung]]=1,2,IF(Scharniere[[#This Row],[ohne Feder]]=1,3,0))),1,0)</f>
        <v>0</v>
      </c>
      <c r="G112" s="35">
        <f>IF(Scharniere[[#This Row],[Bohrbild]]=select!$V$43,1,0)</f>
        <v>0</v>
      </c>
      <c r="H112" s="35">
        <f>IF(IF(Scharniere[[#This Row],[Anschrauben]]=1,1,IF(Scharniere[[#This Row],[Einpressen]]=1,2,IF(Scharniere[[#This Row],[Quick]]=1,3,IF(Scharniere[[#This Row],[Werkzeuglos]]=1,4,0))))=select!$F$48,1,0)</f>
        <v>0</v>
      </c>
      <c r="I1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2" s="149">
        <f>IF(AND(Scharniere[[#This Row],[Scharnierart]]=2,Scharniere[[#This Row],[Gruppenschlüssel]]=select!$A$318)=TRUE,1,0)</f>
        <v>0</v>
      </c>
      <c r="K112" s="221">
        <f ca="1">IF(select!$O$424&lt;6,1,0)</f>
        <v>1</v>
      </c>
      <c r="L112" s="139">
        <f>IF(select!$A$362=IF(Scharniere[[#This Row],[mit Dämpfung]]=1,1,IF(Scharniere[[#This Row],[ohne Dämpfung]]=1,2,IF(Scharniere[[#This Row],[ohne Feder]]=1,3,0))),1,0)</f>
        <v>1</v>
      </c>
      <c r="M112" s="135">
        <f>IF(Scharniere[[#This Row],[Bohrbild]]=select!$O$334,1,0)</f>
        <v>0</v>
      </c>
      <c r="N112" s="135">
        <f>IF(IF(Scharniere[[#This Row],[Anschrauben]]=1,1,IF(Scharniere[[#This Row],[Einpressen]]=1,2,IF(Scharniere[[#This Row],[Quick]]=1,3,IF(Scharniere[[#This Row],[Werkzeuglos]]=1,4,0))))=select!$E$362,1,0)</f>
        <v>1</v>
      </c>
      <c r="O1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2" s="298">
        <f>IF(AND(Scharniere[[#This Row],[Scharnierart]]=3,Scharniere[[#This Row],[Gruppenschlüssel]]=select!$A$747)=TRUE,1,0)</f>
        <v>0</v>
      </c>
      <c r="Q112" s="298">
        <f ca="1">IF(select!$O$945&lt;6,1,0)</f>
        <v>1</v>
      </c>
      <c r="R112" s="298">
        <f>IF(select!$A$778=IF(Scharniere[[#This Row],[mit Dämpfung]]=1,1,IF(Scharniere[[#This Row],[ohne Dämpfung]]=1,2,IF(Scharniere[[#This Row],[ohne Feder]]=1,3,0))),1,0)</f>
        <v>0</v>
      </c>
      <c r="S112" s="298">
        <f>IF(Scharniere[[#This Row],[Bohrbild]]=select!$A$755,1,0)</f>
        <v>0</v>
      </c>
      <c r="T112" s="298">
        <f>IF(IF(Scharniere[[#This Row],[Anschrauben]]=1,1,IF(Scharniere[[#This Row],[Einpressen]]=1,2,IF(Scharniere[[#This Row],[Quick]]=1,3,IF(Scharniere[[#This Row],[Werkzeuglos]]=1,4,0))))=select!$A$769,1,0)</f>
        <v>1</v>
      </c>
      <c r="U1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2" s="359">
        <f>IF(AND(Scharniere[[#This Row],[Scharnierart]]=4,Scharniere[[#This Row],[Gruppenschlüssel]]=select!$A$981)=TRUE,1,0)</f>
        <v>0</v>
      </c>
      <c r="W112" s="359">
        <f ca="1">IF(select!$O$1185&lt;6,1,0)</f>
        <v>1</v>
      </c>
      <c r="X112" s="359">
        <f>IF(select!$A$1012=IF(Scharniere[[#This Row],[mit Dämpfung]]=1,1,IF(Scharniere[[#This Row],[ohne Dämpfung]]=1,2,IF(Scharniere[[#This Row],[ohne Feder]]=1,3,0))),1,0)</f>
        <v>0</v>
      </c>
      <c r="Y112" s="359">
        <f>IF(Scharniere[[#This Row],[Bohrbild]]=select!$A$989,1,0)</f>
        <v>0</v>
      </c>
      <c r="Z112" s="359">
        <f>IF(IF(Scharniere[[#This Row],[Anschrauben]]=1,1,IF(Scharniere[[#This Row],[Einpressen]]=1,2,IF(Scharniere[[#This Row],[Quick]]=1,3,IF(Scharniere[[#This Row],[Werkzeuglos]]=1,4,0))))=select!$A$1003,1,0)</f>
        <v>1</v>
      </c>
      <c r="AA1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2" s="359">
        <f ca="1">IF(select!$K$980="*",Scharniere[[#This Row],[AG Ges2]],Scharniere[[#This Row],[AG Ges1]])</f>
        <v>0</v>
      </c>
      <c r="AE112" s="451">
        <f ca="1">IF(AND(Scharniere[[#This Row],[Scharnierart]]=select!$A$1485,Scharniere[[#This Row],[Gruppenschlüssel]]=select!$B$1485)=TRUE,1,0)</f>
        <v>1</v>
      </c>
      <c r="AF112" s="451">
        <f ca="1">IF(AND(Scharniere[[#This Row],[Scharnierart]]=select!$A$1486,Scharniere[[#This Row],[Gruppenschlüssel]]=select!$B$1486)=TRUE,1,0)</f>
        <v>0</v>
      </c>
      <c r="AG112" s="451">
        <f ca="1">IF(AND(Scharniere[[#This Row],[Scharnierart]]=select!$A$1487,Scharniere[[#This Row],[Gruppenschlüssel]]=select!$B$1487)=TRUE,1,0)</f>
        <v>0</v>
      </c>
      <c r="AH112" s="451">
        <f ca="1">IF(AND(Scharniere[[#This Row],[Scharnierart]]=select!$A$1488,Scharniere[[#This Row],[Gruppenschlüssel]]=select!$B$1488)=TRUE,1,0)</f>
        <v>0</v>
      </c>
      <c r="AI112" s="451">
        <f ca="1">IF(SUM(Scharniere[[#This Row],[konf Scharnier 1]:[konf Scharnier 4]])&gt;0,1,0)</f>
        <v>1</v>
      </c>
      <c r="AJ112" s="451"/>
      <c r="AK112" s="451"/>
      <c r="AL112" s="451"/>
      <c r="AM112" s="451"/>
      <c r="AN112" s="451"/>
      <c r="AO112" s="146">
        <v>1</v>
      </c>
      <c r="AP112" s="146">
        <v>1</v>
      </c>
      <c r="AQ112" s="10" t="str">
        <f ca="1">Sprache!$A$112</f>
        <v>Tiomos Scharnier TS Click-on</v>
      </c>
      <c r="AR112" t="s">
        <v>267</v>
      </c>
      <c r="AS112" t="str">
        <f ca="1">Sprache!$A$103</f>
        <v>Tiomos Click-On Scharniere</v>
      </c>
      <c r="AT112">
        <v>3</v>
      </c>
      <c r="AU112" s="10" t="s">
        <v>9</v>
      </c>
      <c r="AV112">
        <v>110</v>
      </c>
      <c r="AW112" s="10">
        <v>1</v>
      </c>
      <c r="AX112">
        <v>0</v>
      </c>
      <c r="AY112">
        <v>0</v>
      </c>
      <c r="AZ112" s="10">
        <v>1</v>
      </c>
      <c r="BA112">
        <v>0</v>
      </c>
      <c r="BB112">
        <v>0</v>
      </c>
      <c r="BC112">
        <v>0</v>
      </c>
      <c r="BD112" s="143" t="s">
        <v>266</v>
      </c>
      <c r="BG112"/>
    </row>
    <row r="113" spans="1:59" ht="14.25" customHeight="1" x14ac:dyDescent="0.25">
      <c r="A113" s="37" t="str">
        <f>LEFT(Scharniere[[#This Row],[ArtikelNR]],4)</f>
        <v>F046</v>
      </c>
      <c r="B113" s="35" t="str">
        <f>MID(Scharniere[[#This Row],[ArtikelNR]],5,3)</f>
        <v>138</v>
      </c>
      <c r="C113" s="37" t="str">
        <f>RIGHT(Scharniere[[#This Row],[ArtikelNR]],3)</f>
        <v>398</v>
      </c>
      <c r="D113" s="35">
        <f>IF(AND(Scharniere[[#This Row],[Gruppenschlüssel]]=select!$A$44,Scharniere[[#This Row],[Scharnierart]]=1)=TRUE,1,0)</f>
        <v>1</v>
      </c>
      <c r="E1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3" s="35">
        <f>IF(select!$F$57=IF(Scharniere[[#This Row],[mit Dämpfung]]=1,1,IF(Scharniere[[#This Row],[ohne Dämpfung]]=1,2,IF(Scharniere[[#This Row],[ohne Feder]]=1,3,0))),1,0)</f>
        <v>1</v>
      </c>
      <c r="G113" s="35">
        <f>IF(Scharniere[[#This Row],[Bohrbild]]=select!$V$43,1,0)</f>
        <v>0</v>
      </c>
      <c r="H113" s="35">
        <f>IF(IF(Scharniere[[#This Row],[Anschrauben]]=1,1,IF(Scharniere[[#This Row],[Einpressen]]=1,2,IF(Scharniere[[#This Row],[Quick]]=1,3,IF(Scharniere[[#This Row],[Werkzeuglos]]=1,4,0))))=select!$F$48,1,0)</f>
        <v>0</v>
      </c>
      <c r="I1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3" s="149">
        <f>IF(AND(Scharniere[[#This Row],[Scharnierart]]=2,Scharniere[[#This Row],[Gruppenschlüssel]]=select!$A$318)=TRUE,1,0)</f>
        <v>0</v>
      </c>
      <c r="K113" s="221">
        <f ca="1">IF(select!$O$424&lt;6,1,0)</f>
        <v>1</v>
      </c>
      <c r="L113" s="139">
        <f>IF(select!$A$362=IF(Scharniere[[#This Row],[mit Dämpfung]]=1,1,IF(Scharniere[[#This Row],[ohne Dämpfung]]=1,2,IF(Scharniere[[#This Row],[ohne Feder]]=1,3,0))),1,0)</f>
        <v>0</v>
      </c>
      <c r="M113" s="135">
        <f>IF(Scharniere[[#This Row],[Bohrbild]]=select!$O$334,1,0)</f>
        <v>0</v>
      </c>
      <c r="N113" s="135">
        <f>IF(IF(Scharniere[[#This Row],[Anschrauben]]=1,1,IF(Scharniere[[#This Row],[Einpressen]]=1,2,IF(Scharniere[[#This Row],[Quick]]=1,3,IF(Scharniere[[#This Row],[Werkzeuglos]]=1,4,0))))=select!$E$362,1,0)</f>
        <v>1</v>
      </c>
      <c r="O1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3" s="298">
        <f>IF(AND(Scharniere[[#This Row],[Scharnierart]]=3,Scharniere[[#This Row],[Gruppenschlüssel]]=select!$A$747)=TRUE,1,0)</f>
        <v>0</v>
      </c>
      <c r="Q113" s="298">
        <f ca="1">IF(select!$O$945&lt;6,1,0)</f>
        <v>1</v>
      </c>
      <c r="R113" s="298">
        <f>IF(select!$A$778=IF(Scharniere[[#This Row],[mit Dämpfung]]=1,1,IF(Scharniere[[#This Row],[ohne Dämpfung]]=1,2,IF(Scharniere[[#This Row],[ohne Feder]]=1,3,0))),1,0)</f>
        <v>0</v>
      </c>
      <c r="S113" s="298">
        <f>IF(Scharniere[[#This Row],[Bohrbild]]=select!$A$755,1,0)</f>
        <v>0</v>
      </c>
      <c r="T113" s="298">
        <f>IF(IF(Scharniere[[#This Row],[Anschrauben]]=1,1,IF(Scharniere[[#This Row],[Einpressen]]=1,2,IF(Scharniere[[#This Row],[Quick]]=1,3,IF(Scharniere[[#This Row],[Werkzeuglos]]=1,4,0))))=select!$A$769,1,0)</f>
        <v>1</v>
      </c>
      <c r="U1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3" s="359">
        <f>IF(AND(Scharniere[[#This Row],[Scharnierart]]=4,Scharniere[[#This Row],[Gruppenschlüssel]]=select!$A$981)=TRUE,1,0)</f>
        <v>0</v>
      </c>
      <c r="W113" s="359">
        <f ca="1">IF(select!$O$1185&lt;6,1,0)</f>
        <v>1</v>
      </c>
      <c r="X113" s="359">
        <f>IF(select!$A$1012=IF(Scharniere[[#This Row],[mit Dämpfung]]=1,1,IF(Scharniere[[#This Row],[ohne Dämpfung]]=1,2,IF(Scharniere[[#This Row],[ohne Feder]]=1,3,0))),1,0)</f>
        <v>0</v>
      </c>
      <c r="Y113" s="359">
        <f>IF(Scharniere[[#This Row],[Bohrbild]]=select!$A$989,1,0)</f>
        <v>0</v>
      </c>
      <c r="Z113" s="359">
        <f>IF(IF(Scharniere[[#This Row],[Anschrauben]]=1,1,IF(Scharniere[[#This Row],[Einpressen]]=1,2,IF(Scharniere[[#This Row],[Quick]]=1,3,IF(Scharniere[[#This Row],[Werkzeuglos]]=1,4,0))))=select!$A$1003,1,0)</f>
        <v>1</v>
      </c>
      <c r="AA1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3" s="359">
        <f ca="1">IF(select!$K$980="*",Scharniere[[#This Row],[AG Ges2]],Scharniere[[#This Row],[AG Ges1]])</f>
        <v>0</v>
      </c>
      <c r="AE113" s="451">
        <f ca="1">IF(AND(Scharniere[[#This Row],[Scharnierart]]=select!$A$1485,Scharniere[[#This Row],[Gruppenschlüssel]]=select!$B$1485)=TRUE,1,0)</f>
        <v>1</v>
      </c>
      <c r="AF113" s="451">
        <f ca="1">IF(AND(Scharniere[[#This Row],[Scharnierart]]=select!$A$1486,Scharniere[[#This Row],[Gruppenschlüssel]]=select!$B$1486)=TRUE,1,0)</f>
        <v>0</v>
      </c>
      <c r="AG113" s="451">
        <f ca="1">IF(AND(Scharniere[[#This Row],[Scharnierart]]=select!$A$1487,Scharniere[[#This Row],[Gruppenschlüssel]]=select!$B$1487)=TRUE,1,0)</f>
        <v>0</v>
      </c>
      <c r="AH113" s="451">
        <f ca="1">IF(AND(Scharniere[[#This Row],[Scharnierart]]=select!$A$1488,Scharniere[[#This Row],[Gruppenschlüssel]]=select!$B$1488)=TRUE,1,0)</f>
        <v>0</v>
      </c>
      <c r="AI113" s="451">
        <f ca="1">IF(SUM(Scharniere[[#This Row],[konf Scharnier 1]:[konf Scharnier 4]])&gt;0,1,0)</f>
        <v>1</v>
      </c>
      <c r="AJ113" s="451"/>
      <c r="AK113" s="451"/>
      <c r="AL113" s="451"/>
      <c r="AM113" s="451"/>
      <c r="AN113" s="451"/>
      <c r="AO113" s="146">
        <v>1</v>
      </c>
      <c r="AP113" s="146">
        <v>1</v>
      </c>
      <c r="AQ113" s="10" t="str">
        <f ca="1">Sprache!$A$114</f>
        <v>Tiomos Scharnier TT Click-on</v>
      </c>
      <c r="AR113" t="s">
        <v>267</v>
      </c>
      <c r="AS113" t="str">
        <f ca="1">Sprache!$A$103</f>
        <v>Tiomos Click-On Scharniere</v>
      </c>
      <c r="AT113">
        <v>3</v>
      </c>
      <c r="AU113" s="10" t="s">
        <v>9</v>
      </c>
      <c r="AV113">
        <v>110</v>
      </c>
      <c r="AW113" s="10">
        <v>0</v>
      </c>
      <c r="AX113">
        <v>0</v>
      </c>
      <c r="AY113">
        <v>1</v>
      </c>
      <c r="AZ113" s="10">
        <v>1</v>
      </c>
      <c r="BA113">
        <v>0</v>
      </c>
      <c r="BB113">
        <v>0</v>
      </c>
      <c r="BC113">
        <v>0</v>
      </c>
      <c r="BD113" s="143" t="s">
        <v>610</v>
      </c>
      <c r="BG113"/>
    </row>
    <row r="114" spans="1:59" ht="14.25" customHeight="1" x14ac:dyDescent="0.25">
      <c r="A114" s="37" t="str">
        <f>LEFT(Scharniere[[#This Row],[ArtikelNR]],4)</f>
        <v>F034</v>
      </c>
      <c r="B114" s="35" t="str">
        <f>MID(Scharniere[[#This Row],[ArtikelNR]],5,3)</f>
        <v>139</v>
      </c>
      <c r="C114" s="37" t="str">
        <f>RIGHT(Scharniere[[#This Row],[ArtikelNR]],3)</f>
        <v>386</v>
      </c>
      <c r="D114" s="35">
        <f>IF(AND(Scharniere[[#This Row],[Gruppenschlüssel]]=select!$A$44,Scharniere[[#This Row],[Scharnierart]]=1)=TRUE,1,0)</f>
        <v>1</v>
      </c>
      <c r="E1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4" s="35">
        <f>IF(select!$F$57=IF(Scharniere[[#This Row],[mit Dämpfung]]=1,1,IF(Scharniere[[#This Row],[ohne Dämpfung]]=1,2,IF(Scharniere[[#This Row],[ohne Feder]]=1,3,0))),1,0)</f>
        <v>0</v>
      </c>
      <c r="G114" s="35">
        <f>IF(Scharniere[[#This Row],[Bohrbild]]=select!$V$43,1,0)</f>
        <v>0</v>
      </c>
      <c r="H114" s="35">
        <f>IF(IF(Scharniere[[#This Row],[Anschrauben]]=1,1,IF(Scharniere[[#This Row],[Einpressen]]=1,2,IF(Scharniere[[#This Row],[Quick]]=1,3,IF(Scharniere[[#This Row],[Werkzeuglos]]=1,4,0))))=select!$F$48,1,0)</f>
        <v>0</v>
      </c>
      <c r="I1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4" s="149">
        <f>IF(AND(Scharniere[[#This Row],[Scharnierart]]=2,Scharniere[[#This Row],[Gruppenschlüssel]]=select!$A$318)=TRUE,1,0)</f>
        <v>0</v>
      </c>
      <c r="K114" s="221">
        <f ca="1">IF(select!$O$424&lt;6,1,0)</f>
        <v>1</v>
      </c>
      <c r="L114" s="139">
        <f>IF(select!$A$362=IF(Scharniere[[#This Row],[mit Dämpfung]]=1,1,IF(Scharniere[[#This Row],[ohne Dämpfung]]=1,2,IF(Scharniere[[#This Row],[ohne Feder]]=1,3,0))),1,0)</f>
        <v>0</v>
      </c>
      <c r="M114" s="135">
        <f>IF(Scharniere[[#This Row],[Bohrbild]]=select!$O$334,1,0)</f>
        <v>0</v>
      </c>
      <c r="N114" s="135">
        <f>IF(IF(Scharniere[[#This Row],[Anschrauben]]=1,1,IF(Scharniere[[#This Row],[Einpressen]]=1,2,IF(Scharniere[[#This Row],[Quick]]=1,3,IF(Scharniere[[#This Row],[Werkzeuglos]]=1,4,0))))=select!$E$362,1,0)</f>
        <v>0</v>
      </c>
      <c r="O1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4" s="298">
        <f>IF(AND(Scharniere[[#This Row],[Scharnierart]]=3,Scharniere[[#This Row],[Gruppenschlüssel]]=select!$A$747)=TRUE,1,0)</f>
        <v>0</v>
      </c>
      <c r="Q114" s="298">
        <f ca="1">IF(select!$O$945&lt;6,1,0)</f>
        <v>1</v>
      </c>
      <c r="R114" s="298">
        <f>IF(select!$A$778=IF(Scharniere[[#This Row],[mit Dämpfung]]=1,1,IF(Scharniere[[#This Row],[ohne Dämpfung]]=1,2,IF(Scharniere[[#This Row],[ohne Feder]]=1,3,0))),1,0)</f>
        <v>1</v>
      </c>
      <c r="S114" s="298">
        <f>IF(Scharniere[[#This Row],[Bohrbild]]=select!$A$755,1,0)</f>
        <v>0</v>
      </c>
      <c r="T114" s="298">
        <f>IF(IF(Scharniere[[#This Row],[Anschrauben]]=1,1,IF(Scharniere[[#This Row],[Einpressen]]=1,2,IF(Scharniere[[#This Row],[Quick]]=1,3,IF(Scharniere[[#This Row],[Werkzeuglos]]=1,4,0))))=select!$A$769,1,0)</f>
        <v>0</v>
      </c>
      <c r="U1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4" s="359">
        <f>IF(AND(Scharniere[[#This Row],[Scharnierart]]=4,Scharniere[[#This Row],[Gruppenschlüssel]]=select!$A$981)=TRUE,1,0)</f>
        <v>0</v>
      </c>
      <c r="W114" s="359">
        <f ca="1">IF(select!$O$1185&lt;6,1,0)</f>
        <v>1</v>
      </c>
      <c r="X114" s="359">
        <f>IF(select!$A$1012=IF(Scharniere[[#This Row],[mit Dämpfung]]=1,1,IF(Scharniere[[#This Row],[ohne Dämpfung]]=1,2,IF(Scharniere[[#This Row],[ohne Feder]]=1,3,0))),1,0)</f>
        <v>1</v>
      </c>
      <c r="Y114" s="359">
        <f>IF(Scharniere[[#This Row],[Bohrbild]]=select!$A$989,1,0)</f>
        <v>0</v>
      </c>
      <c r="Z114" s="359">
        <f>IF(IF(Scharniere[[#This Row],[Anschrauben]]=1,1,IF(Scharniere[[#This Row],[Einpressen]]=1,2,IF(Scharniere[[#This Row],[Quick]]=1,3,IF(Scharniere[[#This Row],[Werkzeuglos]]=1,4,0))))=select!$A$1003,1,0)</f>
        <v>0</v>
      </c>
      <c r="AA1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4" s="359">
        <f ca="1">IF(select!$K$980="*",Scharniere[[#This Row],[AG Ges2]],Scharniere[[#This Row],[AG Ges1]])</f>
        <v>0</v>
      </c>
      <c r="AE114" s="451">
        <f ca="1">IF(AND(Scharniere[[#This Row],[Scharnierart]]=select!$A$1485,Scharniere[[#This Row],[Gruppenschlüssel]]=select!$B$1485)=TRUE,1,0)</f>
        <v>1</v>
      </c>
      <c r="AF114" s="451">
        <f ca="1">IF(AND(Scharniere[[#This Row],[Scharnierart]]=select!$A$1486,Scharniere[[#This Row],[Gruppenschlüssel]]=select!$B$1486)=TRUE,1,0)</f>
        <v>0</v>
      </c>
      <c r="AG114" s="451">
        <f ca="1">IF(AND(Scharniere[[#This Row],[Scharnierart]]=select!$A$1487,Scharniere[[#This Row],[Gruppenschlüssel]]=select!$B$1487)=TRUE,1,0)</f>
        <v>0</v>
      </c>
      <c r="AH114" s="451">
        <f ca="1">IF(AND(Scharniere[[#This Row],[Scharnierart]]=select!$A$1488,Scharniere[[#This Row],[Gruppenschlüssel]]=select!$B$1488)=TRUE,1,0)</f>
        <v>0</v>
      </c>
      <c r="AI114" s="451">
        <f ca="1">IF(SUM(Scharniere[[#This Row],[konf Scharnier 1]:[konf Scharnier 4]])&gt;0,1,0)</f>
        <v>1</v>
      </c>
      <c r="AJ114" s="451"/>
      <c r="AK114" s="451"/>
      <c r="AL114" s="451"/>
      <c r="AM114" s="451"/>
      <c r="AN114" s="451"/>
      <c r="AO114" s="146">
        <v>1</v>
      </c>
      <c r="AP114" s="146">
        <v>1</v>
      </c>
      <c r="AQ114" s="10" t="str">
        <f ca="1">Sprache!$A$111</f>
        <v>Tiomos Scharnier T Impresso</v>
      </c>
      <c r="AR114" t="s">
        <v>88</v>
      </c>
      <c r="AS114" t="str">
        <f ca="1">Sprache!$A$116</f>
        <v>Tiomos Impresso Scharniere</v>
      </c>
      <c r="AT114">
        <v>3</v>
      </c>
      <c r="AU114" s="34" t="s">
        <v>9</v>
      </c>
      <c r="AV114">
        <v>110</v>
      </c>
      <c r="AW114" s="10">
        <v>0</v>
      </c>
      <c r="AX114">
        <v>1</v>
      </c>
      <c r="AY114">
        <v>0</v>
      </c>
      <c r="AZ114" s="10">
        <v>0</v>
      </c>
      <c r="BA114">
        <v>0</v>
      </c>
      <c r="BB114">
        <v>0</v>
      </c>
      <c r="BC114">
        <v>1</v>
      </c>
      <c r="BD114" s="143" t="s">
        <v>152</v>
      </c>
      <c r="BG114"/>
    </row>
    <row r="115" spans="1:59" ht="14.25" customHeight="1" x14ac:dyDescent="0.25">
      <c r="A115" s="37" t="str">
        <f>LEFT(Scharniere[[#This Row],[ArtikelNR]],4)</f>
        <v>F034</v>
      </c>
      <c r="B115" s="35" t="str">
        <f>MID(Scharniere[[#This Row],[ArtikelNR]],5,3)</f>
        <v>139</v>
      </c>
      <c r="C115" s="37" t="str">
        <f>RIGHT(Scharniere[[#This Row],[ArtikelNR]],3)</f>
        <v>386</v>
      </c>
      <c r="D115" s="35">
        <f>IF(AND(Scharniere[[#This Row],[Gruppenschlüssel]]=select!$A$44,Scharniere[[#This Row],[Scharnierart]]=1)=TRUE,1,0)</f>
        <v>1</v>
      </c>
      <c r="E1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5" s="35">
        <f>IF(select!$F$57=IF(Scharniere[[#This Row],[mit Dämpfung]]=1,1,IF(Scharniere[[#This Row],[ohne Dämpfung]]=1,2,IF(Scharniere[[#This Row],[ohne Feder]]=1,3,0))),1,0)</f>
        <v>0</v>
      </c>
      <c r="G115" s="35">
        <f>IF(Scharniere[[#This Row],[Bohrbild]]=select!$V$43,1,0)</f>
        <v>0</v>
      </c>
      <c r="H115" s="35">
        <f>IF(IF(Scharniere[[#This Row],[Anschrauben]]=1,1,IF(Scharniere[[#This Row],[Einpressen]]=1,2,IF(Scharniere[[#This Row],[Quick]]=1,3,IF(Scharniere[[#This Row],[Werkzeuglos]]=1,4,0))))=select!$F$48,1,0)</f>
        <v>0</v>
      </c>
      <c r="I1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5" s="149">
        <f>IF(AND(Scharniere[[#This Row],[Scharnierart]]=2,Scharniere[[#This Row],[Gruppenschlüssel]]=select!$A$318)=TRUE,1,0)</f>
        <v>0</v>
      </c>
      <c r="K115" s="221">
        <f ca="1">IF(select!$O$424&lt;6,1,0)</f>
        <v>1</v>
      </c>
      <c r="L115" s="139">
        <f>IF(select!$A$362=IF(Scharniere[[#This Row],[mit Dämpfung]]=1,1,IF(Scharniere[[#This Row],[ohne Dämpfung]]=1,2,IF(Scharniere[[#This Row],[ohne Feder]]=1,3,0))),1,0)</f>
        <v>0</v>
      </c>
      <c r="M115" s="135">
        <f>IF(Scharniere[[#This Row],[Bohrbild]]=select!$O$334,1,0)</f>
        <v>0</v>
      </c>
      <c r="N115" s="135">
        <f>IF(IF(Scharniere[[#This Row],[Anschrauben]]=1,1,IF(Scharniere[[#This Row],[Einpressen]]=1,2,IF(Scharniere[[#This Row],[Quick]]=1,3,IF(Scharniere[[#This Row],[Werkzeuglos]]=1,4,0))))=select!$E$362,1,0)</f>
        <v>0</v>
      </c>
      <c r="O1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5" s="298">
        <f>IF(AND(Scharniere[[#This Row],[Scharnierart]]=3,Scharniere[[#This Row],[Gruppenschlüssel]]=select!$A$747)=TRUE,1,0)</f>
        <v>0</v>
      </c>
      <c r="Q115" s="298">
        <f ca="1">IF(select!$O$945&lt;6,1,0)</f>
        <v>1</v>
      </c>
      <c r="R115" s="298">
        <f>IF(select!$A$778=IF(Scharniere[[#This Row],[mit Dämpfung]]=1,1,IF(Scharniere[[#This Row],[ohne Dämpfung]]=1,2,IF(Scharniere[[#This Row],[ohne Feder]]=1,3,0))),1,0)</f>
        <v>1</v>
      </c>
      <c r="S115" s="298">
        <f>IF(Scharniere[[#This Row],[Bohrbild]]=select!$A$755,1,0)</f>
        <v>0</v>
      </c>
      <c r="T115" s="298">
        <f>IF(IF(Scharniere[[#This Row],[Anschrauben]]=1,1,IF(Scharniere[[#This Row],[Einpressen]]=1,2,IF(Scharniere[[#This Row],[Quick]]=1,3,IF(Scharniere[[#This Row],[Werkzeuglos]]=1,4,0))))=select!$A$769,1,0)</f>
        <v>0</v>
      </c>
      <c r="U1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5" s="359">
        <f>IF(AND(Scharniere[[#This Row],[Scharnierart]]=4,Scharniere[[#This Row],[Gruppenschlüssel]]=select!$A$981)=TRUE,1,0)</f>
        <v>0</v>
      </c>
      <c r="W115" s="359">
        <f ca="1">IF(select!$O$1185&lt;6,1,0)</f>
        <v>1</v>
      </c>
      <c r="X115" s="359">
        <f>IF(select!$A$1012=IF(Scharniere[[#This Row],[mit Dämpfung]]=1,1,IF(Scharniere[[#This Row],[ohne Dämpfung]]=1,2,IF(Scharniere[[#This Row],[ohne Feder]]=1,3,0))),1,0)</f>
        <v>1</v>
      </c>
      <c r="Y115" s="359">
        <f>IF(Scharniere[[#This Row],[Bohrbild]]=select!$A$989,1,0)</f>
        <v>0</v>
      </c>
      <c r="Z115" s="359">
        <f>IF(IF(Scharniere[[#This Row],[Anschrauben]]=1,1,IF(Scharniere[[#This Row],[Einpressen]]=1,2,IF(Scharniere[[#This Row],[Quick]]=1,3,IF(Scharniere[[#This Row],[Werkzeuglos]]=1,4,0))))=select!$A$1003,1,0)</f>
        <v>0</v>
      </c>
      <c r="AA1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5" s="359">
        <f ca="1">IF(select!$K$980="*",Scharniere[[#This Row],[AG Ges2]],Scharniere[[#This Row],[AG Ges1]])</f>
        <v>0</v>
      </c>
      <c r="AE115" s="451">
        <f ca="1">IF(AND(Scharniere[[#This Row],[Scharnierart]]=select!$A$1485,Scharniere[[#This Row],[Gruppenschlüssel]]=select!$B$1485)=TRUE,1,0)</f>
        <v>1</v>
      </c>
      <c r="AF115" s="451">
        <f ca="1">IF(AND(Scharniere[[#This Row],[Scharnierart]]=select!$A$1486,Scharniere[[#This Row],[Gruppenschlüssel]]=select!$B$1486)=TRUE,1,0)</f>
        <v>0</v>
      </c>
      <c r="AG115" s="451">
        <f ca="1">IF(AND(Scharniere[[#This Row],[Scharnierart]]=select!$A$1487,Scharniere[[#This Row],[Gruppenschlüssel]]=select!$B$1487)=TRUE,1,0)</f>
        <v>0</v>
      </c>
      <c r="AH115" s="451">
        <f ca="1">IF(AND(Scharniere[[#This Row],[Scharnierart]]=select!$A$1488,Scharniere[[#This Row],[Gruppenschlüssel]]=select!$B$1488)=TRUE,1,0)</f>
        <v>0</v>
      </c>
      <c r="AI115" s="451">
        <f ca="1">IF(SUM(Scharniere[[#This Row],[konf Scharnier 1]:[konf Scharnier 4]])&gt;0,1,0)</f>
        <v>1</v>
      </c>
      <c r="AJ115" s="451"/>
      <c r="AK115" s="451"/>
      <c r="AL115" s="451"/>
      <c r="AM115" s="451"/>
      <c r="AN115" s="451"/>
      <c r="AO115" s="146">
        <v>1</v>
      </c>
      <c r="AP115" s="146">
        <v>1</v>
      </c>
      <c r="AQ115" s="10" t="str">
        <f ca="1">Sprache!$A$111</f>
        <v>Tiomos Scharnier T Impresso</v>
      </c>
      <c r="AR115" t="s">
        <v>88</v>
      </c>
      <c r="AS115" t="str">
        <f ca="1">Sprache!$A$116</f>
        <v>Tiomos Impresso Scharniere</v>
      </c>
      <c r="AT115">
        <v>3</v>
      </c>
      <c r="AU115" s="34" t="s">
        <v>3</v>
      </c>
      <c r="AV115">
        <v>110</v>
      </c>
      <c r="AW115" s="10">
        <v>0</v>
      </c>
      <c r="AX115">
        <v>1</v>
      </c>
      <c r="AY115">
        <v>0</v>
      </c>
      <c r="AZ115" s="10">
        <v>0</v>
      </c>
      <c r="BA115">
        <v>0</v>
      </c>
      <c r="BB115">
        <v>0</v>
      </c>
      <c r="BC115">
        <v>1</v>
      </c>
      <c r="BD115" s="143" t="s">
        <v>152</v>
      </c>
      <c r="BG115"/>
    </row>
    <row r="116" spans="1:59" ht="14.25" customHeight="1" x14ac:dyDescent="0.25">
      <c r="A116" s="37" t="str">
        <f>LEFT(Scharniere[[#This Row],[ArtikelNR]],4)</f>
        <v>F017</v>
      </c>
      <c r="B116" s="35" t="str">
        <f>MID(Scharniere[[#This Row],[ArtikelNR]],5,3)</f>
        <v>139</v>
      </c>
      <c r="C116" s="37" t="str">
        <f>RIGHT(Scharniere[[#This Row],[ArtikelNR]],3)</f>
        <v>415</v>
      </c>
      <c r="D116" s="35">
        <f>IF(AND(Scharniere[[#This Row],[Gruppenschlüssel]]=select!$A$44,Scharniere[[#This Row],[Scharnierart]]=1)=TRUE,1,0)</f>
        <v>1</v>
      </c>
      <c r="E1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6" s="35">
        <f>IF(select!$F$57=IF(Scharniere[[#This Row],[mit Dämpfung]]=1,1,IF(Scharniere[[#This Row],[ohne Dämpfung]]=1,2,IF(Scharniere[[#This Row],[ohne Feder]]=1,3,0))),1,0)</f>
        <v>0</v>
      </c>
      <c r="G116" s="35">
        <f>IF(Scharniere[[#This Row],[Bohrbild]]=select!$V$43,1,0)</f>
        <v>0</v>
      </c>
      <c r="H116" s="35">
        <f>IF(IF(Scharniere[[#This Row],[Anschrauben]]=1,1,IF(Scharniere[[#This Row],[Einpressen]]=1,2,IF(Scharniere[[#This Row],[Quick]]=1,3,IF(Scharniere[[#This Row],[Werkzeuglos]]=1,4,0))))=select!$F$48,1,0)</f>
        <v>0</v>
      </c>
      <c r="I1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6" s="149">
        <f>IF(AND(Scharniere[[#This Row],[Scharnierart]]=2,Scharniere[[#This Row],[Gruppenschlüssel]]=select!$A$318)=TRUE,1,0)</f>
        <v>0</v>
      </c>
      <c r="K116" s="221">
        <f ca="1">IF(select!$O$424&lt;6,1,0)</f>
        <v>1</v>
      </c>
      <c r="L116" s="139">
        <f>IF(select!$A$362=IF(Scharniere[[#This Row],[mit Dämpfung]]=1,1,IF(Scharniere[[#This Row],[ohne Dämpfung]]=1,2,IF(Scharniere[[#This Row],[ohne Feder]]=1,3,0))),1,0)</f>
        <v>1</v>
      </c>
      <c r="M116" s="135">
        <f>IF(Scharniere[[#This Row],[Bohrbild]]=select!$O$334,1,0)</f>
        <v>0</v>
      </c>
      <c r="N116" s="135">
        <f>IF(IF(Scharniere[[#This Row],[Anschrauben]]=1,1,IF(Scharniere[[#This Row],[Einpressen]]=1,2,IF(Scharniere[[#This Row],[Quick]]=1,3,IF(Scharniere[[#This Row],[Werkzeuglos]]=1,4,0))))=select!$E$362,1,0)</f>
        <v>0</v>
      </c>
      <c r="O1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6" s="298">
        <f>IF(AND(Scharniere[[#This Row],[Scharnierart]]=3,Scharniere[[#This Row],[Gruppenschlüssel]]=select!$A$747)=TRUE,1,0)</f>
        <v>0</v>
      </c>
      <c r="Q116" s="298">
        <f ca="1">IF(select!$O$945&lt;6,1,0)</f>
        <v>1</v>
      </c>
      <c r="R116" s="298">
        <f>IF(select!$A$778=IF(Scharniere[[#This Row],[mit Dämpfung]]=1,1,IF(Scharniere[[#This Row],[ohne Dämpfung]]=1,2,IF(Scharniere[[#This Row],[ohne Feder]]=1,3,0))),1,0)</f>
        <v>0</v>
      </c>
      <c r="S116" s="298">
        <f>IF(Scharniere[[#This Row],[Bohrbild]]=select!$A$755,1,0)</f>
        <v>0</v>
      </c>
      <c r="T116" s="298">
        <f>IF(IF(Scharniere[[#This Row],[Anschrauben]]=1,1,IF(Scharniere[[#This Row],[Einpressen]]=1,2,IF(Scharniere[[#This Row],[Quick]]=1,3,IF(Scharniere[[#This Row],[Werkzeuglos]]=1,4,0))))=select!$A$769,1,0)</f>
        <v>0</v>
      </c>
      <c r="U1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6" s="359">
        <f>IF(AND(Scharniere[[#This Row],[Scharnierart]]=4,Scharniere[[#This Row],[Gruppenschlüssel]]=select!$A$981)=TRUE,1,0)</f>
        <v>0</v>
      </c>
      <c r="W116" s="359">
        <f ca="1">IF(select!$O$1185&lt;6,1,0)</f>
        <v>1</v>
      </c>
      <c r="X116" s="359">
        <f>IF(select!$A$1012=IF(Scharniere[[#This Row],[mit Dämpfung]]=1,1,IF(Scharniere[[#This Row],[ohne Dämpfung]]=1,2,IF(Scharniere[[#This Row],[ohne Feder]]=1,3,0))),1,0)</f>
        <v>0</v>
      </c>
      <c r="Y116" s="359">
        <f>IF(Scharniere[[#This Row],[Bohrbild]]=select!$A$989,1,0)</f>
        <v>0</v>
      </c>
      <c r="Z116" s="359">
        <f>IF(IF(Scharniere[[#This Row],[Anschrauben]]=1,1,IF(Scharniere[[#This Row],[Einpressen]]=1,2,IF(Scharniere[[#This Row],[Quick]]=1,3,IF(Scharniere[[#This Row],[Werkzeuglos]]=1,4,0))))=select!$A$1003,1,0)</f>
        <v>0</v>
      </c>
      <c r="AA1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6" s="359">
        <f ca="1">IF(select!$K$980="*",Scharniere[[#This Row],[AG Ges2]],Scharniere[[#This Row],[AG Ges1]])</f>
        <v>0</v>
      </c>
      <c r="AE116" s="451">
        <f ca="1">IF(AND(Scharniere[[#This Row],[Scharnierart]]=select!$A$1485,Scharniere[[#This Row],[Gruppenschlüssel]]=select!$B$1485)=TRUE,1,0)</f>
        <v>1</v>
      </c>
      <c r="AF116" s="451">
        <f ca="1">IF(AND(Scharniere[[#This Row],[Scharnierart]]=select!$A$1486,Scharniere[[#This Row],[Gruppenschlüssel]]=select!$B$1486)=TRUE,1,0)</f>
        <v>0</v>
      </c>
      <c r="AG116" s="451">
        <f ca="1">IF(AND(Scharniere[[#This Row],[Scharnierart]]=select!$A$1487,Scharniere[[#This Row],[Gruppenschlüssel]]=select!$B$1487)=TRUE,1,0)</f>
        <v>0</v>
      </c>
      <c r="AH116" s="451">
        <f ca="1">IF(AND(Scharniere[[#This Row],[Scharnierart]]=select!$A$1488,Scharniere[[#This Row],[Gruppenschlüssel]]=select!$B$1488)=TRUE,1,0)</f>
        <v>0</v>
      </c>
      <c r="AI116" s="451">
        <f ca="1">IF(SUM(Scharniere[[#This Row],[konf Scharnier 1]:[konf Scharnier 4]])&gt;0,1,0)</f>
        <v>1</v>
      </c>
      <c r="AJ116" s="451"/>
      <c r="AK116" s="451"/>
      <c r="AL116" s="451"/>
      <c r="AM116" s="451"/>
      <c r="AN116" s="451"/>
      <c r="AO116" s="146">
        <v>1</v>
      </c>
      <c r="AP116" s="146">
        <v>1</v>
      </c>
      <c r="AQ116" s="10" t="str">
        <f ca="1">Sprache!$A$113</f>
        <v>Tiomos Scharnier TS Impresso</v>
      </c>
      <c r="AR116" t="s">
        <v>88</v>
      </c>
      <c r="AS116" t="str">
        <f ca="1">Sprache!$A$116</f>
        <v>Tiomos Impresso Scharniere</v>
      </c>
      <c r="AT116">
        <v>3</v>
      </c>
      <c r="AU116" t="s">
        <v>9</v>
      </c>
      <c r="AV116">
        <v>110</v>
      </c>
      <c r="AW116" s="10">
        <v>1</v>
      </c>
      <c r="AX116">
        <v>0</v>
      </c>
      <c r="AY116">
        <v>0</v>
      </c>
      <c r="AZ116" s="10">
        <v>0</v>
      </c>
      <c r="BA116">
        <v>0</v>
      </c>
      <c r="BB116">
        <v>0</v>
      </c>
      <c r="BC116">
        <v>1</v>
      </c>
      <c r="BD116" s="143" t="s">
        <v>87</v>
      </c>
      <c r="BG116"/>
    </row>
    <row r="117" spans="1:59" ht="14.25" customHeight="1" x14ac:dyDescent="0.25">
      <c r="A117" s="37" t="str">
        <f>LEFT(Scharniere[[#This Row],[ArtikelNR]],4)</f>
        <v>F017</v>
      </c>
      <c r="B117" s="35" t="str">
        <f>MID(Scharniere[[#This Row],[ArtikelNR]],5,3)</f>
        <v>139</v>
      </c>
      <c r="C117" s="37" t="str">
        <f>RIGHT(Scharniere[[#This Row],[ArtikelNR]],3)</f>
        <v>415</v>
      </c>
      <c r="D117" s="35">
        <f>IF(AND(Scharniere[[#This Row],[Gruppenschlüssel]]=select!$A$44,Scharniere[[#This Row],[Scharnierart]]=1)=TRUE,1,0)</f>
        <v>1</v>
      </c>
      <c r="E1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7" s="35">
        <f>IF(select!$F$57=IF(Scharniere[[#This Row],[mit Dämpfung]]=1,1,IF(Scharniere[[#This Row],[ohne Dämpfung]]=1,2,IF(Scharniere[[#This Row],[ohne Feder]]=1,3,0))),1,0)</f>
        <v>0</v>
      </c>
      <c r="G117" s="35">
        <f>IF(Scharniere[[#This Row],[Bohrbild]]=select!$V$43,1,0)</f>
        <v>0</v>
      </c>
      <c r="H117" s="35">
        <f>IF(IF(Scharniere[[#This Row],[Anschrauben]]=1,1,IF(Scharniere[[#This Row],[Einpressen]]=1,2,IF(Scharniere[[#This Row],[Quick]]=1,3,IF(Scharniere[[#This Row],[Werkzeuglos]]=1,4,0))))=select!$F$48,1,0)</f>
        <v>0</v>
      </c>
      <c r="I1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7" s="149">
        <f>IF(AND(Scharniere[[#This Row],[Scharnierart]]=2,Scharniere[[#This Row],[Gruppenschlüssel]]=select!$A$318)=TRUE,1,0)</f>
        <v>0</v>
      </c>
      <c r="K117" s="221">
        <f ca="1">IF(select!$O$424&lt;6,1,0)</f>
        <v>1</v>
      </c>
      <c r="L117" s="139">
        <f>IF(select!$A$362=IF(Scharniere[[#This Row],[mit Dämpfung]]=1,1,IF(Scharniere[[#This Row],[ohne Dämpfung]]=1,2,IF(Scharniere[[#This Row],[ohne Feder]]=1,3,0))),1,0)</f>
        <v>1</v>
      </c>
      <c r="M117" s="135">
        <f>IF(Scharniere[[#This Row],[Bohrbild]]=select!$O$334,1,0)</f>
        <v>0</v>
      </c>
      <c r="N117" s="135">
        <f>IF(IF(Scharniere[[#This Row],[Anschrauben]]=1,1,IF(Scharniere[[#This Row],[Einpressen]]=1,2,IF(Scharniere[[#This Row],[Quick]]=1,3,IF(Scharniere[[#This Row],[Werkzeuglos]]=1,4,0))))=select!$E$362,1,0)</f>
        <v>0</v>
      </c>
      <c r="O1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7" s="298">
        <f>IF(AND(Scharniere[[#This Row],[Scharnierart]]=3,Scharniere[[#This Row],[Gruppenschlüssel]]=select!$A$747)=TRUE,1,0)</f>
        <v>0</v>
      </c>
      <c r="Q117" s="298">
        <f ca="1">IF(select!$O$945&lt;6,1,0)</f>
        <v>1</v>
      </c>
      <c r="R117" s="298">
        <f>IF(select!$A$778=IF(Scharniere[[#This Row],[mit Dämpfung]]=1,1,IF(Scharniere[[#This Row],[ohne Dämpfung]]=1,2,IF(Scharniere[[#This Row],[ohne Feder]]=1,3,0))),1,0)</f>
        <v>0</v>
      </c>
      <c r="S117" s="298">
        <f>IF(Scharniere[[#This Row],[Bohrbild]]=select!$A$755,1,0)</f>
        <v>0</v>
      </c>
      <c r="T117" s="298">
        <f>IF(IF(Scharniere[[#This Row],[Anschrauben]]=1,1,IF(Scharniere[[#This Row],[Einpressen]]=1,2,IF(Scharniere[[#This Row],[Quick]]=1,3,IF(Scharniere[[#This Row],[Werkzeuglos]]=1,4,0))))=select!$A$769,1,0)</f>
        <v>0</v>
      </c>
      <c r="U1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7" s="359">
        <f>IF(AND(Scharniere[[#This Row],[Scharnierart]]=4,Scharniere[[#This Row],[Gruppenschlüssel]]=select!$A$981)=TRUE,1,0)</f>
        <v>0</v>
      </c>
      <c r="W117" s="359">
        <f ca="1">IF(select!$O$1185&lt;6,1,0)</f>
        <v>1</v>
      </c>
      <c r="X117" s="359">
        <f>IF(select!$A$1012=IF(Scharniere[[#This Row],[mit Dämpfung]]=1,1,IF(Scharniere[[#This Row],[ohne Dämpfung]]=1,2,IF(Scharniere[[#This Row],[ohne Feder]]=1,3,0))),1,0)</f>
        <v>0</v>
      </c>
      <c r="Y117" s="359">
        <f>IF(Scharniere[[#This Row],[Bohrbild]]=select!$A$989,1,0)</f>
        <v>0</v>
      </c>
      <c r="Z117" s="359">
        <f>IF(IF(Scharniere[[#This Row],[Anschrauben]]=1,1,IF(Scharniere[[#This Row],[Einpressen]]=1,2,IF(Scharniere[[#This Row],[Quick]]=1,3,IF(Scharniere[[#This Row],[Werkzeuglos]]=1,4,0))))=select!$A$1003,1,0)</f>
        <v>0</v>
      </c>
      <c r="AA1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7" s="359">
        <f ca="1">IF(select!$K$980="*",Scharniere[[#This Row],[AG Ges2]],Scharniere[[#This Row],[AG Ges1]])</f>
        <v>0</v>
      </c>
      <c r="AE117" s="451">
        <f ca="1">IF(AND(Scharniere[[#This Row],[Scharnierart]]=select!$A$1485,Scharniere[[#This Row],[Gruppenschlüssel]]=select!$B$1485)=TRUE,1,0)</f>
        <v>1</v>
      </c>
      <c r="AF117" s="451">
        <f ca="1">IF(AND(Scharniere[[#This Row],[Scharnierart]]=select!$A$1486,Scharniere[[#This Row],[Gruppenschlüssel]]=select!$B$1486)=TRUE,1,0)</f>
        <v>0</v>
      </c>
      <c r="AG117" s="451">
        <f ca="1">IF(AND(Scharniere[[#This Row],[Scharnierart]]=select!$A$1487,Scharniere[[#This Row],[Gruppenschlüssel]]=select!$B$1487)=TRUE,1,0)</f>
        <v>0</v>
      </c>
      <c r="AH117" s="451">
        <f ca="1">IF(AND(Scharniere[[#This Row],[Scharnierart]]=select!$A$1488,Scharniere[[#This Row],[Gruppenschlüssel]]=select!$B$1488)=TRUE,1,0)</f>
        <v>0</v>
      </c>
      <c r="AI117" s="451">
        <f ca="1">IF(SUM(Scharniere[[#This Row],[konf Scharnier 1]:[konf Scharnier 4]])&gt;0,1,0)</f>
        <v>1</v>
      </c>
      <c r="AJ117" s="451"/>
      <c r="AK117" s="451"/>
      <c r="AL117" s="451"/>
      <c r="AM117" s="451"/>
      <c r="AN117" s="451"/>
      <c r="AO117" s="146">
        <v>1</v>
      </c>
      <c r="AP117" s="146">
        <v>1</v>
      </c>
      <c r="AQ117" s="10" t="str">
        <f ca="1">Sprache!$A$113</f>
        <v>Tiomos Scharnier TS Impresso</v>
      </c>
      <c r="AR117" t="s">
        <v>88</v>
      </c>
      <c r="AS117" t="str">
        <f ca="1">Sprache!$A$116</f>
        <v>Tiomos Impresso Scharniere</v>
      </c>
      <c r="AT117">
        <v>3</v>
      </c>
      <c r="AU117" t="s">
        <v>3</v>
      </c>
      <c r="AV117">
        <v>110</v>
      </c>
      <c r="AW117" s="10">
        <v>1</v>
      </c>
      <c r="AX117">
        <v>0</v>
      </c>
      <c r="AY117">
        <v>0</v>
      </c>
      <c r="AZ117" s="10">
        <v>0</v>
      </c>
      <c r="BA117">
        <v>0</v>
      </c>
      <c r="BB117">
        <v>0</v>
      </c>
      <c r="BC117">
        <v>1</v>
      </c>
      <c r="BD117" s="143" t="s">
        <v>87</v>
      </c>
      <c r="BG117"/>
    </row>
    <row r="118" spans="1:59" ht="14.25" customHeight="1" x14ac:dyDescent="0.25">
      <c r="A118" s="37" t="str">
        <f>LEFT(Scharniere[[#This Row],[ArtikelNR]],4)</f>
        <v>F035</v>
      </c>
      <c r="B118" s="35" t="str">
        <f>MID(Scharniere[[#This Row],[ArtikelNR]],5,3)</f>
        <v>139</v>
      </c>
      <c r="C118" s="37" t="str">
        <f>RIGHT(Scharniere[[#This Row],[ArtikelNR]],3)</f>
        <v>443</v>
      </c>
      <c r="D118" s="35">
        <f>IF(AND(Scharniere[[#This Row],[Gruppenschlüssel]]=select!$A$44,Scharniere[[#This Row],[Scharnierart]]=1)=TRUE,1,0)</f>
        <v>1</v>
      </c>
      <c r="E1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8" s="35">
        <f>IF(select!$F$57=IF(Scharniere[[#This Row],[mit Dämpfung]]=1,1,IF(Scharniere[[#This Row],[ohne Dämpfung]]=1,2,IF(Scharniere[[#This Row],[ohne Feder]]=1,3,0))),1,0)</f>
        <v>1</v>
      </c>
      <c r="G118" s="35">
        <f>IF(Scharniere[[#This Row],[Bohrbild]]=select!$V$43,1,0)</f>
        <v>0</v>
      </c>
      <c r="H118" s="35">
        <f>IF(IF(Scharniere[[#This Row],[Anschrauben]]=1,1,IF(Scharniere[[#This Row],[Einpressen]]=1,2,IF(Scharniere[[#This Row],[Quick]]=1,3,IF(Scharniere[[#This Row],[Werkzeuglos]]=1,4,0))))=select!$F$48,1,0)</f>
        <v>0</v>
      </c>
      <c r="I1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8" s="149">
        <f>IF(AND(Scharniere[[#This Row],[Scharnierart]]=2,Scharniere[[#This Row],[Gruppenschlüssel]]=select!$A$318)=TRUE,1,0)</f>
        <v>0</v>
      </c>
      <c r="K118" s="221">
        <f ca="1">IF(select!$O$424&lt;6,1,0)</f>
        <v>1</v>
      </c>
      <c r="L118" s="139">
        <f>IF(select!$A$362=IF(Scharniere[[#This Row],[mit Dämpfung]]=1,1,IF(Scharniere[[#This Row],[ohne Dämpfung]]=1,2,IF(Scharniere[[#This Row],[ohne Feder]]=1,3,0))),1,0)</f>
        <v>0</v>
      </c>
      <c r="M118" s="135">
        <f>IF(Scharniere[[#This Row],[Bohrbild]]=select!$O$334,1,0)</f>
        <v>0</v>
      </c>
      <c r="N118" s="135">
        <f>IF(IF(Scharniere[[#This Row],[Anschrauben]]=1,1,IF(Scharniere[[#This Row],[Einpressen]]=1,2,IF(Scharniere[[#This Row],[Quick]]=1,3,IF(Scharniere[[#This Row],[Werkzeuglos]]=1,4,0))))=select!$E$362,1,0)</f>
        <v>0</v>
      </c>
      <c r="O1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8" s="298">
        <f>IF(AND(Scharniere[[#This Row],[Scharnierart]]=3,Scharniere[[#This Row],[Gruppenschlüssel]]=select!$A$747)=TRUE,1,0)</f>
        <v>0</v>
      </c>
      <c r="Q118" s="298">
        <f ca="1">IF(select!$O$945&lt;6,1,0)</f>
        <v>1</v>
      </c>
      <c r="R118" s="298">
        <f>IF(select!$A$778=IF(Scharniere[[#This Row],[mit Dämpfung]]=1,1,IF(Scharniere[[#This Row],[ohne Dämpfung]]=1,2,IF(Scharniere[[#This Row],[ohne Feder]]=1,3,0))),1,0)</f>
        <v>0</v>
      </c>
      <c r="S118" s="298">
        <f>IF(Scharniere[[#This Row],[Bohrbild]]=select!$A$755,1,0)</f>
        <v>0</v>
      </c>
      <c r="T118" s="298">
        <f>IF(IF(Scharniere[[#This Row],[Anschrauben]]=1,1,IF(Scharniere[[#This Row],[Einpressen]]=1,2,IF(Scharniere[[#This Row],[Quick]]=1,3,IF(Scharniere[[#This Row],[Werkzeuglos]]=1,4,0))))=select!$A$769,1,0)</f>
        <v>0</v>
      </c>
      <c r="U1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8" s="359">
        <f>IF(AND(Scharniere[[#This Row],[Scharnierart]]=4,Scharniere[[#This Row],[Gruppenschlüssel]]=select!$A$981)=TRUE,1,0)</f>
        <v>0</v>
      </c>
      <c r="W118" s="359">
        <f ca="1">IF(select!$O$1185&lt;6,1,0)</f>
        <v>1</v>
      </c>
      <c r="X118" s="359">
        <f>IF(select!$A$1012=IF(Scharniere[[#This Row],[mit Dämpfung]]=1,1,IF(Scharniere[[#This Row],[ohne Dämpfung]]=1,2,IF(Scharniere[[#This Row],[ohne Feder]]=1,3,0))),1,0)</f>
        <v>0</v>
      </c>
      <c r="Y118" s="359">
        <f>IF(Scharniere[[#This Row],[Bohrbild]]=select!$A$989,1,0)</f>
        <v>0</v>
      </c>
      <c r="Z118" s="359">
        <f>IF(IF(Scharniere[[#This Row],[Anschrauben]]=1,1,IF(Scharniere[[#This Row],[Einpressen]]=1,2,IF(Scharniere[[#This Row],[Quick]]=1,3,IF(Scharniere[[#This Row],[Werkzeuglos]]=1,4,0))))=select!$A$1003,1,0)</f>
        <v>0</v>
      </c>
      <c r="AA1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8" s="359">
        <f ca="1">IF(select!$K$980="*",Scharniere[[#This Row],[AG Ges2]],Scharniere[[#This Row],[AG Ges1]])</f>
        <v>0</v>
      </c>
      <c r="AE118" s="451">
        <f ca="1">IF(AND(Scharniere[[#This Row],[Scharnierart]]=select!$A$1485,Scharniere[[#This Row],[Gruppenschlüssel]]=select!$B$1485)=TRUE,1,0)</f>
        <v>1</v>
      </c>
      <c r="AF118" s="451">
        <f ca="1">IF(AND(Scharniere[[#This Row],[Scharnierart]]=select!$A$1486,Scharniere[[#This Row],[Gruppenschlüssel]]=select!$B$1486)=TRUE,1,0)</f>
        <v>0</v>
      </c>
      <c r="AG118" s="451">
        <f ca="1">IF(AND(Scharniere[[#This Row],[Scharnierart]]=select!$A$1487,Scharniere[[#This Row],[Gruppenschlüssel]]=select!$B$1487)=TRUE,1,0)</f>
        <v>0</v>
      </c>
      <c r="AH118" s="451">
        <f ca="1">IF(AND(Scharniere[[#This Row],[Scharnierart]]=select!$A$1488,Scharniere[[#This Row],[Gruppenschlüssel]]=select!$B$1488)=TRUE,1,0)</f>
        <v>0</v>
      </c>
      <c r="AI118" s="451">
        <f ca="1">IF(SUM(Scharniere[[#This Row],[konf Scharnier 1]:[konf Scharnier 4]])&gt;0,1,0)</f>
        <v>1</v>
      </c>
      <c r="AJ118" s="451"/>
      <c r="AK118" s="451"/>
      <c r="AL118" s="451"/>
      <c r="AM118" s="451"/>
      <c r="AN118" s="451"/>
      <c r="AO118" s="146">
        <v>1</v>
      </c>
      <c r="AP118" s="146">
        <v>1</v>
      </c>
      <c r="AQ118" s="10" t="str">
        <f ca="1">Sprache!$A$115</f>
        <v>Tiomos Scharnier TT Impresso</v>
      </c>
      <c r="AR118" t="s">
        <v>88</v>
      </c>
      <c r="AS118" t="str">
        <f ca="1">Sprache!$A$116</f>
        <v>Tiomos Impresso Scharniere</v>
      </c>
      <c r="AT118">
        <v>3</v>
      </c>
      <c r="AU118" t="s">
        <v>9</v>
      </c>
      <c r="AV118">
        <v>110</v>
      </c>
      <c r="AW118" s="10">
        <v>0</v>
      </c>
      <c r="AX118">
        <v>0</v>
      </c>
      <c r="AY118">
        <v>1</v>
      </c>
      <c r="AZ118" s="10">
        <v>0</v>
      </c>
      <c r="BA118">
        <v>0</v>
      </c>
      <c r="BB118">
        <v>0</v>
      </c>
      <c r="BC118">
        <v>1</v>
      </c>
      <c r="BD118" s="143" t="s">
        <v>196</v>
      </c>
      <c r="BG118"/>
    </row>
    <row r="119" spans="1:59" ht="14.25" customHeight="1" x14ac:dyDescent="0.25">
      <c r="A119" s="37" t="str">
        <f>LEFT(Scharniere[[#This Row],[ArtikelNR]],4)</f>
        <v>F035</v>
      </c>
      <c r="B119" s="35" t="str">
        <f>MID(Scharniere[[#This Row],[ArtikelNR]],5,3)</f>
        <v>139</v>
      </c>
      <c r="C119" s="37" t="str">
        <f>RIGHT(Scharniere[[#This Row],[ArtikelNR]],3)</f>
        <v>443</v>
      </c>
      <c r="D119" s="35">
        <f>IF(AND(Scharniere[[#This Row],[Gruppenschlüssel]]=select!$A$44,Scharniere[[#This Row],[Scharnierart]]=1)=TRUE,1,0)</f>
        <v>1</v>
      </c>
      <c r="E1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19" s="35">
        <f>IF(select!$F$57=IF(Scharniere[[#This Row],[mit Dämpfung]]=1,1,IF(Scharniere[[#This Row],[ohne Dämpfung]]=1,2,IF(Scharniere[[#This Row],[ohne Feder]]=1,3,0))),1,0)</f>
        <v>1</v>
      </c>
      <c r="G119" s="35">
        <f>IF(Scharniere[[#This Row],[Bohrbild]]=select!$V$43,1,0)</f>
        <v>0</v>
      </c>
      <c r="H119" s="35">
        <f>IF(IF(Scharniere[[#This Row],[Anschrauben]]=1,1,IF(Scharniere[[#This Row],[Einpressen]]=1,2,IF(Scharniere[[#This Row],[Quick]]=1,3,IF(Scharniere[[#This Row],[Werkzeuglos]]=1,4,0))))=select!$F$48,1,0)</f>
        <v>0</v>
      </c>
      <c r="I1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19" s="149">
        <f>IF(AND(Scharniere[[#This Row],[Scharnierart]]=2,Scharniere[[#This Row],[Gruppenschlüssel]]=select!$A$318)=TRUE,1,0)</f>
        <v>0</v>
      </c>
      <c r="K119" s="221">
        <f ca="1">IF(select!$O$424&lt;6,1,0)</f>
        <v>1</v>
      </c>
      <c r="L119" s="139">
        <f>IF(select!$A$362=IF(Scharniere[[#This Row],[mit Dämpfung]]=1,1,IF(Scharniere[[#This Row],[ohne Dämpfung]]=1,2,IF(Scharniere[[#This Row],[ohne Feder]]=1,3,0))),1,0)</f>
        <v>0</v>
      </c>
      <c r="M119" s="135">
        <f>IF(Scharniere[[#This Row],[Bohrbild]]=select!$O$334,1,0)</f>
        <v>0</v>
      </c>
      <c r="N119" s="135">
        <f>IF(IF(Scharniere[[#This Row],[Anschrauben]]=1,1,IF(Scharniere[[#This Row],[Einpressen]]=1,2,IF(Scharniere[[#This Row],[Quick]]=1,3,IF(Scharniere[[#This Row],[Werkzeuglos]]=1,4,0))))=select!$E$362,1,0)</f>
        <v>0</v>
      </c>
      <c r="O1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19" s="298">
        <f>IF(AND(Scharniere[[#This Row],[Scharnierart]]=3,Scharniere[[#This Row],[Gruppenschlüssel]]=select!$A$747)=TRUE,1,0)</f>
        <v>0</v>
      </c>
      <c r="Q119" s="298">
        <f ca="1">IF(select!$O$945&lt;6,1,0)</f>
        <v>1</v>
      </c>
      <c r="R119" s="298">
        <f>IF(select!$A$778=IF(Scharniere[[#This Row],[mit Dämpfung]]=1,1,IF(Scharniere[[#This Row],[ohne Dämpfung]]=1,2,IF(Scharniere[[#This Row],[ohne Feder]]=1,3,0))),1,0)</f>
        <v>0</v>
      </c>
      <c r="S119" s="298">
        <f>IF(Scharniere[[#This Row],[Bohrbild]]=select!$A$755,1,0)</f>
        <v>0</v>
      </c>
      <c r="T119" s="298">
        <f>IF(IF(Scharniere[[#This Row],[Anschrauben]]=1,1,IF(Scharniere[[#This Row],[Einpressen]]=1,2,IF(Scharniere[[#This Row],[Quick]]=1,3,IF(Scharniere[[#This Row],[Werkzeuglos]]=1,4,0))))=select!$A$769,1,0)</f>
        <v>0</v>
      </c>
      <c r="U1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19" s="359">
        <f>IF(AND(Scharniere[[#This Row],[Scharnierart]]=4,Scharniere[[#This Row],[Gruppenschlüssel]]=select!$A$981)=TRUE,1,0)</f>
        <v>0</v>
      </c>
      <c r="W119" s="359">
        <f ca="1">IF(select!$O$1185&lt;6,1,0)</f>
        <v>1</v>
      </c>
      <c r="X119" s="359">
        <f>IF(select!$A$1012=IF(Scharniere[[#This Row],[mit Dämpfung]]=1,1,IF(Scharniere[[#This Row],[ohne Dämpfung]]=1,2,IF(Scharniere[[#This Row],[ohne Feder]]=1,3,0))),1,0)</f>
        <v>0</v>
      </c>
      <c r="Y119" s="359">
        <f>IF(Scharniere[[#This Row],[Bohrbild]]=select!$A$989,1,0)</f>
        <v>0</v>
      </c>
      <c r="Z119" s="359">
        <f>IF(IF(Scharniere[[#This Row],[Anschrauben]]=1,1,IF(Scharniere[[#This Row],[Einpressen]]=1,2,IF(Scharniere[[#This Row],[Quick]]=1,3,IF(Scharniere[[#This Row],[Werkzeuglos]]=1,4,0))))=select!$A$1003,1,0)</f>
        <v>0</v>
      </c>
      <c r="AA1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19" s="359">
        <f ca="1">IF(select!$K$980="*",Scharniere[[#This Row],[AG Ges2]],Scharniere[[#This Row],[AG Ges1]])</f>
        <v>0</v>
      </c>
      <c r="AE119" s="451">
        <f ca="1">IF(AND(Scharniere[[#This Row],[Scharnierart]]=select!$A$1485,Scharniere[[#This Row],[Gruppenschlüssel]]=select!$B$1485)=TRUE,1,0)</f>
        <v>1</v>
      </c>
      <c r="AF119" s="451">
        <f ca="1">IF(AND(Scharniere[[#This Row],[Scharnierart]]=select!$A$1486,Scharniere[[#This Row],[Gruppenschlüssel]]=select!$B$1486)=TRUE,1,0)</f>
        <v>0</v>
      </c>
      <c r="AG119" s="451">
        <f ca="1">IF(AND(Scharniere[[#This Row],[Scharnierart]]=select!$A$1487,Scharniere[[#This Row],[Gruppenschlüssel]]=select!$B$1487)=TRUE,1,0)</f>
        <v>0</v>
      </c>
      <c r="AH119" s="451">
        <f ca="1">IF(AND(Scharniere[[#This Row],[Scharnierart]]=select!$A$1488,Scharniere[[#This Row],[Gruppenschlüssel]]=select!$B$1488)=TRUE,1,0)</f>
        <v>0</v>
      </c>
      <c r="AI119" s="451">
        <f ca="1">IF(SUM(Scharniere[[#This Row],[konf Scharnier 1]:[konf Scharnier 4]])&gt;0,1,0)</f>
        <v>1</v>
      </c>
      <c r="AJ119" s="451"/>
      <c r="AK119" s="451"/>
      <c r="AL119" s="451"/>
      <c r="AM119" s="451"/>
      <c r="AN119" s="451"/>
      <c r="AO119" s="146">
        <v>1</v>
      </c>
      <c r="AP119" s="146">
        <v>1</v>
      </c>
      <c r="AQ119" s="10" t="str">
        <f ca="1">Sprache!$A$115</f>
        <v>Tiomos Scharnier TT Impresso</v>
      </c>
      <c r="AR119" t="s">
        <v>88</v>
      </c>
      <c r="AS119" t="str">
        <f ca="1">Sprache!$A$116</f>
        <v>Tiomos Impresso Scharniere</v>
      </c>
      <c r="AT119">
        <v>3</v>
      </c>
      <c r="AU119" t="s">
        <v>3</v>
      </c>
      <c r="AV119">
        <v>110</v>
      </c>
      <c r="AW119" s="10">
        <v>0</v>
      </c>
      <c r="AX119">
        <v>0</v>
      </c>
      <c r="AY119">
        <v>1</v>
      </c>
      <c r="AZ119" s="10">
        <v>0</v>
      </c>
      <c r="BA119">
        <v>0</v>
      </c>
      <c r="BB119">
        <v>0</v>
      </c>
      <c r="BC119">
        <v>1</v>
      </c>
      <c r="BD119" s="143" t="s">
        <v>196</v>
      </c>
      <c r="BG119"/>
    </row>
    <row r="120" spans="1:59" ht="14.25" customHeight="1" x14ac:dyDescent="0.25">
      <c r="A120" s="37" t="str">
        <f>LEFT(Scharniere[[#This Row],[ArtikelNR]],4)</f>
        <v>F045</v>
      </c>
      <c r="B120" s="35" t="str">
        <f>MID(Scharniere[[#This Row],[ArtikelNR]],5,3)</f>
        <v>138</v>
      </c>
      <c r="C120" s="37" t="str">
        <f>RIGHT(Scharniere[[#This Row],[ArtikelNR]],3)</f>
        <v>644</v>
      </c>
      <c r="D120" s="35">
        <f>IF(AND(Scharniere[[#This Row],[Gruppenschlüssel]]=select!$A$44,Scharniere[[#This Row],[Scharnierart]]=1)=TRUE,1,0)</f>
        <v>1</v>
      </c>
      <c r="E1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0" s="35">
        <f>IF(select!$F$57=IF(Scharniere[[#This Row],[mit Dämpfung]]=1,1,IF(Scharniere[[#This Row],[ohne Dämpfung]]=1,2,IF(Scharniere[[#This Row],[ohne Feder]]=1,3,0))),1,0)</f>
        <v>0</v>
      </c>
      <c r="G120" s="35">
        <f>IF(Scharniere[[#This Row],[Bohrbild]]=select!$V$43,1,0)</f>
        <v>0</v>
      </c>
      <c r="H120" s="35">
        <f>IF(IF(Scharniere[[#This Row],[Anschrauben]]=1,1,IF(Scharniere[[#This Row],[Einpressen]]=1,2,IF(Scharniere[[#This Row],[Quick]]=1,3,IF(Scharniere[[#This Row],[Werkzeuglos]]=1,4,0))))=select!$F$48,1,0)</f>
        <v>1</v>
      </c>
      <c r="I1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0" s="149">
        <f>IF(AND(Scharniere[[#This Row],[Scharnierart]]=2,Scharniere[[#This Row],[Gruppenschlüssel]]=select!$A$318)=TRUE,1,0)</f>
        <v>0</v>
      </c>
      <c r="K120" s="221">
        <f ca="1">IF(select!$O$424&lt;6,1,0)</f>
        <v>1</v>
      </c>
      <c r="L120" s="139">
        <f>IF(select!$A$362=IF(Scharniere[[#This Row],[mit Dämpfung]]=1,1,IF(Scharniere[[#This Row],[ohne Dämpfung]]=1,2,IF(Scharniere[[#This Row],[ohne Feder]]=1,3,0))),1,0)</f>
        <v>0</v>
      </c>
      <c r="M120" s="135">
        <f>IF(Scharniere[[#This Row],[Bohrbild]]=select!$O$334,1,0)</f>
        <v>0</v>
      </c>
      <c r="N120" s="135">
        <f>IF(IF(Scharniere[[#This Row],[Anschrauben]]=1,1,IF(Scharniere[[#This Row],[Einpressen]]=1,2,IF(Scharniere[[#This Row],[Quick]]=1,3,IF(Scharniere[[#This Row],[Werkzeuglos]]=1,4,0))))=select!$E$362,1,0)</f>
        <v>0</v>
      </c>
      <c r="O1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0" s="298">
        <f>IF(AND(Scharniere[[#This Row],[Scharnierart]]=3,Scharniere[[#This Row],[Gruppenschlüssel]]=select!$A$747)=TRUE,1,0)</f>
        <v>0</v>
      </c>
      <c r="Q120" s="298">
        <f ca="1">IF(select!$O$945&lt;6,1,0)</f>
        <v>1</v>
      </c>
      <c r="R120" s="298">
        <f>IF(select!$A$778=IF(Scharniere[[#This Row],[mit Dämpfung]]=1,1,IF(Scharniere[[#This Row],[ohne Dämpfung]]=1,2,IF(Scharniere[[#This Row],[ohne Feder]]=1,3,0))),1,0)</f>
        <v>1</v>
      </c>
      <c r="S120" s="298">
        <f>IF(Scharniere[[#This Row],[Bohrbild]]=select!$A$755,1,0)</f>
        <v>0</v>
      </c>
      <c r="T120" s="298">
        <f>IF(IF(Scharniere[[#This Row],[Anschrauben]]=1,1,IF(Scharniere[[#This Row],[Einpressen]]=1,2,IF(Scharniere[[#This Row],[Quick]]=1,3,IF(Scharniere[[#This Row],[Werkzeuglos]]=1,4,0))))=select!$A$769,1,0)</f>
        <v>0</v>
      </c>
      <c r="U1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0" s="359">
        <f>IF(AND(Scharniere[[#This Row],[Scharnierart]]=4,Scharniere[[#This Row],[Gruppenschlüssel]]=select!$A$981)=TRUE,1,0)</f>
        <v>0</v>
      </c>
      <c r="W120" s="359">
        <f ca="1">IF(select!$O$1185&lt;6,1,0)</f>
        <v>1</v>
      </c>
      <c r="X120" s="359">
        <f>IF(select!$A$1012=IF(Scharniere[[#This Row],[mit Dämpfung]]=1,1,IF(Scharniere[[#This Row],[ohne Dämpfung]]=1,2,IF(Scharniere[[#This Row],[ohne Feder]]=1,3,0))),1,0)</f>
        <v>1</v>
      </c>
      <c r="Y120" s="359">
        <f>IF(Scharniere[[#This Row],[Bohrbild]]=select!$A$989,1,0)</f>
        <v>0</v>
      </c>
      <c r="Z120" s="359">
        <f>IF(IF(Scharniere[[#This Row],[Anschrauben]]=1,1,IF(Scharniere[[#This Row],[Einpressen]]=1,2,IF(Scharniere[[#This Row],[Quick]]=1,3,IF(Scharniere[[#This Row],[Werkzeuglos]]=1,4,0))))=select!$A$1003,1,0)</f>
        <v>0</v>
      </c>
      <c r="AA1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0" s="359">
        <f ca="1">IF(select!$K$980="*",Scharniere[[#This Row],[AG Ges2]],Scharniere[[#This Row],[AG Ges1]])</f>
        <v>0</v>
      </c>
      <c r="AE120" s="451">
        <f ca="1">IF(AND(Scharniere[[#This Row],[Scharnierart]]=select!$A$1485,Scharniere[[#This Row],[Gruppenschlüssel]]=select!$B$1485)=TRUE,1,0)</f>
        <v>1</v>
      </c>
      <c r="AF120" s="451">
        <f ca="1">IF(AND(Scharniere[[#This Row],[Scharnierart]]=select!$A$1486,Scharniere[[#This Row],[Gruppenschlüssel]]=select!$B$1486)=TRUE,1,0)</f>
        <v>0</v>
      </c>
      <c r="AG120" s="451">
        <f ca="1">IF(AND(Scharniere[[#This Row],[Scharnierart]]=select!$A$1487,Scharniere[[#This Row],[Gruppenschlüssel]]=select!$B$1487)=TRUE,1,0)</f>
        <v>0</v>
      </c>
      <c r="AH120" s="451">
        <f ca="1">IF(AND(Scharniere[[#This Row],[Scharnierart]]=select!$A$1488,Scharniere[[#This Row],[Gruppenschlüssel]]=select!$B$1488)=TRUE,1,0)</f>
        <v>0</v>
      </c>
      <c r="AI120" s="451">
        <f ca="1">IF(SUM(Scharniere[[#This Row],[konf Scharnier 1]:[konf Scharnier 4]])&gt;0,1,0)</f>
        <v>1</v>
      </c>
      <c r="AJ120" s="451"/>
      <c r="AK120" s="451"/>
      <c r="AL120" s="451"/>
      <c r="AM120" s="451"/>
      <c r="AN120" s="451"/>
      <c r="AO120" s="146">
        <v>1</v>
      </c>
      <c r="AP120" s="146">
        <v>1</v>
      </c>
      <c r="AQ120" s="10" t="str">
        <f ca="1">Sprache!$A$110</f>
        <v>Tiomos Scharnier T Click-on</v>
      </c>
      <c r="AR120" t="str">
        <f ca="1">"110°, H-BB, K03, "&amp;Sprache!A181&amp;", ni"</f>
        <v>110°, H-BB, K03, Dübel, ni</v>
      </c>
      <c r="AS120" t="str">
        <f ca="1">Sprache!$A$103</f>
        <v>Tiomos Click-On Scharniere</v>
      </c>
      <c r="AT120">
        <v>3</v>
      </c>
      <c r="AU120" t="s">
        <v>10</v>
      </c>
      <c r="AV120">
        <v>110</v>
      </c>
      <c r="AW120" s="10">
        <v>0</v>
      </c>
      <c r="AX120">
        <v>1</v>
      </c>
      <c r="AY120">
        <v>0</v>
      </c>
      <c r="AZ120" s="10">
        <v>0</v>
      </c>
      <c r="BA120">
        <v>1</v>
      </c>
      <c r="BB120">
        <v>0</v>
      </c>
      <c r="BC120">
        <v>0</v>
      </c>
      <c r="BD120" s="143" t="s">
        <v>519</v>
      </c>
      <c r="BG120"/>
    </row>
    <row r="121" spans="1:59" ht="14.25" customHeight="1" x14ac:dyDescent="0.25">
      <c r="A121" s="37" t="str">
        <f>LEFT(Scharniere[[#This Row],[ArtikelNR]],4)</f>
        <v>F028</v>
      </c>
      <c r="B121" s="35" t="str">
        <f>MID(Scharniere[[#This Row],[ArtikelNR]],5,3)</f>
        <v>138</v>
      </c>
      <c r="C121" s="37" t="str">
        <f>RIGHT(Scharniere[[#This Row],[ArtikelNR]],3)</f>
        <v>706</v>
      </c>
      <c r="D121" s="35">
        <f>IF(AND(Scharniere[[#This Row],[Gruppenschlüssel]]=select!$A$44,Scharniere[[#This Row],[Scharnierart]]=1)=TRUE,1,0)</f>
        <v>1</v>
      </c>
      <c r="E1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1" s="35">
        <f>IF(select!$F$57=IF(Scharniere[[#This Row],[mit Dämpfung]]=1,1,IF(Scharniere[[#This Row],[ohne Dämpfung]]=1,2,IF(Scharniere[[#This Row],[ohne Feder]]=1,3,0))),1,0)</f>
        <v>0</v>
      </c>
      <c r="G121" s="35">
        <f>IF(Scharniere[[#This Row],[Bohrbild]]=select!$V$43,1,0)</f>
        <v>0</v>
      </c>
      <c r="H121" s="35">
        <f>IF(IF(Scharniere[[#This Row],[Anschrauben]]=1,1,IF(Scharniere[[#This Row],[Einpressen]]=1,2,IF(Scharniere[[#This Row],[Quick]]=1,3,IF(Scharniere[[#This Row],[Werkzeuglos]]=1,4,0))))=select!$F$48,1,0)</f>
        <v>1</v>
      </c>
      <c r="I1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1" s="149">
        <f>IF(AND(Scharniere[[#This Row],[Scharnierart]]=2,Scharniere[[#This Row],[Gruppenschlüssel]]=select!$A$318)=TRUE,1,0)</f>
        <v>0</v>
      </c>
      <c r="K121" s="221">
        <f ca="1">IF(select!$O$424&lt;6,1,0)</f>
        <v>1</v>
      </c>
      <c r="L121" s="139">
        <f>IF(select!$A$362=IF(Scharniere[[#This Row],[mit Dämpfung]]=1,1,IF(Scharniere[[#This Row],[ohne Dämpfung]]=1,2,IF(Scharniere[[#This Row],[ohne Feder]]=1,3,0))),1,0)</f>
        <v>1</v>
      </c>
      <c r="M121" s="135">
        <f>IF(Scharniere[[#This Row],[Bohrbild]]=select!$O$334,1,0)</f>
        <v>0</v>
      </c>
      <c r="N121" s="135">
        <f>IF(IF(Scharniere[[#This Row],[Anschrauben]]=1,1,IF(Scharniere[[#This Row],[Einpressen]]=1,2,IF(Scharniere[[#This Row],[Quick]]=1,3,IF(Scharniere[[#This Row],[Werkzeuglos]]=1,4,0))))=select!$E$362,1,0)</f>
        <v>0</v>
      </c>
      <c r="O1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1" s="298">
        <f>IF(AND(Scharniere[[#This Row],[Scharnierart]]=3,Scharniere[[#This Row],[Gruppenschlüssel]]=select!$A$747)=TRUE,1,0)</f>
        <v>0</v>
      </c>
      <c r="Q121" s="298">
        <f ca="1">IF(select!$O$945&lt;6,1,0)</f>
        <v>1</v>
      </c>
      <c r="R121" s="298">
        <f>IF(select!$A$778=IF(Scharniere[[#This Row],[mit Dämpfung]]=1,1,IF(Scharniere[[#This Row],[ohne Dämpfung]]=1,2,IF(Scharniere[[#This Row],[ohne Feder]]=1,3,0))),1,0)</f>
        <v>0</v>
      </c>
      <c r="S121" s="298">
        <f>IF(Scharniere[[#This Row],[Bohrbild]]=select!$A$755,1,0)</f>
        <v>0</v>
      </c>
      <c r="T121" s="298">
        <f>IF(IF(Scharniere[[#This Row],[Anschrauben]]=1,1,IF(Scharniere[[#This Row],[Einpressen]]=1,2,IF(Scharniere[[#This Row],[Quick]]=1,3,IF(Scharniere[[#This Row],[Werkzeuglos]]=1,4,0))))=select!$A$769,1,0)</f>
        <v>0</v>
      </c>
      <c r="U1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1" s="359">
        <f>IF(AND(Scharniere[[#This Row],[Scharnierart]]=4,Scharniere[[#This Row],[Gruppenschlüssel]]=select!$A$981)=TRUE,1,0)</f>
        <v>0</v>
      </c>
      <c r="W121" s="359">
        <f ca="1">IF(select!$O$1185&lt;6,1,0)</f>
        <v>1</v>
      </c>
      <c r="X121" s="359">
        <f>IF(select!$A$1012=IF(Scharniere[[#This Row],[mit Dämpfung]]=1,1,IF(Scharniere[[#This Row],[ohne Dämpfung]]=1,2,IF(Scharniere[[#This Row],[ohne Feder]]=1,3,0))),1,0)</f>
        <v>0</v>
      </c>
      <c r="Y121" s="359">
        <f>IF(Scharniere[[#This Row],[Bohrbild]]=select!$A$989,1,0)</f>
        <v>0</v>
      </c>
      <c r="Z121" s="359">
        <f>IF(IF(Scharniere[[#This Row],[Anschrauben]]=1,1,IF(Scharniere[[#This Row],[Einpressen]]=1,2,IF(Scharniere[[#This Row],[Quick]]=1,3,IF(Scharniere[[#This Row],[Werkzeuglos]]=1,4,0))))=select!$A$1003,1,0)</f>
        <v>0</v>
      </c>
      <c r="AA1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1" s="359">
        <f ca="1">IF(select!$K$980="*",Scharniere[[#This Row],[AG Ges2]],Scharniere[[#This Row],[AG Ges1]])</f>
        <v>0</v>
      </c>
      <c r="AE121" s="451">
        <f ca="1">IF(AND(Scharniere[[#This Row],[Scharnierart]]=select!$A$1485,Scharniere[[#This Row],[Gruppenschlüssel]]=select!$B$1485)=TRUE,1,0)</f>
        <v>1</v>
      </c>
      <c r="AF121" s="451">
        <f ca="1">IF(AND(Scharniere[[#This Row],[Scharnierart]]=select!$A$1486,Scharniere[[#This Row],[Gruppenschlüssel]]=select!$B$1486)=TRUE,1,0)</f>
        <v>0</v>
      </c>
      <c r="AG121" s="451">
        <f ca="1">IF(AND(Scharniere[[#This Row],[Scharnierart]]=select!$A$1487,Scharniere[[#This Row],[Gruppenschlüssel]]=select!$B$1487)=TRUE,1,0)</f>
        <v>0</v>
      </c>
      <c r="AH121" s="451">
        <f ca="1">IF(AND(Scharniere[[#This Row],[Scharnierart]]=select!$A$1488,Scharniere[[#This Row],[Gruppenschlüssel]]=select!$B$1488)=TRUE,1,0)</f>
        <v>0</v>
      </c>
      <c r="AI121" s="451">
        <f ca="1">IF(SUM(Scharniere[[#This Row],[konf Scharnier 1]:[konf Scharnier 4]])&gt;0,1,0)</f>
        <v>1</v>
      </c>
      <c r="AJ121" s="451"/>
      <c r="AK121" s="451"/>
      <c r="AL121" s="451"/>
      <c r="AM121" s="451"/>
      <c r="AN121" s="451"/>
      <c r="AO121" s="146">
        <v>1</v>
      </c>
      <c r="AP121" s="146">
        <v>1</v>
      </c>
      <c r="AQ121" s="10" t="str">
        <f ca="1">Sprache!$A$112</f>
        <v>Tiomos Scharnier TS Click-on</v>
      </c>
      <c r="AR121" t="str">
        <f ca="1">"110°, H-BB, K03, "&amp;Sprache!A181&amp;", ni"</f>
        <v>110°, H-BB, K03, Dübel, ni</v>
      </c>
      <c r="AS121" t="str">
        <f ca="1">Sprache!$A$103</f>
        <v>Tiomos Click-On Scharniere</v>
      </c>
      <c r="AT121">
        <v>3</v>
      </c>
      <c r="AU121" t="s">
        <v>10</v>
      </c>
      <c r="AV121">
        <v>110</v>
      </c>
      <c r="AW121" s="10">
        <v>1</v>
      </c>
      <c r="AX121">
        <v>0</v>
      </c>
      <c r="AY121">
        <v>0</v>
      </c>
      <c r="AZ121" s="10">
        <v>0</v>
      </c>
      <c r="BA121">
        <v>1</v>
      </c>
      <c r="BB121">
        <v>0</v>
      </c>
      <c r="BC121">
        <v>0</v>
      </c>
      <c r="BD121" s="143" t="s">
        <v>349</v>
      </c>
      <c r="BG121"/>
    </row>
    <row r="122" spans="1:59" ht="14.25" customHeight="1" x14ac:dyDescent="0.25">
      <c r="A122" s="37" t="str">
        <f>LEFT(Scharniere[[#This Row],[ArtikelNR]],4)</f>
        <v>F046</v>
      </c>
      <c r="B122" s="35" t="str">
        <f>MID(Scharniere[[#This Row],[ArtikelNR]],5,3)</f>
        <v>138</v>
      </c>
      <c r="C122" s="37" t="str">
        <f>RIGHT(Scharniere[[#This Row],[ArtikelNR]],3)</f>
        <v>766</v>
      </c>
      <c r="D122" s="35">
        <f>IF(AND(Scharniere[[#This Row],[Gruppenschlüssel]]=select!$A$44,Scharniere[[#This Row],[Scharnierart]]=1)=TRUE,1,0)</f>
        <v>1</v>
      </c>
      <c r="E1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2" s="35">
        <f>IF(select!$F$57=IF(Scharniere[[#This Row],[mit Dämpfung]]=1,1,IF(Scharniere[[#This Row],[ohne Dämpfung]]=1,2,IF(Scharniere[[#This Row],[ohne Feder]]=1,3,0))),1,0)</f>
        <v>1</v>
      </c>
      <c r="G122" s="35">
        <f>IF(Scharniere[[#This Row],[Bohrbild]]=select!$V$43,1,0)</f>
        <v>0</v>
      </c>
      <c r="H122" s="35">
        <f>IF(IF(Scharniere[[#This Row],[Anschrauben]]=1,1,IF(Scharniere[[#This Row],[Einpressen]]=1,2,IF(Scharniere[[#This Row],[Quick]]=1,3,IF(Scharniere[[#This Row],[Werkzeuglos]]=1,4,0))))=select!$F$48,1,0)</f>
        <v>1</v>
      </c>
      <c r="I1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2" s="149">
        <f>IF(AND(Scharniere[[#This Row],[Scharnierart]]=2,Scharniere[[#This Row],[Gruppenschlüssel]]=select!$A$318)=TRUE,1,0)</f>
        <v>0</v>
      </c>
      <c r="K122" s="221">
        <f ca="1">IF(select!$O$424&lt;6,1,0)</f>
        <v>1</v>
      </c>
      <c r="L122" s="139">
        <f>IF(select!$A$362=IF(Scharniere[[#This Row],[mit Dämpfung]]=1,1,IF(Scharniere[[#This Row],[ohne Dämpfung]]=1,2,IF(Scharniere[[#This Row],[ohne Feder]]=1,3,0))),1,0)</f>
        <v>0</v>
      </c>
      <c r="M122" s="135">
        <f>IF(Scharniere[[#This Row],[Bohrbild]]=select!$O$334,1,0)</f>
        <v>0</v>
      </c>
      <c r="N122" s="135">
        <f>IF(IF(Scharniere[[#This Row],[Anschrauben]]=1,1,IF(Scharniere[[#This Row],[Einpressen]]=1,2,IF(Scharniere[[#This Row],[Quick]]=1,3,IF(Scharniere[[#This Row],[Werkzeuglos]]=1,4,0))))=select!$E$362,1,0)</f>
        <v>0</v>
      </c>
      <c r="O1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2" s="298">
        <f>IF(AND(Scharniere[[#This Row],[Scharnierart]]=3,Scharniere[[#This Row],[Gruppenschlüssel]]=select!$A$747)=TRUE,1,0)</f>
        <v>0</v>
      </c>
      <c r="Q122" s="298">
        <f ca="1">IF(select!$O$945&lt;6,1,0)</f>
        <v>1</v>
      </c>
      <c r="R122" s="298">
        <f>IF(select!$A$778=IF(Scharniere[[#This Row],[mit Dämpfung]]=1,1,IF(Scharniere[[#This Row],[ohne Dämpfung]]=1,2,IF(Scharniere[[#This Row],[ohne Feder]]=1,3,0))),1,0)</f>
        <v>0</v>
      </c>
      <c r="S122" s="298">
        <f>IF(Scharniere[[#This Row],[Bohrbild]]=select!$A$755,1,0)</f>
        <v>0</v>
      </c>
      <c r="T122" s="298">
        <f>IF(IF(Scharniere[[#This Row],[Anschrauben]]=1,1,IF(Scharniere[[#This Row],[Einpressen]]=1,2,IF(Scharniere[[#This Row],[Quick]]=1,3,IF(Scharniere[[#This Row],[Werkzeuglos]]=1,4,0))))=select!$A$769,1,0)</f>
        <v>0</v>
      </c>
      <c r="U1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2" s="359">
        <f>IF(AND(Scharniere[[#This Row],[Scharnierart]]=4,Scharniere[[#This Row],[Gruppenschlüssel]]=select!$A$981)=TRUE,1,0)</f>
        <v>0</v>
      </c>
      <c r="W122" s="359">
        <f ca="1">IF(select!$O$1185&lt;6,1,0)</f>
        <v>1</v>
      </c>
      <c r="X122" s="359">
        <f>IF(select!$A$1012=IF(Scharniere[[#This Row],[mit Dämpfung]]=1,1,IF(Scharniere[[#This Row],[ohne Dämpfung]]=1,2,IF(Scharniere[[#This Row],[ohne Feder]]=1,3,0))),1,0)</f>
        <v>0</v>
      </c>
      <c r="Y122" s="359">
        <f>IF(Scharniere[[#This Row],[Bohrbild]]=select!$A$989,1,0)</f>
        <v>0</v>
      </c>
      <c r="Z122" s="359">
        <f>IF(IF(Scharniere[[#This Row],[Anschrauben]]=1,1,IF(Scharniere[[#This Row],[Einpressen]]=1,2,IF(Scharniere[[#This Row],[Quick]]=1,3,IF(Scharniere[[#This Row],[Werkzeuglos]]=1,4,0))))=select!$A$1003,1,0)</f>
        <v>0</v>
      </c>
      <c r="AA1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2" s="359">
        <f ca="1">IF(select!$K$980="*",Scharniere[[#This Row],[AG Ges2]],Scharniere[[#This Row],[AG Ges1]])</f>
        <v>0</v>
      </c>
      <c r="AE122" s="451">
        <f ca="1">IF(AND(Scharniere[[#This Row],[Scharnierart]]=select!$A$1485,Scharniere[[#This Row],[Gruppenschlüssel]]=select!$B$1485)=TRUE,1,0)</f>
        <v>1</v>
      </c>
      <c r="AF122" s="451">
        <f ca="1">IF(AND(Scharniere[[#This Row],[Scharnierart]]=select!$A$1486,Scharniere[[#This Row],[Gruppenschlüssel]]=select!$B$1486)=TRUE,1,0)</f>
        <v>0</v>
      </c>
      <c r="AG122" s="451">
        <f ca="1">IF(AND(Scharniere[[#This Row],[Scharnierart]]=select!$A$1487,Scharniere[[#This Row],[Gruppenschlüssel]]=select!$B$1487)=TRUE,1,0)</f>
        <v>0</v>
      </c>
      <c r="AH122" s="451">
        <f ca="1">IF(AND(Scharniere[[#This Row],[Scharnierart]]=select!$A$1488,Scharniere[[#This Row],[Gruppenschlüssel]]=select!$B$1488)=TRUE,1,0)</f>
        <v>0</v>
      </c>
      <c r="AI122" s="451">
        <f ca="1">IF(SUM(Scharniere[[#This Row],[konf Scharnier 1]:[konf Scharnier 4]])&gt;0,1,0)</f>
        <v>1</v>
      </c>
      <c r="AJ122" s="451"/>
      <c r="AK122" s="451"/>
      <c r="AL122" s="451"/>
      <c r="AM122" s="451"/>
      <c r="AN122" s="451"/>
      <c r="AO122" s="146">
        <v>1</v>
      </c>
      <c r="AP122" s="146">
        <v>1</v>
      </c>
      <c r="AQ122" s="10" t="str">
        <f ca="1">Sprache!$A$114</f>
        <v>Tiomos Scharnier TT Click-on</v>
      </c>
      <c r="AR122" t="str">
        <f ca="1">"110°, H-BB, K03, "&amp;Sprache!A181&amp;", ni"</f>
        <v>110°, H-BB, K03, Dübel, ni</v>
      </c>
      <c r="AS122" t="str">
        <f ca="1">Sprache!$A$103</f>
        <v>Tiomos Click-On Scharniere</v>
      </c>
      <c r="AT122">
        <v>3</v>
      </c>
      <c r="AU122" s="34" t="s">
        <v>10</v>
      </c>
      <c r="AV122">
        <v>110</v>
      </c>
      <c r="AW122" s="10">
        <v>0</v>
      </c>
      <c r="AX122">
        <v>0</v>
      </c>
      <c r="AY122">
        <v>1</v>
      </c>
      <c r="AZ122" s="10">
        <v>0</v>
      </c>
      <c r="BA122">
        <v>1</v>
      </c>
      <c r="BB122">
        <v>0</v>
      </c>
      <c r="BC122">
        <v>0</v>
      </c>
      <c r="BD122" s="143" t="s">
        <v>671</v>
      </c>
      <c r="BG122"/>
    </row>
    <row r="123" spans="1:59" ht="14.25" customHeight="1" x14ac:dyDescent="0.25">
      <c r="A123" s="37" t="str">
        <f>LEFT(Scharniere[[#This Row],[ArtikelNR]],4)</f>
        <v>F045</v>
      </c>
      <c r="B123" s="35" t="str">
        <f>MID(Scharniere[[#This Row],[ArtikelNR]],5,3)</f>
        <v>138</v>
      </c>
      <c r="C123" s="37" t="str">
        <f>RIGHT(Scharniere[[#This Row],[ArtikelNR]],3)</f>
        <v>640</v>
      </c>
      <c r="D123" s="35">
        <f>IF(AND(Scharniere[[#This Row],[Gruppenschlüssel]]=select!$A$44,Scharniere[[#This Row],[Scharnierart]]=1)=TRUE,1,0)</f>
        <v>1</v>
      </c>
      <c r="E1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3" s="35">
        <f>IF(select!$F$57=IF(Scharniere[[#This Row],[mit Dämpfung]]=1,1,IF(Scharniere[[#This Row],[ohne Dämpfung]]=1,2,IF(Scharniere[[#This Row],[ohne Feder]]=1,3,0))),1,0)</f>
        <v>0</v>
      </c>
      <c r="G123" s="35">
        <f>IF(Scharniere[[#This Row],[Bohrbild]]=select!$V$43,1,0)</f>
        <v>0</v>
      </c>
      <c r="H123" s="35">
        <f>IF(IF(Scharniere[[#This Row],[Anschrauben]]=1,1,IF(Scharniere[[#This Row],[Einpressen]]=1,2,IF(Scharniere[[#This Row],[Quick]]=1,3,IF(Scharniere[[#This Row],[Werkzeuglos]]=1,4,0))))=select!$F$48,1,0)</f>
        <v>0</v>
      </c>
      <c r="I1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3" s="149">
        <f>IF(AND(Scharniere[[#This Row],[Scharnierart]]=2,Scharniere[[#This Row],[Gruppenschlüssel]]=select!$A$318)=TRUE,1,0)</f>
        <v>0</v>
      </c>
      <c r="K123" s="221">
        <f ca="1">IF(select!$O$424&lt;6,1,0)</f>
        <v>1</v>
      </c>
      <c r="L123" s="139">
        <f>IF(select!$A$362=IF(Scharniere[[#This Row],[mit Dämpfung]]=1,1,IF(Scharniere[[#This Row],[ohne Dämpfung]]=1,2,IF(Scharniere[[#This Row],[ohne Feder]]=1,3,0))),1,0)</f>
        <v>0</v>
      </c>
      <c r="M123" s="135">
        <f>IF(Scharniere[[#This Row],[Bohrbild]]=select!$O$334,1,0)</f>
        <v>0</v>
      </c>
      <c r="N123" s="135">
        <f>IF(IF(Scharniere[[#This Row],[Anschrauben]]=1,1,IF(Scharniere[[#This Row],[Einpressen]]=1,2,IF(Scharniere[[#This Row],[Quick]]=1,3,IF(Scharniere[[#This Row],[Werkzeuglos]]=1,4,0))))=select!$E$362,1,0)</f>
        <v>1</v>
      </c>
      <c r="O1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3" s="298">
        <f>IF(AND(Scharniere[[#This Row],[Scharnierart]]=3,Scharniere[[#This Row],[Gruppenschlüssel]]=select!$A$747)=TRUE,1,0)</f>
        <v>0</v>
      </c>
      <c r="Q123" s="298">
        <f ca="1">IF(select!$O$945&lt;6,1,0)</f>
        <v>1</v>
      </c>
      <c r="R123" s="298">
        <f>IF(select!$A$778=IF(Scharniere[[#This Row],[mit Dämpfung]]=1,1,IF(Scharniere[[#This Row],[ohne Dämpfung]]=1,2,IF(Scharniere[[#This Row],[ohne Feder]]=1,3,0))),1,0)</f>
        <v>1</v>
      </c>
      <c r="S123" s="298">
        <f>IF(Scharniere[[#This Row],[Bohrbild]]=select!$A$755,1,0)</f>
        <v>0</v>
      </c>
      <c r="T123" s="298">
        <f>IF(IF(Scharniere[[#This Row],[Anschrauben]]=1,1,IF(Scharniere[[#This Row],[Einpressen]]=1,2,IF(Scharniere[[#This Row],[Quick]]=1,3,IF(Scharniere[[#This Row],[Werkzeuglos]]=1,4,0))))=select!$A$769,1,0)</f>
        <v>1</v>
      </c>
      <c r="U1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3" s="359">
        <f>IF(AND(Scharniere[[#This Row],[Scharnierart]]=4,Scharniere[[#This Row],[Gruppenschlüssel]]=select!$A$981)=TRUE,1,0)</f>
        <v>0</v>
      </c>
      <c r="W123" s="359">
        <f ca="1">IF(select!$O$1185&lt;6,1,0)</f>
        <v>1</v>
      </c>
      <c r="X123" s="359">
        <f>IF(select!$A$1012=IF(Scharniere[[#This Row],[mit Dämpfung]]=1,1,IF(Scharniere[[#This Row],[ohne Dämpfung]]=1,2,IF(Scharniere[[#This Row],[ohne Feder]]=1,3,0))),1,0)</f>
        <v>1</v>
      </c>
      <c r="Y123" s="359">
        <f>IF(Scharniere[[#This Row],[Bohrbild]]=select!$A$989,1,0)</f>
        <v>0</v>
      </c>
      <c r="Z123" s="359">
        <f>IF(IF(Scharniere[[#This Row],[Anschrauben]]=1,1,IF(Scharniere[[#This Row],[Einpressen]]=1,2,IF(Scharniere[[#This Row],[Quick]]=1,3,IF(Scharniere[[#This Row],[Werkzeuglos]]=1,4,0))))=select!$A$1003,1,0)</f>
        <v>1</v>
      </c>
      <c r="AA1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3" s="359">
        <f ca="1">IF(select!$K$980="*",Scharniere[[#This Row],[AG Ges2]],Scharniere[[#This Row],[AG Ges1]])</f>
        <v>0</v>
      </c>
      <c r="AE123" s="451">
        <f ca="1">IF(AND(Scharniere[[#This Row],[Scharnierart]]=select!$A$1485,Scharniere[[#This Row],[Gruppenschlüssel]]=select!$B$1485)=TRUE,1,0)</f>
        <v>1</v>
      </c>
      <c r="AF123" s="451">
        <f ca="1">IF(AND(Scharniere[[#This Row],[Scharnierart]]=select!$A$1486,Scharniere[[#This Row],[Gruppenschlüssel]]=select!$B$1486)=TRUE,1,0)</f>
        <v>0</v>
      </c>
      <c r="AG123" s="451">
        <f ca="1">IF(AND(Scharniere[[#This Row],[Scharnierart]]=select!$A$1487,Scharniere[[#This Row],[Gruppenschlüssel]]=select!$B$1487)=TRUE,1,0)</f>
        <v>0</v>
      </c>
      <c r="AH123" s="451">
        <f ca="1">IF(AND(Scharniere[[#This Row],[Scharnierart]]=select!$A$1488,Scharniere[[#This Row],[Gruppenschlüssel]]=select!$B$1488)=TRUE,1,0)</f>
        <v>0</v>
      </c>
      <c r="AI123" s="451">
        <f ca="1">IF(SUM(Scharniere[[#This Row],[konf Scharnier 1]:[konf Scharnier 4]])&gt;0,1,0)</f>
        <v>1</v>
      </c>
      <c r="AJ123" s="451"/>
      <c r="AK123" s="451"/>
      <c r="AL123" s="451"/>
      <c r="AM123" s="451"/>
      <c r="AN123" s="451"/>
      <c r="AO123" s="146">
        <v>1</v>
      </c>
      <c r="AP123" s="146">
        <v>1</v>
      </c>
      <c r="AQ123" s="10" t="str">
        <f ca="1">Sprache!$A$110</f>
        <v>Tiomos Scharnier T Click-on</v>
      </c>
      <c r="AR123" t="s">
        <v>344</v>
      </c>
      <c r="AS123" t="str">
        <f ca="1">Sprache!$A$103</f>
        <v>Tiomos Click-On Scharniere</v>
      </c>
      <c r="AT123">
        <v>3</v>
      </c>
      <c r="AU123" s="34" t="s">
        <v>10</v>
      </c>
      <c r="AV123">
        <v>110</v>
      </c>
      <c r="AW123" s="10">
        <v>0</v>
      </c>
      <c r="AX123">
        <v>1</v>
      </c>
      <c r="AY123">
        <v>0</v>
      </c>
      <c r="AZ123" s="10">
        <v>1</v>
      </c>
      <c r="BA123">
        <v>0</v>
      </c>
      <c r="BB123">
        <v>0</v>
      </c>
      <c r="BC123">
        <v>0</v>
      </c>
      <c r="BD123" s="143" t="s">
        <v>515</v>
      </c>
      <c r="BG123"/>
    </row>
    <row r="124" spans="1:59" ht="14.25" customHeight="1" x14ac:dyDescent="0.25">
      <c r="A124" s="37" t="str">
        <f>LEFT(Scharniere[[#This Row],[ArtikelNR]],4)</f>
        <v>F028</v>
      </c>
      <c r="B124" s="35" t="str">
        <f>MID(Scharniere[[#This Row],[ArtikelNR]],5,3)</f>
        <v>138</v>
      </c>
      <c r="C124" s="37" t="str">
        <f>RIGHT(Scharniere[[#This Row],[ArtikelNR]],3)</f>
        <v>702</v>
      </c>
      <c r="D124" s="35">
        <f>IF(AND(Scharniere[[#This Row],[Gruppenschlüssel]]=select!$A$44,Scharniere[[#This Row],[Scharnierart]]=1)=TRUE,1,0)</f>
        <v>1</v>
      </c>
      <c r="E1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4" s="35">
        <f>IF(select!$F$57=IF(Scharniere[[#This Row],[mit Dämpfung]]=1,1,IF(Scharniere[[#This Row],[ohne Dämpfung]]=1,2,IF(Scharniere[[#This Row],[ohne Feder]]=1,3,0))),1,0)</f>
        <v>0</v>
      </c>
      <c r="G124" s="35">
        <f>IF(Scharniere[[#This Row],[Bohrbild]]=select!$V$43,1,0)</f>
        <v>0</v>
      </c>
      <c r="H124" s="35">
        <f>IF(IF(Scharniere[[#This Row],[Anschrauben]]=1,1,IF(Scharniere[[#This Row],[Einpressen]]=1,2,IF(Scharniere[[#This Row],[Quick]]=1,3,IF(Scharniere[[#This Row],[Werkzeuglos]]=1,4,0))))=select!$F$48,1,0)</f>
        <v>0</v>
      </c>
      <c r="I1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4" s="149">
        <f>IF(AND(Scharniere[[#This Row],[Scharnierart]]=2,Scharniere[[#This Row],[Gruppenschlüssel]]=select!$A$318)=TRUE,1,0)</f>
        <v>0</v>
      </c>
      <c r="K124" s="221">
        <f ca="1">IF(select!$O$424&lt;6,1,0)</f>
        <v>1</v>
      </c>
      <c r="L124" s="139">
        <f>IF(select!$A$362=IF(Scharniere[[#This Row],[mit Dämpfung]]=1,1,IF(Scharniere[[#This Row],[ohne Dämpfung]]=1,2,IF(Scharniere[[#This Row],[ohne Feder]]=1,3,0))),1,0)</f>
        <v>1</v>
      </c>
      <c r="M124" s="135">
        <f>IF(Scharniere[[#This Row],[Bohrbild]]=select!$O$334,1,0)</f>
        <v>0</v>
      </c>
      <c r="N124" s="135">
        <f>IF(IF(Scharniere[[#This Row],[Anschrauben]]=1,1,IF(Scharniere[[#This Row],[Einpressen]]=1,2,IF(Scharniere[[#This Row],[Quick]]=1,3,IF(Scharniere[[#This Row],[Werkzeuglos]]=1,4,0))))=select!$E$362,1,0)</f>
        <v>1</v>
      </c>
      <c r="O1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4" s="298">
        <f>IF(AND(Scharniere[[#This Row],[Scharnierart]]=3,Scharniere[[#This Row],[Gruppenschlüssel]]=select!$A$747)=TRUE,1,0)</f>
        <v>0</v>
      </c>
      <c r="Q124" s="298">
        <f ca="1">IF(select!$O$945&lt;6,1,0)</f>
        <v>1</v>
      </c>
      <c r="R124" s="298">
        <f>IF(select!$A$778=IF(Scharniere[[#This Row],[mit Dämpfung]]=1,1,IF(Scharniere[[#This Row],[ohne Dämpfung]]=1,2,IF(Scharniere[[#This Row],[ohne Feder]]=1,3,0))),1,0)</f>
        <v>0</v>
      </c>
      <c r="S124" s="298">
        <f>IF(Scharniere[[#This Row],[Bohrbild]]=select!$A$755,1,0)</f>
        <v>0</v>
      </c>
      <c r="T124" s="298">
        <f>IF(IF(Scharniere[[#This Row],[Anschrauben]]=1,1,IF(Scharniere[[#This Row],[Einpressen]]=1,2,IF(Scharniere[[#This Row],[Quick]]=1,3,IF(Scharniere[[#This Row],[Werkzeuglos]]=1,4,0))))=select!$A$769,1,0)</f>
        <v>1</v>
      </c>
      <c r="U1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4" s="359">
        <f>IF(AND(Scharniere[[#This Row],[Scharnierart]]=4,Scharniere[[#This Row],[Gruppenschlüssel]]=select!$A$981)=TRUE,1,0)</f>
        <v>0</v>
      </c>
      <c r="W124" s="359">
        <f ca="1">IF(select!$O$1185&lt;6,1,0)</f>
        <v>1</v>
      </c>
      <c r="X124" s="359">
        <f>IF(select!$A$1012=IF(Scharniere[[#This Row],[mit Dämpfung]]=1,1,IF(Scharniere[[#This Row],[ohne Dämpfung]]=1,2,IF(Scharniere[[#This Row],[ohne Feder]]=1,3,0))),1,0)</f>
        <v>0</v>
      </c>
      <c r="Y124" s="359">
        <f>IF(Scharniere[[#This Row],[Bohrbild]]=select!$A$989,1,0)</f>
        <v>0</v>
      </c>
      <c r="Z124" s="359">
        <f>IF(IF(Scharniere[[#This Row],[Anschrauben]]=1,1,IF(Scharniere[[#This Row],[Einpressen]]=1,2,IF(Scharniere[[#This Row],[Quick]]=1,3,IF(Scharniere[[#This Row],[Werkzeuglos]]=1,4,0))))=select!$A$1003,1,0)</f>
        <v>1</v>
      </c>
      <c r="AA1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4" s="359">
        <f ca="1">IF(select!$K$980="*",Scharniere[[#This Row],[AG Ges2]],Scharniere[[#This Row],[AG Ges1]])</f>
        <v>0</v>
      </c>
      <c r="AE124" s="451">
        <f ca="1">IF(AND(Scharniere[[#This Row],[Scharnierart]]=select!$A$1485,Scharniere[[#This Row],[Gruppenschlüssel]]=select!$B$1485)=TRUE,1,0)</f>
        <v>1</v>
      </c>
      <c r="AF124" s="451">
        <f ca="1">IF(AND(Scharniere[[#This Row],[Scharnierart]]=select!$A$1486,Scharniere[[#This Row],[Gruppenschlüssel]]=select!$B$1486)=TRUE,1,0)</f>
        <v>0</v>
      </c>
      <c r="AG124" s="451">
        <f ca="1">IF(AND(Scharniere[[#This Row],[Scharnierart]]=select!$A$1487,Scharniere[[#This Row],[Gruppenschlüssel]]=select!$B$1487)=TRUE,1,0)</f>
        <v>0</v>
      </c>
      <c r="AH124" s="451">
        <f ca="1">IF(AND(Scharniere[[#This Row],[Scharnierart]]=select!$A$1488,Scharniere[[#This Row],[Gruppenschlüssel]]=select!$B$1488)=TRUE,1,0)</f>
        <v>0</v>
      </c>
      <c r="AI124" s="451">
        <f ca="1">IF(SUM(Scharniere[[#This Row],[konf Scharnier 1]:[konf Scharnier 4]])&gt;0,1,0)</f>
        <v>1</v>
      </c>
      <c r="AJ124" s="451"/>
      <c r="AK124" s="451"/>
      <c r="AL124" s="451"/>
      <c r="AM124" s="451"/>
      <c r="AN124" s="451"/>
      <c r="AO124" s="146">
        <v>1</v>
      </c>
      <c r="AP124" s="146">
        <v>1</v>
      </c>
      <c r="AQ124" s="10" t="str">
        <f ca="1">Sprache!$A$112</f>
        <v>Tiomos Scharnier TS Click-on</v>
      </c>
      <c r="AR124" t="s">
        <v>344</v>
      </c>
      <c r="AS124" t="str">
        <f ca="1">Sprache!$A$103</f>
        <v>Tiomos Click-On Scharniere</v>
      </c>
      <c r="AT124">
        <v>3</v>
      </c>
      <c r="AU124" t="s">
        <v>10</v>
      </c>
      <c r="AV124">
        <v>110</v>
      </c>
      <c r="AW124" s="10">
        <v>1</v>
      </c>
      <c r="AX124">
        <v>0</v>
      </c>
      <c r="AY124">
        <v>0</v>
      </c>
      <c r="AZ124" s="10">
        <v>1</v>
      </c>
      <c r="BA124">
        <v>0</v>
      </c>
      <c r="BB124">
        <v>0</v>
      </c>
      <c r="BC124">
        <v>0</v>
      </c>
      <c r="BD124" s="143" t="s">
        <v>343</v>
      </c>
      <c r="BG124"/>
    </row>
    <row r="125" spans="1:59" ht="14.25" customHeight="1" x14ac:dyDescent="0.25">
      <c r="A125" s="37" t="str">
        <f>LEFT(Scharniere[[#This Row],[ArtikelNR]],4)</f>
        <v>F046</v>
      </c>
      <c r="B125" s="35" t="str">
        <f>MID(Scharniere[[#This Row],[ArtikelNR]],5,3)</f>
        <v>138</v>
      </c>
      <c r="C125" s="37" t="str">
        <f>RIGHT(Scharniere[[#This Row],[ArtikelNR]],3)</f>
        <v>762</v>
      </c>
      <c r="D125" s="35">
        <f>IF(AND(Scharniere[[#This Row],[Gruppenschlüssel]]=select!$A$44,Scharniere[[#This Row],[Scharnierart]]=1)=TRUE,1,0)</f>
        <v>1</v>
      </c>
      <c r="E1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5" s="35">
        <f>IF(select!$F$57=IF(Scharniere[[#This Row],[mit Dämpfung]]=1,1,IF(Scharniere[[#This Row],[ohne Dämpfung]]=1,2,IF(Scharniere[[#This Row],[ohne Feder]]=1,3,0))),1,0)</f>
        <v>1</v>
      </c>
      <c r="G125" s="35">
        <f>IF(Scharniere[[#This Row],[Bohrbild]]=select!$V$43,1,0)</f>
        <v>0</v>
      </c>
      <c r="H125" s="35">
        <f>IF(IF(Scharniere[[#This Row],[Anschrauben]]=1,1,IF(Scharniere[[#This Row],[Einpressen]]=1,2,IF(Scharniere[[#This Row],[Quick]]=1,3,IF(Scharniere[[#This Row],[Werkzeuglos]]=1,4,0))))=select!$F$48,1,0)</f>
        <v>0</v>
      </c>
      <c r="I1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5" s="149">
        <f>IF(AND(Scharniere[[#This Row],[Scharnierart]]=2,Scharniere[[#This Row],[Gruppenschlüssel]]=select!$A$318)=TRUE,1,0)</f>
        <v>0</v>
      </c>
      <c r="K125" s="221">
        <f ca="1">IF(select!$O$424&lt;6,1,0)</f>
        <v>1</v>
      </c>
      <c r="L125" s="139">
        <f>IF(select!$A$362=IF(Scharniere[[#This Row],[mit Dämpfung]]=1,1,IF(Scharniere[[#This Row],[ohne Dämpfung]]=1,2,IF(Scharniere[[#This Row],[ohne Feder]]=1,3,0))),1,0)</f>
        <v>0</v>
      </c>
      <c r="M125" s="135">
        <f>IF(Scharniere[[#This Row],[Bohrbild]]=select!$O$334,1,0)</f>
        <v>0</v>
      </c>
      <c r="N125" s="135">
        <f>IF(IF(Scharniere[[#This Row],[Anschrauben]]=1,1,IF(Scharniere[[#This Row],[Einpressen]]=1,2,IF(Scharniere[[#This Row],[Quick]]=1,3,IF(Scharniere[[#This Row],[Werkzeuglos]]=1,4,0))))=select!$E$362,1,0)</f>
        <v>1</v>
      </c>
      <c r="O1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5" s="298">
        <f>IF(AND(Scharniere[[#This Row],[Scharnierart]]=3,Scharniere[[#This Row],[Gruppenschlüssel]]=select!$A$747)=TRUE,1,0)</f>
        <v>0</v>
      </c>
      <c r="Q125" s="298">
        <f ca="1">IF(select!$O$945&lt;6,1,0)</f>
        <v>1</v>
      </c>
      <c r="R125" s="298">
        <f>IF(select!$A$778=IF(Scharniere[[#This Row],[mit Dämpfung]]=1,1,IF(Scharniere[[#This Row],[ohne Dämpfung]]=1,2,IF(Scharniere[[#This Row],[ohne Feder]]=1,3,0))),1,0)</f>
        <v>0</v>
      </c>
      <c r="S125" s="298">
        <f>IF(Scharniere[[#This Row],[Bohrbild]]=select!$A$755,1,0)</f>
        <v>0</v>
      </c>
      <c r="T125" s="298">
        <f>IF(IF(Scharniere[[#This Row],[Anschrauben]]=1,1,IF(Scharniere[[#This Row],[Einpressen]]=1,2,IF(Scharniere[[#This Row],[Quick]]=1,3,IF(Scharniere[[#This Row],[Werkzeuglos]]=1,4,0))))=select!$A$769,1,0)</f>
        <v>1</v>
      </c>
      <c r="U1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5" s="359">
        <f>IF(AND(Scharniere[[#This Row],[Scharnierart]]=4,Scharniere[[#This Row],[Gruppenschlüssel]]=select!$A$981)=TRUE,1,0)</f>
        <v>0</v>
      </c>
      <c r="W125" s="359">
        <f ca="1">IF(select!$O$1185&lt;6,1,0)</f>
        <v>1</v>
      </c>
      <c r="X125" s="359">
        <f>IF(select!$A$1012=IF(Scharniere[[#This Row],[mit Dämpfung]]=1,1,IF(Scharniere[[#This Row],[ohne Dämpfung]]=1,2,IF(Scharniere[[#This Row],[ohne Feder]]=1,3,0))),1,0)</f>
        <v>0</v>
      </c>
      <c r="Y125" s="359">
        <f>IF(Scharniere[[#This Row],[Bohrbild]]=select!$A$989,1,0)</f>
        <v>0</v>
      </c>
      <c r="Z125" s="359">
        <f>IF(IF(Scharniere[[#This Row],[Anschrauben]]=1,1,IF(Scharniere[[#This Row],[Einpressen]]=1,2,IF(Scharniere[[#This Row],[Quick]]=1,3,IF(Scharniere[[#This Row],[Werkzeuglos]]=1,4,0))))=select!$A$1003,1,0)</f>
        <v>1</v>
      </c>
      <c r="AA1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5" s="359">
        <f ca="1">IF(select!$K$980="*",Scharniere[[#This Row],[AG Ges2]],Scharniere[[#This Row],[AG Ges1]])</f>
        <v>0</v>
      </c>
      <c r="AE125" s="451">
        <f ca="1">IF(AND(Scharniere[[#This Row],[Scharnierart]]=select!$A$1485,Scharniere[[#This Row],[Gruppenschlüssel]]=select!$B$1485)=TRUE,1,0)</f>
        <v>1</v>
      </c>
      <c r="AF125" s="451">
        <f ca="1">IF(AND(Scharniere[[#This Row],[Scharnierart]]=select!$A$1486,Scharniere[[#This Row],[Gruppenschlüssel]]=select!$B$1486)=TRUE,1,0)</f>
        <v>0</v>
      </c>
      <c r="AG125" s="451">
        <f ca="1">IF(AND(Scharniere[[#This Row],[Scharnierart]]=select!$A$1487,Scharniere[[#This Row],[Gruppenschlüssel]]=select!$B$1487)=TRUE,1,0)</f>
        <v>0</v>
      </c>
      <c r="AH125" s="451">
        <f ca="1">IF(AND(Scharniere[[#This Row],[Scharnierart]]=select!$A$1488,Scharniere[[#This Row],[Gruppenschlüssel]]=select!$B$1488)=TRUE,1,0)</f>
        <v>0</v>
      </c>
      <c r="AI125" s="451">
        <f ca="1">IF(SUM(Scharniere[[#This Row],[konf Scharnier 1]:[konf Scharnier 4]])&gt;0,1,0)</f>
        <v>1</v>
      </c>
      <c r="AJ125" s="451"/>
      <c r="AK125" s="451"/>
      <c r="AL125" s="451"/>
      <c r="AM125" s="451"/>
      <c r="AN125" s="451"/>
      <c r="AO125" s="146">
        <v>1</v>
      </c>
      <c r="AP125" s="146">
        <v>1</v>
      </c>
      <c r="AQ125" s="10" t="str">
        <f ca="1">Sprache!$A$114</f>
        <v>Tiomos Scharnier TT Click-on</v>
      </c>
      <c r="AR125" t="s">
        <v>344</v>
      </c>
      <c r="AS125" t="str">
        <f ca="1">Sprache!$A$103</f>
        <v>Tiomos Click-On Scharniere</v>
      </c>
      <c r="AT125">
        <v>3</v>
      </c>
      <c r="AU125" t="s">
        <v>10</v>
      </c>
      <c r="AV125">
        <v>110</v>
      </c>
      <c r="AW125" s="10">
        <v>0</v>
      </c>
      <c r="AX125">
        <v>0</v>
      </c>
      <c r="AY125">
        <v>1</v>
      </c>
      <c r="AZ125" s="10">
        <v>1</v>
      </c>
      <c r="BA125">
        <v>0</v>
      </c>
      <c r="BB125">
        <v>0</v>
      </c>
      <c r="BC125">
        <v>0</v>
      </c>
      <c r="BD125" s="143" t="s">
        <v>667</v>
      </c>
      <c r="BG125"/>
    </row>
    <row r="126" spans="1:59" ht="14.25" customHeight="1" x14ac:dyDescent="0.25">
      <c r="A126" s="37" t="str">
        <f>LEFT(Scharniere[[#This Row],[ArtikelNR]],4)</f>
        <v>F034</v>
      </c>
      <c r="B126" s="35" t="str">
        <f>MID(Scharniere[[#This Row],[ArtikelNR]],5,3)</f>
        <v>139</v>
      </c>
      <c r="C126" s="37" t="str">
        <f>RIGHT(Scharniere[[#This Row],[ArtikelNR]],3)</f>
        <v>471</v>
      </c>
      <c r="D126" s="35">
        <f>IF(AND(Scharniere[[#This Row],[Gruppenschlüssel]]=select!$A$44,Scharniere[[#This Row],[Scharnierart]]=1)=TRUE,1,0)</f>
        <v>1</v>
      </c>
      <c r="E1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6" s="35">
        <f>IF(select!$F$57=IF(Scharniere[[#This Row],[mit Dämpfung]]=1,1,IF(Scharniere[[#This Row],[ohne Dämpfung]]=1,2,IF(Scharniere[[#This Row],[ohne Feder]]=1,3,0))),1,0)</f>
        <v>0</v>
      </c>
      <c r="G126" s="35">
        <f>IF(Scharniere[[#This Row],[Bohrbild]]=select!$V$43,1,0)</f>
        <v>0</v>
      </c>
      <c r="H126" s="35">
        <f>IF(IF(Scharniere[[#This Row],[Anschrauben]]=1,1,IF(Scharniere[[#This Row],[Einpressen]]=1,2,IF(Scharniere[[#This Row],[Quick]]=1,3,IF(Scharniere[[#This Row],[Werkzeuglos]]=1,4,0))))=select!$F$48,1,0)</f>
        <v>0</v>
      </c>
      <c r="I1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6" s="149">
        <f>IF(AND(Scharniere[[#This Row],[Scharnierart]]=2,Scharniere[[#This Row],[Gruppenschlüssel]]=select!$A$318)=TRUE,1,0)</f>
        <v>0</v>
      </c>
      <c r="K126" s="221">
        <f ca="1">IF(select!$O$424&lt;6,1,0)</f>
        <v>1</v>
      </c>
      <c r="L126" s="139">
        <f>IF(select!$A$362=IF(Scharniere[[#This Row],[mit Dämpfung]]=1,1,IF(Scharniere[[#This Row],[ohne Dämpfung]]=1,2,IF(Scharniere[[#This Row],[ohne Feder]]=1,3,0))),1,0)</f>
        <v>0</v>
      </c>
      <c r="M126" s="135">
        <f>IF(Scharniere[[#This Row],[Bohrbild]]=select!$O$334,1,0)</f>
        <v>0</v>
      </c>
      <c r="N126" s="135">
        <f>IF(IF(Scharniere[[#This Row],[Anschrauben]]=1,1,IF(Scharniere[[#This Row],[Einpressen]]=1,2,IF(Scharniere[[#This Row],[Quick]]=1,3,IF(Scharniere[[#This Row],[Werkzeuglos]]=1,4,0))))=select!$E$362,1,0)</f>
        <v>0</v>
      </c>
      <c r="O1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6" s="298">
        <f>IF(AND(Scharniere[[#This Row],[Scharnierart]]=3,Scharniere[[#This Row],[Gruppenschlüssel]]=select!$A$747)=TRUE,1,0)</f>
        <v>0</v>
      </c>
      <c r="Q126" s="298">
        <f ca="1">IF(select!$O$945&lt;6,1,0)</f>
        <v>1</v>
      </c>
      <c r="R126" s="298">
        <f>IF(select!$A$778=IF(Scharniere[[#This Row],[mit Dämpfung]]=1,1,IF(Scharniere[[#This Row],[ohne Dämpfung]]=1,2,IF(Scharniere[[#This Row],[ohne Feder]]=1,3,0))),1,0)</f>
        <v>1</v>
      </c>
      <c r="S126" s="298">
        <f>IF(Scharniere[[#This Row],[Bohrbild]]=select!$A$755,1,0)</f>
        <v>0</v>
      </c>
      <c r="T126" s="298">
        <f>IF(IF(Scharniere[[#This Row],[Anschrauben]]=1,1,IF(Scharniere[[#This Row],[Einpressen]]=1,2,IF(Scharniere[[#This Row],[Quick]]=1,3,IF(Scharniere[[#This Row],[Werkzeuglos]]=1,4,0))))=select!$A$769,1,0)</f>
        <v>0</v>
      </c>
      <c r="U1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6" s="359">
        <f>IF(AND(Scharniere[[#This Row],[Scharnierart]]=4,Scharniere[[#This Row],[Gruppenschlüssel]]=select!$A$981)=TRUE,1,0)</f>
        <v>0</v>
      </c>
      <c r="W126" s="359">
        <f ca="1">IF(select!$O$1185&lt;6,1,0)</f>
        <v>1</v>
      </c>
      <c r="X126" s="359">
        <f>IF(select!$A$1012=IF(Scharniere[[#This Row],[mit Dämpfung]]=1,1,IF(Scharniere[[#This Row],[ohne Dämpfung]]=1,2,IF(Scharniere[[#This Row],[ohne Feder]]=1,3,0))),1,0)</f>
        <v>1</v>
      </c>
      <c r="Y126" s="359">
        <f>IF(Scharniere[[#This Row],[Bohrbild]]=select!$A$989,1,0)</f>
        <v>0</v>
      </c>
      <c r="Z126" s="359">
        <f>IF(IF(Scharniere[[#This Row],[Anschrauben]]=1,1,IF(Scharniere[[#This Row],[Einpressen]]=1,2,IF(Scharniere[[#This Row],[Quick]]=1,3,IF(Scharniere[[#This Row],[Werkzeuglos]]=1,4,0))))=select!$A$1003,1,0)</f>
        <v>0</v>
      </c>
      <c r="AA1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6" s="359">
        <f ca="1">IF(select!$K$980="*",Scharniere[[#This Row],[AG Ges2]],Scharniere[[#This Row],[AG Ges1]])</f>
        <v>0</v>
      </c>
      <c r="AE126" s="451">
        <f ca="1">IF(AND(Scharniere[[#This Row],[Scharnierart]]=select!$A$1485,Scharniere[[#This Row],[Gruppenschlüssel]]=select!$B$1485)=TRUE,1,0)</f>
        <v>1</v>
      </c>
      <c r="AF126" s="451">
        <f ca="1">IF(AND(Scharniere[[#This Row],[Scharnierart]]=select!$A$1486,Scharniere[[#This Row],[Gruppenschlüssel]]=select!$B$1486)=TRUE,1,0)</f>
        <v>0</v>
      </c>
      <c r="AG126" s="451">
        <f ca="1">IF(AND(Scharniere[[#This Row],[Scharnierart]]=select!$A$1487,Scharniere[[#This Row],[Gruppenschlüssel]]=select!$B$1487)=TRUE,1,0)</f>
        <v>0</v>
      </c>
      <c r="AH126" s="451">
        <f ca="1">IF(AND(Scharniere[[#This Row],[Scharnierart]]=select!$A$1488,Scharniere[[#This Row],[Gruppenschlüssel]]=select!$B$1488)=TRUE,1,0)</f>
        <v>0</v>
      </c>
      <c r="AI126" s="451">
        <f ca="1">IF(SUM(Scharniere[[#This Row],[konf Scharnier 1]:[konf Scharnier 4]])&gt;0,1,0)</f>
        <v>1</v>
      </c>
      <c r="AJ126" s="451"/>
      <c r="AK126" s="451"/>
      <c r="AL126" s="451"/>
      <c r="AM126" s="451"/>
      <c r="AN126" s="451"/>
      <c r="AO126" s="146">
        <v>1</v>
      </c>
      <c r="AP126" s="146">
        <v>1</v>
      </c>
      <c r="AQ126" s="10" t="str">
        <f ca="1">Sprache!$A$111</f>
        <v>Tiomos Scharnier T Impresso</v>
      </c>
      <c r="AR126" t="s">
        <v>112</v>
      </c>
      <c r="AS126" t="str">
        <f ca="1">Sprache!$A$116</f>
        <v>Tiomos Impresso Scharniere</v>
      </c>
      <c r="AT126">
        <v>3</v>
      </c>
      <c r="AU126" s="34" t="s">
        <v>10</v>
      </c>
      <c r="AV126">
        <v>110</v>
      </c>
      <c r="AW126" s="10">
        <v>0</v>
      </c>
      <c r="AX126">
        <v>1</v>
      </c>
      <c r="AY126">
        <v>0</v>
      </c>
      <c r="AZ126" s="10">
        <v>0</v>
      </c>
      <c r="BA126">
        <v>0</v>
      </c>
      <c r="BB126">
        <v>0</v>
      </c>
      <c r="BC126">
        <v>1</v>
      </c>
      <c r="BD126" s="143" t="s">
        <v>166</v>
      </c>
      <c r="BG126"/>
    </row>
    <row r="127" spans="1:59" ht="14.25" customHeight="1" x14ac:dyDescent="0.25">
      <c r="A127" s="37" t="str">
        <f>LEFT(Scharniere[[#This Row],[ArtikelNR]],4)</f>
        <v>F034</v>
      </c>
      <c r="B127" s="35" t="str">
        <f>MID(Scharniere[[#This Row],[ArtikelNR]],5,3)</f>
        <v>139</v>
      </c>
      <c r="C127" s="37" t="str">
        <f>RIGHT(Scharniere[[#This Row],[ArtikelNR]],3)</f>
        <v>471</v>
      </c>
      <c r="D127" s="35">
        <f>IF(AND(Scharniere[[#This Row],[Gruppenschlüssel]]=select!$A$44,Scharniere[[#This Row],[Scharnierart]]=1)=TRUE,1,0)</f>
        <v>1</v>
      </c>
      <c r="E1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7" s="35">
        <f>IF(select!$F$57=IF(Scharniere[[#This Row],[mit Dämpfung]]=1,1,IF(Scharniere[[#This Row],[ohne Dämpfung]]=1,2,IF(Scharniere[[#This Row],[ohne Feder]]=1,3,0))),1,0)</f>
        <v>0</v>
      </c>
      <c r="G127" s="35">
        <f>IF(Scharniere[[#This Row],[Bohrbild]]=select!$V$43,1,0)</f>
        <v>0</v>
      </c>
      <c r="H127" s="35">
        <f>IF(IF(Scharniere[[#This Row],[Anschrauben]]=1,1,IF(Scharniere[[#This Row],[Einpressen]]=1,2,IF(Scharniere[[#This Row],[Quick]]=1,3,IF(Scharniere[[#This Row],[Werkzeuglos]]=1,4,0))))=select!$F$48,1,0)</f>
        <v>0</v>
      </c>
      <c r="I1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7" s="149">
        <f>IF(AND(Scharniere[[#This Row],[Scharnierart]]=2,Scharniere[[#This Row],[Gruppenschlüssel]]=select!$A$318)=TRUE,1,0)</f>
        <v>0</v>
      </c>
      <c r="K127" s="221">
        <f ca="1">IF(select!$O$424&lt;6,1,0)</f>
        <v>1</v>
      </c>
      <c r="L127" s="139">
        <f>IF(select!$A$362=IF(Scharniere[[#This Row],[mit Dämpfung]]=1,1,IF(Scharniere[[#This Row],[ohne Dämpfung]]=1,2,IF(Scharniere[[#This Row],[ohne Feder]]=1,3,0))),1,0)</f>
        <v>0</v>
      </c>
      <c r="M127" s="135">
        <f>IF(Scharniere[[#This Row],[Bohrbild]]=select!$O$334,1,0)</f>
        <v>0</v>
      </c>
      <c r="N127" s="135">
        <f>IF(IF(Scharniere[[#This Row],[Anschrauben]]=1,1,IF(Scharniere[[#This Row],[Einpressen]]=1,2,IF(Scharniere[[#This Row],[Quick]]=1,3,IF(Scharniere[[#This Row],[Werkzeuglos]]=1,4,0))))=select!$E$362,1,0)</f>
        <v>0</v>
      </c>
      <c r="O1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7" s="298">
        <f>IF(AND(Scharniere[[#This Row],[Scharnierart]]=3,Scharniere[[#This Row],[Gruppenschlüssel]]=select!$A$747)=TRUE,1,0)</f>
        <v>0</v>
      </c>
      <c r="Q127" s="298">
        <f ca="1">IF(select!$O$945&lt;6,1,0)</f>
        <v>1</v>
      </c>
      <c r="R127" s="298">
        <f>IF(select!$A$778=IF(Scharniere[[#This Row],[mit Dämpfung]]=1,1,IF(Scharniere[[#This Row],[ohne Dämpfung]]=1,2,IF(Scharniere[[#This Row],[ohne Feder]]=1,3,0))),1,0)</f>
        <v>1</v>
      </c>
      <c r="S127" s="298">
        <f>IF(Scharniere[[#This Row],[Bohrbild]]=select!$A$755,1,0)</f>
        <v>0</v>
      </c>
      <c r="T127" s="298">
        <f>IF(IF(Scharniere[[#This Row],[Anschrauben]]=1,1,IF(Scharniere[[#This Row],[Einpressen]]=1,2,IF(Scharniere[[#This Row],[Quick]]=1,3,IF(Scharniere[[#This Row],[Werkzeuglos]]=1,4,0))))=select!$A$769,1,0)</f>
        <v>0</v>
      </c>
      <c r="U1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7" s="359">
        <f>IF(AND(Scharniere[[#This Row],[Scharnierart]]=4,Scharniere[[#This Row],[Gruppenschlüssel]]=select!$A$981)=TRUE,1,0)</f>
        <v>0</v>
      </c>
      <c r="W127" s="359">
        <f ca="1">IF(select!$O$1185&lt;6,1,0)</f>
        <v>1</v>
      </c>
      <c r="X127" s="359">
        <f>IF(select!$A$1012=IF(Scharniere[[#This Row],[mit Dämpfung]]=1,1,IF(Scharniere[[#This Row],[ohne Dämpfung]]=1,2,IF(Scharniere[[#This Row],[ohne Feder]]=1,3,0))),1,0)</f>
        <v>1</v>
      </c>
      <c r="Y127" s="359">
        <f>IF(Scharniere[[#This Row],[Bohrbild]]=select!$A$989,1,0)</f>
        <v>0</v>
      </c>
      <c r="Z127" s="359">
        <f>IF(IF(Scharniere[[#This Row],[Anschrauben]]=1,1,IF(Scharniere[[#This Row],[Einpressen]]=1,2,IF(Scharniere[[#This Row],[Quick]]=1,3,IF(Scharniere[[#This Row],[Werkzeuglos]]=1,4,0))))=select!$A$1003,1,0)</f>
        <v>0</v>
      </c>
      <c r="AA1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7" s="359">
        <f ca="1">IF(select!$K$980="*",Scharniere[[#This Row],[AG Ges2]],Scharniere[[#This Row],[AG Ges1]])</f>
        <v>0</v>
      </c>
      <c r="AE127" s="451">
        <f ca="1">IF(AND(Scharniere[[#This Row],[Scharnierart]]=select!$A$1485,Scharniere[[#This Row],[Gruppenschlüssel]]=select!$B$1485)=TRUE,1,0)</f>
        <v>1</v>
      </c>
      <c r="AF127" s="451">
        <f ca="1">IF(AND(Scharniere[[#This Row],[Scharnierart]]=select!$A$1486,Scharniere[[#This Row],[Gruppenschlüssel]]=select!$B$1486)=TRUE,1,0)</f>
        <v>0</v>
      </c>
      <c r="AG127" s="451">
        <f ca="1">IF(AND(Scharniere[[#This Row],[Scharnierart]]=select!$A$1487,Scharniere[[#This Row],[Gruppenschlüssel]]=select!$B$1487)=TRUE,1,0)</f>
        <v>0</v>
      </c>
      <c r="AH127" s="451">
        <f ca="1">IF(AND(Scharniere[[#This Row],[Scharnierart]]=select!$A$1488,Scharniere[[#This Row],[Gruppenschlüssel]]=select!$B$1488)=TRUE,1,0)</f>
        <v>0</v>
      </c>
      <c r="AI127" s="451">
        <f ca="1">IF(SUM(Scharniere[[#This Row],[konf Scharnier 1]:[konf Scharnier 4]])&gt;0,1,0)</f>
        <v>1</v>
      </c>
      <c r="AJ127" s="451"/>
      <c r="AK127" s="451"/>
      <c r="AL127" s="451"/>
      <c r="AM127" s="451"/>
      <c r="AN127" s="451"/>
      <c r="AO127" s="146">
        <v>1</v>
      </c>
      <c r="AP127" s="146">
        <v>1</v>
      </c>
      <c r="AQ127" s="10" t="str">
        <f ca="1">Sprache!$A$111</f>
        <v>Tiomos Scharnier T Impresso</v>
      </c>
      <c r="AR127" t="s">
        <v>112</v>
      </c>
      <c r="AS127" t="str">
        <f ca="1">Sprache!$A$116</f>
        <v>Tiomos Impresso Scharniere</v>
      </c>
      <c r="AT127">
        <v>3</v>
      </c>
      <c r="AU127" s="34" t="s">
        <v>11</v>
      </c>
      <c r="AV127">
        <v>110</v>
      </c>
      <c r="AW127" s="10">
        <v>0</v>
      </c>
      <c r="AX127">
        <v>1</v>
      </c>
      <c r="AY127">
        <v>0</v>
      </c>
      <c r="AZ127" s="10">
        <v>0</v>
      </c>
      <c r="BA127">
        <v>0</v>
      </c>
      <c r="BB127">
        <v>0</v>
      </c>
      <c r="BC127">
        <v>1</v>
      </c>
      <c r="BD127" s="143" t="s">
        <v>166</v>
      </c>
      <c r="BG127"/>
    </row>
    <row r="128" spans="1:59" ht="14.25" customHeight="1" x14ac:dyDescent="0.25">
      <c r="A128" s="37" t="str">
        <f>LEFT(Scharniere[[#This Row],[ArtikelNR]],4)</f>
        <v>F017</v>
      </c>
      <c r="B128" s="35" t="str">
        <f>MID(Scharniere[[#This Row],[ArtikelNR]],5,3)</f>
        <v>139</v>
      </c>
      <c r="C128" s="37" t="str">
        <f>RIGHT(Scharniere[[#This Row],[ArtikelNR]],3)</f>
        <v>500</v>
      </c>
      <c r="D128" s="35">
        <f>IF(AND(Scharniere[[#This Row],[Gruppenschlüssel]]=select!$A$44,Scharniere[[#This Row],[Scharnierart]]=1)=TRUE,1,0)</f>
        <v>1</v>
      </c>
      <c r="E1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8" s="35">
        <f>IF(select!$F$57=IF(Scharniere[[#This Row],[mit Dämpfung]]=1,1,IF(Scharniere[[#This Row],[ohne Dämpfung]]=1,2,IF(Scharniere[[#This Row],[ohne Feder]]=1,3,0))),1,0)</f>
        <v>0</v>
      </c>
      <c r="G128" s="35">
        <f>IF(Scharniere[[#This Row],[Bohrbild]]=select!$V$43,1,0)</f>
        <v>0</v>
      </c>
      <c r="H128" s="35">
        <f>IF(IF(Scharniere[[#This Row],[Anschrauben]]=1,1,IF(Scharniere[[#This Row],[Einpressen]]=1,2,IF(Scharniere[[#This Row],[Quick]]=1,3,IF(Scharniere[[#This Row],[Werkzeuglos]]=1,4,0))))=select!$F$48,1,0)</f>
        <v>0</v>
      </c>
      <c r="I1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8" s="149">
        <f>IF(AND(Scharniere[[#This Row],[Scharnierart]]=2,Scharniere[[#This Row],[Gruppenschlüssel]]=select!$A$318)=TRUE,1,0)</f>
        <v>0</v>
      </c>
      <c r="K128" s="221">
        <f ca="1">IF(select!$O$424&lt;6,1,0)</f>
        <v>1</v>
      </c>
      <c r="L128" s="139">
        <f>IF(select!$A$362=IF(Scharniere[[#This Row],[mit Dämpfung]]=1,1,IF(Scharniere[[#This Row],[ohne Dämpfung]]=1,2,IF(Scharniere[[#This Row],[ohne Feder]]=1,3,0))),1,0)</f>
        <v>1</v>
      </c>
      <c r="M128" s="135">
        <f>IF(Scharniere[[#This Row],[Bohrbild]]=select!$O$334,1,0)</f>
        <v>0</v>
      </c>
      <c r="N128" s="135">
        <f>IF(IF(Scharniere[[#This Row],[Anschrauben]]=1,1,IF(Scharniere[[#This Row],[Einpressen]]=1,2,IF(Scharniere[[#This Row],[Quick]]=1,3,IF(Scharniere[[#This Row],[Werkzeuglos]]=1,4,0))))=select!$E$362,1,0)</f>
        <v>0</v>
      </c>
      <c r="O1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8" s="298">
        <f>IF(AND(Scharniere[[#This Row],[Scharnierart]]=3,Scharniere[[#This Row],[Gruppenschlüssel]]=select!$A$747)=TRUE,1,0)</f>
        <v>0</v>
      </c>
      <c r="Q128" s="298">
        <f ca="1">IF(select!$O$945&lt;6,1,0)</f>
        <v>1</v>
      </c>
      <c r="R128" s="298">
        <f>IF(select!$A$778=IF(Scharniere[[#This Row],[mit Dämpfung]]=1,1,IF(Scharniere[[#This Row],[ohne Dämpfung]]=1,2,IF(Scharniere[[#This Row],[ohne Feder]]=1,3,0))),1,0)</f>
        <v>0</v>
      </c>
      <c r="S128" s="298">
        <f>IF(Scharniere[[#This Row],[Bohrbild]]=select!$A$755,1,0)</f>
        <v>0</v>
      </c>
      <c r="T128" s="298">
        <f>IF(IF(Scharniere[[#This Row],[Anschrauben]]=1,1,IF(Scharniere[[#This Row],[Einpressen]]=1,2,IF(Scharniere[[#This Row],[Quick]]=1,3,IF(Scharniere[[#This Row],[Werkzeuglos]]=1,4,0))))=select!$A$769,1,0)</f>
        <v>0</v>
      </c>
      <c r="U1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8" s="359">
        <f>IF(AND(Scharniere[[#This Row],[Scharnierart]]=4,Scharniere[[#This Row],[Gruppenschlüssel]]=select!$A$981)=TRUE,1,0)</f>
        <v>0</v>
      </c>
      <c r="W128" s="359">
        <f ca="1">IF(select!$O$1185&lt;6,1,0)</f>
        <v>1</v>
      </c>
      <c r="X128" s="359">
        <f>IF(select!$A$1012=IF(Scharniere[[#This Row],[mit Dämpfung]]=1,1,IF(Scharniere[[#This Row],[ohne Dämpfung]]=1,2,IF(Scharniere[[#This Row],[ohne Feder]]=1,3,0))),1,0)</f>
        <v>0</v>
      </c>
      <c r="Y128" s="359">
        <f>IF(Scharniere[[#This Row],[Bohrbild]]=select!$A$989,1,0)</f>
        <v>0</v>
      </c>
      <c r="Z128" s="359">
        <f>IF(IF(Scharniere[[#This Row],[Anschrauben]]=1,1,IF(Scharniere[[#This Row],[Einpressen]]=1,2,IF(Scharniere[[#This Row],[Quick]]=1,3,IF(Scharniere[[#This Row],[Werkzeuglos]]=1,4,0))))=select!$A$1003,1,0)</f>
        <v>0</v>
      </c>
      <c r="AA1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8" s="359">
        <f ca="1">IF(select!$K$980="*",Scharniere[[#This Row],[AG Ges2]],Scharniere[[#This Row],[AG Ges1]])</f>
        <v>0</v>
      </c>
      <c r="AE128" s="451">
        <f ca="1">IF(AND(Scharniere[[#This Row],[Scharnierart]]=select!$A$1485,Scharniere[[#This Row],[Gruppenschlüssel]]=select!$B$1485)=TRUE,1,0)</f>
        <v>1</v>
      </c>
      <c r="AF128" s="451">
        <f ca="1">IF(AND(Scharniere[[#This Row],[Scharnierart]]=select!$A$1486,Scharniere[[#This Row],[Gruppenschlüssel]]=select!$B$1486)=TRUE,1,0)</f>
        <v>0</v>
      </c>
      <c r="AG128" s="451">
        <f ca="1">IF(AND(Scharniere[[#This Row],[Scharnierart]]=select!$A$1487,Scharniere[[#This Row],[Gruppenschlüssel]]=select!$B$1487)=TRUE,1,0)</f>
        <v>0</v>
      </c>
      <c r="AH128" s="451">
        <f ca="1">IF(AND(Scharniere[[#This Row],[Scharnierart]]=select!$A$1488,Scharniere[[#This Row],[Gruppenschlüssel]]=select!$B$1488)=TRUE,1,0)</f>
        <v>0</v>
      </c>
      <c r="AI128" s="451">
        <f ca="1">IF(SUM(Scharniere[[#This Row],[konf Scharnier 1]:[konf Scharnier 4]])&gt;0,1,0)</f>
        <v>1</v>
      </c>
      <c r="AJ128" s="451"/>
      <c r="AK128" s="451"/>
      <c r="AL128" s="451"/>
      <c r="AM128" s="451"/>
      <c r="AN128" s="451"/>
      <c r="AO128" s="146">
        <v>1</v>
      </c>
      <c r="AP128" s="146">
        <v>1</v>
      </c>
      <c r="AQ128" s="10" t="str">
        <f ca="1">Sprache!$A$113</f>
        <v>Tiomos Scharnier TS Impresso</v>
      </c>
      <c r="AR128" t="s">
        <v>112</v>
      </c>
      <c r="AS128" t="str">
        <f ca="1">Sprache!$A$116</f>
        <v>Tiomos Impresso Scharniere</v>
      </c>
      <c r="AT128">
        <v>3</v>
      </c>
      <c r="AU128" t="s">
        <v>10</v>
      </c>
      <c r="AV128">
        <v>110</v>
      </c>
      <c r="AW128" s="10">
        <v>1</v>
      </c>
      <c r="AX128">
        <v>0</v>
      </c>
      <c r="AY128">
        <v>0</v>
      </c>
      <c r="AZ128" s="10">
        <v>0</v>
      </c>
      <c r="BA128">
        <v>0</v>
      </c>
      <c r="BB128">
        <v>0</v>
      </c>
      <c r="BC128">
        <v>1</v>
      </c>
      <c r="BD128" s="143" t="s">
        <v>111</v>
      </c>
      <c r="BG128"/>
    </row>
    <row r="129" spans="1:59" ht="14.25" customHeight="1" x14ac:dyDescent="0.25">
      <c r="A129" s="37" t="str">
        <f>LEFT(Scharniere[[#This Row],[ArtikelNR]],4)</f>
        <v>F017</v>
      </c>
      <c r="B129" s="35" t="str">
        <f>MID(Scharniere[[#This Row],[ArtikelNR]],5,3)</f>
        <v>139</v>
      </c>
      <c r="C129" s="37" t="str">
        <f>RIGHT(Scharniere[[#This Row],[ArtikelNR]],3)</f>
        <v>500</v>
      </c>
      <c r="D129" s="35">
        <f>IF(AND(Scharniere[[#This Row],[Gruppenschlüssel]]=select!$A$44,Scharniere[[#This Row],[Scharnierart]]=1)=TRUE,1,0)</f>
        <v>1</v>
      </c>
      <c r="E1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29" s="35">
        <f>IF(select!$F$57=IF(Scharniere[[#This Row],[mit Dämpfung]]=1,1,IF(Scharniere[[#This Row],[ohne Dämpfung]]=1,2,IF(Scharniere[[#This Row],[ohne Feder]]=1,3,0))),1,0)</f>
        <v>0</v>
      </c>
      <c r="G129" s="35">
        <f>IF(Scharniere[[#This Row],[Bohrbild]]=select!$V$43,1,0)</f>
        <v>0</v>
      </c>
      <c r="H129" s="35">
        <f>IF(IF(Scharniere[[#This Row],[Anschrauben]]=1,1,IF(Scharniere[[#This Row],[Einpressen]]=1,2,IF(Scharniere[[#This Row],[Quick]]=1,3,IF(Scharniere[[#This Row],[Werkzeuglos]]=1,4,0))))=select!$F$48,1,0)</f>
        <v>0</v>
      </c>
      <c r="I1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29" s="149">
        <f>IF(AND(Scharniere[[#This Row],[Scharnierart]]=2,Scharniere[[#This Row],[Gruppenschlüssel]]=select!$A$318)=TRUE,1,0)</f>
        <v>0</v>
      </c>
      <c r="K129" s="221">
        <f ca="1">IF(select!$O$424&lt;6,1,0)</f>
        <v>1</v>
      </c>
      <c r="L129" s="139">
        <f>IF(select!$A$362=IF(Scharniere[[#This Row],[mit Dämpfung]]=1,1,IF(Scharniere[[#This Row],[ohne Dämpfung]]=1,2,IF(Scharniere[[#This Row],[ohne Feder]]=1,3,0))),1,0)</f>
        <v>1</v>
      </c>
      <c r="M129" s="135">
        <f>IF(Scharniere[[#This Row],[Bohrbild]]=select!$O$334,1,0)</f>
        <v>0</v>
      </c>
      <c r="N129" s="135">
        <f>IF(IF(Scharniere[[#This Row],[Anschrauben]]=1,1,IF(Scharniere[[#This Row],[Einpressen]]=1,2,IF(Scharniere[[#This Row],[Quick]]=1,3,IF(Scharniere[[#This Row],[Werkzeuglos]]=1,4,0))))=select!$E$362,1,0)</f>
        <v>0</v>
      </c>
      <c r="O1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29" s="298">
        <f>IF(AND(Scharniere[[#This Row],[Scharnierart]]=3,Scharniere[[#This Row],[Gruppenschlüssel]]=select!$A$747)=TRUE,1,0)</f>
        <v>0</v>
      </c>
      <c r="Q129" s="298">
        <f ca="1">IF(select!$O$945&lt;6,1,0)</f>
        <v>1</v>
      </c>
      <c r="R129" s="298">
        <f>IF(select!$A$778=IF(Scharniere[[#This Row],[mit Dämpfung]]=1,1,IF(Scharniere[[#This Row],[ohne Dämpfung]]=1,2,IF(Scharniere[[#This Row],[ohne Feder]]=1,3,0))),1,0)</f>
        <v>0</v>
      </c>
      <c r="S129" s="298">
        <f>IF(Scharniere[[#This Row],[Bohrbild]]=select!$A$755,1,0)</f>
        <v>0</v>
      </c>
      <c r="T129" s="298">
        <f>IF(IF(Scharniere[[#This Row],[Anschrauben]]=1,1,IF(Scharniere[[#This Row],[Einpressen]]=1,2,IF(Scharniere[[#This Row],[Quick]]=1,3,IF(Scharniere[[#This Row],[Werkzeuglos]]=1,4,0))))=select!$A$769,1,0)</f>
        <v>0</v>
      </c>
      <c r="U1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29" s="359">
        <f>IF(AND(Scharniere[[#This Row],[Scharnierart]]=4,Scharniere[[#This Row],[Gruppenschlüssel]]=select!$A$981)=TRUE,1,0)</f>
        <v>0</v>
      </c>
      <c r="W129" s="359">
        <f ca="1">IF(select!$O$1185&lt;6,1,0)</f>
        <v>1</v>
      </c>
      <c r="X129" s="359">
        <f>IF(select!$A$1012=IF(Scharniere[[#This Row],[mit Dämpfung]]=1,1,IF(Scharniere[[#This Row],[ohne Dämpfung]]=1,2,IF(Scharniere[[#This Row],[ohne Feder]]=1,3,0))),1,0)</f>
        <v>0</v>
      </c>
      <c r="Y129" s="359">
        <f>IF(Scharniere[[#This Row],[Bohrbild]]=select!$A$989,1,0)</f>
        <v>0</v>
      </c>
      <c r="Z129" s="359">
        <f>IF(IF(Scharniere[[#This Row],[Anschrauben]]=1,1,IF(Scharniere[[#This Row],[Einpressen]]=1,2,IF(Scharniere[[#This Row],[Quick]]=1,3,IF(Scharniere[[#This Row],[Werkzeuglos]]=1,4,0))))=select!$A$1003,1,0)</f>
        <v>0</v>
      </c>
      <c r="AA1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29" s="359">
        <f ca="1">IF(select!$K$980="*",Scharniere[[#This Row],[AG Ges2]],Scharniere[[#This Row],[AG Ges1]])</f>
        <v>0</v>
      </c>
      <c r="AE129" s="451">
        <f ca="1">IF(AND(Scharniere[[#This Row],[Scharnierart]]=select!$A$1485,Scharniere[[#This Row],[Gruppenschlüssel]]=select!$B$1485)=TRUE,1,0)</f>
        <v>1</v>
      </c>
      <c r="AF129" s="451">
        <f ca="1">IF(AND(Scharniere[[#This Row],[Scharnierart]]=select!$A$1486,Scharniere[[#This Row],[Gruppenschlüssel]]=select!$B$1486)=TRUE,1,0)</f>
        <v>0</v>
      </c>
      <c r="AG129" s="451">
        <f ca="1">IF(AND(Scharniere[[#This Row],[Scharnierart]]=select!$A$1487,Scharniere[[#This Row],[Gruppenschlüssel]]=select!$B$1487)=TRUE,1,0)</f>
        <v>0</v>
      </c>
      <c r="AH129" s="451">
        <f ca="1">IF(AND(Scharniere[[#This Row],[Scharnierart]]=select!$A$1488,Scharniere[[#This Row],[Gruppenschlüssel]]=select!$B$1488)=TRUE,1,0)</f>
        <v>0</v>
      </c>
      <c r="AI129" s="451">
        <f ca="1">IF(SUM(Scharniere[[#This Row],[konf Scharnier 1]:[konf Scharnier 4]])&gt;0,1,0)</f>
        <v>1</v>
      </c>
      <c r="AJ129" s="451"/>
      <c r="AK129" s="451"/>
      <c r="AL129" s="451"/>
      <c r="AM129" s="451"/>
      <c r="AN129" s="451"/>
      <c r="AO129" s="146">
        <v>1</v>
      </c>
      <c r="AP129" s="146">
        <v>1</v>
      </c>
      <c r="AQ129" s="10" t="str">
        <f ca="1">Sprache!$A$113</f>
        <v>Tiomos Scharnier TS Impresso</v>
      </c>
      <c r="AR129" t="s">
        <v>112</v>
      </c>
      <c r="AS129" t="str">
        <f ca="1">Sprache!$A$116</f>
        <v>Tiomos Impresso Scharniere</v>
      </c>
      <c r="AT129">
        <v>3</v>
      </c>
      <c r="AU129" t="s">
        <v>11</v>
      </c>
      <c r="AV129">
        <v>110</v>
      </c>
      <c r="AW129" s="10">
        <v>1</v>
      </c>
      <c r="AX129">
        <v>0</v>
      </c>
      <c r="AY129">
        <v>0</v>
      </c>
      <c r="AZ129" s="10">
        <v>0</v>
      </c>
      <c r="BA129">
        <v>0</v>
      </c>
      <c r="BB129">
        <v>0</v>
      </c>
      <c r="BC129">
        <v>1</v>
      </c>
      <c r="BD129" s="143" t="s">
        <v>111</v>
      </c>
      <c r="BG129"/>
    </row>
    <row r="130" spans="1:59" ht="14.25" customHeight="1" x14ac:dyDescent="0.25">
      <c r="A130" s="37" t="str">
        <f>LEFT(Scharniere[[#This Row],[ArtikelNR]],4)</f>
        <v>F035</v>
      </c>
      <c r="B130" s="35" t="str">
        <f>MID(Scharniere[[#This Row],[ArtikelNR]],5,3)</f>
        <v>139</v>
      </c>
      <c r="C130" s="37" t="str">
        <f>RIGHT(Scharniere[[#This Row],[ArtikelNR]],3)</f>
        <v>528</v>
      </c>
      <c r="D130" s="35">
        <f>IF(AND(Scharniere[[#This Row],[Gruppenschlüssel]]=select!$A$44,Scharniere[[#This Row],[Scharnierart]]=1)=TRUE,1,0)</f>
        <v>1</v>
      </c>
      <c r="E1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0" s="35">
        <f>IF(select!$F$57=IF(Scharniere[[#This Row],[mit Dämpfung]]=1,1,IF(Scharniere[[#This Row],[ohne Dämpfung]]=1,2,IF(Scharniere[[#This Row],[ohne Feder]]=1,3,0))),1,0)</f>
        <v>1</v>
      </c>
      <c r="G130" s="35">
        <f>IF(Scharniere[[#This Row],[Bohrbild]]=select!$V$43,1,0)</f>
        <v>0</v>
      </c>
      <c r="H130" s="35">
        <f>IF(IF(Scharniere[[#This Row],[Anschrauben]]=1,1,IF(Scharniere[[#This Row],[Einpressen]]=1,2,IF(Scharniere[[#This Row],[Quick]]=1,3,IF(Scharniere[[#This Row],[Werkzeuglos]]=1,4,0))))=select!$F$48,1,0)</f>
        <v>0</v>
      </c>
      <c r="I1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0" s="149">
        <f>IF(AND(Scharniere[[#This Row],[Scharnierart]]=2,Scharniere[[#This Row],[Gruppenschlüssel]]=select!$A$318)=TRUE,1,0)</f>
        <v>0</v>
      </c>
      <c r="K130" s="221">
        <f ca="1">IF(select!$O$424&lt;6,1,0)</f>
        <v>1</v>
      </c>
      <c r="L130" s="139">
        <f>IF(select!$A$362=IF(Scharniere[[#This Row],[mit Dämpfung]]=1,1,IF(Scharniere[[#This Row],[ohne Dämpfung]]=1,2,IF(Scharniere[[#This Row],[ohne Feder]]=1,3,0))),1,0)</f>
        <v>0</v>
      </c>
      <c r="M130" s="135">
        <f>IF(Scharniere[[#This Row],[Bohrbild]]=select!$O$334,1,0)</f>
        <v>0</v>
      </c>
      <c r="N130" s="135">
        <f>IF(IF(Scharniere[[#This Row],[Anschrauben]]=1,1,IF(Scharniere[[#This Row],[Einpressen]]=1,2,IF(Scharniere[[#This Row],[Quick]]=1,3,IF(Scharniere[[#This Row],[Werkzeuglos]]=1,4,0))))=select!$E$362,1,0)</f>
        <v>0</v>
      </c>
      <c r="O1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0" s="298">
        <f>IF(AND(Scharniere[[#This Row],[Scharnierart]]=3,Scharniere[[#This Row],[Gruppenschlüssel]]=select!$A$747)=TRUE,1,0)</f>
        <v>0</v>
      </c>
      <c r="Q130" s="298">
        <f ca="1">IF(select!$O$945&lt;6,1,0)</f>
        <v>1</v>
      </c>
      <c r="R130" s="298">
        <f>IF(select!$A$778=IF(Scharniere[[#This Row],[mit Dämpfung]]=1,1,IF(Scharniere[[#This Row],[ohne Dämpfung]]=1,2,IF(Scharniere[[#This Row],[ohne Feder]]=1,3,0))),1,0)</f>
        <v>0</v>
      </c>
      <c r="S130" s="298">
        <f>IF(Scharniere[[#This Row],[Bohrbild]]=select!$A$755,1,0)</f>
        <v>0</v>
      </c>
      <c r="T130" s="298">
        <f>IF(IF(Scharniere[[#This Row],[Anschrauben]]=1,1,IF(Scharniere[[#This Row],[Einpressen]]=1,2,IF(Scharniere[[#This Row],[Quick]]=1,3,IF(Scharniere[[#This Row],[Werkzeuglos]]=1,4,0))))=select!$A$769,1,0)</f>
        <v>0</v>
      </c>
      <c r="U1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0" s="359">
        <f>IF(AND(Scharniere[[#This Row],[Scharnierart]]=4,Scharniere[[#This Row],[Gruppenschlüssel]]=select!$A$981)=TRUE,1,0)</f>
        <v>0</v>
      </c>
      <c r="W130" s="359">
        <f ca="1">IF(select!$O$1185&lt;6,1,0)</f>
        <v>1</v>
      </c>
      <c r="X130" s="359">
        <f>IF(select!$A$1012=IF(Scharniere[[#This Row],[mit Dämpfung]]=1,1,IF(Scharniere[[#This Row],[ohne Dämpfung]]=1,2,IF(Scharniere[[#This Row],[ohne Feder]]=1,3,0))),1,0)</f>
        <v>0</v>
      </c>
      <c r="Y130" s="359">
        <f>IF(Scharniere[[#This Row],[Bohrbild]]=select!$A$989,1,0)</f>
        <v>0</v>
      </c>
      <c r="Z130" s="359">
        <f>IF(IF(Scharniere[[#This Row],[Anschrauben]]=1,1,IF(Scharniere[[#This Row],[Einpressen]]=1,2,IF(Scharniere[[#This Row],[Quick]]=1,3,IF(Scharniere[[#This Row],[Werkzeuglos]]=1,4,0))))=select!$A$1003,1,0)</f>
        <v>0</v>
      </c>
      <c r="AA1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0" s="359">
        <f ca="1">IF(select!$K$980="*",Scharniere[[#This Row],[AG Ges2]],Scharniere[[#This Row],[AG Ges1]])</f>
        <v>0</v>
      </c>
      <c r="AE130" s="451">
        <f ca="1">IF(AND(Scharniere[[#This Row],[Scharnierart]]=select!$A$1485,Scharniere[[#This Row],[Gruppenschlüssel]]=select!$B$1485)=TRUE,1,0)</f>
        <v>1</v>
      </c>
      <c r="AF130" s="451">
        <f ca="1">IF(AND(Scharniere[[#This Row],[Scharnierart]]=select!$A$1486,Scharniere[[#This Row],[Gruppenschlüssel]]=select!$B$1486)=TRUE,1,0)</f>
        <v>0</v>
      </c>
      <c r="AG130" s="451">
        <f ca="1">IF(AND(Scharniere[[#This Row],[Scharnierart]]=select!$A$1487,Scharniere[[#This Row],[Gruppenschlüssel]]=select!$B$1487)=TRUE,1,0)</f>
        <v>0</v>
      </c>
      <c r="AH130" s="451">
        <f ca="1">IF(AND(Scharniere[[#This Row],[Scharnierart]]=select!$A$1488,Scharniere[[#This Row],[Gruppenschlüssel]]=select!$B$1488)=TRUE,1,0)</f>
        <v>0</v>
      </c>
      <c r="AI130" s="451">
        <f ca="1">IF(SUM(Scharniere[[#This Row],[konf Scharnier 1]:[konf Scharnier 4]])&gt;0,1,0)</f>
        <v>1</v>
      </c>
      <c r="AJ130" s="451"/>
      <c r="AK130" s="451"/>
      <c r="AL130" s="451"/>
      <c r="AM130" s="451"/>
      <c r="AN130" s="451"/>
      <c r="AO130" s="146">
        <v>1</v>
      </c>
      <c r="AP130" s="146">
        <v>1</v>
      </c>
      <c r="AQ130" s="10" t="str">
        <f ca="1">Sprache!$A$115</f>
        <v>Tiomos Scharnier TT Impresso</v>
      </c>
      <c r="AR130" t="s">
        <v>112</v>
      </c>
      <c r="AS130" t="str">
        <f ca="1">Sprache!$A$116</f>
        <v>Tiomos Impresso Scharniere</v>
      </c>
      <c r="AT130">
        <v>3</v>
      </c>
      <c r="AU130" s="34" t="s">
        <v>10</v>
      </c>
      <c r="AV130">
        <v>110</v>
      </c>
      <c r="AW130" s="10">
        <v>0</v>
      </c>
      <c r="AX130">
        <v>0</v>
      </c>
      <c r="AY130">
        <v>1</v>
      </c>
      <c r="AZ130" s="10">
        <v>0</v>
      </c>
      <c r="BA130">
        <v>0</v>
      </c>
      <c r="BB130">
        <v>0</v>
      </c>
      <c r="BC130">
        <v>1</v>
      </c>
      <c r="BD130" s="143" t="s">
        <v>210</v>
      </c>
      <c r="BG130"/>
    </row>
    <row r="131" spans="1:59" ht="14.25" customHeight="1" x14ac:dyDescent="0.25">
      <c r="A131" s="37" t="str">
        <f>LEFT(Scharniere[[#This Row],[ArtikelNR]],4)</f>
        <v>F035</v>
      </c>
      <c r="B131" s="35" t="str">
        <f>MID(Scharniere[[#This Row],[ArtikelNR]],5,3)</f>
        <v>139</v>
      </c>
      <c r="C131" s="37" t="str">
        <f>RIGHT(Scharniere[[#This Row],[ArtikelNR]],3)</f>
        <v>528</v>
      </c>
      <c r="D131" s="35">
        <f>IF(AND(Scharniere[[#This Row],[Gruppenschlüssel]]=select!$A$44,Scharniere[[#This Row],[Scharnierart]]=1)=TRUE,1,0)</f>
        <v>1</v>
      </c>
      <c r="E1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1" s="35">
        <f>IF(select!$F$57=IF(Scharniere[[#This Row],[mit Dämpfung]]=1,1,IF(Scharniere[[#This Row],[ohne Dämpfung]]=1,2,IF(Scharniere[[#This Row],[ohne Feder]]=1,3,0))),1,0)</f>
        <v>1</v>
      </c>
      <c r="G131" s="35">
        <f>IF(Scharniere[[#This Row],[Bohrbild]]=select!$V$43,1,0)</f>
        <v>0</v>
      </c>
      <c r="H131" s="35">
        <f>IF(IF(Scharniere[[#This Row],[Anschrauben]]=1,1,IF(Scharniere[[#This Row],[Einpressen]]=1,2,IF(Scharniere[[#This Row],[Quick]]=1,3,IF(Scharniere[[#This Row],[Werkzeuglos]]=1,4,0))))=select!$F$48,1,0)</f>
        <v>0</v>
      </c>
      <c r="I1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1" s="149">
        <f>IF(AND(Scharniere[[#This Row],[Scharnierart]]=2,Scharniere[[#This Row],[Gruppenschlüssel]]=select!$A$318)=TRUE,1,0)</f>
        <v>0</v>
      </c>
      <c r="K131" s="221">
        <f ca="1">IF(select!$O$424&lt;6,1,0)</f>
        <v>1</v>
      </c>
      <c r="L131" s="139">
        <f>IF(select!$A$362=IF(Scharniere[[#This Row],[mit Dämpfung]]=1,1,IF(Scharniere[[#This Row],[ohne Dämpfung]]=1,2,IF(Scharniere[[#This Row],[ohne Feder]]=1,3,0))),1,0)</f>
        <v>0</v>
      </c>
      <c r="M131" s="135">
        <f>IF(Scharniere[[#This Row],[Bohrbild]]=select!$O$334,1,0)</f>
        <v>0</v>
      </c>
      <c r="N131" s="135">
        <f>IF(IF(Scharniere[[#This Row],[Anschrauben]]=1,1,IF(Scharniere[[#This Row],[Einpressen]]=1,2,IF(Scharniere[[#This Row],[Quick]]=1,3,IF(Scharniere[[#This Row],[Werkzeuglos]]=1,4,0))))=select!$E$362,1,0)</f>
        <v>0</v>
      </c>
      <c r="O1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1" s="298">
        <f>IF(AND(Scharniere[[#This Row],[Scharnierart]]=3,Scharniere[[#This Row],[Gruppenschlüssel]]=select!$A$747)=TRUE,1,0)</f>
        <v>0</v>
      </c>
      <c r="Q131" s="298">
        <f ca="1">IF(select!$O$945&lt;6,1,0)</f>
        <v>1</v>
      </c>
      <c r="R131" s="298">
        <f>IF(select!$A$778=IF(Scharniere[[#This Row],[mit Dämpfung]]=1,1,IF(Scharniere[[#This Row],[ohne Dämpfung]]=1,2,IF(Scharniere[[#This Row],[ohne Feder]]=1,3,0))),1,0)</f>
        <v>0</v>
      </c>
      <c r="S131" s="298">
        <f>IF(Scharniere[[#This Row],[Bohrbild]]=select!$A$755,1,0)</f>
        <v>0</v>
      </c>
      <c r="T131" s="298">
        <f>IF(IF(Scharniere[[#This Row],[Anschrauben]]=1,1,IF(Scharniere[[#This Row],[Einpressen]]=1,2,IF(Scharniere[[#This Row],[Quick]]=1,3,IF(Scharniere[[#This Row],[Werkzeuglos]]=1,4,0))))=select!$A$769,1,0)</f>
        <v>0</v>
      </c>
      <c r="U1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1" s="359">
        <f>IF(AND(Scharniere[[#This Row],[Scharnierart]]=4,Scharniere[[#This Row],[Gruppenschlüssel]]=select!$A$981)=TRUE,1,0)</f>
        <v>0</v>
      </c>
      <c r="W131" s="359">
        <f ca="1">IF(select!$O$1185&lt;6,1,0)</f>
        <v>1</v>
      </c>
      <c r="X131" s="359">
        <f>IF(select!$A$1012=IF(Scharniere[[#This Row],[mit Dämpfung]]=1,1,IF(Scharniere[[#This Row],[ohne Dämpfung]]=1,2,IF(Scharniere[[#This Row],[ohne Feder]]=1,3,0))),1,0)</f>
        <v>0</v>
      </c>
      <c r="Y131" s="359">
        <f>IF(Scharniere[[#This Row],[Bohrbild]]=select!$A$989,1,0)</f>
        <v>0</v>
      </c>
      <c r="Z131" s="359">
        <f>IF(IF(Scharniere[[#This Row],[Anschrauben]]=1,1,IF(Scharniere[[#This Row],[Einpressen]]=1,2,IF(Scharniere[[#This Row],[Quick]]=1,3,IF(Scharniere[[#This Row],[Werkzeuglos]]=1,4,0))))=select!$A$1003,1,0)</f>
        <v>0</v>
      </c>
      <c r="AA1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1" s="359">
        <f ca="1">IF(select!$K$980="*",Scharniere[[#This Row],[AG Ges2]],Scharniere[[#This Row],[AG Ges1]])</f>
        <v>0</v>
      </c>
      <c r="AE131" s="451">
        <f ca="1">IF(AND(Scharniere[[#This Row],[Scharnierart]]=select!$A$1485,Scharniere[[#This Row],[Gruppenschlüssel]]=select!$B$1485)=TRUE,1,0)</f>
        <v>1</v>
      </c>
      <c r="AF131" s="451">
        <f ca="1">IF(AND(Scharniere[[#This Row],[Scharnierart]]=select!$A$1486,Scharniere[[#This Row],[Gruppenschlüssel]]=select!$B$1486)=TRUE,1,0)</f>
        <v>0</v>
      </c>
      <c r="AG131" s="451">
        <f ca="1">IF(AND(Scharniere[[#This Row],[Scharnierart]]=select!$A$1487,Scharniere[[#This Row],[Gruppenschlüssel]]=select!$B$1487)=TRUE,1,0)</f>
        <v>0</v>
      </c>
      <c r="AH131" s="451">
        <f ca="1">IF(AND(Scharniere[[#This Row],[Scharnierart]]=select!$A$1488,Scharniere[[#This Row],[Gruppenschlüssel]]=select!$B$1488)=TRUE,1,0)</f>
        <v>0</v>
      </c>
      <c r="AI131" s="451">
        <f ca="1">IF(SUM(Scharniere[[#This Row],[konf Scharnier 1]:[konf Scharnier 4]])&gt;0,1,0)</f>
        <v>1</v>
      </c>
      <c r="AJ131" s="451"/>
      <c r="AK131" s="451"/>
      <c r="AL131" s="451"/>
      <c r="AM131" s="451"/>
      <c r="AN131" s="451"/>
      <c r="AO131" s="146">
        <v>1</v>
      </c>
      <c r="AP131" s="146">
        <v>1</v>
      </c>
      <c r="AQ131" s="10" t="str">
        <f ca="1">Sprache!$A$115</f>
        <v>Tiomos Scharnier TT Impresso</v>
      </c>
      <c r="AR131" t="s">
        <v>112</v>
      </c>
      <c r="AS131" t="str">
        <f ca="1">Sprache!$A$116</f>
        <v>Tiomos Impresso Scharniere</v>
      </c>
      <c r="AT131">
        <v>3</v>
      </c>
      <c r="AU131" s="34" t="s">
        <v>11</v>
      </c>
      <c r="AV131">
        <v>110</v>
      </c>
      <c r="AW131" s="10">
        <v>0</v>
      </c>
      <c r="AX131">
        <v>0</v>
      </c>
      <c r="AY131">
        <v>1</v>
      </c>
      <c r="AZ131" s="10">
        <v>0</v>
      </c>
      <c r="BA131">
        <v>0</v>
      </c>
      <c r="BB131">
        <v>0</v>
      </c>
      <c r="BC131">
        <v>1</v>
      </c>
      <c r="BD131" s="143" t="s">
        <v>210</v>
      </c>
      <c r="BG131"/>
    </row>
    <row r="132" spans="1:59" ht="14.25" customHeight="1" x14ac:dyDescent="0.25">
      <c r="A132" s="37" t="str">
        <f>LEFT(Scharniere[[#This Row],[ArtikelNR]],4)</f>
        <v>F045</v>
      </c>
      <c r="B132" s="35" t="str">
        <f>MID(Scharniere[[#This Row],[ArtikelNR]],5,3)</f>
        <v>138</v>
      </c>
      <c r="C132" s="37" t="str">
        <f>RIGHT(Scharniere[[#This Row],[ArtikelNR]],3)</f>
        <v>005</v>
      </c>
      <c r="D132" s="35">
        <f>IF(AND(Scharniere[[#This Row],[Gruppenschlüssel]]=select!$A$44,Scharniere[[#This Row],[Scharnierart]]=1)=TRUE,1,0)</f>
        <v>1</v>
      </c>
      <c r="E1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2" s="35">
        <f>IF(select!$F$57=IF(Scharniere[[#This Row],[mit Dämpfung]]=1,1,IF(Scharniere[[#This Row],[ohne Dämpfung]]=1,2,IF(Scharniere[[#This Row],[ohne Feder]]=1,3,0))),1,0)</f>
        <v>0</v>
      </c>
      <c r="G132" s="35">
        <f>IF(Scharniere[[#This Row],[Bohrbild]]=select!$V$43,1,0)</f>
        <v>1</v>
      </c>
      <c r="H132" s="35">
        <f>IF(IF(Scharniere[[#This Row],[Anschrauben]]=1,1,IF(Scharniere[[#This Row],[Einpressen]]=1,2,IF(Scharniere[[#This Row],[Quick]]=1,3,IF(Scharniere[[#This Row],[Werkzeuglos]]=1,4,0))))=select!$F$48,1,0)</f>
        <v>1</v>
      </c>
      <c r="I1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2" s="149">
        <f>IF(AND(Scharniere[[#This Row],[Scharnierart]]=2,Scharniere[[#This Row],[Gruppenschlüssel]]=select!$A$318)=TRUE,1,0)</f>
        <v>0</v>
      </c>
      <c r="K132" s="221">
        <f ca="1">IF(select!$O$424&lt;6,1,0)</f>
        <v>1</v>
      </c>
      <c r="L132" s="139">
        <f>IF(select!$A$362=IF(Scharniere[[#This Row],[mit Dämpfung]]=1,1,IF(Scharniere[[#This Row],[ohne Dämpfung]]=1,2,IF(Scharniere[[#This Row],[ohne Feder]]=1,3,0))),1,0)</f>
        <v>0</v>
      </c>
      <c r="M132" s="135">
        <f>IF(Scharniere[[#This Row],[Bohrbild]]=select!$O$334,1,0)</f>
        <v>1</v>
      </c>
      <c r="N132" s="135">
        <f>IF(IF(Scharniere[[#This Row],[Anschrauben]]=1,1,IF(Scharniere[[#This Row],[Einpressen]]=1,2,IF(Scharniere[[#This Row],[Quick]]=1,3,IF(Scharniere[[#This Row],[Werkzeuglos]]=1,4,0))))=select!$E$362,1,0)</f>
        <v>0</v>
      </c>
      <c r="O1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2" s="298">
        <f>IF(AND(Scharniere[[#This Row],[Scharnierart]]=3,Scharniere[[#This Row],[Gruppenschlüssel]]=select!$A$747)=TRUE,1,0)</f>
        <v>0</v>
      </c>
      <c r="Q132" s="298">
        <f ca="1">IF(select!$O$945&lt;6,1,0)</f>
        <v>1</v>
      </c>
      <c r="R132" s="298">
        <f>IF(select!$A$778=IF(Scharniere[[#This Row],[mit Dämpfung]]=1,1,IF(Scharniere[[#This Row],[ohne Dämpfung]]=1,2,IF(Scharniere[[#This Row],[ohne Feder]]=1,3,0))),1,0)</f>
        <v>1</v>
      </c>
      <c r="S132" s="298">
        <f>IF(Scharniere[[#This Row],[Bohrbild]]=select!$A$755,1,0)</f>
        <v>0</v>
      </c>
      <c r="T132" s="298">
        <f>IF(IF(Scharniere[[#This Row],[Anschrauben]]=1,1,IF(Scharniere[[#This Row],[Einpressen]]=1,2,IF(Scharniere[[#This Row],[Quick]]=1,3,IF(Scharniere[[#This Row],[Werkzeuglos]]=1,4,0))))=select!$A$769,1,0)</f>
        <v>0</v>
      </c>
      <c r="U1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2" s="359">
        <f>IF(AND(Scharniere[[#This Row],[Scharnierart]]=4,Scharniere[[#This Row],[Gruppenschlüssel]]=select!$A$981)=TRUE,1,0)</f>
        <v>0</v>
      </c>
      <c r="W132" s="359">
        <f ca="1">IF(select!$O$1185&lt;6,1,0)</f>
        <v>1</v>
      </c>
      <c r="X132" s="359">
        <f>IF(select!$A$1012=IF(Scharniere[[#This Row],[mit Dämpfung]]=1,1,IF(Scharniere[[#This Row],[ohne Dämpfung]]=1,2,IF(Scharniere[[#This Row],[ohne Feder]]=1,3,0))),1,0)</f>
        <v>1</v>
      </c>
      <c r="Y132" s="359">
        <f>IF(Scharniere[[#This Row],[Bohrbild]]=select!$A$989,1,0)</f>
        <v>0</v>
      </c>
      <c r="Z132" s="359">
        <f>IF(IF(Scharniere[[#This Row],[Anschrauben]]=1,1,IF(Scharniere[[#This Row],[Einpressen]]=1,2,IF(Scharniere[[#This Row],[Quick]]=1,3,IF(Scharniere[[#This Row],[Werkzeuglos]]=1,4,0))))=select!$A$1003,1,0)</f>
        <v>0</v>
      </c>
      <c r="AA1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2" s="359">
        <f ca="1">IF(select!$K$980="*",Scharniere[[#This Row],[AG Ges2]],Scharniere[[#This Row],[AG Ges1]])</f>
        <v>0</v>
      </c>
      <c r="AE132" s="451">
        <f ca="1">IF(AND(Scharniere[[#This Row],[Scharnierart]]=select!$A$1485,Scharniere[[#This Row],[Gruppenschlüssel]]=select!$B$1485)=TRUE,1,0)</f>
        <v>1</v>
      </c>
      <c r="AF132" s="451">
        <f ca="1">IF(AND(Scharniere[[#This Row],[Scharnierart]]=select!$A$1486,Scharniere[[#This Row],[Gruppenschlüssel]]=select!$B$1486)=TRUE,1,0)</f>
        <v>0</v>
      </c>
      <c r="AG132" s="451">
        <f ca="1">IF(AND(Scharniere[[#This Row],[Scharnierart]]=select!$A$1487,Scharniere[[#This Row],[Gruppenschlüssel]]=select!$B$1487)=TRUE,1,0)</f>
        <v>0</v>
      </c>
      <c r="AH132" s="451">
        <f ca="1">IF(AND(Scharniere[[#This Row],[Scharnierart]]=select!$A$1488,Scharniere[[#This Row],[Gruppenschlüssel]]=select!$B$1488)=TRUE,1,0)</f>
        <v>0</v>
      </c>
      <c r="AI132" s="451">
        <f ca="1">IF(SUM(Scharniere[[#This Row],[konf Scharnier 1]:[konf Scharnier 4]])&gt;0,1,0)</f>
        <v>1</v>
      </c>
      <c r="AJ132" s="451"/>
      <c r="AK132" s="451"/>
      <c r="AL132" s="451"/>
      <c r="AM132" s="451"/>
      <c r="AN132" s="451"/>
      <c r="AO132" s="146">
        <v>1</v>
      </c>
      <c r="AP132" s="146">
        <v>1</v>
      </c>
      <c r="AQ132" s="10" t="str">
        <f ca="1">Sprache!$A$110</f>
        <v>Tiomos Scharnier T Click-on</v>
      </c>
      <c r="AR132" t="str">
        <f ca="1">"110°, M-BB, K03, "&amp;Sprache!A181&amp;", ni"</f>
        <v>110°, M-BB, K03, Dübel, ni</v>
      </c>
      <c r="AS132" t="str">
        <f ca="1">Sprache!$A$103</f>
        <v>Tiomos Click-On Scharniere</v>
      </c>
      <c r="AT132">
        <v>3</v>
      </c>
      <c r="AU132" s="34" t="s">
        <v>8</v>
      </c>
      <c r="AV132">
        <v>110</v>
      </c>
      <c r="AW132" s="10">
        <v>0</v>
      </c>
      <c r="AX132">
        <v>1</v>
      </c>
      <c r="AY132">
        <v>0</v>
      </c>
      <c r="AZ132" s="10">
        <v>0</v>
      </c>
      <c r="BA132">
        <v>1</v>
      </c>
      <c r="BB132">
        <v>0</v>
      </c>
      <c r="BC132">
        <v>0</v>
      </c>
      <c r="BD132" s="143" t="s">
        <v>434</v>
      </c>
      <c r="BG132"/>
    </row>
    <row r="133" spans="1:59" ht="14.25" customHeight="1" x14ac:dyDescent="0.25">
      <c r="A133" s="37" t="str">
        <f>LEFT(Scharniere[[#This Row],[ArtikelNR]],4)</f>
        <v>F028</v>
      </c>
      <c r="B133" s="35" t="str">
        <f>MID(Scharniere[[#This Row],[ArtikelNR]],5,3)</f>
        <v>138</v>
      </c>
      <c r="C133" s="37" t="str">
        <f>RIGHT(Scharniere[[#This Row],[ArtikelNR]],3)</f>
        <v>098</v>
      </c>
      <c r="D133" s="35">
        <f>IF(AND(Scharniere[[#This Row],[Gruppenschlüssel]]=select!$A$44,Scharniere[[#This Row],[Scharnierart]]=1)=TRUE,1,0)</f>
        <v>1</v>
      </c>
      <c r="E1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3" s="35">
        <f>IF(select!$F$57=IF(Scharniere[[#This Row],[mit Dämpfung]]=1,1,IF(Scharniere[[#This Row],[ohne Dämpfung]]=1,2,IF(Scharniere[[#This Row],[ohne Feder]]=1,3,0))),1,0)</f>
        <v>0</v>
      </c>
      <c r="G133" s="35">
        <f>IF(Scharniere[[#This Row],[Bohrbild]]=select!$V$43,1,0)</f>
        <v>1</v>
      </c>
      <c r="H133" s="35">
        <f>IF(IF(Scharniere[[#This Row],[Anschrauben]]=1,1,IF(Scharniere[[#This Row],[Einpressen]]=1,2,IF(Scharniere[[#This Row],[Quick]]=1,3,IF(Scharniere[[#This Row],[Werkzeuglos]]=1,4,0))))=select!$F$48,1,0)</f>
        <v>1</v>
      </c>
      <c r="I1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3" s="149">
        <f>IF(AND(Scharniere[[#This Row],[Scharnierart]]=2,Scharniere[[#This Row],[Gruppenschlüssel]]=select!$A$318)=TRUE,1,0)</f>
        <v>0</v>
      </c>
      <c r="K133" s="221">
        <f ca="1">IF(select!$O$424&lt;6,1,0)</f>
        <v>1</v>
      </c>
      <c r="L133" s="139">
        <f>IF(select!$A$362=IF(Scharniere[[#This Row],[mit Dämpfung]]=1,1,IF(Scharniere[[#This Row],[ohne Dämpfung]]=1,2,IF(Scharniere[[#This Row],[ohne Feder]]=1,3,0))),1,0)</f>
        <v>1</v>
      </c>
      <c r="M133" s="135">
        <f>IF(Scharniere[[#This Row],[Bohrbild]]=select!$O$334,1,0)</f>
        <v>1</v>
      </c>
      <c r="N133" s="135">
        <f>IF(IF(Scharniere[[#This Row],[Anschrauben]]=1,1,IF(Scharniere[[#This Row],[Einpressen]]=1,2,IF(Scharniere[[#This Row],[Quick]]=1,3,IF(Scharniere[[#This Row],[Werkzeuglos]]=1,4,0))))=select!$E$362,1,0)</f>
        <v>0</v>
      </c>
      <c r="O1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3" s="298">
        <f>IF(AND(Scharniere[[#This Row],[Scharnierart]]=3,Scharniere[[#This Row],[Gruppenschlüssel]]=select!$A$747)=TRUE,1,0)</f>
        <v>0</v>
      </c>
      <c r="Q133" s="298">
        <f ca="1">IF(select!$O$945&lt;6,1,0)</f>
        <v>1</v>
      </c>
      <c r="R133" s="298">
        <f>IF(select!$A$778=IF(Scharniere[[#This Row],[mit Dämpfung]]=1,1,IF(Scharniere[[#This Row],[ohne Dämpfung]]=1,2,IF(Scharniere[[#This Row],[ohne Feder]]=1,3,0))),1,0)</f>
        <v>0</v>
      </c>
      <c r="S133" s="298">
        <f>IF(Scharniere[[#This Row],[Bohrbild]]=select!$A$755,1,0)</f>
        <v>0</v>
      </c>
      <c r="T133" s="298">
        <f>IF(IF(Scharniere[[#This Row],[Anschrauben]]=1,1,IF(Scharniere[[#This Row],[Einpressen]]=1,2,IF(Scharniere[[#This Row],[Quick]]=1,3,IF(Scharniere[[#This Row],[Werkzeuglos]]=1,4,0))))=select!$A$769,1,0)</f>
        <v>0</v>
      </c>
      <c r="U1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3" s="359">
        <f>IF(AND(Scharniere[[#This Row],[Scharnierart]]=4,Scharniere[[#This Row],[Gruppenschlüssel]]=select!$A$981)=TRUE,1,0)</f>
        <v>0</v>
      </c>
      <c r="W133" s="359">
        <f ca="1">IF(select!$O$1185&lt;6,1,0)</f>
        <v>1</v>
      </c>
      <c r="X133" s="359">
        <f>IF(select!$A$1012=IF(Scharniere[[#This Row],[mit Dämpfung]]=1,1,IF(Scharniere[[#This Row],[ohne Dämpfung]]=1,2,IF(Scharniere[[#This Row],[ohne Feder]]=1,3,0))),1,0)</f>
        <v>0</v>
      </c>
      <c r="Y133" s="359">
        <f>IF(Scharniere[[#This Row],[Bohrbild]]=select!$A$989,1,0)</f>
        <v>0</v>
      </c>
      <c r="Z133" s="359">
        <f>IF(IF(Scharniere[[#This Row],[Anschrauben]]=1,1,IF(Scharniere[[#This Row],[Einpressen]]=1,2,IF(Scharniere[[#This Row],[Quick]]=1,3,IF(Scharniere[[#This Row],[Werkzeuglos]]=1,4,0))))=select!$A$1003,1,0)</f>
        <v>0</v>
      </c>
      <c r="AA1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3" s="359">
        <f ca="1">IF(select!$K$980="*",Scharniere[[#This Row],[AG Ges2]],Scharniere[[#This Row],[AG Ges1]])</f>
        <v>0</v>
      </c>
      <c r="AE133" s="451">
        <f ca="1">IF(AND(Scharniere[[#This Row],[Scharnierart]]=select!$A$1485,Scharniere[[#This Row],[Gruppenschlüssel]]=select!$B$1485)=TRUE,1,0)</f>
        <v>1</v>
      </c>
      <c r="AF133" s="451">
        <f ca="1">IF(AND(Scharniere[[#This Row],[Scharnierart]]=select!$A$1486,Scharniere[[#This Row],[Gruppenschlüssel]]=select!$B$1486)=TRUE,1,0)</f>
        <v>0</v>
      </c>
      <c r="AG133" s="451">
        <f ca="1">IF(AND(Scharniere[[#This Row],[Scharnierart]]=select!$A$1487,Scharniere[[#This Row],[Gruppenschlüssel]]=select!$B$1487)=TRUE,1,0)</f>
        <v>0</v>
      </c>
      <c r="AH133" s="451">
        <f ca="1">IF(AND(Scharniere[[#This Row],[Scharnierart]]=select!$A$1488,Scharniere[[#This Row],[Gruppenschlüssel]]=select!$B$1488)=TRUE,1,0)</f>
        <v>0</v>
      </c>
      <c r="AI133" s="451">
        <f ca="1">IF(SUM(Scharniere[[#This Row],[konf Scharnier 1]:[konf Scharnier 4]])&gt;0,1,0)</f>
        <v>1</v>
      </c>
      <c r="AJ133" s="451"/>
      <c r="AK133" s="451"/>
      <c r="AL133" s="451"/>
      <c r="AM133" s="451"/>
      <c r="AN133" s="451"/>
      <c r="AO133" s="146">
        <v>1</v>
      </c>
      <c r="AP133" s="146">
        <v>1</v>
      </c>
      <c r="AQ133" s="10" t="str">
        <f ca="1">Sprache!$A$112</f>
        <v>Tiomos Scharnier TS Click-on</v>
      </c>
      <c r="AR133" t="str">
        <f ca="1">"110°, M-BB, K03, "&amp;Sprache!A181&amp;", ni"</f>
        <v>110°, M-BB, K03, Dübel, ni</v>
      </c>
      <c r="AS133" t="str">
        <f ca="1">Sprache!$A$103</f>
        <v>Tiomos Click-On Scharniere</v>
      </c>
      <c r="AT133">
        <v>3</v>
      </c>
      <c r="AU133" s="34" t="s">
        <v>8</v>
      </c>
      <c r="AV133">
        <v>110</v>
      </c>
      <c r="AW133" s="10">
        <v>1</v>
      </c>
      <c r="AX133">
        <v>0</v>
      </c>
      <c r="AY133">
        <v>0</v>
      </c>
      <c r="AZ133" s="10">
        <v>0</v>
      </c>
      <c r="BA133">
        <v>1</v>
      </c>
      <c r="BB133">
        <v>0</v>
      </c>
      <c r="BC133">
        <v>0</v>
      </c>
      <c r="BD133" s="143" t="s">
        <v>234</v>
      </c>
      <c r="BG133"/>
    </row>
    <row r="134" spans="1:59" ht="14.25" customHeight="1" x14ac:dyDescent="0.25">
      <c r="A134" s="37" t="str">
        <f>LEFT(Scharniere[[#This Row],[ArtikelNR]],4)</f>
        <v>F046</v>
      </c>
      <c r="B134" s="35" t="str">
        <f>MID(Scharniere[[#This Row],[ArtikelNR]],5,3)</f>
        <v>138</v>
      </c>
      <c r="C134" s="37" t="str">
        <f>RIGHT(Scharniere[[#This Row],[ArtikelNR]],3)</f>
        <v>189</v>
      </c>
      <c r="D134" s="35">
        <f>IF(AND(Scharniere[[#This Row],[Gruppenschlüssel]]=select!$A$44,Scharniere[[#This Row],[Scharnierart]]=1)=TRUE,1,0)</f>
        <v>1</v>
      </c>
      <c r="E1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4" s="35">
        <f>IF(select!$F$57=IF(Scharniere[[#This Row],[mit Dämpfung]]=1,1,IF(Scharniere[[#This Row],[ohne Dämpfung]]=1,2,IF(Scharniere[[#This Row],[ohne Feder]]=1,3,0))),1,0)</f>
        <v>1</v>
      </c>
      <c r="G134" s="35">
        <f>IF(Scharniere[[#This Row],[Bohrbild]]=select!$V$43,1,0)</f>
        <v>1</v>
      </c>
      <c r="H134" s="35">
        <f>IF(IF(Scharniere[[#This Row],[Anschrauben]]=1,1,IF(Scharniere[[#This Row],[Einpressen]]=1,2,IF(Scharniere[[#This Row],[Quick]]=1,3,IF(Scharniere[[#This Row],[Werkzeuglos]]=1,4,0))))=select!$F$48,1,0)</f>
        <v>1</v>
      </c>
      <c r="I1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4" s="149">
        <f>IF(AND(Scharniere[[#This Row],[Scharnierart]]=2,Scharniere[[#This Row],[Gruppenschlüssel]]=select!$A$318)=TRUE,1,0)</f>
        <v>0</v>
      </c>
      <c r="K134" s="221">
        <f ca="1">IF(select!$O$424&lt;6,1,0)</f>
        <v>1</v>
      </c>
      <c r="L134" s="139">
        <f>IF(select!$A$362=IF(Scharniere[[#This Row],[mit Dämpfung]]=1,1,IF(Scharniere[[#This Row],[ohne Dämpfung]]=1,2,IF(Scharniere[[#This Row],[ohne Feder]]=1,3,0))),1,0)</f>
        <v>0</v>
      </c>
      <c r="M134" s="135">
        <f>IF(Scharniere[[#This Row],[Bohrbild]]=select!$O$334,1,0)</f>
        <v>1</v>
      </c>
      <c r="N134" s="135">
        <f>IF(IF(Scharniere[[#This Row],[Anschrauben]]=1,1,IF(Scharniere[[#This Row],[Einpressen]]=1,2,IF(Scharniere[[#This Row],[Quick]]=1,3,IF(Scharniere[[#This Row],[Werkzeuglos]]=1,4,0))))=select!$E$362,1,0)</f>
        <v>0</v>
      </c>
      <c r="O1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4" s="298">
        <f>IF(AND(Scharniere[[#This Row],[Scharnierart]]=3,Scharniere[[#This Row],[Gruppenschlüssel]]=select!$A$747)=TRUE,1,0)</f>
        <v>0</v>
      </c>
      <c r="Q134" s="298">
        <f ca="1">IF(select!$O$945&lt;6,1,0)</f>
        <v>1</v>
      </c>
      <c r="R134" s="298">
        <f>IF(select!$A$778=IF(Scharniere[[#This Row],[mit Dämpfung]]=1,1,IF(Scharniere[[#This Row],[ohne Dämpfung]]=1,2,IF(Scharniere[[#This Row],[ohne Feder]]=1,3,0))),1,0)</f>
        <v>0</v>
      </c>
      <c r="S134" s="298">
        <f>IF(Scharniere[[#This Row],[Bohrbild]]=select!$A$755,1,0)</f>
        <v>0</v>
      </c>
      <c r="T134" s="298">
        <f>IF(IF(Scharniere[[#This Row],[Anschrauben]]=1,1,IF(Scharniere[[#This Row],[Einpressen]]=1,2,IF(Scharniere[[#This Row],[Quick]]=1,3,IF(Scharniere[[#This Row],[Werkzeuglos]]=1,4,0))))=select!$A$769,1,0)</f>
        <v>0</v>
      </c>
      <c r="U1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4" s="359">
        <f>IF(AND(Scharniere[[#This Row],[Scharnierart]]=4,Scharniere[[#This Row],[Gruppenschlüssel]]=select!$A$981)=TRUE,1,0)</f>
        <v>0</v>
      </c>
      <c r="W134" s="359">
        <f ca="1">IF(select!$O$1185&lt;6,1,0)</f>
        <v>1</v>
      </c>
      <c r="X134" s="359">
        <f>IF(select!$A$1012=IF(Scharniere[[#This Row],[mit Dämpfung]]=1,1,IF(Scharniere[[#This Row],[ohne Dämpfung]]=1,2,IF(Scharniere[[#This Row],[ohne Feder]]=1,3,0))),1,0)</f>
        <v>0</v>
      </c>
      <c r="Y134" s="359">
        <f>IF(Scharniere[[#This Row],[Bohrbild]]=select!$A$989,1,0)</f>
        <v>0</v>
      </c>
      <c r="Z134" s="359">
        <f>IF(IF(Scharniere[[#This Row],[Anschrauben]]=1,1,IF(Scharniere[[#This Row],[Einpressen]]=1,2,IF(Scharniere[[#This Row],[Quick]]=1,3,IF(Scharniere[[#This Row],[Werkzeuglos]]=1,4,0))))=select!$A$1003,1,0)</f>
        <v>0</v>
      </c>
      <c r="AA1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4" s="359">
        <f ca="1">IF(select!$K$980="*",Scharniere[[#This Row],[AG Ges2]],Scharniere[[#This Row],[AG Ges1]])</f>
        <v>0</v>
      </c>
      <c r="AE134" s="451">
        <f ca="1">IF(AND(Scharniere[[#This Row],[Scharnierart]]=select!$A$1485,Scharniere[[#This Row],[Gruppenschlüssel]]=select!$B$1485)=TRUE,1,0)</f>
        <v>1</v>
      </c>
      <c r="AF134" s="451">
        <f ca="1">IF(AND(Scharniere[[#This Row],[Scharnierart]]=select!$A$1486,Scharniere[[#This Row],[Gruppenschlüssel]]=select!$B$1486)=TRUE,1,0)</f>
        <v>0</v>
      </c>
      <c r="AG134" s="451">
        <f ca="1">IF(AND(Scharniere[[#This Row],[Scharnierart]]=select!$A$1487,Scharniere[[#This Row],[Gruppenschlüssel]]=select!$B$1487)=TRUE,1,0)</f>
        <v>0</v>
      </c>
      <c r="AH134" s="451">
        <f ca="1">IF(AND(Scharniere[[#This Row],[Scharnierart]]=select!$A$1488,Scharniere[[#This Row],[Gruppenschlüssel]]=select!$B$1488)=TRUE,1,0)</f>
        <v>0</v>
      </c>
      <c r="AI134" s="451">
        <f ca="1">IF(SUM(Scharniere[[#This Row],[konf Scharnier 1]:[konf Scharnier 4]])&gt;0,1,0)</f>
        <v>1</v>
      </c>
      <c r="AJ134" s="451"/>
      <c r="AK134" s="451"/>
      <c r="AL134" s="451"/>
      <c r="AM134" s="451"/>
      <c r="AN134" s="451"/>
      <c r="AO134" s="146">
        <v>1</v>
      </c>
      <c r="AP134" s="146">
        <v>1</v>
      </c>
      <c r="AQ134" s="10" t="str">
        <f ca="1">Sprache!$A$114</f>
        <v>Tiomos Scharnier TT Click-on</v>
      </c>
      <c r="AR134" t="str">
        <f ca="1">"110°, M-BB, K03, "&amp;Sprache!A181&amp;", ni"</f>
        <v>110°, M-BB, K03, Dübel, ni</v>
      </c>
      <c r="AS134" t="str">
        <f ca="1">Sprache!$A$103</f>
        <v>Tiomos Click-On Scharniere</v>
      </c>
      <c r="AT134">
        <v>3</v>
      </c>
      <c r="AU134" t="s">
        <v>8</v>
      </c>
      <c r="AV134">
        <v>110</v>
      </c>
      <c r="AW134" s="10">
        <v>0</v>
      </c>
      <c r="AX134">
        <v>0</v>
      </c>
      <c r="AY134">
        <v>1</v>
      </c>
      <c r="AZ134" s="10">
        <v>0</v>
      </c>
      <c r="BA134">
        <v>1</v>
      </c>
      <c r="BB134">
        <v>0</v>
      </c>
      <c r="BC134">
        <v>0</v>
      </c>
      <c r="BD134" s="143" t="s">
        <v>586</v>
      </c>
      <c r="BG134"/>
    </row>
    <row r="135" spans="1:59" ht="14.25" customHeight="1" x14ac:dyDescent="0.25">
      <c r="A135" s="37" t="str">
        <f>LEFT(Scharniere[[#This Row],[ArtikelNR]],4)</f>
        <v>F045</v>
      </c>
      <c r="B135" s="35" t="str">
        <f>MID(Scharniere[[#This Row],[ArtikelNR]],5,3)</f>
        <v>139</v>
      </c>
      <c r="C135" s="37" t="str">
        <f>RIGHT(Scharniere[[#This Row],[ArtikelNR]],3)</f>
        <v>039</v>
      </c>
      <c r="D135" s="35">
        <f>IF(AND(Scharniere[[#This Row],[Gruppenschlüssel]]=select!$A$44,Scharniere[[#This Row],[Scharnierart]]=1)=TRUE,1,0)</f>
        <v>1</v>
      </c>
      <c r="E1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5" s="35">
        <f>IF(select!$F$57=IF(Scharniere[[#This Row],[mit Dämpfung]]=1,1,IF(Scharniere[[#This Row],[ohne Dämpfung]]=1,2,IF(Scharniere[[#This Row],[ohne Feder]]=1,3,0))),1,0)</f>
        <v>0</v>
      </c>
      <c r="G135" s="35">
        <f>IF(Scharniere[[#This Row],[Bohrbild]]=select!$V$43,1,0)</f>
        <v>1</v>
      </c>
      <c r="H135" s="35">
        <f>IF(IF(Scharniere[[#This Row],[Anschrauben]]=1,1,IF(Scharniere[[#This Row],[Einpressen]]=1,2,IF(Scharniere[[#This Row],[Quick]]=1,3,IF(Scharniere[[#This Row],[Werkzeuglos]]=1,4,0))))=select!$F$48,1,0)</f>
        <v>0</v>
      </c>
      <c r="I1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5" s="149">
        <f>IF(AND(Scharniere[[#This Row],[Scharnierart]]=2,Scharniere[[#This Row],[Gruppenschlüssel]]=select!$A$318)=TRUE,1,0)</f>
        <v>0</v>
      </c>
      <c r="K135" s="221">
        <f ca="1">IF(select!$O$424&lt;6,1,0)</f>
        <v>1</v>
      </c>
      <c r="L135" s="139">
        <f>IF(select!$A$362=IF(Scharniere[[#This Row],[mit Dämpfung]]=1,1,IF(Scharniere[[#This Row],[ohne Dämpfung]]=1,2,IF(Scharniere[[#This Row],[ohne Feder]]=1,3,0))),1,0)</f>
        <v>0</v>
      </c>
      <c r="M135" s="135">
        <f>IF(Scharniere[[#This Row],[Bohrbild]]=select!$O$334,1,0)</f>
        <v>1</v>
      </c>
      <c r="N135" s="135">
        <f>IF(IF(Scharniere[[#This Row],[Anschrauben]]=1,1,IF(Scharniere[[#This Row],[Einpressen]]=1,2,IF(Scharniere[[#This Row],[Quick]]=1,3,IF(Scharniere[[#This Row],[Werkzeuglos]]=1,4,0))))=select!$E$362,1,0)</f>
        <v>1</v>
      </c>
      <c r="O1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5" s="298">
        <f>IF(AND(Scharniere[[#This Row],[Scharnierart]]=3,Scharniere[[#This Row],[Gruppenschlüssel]]=select!$A$747)=TRUE,1,0)</f>
        <v>0</v>
      </c>
      <c r="Q135" s="298">
        <f ca="1">IF(select!$O$945&lt;6,1,0)</f>
        <v>1</v>
      </c>
      <c r="R135" s="298">
        <f>IF(select!$A$778=IF(Scharniere[[#This Row],[mit Dämpfung]]=1,1,IF(Scharniere[[#This Row],[ohne Dämpfung]]=1,2,IF(Scharniere[[#This Row],[ohne Feder]]=1,3,0))),1,0)</f>
        <v>1</v>
      </c>
      <c r="S135" s="298">
        <f>IF(Scharniere[[#This Row],[Bohrbild]]=select!$A$755,1,0)</f>
        <v>0</v>
      </c>
      <c r="T135" s="298">
        <f>IF(IF(Scharniere[[#This Row],[Anschrauben]]=1,1,IF(Scharniere[[#This Row],[Einpressen]]=1,2,IF(Scharniere[[#This Row],[Quick]]=1,3,IF(Scharniere[[#This Row],[Werkzeuglos]]=1,4,0))))=select!$A$769,1,0)</f>
        <v>1</v>
      </c>
      <c r="U1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5" s="359">
        <f>IF(AND(Scharniere[[#This Row],[Scharnierart]]=4,Scharniere[[#This Row],[Gruppenschlüssel]]=select!$A$981)=TRUE,1,0)</f>
        <v>0</v>
      </c>
      <c r="W135" s="359">
        <f ca="1">IF(select!$O$1185&lt;6,1,0)</f>
        <v>1</v>
      </c>
      <c r="X135" s="359">
        <f>IF(select!$A$1012=IF(Scharniere[[#This Row],[mit Dämpfung]]=1,1,IF(Scharniere[[#This Row],[ohne Dämpfung]]=1,2,IF(Scharniere[[#This Row],[ohne Feder]]=1,3,0))),1,0)</f>
        <v>1</v>
      </c>
      <c r="Y135" s="359">
        <f>IF(Scharniere[[#This Row],[Bohrbild]]=select!$A$989,1,0)</f>
        <v>0</v>
      </c>
      <c r="Z135" s="359">
        <f>IF(IF(Scharniere[[#This Row],[Anschrauben]]=1,1,IF(Scharniere[[#This Row],[Einpressen]]=1,2,IF(Scharniere[[#This Row],[Quick]]=1,3,IF(Scharniere[[#This Row],[Werkzeuglos]]=1,4,0))))=select!$A$1003,1,0)</f>
        <v>1</v>
      </c>
      <c r="AA1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5" s="359">
        <f ca="1">IF(select!$K$980="*",Scharniere[[#This Row],[AG Ges2]],Scharniere[[#This Row],[AG Ges1]])</f>
        <v>0</v>
      </c>
      <c r="AE135" s="451">
        <f ca="1">IF(AND(Scharniere[[#This Row],[Scharnierart]]=select!$A$1485,Scharniere[[#This Row],[Gruppenschlüssel]]=select!$B$1485)=TRUE,1,0)</f>
        <v>1</v>
      </c>
      <c r="AF135" s="451">
        <f ca="1">IF(AND(Scharniere[[#This Row],[Scharnierart]]=select!$A$1486,Scharniere[[#This Row],[Gruppenschlüssel]]=select!$B$1486)=TRUE,1,0)</f>
        <v>0</v>
      </c>
      <c r="AG135" s="451">
        <f ca="1">IF(AND(Scharniere[[#This Row],[Scharnierart]]=select!$A$1487,Scharniere[[#This Row],[Gruppenschlüssel]]=select!$B$1487)=TRUE,1,0)</f>
        <v>0</v>
      </c>
      <c r="AH135" s="451">
        <f ca="1">IF(AND(Scharniere[[#This Row],[Scharnierart]]=select!$A$1488,Scharniere[[#This Row],[Gruppenschlüssel]]=select!$B$1488)=TRUE,1,0)</f>
        <v>0</v>
      </c>
      <c r="AI135" s="451">
        <f ca="1">IF(SUM(Scharniere[[#This Row],[konf Scharnier 1]:[konf Scharnier 4]])&gt;0,1,0)</f>
        <v>1</v>
      </c>
      <c r="AJ135" s="451"/>
      <c r="AK135" s="451"/>
      <c r="AL135" s="451"/>
      <c r="AM135" s="451"/>
      <c r="AN135" s="451"/>
      <c r="AO135" s="146">
        <v>1</v>
      </c>
      <c r="AP135" s="146">
        <v>1</v>
      </c>
      <c r="AQ135" s="10" t="str">
        <f ca="1">Sprache!$A$110</f>
        <v>Tiomos Scharnier T Click-on</v>
      </c>
      <c r="AR135" t="str">
        <f ca="1">"110°, M-BB, K03, "&amp;Sprache!A191&amp;", ni"</f>
        <v>110°, M-BB, K03, Multilock, ni</v>
      </c>
      <c r="AS135" t="str">
        <f ca="1">Sprache!$A$103</f>
        <v>Tiomos Click-On Scharniere</v>
      </c>
      <c r="AT135">
        <v>3</v>
      </c>
      <c r="AU135" t="s">
        <v>8</v>
      </c>
      <c r="AV135">
        <v>110</v>
      </c>
      <c r="AW135" s="10">
        <v>0</v>
      </c>
      <c r="AX135">
        <v>1</v>
      </c>
      <c r="AY135">
        <v>0</v>
      </c>
      <c r="AZ135" s="10">
        <v>1</v>
      </c>
      <c r="BA135">
        <v>0</v>
      </c>
      <c r="BB135">
        <v>0</v>
      </c>
      <c r="BC135">
        <v>0</v>
      </c>
      <c r="BD135" s="143" t="s">
        <v>578</v>
      </c>
      <c r="BG135"/>
    </row>
    <row r="136" spans="1:59" ht="14.25" customHeight="1" x14ac:dyDescent="0.25">
      <c r="A136" s="37" t="str">
        <f>LEFT(Scharniere[[#This Row],[ArtikelNR]],4)</f>
        <v>F045</v>
      </c>
      <c r="B136" s="35" t="str">
        <f>MID(Scharniere[[#This Row],[ArtikelNR]],5,3)</f>
        <v>138</v>
      </c>
      <c r="C136" s="37" t="str">
        <f>RIGHT(Scharniere[[#This Row],[ArtikelNR]],3)</f>
        <v>001</v>
      </c>
      <c r="D136" s="35">
        <f>IF(AND(Scharniere[[#This Row],[Gruppenschlüssel]]=select!$A$44,Scharniere[[#This Row],[Scharnierart]]=1)=TRUE,1,0)</f>
        <v>1</v>
      </c>
      <c r="E1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6" s="35">
        <f>IF(select!$F$57=IF(Scharniere[[#This Row],[mit Dämpfung]]=1,1,IF(Scharniere[[#This Row],[ohne Dämpfung]]=1,2,IF(Scharniere[[#This Row],[ohne Feder]]=1,3,0))),1,0)</f>
        <v>0</v>
      </c>
      <c r="G136" s="35">
        <f>IF(Scharniere[[#This Row],[Bohrbild]]=select!$V$43,1,0)</f>
        <v>1</v>
      </c>
      <c r="H136" s="35">
        <f>IF(IF(Scharniere[[#This Row],[Anschrauben]]=1,1,IF(Scharniere[[#This Row],[Einpressen]]=1,2,IF(Scharniere[[#This Row],[Quick]]=1,3,IF(Scharniere[[#This Row],[Werkzeuglos]]=1,4,0))))=select!$F$48,1,0)</f>
        <v>0</v>
      </c>
      <c r="I1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6" s="149">
        <f>IF(AND(Scharniere[[#This Row],[Scharnierart]]=2,Scharniere[[#This Row],[Gruppenschlüssel]]=select!$A$318)=TRUE,1,0)</f>
        <v>0</v>
      </c>
      <c r="K136" s="221">
        <f ca="1">IF(select!$O$424&lt;6,1,0)</f>
        <v>1</v>
      </c>
      <c r="L136" s="139">
        <f>IF(select!$A$362=IF(Scharniere[[#This Row],[mit Dämpfung]]=1,1,IF(Scharniere[[#This Row],[ohne Dämpfung]]=1,2,IF(Scharniere[[#This Row],[ohne Feder]]=1,3,0))),1,0)</f>
        <v>0</v>
      </c>
      <c r="M136" s="135">
        <f>IF(Scharniere[[#This Row],[Bohrbild]]=select!$O$334,1,0)</f>
        <v>1</v>
      </c>
      <c r="N136" s="135">
        <f>IF(IF(Scharniere[[#This Row],[Anschrauben]]=1,1,IF(Scharniere[[#This Row],[Einpressen]]=1,2,IF(Scharniere[[#This Row],[Quick]]=1,3,IF(Scharniere[[#This Row],[Werkzeuglos]]=1,4,0))))=select!$E$362,1,0)</f>
        <v>1</v>
      </c>
      <c r="O1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6" s="298">
        <f>IF(AND(Scharniere[[#This Row],[Scharnierart]]=3,Scharniere[[#This Row],[Gruppenschlüssel]]=select!$A$747)=TRUE,1,0)</f>
        <v>0</v>
      </c>
      <c r="Q136" s="298">
        <f ca="1">IF(select!$O$945&lt;6,1,0)</f>
        <v>1</v>
      </c>
      <c r="R136" s="298">
        <f>IF(select!$A$778=IF(Scharniere[[#This Row],[mit Dämpfung]]=1,1,IF(Scharniere[[#This Row],[ohne Dämpfung]]=1,2,IF(Scharniere[[#This Row],[ohne Feder]]=1,3,0))),1,0)</f>
        <v>1</v>
      </c>
      <c r="S136" s="298">
        <f>IF(Scharniere[[#This Row],[Bohrbild]]=select!$A$755,1,0)</f>
        <v>0</v>
      </c>
      <c r="T136" s="298">
        <f>IF(IF(Scharniere[[#This Row],[Anschrauben]]=1,1,IF(Scharniere[[#This Row],[Einpressen]]=1,2,IF(Scharniere[[#This Row],[Quick]]=1,3,IF(Scharniere[[#This Row],[Werkzeuglos]]=1,4,0))))=select!$A$769,1,0)</f>
        <v>1</v>
      </c>
      <c r="U1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6" s="359">
        <f>IF(AND(Scharniere[[#This Row],[Scharnierart]]=4,Scharniere[[#This Row],[Gruppenschlüssel]]=select!$A$981)=TRUE,1,0)</f>
        <v>0</v>
      </c>
      <c r="W136" s="359">
        <f ca="1">IF(select!$O$1185&lt;6,1,0)</f>
        <v>1</v>
      </c>
      <c r="X136" s="359">
        <f>IF(select!$A$1012=IF(Scharniere[[#This Row],[mit Dämpfung]]=1,1,IF(Scharniere[[#This Row],[ohne Dämpfung]]=1,2,IF(Scharniere[[#This Row],[ohne Feder]]=1,3,0))),1,0)</f>
        <v>1</v>
      </c>
      <c r="Y136" s="359">
        <f>IF(Scharniere[[#This Row],[Bohrbild]]=select!$A$989,1,0)</f>
        <v>0</v>
      </c>
      <c r="Z136" s="359">
        <f>IF(IF(Scharniere[[#This Row],[Anschrauben]]=1,1,IF(Scharniere[[#This Row],[Einpressen]]=1,2,IF(Scharniere[[#This Row],[Quick]]=1,3,IF(Scharniere[[#This Row],[Werkzeuglos]]=1,4,0))))=select!$A$1003,1,0)</f>
        <v>1</v>
      </c>
      <c r="AA1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6" s="359">
        <f ca="1">IF(select!$K$980="*",Scharniere[[#This Row],[AG Ges2]],Scharniere[[#This Row],[AG Ges1]])</f>
        <v>0</v>
      </c>
      <c r="AE136" s="451">
        <f ca="1">IF(AND(Scharniere[[#This Row],[Scharnierart]]=select!$A$1485,Scharniere[[#This Row],[Gruppenschlüssel]]=select!$B$1485)=TRUE,1,0)</f>
        <v>1</v>
      </c>
      <c r="AF136" s="451">
        <f ca="1">IF(AND(Scharniere[[#This Row],[Scharnierart]]=select!$A$1486,Scharniere[[#This Row],[Gruppenschlüssel]]=select!$B$1486)=TRUE,1,0)</f>
        <v>0</v>
      </c>
      <c r="AG136" s="451">
        <f ca="1">IF(AND(Scharniere[[#This Row],[Scharnierart]]=select!$A$1487,Scharniere[[#This Row],[Gruppenschlüssel]]=select!$B$1487)=TRUE,1,0)</f>
        <v>0</v>
      </c>
      <c r="AH136" s="451">
        <f ca="1">IF(AND(Scharniere[[#This Row],[Scharnierart]]=select!$A$1488,Scharniere[[#This Row],[Gruppenschlüssel]]=select!$B$1488)=TRUE,1,0)</f>
        <v>0</v>
      </c>
      <c r="AI136" s="451">
        <f ca="1">IF(SUM(Scharniere[[#This Row],[konf Scharnier 1]:[konf Scharnier 4]])&gt;0,1,0)</f>
        <v>1</v>
      </c>
      <c r="AJ136" s="451"/>
      <c r="AK136" s="451"/>
      <c r="AL136" s="451"/>
      <c r="AM136" s="451"/>
      <c r="AN136" s="451"/>
      <c r="AO136" s="146">
        <v>1</v>
      </c>
      <c r="AP136" s="146">
        <v>1</v>
      </c>
      <c r="AQ136" s="10" t="str">
        <f ca="1">Sprache!$A$110</f>
        <v>Tiomos Scharnier T Click-on</v>
      </c>
      <c r="AR136" t="s">
        <v>229</v>
      </c>
      <c r="AS136" t="str">
        <f ca="1">Sprache!$A$103</f>
        <v>Tiomos Click-On Scharniere</v>
      </c>
      <c r="AT136">
        <v>3</v>
      </c>
      <c r="AU136" t="s">
        <v>8</v>
      </c>
      <c r="AV136">
        <v>110</v>
      </c>
      <c r="AW136" s="10">
        <v>0</v>
      </c>
      <c r="AX136">
        <v>1</v>
      </c>
      <c r="AY136">
        <v>0</v>
      </c>
      <c r="AZ136" s="10">
        <v>1</v>
      </c>
      <c r="BA136">
        <v>0</v>
      </c>
      <c r="BB136">
        <v>0</v>
      </c>
      <c r="BC136">
        <v>0</v>
      </c>
      <c r="BD136" s="143" t="s">
        <v>430</v>
      </c>
      <c r="BG136"/>
    </row>
    <row r="137" spans="1:59" ht="14.25" customHeight="1" x14ac:dyDescent="0.25">
      <c r="A137" s="37" t="str">
        <f>LEFT(Scharniere[[#This Row],[ArtikelNR]],4)</f>
        <v>F028</v>
      </c>
      <c r="B137" s="35" t="str">
        <f>MID(Scharniere[[#This Row],[ArtikelNR]],5,3)</f>
        <v>138</v>
      </c>
      <c r="C137" s="37" t="str">
        <f>RIGHT(Scharniere[[#This Row],[ArtikelNR]],3)</f>
        <v>094</v>
      </c>
      <c r="D137" s="35">
        <f>IF(AND(Scharniere[[#This Row],[Gruppenschlüssel]]=select!$A$44,Scharniere[[#This Row],[Scharnierart]]=1)=TRUE,1,0)</f>
        <v>1</v>
      </c>
      <c r="E1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7" s="35">
        <f>IF(select!$F$57=IF(Scharniere[[#This Row],[mit Dämpfung]]=1,1,IF(Scharniere[[#This Row],[ohne Dämpfung]]=1,2,IF(Scharniere[[#This Row],[ohne Feder]]=1,3,0))),1,0)</f>
        <v>0</v>
      </c>
      <c r="G137" s="35">
        <f>IF(Scharniere[[#This Row],[Bohrbild]]=select!$V$43,1,0)</f>
        <v>1</v>
      </c>
      <c r="H137" s="35">
        <f>IF(IF(Scharniere[[#This Row],[Anschrauben]]=1,1,IF(Scharniere[[#This Row],[Einpressen]]=1,2,IF(Scharniere[[#This Row],[Quick]]=1,3,IF(Scharniere[[#This Row],[Werkzeuglos]]=1,4,0))))=select!$F$48,1,0)</f>
        <v>0</v>
      </c>
      <c r="I1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7" s="149">
        <f>IF(AND(Scharniere[[#This Row],[Scharnierart]]=2,Scharniere[[#This Row],[Gruppenschlüssel]]=select!$A$318)=TRUE,1,0)</f>
        <v>0</v>
      </c>
      <c r="K137" s="221">
        <f ca="1">IF(select!$O$424&lt;6,1,0)</f>
        <v>1</v>
      </c>
      <c r="L137" s="139">
        <f>IF(select!$A$362=IF(Scharniere[[#This Row],[mit Dämpfung]]=1,1,IF(Scharniere[[#This Row],[ohne Dämpfung]]=1,2,IF(Scharniere[[#This Row],[ohne Feder]]=1,3,0))),1,0)</f>
        <v>1</v>
      </c>
      <c r="M137" s="135">
        <f>IF(Scharniere[[#This Row],[Bohrbild]]=select!$O$334,1,0)</f>
        <v>1</v>
      </c>
      <c r="N137" s="135">
        <f>IF(IF(Scharniere[[#This Row],[Anschrauben]]=1,1,IF(Scharniere[[#This Row],[Einpressen]]=1,2,IF(Scharniere[[#This Row],[Quick]]=1,3,IF(Scharniere[[#This Row],[Werkzeuglos]]=1,4,0))))=select!$E$362,1,0)</f>
        <v>1</v>
      </c>
      <c r="O1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7" s="298">
        <f>IF(AND(Scharniere[[#This Row],[Scharnierart]]=3,Scharniere[[#This Row],[Gruppenschlüssel]]=select!$A$747)=TRUE,1,0)</f>
        <v>0</v>
      </c>
      <c r="Q137" s="298">
        <f ca="1">IF(select!$O$945&lt;6,1,0)</f>
        <v>1</v>
      </c>
      <c r="R137" s="298">
        <f>IF(select!$A$778=IF(Scharniere[[#This Row],[mit Dämpfung]]=1,1,IF(Scharniere[[#This Row],[ohne Dämpfung]]=1,2,IF(Scharniere[[#This Row],[ohne Feder]]=1,3,0))),1,0)</f>
        <v>0</v>
      </c>
      <c r="S137" s="298">
        <f>IF(Scharniere[[#This Row],[Bohrbild]]=select!$A$755,1,0)</f>
        <v>0</v>
      </c>
      <c r="T137" s="298">
        <f>IF(IF(Scharniere[[#This Row],[Anschrauben]]=1,1,IF(Scharniere[[#This Row],[Einpressen]]=1,2,IF(Scharniere[[#This Row],[Quick]]=1,3,IF(Scharniere[[#This Row],[Werkzeuglos]]=1,4,0))))=select!$A$769,1,0)</f>
        <v>1</v>
      </c>
      <c r="U1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7" s="359">
        <f>IF(AND(Scharniere[[#This Row],[Scharnierart]]=4,Scharniere[[#This Row],[Gruppenschlüssel]]=select!$A$981)=TRUE,1,0)</f>
        <v>0</v>
      </c>
      <c r="W137" s="359">
        <f ca="1">IF(select!$O$1185&lt;6,1,0)</f>
        <v>1</v>
      </c>
      <c r="X137" s="359">
        <f>IF(select!$A$1012=IF(Scharniere[[#This Row],[mit Dämpfung]]=1,1,IF(Scharniere[[#This Row],[ohne Dämpfung]]=1,2,IF(Scharniere[[#This Row],[ohne Feder]]=1,3,0))),1,0)</f>
        <v>0</v>
      </c>
      <c r="Y137" s="359">
        <f>IF(Scharniere[[#This Row],[Bohrbild]]=select!$A$989,1,0)</f>
        <v>0</v>
      </c>
      <c r="Z137" s="359">
        <f>IF(IF(Scharniere[[#This Row],[Anschrauben]]=1,1,IF(Scharniere[[#This Row],[Einpressen]]=1,2,IF(Scharniere[[#This Row],[Quick]]=1,3,IF(Scharniere[[#This Row],[Werkzeuglos]]=1,4,0))))=select!$A$1003,1,0)</f>
        <v>1</v>
      </c>
      <c r="AA1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7" s="359">
        <f ca="1">IF(select!$K$980="*",Scharniere[[#This Row],[AG Ges2]],Scharniere[[#This Row],[AG Ges1]])</f>
        <v>0</v>
      </c>
      <c r="AE137" s="451">
        <f ca="1">IF(AND(Scharniere[[#This Row],[Scharnierart]]=select!$A$1485,Scharniere[[#This Row],[Gruppenschlüssel]]=select!$B$1485)=TRUE,1,0)</f>
        <v>1</v>
      </c>
      <c r="AF137" s="451">
        <f ca="1">IF(AND(Scharniere[[#This Row],[Scharnierart]]=select!$A$1486,Scharniere[[#This Row],[Gruppenschlüssel]]=select!$B$1486)=TRUE,1,0)</f>
        <v>0</v>
      </c>
      <c r="AG137" s="451">
        <f ca="1">IF(AND(Scharniere[[#This Row],[Scharnierart]]=select!$A$1487,Scharniere[[#This Row],[Gruppenschlüssel]]=select!$B$1487)=TRUE,1,0)</f>
        <v>0</v>
      </c>
      <c r="AH137" s="451">
        <f ca="1">IF(AND(Scharniere[[#This Row],[Scharnierart]]=select!$A$1488,Scharniere[[#This Row],[Gruppenschlüssel]]=select!$B$1488)=TRUE,1,0)</f>
        <v>0</v>
      </c>
      <c r="AI137" s="451">
        <f ca="1">IF(SUM(Scharniere[[#This Row],[konf Scharnier 1]:[konf Scharnier 4]])&gt;0,1,0)</f>
        <v>1</v>
      </c>
      <c r="AJ137" s="451"/>
      <c r="AK137" s="451"/>
      <c r="AL137" s="451"/>
      <c r="AM137" s="451"/>
      <c r="AN137" s="451"/>
      <c r="AO137" s="146">
        <v>1</v>
      </c>
      <c r="AP137" s="146">
        <v>1</v>
      </c>
      <c r="AQ137" s="10" t="str">
        <f ca="1">Sprache!$A$112</f>
        <v>Tiomos Scharnier TS Click-on</v>
      </c>
      <c r="AR137" t="s">
        <v>229</v>
      </c>
      <c r="AS137" t="str">
        <f ca="1">Sprache!$A$103</f>
        <v>Tiomos Click-On Scharniere</v>
      </c>
      <c r="AT137">
        <v>3</v>
      </c>
      <c r="AU137" t="s">
        <v>8</v>
      </c>
      <c r="AV137">
        <v>110</v>
      </c>
      <c r="AW137" s="10">
        <v>1</v>
      </c>
      <c r="AX137">
        <v>0</v>
      </c>
      <c r="AY137">
        <v>0</v>
      </c>
      <c r="AZ137" s="10">
        <v>1</v>
      </c>
      <c r="BA137">
        <v>0</v>
      </c>
      <c r="BB137">
        <v>0</v>
      </c>
      <c r="BC137">
        <v>0</v>
      </c>
      <c r="BD137" s="143" t="s">
        <v>228</v>
      </c>
      <c r="BG137"/>
    </row>
    <row r="138" spans="1:59" ht="14.25" customHeight="1" x14ac:dyDescent="0.25">
      <c r="A138" s="37" t="str">
        <f>LEFT(Scharniere[[#This Row],[ArtikelNR]],4)</f>
        <v>F046</v>
      </c>
      <c r="B138" s="35" t="str">
        <f>MID(Scharniere[[#This Row],[ArtikelNR]],5,3)</f>
        <v>138</v>
      </c>
      <c r="C138" s="37" t="str">
        <f>RIGHT(Scharniere[[#This Row],[ArtikelNR]],3)</f>
        <v>185</v>
      </c>
      <c r="D138" s="35">
        <f>IF(AND(Scharniere[[#This Row],[Gruppenschlüssel]]=select!$A$44,Scharniere[[#This Row],[Scharnierart]]=1)=TRUE,1,0)</f>
        <v>1</v>
      </c>
      <c r="E1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8" s="35">
        <f>IF(select!$F$57=IF(Scharniere[[#This Row],[mit Dämpfung]]=1,1,IF(Scharniere[[#This Row],[ohne Dämpfung]]=1,2,IF(Scharniere[[#This Row],[ohne Feder]]=1,3,0))),1,0)</f>
        <v>1</v>
      </c>
      <c r="G138" s="35">
        <f>IF(Scharniere[[#This Row],[Bohrbild]]=select!$V$43,1,0)</f>
        <v>1</v>
      </c>
      <c r="H138" s="35">
        <f>IF(IF(Scharniere[[#This Row],[Anschrauben]]=1,1,IF(Scharniere[[#This Row],[Einpressen]]=1,2,IF(Scharniere[[#This Row],[Quick]]=1,3,IF(Scharniere[[#This Row],[Werkzeuglos]]=1,4,0))))=select!$F$48,1,0)</f>
        <v>0</v>
      </c>
      <c r="I1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8" s="149">
        <f>IF(AND(Scharniere[[#This Row],[Scharnierart]]=2,Scharniere[[#This Row],[Gruppenschlüssel]]=select!$A$318)=TRUE,1,0)</f>
        <v>0</v>
      </c>
      <c r="K138" s="221">
        <f ca="1">IF(select!$O$424&lt;6,1,0)</f>
        <v>1</v>
      </c>
      <c r="L138" s="139">
        <f>IF(select!$A$362=IF(Scharniere[[#This Row],[mit Dämpfung]]=1,1,IF(Scharniere[[#This Row],[ohne Dämpfung]]=1,2,IF(Scharniere[[#This Row],[ohne Feder]]=1,3,0))),1,0)</f>
        <v>0</v>
      </c>
      <c r="M138" s="135">
        <f>IF(Scharniere[[#This Row],[Bohrbild]]=select!$O$334,1,0)</f>
        <v>1</v>
      </c>
      <c r="N138" s="135">
        <f>IF(IF(Scharniere[[#This Row],[Anschrauben]]=1,1,IF(Scharniere[[#This Row],[Einpressen]]=1,2,IF(Scharniere[[#This Row],[Quick]]=1,3,IF(Scharniere[[#This Row],[Werkzeuglos]]=1,4,0))))=select!$E$362,1,0)</f>
        <v>1</v>
      </c>
      <c r="O1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8" s="298">
        <f>IF(AND(Scharniere[[#This Row],[Scharnierart]]=3,Scharniere[[#This Row],[Gruppenschlüssel]]=select!$A$747)=TRUE,1,0)</f>
        <v>0</v>
      </c>
      <c r="Q138" s="298">
        <f ca="1">IF(select!$O$945&lt;6,1,0)</f>
        <v>1</v>
      </c>
      <c r="R138" s="298">
        <f>IF(select!$A$778=IF(Scharniere[[#This Row],[mit Dämpfung]]=1,1,IF(Scharniere[[#This Row],[ohne Dämpfung]]=1,2,IF(Scharniere[[#This Row],[ohne Feder]]=1,3,0))),1,0)</f>
        <v>0</v>
      </c>
      <c r="S138" s="298">
        <f>IF(Scharniere[[#This Row],[Bohrbild]]=select!$A$755,1,0)</f>
        <v>0</v>
      </c>
      <c r="T138" s="298">
        <f>IF(IF(Scharniere[[#This Row],[Anschrauben]]=1,1,IF(Scharniere[[#This Row],[Einpressen]]=1,2,IF(Scharniere[[#This Row],[Quick]]=1,3,IF(Scharniere[[#This Row],[Werkzeuglos]]=1,4,0))))=select!$A$769,1,0)</f>
        <v>1</v>
      </c>
      <c r="U1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8" s="359">
        <f>IF(AND(Scharniere[[#This Row],[Scharnierart]]=4,Scharniere[[#This Row],[Gruppenschlüssel]]=select!$A$981)=TRUE,1,0)</f>
        <v>0</v>
      </c>
      <c r="W138" s="359">
        <f ca="1">IF(select!$O$1185&lt;6,1,0)</f>
        <v>1</v>
      </c>
      <c r="X138" s="359">
        <f>IF(select!$A$1012=IF(Scharniere[[#This Row],[mit Dämpfung]]=1,1,IF(Scharniere[[#This Row],[ohne Dämpfung]]=1,2,IF(Scharniere[[#This Row],[ohne Feder]]=1,3,0))),1,0)</f>
        <v>0</v>
      </c>
      <c r="Y138" s="359">
        <f>IF(Scharniere[[#This Row],[Bohrbild]]=select!$A$989,1,0)</f>
        <v>0</v>
      </c>
      <c r="Z138" s="359">
        <f>IF(IF(Scharniere[[#This Row],[Anschrauben]]=1,1,IF(Scharniere[[#This Row],[Einpressen]]=1,2,IF(Scharniere[[#This Row],[Quick]]=1,3,IF(Scharniere[[#This Row],[Werkzeuglos]]=1,4,0))))=select!$A$1003,1,0)</f>
        <v>1</v>
      </c>
      <c r="AA1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8" s="359">
        <f ca="1">IF(select!$K$980="*",Scharniere[[#This Row],[AG Ges2]],Scharniere[[#This Row],[AG Ges1]])</f>
        <v>0</v>
      </c>
      <c r="AE138" s="451">
        <f ca="1">IF(AND(Scharniere[[#This Row],[Scharnierart]]=select!$A$1485,Scharniere[[#This Row],[Gruppenschlüssel]]=select!$B$1485)=TRUE,1,0)</f>
        <v>1</v>
      </c>
      <c r="AF138" s="451">
        <f ca="1">IF(AND(Scharniere[[#This Row],[Scharnierart]]=select!$A$1486,Scharniere[[#This Row],[Gruppenschlüssel]]=select!$B$1486)=TRUE,1,0)</f>
        <v>0</v>
      </c>
      <c r="AG138" s="451">
        <f ca="1">IF(AND(Scharniere[[#This Row],[Scharnierart]]=select!$A$1487,Scharniere[[#This Row],[Gruppenschlüssel]]=select!$B$1487)=TRUE,1,0)</f>
        <v>0</v>
      </c>
      <c r="AH138" s="451">
        <f ca="1">IF(AND(Scharniere[[#This Row],[Scharnierart]]=select!$A$1488,Scharniere[[#This Row],[Gruppenschlüssel]]=select!$B$1488)=TRUE,1,0)</f>
        <v>0</v>
      </c>
      <c r="AI138" s="451">
        <f ca="1">IF(SUM(Scharniere[[#This Row],[konf Scharnier 1]:[konf Scharnier 4]])&gt;0,1,0)</f>
        <v>1</v>
      </c>
      <c r="AJ138" s="451"/>
      <c r="AK138" s="451"/>
      <c r="AL138" s="451"/>
      <c r="AM138" s="451"/>
      <c r="AN138" s="451"/>
      <c r="AO138" s="146">
        <v>1</v>
      </c>
      <c r="AP138" s="146">
        <v>1</v>
      </c>
      <c r="AQ138" s="10" t="str">
        <f ca="1">Sprache!$A$114</f>
        <v>Tiomos Scharnier TT Click-on</v>
      </c>
      <c r="AR138" t="s">
        <v>229</v>
      </c>
      <c r="AS138" t="str">
        <f ca="1">Sprache!$A$103</f>
        <v>Tiomos Click-On Scharniere</v>
      </c>
      <c r="AT138">
        <v>3</v>
      </c>
      <c r="AU138" t="s">
        <v>8</v>
      </c>
      <c r="AV138">
        <v>110</v>
      </c>
      <c r="AW138" s="10">
        <v>0</v>
      </c>
      <c r="AX138">
        <v>0</v>
      </c>
      <c r="AY138">
        <v>1</v>
      </c>
      <c r="AZ138" s="10">
        <v>1</v>
      </c>
      <c r="BA138">
        <v>0</v>
      </c>
      <c r="BB138">
        <v>0</v>
      </c>
      <c r="BC138">
        <v>0</v>
      </c>
      <c r="BD138" s="143" t="s">
        <v>582</v>
      </c>
      <c r="BG138"/>
    </row>
    <row r="139" spans="1:59" ht="14.25" customHeight="1" x14ac:dyDescent="0.25">
      <c r="A139" s="37" t="str">
        <f>LEFT(Scharniere[[#This Row],[ArtikelNR]],4)</f>
        <v>F034</v>
      </c>
      <c r="B139" s="35" t="str">
        <f>MID(Scharniere[[#This Row],[ArtikelNR]],5,3)</f>
        <v>139</v>
      </c>
      <c r="C139" s="37" t="str">
        <f>RIGHT(Scharniere[[#This Row],[ArtikelNR]],3)</f>
        <v>301</v>
      </c>
      <c r="D139" s="35">
        <f>IF(AND(Scharniere[[#This Row],[Gruppenschlüssel]]=select!$A$44,Scharniere[[#This Row],[Scharnierart]]=1)=TRUE,1,0)</f>
        <v>1</v>
      </c>
      <c r="E1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39" s="35">
        <f>IF(select!$F$57=IF(Scharniere[[#This Row],[mit Dämpfung]]=1,1,IF(Scharniere[[#This Row],[ohne Dämpfung]]=1,2,IF(Scharniere[[#This Row],[ohne Feder]]=1,3,0))),1,0)</f>
        <v>0</v>
      </c>
      <c r="G139" s="35">
        <f>IF(Scharniere[[#This Row],[Bohrbild]]=select!$V$43,1,0)</f>
        <v>1</v>
      </c>
      <c r="H139" s="35">
        <f>IF(IF(Scharniere[[#This Row],[Anschrauben]]=1,1,IF(Scharniere[[#This Row],[Einpressen]]=1,2,IF(Scharniere[[#This Row],[Quick]]=1,3,IF(Scharniere[[#This Row],[Werkzeuglos]]=1,4,0))))=select!$F$48,1,0)</f>
        <v>0</v>
      </c>
      <c r="I1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39" s="149">
        <f>IF(AND(Scharniere[[#This Row],[Scharnierart]]=2,Scharniere[[#This Row],[Gruppenschlüssel]]=select!$A$318)=TRUE,1,0)</f>
        <v>0</v>
      </c>
      <c r="K139" s="221">
        <f ca="1">IF(select!$O$424&lt;6,1,0)</f>
        <v>1</v>
      </c>
      <c r="L139" s="139">
        <f>IF(select!$A$362=IF(Scharniere[[#This Row],[mit Dämpfung]]=1,1,IF(Scharniere[[#This Row],[ohne Dämpfung]]=1,2,IF(Scharniere[[#This Row],[ohne Feder]]=1,3,0))),1,0)</f>
        <v>0</v>
      </c>
      <c r="M139" s="135">
        <f>IF(Scharniere[[#This Row],[Bohrbild]]=select!$O$334,1,0)</f>
        <v>1</v>
      </c>
      <c r="N139" s="135">
        <f>IF(IF(Scharniere[[#This Row],[Anschrauben]]=1,1,IF(Scharniere[[#This Row],[Einpressen]]=1,2,IF(Scharniere[[#This Row],[Quick]]=1,3,IF(Scharniere[[#This Row],[Werkzeuglos]]=1,4,0))))=select!$E$362,1,0)</f>
        <v>0</v>
      </c>
      <c r="O1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39" s="298">
        <f>IF(AND(Scharniere[[#This Row],[Scharnierart]]=3,Scharniere[[#This Row],[Gruppenschlüssel]]=select!$A$747)=TRUE,1,0)</f>
        <v>0</v>
      </c>
      <c r="Q139" s="298">
        <f ca="1">IF(select!$O$945&lt;6,1,0)</f>
        <v>1</v>
      </c>
      <c r="R139" s="298">
        <f>IF(select!$A$778=IF(Scharniere[[#This Row],[mit Dämpfung]]=1,1,IF(Scharniere[[#This Row],[ohne Dämpfung]]=1,2,IF(Scharniere[[#This Row],[ohne Feder]]=1,3,0))),1,0)</f>
        <v>1</v>
      </c>
      <c r="S139" s="298">
        <f>IF(Scharniere[[#This Row],[Bohrbild]]=select!$A$755,1,0)</f>
        <v>0</v>
      </c>
      <c r="T139" s="298">
        <f>IF(IF(Scharniere[[#This Row],[Anschrauben]]=1,1,IF(Scharniere[[#This Row],[Einpressen]]=1,2,IF(Scharniere[[#This Row],[Quick]]=1,3,IF(Scharniere[[#This Row],[Werkzeuglos]]=1,4,0))))=select!$A$769,1,0)</f>
        <v>0</v>
      </c>
      <c r="U1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39" s="359">
        <f>IF(AND(Scharniere[[#This Row],[Scharnierart]]=4,Scharniere[[#This Row],[Gruppenschlüssel]]=select!$A$981)=TRUE,1,0)</f>
        <v>0</v>
      </c>
      <c r="W139" s="359">
        <f ca="1">IF(select!$O$1185&lt;6,1,0)</f>
        <v>1</v>
      </c>
      <c r="X139" s="359">
        <f>IF(select!$A$1012=IF(Scharniere[[#This Row],[mit Dämpfung]]=1,1,IF(Scharniere[[#This Row],[ohne Dämpfung]]=1,2,IF(Scharniere[[#This Row],[ohne Feder]]=1,3,0))),1,0)</f>
        <v>1</v>
      </c>
      <c r="Y139" s="359">
        <f>IF(Scharniere[[#This Row],[Bohrbild]]=select!$A$989,1,0)</f>
        <v>0</v>
      </c>
      <c r="Z139" s="359">
        <f>IF(IF(Scharniere[[#This Row],[Anschrauben]]=1,1,IF(Scharniere[[#This Row],[Einpressen]]=1,2,IF(Scharniere[[#This Row],[Quick]]=1,3,IF(Scharniere[[#This Row],[Werkzeuglos]]=1,4,0))))=select!$A$1003,1,0)</f>
        <v>0</v>
      </c>
      <c r="AA1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39" s="359">
        <f ca="1">IF(select!$K$980="*",Scharniere[[#This Row],[AG Ges2]],Scharniere[[#This Row],[AG Ges1]])</f>
        <v>0</v>
      </c>
      <c r="AE139" s="451">
        <f ca="1">IF(AND(Scharniere[[#This Row],[Scharnierart]]=select!$A$1485,Scharniere[[#This Row],[Gruppenschlüssel]]=select!$B$1485)=TRUE,1,0)</f>
        <v>1</v>
      </c>
      <c r="AF139" s="451">
        <f ca="1">IF(AND(Scharniere[[#This Row],[Scharnierart]]=select!$A$1486,Scharniere[[#This Row],[Gruppenschlüssel]]=select!$B$1486)=TRUE,1,0)</f>
        <v>0</v>
      </c>
      <c r="AG139" s="451">
        <f ca="1">IF(AND(Scharniere[[#This Row],[Scharnierart]]=select!$A$1487,Scharniere[[#This Row],[Gruppenschlüssel]]=select!$B$1487)=TRUE,1,0)</f>
        <v>0</v>
      </c>
      <c r="AH139" s="451">
        <f ca="1">IF(AND(Scharniere[[#This Row],[Scharnierart]]=select!$A$1488,Scharniere[[#This Row],[Gruppenschlüssel]]=select!$B$1488)=TRUE,1,0)</f>
        <v>0</v>
      </c>
      <c r="AI139" s="451">
        <f ca="1">IF(SUM(Scharniere[[#This Row],[konf Scharnier 1]:[konf Scharnier 4]])&gt;0,1,0)</f>
        <v>1</v>
      </c>
      <c r="AJ139" s="451"/>
      <c r="AK139" s="451"/>
      <c r="AL139" s="451"/>
      <c r="AM139" s="451"/>
      <c r="AN139" s="451"/>
      <c r="AO139" s="146">
        <v>1</v>
      </c>
      <c r="AP139" s="146">
        <v>1</v>
      </c>
      <c r="AQ139" s="10" t="str">
        <f ca="1">Sprache!$A$111</f>
        <v>Tiomos Scharnier T Impresso</v>
      </c>
      <c r="AR139" t="s">
        <v>62</v>
      </c>
      <c r="AS139" t="str">
        <f ca="1">Sprache!$A$116</f>
        <v>Tiomos Impresso Scharniere</v>
      </c>
      <c r="AT139">
        <v>3</v>
      </c>
      <c r="AU139" s="34" t="s">
        <v>8</v>
      </c>
      <c r="AV139">
        <v>110</v>
      </c>
      <c r="AW139" s="10">
        <v>0</v>
      </c>
      <c r="AX139">
        <v>1</v>
      </c>
      <c r="AY139">
        <v>0</v>
      </c>
      <c r="AZ139" s="10">
        <v>0</v>
      </c>
      <c r="BA139">
        <v>0</v>
      </c>
      <c r="BB139">
        <v>0</v>
      </c>
      <c r="BC139">
        <v>1</v>
      </c>
      <c r="BD139" s="143" t="s">
        <v>137</v>
      </c>
      <c r="BG139"/>
    </row>
    <row r="140" spans="1:59" ht="14.25" customHeight="1" x14ac:dyDescent="0.25">
      <c r="A140" s="37" t="str">
        <f>LEFT(Scharniere[[#This Row],[ArtikelNR]],4)</f>
        <v>F034</v>
      </c>
      <c r="B140" s="35" t="str">
        <f>MID(Scharniere[[#This Row],[ArtikelNR]],5,3)</f>
        <v>139</v>
      </c>
      <c r="C140" s="37" t="str">
        <f>RIGHT(Scharniere[[#This Row],[ArtikelNR]],3)</f>
        <v>301</v>
      </c>
      <c r="D140" s="35">
        <f>IF(AND(Scharniere[[#This Row],[Gruppenschlüssel]]=select!$A$44,Scharniere[[#This Row],[Scharnierart]]=1)=TRUE,1,0)</f>
        <v>1</v>
      </c>
      <c r="E1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0" s="35">
        <f>IF(select!$F$57=IF(Scharniere[[#This Row],[mit Dämpfung]]=1,1,IF(Scharniere[[#This Row],[ohne Dämpfung]]=1,2,IF(Scharniere[[#This Row],[ohne Feder]]=1,3,0))),1,0)</f>
        <v>0</v>
      </c>
      <c r="G140" s="35">
        <f>IF(Scharniere[[#This Row],[Bohrbild]]=select!$V$43,1,0)</f>
        <v>0</v>
      </c>
      <c r="H140" s="35">
        <f>IF(IF(Scharniere[[#This Row],[Anschrauben]]=1,1,IF(Scharniere[[#This Row],[Einpressen]]=1,2,IF(Scharniere[[#This Row],[Quick]]=1,3,IF(Scharniere[[#This Row],[Werkzeuglos]]=1,4,0))))=select!$F$48,1,0)</f>
        <v>0</v>
      </c>
      <c r="I1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0" s="149">
        <f>IF(AND(Scharniere[[#This Row],[Scharnierart]]=2,Scharniere[[#This Row],[Gruppenschlüssel]]=select!$A$318)=TRUE,1,0)</f>
        <v>0</v>
      </c>
      <c r="K140" s="221">
        <f ca="1">IF(select!$O$424&lt;6,1,0)</f>
        <v>1</v>
      </c>
      <c r="L140" s="139">
        <f>IF(select!$A$362=IF(Scharniere[[#This Row],[mit Dämpfung]]=1,1,IF(Scharniere[[#This Row],[ohne Dämpfung]]=1,2,IF(Scharniere[[#This Row],[ohne Feder]]=1,3,0))),1,0)</f>
        <v>0</v>
      </c>
      <c r="M140" s="135">
        <f>IF(Scharniere[[#This Row],[Bohrbild]]=select!$O$334,1,0)</f>
        <v>0</v>
      </c>
      <c r="N140" s="135">
        <f>IF(IF(Scharniere[[#This Row],[Anschrauben]]=1,1,IF(Scharniere[[#This Row],[Einpressen]]=1,2,IF(Scharniere[[#This Row],[Quick]]=1,3,IF(Scharniere[[#This Row],[Werkzeuglos]]=1,4,0))))=select!$E$362,1,0)</f>
        <v>0</v>
      </c>
      <c r="O1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0" s="298">
        <f>IF(AND(Scharniere[[#This Row],[Scharnierart]]=3,Scharniere[[#This Row],[Gruppenschlüssel]]=select!$A$747)=TRUE,1,0)</f>
        <v>0</v>
      </c>
      <c r="Q140" s="298">
        <f ca="1">IF(select!$O$945&lt;6,1,0)</f>
        <v>1</v>
      </c>
      <c r="R140" s="298">
        <f>IF(select!$A$778=IF(Scharniere[[#This Row],[mit Dämpfung]]=1,1,IF(Scharniere[[#This Row],[ohne Dämpfung]]=1,2,IF(Scharniere[[#This Row],[ohne Feder]]=1,3,0))),1,0)</f>
        <v>1</v>
      </c>
      <c r="S140" s="298">
        <f>IF(Scharniere[[#This Row],[Bohrbild]]=select!$A$755,1,0)</f>
        <v>0</v>
      </c>
      <c r="T140" s="298">
        <f>IF(IF(Scharniere[[#This Row],[Anschrauben]]=1,1,IF(Scharniere[[#This Row],[Einpressen]]=1,2,IF(Scharniere[[#This Row],[Quick]]=1,3,IF(Scharniere[[#This Row],[Werkzeuglos]]=1,4,0))))=select!$A$769,1,0)</f>
        <v>0</v>
      </c>
      <c r="U1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0" s="359">
        <f>IF(AND(Scharniere[[#This Row],[Scharnierart]]=4,Scharniere[[#This Row],[Gruppenschlüssel]]=select!$A$981)=TRUE,1,0)</f>
        <v>0</v>
      </c>
      <c r="W140" s="359">
        <f ca="1">IF(select!$O$1185&lt;6,1,0)</f>
        <v>1</v>
      </c>
      <c r="X140" s="359">
        <f>IF(select!$A$1012=IF(Scharniere[[#This Row],[mit Dämpfung]]=1,1,IF(Scharniere[[#This Row],[ohne Dämpfung]]=1,2,IF(Scharniere[[#This Row],[ohne Feder]]=1,3,0))),1,0)</f>
        <v>1</v>
      </c>
      <c r="Y140" s="359">
        <f>IF(Scharniere[[#This Row],[Bohrbild]]=select!$A$989,1,0)</f>
        <v>0</v>
      </c>
      <c r="Z140" s="359">
        <f>IF(IF(Scharniere[[#This Row],[Anschrauben]]=1,1,IF(Scharniere[[#This Row],[Einpressen]]=1,2,IF(Scharniere[[#This Row],[Quick]]=1,3,IF(Scharniere[[#This Row],[Werkzeuglos]]=1,4,0))))=select!$A$1003,1,0)</f>
        <v>0</v>
      </c>
      <c r="AA1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0" s="359">
        <f ca="1">IF(select!$K$980="*",Scharniere[[#This Row],[AG Ges2]],Scharniere[[#This Row],[AG Ges1]])</f>
        <v>0</v>
      </c>
      <c r="AE140" s="451">
        <f ca="1">IF(AND(Scharniere[[#This Row],[Scharnierart]]=select!$A$1485,Scharniere[[#This Row],[Gruppenschlüssel]]=select!$B$1485)=TRUE,1,0)</f>
        <v>1</v>
      </c>
      <c r="AF140" s="451">
        <f ca="1">IF(AND(Scharniere[[#This Row],[Scharnierart]]=select!$A$1486,Scharniere[[#This Row],[Gruppenschlüssel]]=select!$B$1486)=TRUE,1,0)</f>
        <v>0</v>
      </c>
      <c r="AG140" s="451">
        <f ca="1">IF(AND(Scharniere[[#This Row],[Scharnierart]]=select!$A$1487,Scharniere[[#This Row],[Gruppenschlüssel]]=select!$B$1487)=TRUE,1,0)</f>
        <v>0</v>
      </c>
      <c r="AH140" s="451">
        <f ca="1">IF(AND(Scharniere[[#This Row],[Scharnierart]]=select!$A$1488,Scharniere[[#This Row],[Gruppenschlüssel]]=select!$B$1488)=TRUE,1,0)</f>
        <v>0</v>
      </c>
      <c r="AI140" s="451">
        <f ca="1">IF(SUM(Scharniere[[#This Row],[konf Scharnier 1]:[konf Scharnier 4]])&gt;0,1,0)</f>
        <v>1</v>
      </c>
      <c r="AJ140" s="451"/>
      <c r="AK140" s="451"/>
      <c r="AL140" s="451"/>
      <c r="AM140" s="451"/>
      <c r="AN140" s="451"/>
      <c r="AO140" s="146">
        <v>1</v>
      </c>
      <c r="AP140" s="146">
        <v>1</v>
      </c>
      <c r="AQ140" s="10" t="str">
        <f ca="1">Sprache!$A$111</f>
        <v>Tiomos Scharnier T Impresso</v>
      </c>
      <c r="AR140" t="s">
        <v>62</v>
      </c>
      <c r="AS140" t="str">
        <f ca="1">Sprache!$A$116</f>
        <v>Tiomos Impresso Scharniere</v>
      </c>
      <c r="AT140">
        <v>3</v>
      </c>
      <c r="AU140" s="10" t="s">
        <v>3</v>
      </c>
      <c r="AV140">
        <v>110</v>
      </c>
      <c r="AW140" s="10">
        <v>0</v>
      </c>
      <c r="AX140">
        <v>1</v>
      </c>
      <c r="AY140">
        <v>0</v>
      </c>
      <c r="AZ140" s="10">
        <v>0</v>
      </c>
      <c r="BA140">
        <v>0</v>
      </c>
      <c r="BB140">
        <v>0</v>
      </c>
      <c r="BC140">
        <v>1</v>
      </c>
      <c r="BD140" s="143" t="s">
        <v>137</v>
      </c>
      <c r="BG140"/>
    </row>
    <row r="141" spans="1:59" ht="14.25" customHeight="1" x14ac:dyDescent="0.25">
      <c r="A141" s="37" t="str">
        <f>LEFT(Scharniere[[#This Row],[ArtikelNR]],4)</f>
        <v>F017</v>
      </c>
      <c r="B141" s="35" t="str">
        <f>MID(Scharniere[[#This Row],[ArtikelNR]],5,3)</f>
        <v>139</v>
      </c>
      <c r="C141" s="37" t="str">
        <f>RIGHT(Scharniere[[#This Row],[ArtikelNR]],3)</f>
        <v>330</v>
      </c>
      <c r="D141" s="35">
        <f>IF(AND(Scharniere[[#This Row],[Gruppenschlüssel]]=select!$A$44,Scharniere[[#This Row],[Scharnierart]]=1)=TRUE,1,0)</f>
        <v>1</v>
      </c>
      <c r="E1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1" s="35">
        <f>IF(select!$F$57=IF(Scharniere[[#This Row],[mit Dämpfung]]=1,1,IF(Scharniere[[#This Row],[ohne Dämpfung]]=1,2,IF(Scharniere[[#This Row],[ohne Feder]]=1,3,0))),1,0)</f>
        <v>0</v>
      </c>
      <c r="G141" s="35">
        <f>IF(Scharniere[[#This Row],[Bohrbild]]=select!$V$43,1,0)</f>
        <v>1</v>
      </c>
      <c r="H141" s="35">
        <f>IF(IF(Scharniere[[#This Row],[Anschrauben]]=1,1,IF(Scharniere[[#This Row],[Einpressen]]=1,2,IF(Scharniere[[#This Row],[Quick]]=1,3,IF(Scharniere[[#This Row],[Werkzeuglos]]=1,4,0))))=select!$F$48,1,0)</f>
        <v>0</v>
      </c>
      <c r="I1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1" s="149">
        <f>IF(AND(Scharniere[[#This Row],[Scharnierart]]=2,Scharniere[[#This Row],[Gruppenschlüssel]]=select!$A$318)=TRUE,1,0)</f>
        <v>0</v>
      </c>
      <c r="K141" s="221">
        <f ca="1">IF(select!$O$424&lt;6,1,0)</f>
        <v>1</v>
      </c>
      <c r="L141" s="139">
        <f>IF(select!$A$362=IF(Scharniere[[#This Row],[mit Dämpfung]]=1,1,IF(Scharniere[[#This Row],[ohne Dämpfung]]=1,2,IF(Scharniere[[#This Row],[ohne Feder]]=1,3,0))),1,0)</f>
        <v>1</v>
      </c>
      <c r="M141" s="135">
        <f>IF(Scharniere[[#This Row],[Bohrbild]]=select!$O$334,1,0)</f>
        <v>1</v>
      </c>
      <c r="N141" s="135">
        <f>IF(IF(Scharniere[[#This Row],[Anschrauben]]=1,1,IF(Scharniere[[#This Row],[Einpressen]]=1,2,IF(Scharniere[[#This Row],[Quick]]=1,3,IF(Scharniere[[#This Row],[Werkzeuglos]]=1,4,0))))=select!$E$362,1,0)</f>
        <v>0</v>
      </c>
      <c r="O1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1" s="298">
        <f>IF(AND(Scharniere[[#This Row],[Scharnierart]]=3,Scharniere[[#This Row],[Gruppenschlüssel]]=select!$A$747)=TRUE,1,0)</f>
        <v>0</v>
      </c>
      <c r="Q141" s="298">
        <f ca="1">IF(select!$O$945&lt;6,1,0)</f>
        <v>1</v>
      </c>
      <c r="R141" s="298">
        <f>IF(select!$A$778=IF(Scharniere[[#This Row],[mit Dämpfung]]=1,1,IF(Scharniere[[#This Row],[ohne Dämpfung]]=1,2,IF(Scharniere[[#This Row],[ohne Feder]]=1,3,0))),1,0)</f>
        <v>0</v>
      </c>
      <c r="S141" s="298">
        <f>IF(Scharniere[[#This Row],[Bohrbild]]=select!$A$755,1,0)</f>
        <v>0</v>
      </c>
      <c r="T141" s="298">
        <f>IF(IF(Scharniere[[#This Row],[Anschrauben]]=1,1,IF(Scharniere[[#This Row],[Einpressen]]=1,2,IF(Scharniere[[#This Row],[Quick]]=1,3,IF(Scharniere[[#This Row],[Werkzeuglos]]=1,4,0))))=select!$A$769,1,0)</f>
        <v>0</v>
      </c>
      <c r="U1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1" s="359">
        <f>IF(AND(Scharniere[[#This Row],[Scharnierart]]=4,Scharniere[[#This Row],[Gruppenschlüssel]]=select!$A$981)=TRUE,1,0)</f>
        <v>0</v>
      </c>
      <c r="W141" s="359">
        <f ca="1">IF(select!$O$1185&lt;6,1,0)</f>
        <v>1</v>
      </c>
      <c r="X141" s="359">
        <f>IF(select!$A$1012=IF(Scharniere[[#This Row],[mit Dämpfung]]=1,1,IF(Scharniere[[#This Row],[ohne Dämpfung]]=1,2,IF(Scharniere[[#This Row],[ohne Feder]]=1,3,0))),1,0)</f>
        <v>0</v>
      </c>
      <c r="Y141" s="359">
        <f>IF(Scharniere[[#This Row],[Bohrbild]]=select!$A$989,1,0)</f>
        <v>0</v>
      </c>
      <c r="Z141" s="359">
        <f>IF(IF(Scharniere[[#This Row],[Anschrauben]]=1,1,IF(Scharniere[[#This Row],[Einpressen]]=1,2,IF(Scharniere[[#This Row],[Quick]]=1,3,IF(Scharniere[[#This Row],[Werkzeuglos]]=1,4,0))))=select!$A$1003,1,0)</f>
        <v>0</v>
      </c>
      <c r="AA1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1" s="359">
        <f ca="1">IF(select!$K$980="*",Scharniere[[#This Row],[AG Ges2]],Scharniere[[#This Row],[AG Ges1]])</f>
        <v>0</v>
      </c>
      <c r="AE141" s="451">
        <f ca="1">IF(AND(Scharniere[[#This Row],[Scharnierart]]=select!$A$1485,Scharniere[[#This Row],[Gruppenschlüssel]]=select!$B$1485)=TRUE,1,0)</f>
        <v>1</v>
      </c>
      <c r="AF141" s="451">
        <f ca="1">IF(AND(Scharniere[[#This Row],[Scharnierart]]=select!$A$1486,Scharniere[[#This Row],[Gruppenschlüssel]]=select!$B$1486)=TRUE,1,0)</f>
        <v>0</v>
      </c>
      <c r="AG141" s="451">
        <f ca="1">IF(AND(Scharniere[[#This Row],[Scharnierart]]=select!$A$1487,Scharniere[[#This Row],[Gruppenschlüssel]]=select!$B$1487)=TRUE,1,0)</f>
        <v>0</v>
      </c>
      <c r="AH141" s="451">
        <f ca="1">IF(AND(Scharniere[[#This Row],[Scharnierart]]=select!$A$1488,Scharniere[[#This Row],[Gruppenschlüssel]]=select!$B$1488)=TRUE,1,0)</f>
        <v>0</v>
      </c>
      <c r="AI141" s="451">
        <f ca="1">IF(SUM(Scharniere[[#This Row],[konf Scharnier 1]:[konf Scharnier 4]])&gt;0,1,0)</f>
        <v>1</v>
      </c>
      <c r="AJ141" s="451"/>
      <c r="AK141" s="451"/>
      <c r="AL141" s="451"/>
      <c r="AM141" s="451"/>
      <c r="AN141" s="451"/>
      <c r="AO141" s="146">
        <v>1</v>
      </c>
      <c r="AP141" s="146">
        <v>1</v>
      </c>
      <c r="AQ141" s="10" t="str">
        <f ca="1">Sprache!$A$113</f>
        <v>Tiomos Scharnier TS Impresso</v>
      </c>
      <c r="AR141" t="s">
        <v>62</v>
      </c>
      <c r="AS141" t="str">
        <f ca="1">Sprache!$A$116</f>
        <v>Tiomos Impresso Scharniere</v>
      </c>
      <c r="AT141">
        <v>3</v>
      </c>
      <c r="AU141" s="10" t="s">
        <v>8</v>
      </c>
      <c r="AV141">
        <v>110</v>
      </c>
      <c r="AW141" s="10">
        <v>1</v>
      </c>
      <c r="AX141">
        <v>0</v>
      </c>
      <c r="AY141">
        <v>0</v>
      </c>
      <c r="AZ141" s="10">
        <v>0</v>
      </c>
      <c r="BA141">
        <v>0</v>
      </c>
      <c r="BB141">
        <v>0</v>
      </c>
      <c r="BC141">
        <v>1</v>
      </c>
      <c r="BD141" s="143" t="s">
        <v>61</v>
      </c>
      <c r="BG141"/>
    </row>
    <row r="142" spans="1:59" ht="14.25" customHeight="1" x14ac:dyDescent="0.25">
      <c r="A142" s="37" t="str">
        <f>LEFT(Scharniere[[#This Row],[ArtikelNR]],4)</f>
        <v>F017</v>
      </c>
      <c r="B142" s="35" t="str">
        <f>MID(Scharniere[[#This Row],[ArtikelNR]],5,3)</f>
        <v>139</v>
      </c>
      <c r="C142" s="37" t="str">
        <f>RIGHT(Scharniere[[#This Row],[ArtikelNR]],3)</f>
        <v>330</v>
      </c>
      <c r="D142" s="35">
        <f>IF(AND(Scharniere[[#This Row],[Gruppenschlüssel]]=select!$A$44,Scharniere[[#This Row],[Scharnierart]]=1)=TRUE,1,0)</f>
        <v>1</v>
      </c>
      <c r="E1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2" s="35">
        <f>IF(select!$F$57=IF(Scharniere[[#This Row],[mit Dämpfung]]=1,1,IF(Scharniere[[#This Row],[ohne Dämpfung]]=1,2,IF(Scharniere[[#This Row],[ohne Feder]]=1,3,0))),1,0)</f>
        <v>0</v>
      </c>
      <c r="G142" s="35">
        <f>IF(Scharniere[[#This Row],[Bohrbild]]=select!$V$43,1,0)</f>
        <v>0</v>
      </c>
      <c r="H142" s="35">
        <f>IF(IF(Scharniere[[#This Row],[Anschrauben]]=1,1,IF(Scharniere[[#This Row],[Einpressen]]=1,2,IF(Scharniere[[#This Row],[Quick]]=1,3,IF(Scharniere[[#This Row],[Werkzeuglos]]=1,4,0))))=select!$F$48,1,0)</f>
        <v>0</v>
      </c>
      <c r="I1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2" s="149">
        <f>IF(AND(Scharniere[[#This Row],[Scharnierart]]=2,Scharniere[[#This Row],[Gruppenschlüssel]]=select!$A$318)=TRUE,1,0)</f>
        <v>0</v>
      </c>
      <c r="K142" s="221">
        <f ca="1">IF(select!$O$424&lt;6,1,0)</f>
        <v>1</v>
      </c>
      <c r="L142" s="139">
        <f>IF(select!$A$362=IF(Scharniere[[#This Row],[mit Dämpfung]]=1,1,IF(Scharniere[[#This Row],[ohne Dämpfung]]=1,2,IF(Scharniere[[#This Row],[ohne Feder]]=1,3,0))),1,0)</f>
        <v>1</v>
      </c>
      <c r="M142" s="135">
        <f>IF(Scharniere[[#This Row],[Bohrbild]]=select!$O$334,1,0)</f>
        <v>0</v>
      </c>
      <c r="N142" s="135">
        <f>IF(IF(Scharniere[[#This Row],[Anschrauben]]=1,1,IF(Scharniere[[#This Row],[Einpressen]]=1,2,IF(Scharniere[[#This Row],[Quick]]=1,3,IF(Scharniere[[#This Row],[Werkzeuglos]]=1,4,0))))=select!$E$362,1,0)</f>
        <v>0</v>
      </c>
      <c r="O1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2" s="298">
        <f>IF(AND(Scharniere[[#This Row],[Scharnierart]]=3,Scharniere[[#This Row],[Gruppenschlüssel]]=select!$A$747)=TRUE,1,0)</f>
        <v>0</v>
      </c>
      <c r="Q142" s="298">
        <f ca="1">IF(select!$O$945&lt;6,1,0)</f>
        <v>1</v>
      </c>
      <c r="R142" s="298">
        <f>IF(select!$A$778=IF(Scharniere[[#This Row],[mit Dämpfung]]=1,1,IF(Scharniere[[#This Row],[ohne Dämpfung]]=1,2,IF(Scharniere[[#This Row],[ohne Feder]]=1,3,0))),1,0)</f>
        <v>0</v>
      </c>
      <c r="S142" s="298">
        <f>IF(Scharniere[[#This Row],[Bohrbild]]=select!$A$755,1,0)</f>
        <v>0</v>
      </c>
      <c r="T142" s="298">
        <f>IF(IF(Scharniere[[#This Row],[Anschrauben]]=1,1,IF(Scharniere[[#This Row],[Einpressen]]=1,2,IF(Scharniere[[#This Row],[Quick]]=1,3,IF(Scharniere[[#This Row],[Werkzeuglos]]=1,4,0))))=select!$A$769,1,0)</f>
        <v>0</v>
      </c>
      <c r="U1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2" s="359">
        <f>IF(AND(Scharniere[[#This Row],[Scharnierart]]=4,Scharniere[[#This Row],[Gruppenschlüssel]]=select!$A$981)=TRUE,1,0)</f>
        <v>0</v>
      </c>
      <c r="W142" s="359">
        <f ca="1">IF(select!$O$1185&lt;6,1,0)</f>
        <v>1</v>
      </c>
      <c r="X142" s="359">
        <f>IF(select!$A$1012=IF(Scharniere[[#This Row],[mit Dämpfung]]=1,1,IF(Scharniere[[#This Row],[ohne Dämpfung]]=1,2,IF(Scharniere[[#This Row],[ohne Feder]]=1,3,0))),1,0)</f>
        <v>0</v>
      </c>
      <c r="Y142" s="359">
        <f>IF(Scharniere[[#This Row],[Bohrbild]]=select!$A$989,1,0)</f>
        <v>0</v>
      </c>
      <c r="Z142" s="359">
        <f>IF(IF(Scharniere[[#This Row],[Anschrauben]]=1,1,IF(Scharniere[[#This Row],[Einpressen]]=1,2,IF(Scharniere[[#This Row],[Quick]]=1,3,IF(Scharniere[[#This Row],[Werkzeuglos]]=1,4,0))))=select!$A$1003,1,0)</f>
        <v>0</v>
      </c>
      <c r="AA1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2" s="359">
        <f ca="1">IF(select!$K$980="*",Scharniere[[#This Row],[AG Ges2]],Scharniere[[#This Row],[AG Ges1]])</f>
        <v>0</v>
      </c>
      <c r="AE142" s="451">
        <f ca="1">IF(AND(Scharniere[[#This Row],[Scharnierart]]=select!$A$1485,Scharniere[[#This Row],[Gruppenschlüssel]]=select!$B$1485)=TRUE,1,0)</f>
        <v>1</v>
      </c>
      <c r="AF142" s="451">
        <f ca="1">IF(AND(Scharniere[[#This Row],[Scharnierart]]=select!$A$1486,Scharniere[[#This Row],[Gruppenschlüssel]]=select!$B$1486)=TRUE,1,0)</f>
        <v>0</v>
      </c>
      <c r="AG142" s="451">
        <f ca="1">IF(AND(Scharniere[[#This Row],[Scharnierart]]=select!$A$1487,Scharniere[[#This Row],[Gruppenschlüssel]]=select!$B$1487)=TRUE,1,0)</f>
        <v>0</v>
      </c>
      <c r="AH142" s="451">
        <f ca="1">IF(AND(Scharniere[[#This Row],[Scharnierart]]=select!$A$1488,Scharniere[[#This Row],[Gruppenschlüssel]]=select!$B$1488)=TRUE,1,0)</f>
        <v>0</v>
      </c>
      <c r="AI142" s="451">
        <f ca="1">IF(SUM(Scharniere[[#This Row],[konf Scharnier 1]:[konf Scharnier 4]])&gt;0,1,0)</f>
        <v>1</v>
      </c>
      <c r="AJ142" s="451"/>
      <c r="AK142" s="451"/>
      <c r="AL142" s="451"/>
      <c r="AM142" s="451"/>
      <c r="AN142" s="451"/>
      <c r="AO142" s="146">
        <v>1</v>
      </c>
      <c r="AP142" s="146">
        <v>1</v>
      </c>
      <c r="AQ142" s="10" t="str">
        <f ca="1">Sprache!$A$113</f>
        <v>Tiomos Scharnier TS Impresso</v>
      </c>
      <c r="AR142" t="s">
        <v>62</v>
      </c>
      <c r="AS142" t="str">
        <f ca="1">Sprache!$A$116</f>
        <v>Tiomos Impresso Scharniere</v>
      </c>
      <c r="AT142">
        <v>3</v>
      </c>
      <c r="AU142" s="34" t="s">
        <v>3</v>
      </c>
      <c r="AV142">
        <v>110</v>
      </c>
      <c r="AW142" s="10">
        <v>1</v>
      </c>
      <c r="AX142">
        <v>0</v>
      </c>
      <c r="AY142">
        <v>0</v>
      </c>
      <c r="AZ142" s="10">
        <v>0</v>
      </c>
      <c r="BA142">
        <v>0</v>
      </c>
      <c r="BB142">
        <v>0</v>
      </c>
      <c r="BC142">
        <v>1</v>
      </c>
      <c r="BD142" s="143" t="s">
        <v>61</v>
      </c>
      <c r="BG142"/>
    </row>
    <row r="143" spans="1:59" ht="14.25" customHeight="1" x14ac:dyDescent="0.25">
      <c r="A143" s="37" t="str">
        <f>LEFT(Scharniere[[#This Row],[ArtikelNR]],4)</f>
        <v>F035</v>
      </c>
      <c r="B143" s="35" t="str">
        <f>MID(Scharniere[[#This Row],[ArtikelNR]],5,3)</f>
        <v>139</v>
      </c>
      <c r="C143" s="37" t="str">
        <f>RIGHT(Scharniere[[#This Row],[ArtikelNR]],3)</f>
        <v>358</v>
      </c>
      <c r="D143" s="35">
        <f>IF(AND(Scharniere[[#This Row],[Gruppenschlüssel]]=select!$A$44,Scharniere[[#This Row],[Scharnierart]]=1)=TRUE,1,0)</f>
        <v>1</v>
      </c>
      <c r="E1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3" s="35">
        <f>IF(select!$F$57=IF(Scharniere[[#This Row],[mit Dämpfung]]=1,1,IF(Scharniere[[#This Row],[ohne Dämpfung]]=1,2,IF(Scharniere[[#This Row],[ohne Feder]]=1,3,0))),1,0)</f>
        <v>1</v>
      </c>
      <c r="G143" s="35">
        <f>IF(Scharniere[[#This Row],[Bohrbild]]=select!$V$43,1,0)</f>
        <v>1</v>
      </c>
      <c r="H143" s="35">
        <f>IF(IF(Scharniere[[#This Row],[Anschrauben]]=1,1,IF(Scharniere[[#This Row],[Einpressen]]=1,2,IF(Scharniere[[#This Row],[Quick]]=1,3,IF(Scharniere[[#This Row],[Werkzeuglos]]=1,4,0))))=select!$F$48,1,0)</f>
        <v>0</v>
      </c>
      <c r="I1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3" s="149">
        <f>IF(AND(Scharniere[[#This Row],[Scharnierart]]=2,Scharniere[[#This Row],[Gruppenschlüssel]]=select!$A$318)=TRUE,1,0)</f>
        <v>0</v>
      </c>
      <c r="K143" s="221">
        <f ca="1">IF(select!$O$424&lt;6,1,0)</f>
        <v>1</v>
      </c>
      <c r="L143" s="139">
        <f>IF(select!$A$362=IF(Scharniere[[#This Row],[mit Dämpfung]]=1,1,IF(Scharniere[[#This Row],[ohne Dämpfung]]=1,2,IF(Scharniere[[#This Row],[ohne Feder]]=1,3,0))),1,0)</f>
        <v>0</v>
      </c>
      <c r="M143" s="135">
        <f>IF(Scharniere[[#This Row],[Bohrbild]]=select!$O$334,1,0)</f>
        <v>1</v>
      </c>
      <c r="N143" s="135">
        <f>IF(IF(Scharniere[[#This Row],[Anschrauben]]=1,1,IF(Scharniere[[#This Row],[Einpressen]]=1,2,IF(Scharniere[[#This Row],[Quick]]=1,3,IF(Scharniere[[#This Row],[Werkzeuglos]]=1,4,0))))=select!$E$362,1,0)</f>
        <v>0</v>
      </c>
      <c r="O1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3" s="298">
        <f>IF(AND(Scharniere[[#This Row],[Scharnierart]]=3,Scharniere[[#This Row],[Gruppenschlüssel]]=select!$A$747)=TRUE,1,0)</f>
        <v>0</v>
      </c>
      <c r="Q143" s="298">
        <f ca="1">IF(select!$O$945&lt;6,1,0)</f>
        <v>1</v>
      </c>
      <c r="R143" s="298">
        <f>IF(select!$A$778=IF(Scharniere[[#This Row],[mit Dämpfung]]=1,1,IF(Scharniere[[#This Row],[ohne Dämpfung]]=1,2,IF(Scharniere[[#This Row],[ohne Feder]]=1,3,0))),1,0)</f>
        <v>0</v>
      </c>
      <c r="S143" s="298">
        <f>IF(Scharniere[[#This Row],[Bohrbild]]=select!$A$755,1,0)</f>
        <v>0</v>
      </c>
      <c r="T143" s="298">
        <f>IF(IF(Scharniere[[#This Row],[Anschrauben]]=1,1,IF(Scharniere[[#This Row],[Einpressen]]=1,2,IF(Scharniere[[#This Row],[Quick]]=1,3,IF(Scharniere[[#This Row],[Werkzeuglos]]=1,4,0))))=select!$A$769,1,0)</f>
        <v>0</v>
      </c>
      <c r="U1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3" s="359">
        <f>IF(AND(Scharniere[[#This Row],[Scharnierart]]=4,Scharniere[[#This Row],[Gruppenschlüssel]]=select!$A$981)=TRUE,1,0)</f>
        <v>0</v>
      </c>
      <c r="W143" s="359">
        <f ca="1">IF(select!$O$1185&lt;6,1,0)</f>
        <v>1</v>
      </c>
      <c r="X143" s="359">
        <f>IF(select!$A$1012=IF(Scharniere[[#This Row],[mit Dämpfung]]=1,1,IF(Scharniere[[#This Row],[ohne Dämpfung]]=1,2,IF(Scharniere[[#This Row],[ohne Feder]]=1,3,0))),1,0)</f>
        <v>0</v>
      </c>
      <c r="Y143" s="359">
        <f>IF(Scharniere[[#This Row],[Bohrbild]]=select!$A$989,1,0)</f>
        <v>0</v>
      </c>
      <c r="Z143" s="359">
        <f>IF(IF(Scharniere[[#This Row],[Anschrauben]]=1,1,IF(Scharniere[[#This Row],[Einpressen]]=1,2,IF(Scharniere[[#This Row],[Quick]]=1,3,IF(Scharniere[[#This Row],[Werkzeuglos]]=1,4,0))))=select!$A$1003,1,0)</f>
        <v>0</v>
      </c>
      <c r="AA1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3" s="359">
        <f ca="1">IF(select!$K$980="*",Scharniere[[#This Row],[AG Ges2]],Scharniere[[#This Row],[AG Ges1]])</f>
        <v>0</v>
      </c>
      <c r="AE143" s="451">
        <f ca="1">IF(AND(Scharniere[[#This Row],[Scharnierart]]=select!$A$1485,Scharniere[[#This Row],[Gruppenschlüssel]]=select!$B$1485)=TRUE,1,0)</f>
        <v>1</v>
      </c>
      <c r="AF143" s="451">
        <f ca="1">IF(AND(Scharniere[[#This Row],[Scharnierart]]=select!$A$1486,Scharniere[[#This Row],[Gruppenschlüssel]]=select!$B$1486)=TRUE,1,0)</f>
        <v>0</v>
      </c>
      <c r="AG143" s="451">
        <f ca="1">IF(AND(Scharniere[[#This Row],[Scharnierart]]=select!$A$1487,Scharniere[[#This Row],[Gruppenschlüssel]]=select!$B$1487)=TRUE,1,0)</f>
        <v>0</v>
      </c>
      <c r="AH143" s="451">
        <f ca="1">IF(AND(Scharniere[[#This Row],[Scharnierart]]=select!$A$1488,Scharniere[[#This Row],[Gruppenschlüssel]]=select!$B$1488)=TRUE,1,0)</f>
        <v>0</v>
      </c>
      <c r="AI143" s="451">
        <f ca="1">IF(SUM(Scharniere[[#This Row],[konf Scharnier 1]:[konf Scharnier 4]])&gt;0,1,0)</f>
        <v>1</v>
      </c>
      <c r="AJ143" s="451"/>
      <c r="AK143" s="451"/>
      <c r="AL143" s="451"/>
      <c r="AM143" s="451"/>
      <c r="AN143" s="451"/>
      <c r="AO143" s="146">
        <v>1</v>
      </c>
      <c r="AP143" s="146">
        <v>1</v>
      </c>
      <c r="AQ143" s="10" t="str">
        <f ca="1">Sprache!$A$115</f>
        <v>Tiomos Scharnier TT Impresso</v>
      </c>
      <c r="AR143" t="s">
        <v>62</v>
      </c>
      <c r="AS143" t="str">
        <f ca="1">Sprache!$A$116</f>
        <v>Tiomos Impresso Scharniere</v>
      </c>
      <c r="AT143">
        <v>3</v>
      </c>
      <c r="AU143" t="s">
        <v>8</v>
      </c>
      <c r="AV143">
        <v>110</v>
      </c>
      <c r="AW143" s="10">
        <v>0</v>
      </c>
      <c r="AX143">
        <v>0</v>
      </c>
      <c r="AY143">
        <v>1</v>
      </c>
      <c r="AZ143" s="10">
        <v>0</v>
      </c>
      <c r="BA143">
        <v>0</v>
      </c>
      <c r="BB143">
        <v>0</v>
      </c>
      <c r="BC143">
        <v>1</v>
      </c>
      <c r="BD143" s="143" t="s">
        <v>181</v>
      </c>
      <c r="BG143"/>
    </row>
    <row r="144" spans="1:59" ht="14.25" customHeight="1" x14ac:dyDescent="0.25">
      <c r="A144" s="37" t="str">
        <f>LEFT(Scharniere[[#This Row],[ArtikelNR]],4)</f>
        <v>F035</v>
      </c>
      <c r="B144" s="35" t="str">
        <f>MID(Scharniere[[#This Row],[ArtikelNR]],5,3)</f>
        <v>139</v>
      </c>
      <c r="C144" s="37" t="str">
        <f>RIGHT(Scharniere[[#This Row],[ArtikelNR]],3)</f>
        <v>358</v>
      </c>
      <c r="D144" s="35">
        <f>IF(AND(Scharniere[[#This Row],[Gruppenschlüssel]]=select!$A$44,Scharniere[[#This Row],[Scharnierart]]=1)=TRUE,1,0)</f>
        <v>1</v>
      </c>
      <c r="E1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4" s="35">
        <f>IF(select!$F$57=IF(Scharniere[[#This Row],[mit Dämpfung]]=1,1,IF(Scharniere[[#This Row],[ohne Dämpfung]]=1,2,IF(Scharniere[[#This Row],[ohne Feder]]=1,3,0))),1,0)</f>
        <v>1</v>
      </c>
      <c r="G144" s="35">
        <f>IF(Scharniere[[#This Row],[Bohrbild]]=select!$V$43,1,0)</f>
        <v>0</v>
      </c>
      <c r="H144" s="35">
        <f>IF(IF(Scharniere[[#This Row],[Anschrauben]]=1,1,IF(Scharniere[[#This Row],[Einpressen]]=1,2,IF(Scharniere[[#This Row],[Quick]]=1,3,IF(Scharniere[[#This Row],[Werkzeuglos]]=1,4,0))))=select!$F$48,1,0)</f>
        <v>0</v>
      </c>
      <c r="I1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4" s="149">
        <f>IF(AND(Scharniere[[#This Row],[Scharnierart]]=2,Scharniere[[#This Row],[Gruppenschlüssel]]=select!$A$318)=TRUE,1,0)</f>
        <v>0</v>
      </c>
      <c r="K144" s="221">
        <f ca="1">IF(select!$O$424&lt;6,1,0)</f>
        <v>1</v>
      </c>
      <c r="L144" s="139">
        <f>IF(select!$A$362=IF(Scharniere[[#This Row],[mit Dämpfung]]=1,1,IF(Scharniere[[#This Row],[ohne Dämpfung]]=1,2,IF(Scharniere[[#This Row],[ohne Feder]]=1,3,0))),1,0)</f>
        <v>0</v>
      </c>
      <c r="M144" s="135">
        <f>IF(Scharniere[[#This Row],[Bohrbild]]=select!$O$334,1,0)</f>
        <v>0</v>
      </c>
      <c r="N144" s="135">
        <f>IF(IF(Scharniere[[#This Row],[Anschrauben]]=1,1,IF(Scharniere[[#This Row],[Einpressen]]=1,2,IF(Scharniere[[#This Row],[Quick]]=1,3,IF(Scharniere[[#This Row],[Werkzeuglos]]=1,4,0))))=select!$E$362,1,0)</f>
        <v>0</v>
      </c>
      <c r="O1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4" s="298">
        <f>IF(AND(Scharniere[[#This Row],[Scharnierart]]=3,Scharniere[[#This Row],[Gruppenschlüssel]]=select!$A$747)=TRUE,1,0)</f>
        <v>0</v>
      </c>
      <c r="Q144" s="298">
        <f ca="1">IF(select!$O$945&lt;6,1,0)</f>
        <v>1</v>
      </c>
      <c r="R144" s="298">
        <f>IF(select!$A$778=IF(Scharniere[[#This Row],[mit Dämpfung]]=1,1,IF(Scharniere[[#This Row],[ohne Dämpfung]]=1,2,IF(Scharniere[[#This Row],[ohne Feder]]=1,3,0))),1,0)</f>
        <v>0</v>
      </c>
      <c r="S144" s="298">
        <f>IF(Scharniere[[#This Row],[Bohrbild]]=select!$A$755,1,0)</f>
        <v>0</v>
      </c>
      <c r="T144" s="298">
        <f>IF(IF(Scharniere[[#This Row],[Anschrauben]]=1,1,IF(Scharniere[[#This Row],[Einpressen]]=1,2,IF(Scharniere[[#This Row],[Quick]]=1,3,IF(Scharniere[[#This Row],[Werkzeuglos]]=1,4,0))))=select!$A$769,1,0)</f>
        <v>0</v>
      </c>
      <c r="U1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4" s="359">
        <f>IF(AND(Scharniere[[#This Row],[Scharnierart]]=4,Scharniere[[#This Row],[Gruppenschlüssel]]=select!$A$981)=TRUE,1,0)</f>
        <v>0</v>
      </c>
      <c r="W144" s="359">
        <f ca="1">IF(select!$O$1185&lt;6,1,0)</f>
        <v>1</v>
      </c>
      <c r="X144" s="359">
        <f>IF(select!$A$1012=IF(Scharniere[[#This Row],[mit Dämpfung]]=1,1,IF(Scharniere[[#This Row],[ohne Dämpfung]]=1,2,IF(Scharniere[[#This Row],[ohne Feder]]=1,3,0))),1,0)</f>
        <v>0</v>
      </c>
      <c r="Y144" s="359">
        <f>IF(Scharniere[[#This Row],[Bohrbild]]=select!$A$989,1,0)</f>
        <v>0</v>
      </c>
      <c r="Z144" s="359">
        <f>IF(IF(Scharniere[[#This Row],[Anschrauben]]=1,1,IF(Scharniere[[#This Row],[Einpressen]]=1,2,IF(Scharniere[[#This Row],[Quick]]=1,3,IF(Scharniere[[#This Row],[Werkzeuglos]]=1,4,0))))=select!$A$1003,1,0)</f>
        <v>0</v>
      </c>
      <c r="AA1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4" s="359">
        <f ca="1">IF(select!$K$980="*",Scharniere[[#This Row],[AG Ges2]],Scharniere[[#This Row],[AG Ges1]])</f>
        <v>0</v>
      </c>
      <c r="AE144" s="451">
        <f ca="1">IF(AND(Scharniere[[#This Row],[Scharnierart]]=select!$A$1485,Scharniere[[#This Row],[Gruppenschlüssel]]=select!$B$1485)=TRUE,1,0)</f>
        <v>1</v>
      </c>
      <c r="AF144" s="451">
        <f ca="1">IF(AND(Scharniere[[#This Row],[Scharnierart]]=select!$A$1486,Scharniere[[#This Row],[Gruppenschlüssel]]=select!$B$1486)=TRUE,1,0)</f>
        <v>0</v>
      </c>
      <c r="AG144" s="451">
        <f ca="1">IF(AND(Scharniere[[#This Row],[Scharnierart]]=select!$A$1487,Scharniere[[#This Row],[Gruppenschlüssel]]=select!$B$1487)=TRUE,1,0)</f>
        <v>0</v>
      </c>
      <c r="AH144" s="451">
        <f ca="1">IF(AND(Scharniere[[#This Row],[Scharnierart]]=select!$A$1488,Scharniere[[#This Row],[Gruppenschlüssel]]=select!$B$1488)=TRUE,1,0)</f>
        <v>0</v>
      </c>
      <c r="AI144" s="451">
        <f ca="1">IF(SUM(Scharniere[[#This Row],[konf Scharnier 1]:[konf Scharnier 4]])&gt;0,1,0)</f>
        <v>1</v>
      </c>
      <c r="AJ144" s="451"/>
      <c r="AK144" s="451"/>
      <c r="AL144" s="451"/>
      <c r="AM144" s="451"/>
      <c r="AN144" s="451"/>
      <c r="AO144" s="146">
        <v>1</v>
      </c>
      <c r="AP144" s="146">
        <v>1</v>
      </c>
      <c r="AQ144" s="10" t="str">
        <f ca="1">Sprache!$A$115</f>
        <v>Tiomos Scharnier TT Impresso</v>
      </c>
      <c r="AR144" t="s">
        <v>62</v>
      </c>
      <c r="AS144" t="str">
        <f ca="1">Sprache!$A$116</f>
        <v>Tiomos Impresso Scharniere</v>
      </c>
      <c r="AT144">
        <v>3</v>
      </c>
      <c r="AU144" t="s">
        <v>3</v>
      </c>
      <c r="AV144">
        <v>110</v>
      </c>
      <c r="AW144" s="10">
        <v>0</v>
      </c>
      <c r="AX144">
        <v>0</v>
      </c>
      <c r="AY144">
        <v>1</v>
      </c>
      <c r="AZ144" s="10">
        <v>0</v>
      </c>
      <c r="BA144">
        <v>0</v>
      </c>
      <c r="BB144">
        <v>0</v>
      </c>
      <c r="BC144">
        <v>1</v>
      </c>
      <c r="BD144" s="143" t="s">
        <v>181</v>
      </c>
      <c r="BG144"/>
    </row>
    <row r="145" spans="1:59" ht="14.25" customHeight="1" x14ac:dyDescent="0.25">
      <c r="A145" s="37" t="str">
        <f>LEFT(Scharniere[[#This Row],[ArtikelNR]],4)</f>
        <v>F045</v>
      </c>
      <c r="B145" s="35" t="str">
        <f>MID(Scharniere[[#This Row],[ArtikelNR]],5,3)</f>
        <v>138</v>
      </c>
      <c r="C145" s="37" t="str">
        <f>RIGHT(Scharniere[[#This Row],[ArtikelNR]],3)</f>
        <v>826</v>
      </c>
      <c r="D145" s="35">
        <f>IF(AND(Scharniere[[#This Row],[Gruppenschlüssel]]=select!$A$44,Scharniere[[#This Row],[Scharnierart]]=1)=TRUE,1,0)</f>
        <v>1</v>
      </c>
      <c r="E1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5" s="35">
        <f>IF(select!$F$57=IF(Scharniere[[#This Row],[mit Dämpfung]]=1,1,IF(Scharniere[[#This Row],[ohne Dämpfung]]=1,2,IF(Scharniere[[#This Row],[ohne Feder]]=1,3,0))),1,0)</f>
        <v>0</v>
      </c>
      <c r="G145" s="35">
        <f>IF(Scharniere[[#This Row],[Bohrbild]]=select!$V$43,1,0)</f>
        <v>0</v>
      </c>
      <c r="H145" s="35">
        <f>IF(IF(Scharniere[[#This Row],[Anschrauben]]=1,1,IF(Scharniere[[#This Row],[Einpressen]]=1,2,IF(Scharniere[[#This Row],[Quick]]=1,3,IF(Scharniere[[#This Row],[Werkzeuglos]]=1,4,0))))=select!$F$48,1,0)</f>
        <v>1</v>
      </c>
      <c r="I1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5" s="149">
        <f>IF(AND(Scharniere[[#This Row],[Scharnierart]]=2,Scharniere[[#This Row],[Gruppenschlüssel]]=select!$A$318)=TRUE,1,0)</f>
        <v>0</v>
      </c>
      <c r="K145" s="221">
        <f ca="1">IF(select!$O$424&lt;6,1,0)</f>
        <v>1</v>
      </c>
      <c r="L145" s="139">
        <f>IF(select!$A$362=IF(Scharniere[[#This Row],[mit Dämpfung]]=1,1,IF(Scharniere[[#This Row],[ohne Dämpfung]]=1,2,IF(Scharniere[[#This Row],[ohne Feder]]=1,3,0))),1,0)</f>
        <v>0</v>
      </c>
      <c r="M145" s="135">
        <f>IF(Scharniere[[#This Row],[Bohrbild]]=select!$O$334,1,0)</f>
        <v>0</v>
      </c>
      <c r="N145" s="135">
        <f>IF(IF(Scharniere[[#This Row],[Anschrauben]]=1,1,IF(Scharniere[[#This Row],[Einpressen]]=1,2,IF(Scharniere[[#This Row],[Quick]]=1,3,IF(Scharniere[[#This Row],[Werkzeuglos]]=1,4,0))))=select!$E$362,1,0)</f>
        <v>0</v>
      </c>
      <c r="O1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5" s="298">
        <f>IF(AND(Scharniere[[#This Row],[Scharnierart]]=3,Scharniere[[#This Row],[Gruppenschlüssel]]=select!$A$747)=TRUE,1,0)</f>
        <v>0</v>
      </c>
      <c r="Q145" s="298">
        <f ca="1">IF(select!$O$945&lt;6,1,0)</f>
        <v>1</v>
      </c>
      <c r="R145" s="298">
        <f>IF(select!$A$778=IF(Scharniere[[#This Row],[mit Dämpfung]]=1,1,IF(Scharniere[[#This Row],[ohne Dämpfung]]=1,2,IF(Scharniere[[#This Row],[ohne Feder]]=1,3,0))),1,0)</f>
        <v>1</v>
      </c>
      <c r="S145" s="298">
        <f>IF(Scharniere[[#This Row],[Bohrbild]]=select!$A$755,1,0)</f>
        <v>0</v>
      </c>
      <c r="T145" s="298">
        <f>IF(IF(Scharniere[[#This Row],[Anschrauben]]=1,1,IF(Scharniere[[#This Row],[Einpressen]]=1,2,IF(Scharniere[[#This Row],[Quick]]=1,3,IF(Scharniere[[#This Row],[Werkzeuglos]]=1,4,0))))=select!$A$769,1,0)</f>
        <v>0</v>
      </c>
      <c r="U1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5" s="359">
        <f>IF(AND(Scharniere[[#This Row],[Scharnierart]]=4,Scharniere[[#This Row],[Gruppenschlüssel]]=select!$A$981)=TRUE,1,0)</f>
        <v>0</v>
      </c>
      <c r="W145" s="359">
        <f ca="1">IF(select!$O$1185&lt;6,1,0)</f>
        <v>1</v>
      </c>
      <c r="X145" s="359">
        <f>IF(select!$A$1012=IF(Scharniere[[#This Row],[mit Dämpfung]]=1,1,IF(Scharniere[[#This Row],[ohne Dämpfung]]=1,2,IF(Scharniere[[#This Row],[ohne Feder]]=1,3,0))),1,0)</f>
        <v>1</v>
      </c>
      <c r="Y145" s="359">
        <f>IF(Scharniere[[#This Row],[Bohrbild]]=select!$A$989,1,0)</f>
        <v>0</v>
      </c>
      <c r="Z145" s="359">
        <f>IF(IF(Scharniere[[#This Row],[Anschrauben]]=1,1,IF(Scharniere[[#This Row],[Einpressen]]=1,2,IF(Scharniere[[#This Row],[Quick]]=1,3,IF(Scharniere[[#This Row],[Werkzeuglos]]=1,4,0))))=select!$A$1003,1,0)</f>
        <v>0</v>
      </c>
      <c r="AA1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5" s="359">
        <f ca="1">IF(select!$K$980="*",Scharniere[[#This Row],[AG Ges2]],Scharniere[[#This Row],[AG Ges1]])</f>
        <v>0</v>
      </c>
      <c r="AE145" s="451">
        <f ca="1">IF(AND(Scharniere[[#This Row],[Scharnierart]]=select!$A$1485,Scharniere[[#This Row],[Gruppenschlüssel]]=select!$B$1485)=TRUE,1,0)</f>
        <v>1</v>
      </c>
      <c r="AF145" s="451">
        <f ca="1">IF(AND(Scharniere[[#This Row],[Scharnierart]]=select!$A$1486,Scharniere[[#This Row],[Gruppenschlüssel]]=select!$B$1486)=TRUE,1,0)</f>
        <v>0</v>
      </c>
      <c r="AG145" s="451">
        <f ca="1">IF(AND(Scharniere[[#This Row],[Scharnierart]]=select!$A$1487,Scharniere[[#This Row],[Gruppenschlüssel]]=select!$B$1487)=TRUE,1,0)</f>
        <v>0</v>
      </c>
      <c r="AH145" s="451">
        <f ca="1">IF(AND(Scharniere[[#This Row],[Scharnierart]]=select!$A$1488,Scharniere[[#This Row],[Gruppenschlüssel]]=select!$B$1488)=TRUE,1,0)</f>
        <v>0</v>
      </c>
      <c r="AI145" s="451">
        <f ca="1">IF(SUM(Scharniere[[#This Row],[konf Scharnier 1]:[konf Scharnier 4]])&gt;0,1,0)</f>
        <v>1</v>
      </c>
      <c r="AJ145" s="451"/>
      <c r="AK145" s="451"/>
      <c r="AL145" s="451"/>
      <c r="AM145" s="451"/>
      <c r="AN145" s="451"/>
      <c r="AO145" s="146">
        <v>1</v>
      </c>
      <c r="AP145" s="146">
        <v>1</v>
      </c>
      <c r="AQ145" s="10" t="str">
        <f ca="1">Sprache!$A$110</f>
        <v>Tiomos Scharnier T Click-on</v>
      </c>
      <c r="AR145" t="str">
        <f ca="1">"110°, S-BB, K03, "&amp;Sprache!A181&amp;", ni"</f>
        <v>110°, S-BB, K03, Dübel, ni</v>
      </c>
      <c r="AS145" t="str">
        <f ca="1">Sprache!$A$103</f>
        <v>Tiomos Click-On Scharniere</v>
      </c>
      <c r="AT145">
        <v>3</v>
      </c>
      <c r="AU145" s="34" t="s">
        <v>11</v>
      </c>
      <c r="AV145">
        <v>110</v>
      </c>
      <c r="AW145" s="10">
        <v>0</v>
      </c>
      <c r="AX145">
        <v>1</v>
      </c>
      <c r="AY145">
        <v>0</v>
      </c>
      <c r="AZ145" s="10">
        <v>0</v>
      </c>
      <c r="BA145">
        <v>1</v>
      </c>
      <c r="BB145">
        <v>0</v>
      </c>
      <c r="BC145">
        <v>0</v>
      </c>
      <c r="BD145" s="143" t="s">
        <v>547</v>
      </c>
      <c r="BG145"/>
    </row>
    <row r="146" spans="1:59" ht="14.25" customHeight="1" x14ac:dyDescent="0.25">
      <c r="A146" s="37" t="str">
        <f>LEFT(Scharniere[[#This Row],[ArtikelNR]],4)</f>
        <v>F028</v>
      </c>
      <c r="B146" s="35" t="str">
        <f>MID(Scharniere[[#This Row],[ArtikelNR]],5,3)</f>
        <v>138</v>
      </c>
      <c r="C146" s="37" t="str">
        <f>RIGHT(Scharniere[[#This Row],[ArtikelNR]],3)</f>
        <v>888</v>
      </c>
      <c r="D146" s="35">
        <f>IF(AND(Scharniere[[#This Row],[Gruppenschlüssel]]=select!$A$44,Scharniere[[#This Row],[Scharnierart]]=1)=TRUE,1,0)</f>
        <v>1</v>
      </c>
      <c r="E1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6" s="35">
        <f>IF(select!$F$57=IF(Scharniere[[#This Row],[mit Dämpfung]]=1,1,IF(Scharniere[[#This Row],[ohne Dämpfung]]=1,2,IF(Scharniere[[#This Row],[ohne Feder]]=1,3,0))),1,0)</f>
        <v>0</v>
      </c>
      <c r="G146" s="35">
        <f>IF(Scharniere[[#This Row],[Bohrbild]]=select!$V$43,1,0)</f>
        <v>0</v>
      </c>
      <c r="H146" s="35">
        <f>IF(IF(Scharniere[[#This Row],[Anschrauben]]=1,1,IF(Scharniere[[#This Row],[Einpressen]]=1,2,IF(Scharniere[[#This Row],[Quick]]=1,3,IF(Scharniere[[#This Row],[Werkzeuglos]]=1,4,0))))=select!$F$48,1,0)</f>
        <v>1</v>
      </c>
      <c r="I1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6" s="149">
        <f>IF(AND(Scharniere[[#This Row],[Scharnierart]]=2,Scharniere[[#This Row],[Gruppenschlüssel]]=select!$A$318)=TRUE,1,0)</f>
        <v>0</v>
      </c>
      <c r="K146" s="221">
        <f ca="1">IF(select!$O$424&lt;6,1,0)</f>
        <v>1</v>
      </c>
      <c r="L146" s="139">
        <f>IF(select!$A$362=IF(Scharniere[[#This Row],[mit Dämpfung]]=1,1,IF(Scharniere[[#This Row],[ohne Dämpfung]]=1,2,IF(Scharniere[[#This Row],[ohne Feder]]=1,3,0))),1,0)</f>
        <v>1</v>
      </c>
      <c r="M146" s="135">
        <f>IF(Scharniere[[#This Row],[Bohrbild]]=select!$O$334,1,0)</f>
        <v>0</v>
      </c>
      <c r="N146" s="135">
        <f>IF(IF(Scharniere[[#This Row],[Anschrauben]]=1,1,IF(Scharniere[[#This Row],[Einpressen]]=1,2,IF(Scharniere[[#This Row],[Quick]]=1,3,IF(Scharniere[[#This Row],[Werkzeuglos]]=1,4,0))))=select!$E$362,1,0)</f>
        <v>0</v>
      </c>
      <c r="O1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6" s="298">
        <f>IF(AND(Scharniere[[#This Row],[Scharnierart]]=3,Scharniere[[#This Row],[Gruppenschlüssel]]=select!$A$747)=TRUE,1,0)</f>
        <v>0</v>
      </c>
      <c r="Q146" s="298">
        <f ca="1">IF(select!$O$945&lt;6,1,0)</f>
        <v>1</v>
      </c>
      <c r="R146" s="298">
        <f>IF(select!$A$778=IF(Scharniere[[#This Row],[mit Dämpfung]]=1,1,IF(Scharniere[[#This Row],[ohne Dämpfung]]=1,2,IF(Scharniere[[#This Row],[ohne Feder]]=1,3,0))),1,0)</f>
        <v>0</v>
      </c>
      <c r="S146" s="298">
        <f>IF(Scharniere[[#This Row],[Bohrbild]]=select!$A$755,1,0)</f>
        <v>0</v>
      </c>
      <c r="T146" s="298">
        <f>IF(IF(Scharniere[[#This Row],[Anschrauben]]=1,1,IF(Scharniere[[#This Row],[Einpressen]]=1,2,IF(Scharniere[[#This Row],[Quick]]=1,3,IF(Scharniere[[#This Row],[Werkzeuglos]]=1,4,0))))=select!$A$769,1,0)</f>
        <v>0</v>
      </c>
      <c r="U1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6" s="359">
        <f>IF(AND(Scharniere[[#This Row],[Scharnierart]]=4,Scharniere[[#This Row],[Gruppenschlüssel]]=select!$A$981)=TRUE,1,0)</f>
        <v>0</v>
      </c>
      <c r="W146" s="359">
        <f ca="1">IF(select!$O$1185&lt;6,1,0)</f>
        <v>1</v>
      </c>
      <c r="X146" s="359">
        <f>IF(select!$A$1012=IF(Scharniere[[#This Row],[mit Dämpfung]]=1,1,IF(Scharniere[[#This Row],[ohne Dämpfung]]=1,2,IF(Scharniere[[#This Row],[ohne Feder]]=1,3,0))),1,0)</f>
        <v>0</v>
      </c>
      <c r="Y146" s="359">
        <f>IF(Scharniere[[#This Row],[Bohrbild]]=select!$A$989,1,0)</f>
        <v>0</v>
      </c>
      <c r="Z146" s="359">
        <f>IF(IF(Scharniere[[#This Row],[Anschrauben]]=1,1,IF(Scharniere[[#This Row],[Einpressen]]=1,2,IF(Scharniere[[#This Row],[Quick]]=1,3,IF(Scharniere[[#This Row],[Werkzeuglos]]=1,4,0))))=select!$A$1003,1,0)</f>
        <v>0</v>
      </c>
      <c r="AA1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6" s="359">
        <f ca="1">IF(select!$K$980="*",Scharniere[[#This Row],[AG Ges2]],Scharniere[[#This Row],[AG Ges1]])</f>
        <v>0</v>
      </c>
      <c r="AE146" s="451">
        <f ca="1">IF(AND(Scharniere[[#This Row],[Scharnierart]]=select!$A$1485,Scharniere[[#This Row],[Gruppenschlüssel]]=select!$B$1485)=TRUE,1,0)</f>
        <v>1</v>
      </c>
      <c r="AF146" s="451">
        <f ca="1">IF(AND(Scharniere[[#This Row],[Scharnierart]]=select!$A$1486,Scharniere[[#This Row],[Gruppenschlüssel]]=select!$B$1486)=TRUE,1,0)</f>
        <v>0</v>
      </c>
      <c r="AG146" s="451">
        <f ca="1">IF(AND(Scharniere[[#This Row],[Scharnierart]]=select!$A$1487,Scharniere[[#This Row],[Gruppenschlüssel]]=select!$B$1487)=TRUE,1,0)</f>
        <v>0</v>
      </c>
      <c r="AH146" s="451">
        <f ca="1">IF(AND(Scharniere[[#This Row],[Scharnierart]]=select!$A$1488,Scharniere[[#This Row],[Gruppenschlüssel]]=select!$B$1488)=TRUE,1,0)</f>
        <v>0</v>
      </c>
      <c r="AI146" s="451">
        <f ca="1">IF(SUM(Scharniere[[#This Row],[konf Scharnier 1]:[konf Scharnier 4]])&gt;0,1,0)</f>
        <v>1</v>
      </c>
      <c r="AJ146" s="451"/>
      <c r="AK146" s="451"/>
      <c r="AL146" s="451"/>
      <c r="AM146" s="451"/>
      <c r="AN146" s="451"/>
      <c r="AO146" s="146">
        <v>1</v>
      </c>
      <c r="AP146" s="146">
        <v>1</v>
      </c>
      <c r="AQ146" s="10" t="str">
        <f ca="1">Sprache!$A$112</f>
        <v>Tiomos Scharnier TS Click-on</v>
      </c>
      <c r="AR146" t="str">
        <f ca="1">"110°, S-BB, K03, "&amp;Sprache!A181&amp;", ni"</f>
        <v>110°, S-BB, K03, Dübel, ni</v>
      </c>
      <c r="AS146" t="str">
        <f ca="1">Sprache!$A$103</f>
        <v>Tiomos Click-On Scharniere</v>
      </c>
      <c r="AT146">
        <v>3</v>
      </c>
      <c r="AU146" t="s">
        <v>11</v>
      </c>
      <c r="AV146">
        <v>110</v>
      </c>
      <c r="AW146" s="10">
        <v>1</v>
      </c>
      <c r="AX146">
        <v>0</v>
      </c>
      <c r="AY146">
        <v>0</v>
      </c>
      <c r="AZ146" s="10">
        <v>0</v>
      </c>
      <c r="BA146">
        <v>1</v>
      </c>
      <c r="BB146">
        <v>0</v>
      </c>
      <c r="BC146">
        <v>0</v>
      </c>
      <c r="BD146" s="143" t="s">
        <v>387</v>
      </c>
      <c r="BG146"/>
    </row>
    <row r="147" spans="1:59" ht="14.25" customHeight="1" x14ac:dyDescent="0.25">
      <c r="A147" s="37" t="str">
        <f>LEFT(Scharniere[[#This Row],[ArtikelNR]],4)</f>
        <v>F046</v>
      </c>
      <c r="B147" s="35" t="str">
        <f>MID(Scharniere[[#This Row],[ArtikelNR]],5,3)</f>
        <v>138</v>
      </c>
      <c r="C147" s="37" t="str">
        <f>RIGHT(Scharniere[[#This Row],[ArtikelNR]],3)</f>
        <v>948</v>
      </c>
      <c r="D147" s="35">
        <f>IF(AND(Scharniere[[#This Row],[Gruppenschlüssel]]=select!$A$44,Scharniere[[#This Row],[Scharnierart]]=1)=TRUE,1,0)</f>
        <v>1</v>
      </c>
      <c r="E1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7" s="35">
        <f>IF(select!$F$57=IF(Scharniere[[#This Row],[mit Dämpfung]]=1,1,IF(Scharniere[[#This Row],[ohne Dämpfung]]=1,2,IF(Scharniere[[#This Row],[ohne Feder]]=1,3,0))),1,0)</f>
        <v>1</v>
      </c>
      <c r="G147" s="35">
        <f>IF(Scharniere[[#This Row],[Bohrbild]]=select!$V$43,1,0)</f>
        <v>0</v>
      </c>
      <c r="H147" s="35">
        <f>IF(IF(Scharniere[[#This Row],[Anschrauben]]=1,1,IF(Scharniere[[#This Row],[Einpressen]]=1,2,IF(Scharniere[[#This Row],[Quick]]=1,3,IF(Scharniere[[#This Row],[Werkzeuglos]]=1,4,0))))=select!$F$48,1,0)</f>
        <v>1</v>
      </c>
      <c r="I1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7" s="149">
        <f>IF(AND(Scharniere[[#This Row],[Scharnierart]]=2,Scharniere[[#This Row],[Gruppenschlüssel]]=select!$A$318)=TRUE,1,0)</f>
        <v>0</v>
      </c>
      <c r="K147" s="221">
        <f ca="1">IF(select!$O$424&lt;6,1,0)</f>
        <v>1</v>
      </c>
      <c r="L147" s="139">
        <f>IF(select!$A$362=IF(Scharniere[[#This Row],[mit Dämpfung]]=1,1,IF(Scharniere[[#This Row],[ohne Dämpfung]]=1,2,IF(Scharniere[[#This Row],[ohne Feder]]=1,3,0))),1,0)</f>
        <v>0</v>
      </c>
      <c r="M147" s="135">
        <f>IF(Scharniere[[#This Row],[Bohrbild]]=select!$O$334,1,0)</f>
        <v>0</v>
      </c>
      <c r="N147" s="135">
        <f>IF(IF(Scharniere[[#This Row],[Anschrauben]]=1,1,IF(Scharniere[[#This Row],[Einpressen]]=1,2,IF(Scharniere[[#This Row],[Quick]]=1,3,IF(Scharniere[[#This Row],[Werkzeuglos]]=1,4,0))))=select!$E$362,1,0)</f>
        <v>0</v>
      </c>
      <c r="O1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7" s="298">
        <f>IF(AND(Scharniere[[#This Row],[Scharnierart]]=3,Scharniere[[#This Row],[Gruppenschlüssel]]=select!$A$747)=TRUE,1,0)</f>
        <v>0</v>
      </c>
      <c r="Q147" s="298">
        <f ca="1">IF(select!$O$945&lt;6,1,0)</f>
        <v>1</v>
      </c>
      <c r="R147" s="298">
        <f>IF(select!$A$778=IF(Scharniere[[#This Row],[mit Dämpfung]]=1,1,IF(Scharniere[[#This Row],[ohne Dämpfung]]=1,2,IF(Scharniere[[#This Row],[ohne Feder]]=1,3,0))),1,0)</f>
        <v>0</v>
      </c>
      <c r="S147" s="298">
        <f>IF(Scharniere[[#This Row],[Bohrbild]]=select!$A$755,1,0)</f>
        <v>0</v>
      </c>
      <c r="T147" s="298">
        <f>IF(IF(Scharniere[[#This Row],[Anschrauben]]=1,1,IF(Scharniere[[#This Row],[Einpressen]]=1,2,IF(Scharniere[[#This Row],[Quick]]=1,3,IF(Scharniere[[#This Row],[Werkzeuglos]]=1,4,0))))=select!$A$769,1,0)</f>
        <v>0</v>
      </c>
      <c r="U1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7" s="359">
        <f>IF(AND(Scharniere[[#This Row],[Scharnierart]]=4,Scharniere[[#This Row],[Gruppenschlüssel]]=select!$A$981)=TRUE,1,0)</f>
        <v>0</v>
      </c>
      <c r="W147" s="359">
        <f ca="1">IF(select!$O$1185&lt;6,1,0)</f>
        <v>1</v>
      </c>
      <c r="X147" s="359">
        <f>IF(select!$A$1012=IF(Scharniere[[#This Row],[mit Dämpfung]]=1,1,IF(Scharniere[[#This Row],[ohne Dämpfung]]=1,2,IF(Scharniere[[#This Row],[ohne Feder]]=1,3,0))),1,0)</f>
        <v>0</v>
      </c>
      <c r="Y147" s="359">
        <f>IF(Scharniere[[#This Row],[Bohrbild]]=select!$A$989,1,0)</f>
        <v>0</v>
      </c>
      <c r="Z147" s="359">
        <f>IF(IF(Scharniere[[#This Row],[Anschrauben]]=1,1,IF(Scharniere[[#This Row],[Einpressen]]=1,2,IF(Scharniere[[#This Row],[Quick]]=1,3,IF(Scharniere[[#This Row],[Werkzeuglos]]=1,4,0))))=select!$A$1003,1,0)</f>
        <v>0</v>
      </c>
      <c r="AA1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7" s="359">
        <f ca="1">IF(select!$K$980="*",Scharniere[[#This Row],[AG Ges2]],Scharniere[[#This Row],[AG Ges1]])</f>
        <v>0</v>
      </c>
      <c r="AE147" s="451">
        <f ca="1">IF(AND(Scharniere[[#This Row],[Scharnierart]]=select!$A$1485,Scharniere[[#This Row],[Gruppenschlüssel]]=select!$B$1485)=TRUE,1,0)</f>
        <v>1</v>
      </c>
      <c r="AF147" s="451">
        <f ca="1">IF(AND(Scharniere[[#This Row],[Scharnierart]]=select!$A$1486,Scharniere[[#This Row],[Gruppenschlüssel]]=select!$B$1486)=TRUE,1,0)</f>
        <v>0</v>
      </c>
      <c r="AG147" s="451">
        <f ca="1">IF(AND(Scharniere[[#This Row],[Scharnierart]]=select!$A$1487,Scharniere[[#This Row],[Gruppenschlüssel]]=select!$B$1487)=TRUE,1,0)</f>
        <v>0</v>
      </c>
      <c r="AH147" s="451">
        <f ca="1">IF(AND(Scharniere[[#This Row],[Scharnierart]]=select!$A$1488,Scharniere[[#This Row],[Gruppenschlüssel]]=select!$B$1488)=TRUE,1,0)</f>
        <v>0</v>
      </c>
      <c r="AI147" s="451">
        <f ca="1">IF(SUM(Scharniere[[#This Row],[konf Scharnier 1]:[konf Scharnier 4]])&gt;0,1,0)</f>
        <v>1</v>
      </c>
      <c r="AJ147" s="451"/>
      <c r="AK147" s="451"/>
      <c r="AL147" s="451"/>
      <c r="AM147" s="451"/>
      <c r="AN147" s="451"/>
      <c r="AO147" s="146">
        <v>1</v>
      </c>
      <c r="AP147" s="146">
        <v>1</v>
      </c>
      <c r="AQ147" s="10" t="str">
        <f ca="1">Sprache!$A$114</f>
        <v>Tiomos Scharnier TT Click-on</v>
      </c>
      <c r="AR147" t="str">
        <f ca="1">"110°, S-BB, K03, "&amp;Sprache!A181&amp;", ni"</f>
        <v>110°, S-BB, K03, Dübel, ni</v>
      </c>
      <c r="AS147" t="str">
        <f ca="1">Sprache!$A$103</f>
        <v>Tiomos Click-On Scharniere</v>
      </c>
      <c r="AT147">
        <v>3</v>
      </c>
      <c r="AU147" t="s">
        <v>11</v>
      </c>
      <c r="AV147">
        <v>110</v>
      </c>
      <c r="AW147" s="10">
        <v>0</v>
      </c>
      <c r="AX147">
        <v>0</v>
      </c>
      <c r="AY147">
        <v>1</v>
      </c>
      <c r="AZ147" s="10">
        <v>0</v>
      </c>
      <c r="BA147">
        <v>1</v>
      </c>
      <c r="BB147">
        <v>0</v>
      </c>
      <c r="BC147">
        <v>0</v>
      </c>
      <c r="BD147" s="143" t="s">
        <v>699</v>
      </c>
      <c r="BG147"/>
    </row>
    <row r="148" spans="1:59" ht="14.25" customHeight="1" x14ac:dyDescent="0.25">
      <c r="A148" s="37" t="str">
        <f>LEFT(Scharniere[[#This Row],[ArtikelNR]],4)</f>
        <v>F045</v>
      </c>
      <c r="B148" s="35" t="str">
        <f>MID(Scharniere[[#This Row],[ArtikelNR]],5,3)</f>
        <v>138</v>
      </c>
      <c r="C148" s="37" t="str">
        <f>RIGHT(Scharniere[[#This Row],[ArtikelNR]],3)</f>
        <v>822</v>
      </c>
      <c r="D148" s="35">
        <f>IF(AND(Scharniere[[#This Row],[Gruppenschlüssel]]=select!$A$44,Scharniere[[#This Row],[Scharnierart]]=1)=TRUE,1,0)</f>
        <v>1</v>
      </c>
      <c r="E1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8" s="35">
        <f>IF(select!$F$57=IF(Scharniere[[#This Row],[mit Dämpfung]]=1,1,IF(Scharniere[[#This Row],[ohne Dämpfung]]=1,2,IF(Scharniere[[#This Row],[ohne Feder]]=1,3,0))),1,0)</f>
        <v>0</v>
      </c>
      <c r="G148" s="35">
        <f>IF(Scharniere[[#This Row],[Bohrbild]]=select!$V$43,1,0)</f>
        <v>0</v>
      </c>
      <c r="H148" s="35">
        <f>IF(IF(Scharniere[[#This Row],[Anschrauben]]=1,1,IF(Scharniere[[#This Row],[Einpressen]]=1,2,IF(Scharniere[[#This Row],[Quick]]=1,3,IF(Scharniere[[#This Row],[Werkzeuglos]]=1,4,0))))=select!$F$48,1,0)</f>
        <v>0</v>
      </c>
      <c r="I1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8" s="149">
        <f>IF(AND(Scharniere[[#This Row],[Scharnierart]]=2,Scharniere[[#This Row],[Gruppenschlüssel]]=select!$A$318)=TRUE,1,0)</f>
        <v>0</v>
      </c>
      <c r="K148" s="221">
        <f ca="1">IF(select!$O$424&lt;6,1,0)</f>
        <v>1</v>
      </c>
      <c r="L148" s="139">
        <f>IF(select!$A$362=IF(Scharniere[[#This Row],[mit Dämpfung]]=1,1,IF(Scharniere[[#This Row],[ohne Dämpfung]]=1,2,IF(Scharniere[[#This Row],[ohne Feder]]=1,3,0))),1,0)</f>
        <v>0</v>
      </c>
      <c r="M148" s="135">
        <f>IF(Scharniere[[#This Row],[Bohrbild]]=select!$O$334,1,0)</f>
        <v>0</v>
      </c>
      <c r="N148" s="135">
        <f>IF(IF(Scharniere[[#This Row],[Anschrauben]]=1,1,IF(Scharniere[[#This Row],[Einpressen]]=1,2,IF(Scharniere[[#This Row],[Quick]]=1,3,IF(Scharniere[[#This Row],[Werkzeuglos]]=1,4,0))))=select!$E$362,1,0)</f>
        <v>1</v>
      </c>
      <c r="O1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8" s="298">
        <f>IF(AND(Scharniere[[#This Row],[Scharnierart]]=3,Scharniere[[#This Row],[Gruppenschlüssel]]=select!$A$747)=TRUE,1,0)</f>
        <v>0</v>
      </c>
      <c r="Q148" s="298">
        <f ca="1">IF(select!$O$945&lt;6,1,0)</f>
        <v>1</v>
      </c>
      <c r="R148" s="298">
        <f>IF(select!$A$778=IF(Scharniere[[#This Row],[mit Dämpfung]]=1,1,IF(Scharniere[[#This Row],[ohne Dämpfung]]=1,2,IF(Scharniere[[#This Row],[ohne Feder]]=1,3,0))),1,0)</f>
        <v>1</v>
      </c>
      <c r="S148" s="298">
        <f>IF(Scharniere[[#This Row],[Bohrbild]]=select!$A$755,1,0)</f>
        <v>0</v>
      </c>
      <c r="T148" s="298">
        <f>IF(IF(Scharniere[[#This Row],[Anschrauben]]=1,1,IF(Scharniere[[#This Row],[Einpressen]]=1,2,IF(Scharniere[[#This Row],[Quick]]=1,3,IF(Scharniere[[#This Row],[Werkzeuglos]]=1,4,0))))=select!$A$769,1,0)</f>
        <v>1</v>
      </c>
      <c r="U1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8" s="359">
        <f>IF(AND(Scharniere[[#This Row],[Scharnierart]]=4,Scharniere[[#This Row],[Gruppenschlüssel]]=select!$A$981)=TRUE,1,0)</f>
        <v>0</v>
      </c>
      <c r="W148" s="359">
        <f ca="1">IF(select!$O$1185&lt;6,1,0)</f>
        <v>1</v>
      </c>
      <c r="X148" s="359">
        <f>IF(select!$A$1012=IF(Scharniere[[#This Row],[mit Dämpfung]]=1,1,IF(Scharniere[[#This Row],[ohne Dämpfung]]=1,2,IF(Scharniere[[#This Row],[ohne Feder]]=1,3,0))),1,0)</f>
        <v>1</v>
      </c>
      <c r="Y148" s="359">
        <f>IF(Scharniere[[#This Row],[Bohrbild]]=select!$A$989,1,0)</f>
        <v>0</v>
      </c>
      <c r="Z148" s="359">
        <f>IF(IF(Scharniere[[#This Row],[Anschrauben]]=1,1,IF(Scharniere[[#This Row],[Einpressen]]=1,2,IF(Scharniere[[#This Row],[Quick]]=1,3,IF(Scharniere[[#This Row],[Werkzeuglos]]=1,4,0))))=select!$A$1003,1,0)</f>
        <v>1</v>
      </c>
      <c r="AA1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8" s="359">
        <f ca="1">IF(select!$K$980="*",Scharniere[[#This Row],[AG Ges2]],Scharniere[[#This Row],[AG Ges1]])</f>
        <v>0</v>
      </c>
      <c r="AE148" s="451">
        <f ca="1">IF(AND(Scharniere[[#This Row],[Scharnierart]]=select!$A$1485,Scharniere[[#This Row],[Gruppenschlüssel]]=select!$B$1485)=TRUE,1,0)</f>
        <v>1</v>
      </c>
      <c r="AF148" s="451">
        <f ca="1">IF(AND(Scharniere[[#This Row],[Scharnierart]]=select!$A$1486,Scharniere[[#This Row],[Gruppenschlüssel]]=select!$B$1486)=TRUE,1,0)</f>
        <v>0</v>
      </c>
      <c r="AG148" s="451">
        <f ca="1">IF(AND(Scharniere[[#This Row],[Scharnierart]]=select!$A$1487,Scharniere[[#This Row],[Gruppenschlüssel]]=select!$B$1487)=TRUE,1,0)</f>
        <v>0</v>
      </c>
      <c r="AH148" s="451">
        <f ca="1">IF(AND(Scharniere[[#This Row],[Scharnierart]]=select!$A$1488,Scharniere[[#This Row],[Gruppenschlüssel]]=select!$B$1488)=TRUE,1,0)</f>
        <v>0</v>
      </c>
      <c r="AI148" s="451">
        <f ca="1">IF(SUM(Scharniere[[#This Row],[konf Scharnier 1]:[konf Scharnier 4]])&gt;0,1,0)</f>
        <v>1</v>
      </c>
      <c r="AJ148" s="451"/>
      <c r="AK148" s="451"/>
      <c r="AL148" s="451"/>
      <c r="AM148" s="451"/>
      <c r="AN148" s="451"/>
      <c r="AO148" s="146">
        <v>1</v>
      </c>
      <c r="AP148" s="146">
        <v>1</v>
      </c>
      <c r="AQ148" s="10" t="str">
        <f ca="1">Sprache!$A$110</f>
        <v>Tiomos Scharnier T Click-on</v>
      </c>
      <c r="AR148" t="s">
        <v>382</v>
      </c>
      <c r="AS148" t="str">
        <f ca="1">Sprache!$A$103</f>
        <v>Tiomos Click-On Scharniere</v>
      </c>
      <c r="AT148">
        <v>3</v>
      </c>
      <c r="AU148" s="34" t="s">
        <v>11</v>
      </c>
      <c r="AV148">
        <v>110</v>
      </c>
      <c r="AW148" s="10">
        <v>0</v>
      </c>
      <c r="AX148">
        <v>1</v>
      </c>
      <c r="AY148">
        <v>0</v>
      </c>
      <c r="AZ148" s="10">
        <v>1</v>
      </c>
      <c r="BA148">
        <v>0</v>
      </c>
      <c r="BB148">
        <v>0</v>
      </c>
      <c r="BC148">
        <v>0</v>
      </c>
      <c r="BD148" s="143" t="s">
        <v>543</v>
      </c>
      <c r="BG148"/>
    </row>
    <row r="149" spans="1:59" ht="14.25" customHeight="1" x14ac:dyDescent="0.25">
      <c r="A149" s="37" t="str">
        <f>LEFT(Scharniere[[#This Row],[ArtikelNR]],4)</f>
        <v>F028</v>
      </c>
      <c r="B149" s="35" t="str">
        <f>MID(Scharniere[[#This Row],[ArtikelNR]],5,3)</f>
        <v>138</v>
      </c>
      <c r="C149" s="37" t="str">
        <f>RIGHT(Scharniere[[#This Row],[ArtikelNR]],3)</f>
        <v>884</v>
      </c>
      <c r="D149" s="35">
        <f>IF(AND(Scharniere[[#This Row],[Gruppenschlüssel]]=select!$A$44,Scharniere[[#This Row],[Scharnierart]]=1)=TRUE,1,0)</f>
        <v>1</v>
      </c>
      <c r="E1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49" s="35">
        <f>IF(select!$F$57=IF(Scharniere[[#This Row],[mit Dämpfung]]=1,1,IF(Scharniere[[#This Row],[ohne Dämpfung]]=1,2,IF(Scharniere[[#This Row],[ohne Feder]]=1,3,0))),1,0)</f>
        <v>0</v>
      </c>
      <c r="G149" s="35">
        <f>IF(Scharniere[[#This Row],[Bohrbild]]=select!$V$43,1,0)</f>
        <v>0</v>
      </c>
      <c r="H149" s="35">
        <f>IF(IF(Scharniere[[#This Row],[Anschrauben]]=1,1,IF(Scharniere[[#This Row],[Einpressen]]=1,2,IF(Scharniere[[#This Row],[Quick]]=1,3,IF(Scharniere[[#This Row],[Werkzeuglos]]=1,4,0))))=select!$F$48,1,0)</f>
        <v>0</v>
      </c>
      <c r="I1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49" s="149">
        <f>IF(AND(Scharniere[[#This Row],[Scharnierart]]=2,Scharniere[[#This Row],[Gruppenschlüssel]]=select!$A$318)=TRUE,1,0)</f>
        <v>0</v>
      </c>
      <c r="K149" s="221">
        <f ca="1">IF(select!$O$424&lt;6,1,0)</f>
        <v>1</v>
      </c>
      <c r="L149" s="139">
        <f>IF(select!$A$362=IF(Scharniere[[#This Row],[mit Dämpfung]]=1,1,IF(Scharniere[[#This Row],[ohne Dämpfung]]=1,2,IF(Scharniere[[#This Row],[ohne Feder]]=1,3,0))),1,0)</f>
        <v>1</v>
      </c>
      <c r="M149" s="135">
        <f>IF(Scharniere[[#This Row],[Bohrbild]]=select!$O$334,1,0)</f>
        <v>0</v>
      </c>
      <c r="N149" s="135">
        <f>IF(IF(Scharniere[[#This Row],[Anschrauben]]=1,1,IF(Scharniere[[#This Row],[Einpressen]]=1,2,IF(Scharniere[[#This Row],[Quick]]=1,3,IF(Scharniere[[#This Row],[Werkzeuglos]]=1,4,0))))=select!$E$362,1,0)</f>
        <v>1</v>
      </c>
      <c r="O1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49" s="298">
        <f>IF(AND(Scharniere[[#This Row],[Scharnierart]]=3,Scharniere[[#This Row],[Gruppenschlüssel]]=select!$A$747)=TRUE,1,0)</f>
        <v>0</v>
      </c>
      <c r="Q149" s="298">
        <f ca="1">IF(select!$O$945&lt;6,1,0)</f>
        <v>1</v>
      </c>
      <c r="R149" s="298">
        <f>IF(select!$A$778=IF(Scharniere[[#This Row],[mit Dämpfung]]=1,1,IF(Scharniere[[#This Row],[ohne Dämpfung]]=1,2,IF(Scharniere[[#This Row],[ohne Feder]]=1,3,0))),1,0)</f>
        <v>0</v>
      </c>
      <c r="S149" s="298">
        <f>IF(Scharniere[[#This Row],[Bohrbild]]=select!$A$755,1,0)</f>
        <v>0</v>
      </c>
      <c r="T149" s="298">
        <f>IF(IF(Scharniere[[#This Row],[Anschrauben]]=1,1,IF(Scharniere[[#This Row],[Einpressen]]=1,2,IF(Scharniere[[#This Row],[Quick]]=1,3,IF(Scharniere[[#This Row],[Werkzeuglos]]=1,4,0))))=select!$A$769,1,0)</f>
        <v>1</v>
      </c>
      <c r="U1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49" s="359">
        <f>IF(AND(Scharniere[[#This Row],[Scharnierart]]=4,Scharniere[[#This Row],[Gruppenschlüssel]]=select!$A$981)=TRUE,1,0)</f>
        <v>0</v>
      </c>
      <c r="W149" s="359">
        <f ca="1">IF(select!$O$1185&lt;6,1,0)</f>
        <v>1</v>
      </c>
      <c r="X149" s="359">
        <f>IF(select!$A$1012=IF(Scharniere[[#This Row],[mit Dämpfung]]=1,1,IF(Scharniere[[#This Row],[ohne Dämpfung]]=1,2,IF(Scharniere[[#This Row],[ohne Feder]]=1,3,0))),1,0)</f>
        <v>0</v>
      </c>
      <c r="Y149" s="359">
        <f>IF(Scharniere[[#This Row],[Bohrbild]]=select!$A$989,1,0)</f>
        <v>0</v>
      </c>
      <c r="Z149" s="359">
        <f>IF(IF(Scharniere[[#This Row],[Anschrauben]]=1,1,IF(Scharniere[[#This Row],[Einpressen]]=1,2,IF(Scharniere[[#This Row],[Quick]]=1,3,IF(Scharniere[[#This Row],[Werkzeuglos]]=1,4,0))))=select!$A$1003,1,0)</f>
        <v>1</v>
      </c>
      <c r="AA1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49" s="359">
        <f ca="1">IF(select!$K$980="*",Scharniere[[#This Row],[AG Ges2]],Scharniere[[#This Row],[AG Ges1]])</f>
        <v>0</v>
      </c>
      <c r="AE149" s="451">
        <f ca="1">IF(AND(Scharniere[[#This Row],[Scharnierart]]=select!$A$1485,Scharniere[[#This Row],[Gruppenschlüssel]]=select!$B$1485)=TRUE,1,0)</f>
        <v>1</v>
      </c>
      <c r="AF149" s="451">
        <f ca="1">IF(AND(Scharniere[[#This Row],[Scharnierart]]=select!$A$1486,Scharniere[[#This Row],[Gruppenschlüssel]]=select!$B$1486)=TRUE,1,0)</f>
        <v>0</v>
      </c>
      <c r="AG149" s="451">
        <f ca="1">IF(AND(Scharniere[[#This Row],[Scharnierart]]=select!$A$1487,Scharniere[[#This Row],[Gruppenschlüssel]]=select!$B$1487)=TRUE,1,0)</f>
        <v>0</v>
      </c>
      <c r="AH149" s="451">
        <f ca="1">IF(AND(Scharniere[[#This Row],[Scharnierart]]=select!$A$1488,Scharniere[[#This Row],[Gruppenschlüssel]]=select!$B$1488)=TRUE,1,0)</f>
        <v>0</v>
      </c>
      <c r="AI149" s="451">
        <f ca="1">IF(SUM(Scharniere[[#This Row],[konf Scharnier 1]:[konf Scharnier 4]])&gt;0,1,0)</f>
        <v>1</v>
      </c>
      <c r="AJ149" s="451"/>
      <c r="AK149" s="451"/>
      <c r="AL149" s="451"/>
      <c r="AM149" s="451"/>
      <c r="AN149" s="451"/>
      <c r="AO149" s="146">
        <v>1</v>
      </c>
      <c r="AP149" s="146">
        <v>1</v>
      </c>
      <c r="AQ149" s="10" t="str">
        <f ca="1">Sprache!$A$112</f>
        <v>Tiomos Scharnier TS Click-on</v>
      </c>
      <c r="AR149" t="s">
        <v>382</v>
      </c>
      <c r="AS149" t="str">
        <f ca="1">Sprache!$A$103</f>
        <v>Tiomos Click-On Scharniere</v>
      </c>
      <c r="AT149">
        <v>3</v>
      </c>
      <c r="AU149" t="s">
        <v>11</v>
      </c>
      <c r="AV149">
        <v>110</v>
      </c>
      <c r="AW149" s="10">
        <v>1</v>
      </c>
      <c r="AX149">
        <v>0</v>
      </c>
      <c r="AY149">
        <v>0</v>
      </c>
      <c r="AZ149" s="10">
        <v>1</v>
      </c>
      <c r="BA149">
        <v>0</v>
      </c>
      <c r="BB149">
        <v>0</v>
      </c>
      <c r="BC149">
        <v>0</v>
      </c>
      <c r="BD149" s="143" t="s">
        <v>381</v>
      </c>
      <c r="BG149"/>
    </row>
    <row r="150" spans="1:59" ht="14.25" customHeight="1" x14ac:dyDescent="0.25">
      <c r="A150" s="37" t="str">
        <f>LEFT(Scharniere[[#This Row],[ArtikelNR]],4)</f>
        <v>F046</v>
      </c>
      <c r="B150" s="35" t="str">
        <f>MID(Scharniere[[#This Row],[ArtikelNR]],5,3)</f>
        <v>138</v>
      </c>
      <c r="C150" s="37" t="str">
        <f>RIGHT(Scharniere[[#This Row],[ArtikelNR]],3)</f>
        <v>944</v>
      </c>
      <c r="D150" s="35">
        <f>IF(AND(Scharniere[[#This Row],[Gruppenschlüssel]]=select!$A$44,Scharniere[[#This Row],[Scharnierart]]=1)=TRUE,1,0)</f>
        <v>1</v>
      </c>
      <c r="E1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50" s="35">
        <f>IF(select!$F$57=IF(Scharniere[[#This Row],[mit Dämpfung]]=1,1,IF(Scharniere[[#This Row],[ohne Dämpfung]]=1,2,IF(Scharniere[[#This Row],[ohne Feder]]=1,3,0))),1,0)</f>
        <v>1</v>
      </c>
      <c r="G150" s="35">
        <f>IF(Scharniere[[#This Row],[Bohrbild]]=select!$V$43,1,0)</f>
        <v>0</v>
      </c>
      <c r="H150" s="35">
        <f>IF(IF(Scharniere[[#This Row],[Anschrauben]]=1,1,IF(Scharniere[[#This Row],[Einpressen]]=1,2,IF(Scharniere[[#This Row],[Quick]]=1,3,IF(Scharniere[[#This Row],[Werkzeuglos]]=1,4,0))))=select!$F$48,1,0)</f>
        <v>0</v>
      </c>
      <c r="I1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0" s="149">
        <f>IF(AND(Scharniere[[#This Row],[Scharnierart]]=2,Scharniere[[#This Row],[Gruppenschlüssel]]=select!$A$318)=TRUE,1,0)</f>
        <v>0</v>
      </c>
      <c r="K150" s="221">
        <f ca="1">IF(select!$O$424&lt;6,1,0)</f>
        <v>1</v>
      </c>
      <c r="L150" s="139">
        <f>IF(select!$A$362=IF(Scharniere[[#This Row],[mit Dämpfung]]=1,1,IF(Scharniere[[#This Row],[ohne Dämpfung]]=1,2,IF(Scharniere[[#This Row],[ohne Feder]]=1,3,0))),1,0)</f>
        <v>0</v>
      </c>
      <c r="M150" s="135">
        <f>IF(Scharniere[[#This Row],[Bohrbild]]=select!$O$334,1,0)</f>
        <v>0</v>
      </c>
      <c r="N150" s="135">
        <f>IF(IF(Scharniere[[#This Row],[Anschrauben]]=1,1,IF(Scharniere[[#This Row],[Einpressen]]=1,2,IF(Scharniere[[#This Row],[Quick]]=1,3,IF(Scharniere[[#This Row],[Werkzeuglos]]=1,4,0))))=select!$E$362,1,0)</f>
        <v>1</v>
      </c>
      <c r="O1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0" s="298">
        <f>IF(AND(Scharniere[[#This Row],[Scharnierart]]=3,Scharniere[[#This Row],[Gruppenschlüssel]]=select!$A$747)=TRUE,1,0)</f>
        <v>0</v>
      </c>
      <c r="Q150" s="298">
        <f ca="1">IF(select!$O$945&lt;6,1,0)</f>
        <v>1</v>
      </c>
      <c r="R150" s="298">
        <f>IF(select!$A$778=IF(Scharniere[[#This Row],[mit Dämpfung]]=1,1,IF(Scharniere[[#This Row],[ohne Dämpfung]]=1,2,IF(Scharniere[[#This Row],[ohne Feder]]=1,3,0))),1,0)</f>
        <v>0</v>
      </c>
      <c r="S150" s="298">
        <f>IF(Scharniere[[#This Row],[Bohrbild]]=select!$A$755,1,0)</f>
        <v>0</v>
      </c>
      <c r="T150" s="298">
        <f>IF(IF(Scharniere[[#This Row],[Anschrauben]]=1,1,IF(Scharniere[[#This Row],[Einpressen]]=1,2,IF(Scharniere[[#This Row],[Quick]]=1,3,IF(Scharniere[[#This Row],[Werkzeuglos]]=1,4,0))))=select!$A$769,1,0)</f>
        <v>1</v>
      </c>
      <c r="U1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0" s="359">
        <f>IF(AND(Scharniere[[#This Row],[Scharnierart]]=4,Scharniere[[#This Row],[Gruppenschlüssel]]=select!$A$981)=TRUE,1,0)</f>
        <v>0</v>
      </c>
      <c r="W150" s="359">
        <f ca="1">IF(select!$O$1185&lt;6,1,0)</f>
        <v>1</v>
      </c>
      <c r="X150" s="359">
        <f>IF(select!$A$1012=IF(Scharniere[[#This Row],[mit Dämpfung]]=1,1,IF(Scharniere[[#This Row],[ohne Dämpfung]]=1,2,IF(Scharniere[[#This Row],[ohne Feder]]=1,3,0))),1,0)</f>
        <v>0</v>
      </c>
      <c r="Y150" s="359">
        <f>IF(Scharniere[[#This Row],[Bohrbild]]=select!$A$989,1,0)</f>
        <v>0</v>
      </c>
      <c r="Z150" s="359">
        <f>IF(IF(Scharniere[[#This Row],[Anschrauben]]=1,1,IF(Scharniere[[#This Row],[Einpressen]]=1,2,IF(Scharniere[[#This Row],[Quick]]=1,3,IF(Scharniere[[#This Row],[Werkzeuglos]]=1,4,0))))=select!$A$1003,1,0)</f>
        <v>1</v>
      </c>
      <c r="AA1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0" s="359">
        <f ca="1">IF(select!$K$980="*",Scharniere[[#This Row],[AG Ges2]],Scharniere[[#This Row],[AG Ges1]])</f>
        <v>0</v>
      </c>
      <c r="AE150" s="451">
        <f ca="1">IF(AND(Scharniere[[#This Row],[Scharnierart]]=select!$A$1485,Scharniere[[#This Row],[Gruppenschlüssel]]=select!$B$1485)=TRUE,1,0)</f>
        <v>1</v>
      </c>
      <c r="AF150" s="451">
        <f ca="1">IF(AND(Scharniere[[#This Row],[Scharnierart]]=select!$A$1486,Scharniere[[#This Row],[Gruppenschlüssel]]=select!$B$1486)=TRUE,1,0)</f>
        <v>0</v>
      </c>
      <c r="AG150" s="451">
        <f ca="1">IF(AND(Scharniere[[#This Row],[Scharnierart]]=select!$A$1487,Scharniere[[#This Row],[Gruppenschlüssel]]=select!$B$1487)=TRUE,1,0)</f>
        <v>0</v>
      </c>
      <c r="AH150" s="451">
        <f ca="1">IF(AND(Scharniere[[#This Row],[Scharnierart]]=select!$A$1488,Scharniere[[#This Row],[Gruppenschlüssel]]=select!$B$1488)=TRUE,1,0)</f>
        <v>0</v>
      </c>
      <c r="AI150" s="451">
        <f ca="1">IF(SUM(Scharniere[[#This Row],[konf Scharnier 1]:[konf Scharnier 4]])&gt;0,1,0)</f>
        <v>1</v>
      </c>
      <c r="AJ150" s="451"/>
      <c r="AK150" s="451"/>
      <c r="AL150" s="451"/>
      <c r="AM150" s="451"/>
      <c r="AN150" s="451"/>
      <c r="AO150" s="146">
        <v>1</v>
      </c>
      <c r="AP150" s="146">
        <v>1</v>
      </c>
      <c r="AQ150" s="10" t="str">
        <f ca="1">Sprache!$A$114</f>
        <v>Tiomos Scharnier TT Click-on</v>
      </c>
      <c r="AR150" t="s">
        <v>382</v>
      </c>
      <c r="AS150" t="str">
        <f ca="1">Sprache!$A$103</f>
        <v>Tiomos Click-On Scharniere</v>
      </c>
      <c r="AT150">
        <v>3</v>
      </c>
      <c r="AU150" s="34" t="s">
        <v>11</v>
      </c>
      <c r="AV150">
        <v>110</v>
      </c>
      <c r="AW150" s="10">
        <v>0</v>
      </c>
      <c r="AX150">
        <v>0</v>
      </c>
      <c r="AY150">
        <v>1</v>
      </c>
      <c r="AZ150" s="10">
        <v>1</v>
      </c>
      <c r="BA150">
        <v>0</v>
      </c>
      <c r="BB150">
        <v>0</v>
      </c>
      <c r="BC150">
        <v>0</v>
      </c>
      <c r="BD150" s="143" t="s">
        <v>695</v>
      </c>
      <c r="BG150"/>
    </row>
    <row r="151" spans="1:59" ht="14.25" customHeight="1" x14ac:dyDescent="0.25">
      <c r="A151" s="37" t="str">
        <f>LEFT(Scharniere[[#This Row],[ArtikelNR]],4)</f>
        <v>F045</v>
      </c>
      <c r="B151" s="35" t="str">
        <f>MID(Scharniere[[#This Row],[ArtikelNR]],5,3)</f>
        <v>139</v>
      </c>
      <c r="C151" s="37" t="str">
        <f>RIGHT(Scharniere[[#This Row],[ArtikelNR]],3)</f>
        <v>043</v>
      </c>
      <c r="D151" s="35">
        <f>IF(AND(Scharniere[[#This Row],[Gruppenschlüssel]]=select!$A$44,Scharniere[[#This Row],[Scharnierart]]=1)=TRUE,1,0)</f>
        <v>1</v>
      </c>
      <c r="E1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51" s="35">
        <f>IF(select!$F$57=IF(Scharniere[[#This Row],[mit Dämpfung]]=1,1,IF(Scharniere[[#This Row],[ohne Dämpfung]]=1,2,IF(Scharniere[[#This Row],[ohne Feder]]=1,3,0))),1,0)</f>
        <v>0</v>
      </c>
      <c r="G151" s="35">
        <f>IF(Scharniere[[#This Row],[Bohrbild]]=select!$V$43,1,0)</f>
        <v>0</v>
      </c>
      <c r="H151" s="35">
        <f>IF(IF(Scharniere[[#This Row],[Anschrauben]]=1,1,IF(Scharniere[[#This Row],[Einpressen]]=1,2,IF(Scharniere[[#This Row],[Quick]]=1,3,IF(Scharniere[[#This Row],[Werkzeuglos]]=1,4,0))))=select!$F$48,1,0)</f>
        <v>0</v>
      </c>
      <c r="I1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1" s="149">
        <f>IF(AND(Scharniere[[#This Row],[Scharnierart]]=2,Scharniere[[#This Row],[Gruppenschlüssel]]=select!$A$318)=TRUE,1,0)</f>
        <v>0</v>
      </c>
      <c r="K151" s="221">
        <f ca="1">IF(select!$O$424&lt;6,1,0)</f>
        <v>1</v>
      </c>
      <c r="L151" s="139">
        <f>IF(select!$A$362=IF(Scharniere[[#This Row],[mit Dämpfung]]=1,1,IF(Scharniere[[#This Row],[ohne Dämpfung]]=1,2,IF(Scharniere[[#This Row],[ohne Feder]]=1,3,0))),1,0)</f>
        <v>0</v>
      </c>
      <c r="M151" s="135">
        <f>IF(Scharniere[[#This Row],[Bohrbild]]=select!$O$334,1,0)</f>
        <v>0</v>
      </c>
      <c r="N151" s="135">
        <f>IF(IF(Scharniere[[#This Row],[Anschrauben]]=1,1,IF(Scharniere[[#This Row],[Einpressen]]=1,2,IF(Scharniere[[#This Row],[Quick]]=1,3,IF(Scharniere[[#This Row],[Werkzeuglos]]=1,4,0))))=select!$E$362,1,0)</f>
        <v>1</v>
      </c>
      <c r="O1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1" s="298">
        <f>IF(AND(Scharniere[[#This Row],[Scharnierart]]=3,Scharniere[[#This Row],[Gruppenschlüssel]]=select!$A$747)=TRUE,1,0)</f>
        <v>0</v>
      </c>
      <c r="Q151" s="298">
        <f ca="1">IF(select!$O$945&lt;6,1,0)</f>
        <v>1</v>
      </c>
      <c r="R151" s="298">
        <f>IF(select!$A$778=IF(Scharniere[[#This Row],[mit Dämpfung]]=1,1,IF(Scharniere[[#This Row],[ohne Dämpfung]]=1,2,IF(Scharniere[[#This Row],[ohne Feder]]=1,3,0))),1,0)</f>
        <v>0</v>
      </c>
      <c r="S151" s="298">
        <f>IF(Scharniere[[#This Row],[Bohrbild]]=select!$A$755,1,0)</f>
        <v>0</v>
      </c>
      <c r="T151" s="298">
        <f>IF(IF(Scharniere[[#This Row],[Anschrauben]]=1,1,IF(Scharniere[[#This Row],[Einpressen]]=1,2,IF(Scharniere[[#This Row],[Quick]]=1,3,IF(Scharniere[[#This Row],[Werkzeuglos]]=1,4,0))))=select!$A$769,1,0)</f>
        <v>1</v>
      </c>
      <c r="U1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1" s="359">
        <f>IF(AND(Scharniere[[#This Row],[Scharnierart]]=4,Scharniere[[#This Row],[Gruppenschlüssel]]=select!$A$981)=TRUE,1,0)</f>
        <v>0</v>
      </c>
      <c r="W151" s="359">
        <f ca="1">IF(select!$O$1185&lt;6,1,0)</f>
        <v>1</v>
      </c>
      <c r="X151" s="359">
        <f>IF(select!$A$1012=IF(Scharniere[[#This Row],[mit Dämpfung]]=1,1,IF(Scharniere[[#This Row],[ohne Dämpfung]]=1,2,IF(Scharniere[[#This Row],[ohne Feder]]=1,3,0))),1,0)</f>
        <v>0</v>
      </c>
      <c r="Y151" s="359">
        <f>IF(Scharniere[[#This Row],[Bohrbild]]=select!$A$989,1,0)</f>
        <v>0</v>
      </c>
      <c r="Z151" s="359">
        <f>IF(IF(Scharniere[[#This Row],[Anschrauben]]=1,1,IF(Scharniere[[#This Row],[Einpressen]]=1,2,IF(Scharniere[[#This Row],[Quick]]=1,3,IF(Scharniere[[#This Row],[Werkzeuglos]]=1,4,0))))=select!$A$1003,1,0)</f>
        <v>1</v>
      </c>
      <c r="AA1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1" s="359">
        <f ca="1">IF(select!$K$980="*",Scharniere[[#This Row],[AG Ges2]],Scharniere[[#This Row],[AG Ges1]])</f>
        <v>0</v>
      </c>
      <c r="AE151" s="451">
        <f ca="1">IF(AND(Scharniere[[#This Row],[Scharnierart]]=select!$A$1485,Scharniere[[#This Row],[Gruppenschlüssel]]=select!$B$1485)=TRUE,1,0)</f>
        <v>1</v>
      </c>
      <c r="AF151" s="451">
        <f ca="1">IF(AND(Scharniere[[#This Row],[Scharnierart]]=select!$A$1486,Scharniere[[#This Row],[Gruppenschlüssel]]=select!$B$1486)=TRUE,1,0)</f>
        <v>0</v>
      </c>
      <c r="AG151" s="451">
        <f ca="1">IF(AND(Scharniere[[#This Row],[Scharnierart]]=select!$A$1487,Scharniere[[#This Row],[Gruppenschlüssel]]=select!$B$1487)=TRUE,1,0)</f>
        <v>0</v>
      </c>
      <c r="AH151" s="451">
        <f ca="1">IF(AND(Scharniere[[#This Row],[Scharnierart]]=select!$A$1488,Scharniere[[#This Row],[Gruppenschlüssel]]=select!$B$1488)=TRUE,1,0)</f>
        <v>0</v>
      </c>
      <c r="AI151" s="451">
        <f ca="1">IF(SUM(Scharniere[[#This Row],[konf Scharnier 1]:[konf Scharnier 4]])&gt;0,1,0)</f>
        <v>1</v>
      </c>
      <c r="AJ151" s="451"/>
      <c r="AK151" s="451"/>
      <c r="AL151" s="451"/>
      <c r="AM151" s="451"/>
      <c r="AN151" s="451"/>
      <c r="AO151" s="146">
        <v>1</v>
      </c>
      <c r="AP151" s="146">
        <v>1</v>
      </c>
      <c r="AQ151" s="10" t="str">
        <f ca="1">Sprache!$A$104</f>
        <v>Scharnier T Click-on 110°</v>
      </c>
      <c r="AR151" t="str">
        <f ca="1">"B-BB, K03, 8mm "&amp;Sprache!A183&amp;", ni"</f>
        <v>B-BB, K03, 8mm Spreizdübel, ni</v>
      </c>
      <c r="AS151" t="str">
        <f ca="1">Sprache!$A$103</f>
        <v>Tiomos Click-On Scharniere</v>
      </c>
      <c r="AT151">
        <v>3</v>
      </c>
      <c r="AU151" t="s">
        <v>3</v>
      </c>
      <c r="AV151">
        <v>110</v>
      </c>
      <c r="AW151" s="10">
        <v>0</v>
      </c>
      <c r="AX151">
        <v>0</v>
      </c>
      <c r="AY151">
        <v>0</v>
      </c>
      <c r="AZ151" s="10">
        <v>1</v>
      </c>
      <c r="BA151">
        <v>0</v>
      </c>
      <c r="BB151">
        <v>0</v>
      </c>
      <c r="BC151">
        <v>0</v>
      </c>
      <c r="BD151" s="143" t="s">
        <v>579</v>
      </c>
      <c r="BG151"/>
    </row>
    <row r="152" spans="1:59" ht="14.25" customHeight="1" x14ac:dyDescent="0.25">
      <c r="A152" s="37" t="str">
        <f>LEFT(Scharniere[[#This Row],[ArtikelNR]],4)</f>
        <v>F022</v>
      </c>
      <c r="B152" s="35" t="str">
        <f>MID(Scharniere[[#This Row],[ArtikelNR]],5,3)</f>
        <v>140</v>
      </c>
      <c r="C152" s="37" t="str">
        <f>RIGHT(Scharniere[[#This Row],[ArtikelNR]],3)</f>
        <v>091</v>
      </c>
      <c r="D152" s="35">
        <f>IF(AND(Scharniere[[#This Row],[Gruppenschlüssel]]=select!$A$44,Scharniere[[#This Row],[Scharnierart]]=1)=TRUE,1,0)</f>
        <v>1</v>
      </c>
      <c r="E1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52" s="35">
        <f>IF(select!$F$57=IF(Scharniere[[#This Row],[mit Dämpfung]]=1,1,IF(Scharniere[[#This Row],[ohne Dämpfung]]=1,2,IF(Scharniere[[#This Row],[ohne Feder]]=1,3,0))),1,0)</f>
        <v>0</v>
      </c>
      <c r="G152" s="35">
        <f>IF(Scharniere[[#This Row],[Bohrbild]]=select!$V$43,1,0)</f>
        <v>0</v>
      </c>
      <c r="H152" s="35">
        <f>IF(IF(Scharniere[[#This Row],[Anschrauben]]=1,1,IF(Scharniere[[#This Row],[Einpressen]]=1,2,IF(Scharniere[[#This Row],[Quick]]=1,3,IF(Scharniere[[#This Row],[Werkzeuglos]]=1,4,0))))=select!$F$48,1,0)</f>
        <v>0</v>
      </c>
      <c r="I1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2" s="149">
        <f>IF(AND(Scharniere[[#This Row],[Scharnierart]]=2,Scharniere[[#This Row],[Gruppenschlüssel]]=select!$A$318)=TRUE,1,0)</f>
        <v>0</v>
      </c>
      <c r="K152" s="221">
        <f ca="1">IF(select!$O$424&lt;6,1,0)</f>
        <v>1</v>
      </c>
      <c r="L152" s="139">
        <f>IF(select!$A$362=IF(Scharniere[[#This Row],[mit Dämpfung]]=1,1,IF(Scharniere[[#This Row],[ohne Dämpfung]]=1,2,IF(Scharniere[[#This Row],[ohne Feder]]=1,3,0))),1,0)</f>
        <v>1</v>
      </c>
      <c r="M152" s="135">
        <f>IF(Scharniere[[#This Row],[Bohrbild]]=select!$O$334,1,0)</f>
        <v>0</v>
      </c>
      <c r="N152" s="135">
        <f>IF(IF(Scharniere[[#This Row],[Anschrauben]]=1,1,IF(Scharniere[[#This Row],[Einpressen]]=1,2,IF(Scharniere[[#This Row],[Quick]]=1,3,IF(Scharniere[[#This Row],[Werkzeuglos]]=1,4,0))))=select!$E$362,1,0)</f>
        <v>0</v>
      </c>
      <c r="O1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2" s="298">
        <f>IF(AND(Scharniere[[#This Row],[Scharnierart]]=3,Scharniere[[#This Row],[Gruppenschlüssel]]=select!$A$747)=TRUE,1,0)</f>
        <v>0</v>
      </c>
      <c r="Q152" s="298">
        <f ca="1">IF(select!$O$945&lt;6,1,0)</f>
        <v>1</v>
      </c>
      <c r="R152" s="298">
        <f>IF(select!$A$778=IF(Scharniere[[#This Row],[mit Dämpfung]]=1,1,IF(Scharniere[[#This Row],[ohne Dämpfung]]=1,2,IF(Scharniere[[#This Row],[ohne Feder]]=1,3,0))),1,0)</f>
        <v>0</v>
      </c>
      <c r="S152" s="298">
        <f>IF(Scharniere[[#This Row],[Bohrbild]]=select!$A$755,1,0)</f>
        <v>0</v>
      </c>
      <c r="T152" s="298">
        <f>IF(IF(Scharniere[[#This Row],[Anschrauben]]=1,1,IF(Scharniere[[#This Row],[Einpressen]]=1,2,IF(Scharniere[[#This Row],[Quick]]=1,3,IF(Scharniere[[#This Row],[Werkzeuglos]]=1,4,0))))=select!$A$769,1,0)</f>
        <v>0</v>
      </c>
      <c r="U1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2" s="359">
        <f>IF(AND(Scharniere[[#This Row],[Scharnierart]]=4,Scharniere[[#This Row],[Gruppenschlüssel]]=select!$A$981)=TRUE,1,0)</f>
        <v>0</v>
      </c>
      <c r="W152" s="359">
        <f ca="1">IF(select!$O$1185&lt;6,1,0)</f>
        <v>1</v>
      </c>
      <c r="X152" s="359">
        <f>IF(select!$A$1012=IF(Scharniere[[#This Row],[mit Dämpfung]]=1,1,IF(Scharniere[[#This Row],[ohne Dämpfung]]=1,2,IF(Scharniere[[#This Row],[ohne Feder]]=1,3,0))),1,0)</f>
        <v>0</v>
      </c>
      <c r="Y152" s="359">
        <f>IF(Scharniere[[#This Row],[Bohrbild]]=select!$A$989,1,0)</f>
        <v>0</v>
      </c>
      <c r="Z152" s="359">
        <f>IF(IF(Scharniere[[#This Row],[Anschrauben]]=1,1,IF(Scharniere[[#This Row],[Einpressen]]=1,2,IF(Scharniere[[#This Row],[Quick]]=1,3,IF(Scharniere[[#This Row],[Werkzeuglos]]=1,4,0))))=select!$A$1003,1,0)</f>
        <v>0</v>
      </c>
      <c r="AA1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2" s="359">
        <f ca="1">IF(select!$K$980="*",Scharniere[[#This Row],[AG Ges2]],Scharniere[[#This Row],[AG Ges1]])</f>
        <v>0</v>
      </c>
      <c r="AE152" s="451">
        <f ca="1">IF(AND(Scharniere[[#This Row],[Scharnierart]]=select!$A$1485,Scharniere[[#This Row],[Gruppenschlüssel]]=select!$B$1485)=TRUE,1,0)</f>
        <v>1</v>
      </c>
      <c r="AF152" s="451">
        <f ca="1">IF(AND(Scharniere[[#This Row],[Scharnierart]]=select!$A$1486,Scharniere[[#This Row],[Gruppenschlüssel]]=select!$B$1486)=TRUE,1,0)</f>
        <v>0</v>
      </c>
      <c r="AG152" s="451">
        <f ca="1">IF(AND(Scharniere[[#This Row],[Scharnierart]]=select!$A$1487,Scharniere[[#This Row],[Gruppenschlüssel]]=select!$B$1487)=TRUE,1,0)</f>
        <v>0</v>
      </c>
      <c r="AH152" s="451">
        <f ca="1">IF(AND(Scharniere[[#This Row],[Scharnierart]]=select!$A$1488,Scharniere[[#This Row],[Gruppenschlüssel]]=select!$B$1488)=TRUE,1,0)</f>
        <v>0</v>
      </c>
      <c r="AI152" s="451">
        <f ca="1">IF(SUM(Scharniere[[#This Row],[konf Scharnier 1]:[konf Scharnier 4]])&gt;0,1,0)</f>
        <v>1</v>
      </c>
      <c r="AJ152" s="451"/>
      <c r="AK152" s="451"/>
      <c r="AL152" s="451"/>
      <c r="AM152" s="451"/>
      <c r="AN152" s="451"/>
      <c r="AO152" s="146">
        <v>1</v>
      </c>
      <c r="AP152" s="146">
        <v>1</v>
      </c>
      <c r="AQ152" s="10" t="str">
        <f ca="1">Sprache!$A$126</f>
        <v>Tiomos Scharnier TS Quick</v>
      </c>
      <c r="AR152" t="s">
        <v>304</v>
      </c>
      <c r="AS152" t="str">
        <f ca="1">Sprache!$A$102</f>
        <v>Tiomos Quick Scharnier</v>
      </c>
      <c r="AT152">
        <v>3</v>
      </c>
      <c r="AU152" s="34" t="s">
        <v>3</v>
      </c>
      <c r="AV152" t="s">
        <v>1489</v>
      </c>
      <c r="AW152" s="10">
        <v>1</v>
      </c>
      <c r="AX152">
        <v>0</v>
      </c>
      <c r="AY152">
        <v>0</v>
      </c>
      <c r="AZ152" s="10">
        <v>0</v>
      </c>
      <c r="BA152">
        <v>0</v>
      </c>
      <c r="BB152">
        <v>1</v>
      </c>
      <c r="BC152">
        <v>0</v>
      </c>
      <c r="BD152" s="143" t="s">
        <v>1510</v>
      </c>
      <c r="BG152"/>
    </row>
    <row r="153" spans="1:59" ht="14.25" customHeight="1" x14ac:dyDescent="0.25">
      <c r="A153" s="37" t="str">
        <f>LEFT(Scharniere[[#This Row],[ArtikelNR]],4)</f>
        <v>F039</v>
      </c>
      <c r="B153" s="35" t="str">
        <f>MID(Scharniere[[#This Row],[ArtikelNR]],5,3)</f>
        <v>140</v>
      </c>
      <c r="C153" s="37" t="str">
        <f>RIGHT(Scharniere[[#This Row],[ArtikelNR]],3)</f>
        <v>031</v>
      </c>
      <c r="D153" s="35">
        <f>IF(AND(Scharniere[[#This Row],[Gruppenschlüssel]]=select!$A$44,Scharniere[[#This Row],[Scharnierart]]=1)=TRUE,1,0)</f>
        <v>1</v>
      </c>
      <c r="E1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53" s="35">
        <f>IF(select!$F$57=IF(Scharniere[[#This Row],[mit Dämpfung]]=1,1,IF(Scharniere[[#This Row],[ohne Dämpfung]]=1,2,IF(Scharniere[[#This Row],[ohne Feder]]=1,3,0))),1,0)</f>
        <v>0</v>
      </c>
      <c r="G153" s="35">
        <f>IF(Scharniere[[#This Row],[Bohrbild]]=select!$V$43,1,0)</f>
        <v>0</v>
      </c>
      <c r="H153" s="35">
        <f>IF(IF(Scharniere[[#This Row],[Anschrauben]]=1,1,IF(Scharniere[[#This Row],[Einpressen]]=1,2,IF(Scharniere[[#This Row],[Quick]]=1,3,IF(Scharniere[[#This Row],[Werkzeuglos]]=1,4,0))))=select!$F$48,1,0)</f>
        <v>0</v>
      </c>
      <c r="I1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3" s="149">
        <f>IF(AND(Scharniere[[#This Row],[Scharnierart]]=2,Scharniere[[#This Row],[Gruppenschlüssel]]=select!$A$318)=TRUE,1,0)</f>
        <v>0</v>
      </c>
      <c r="K153" s="221">
        <f ca="1">IF(select!$O$424&lt;6,1,0)</f>
        <v>1</v>
      </c>
      <c r="L153" s="139">
        <f>IF(select!$A$362=IF(Scharniere[[#This Row],[mit Dämpfung]]=1,1,IF(Scharniere[[#This Row],[ohne Dämpfung]]=1,2,IF(Scharniere[[#This Row],[ohne Feder]]=1,3,0))),1,0)</f>
        <v>0</v>
      </c>
      <c r="M153" s="135">
        <f>IF(Scharniere[[#This Row],[Bohrbild]]=select!$O$334,1,0)</f>
        <v>0</v>
      </c>
      <c r="N153" s="135">
        <f>IF(IF(Scharniere[[#This Row],[Anschrauben]]=1,1,IF(Scharniere[[#This Row],[Einpressen]]=1,2,IF(Scharniere[[#This Row],[Quick]]=1,3,IF(Scharniere[[#This Row],[Werkzeuglos]]=1,4,0))))=select!$E$362,1,0)</f>
        <v>0</v>
      </c>
      <c r="O1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3" s="298">
        <f>IF(AND(Scharniere[[#This Row],[Scharnierart]]=3,Scharniere[[#This Row],[Gruppenschlüssel]]=select!$A$747)=TRUE,1,0)</f>
        <v>0</v>
      </c>
      <c r="Q153" s="298">
        <f ca="1">IF(select!$O$945&lt;6,1,0)</f>
        <v>1</v>
      </c>
      <c r="R153" s="298">
        <f>IF(select!$A$778=IF(Scharniere[[#This Row],[mit Dämpfung]]=1,1,IF(Scharniere[[#This Row],[ohne Dämpfung]]=1,2,IF(Scharniere[[#This Row],[ohne Feder]]=1,3,0))),1,0)</f>
        <v>1</v>
      </c>
      <c r="S153" s="298">
        <f>IF(Scharniere[[#This Row],[Bohrbild]]=select!$A$755,1,0)</f>
        <v>0</v>
      </c>
      <c r="T153" s="298">
        <f>IF(IF(Scharniere[[#This Row],[Anschrauben]]=1,1,IF(Scharniere[[#This Row],[Einpressen]]=1,2,IF(Scharniere[[#This Row],[Quick]]=1,3,IF(Scharniere[[#This Row],[Werkzeuglos]]=1,4,0))))=select!$A$769,1,0)</f>
        <v>0</v>
      </c>
      <c r="U1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3" s="359">
        <f>IF(AND(Scharniere[[#This Row],[Scharnierart]]=4,Scharniere[[#This Row],[Gruppenschlüssel]]=select!$A$981)=TRUE,1,0)</f>
        <v>0</v>
      </c>
      <c r="W153" s="359">
        <f ca="1">IF(select!$O$1185&lt;6,1,0)</f>
        <v>1</v>
      </c>
      <c r="X153" s="359">
        <f>IF(select!$A$1012=IF(Scharniere[[#This Row],[mit Dämpfung]]=1,1,IF(Scharniere[[#This Row],[ohne Dämpfung]]=1,2,IF(Scharniere[[#This Row],[ohne Feder]]=1,3,0))),1,0)</f>
        <v>1</v>
      </c>
      <c r="Y153" s="359">
        <f>IF(Scharniere[[#This Row],[Bohrbild]]=select!$A$989,1,0)</f>
        <v>0</v>
      </c>
      <c r="Z153" s="359">
        <f>IF(IF(Scharniere[[#This Row],[Anschrauben]]=1,1,IF(Scharniere[[#This Row],[Einpressen]]=1,2,IF(Scharniere[[#This Row],[Quick]]=1,3,IF(Scharniere[[#This Row],[Werkzeuglos]]=1,4,0))))=select!$A$1003,1,0)</f>
        <v>0</v>
      </c>
      <c r="AA1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3" s="359">
        <f ca="1">IF(select!$K$980="*",Scharniere[[#This Row],[AG Ges2]],Scharniere[[#This Row],[AG Ges1]])</f>
        <v>0</v>
      </c>
      <c r="AE153" s="451">
        <f ca="1">IF(AND(Scharniere[[#This Row],[Scharnierart]]=select!$A$1485,Scharniere[[#This Row],[Gruppenschlüssel]]=select!$B$1485)=TRUE,1,0)</f>
        <v>1</v>
      </c>
      <c r="AF153" s="451">
        <f ca="1">IF(AND(Scharniere[[#This Row],[Scharnierart]]=select!$A$1486,Scharniere[[#This Row],[Gruppenschlüssel]]=select!$B$1486)=TRUE,1,0)</f>
        <v>0</v>
      </c>
      <c r="AG153" s="451">
        <f ca="1">IF(AND(Scharniere[[#This Row],[Scharnierart]]=select!$A$1487,Scharniere[[#This Row],[Gruppenschlüssel]]=select!$B$1487)=TRUE,1,0)</f>
        <v>0</v>
      </c>
      <c r="AH153" s="451">
        <f ca="1">IF(AND(Scharniere[[#This Row],[Scharnierart]]=select!$A$1488,Scharniere[[#This Row],[Gruppenschlüssel]]=select!$B$1488)=TRUE,1,0)</f>
        <v>0</v>
      </c>
      <c r="AI153" s="451">
        <f ca="1">IF(SUM(Scharniere[[#This Row],[konf Scharnier 1]:[konf Scharnier 4]])&gt;0,1,0)</f>
        <v>1</v>
      </c>
      <c r="AJ153" s="451"/>
      <c r="AK153" s="451"/>
      <c r="AL153" s="451"/>
      <c r="AM153" s="451"/>
      <c r="AN153" s="451"/>
      <c r="AO153" s="146">
        <v>1</v>
      </c>
      <c r="AP153" s="146">
        <v>1</v>
      </c>
      <c r="AQ153" s="10" t="str">
        <f ca="1">Sprache!$A$123</f>
        <v>Tiomos Scharnier T Quick</v>
      </c>
      <c r="AR153" t="s">
        <v>304</v>
      </c>
      <c r="AS153" t="str">
        <f ca="1">Sprache!$A$102</f>
        <v>Tiomos Quick Scharnier</v>
      </c>
      <c r="AT153">
        <v>3</v>
      </c>
      <c r="AU153" s="34" t="s">
        <v>3</v>
      </c>
      <c r="AV153" t="s">
        <v>1489</v>
      </c>
      <c r="AW153" s="10">
        <v>0</v>
      </c>
      <c r="AX153">
        <v>1</v>
      </c>
      <c r="AY153">
        <v>0</v>
      </c>
      <c r="AZ153" s="10">
        <v>0</v>
      </c>
      <c r="BA153">
        <v>0</v>
      </c>
      <c r="BB153">
        <v>1</v>
      </c>
      <c r="BC153">
        <v>0</v>
      </c>
      <c r="BD153" s="143" t="s">
        <v>1612</v>
      </c>
      <c r="BG153"/>
    </row>
    <row r="154" spans="1:59" ht="14.25" customHeight="1" x14ac:dyDescent="0.25">
      <c r="A154" s="37" t="str">
        <f>LEFT(Scharniere[[#This Row],[ArtikelNR]],4)</f>
        <v>F045</v>
      </c>
      <c r="B154" s="35" t="str">
        <f>MID(Scharniere[[#This Row],[ArtikelNR]],5,3)</f>
        <v>138</v>
      </c>
      <c r="C154" s="37" t="str">
        <f>RIGHT(Scharniere[[#This Row],[ArtikelNR]],3)</f>
        <v>461</v>
      </c>
      <c r="D154" s="35">
        <f>IF(AND(Scharniere[[#This Row],[Gruppenschlüssel]]=select!$A$44,Scharniere[[#This Row],[Scharnierart]]=1)=TRUE,1,0)</f>
        <v>1</v>
      </c>
      <c r="E1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4" s="35">
        <f>IF(select!$F$57=IF(Scharniere[[#This Row],[mit Dämpfung]]=1,1,IF(Scharniere[[#This Row],[ohne Dämpfung]]=1,2,IF(Scharniere[[#This Row],[ohne Feder]]=1,3,0))),1,0)</f>
        <v>0</v>
      </c>
      <c r="G154" s="35">
        <f>IF(Scharniere[[#This Row],[Bohrbild]]=select!$V$43,1,0)</f>
        <v>0</v>
      </c>
      <c r="H154" s="35">
        <f>IF(IF(Scharniere[[#This Row],[Anschrauben]]=1,1,IF(Scharniere[[#This Row],[Einpressen]]=1,2,IF(Scharniere[[#This Row],[Quick]]=1,3,IF(Scharniere[[#This Row],[Werkzeuglos]]=1,4,0))))=select!$F$48,1,0)</f>
        <v>1</v>
      </c>
      <c r="I1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4" s="149">
        <f>IF(AND(Scharniere[[#This Row],[Scharnierart]]=2,Scharniere[[#This Row],[Gruppenschlüssel]]=select!$A$318)=TRUE,1,0)</f>
        <v>0</v>
      </c>
      <c r="K154" s="221">
        <f ca="1">IF(select!$O$424&lt;6,1,0)</f>
        <v>1</v>
      </c>
      <c r="L154" s="139">
        <f>IF(select!$A$362=IF(Scharniere[[#This Row],[mit Dämpfung]]=1,1,IF(Scharniere[[#This Row],[ohne Dämpfung]]=1,2,IF(Scharniere[[#This Row],[ohne Feder]]=1,3,0))),1,0)</f>
        <v>0</v>
      </c>
      <c r="M154" s="135">
        <f>IF(Scharniere[[#This Row],[Bohrbild]]=select!$O$334,1,0)</f>
        <v>0</v>
      </c>
      <c r="N154" s="135">
        <f>IF(IF(Scharniere[[#This Row],[Anschrauben]]=1,1,IF(Scharniere[[#This Row],[Einpressen]]=1,2,IF(Scharniere[[#This Row],[Quick]]=1,3,IF(Scharniere[[#This Row],[Werkzeuglos]]=1,4,0))))=select!$E$362,1,0)</f>
        <v>0</v>
      </c>
      <c r="O1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4" s="298">
        <f>IF(AND(Scharniere[[#This Row],[Scharnierart]]=3,Scharniere[[#This Row],[Gruppenschlüssel]]=select!$A$747)=TRUE,1,0)</f>
        <v>0</v>
      </c>
      <c r="Q154" s="298">
        <f ca="1">IF(select!$O$945&lt;6,1,0)</f>
        <v>1</v>
      </c>
      <c r="R154" s="298">
        <f>IF(select!$A$778=IF(Scharniere[[#This Row],[mit Dämpfung]]=1,1,IF(Scharniere[[#This Row],[ohne Dämpfung]]=1,2,IF(Scharniere[[#This Row],[ohne Feder]]=1,3,0))),1,0)</f>
        <v>1</v>
      </c>
      <c r="S154" s="298">
        <f>IF(Scharniere[[#This Row],[Bohrbild]]=select!$A$755,1,0)</f>
        <v>0</v>
      </c>
      <c r="T154" s="298">
        <f>IF(IF(Scharniere[[#This Row],[Anschrauben]]=1,1,IF(Scharniere[[#This Row],[Einpressen]]=1,2,IF(Scharniere[[#This Row],[Quick]]=1,3,IF(Scharniere[[#This Row],[Werkzeuglos]]=1,4,0))))=select!$A$769,1,0)</f>
        <v>0</v>
      </c>
      <c r="U1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4" s="359">
        <f>IF(AND(Scharniere[[#This Row],[Scharnierart]]=4,Scharniere[[#This Row],[Gruppenschlüssel]]=select!$A$981)=TRUE,1,0)</f>
        <v>0</v>
      </c>
      <c r="W154" s="359">
        <f ca="1">IF(select!$O$1185&lt;6,1,0)</f>
        <v>1</v>
      </c>
      <c r="X154" s="359">
        <f>IF(select!$A$1012=IF(Scharniere[[#This Row],[mit Dämpfung]]=1,1,IF(Scharniere[[#This Row],[ohne Dämpfung]]=1,2,IF(Scharniere[[#This Row],[ohne Feder]]=1,3,0))),1,0)</f>
        <v>1</v>
      </c>
      <c r="Y154" s="359">
        <f>IF(Scharniere[[#This Row],[Bohrbild]]=select!$A$989,1,0)</f>
        <v>0</v>
      </c>
      <c r="Z154" s="359">
        <f>IF(IF(Scharniere[[#This Row],[Anschrauben]]=1,1,IF(Scharniere[[#This Row],[Einpressen]]=1,2,IF(Scharniere[[#This Row],[Quick]]=1,3,IF(Scharniere[[#This Row],[Werkzeuglos]]=1,4,0))))=select!$A$1003,1,0)</f>
        <v>0</v>
      </c>
      <c r="AA1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4" s="359">
        <f ca="1">IF(select!$K$980="*",Scharniere[[#This Row],[AG Ges2]],Scharniere[[#This Row],[AG Ges1]])</f>
        <v>0</v>
      </c>
      <c r="AE154" s="451">
        <f ca="1">IF(AND(Scharniere[[#This Row],[Scharnierart]]=select!$A$1485,Scharniere[[#This Row],[Gruppenschlüssel]]=select!$B$1485)=TRUE,1,0)</f>
        <v>1</v>
      </c>
      <c r="AF154" s="451">
        <f ca="1">IF(AND(Scharniere[[#This Row],[Scharnierart]]=select!$A$1486,Scharniere[[#This Row],[Gruppenschlüssel]]=select!$B$1486)=TRUE,1,0)</f>
        <v>0</v>
      </c>
      <c r="AG154" s="451">
        <f ca="1">IF(AND(Scharniere[[#This Row],[Scharnierart]]=select!$A$1487,Scharniere[[#This Row],[Gruppenschlüssel]]=select!$B$1487)=TRUE,1,0)</f>
        <v>0</v>
      </c>
      <c r="AH154" s="451">
        <f ca="1">IF(AND(Scharniere[[#This Row],[Scharnierart]]=select!$A$1488,Scharniere[[#This Row],[Gruppenschlüssel]]=select!$B$1488)=TRUE,1,0)</f>
        <v>0</v>
      </c>
      <c r="AI154" s="451">
        <f ca="1">IF(SUM(Scharniere[[#This Row],[konf Scharnier 1]:[konf Scharnier 4]])&gt;0,1,0)</f>
        <v>1</v>
      </c>
      <c r="AJ154" s="451"/>
      <c r="AK154" s="451"/>
      <c r="AL154" s="451"/>
      <c r="AM154" s="451"/>
      <c r="AN154" s="451"/>
      <c r="AO154" s="146">
        <v>1</v>
      </c>
      <c r="AP154" s="146">
        <v>1</v>
      </c>
      <c r="AQ154" s="10" t="str">
        <f ca="1">Sprache!$A$110</f>
        <v>Tiomos Scharnier T Click-on</v>
      </c>
      <c r="AR154" t="str">
        <f ca="1">"110°, B-BB, K00, "&amp;Sprache!A181&amp;", ni"</f>
        <v>110°, B-BB, K00, Dübel, ni</v>
      </c>
      <c r="AS154" t="str">
        <f ca="1">Sprache!$A$103</f>
        <v>Tiomos Click-On Scharniere</v>
      </c>
      <c r="AT154">
        <v>0</v>
      </c>
      <c r="AU154" t="s">
        <v>3</v>
      </c>
      <c r="AV154">
        <v>110</v>
      </c>
      <c r="AW154" s="10">
        <v>0</v>
      </c>
      <c r="AX154">
        <v>1</v>
      </c>
      <c r="AY154">
        <v>0</v>
      </c>
      <c r="AZ154" s="10">
        <v>0</v>
      </c>
      <c r="BA154">
        <v>1</v>
      </c>
      <c r="BB154">
        <v>0</v>
      </c>
      <c r="BC154">
        <v>0</v>
      </c>
      <c r="BD154" s="143" t="s">
        <v>36</v>
      </c>
      <c r="BG154"/>
    </row>
    <row r="155" spans="1:59" ht="14.25" customHeight="1" x14ac:dyDescent="0.25">
      <c r="A155" s="37" t="str">
        <f>LEFT(Scharniere[[#This Row],[ArtikelNR]],4)</f>
        <v>F028</v>
      </c>
      <c r="B155" s="35" t="str">
        <f>MID(Scharniere[[#This Row],[ArtikelNR]],5,3)</f>
        <v>138</v>
      </c>
      <c r="C155" s="37" t="str">
        <f>RIGHT(Scharniere[[#This Row],[ArtikelNR]],3)</f>
        <v>523</v>
      </c>
      <c r="D155" s="35">
        <f>IF(AND(Scharniere[[#This Row],[Gruppenschlüssel]]=select!$A$44,Scharniere[[#This Row],[Scharnierart]]=1)=TRUE,1,0)</f>
        <v>1</v>
      </c>
      <c r="E1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5" s="35">
        <f>IF(select!$F$57=IF(Scharniere[[#This Row],[mit Dämpfung]]=1,1,IF(Scharniere[[#This Row],[ohne Dämpfung]]=1,2,IF(Scharniere[[#This Row],[ohne Feder]]=1,3,0))),1,0)</f>
        <v>0</v>
      </c>
      <c r="G155" s="35">
        <f>IF(Scharniere[[#This Row],[Bohrbild]]=select!$V$43,1,0)</f>
        <v>0</v>
      </c>
      <c r="H155" s="35">
        <f>IF(IF(Scharniere[[#This Row],[Anschrauben]]=1,1,IF(Scharniere[[#This Row],[Einpressen]]=1,2,IF(Scharniere[[#This Row],[Quick]]=1,3,IF(Scharniere[[#This Row],[Werkzeuglos]]=1,4,0))))=select!$F$48,1,0)</f>
        <v>1</v>
      </c>
      <c r="I1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5" s="149">
        <f>IF(AND(Scharniere[[#This Row],[Scharnierart]]=2,Scharniere[[#This Row],[Gruppenschlüssel]]=select!$A$318)=TRUE,1,0)</f>
        <v>0</v>
      </c>
      <c r="K155" s="221">
        <f ca="1">IF(select!$O$424&lt;6,1,0)</f>
        <v>1</v>
      </c>
      <c r="L155" s="139">
        <f>IF(select!$A$362=IF(Scharniere[[#This Row],[mit Dämpfung]]=1,1,IF(Scharniere[[#This Row],[ohne Dämpfung]]=1,2,IF(Scharniere[[#This Row],[ohne Feder]]=1,3,0))),1,0)</f>
        <v>1</v>
      </c>
      <c r="M155" s="135">
        <f>IF(Scharniere[[#This Row],[Bohrbild]]=select!$O$334,1,0)</f>
        <v>0</v>
      </c>
      <c r="N155" s="135">
        <f>IF(IF(Scharniere[[#This Row],[Anschrauben]]=1,1,IF(Scharniere[[#This Row],[Einpressen]]=1,2,IF(Scharniere[[#This Row],[Quick]]=1,3,IF(Scharniere[[#This Row],[Werkzeuglos]]=1,4,0))))=select!$E$362,1,0)</f>
        <v>0</v>
      </c>
      <c r="O1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5" s="298">
        <f>IF(AND(Scharniere[[#This Row],[Scharnierart]]=3,Scharniere[[#This Row],[Gruppenschlüssel]]=select!$A$747)=TRUE,1,0)</f>
        <v>0</v>
      </c>
      <c r="Q155" s="298">
        <f ca="1">IF(select!$O$945&lt;6,1,0)</f>
        <v>1</v>
      </c>
      <c r="R155" s="298">
        <f>IF(select!$A$778=IF(Scharniere[[#This Row],[mit Dämpfung]]=1,1,IF(Scharniere[[#This Row],[ohne Dämpfung]]=1,2,IF(Scharniere[[#This Row],[ohne Feder]]=1,3,0))),1,0)</f>
        <v>0</v>
      </c>
      <c r="S155" s="298">
        <f>IF(Scharniere[[#This Row],[Bohrbild]]=select!$A$755,1,0)</f>
        <v>0</v>
      </c>
      <c r="T155" s="298">
        <f>IF(IF(Scharniere[[#This Row],[Anschrauben]]=1,1,IF(Scharniere[[#This Row],[Einpressen]]=1,2,IF(Scharniere[[#This Row],[Quick]]=1,3,IF(Scharniere[[#This Row],[Werkzeuglos]]=1,4,0))))=select!$A$769,1,0)</f>
        <v>0</v>
      </c>
      <c r="U1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5" s="359">
        <f>IF(AND(Scharniere[[#This Row],[Scharnierart]]=4,Scharniere[[#This Row],[Gruppenschlüssel]]=select!$A$981)=TRUE,1,0)</f>
        <v>0</v>
      </c>
      <c r="W155" s="359">
        <f ca="1">IF(select!$O$1185&lt;6,1,0)</f>
        <v>1</v>
      </c>
      <c r="X155" s="359">
        <f>IF(select!$A$1012=IF(Scharniere[[#This Row],[mit Dämpfung]]=1,1,IF(Scharniere[[#This Row],[ohne Dämpfung]]=1,2,IF(Scharniere[[#This Row],[ohne Feder]]=1,3,0))),1,0)</f>
        <v>0</v>
      </c>
      <c r="Y155" s="359">
        <f>IF(Scharniere[[#This Row],[Bohrbild]]=select!$A$989,1,0)</f>
        <v>0</v>
      </c>
      <c r="Z155" s="359">
        <f>IF(IF(Scharniere[[#This Row],[Anschrauben]]=1,1,IF(Scharniere[[#This Row],[Einpressen]]=1,2,IF(Scharniere[[#This Row],[Quick]]=1,3,IF(Scharniere[[#This Row],[Werkzeuglos]]=1,4,0))))=select!$A$1003,1,0)</f>
        <v>0</v>
      </c>
      <c r="AA1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5" s="359">
        <f ca="1">IF(select!$K$980="*",Scharniere[[#This Row],[AG Ges2]],Scharniere[[#This Row],[AG Ges1]])</f>
        <v>0</v>
      </c>
      <c r="AE155" s="451">
        <f ca="1">IF(AND(Scharniere[[#This Row],[Scharnierart]]=select!$A$1485,Scharniere[[#This Row],[Gruppenschlüssel]]=select!$B$1485)=TRUE,1,0)</f>
        <v>1</v>
      </c>
      <c r="AF155" s="451">
        <f ca="1">IF(AND(Scharniere[[#This Row],[Scharnierart]]=select!$A$1486,Scharniere[[#This Row],[Gruppenschlüssel]]=select!$B$1486)=TRUE,1,0)</f>
        <v>0</v>
      </c>
      <c r="AG155" s="451">
        <f ca="1">IF(AND(Scharniere[[#This Row],[Scharnierart]]=select!$A$1487,Scharniere[[#This Row],[Gruppenschlüssel]]=select!$B$1487)=TRUE,1,0)</f>
        <v>0</v>
      </c>
      <c r="AH155" s="451">
        <f ca="1">IF(AND(Scharniere[[#This Row],[Scharnierart]]=select!$A$1488,Scharniere[[#This Row],[Gruppenschlüssel]]=select!$B$1488)=TRUE,1,0)</f>
        <v>0</v>
      </c>
      <c r="AI155" s="451">
        <f ca="1">IF(SUM(Scharniere[[#This Row],[konf Scharnier 1]:[konf Scharnier 4]])&gt;0,1,0)</f>
        <v>1</v>
      </c>
      <c r="AJ155" s="451"/>
      <c r="AK155" s="451"/>
      <c r="AL155" s="451"/>
      <c r="AM155" s="451"/>
      <c r="AN155" s="451"/>
      <c r="AO155" s="146">
        <v>1</v>
      </c>
      <c r="AP155" s="146">
        <v>1</v>
      </c>
      <c r="AQ155" s="10" t="str">
        <f ca="1">Sprache!$A$112</f>
        <v>Tiomos Scharnier TS Click-on</v>
      </c>
      <c r="AR155" t="str">
        <f ca="1">"110°, B-BB, K00, "&amp;Sprache!A181&amp;", ni"</f>
        <v>110°, B-BB, K00, Dübel, ni</v>
      </c>
      <c r="AS155" t="str">
        <f ca="1">Sprache!$A$103</f>
        <v>Tiomos Click-On Scharniere</v>
      </c>
      <c r="AT155">
        <v>0</v>
      </c>
      <c r="AU155" t="s">
        <v>3</v>
      </c>
      <c r="AV155">
        <v>110</v>
      </c>
      <c r="AW155" s="10">
        <v>1</v>
      </c>
      <c r="AX155">
        <v>0</v>
      </c>
      <c r="AY155">
        <v>0</v>
      </c>
      <c r="AZ155" s="10">
        <v>0</v>
      </c>
      <c r="BA155">
        <v>1</v>
      </c>
      <c r="BB155">
        <v>0</v>
      </c>
      <c r="BC155">
        <v>0</v>
      </c>
      <c r="BD155" s="143" t="s">
        <v>34</v>
      </c>
      <c r="BG155"/>
    </row>
    <row r="156" spans="1:59" ht="14.25" customHeight="1" x14ac:dyDescent="0.25">
      <c r="A156" s="37" t="str">
        <f>LEFT(Scharniere[[#This Row],[ArtikelNR]],4)</f>
        <v>F046</v>
      </c>
      <c r="B156" s="35" t="str">
        <f>MID(Scharniere[[#This Row],[ArtikelNR]],5,3)</f>
        <v>138</v>
      </c>
      <c r="C156" s="37" t="str">
        <f>RIGHT(Scharniere[[#This Row],[ArtikelNR]],3)</f>
        <v>583</v>
      </c>
      <c r="D156" s="35">
        <f>IF(AND(Scharniere[[#This Row],[Gruppenschlüssel]]=select!$A$44,Scharniere[[#This Row],[Scharnierart]]=1)=TRUE,1,0)</f>
        <v>1</v>
      </c>
      <c r="E1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6" s="35">
        <f>IF(select!$F$57=IF(Scharniere[[#This Row],[mit Dämpfung]]=1,1,IF(Scharniere[[#This Row],[ohne Dämpfung]]=1,2,IF(Scharniere[[#This Row],[ohne Feder]]=1,3,0))),1,0)</f>
        <v>1</v>
      </c>
      <c r="G156" s="35">
        <f>IF(Scharniere[[#This Row],[Bohrbild]]=select!$V$43,1,0)</f>
        <v>0</v>
      </c>
      <c r="H156" s="35">
        <f>IF(IF(Scharniere[[#This Row],[Anschrauben]]=1,1,IF(Scharniere[[#This Row],[Einpressen]]=1,2,IF(Scharniere[[#This Row],[Quick]]=1,3,IF(Scharniere[[#This Row],[Werkzeuglos]]=1,4,0))))=select!$F$48,1,0)</f>
        <v>1</v>
      </c>
      <c r="I1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6" s="149">
        <f>IF(AND(Scharniere[[#This Row],[Scharnierart]]=2,Scharniere[[#This Row],[Gruppenschlüssel]]=select!$A$318)=TRUE,1,0)</f>
        <v>0</v>
      </c>
      <c r="K156" s="221">
        <f ca="1">IF(select!$O$424&lt;6,1,0)</f>
        <v>1</v>
      </c>
      <c r="L156" s="139">
        <f>IF(select!$A$362=IF(Scharniere[[#This Row],[mit Dämpfung]]=1,1,IF(Scharniere[[#This Row],[ohne Dämpfung]]=1,2,IF(Scharniere[[#This Row],[ohne Feder]]=1,3,0))),1,0)</f>
        <v>0</v>
      </c>
      <c r="M156" s="135">
        <f>IF(Scharniere[[#This Row],[Bohrbild]]=select!$O$334,1,0)</f>
        <v>0</v>
      </c>
      <c r="N156" s="135">
        <f>IF(IF(Scharniere[[#This Row],[Anschrauben]]=1,1,IF(Scharniere[[#This Row],[Einpressen]]=1,2,IF(Scharniere[[#This Row],[Quick]]=1,3,IF(Scharniere[[#This Row],[Werkzeuglos]]=1,4,0))))=select!$E$362,1,0)</f>
        <v>0</v>
      </c>
      <c r="O1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6" s="298">
        <f>IF(AND(Scharniere[[#This Row],[Scharnierart]]=3,Scharniere[[#This Row],[Gruppenschlüssel]]=select!$A$747)=TRUE,1,0)</f>
        <v>0</v>
      </c>
      <c r="Q156" s="298">
        <f ca="1">IF(select!$O$945&lt;6,1,0)</f>
        <v>1</v>
      </c>
      <c r="R156" s="298">
        <f>IF(select!$A$778=IF(Scharniere[[#This Row],[mit Dämpfung]]=1,1,IF(Scharniere[[#This Row],[ohne Dämpfung]]=1,2,IF(Scharniere[[#This Row],[ohne Feder]]=1,3,0))),1,0)</f>
        <v>0</v>
      </c>
      <c r="S156" s="298">
        <f>IF(Scharniere[[#This Row],[Bohrbild]]=select!$A$755,1,0)</f>
        <v>0</v>
      </c>
      <c r="T156" s="298">
        <f>IF(IF(Scharniere[[#This Row],[Anschrauben]]=1,1,IF(Scharniere[[#This Row],[Einpressen]]=1,2,IF(Scharniere[[#This Row],[Quick]]=1,3,IF(Scharniere[[#This Row],[Werkzeuglos]]=1,4,0))))=select!$A$769,1,0)</f>
        <v>0</v>
      </c>
      <c r="U1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6" s="359">
        <f>IF(AND(Scharniere[[#This Row],[Scharnierart]]=4,Scharniere[[#This Row],[Gruppenschlüssel]]=select!$A$981)=TRUE,1,0)</f>
        <v>0</v>
      </c>
      <c r="W156" s="359">
        <f ca="1">IF(select!$O$1185&lt;6,1,0)</f>
        <v>1</v>
      </c>
      <c r="X156" s="359">
        <f>IF(select!$A$1012=IF(Scharniere[[#This Row],[mit Dämpfung]]=1,1,IF(Scharniere[[#This Row],[ohne Dämpfung]]=1,2,IF(Scharniere[[#This Row],[ohne Feder]]=1,3,0))),1,0)</f>
        <v>0</v>
      </c>
      <c r="Y156" s="359">
        <f>IF(Scharniere[[#This Row],[Bohrbild]]=select!$A$989,1,0)</f>
        <v>0</v>
      </c>
      <c r="Z156" s="359">
        <f>IF(IF(Scharniere[[#This Row],[Anschrauben]]=1,1,IF(Scharniere[[#This Row],[Einpressen]]=1,2,IF(Scharniere[[#This Row],[Quick]]=1,3,IF(Scharniere[[#This Row],[Werkzeuglos]]=1,4,0))))=select!$A$1003,1,0)</f>
        <v>0</v>
      </c>
      <c r="AA1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6" s="359">
        <f ca="1">IF(select!$K$980="*",Scharniere[[#This Row],[AG Ges2]],Scharniere[[#This Row],[AG Ges1]])</f>
        <v>0</v>
      </c>
      <c r="AE156" s="451">
        <f ca="1">IF(AND(Scharniere[[#This Row],[Scharnierart]]=select!$A$1485,Scharniere[[#This Row],[Gruppenschlüssel]]=select!$B$1485)=TRUE,1,0)</f>
        <v>1</v>
      </c>
      <c r="AF156" s="451">
        <f ca="1">IF(AND(Scharniere[[#This Row],[Scharnierart]]=select!$A$1486,Scharniere[[#This Row],[Gruppenschlüssel]]=select!$B$1486)=TRUE,1,0)</f>
        <v>0</v>
      </c>
      <c r="AG156" s="451">
        <f ca="1">IF(AND(Scharniere[[#This Row],[Scharnierart]]=select!$A$1487,Scharniere[[#This Row],[Gruppenschlüssel]]=select!$B$1487)=TRUE,1,0)</f>
        <v>0</v>
      </c>
      <c r="AH156" s="451">
        <f ca="1">IF(AND(Scharniere[[#This Row],[Scharnierart]]=select!$A$1488,Scharniere[[#This Row],[Gruppenschlüssel]]=select!$B$1488)=TRUE,1,0)</f>
        <v>0</v>
      </c>
      <c r="AI156" s="451">
        <f ca="1">IF(SUM(Scharniere[[#This Row],[konf Scharnier 1]:[konf Scharnier 4]])&gt;0,1,0)</f>
        <v>1</v>
      </c>
      <c r="AJ156" s="451"/>
      <c r="AK156" s="451"/>
      <c r="AL156" s="451"/>
      <c r="AM156" s="451"/>
      <c r="AN156" s="451"/>
      <c r="AO156" s="146">
        <v>1</v>
      </c>
      <c r="AP156" s="146">
        <v>1</v>
      </c>
      <c r="AQ156" s="10" t="str">
        <f ca="1">Sprache!$A$114</f>
        <v>Tiomos Scharnier TT Click-on</v>
      </c>
      <c r="AR156" t="str">
        <f ca="1">"110°, B-BB, K00, "&amp;Sprache!A181&amp;", ni"</f>
        <v>110°, B-BB, K00, Dübel, ni</v>
      </c>
      <c r="AS156" t="str">
        <f ca="1">Sprache!$A$103</f>
        <v>Tiomos Click-On Scharniere</v>
      </c>
      <c r="AT156">
        <v>0</v>
      </c>
      <c r="AU156" t="s">
        <v>3</v>
      </c>
      <c r="AV156">
        <v>110</v>
      </c>
      <c r="AW156" s="10">
        <v>0</v>
      </c>
      <c r="AX156">
        <v>0</v>
      </c>
      <c r="AY156">
        <v>1</v>
      </c>
      <c r="AZ156" s="10">
        <v>0</v>
      </c>
      <c r="BA156">
        <v>1</v>
      </c>
      <c r="BB156">
        <v>0</v>
      </c>
      <c r="BC156">
        <v>0</v>
      </c>
      <c r="BD156" s="143" t="s">
        <v>640</v>
      </c>
      <c r="BG156"/>
    </row>
    <row r="157" spans="1:59" ht="14.25" customHeight="1" x14ac:dyDescent="0.25">
      <c r="A157" s="37" t="str">
        <f>LEFT(Scharniere[[#This Row],[ArtikelNR]],4)</f>
        <v>F045</v>
      </c>
      <c r="B157" s="35" t="str">
        <f>MID(Scharniere[[#This Row],[ArtikelNR]],5,3)</f>
        <v>138</v>
      </c>
      <c r="C157" s="37" t="str">
        <f>RIGHT(Scharniere[[#This Row],[ArtikelNR]],3)</f>
        <v>457</v>
      </c>
      <c r="D157" s="35">
        <f>IF(AND(Scharniere[[#This Row],[Gruppenschlüssel]]=select!$A$44,Scharniere[[#This Row],[Scharnierart]]=1)=TRUE,1,0)</f>
        <v>1</v>
      </c>
      <c r="E1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7" s="35">
        <f>IF(select!$F$57=IF(Scharniere[[#This Row],[mit Dämpfung]]=1,1,IF(Scharniere[[#This Row],[ohne Dämpfung]]=1,2,IF(Scharniere[[#This Row],[ohne Feder]]=1,3,0))),1,0)</f>
        <v>0</v>
      </c>
      <c r="G157" s="35">
        <f>IF(Scharniere[[#This Row],[Bohrbild]]=select!$V$43,1,0)</f>
        <v>0</v>
      </c>
      <c r="H157" s="35">
        <f>IF(IF(Scharniere[[#This Row],[Anschrauben]]=1,1,IF(Scharniere[[#This Row],[Einpressen]]=1,2,IF(Scharniere[[#This Row],[Quick]]=1,3,IF(Scharniere[[#This Row],[Werkzeuglos]]=1,4,0))))=select!$F$48,1,0)</f>
        <v>0</v>
      </c>
      <c r="I1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7" s="149">
        <f>IF(AND(Scharniere[[#This Row],[Scharnierart]]=2,Scharniere[[#This Row],[Gruppenschlüssel]]=select!$A$318)=TRUE,1,0)</f>
        <v>0</v>
      </c>
      <c r="K157" s="221">
        <f ca="1">IF(select!$O$424&lt;6,1,0)</f>
        <v>1</v>
      </c>
      <c r="L157" s="139">
        <f>IF(select!$A$362=IF(Scharniere[[#This Row],[mit Dämpfung]]=1,1,IF(Scharniere[[#This Row],[ohne Dämpfung]]=1,2,IF(Scharniere[[#This Row],[ohne Feder]]=1,3,0))),1,0)</f>
        <v>0</v>
      </c>
      <c r="M157" s="135">
        <f>IF(Scharniere[[#This Row],[Bohrbild]]=select!$O$334,1,0)</f>
        <v>0</v>
      </c>
      <c r="N157" s="135">
        <f>IF(IF(Scharniere[[#This Row],[Anschrauben]]=1,1,IF(Scharniere[[#This Row],[Einpressen]]=1,2,IF(Scharniere[[#This Row],[Quick]]=1,3,IF(Scharniere[[#This Row],[Werkzeuglos]]=1,4,0))))=select!$E$362,1,0)</f>
        <v>1</v>
      </c>
      <c r="O1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7" s="298">
        <f>IF(AND(Scharniere[[#This Row],[Scharnierart]]=3,Scharniere[[#This Row],[Gruppenschlüssel]]=select!$A$747)=TRUE,1,0)</f>
        <v>0</v>
      </c>
      <c r="Q157" s="298">
        <f ca="1">IF(select!$O$945&lt;6,1,0)</f>
        <v>1</v>
      </c>
      <c r="R157" s="298">
        <f>IF(select!$A$778=IF(Scharniere[[#This Row],[mit Dämpfung]]=1,1,IF(Scharniere[[#This Row],[ohne Dämpfung]]=1,2,IF(Scharniere[[#This Row],[ohne Feder]]=1,3,0))),1,0)</f>
        <v>1</v>
      </c>
      <c r="S157" s="298">
        <f>IF(Scharniere[[#This Row],[Bohrbild]]=select!$A$755,1,0)</f>
        <v>0</v>
      </c>
      <c r="T157" s="298">
        <f>IF(IF(Scharniere[[#This Row],[Anschrauben]]=1,1,IF(Scharniere[[#This Row],[Einpressen]]=1,2,IF(Scharniere[[#This Row],[Quick]]=1,3,IF(Scharniere[[#This Row],[Werkzeuglos]]=1,4,0))))=select!$A$769,1,0)</f>
        <v>1</v>
      </c>
      <c r="U1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7" s="359">
        <f>IF(AND(Scharniere[[#This Row],[Scharnierart]]=4,Scharniere[[#This Row],[Gruppenschlüssel]]=select!$A$981)=TRUE,1,0)</f>
        <v>0</v>
      </c>
      <c r="W157" s="359">
        <f ca="1">IF(select!$O$1185&lt;6,1,0)</f>
        <v>1</v>
      </c>
      <c r="X157" s="359">
        <f>IF(select!$A$1012=IF(Scharniere[[#This Row],[mit Dämpfung]]=1,1,IF(Scharniere[[#This Row],[ohne Dämpfung]]=1,2,IF(Scharniere[[#This Row],[ohne Feder]]=1,3,0))),1,0)</f>
        <v>1</v>
      </c>
      <c r="Y157" s="359">
        <f>IF(Scharniere[[#This Row],[Bohrbild]]=select!$A$989,1,0)</f>
        <v>0</v>
      </c>
      <c r="Z157" s="359">
        <f>IF(IF(Scharniere[[#This Row],[Anschrauben]]=1,1,IF(Scharniere[[#This Row],[Einpressen]]=1,2,IF(Scharniere[[#This Row],[Quick]]=1,3,IF(Scharniere[[#This Row],[Werkzeuglos]]=1,4,0))))=select!$A$1003,1,0)</f>
        <v>1</v>
      </c>
      <c r="AA1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7" s="359">
        <f ca="1">IF(select!$K$980="*",Scharniere[[#This Row],[AG Ges2]],Scharniere[[#This Row],[AG Ges1]])</f>
        <v>0</v>
      </c>
      <c r="AE157" s="451">
        <f ca="1">IF(AND(Scharniere[[#This Row],[Scharnierart]]=select!$A$1485,Scharniere[[#This Row],[Gruppenschlüssel]]=select!$B$1485)=TRUE,1,0)</f>
        <v>1</v>
      </c>
      <c r="AF157" s="451">
        <f ca="1">IF(AND(Scharniere[[#This Row],[Scharnierart]]=select!$A$1486,Scharniere[[#This Row],[Gruppenschlüssel]]=select!$B$1486)=TRUE,1,0)</f>
        <v>0</v>
      </c>
      <c r="AG157" s="451">
        <f ca="1">IF(AND(Scharniere[[#This Row],[Scharnierart]]=select!$A$1487,Scharniere[[#This Row],[Gruppenschlüssel]]=select!$B$1487)=TRUE,1,0)</f>
        <v>0</v>
      </c>
      <c r="AH157" s="451">
        <f ca="1">IF(AND(Scharniere[[#This Row],[Scharnierart]]=select!$A$1488,Scharniere[[#This Row],[Gruppenschlüssel]]=select!$B$1488)=TRUE,1,0)</f>
        <v>0</v>
      </c>
      <c r="AI157" s="451">
        <f ca="1">IF(SUM(Scharniere[[#This Row],[konf Scharnier 1]:[konf Scharnier 4]])&gt;0,1,0)</f>
        <v>1</v>
      </c>
      <c r="AJ157" s="451"/>
      <c r="AK157" s="451"/>
      <c r="AL157" s="451"/>
      <c r="AM157" s="451"/>
      <c r="AN157" s="451"/>
      <c r="AO157" s="146">
        <v>1</v>
      </c>
      <c r="AP157" s="146">
        <v>1</v>
      </c>
      <c r="AQ157" s="10" t="str">
        <f ca="1">Sprache!$A$110</f>
        <v>Tiomos Scharnier T Click-on</v>
      </c>
      <c r="AR157" t="s">
        <v>302</v>
      </c>
      <c r="AS157" t="str">
        <f ca="1">Sprache!$A$103</f>
        <v>Tiomos Click-On Scharniere</v>
      </c>
      <c r="AT157">
        <v>0</v>
      </c>
      <c r="AU157" t="s">
        <v>3</v>
      </c>
      <c r="AV157">
        <v>110</v>
      </c>
      <c r="AW157" s="10">
        <v>0</v>
      </c>
      <c r="AX157">
        <v>1</v>
      </c>
      <c r="AY157">
        <v>0</v>
      </c>
      <c r="AZ157" s="10">
        <v>1</v>
      </c>
      <c r="BA157">
        <v>0</v>
      </c>
      <c r="BB157">
        <v>0</v>
      </c>
      <c r="BC157">
        <v>0</v>
      </c>
      <c r="BD157" s="143" t="s">
        <v>485</v>
      </c>
      <c r="BG157"/>
    </row>
    <row r="158" spans="1:59" ht="14.25" customHeight="1" x14ac:dyDescent="0.25">
      <c r="A158" s="37" t="str">
        <f>LEFT(Scharniere[[#This Row],[ArtikelNR]],4)</f>
        <v>F028</v>
      </c>
      <c r="B158" s="35" t="str">
        <f>MID(Scharniere[[#This Row],[ArtikelNR]],5,3)</f>
        <v>138</v>
      </c>
      <c r="C158" s="37" t="str">
        <f>RIGHT(Scharniere[[#This Row],[ArtikelNR]],3)</f>
        <v>519</v>
      </c>
      <c r="D158" s="35">
        <f>IF(AND(Scharniere[[#This Row],[Gruppenschlüssel]]=select!$A$44,Scharniere[[#This Row],[Scharnierart]]=1)=TRUE,1,0)</f>
        <v>1</v>
      </c>
      <c r="E1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8" s="35">
        <f>IF(select!$F$57=IF(Scharniere[[#This Row],[mit Dämpfung]]=1,1,IF(Scharniere[[#This Row],[ohne Dämpfung]]=1,2,IF(Scharniere[[#This Row],[ohne Feder]]=1,3,0))),1,0)</f>
        <v>0</v>
      </c>
      <c r="G158" s="35">
        <f>IF(Scharniere[[#This Row],[Bohrbild]]=select!$V$43,1,0)</f>
        <v>0</v>
      </c>
      <c r="H158" s="35">
        <f>IF(IF(Scharniere[[#This Row],[Anschrauben]]=1,1,IF(Scharniere[[#This Row],[Einpressen]]=1,2,IF(Scharniere[[#This Row],[Quick]]=1,3,IF(Scharniere[[#This Row],[Werkzeuglos]]=1,4,0))))=select!$F$48,1,0)</f>
        <v>0</v>
      </c>
      <c r="I1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8" s="149">
        <f>IF(AND(Scharniere[[#This Row],[Scharnierart]]=2,Scharniere[[#This Row],[Gruppenschlüssel]]=select!$A$318)=TRUE,1,0)</f>
        <v>0</v>
      </c>
      <c r="K158" s="221">
        <f ca="1">IF(select!$O$424&lt;6,1,0)</f>
        <v>1</v>
      </c>
      <c r="L158" s="139">
        <f>IF(select!$A$362=IF(Scharniere[[#This Row],[mit Dämpfung]]=1,1,IF(Scharniere[[#This Row],[ohne Dämpfung]]=1,2,IF(Scharniere[[#This Row],[ohne Feder]]=1,3,0))),1,0)</f>
        <v>1</v>
      </c>
      <c r="M158" s="135">
        <f>IF(Scharniere[[#This Row],[Bohrbild]]=select!$O$334,1,0)</f>
        <v>0</v>
      </c>
      <c r="N158" s="135">
        <f>IF(IF(Scharniere[[#This Row],[Anschrauben]]=1,1,IF(Scharniere[[#This Row],[Einpressen]]=1,2,IF(Scharniere[[#This Row],[Quick]]=1,3,IF(Scharniere[[#This Row],[Werkzeuglos]]=1,4,0))))=select!$E$362,1,0)</f>
        <v>1</v>
      </c>
      <c r="O1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8" s="298">
        <f>IF(AND(Scharniere[[#This Row],[Scharnierart]]=3,Scharniere[[#This Row],[Gruppenschlüssel]]=select!$A$747)=TRUE,1,0)</f>
        <v>0</v>
      </c>
      <c r="Q158" s="298">
        <f ca="1">IF(select!$O$945&lt;6,1,0)</f>
        <v>1</v>
      </c>
      <c r="R158" s="298">
        <f>IF(select!$A$778=IF(Scharniere[[#This Row],[mit Dämpfung]]=1,1,IF(Scharniere[[#This Row],[ohne Dämpfung]]=1,2,IF(Scharniere[[#This Row],[ohne Feder]]=1,3,0))),1,0)</f>
        <v>0</v>
      </c>
      <c r="S158" s="298">
        <f>IF(Scharniere[[#This Row],[Bohrbild]]=select!$A$755,1,0)</f>
        <v>0</v>
      </c>
      <c r="T158" s="298">
        <f>IF(IF(Scharniere[[#This Row],[Anschrauben]]=1,1,IF(Scharniere[[#This Row],[Einpressen]]=1,2,IF(Scharniere[[#This Row],[Quick]]=1,3,IF(Scharniere[[#This Row],[Werkzeuglos]]=1,4,0))))=select!$A$769,1,0)</f>
        <v>1</v>
      </c>
      <c r="U1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8" s="359">
        <f>IF(AND(Scharniere[[#This Row],[Scharnierart]]=4,Scharniere[[#This Row],[Gruppenschlüssel]]=select!$A$981)=TRUE,1,0)</f>
        <v>0</v>
      </c>
      <c r="W158" s="359">
        <f ca="1">IF(select!$O$1185&lt;6,1,0)</f>
        <v>1</v>
      </c>
      <c r="X158" s="359">
        <f>IF(select!$A$1012=IF(Scharniere[[#This Row],[mit Dämpfung]]=1,1,IF(Scharniere[[#This Row],[ohne Dämpfung]]=1,2,IF(Scharniere[[#This Row],[ohne Feder]]=1,3,0))),1,0)</f>
        <v>0</v>
      </c>
      <c r="Y158" s="359">
        <f>IF(Scharniere[[#This Row],[Bohrbild]]=select!$A$989,1,0)</f>
        <v>0</v>
      </c>
      <c r="Z158" s="359">
        <f>IF(IF(Scharniere[[#This Row],[Anschrauben]]=1,1,IF(Scharniere[[#This Row],[Einpressen]]=1,2,IF(Scharniere[[#This Row],[Quick]]=1,3,IF(Scharniere[[#This Row],[Werkzeuglos]]=1,4,0))))=select!$A$1003,1,0)</f>
        <v>1</v>
      </c>
      <c r="AA1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8" s="359">
        <f ca="1">IF(select!$K$980="*",Scharniere[[#This Row],[AG Ges2]],Scharniere[[#This Row],[AG Ges1]])</f>
        <v>0</v>
      </c>
      <c r="AE158" s="451">
        <f ca="1">IF(AND(Scharniere[[#This Row],[Scharnierart]]=select!$A$1485,Scharniere[[#This Row],[Gruppenschlüssel]]=select!$B$1485)=TRUE,1,0)</f>
        <v>1</v>
      </c>
      <c r="AF158" s="451">
        <f ca="1">IF(AND(Scharniere[[#This Row],[Scharnierart]]=select!$A$1486,Scharniere[[#This Row],[Gruppenschlüssel]]=select!$B$1486)=TRUE,1,0)</f>
        <v>0</v>
      </c>
      <c r="AG158" s="451">
        <f ca="1">IF(AND(Scharniere[[#This Row],[Scharnierart]]=select!$A$1487,Scharniere[[#This Row],[Gruppenschlüssel]]=select!$B$1487)=TRUE,1,0)</f>
        <v>0</v>
      </c>
      <c r="AH158" s="451">
        <f ca="1">IF(AND(Scharniere[[#This Row],[Scharnierart]]=select!$A$1488,Scharniere[[#This Row],[Gruppenschlüssel]]=select!$B$1488)=TRUE,1,0)</f>
        <v>0</v>
      </c>
      <c r="AI158" s="451">
        <f ca="1">IF(SUM(Scharniere[[#This Row],[konf Scharnier 1]:[konf Scharnier 4]])&gt;0,1,0)</f>
        <v>1</v>
      </c>
      <c r="AJ158" s="451"/>
      <c r="AK158" s="451"/>
      <c r="AL158" s="451"/>
      <c r="AM158" s="451"/>
      <c r="AN158" s="451"/>
      <c r="AO158" s="146">
        <v>1</v>
      </c>
      <c r="AP158" s="146">
        <v>1</v>
      </c>
      <c r="AQ158" s="10" t="str">
        <f ca="1">Sprache!$A$112</f>
        <v>Tiomos Scharnier TS Click-on</v>
      </c>
      <c r="AR158" t="s">
        <v>302</v>
      </c>
      <c r="AS158" t="str">
        <f ca="1">Sprache!$A$103</f>
        <v>Tiomos Click-On Scharniere</v>
      </c>
      <c r="AT158">
        <v>0</v>
      </c>
      <c r="AU158" t="s">
        <v>3</v>
      </c>
      <c r="AV158">
        <v>110</v>
      </c>
      <c r="AW158" s="10">
        <v>1</v>
      </c>
      <c r="AX158">
        <v>0</v>
      </c>
      <c r="AY158">
        <v>0</v>
      </c>
      <c r="AZ158" s="10">
        <v>1</v>
      </c>
      <c r="BA158">
        <v>0</v>
      </c>
      <c r="BB158">
        <v>0</v>
      </c>
      <c r="BC158">
        <v>0</v>
      </c>
      <c r="BD158" s="143" t="s">
        <v>33</v>
      </c>
      <c r="BG158"/>
    </row>
    <row r="159" spans="1:59" ht="14.25" customHeight="1" x14ac:dyDescent="0.25">
      <c r="A159" s="37" t="str">
        <f>LEFT(Scharniere[[#This Row],[ArtikelNR]],4)</f>
        <v>F046</v>
      </c>
      <c r="B159" s="35" t="str">
        <f>MID(Scharniere[[#This Row],[ArtikelNR]],5,3)</f>
        <v>138</v>
      </c>
      <c r="C159" s="37" t="str">
        <f>RIGHT(Scharniere[[#This Row],[ArtikelNR]],3)</f>
        <v>579</v>
      </c>
      <c r="D159" s="35">
        <f>IF(AND(Scharniere[[#This Row],[Gruppenschlüssel]]=select!$A$44,Scharniere[[#This Row],[Scharnierart]]=1)=TRUE,1,0)</f>
        <v>1</v>
      </c>
      <c r="E1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59" s="35">
        <f>IF(select!$F$57=IF(Scharniere[[#This Row],[mit Dämpfung]]=1,1,IF(Scharniere[[#This Row],[ohne Dämpfung]]=1,2,IF(Scharniere[[#This Row],[ohne Feder]]=1,3,0))),1,0)</f>
        <v>1</v>
      </c>
      <c r="G159" s="35">
        <f>IF(Scharniere[[#This Row],[Bohrbild]]=select!$V$43,1,0)</f>
        <v>0</v>
      </c>
      <c r="H159" s="35">
        <f>IF(IF(Scharniere[[#This Row],[Anschrauben]]=1,1,IF(Scharniere[[#This Row],[Einpressen]]=1,2,IF(Scharniere[[#This Row],[Quick]]=1,3,IF(Scharniere[[#This Row],[Werkzeuglos]]=1,4,0))))=select!$F$48,1,0)</f>
        <v>0</v>
      </c>
      <c r="I1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59" s="149">
        <f>IF(AND(Scharniere[[#This Row],[Scharnierart]]=2,Scharniere[[#This Row],[Gruppenschlüssel]]=select!$A$318)=TRUE,1,0)</f>
        <v>0</v>
      </c>
      <c r="K159" s="221">
        <f ca="1">IF(select!$O$424&lt;6,1,0)</f>
        <v>1</v>
      </c>
      <c r="L159" s="139">
        <f>IF(select!$A$362=IF(Scharniere[[#This Row],[mit Dämpfung]]=1,1,IF(Scharniere[[#This Row],[ohne Dämpfung]]=1,2,IF(Scharniere[[#This Row],[ohne Feder]]=1,3,0))),1,0)</f>
        <v>0</v>
      </c>
      <c r="M159" s="135">
        <f>IF(Scharniere[[#This Row],[Bohrbild]]=select!$O$334,1,0)</f>
        <v>0</v>
      </c>
      <c r="N159" s="135">
        <f>IF(IF(Scharniere[[#This Row],[Anschrauben]]=1,1,IF(Scharniere[[#This Row],[Einpressen]]=1,2,IF(Scharniere[[#This Row],[Quick]]=1,3,IF(Scharniere[[#This Row],[Werkzeuglos]]=1,4,0))))=select!$E$362,1,0)</f>
        <v>1</v>
      </c>
      <c r="O1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59" s="298">
        <f>IF(AND(Scharniere[[#This Row],[Scharnierart]]=3,Scharniere[[#This Row],[Gruppenschlüssel]]=select!$A$747)=TRUE,1,0)</f>
        <v>0</v>
      </c>
      <c r="Q159" s="298">
        <f ca="1">IF(select!$O$945&lt;6,1,0)</f>
        <v>1</v>
      </c>
      <c r="R159" s="298">
        <f>IF(select!$A$778=IF(Scharniere[[#This Row],[mit Dämpfung]]=1,1,IF(Scharniere[[#This Row],[ohne Dämpfung]]=1,2,IF(Scharniere[[#This Row],[ohne Feder]]=1,3,0))),1,0)</f>
        <v>0</v>
      </c>
      <c r="S159" s="298">
        <f>IF(Scharniere[[#This Row],[Bohrbild]]=select!$A$755,1,0)</f>
        <v>0</v>
      </c>
      <c r="T159" s="298">
        <f>IF(IF(Scharniere[[#This Row],[Anschrauben]]=1,1,IF(Scharniere[[#This Row],[Einpressen]]=1,2,IF(Scharniere[[#This Row],[Quick]]=1,3,IF(Scharniere[[#This Row],[Werkzeuglos]]=1,4,0))))=select!$A$769,1,0)</f>
        <v>1</v>
      </c>
      <c r="U1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59" s="359">
        <f>IF(AND(Scharniere[[#This Row],[Scharnierart]]=4,Scharniere[[#This Row],[Gruppenschlüssel]]=select!$A$981)=TRUE,1,0)</f>
        <v>0</v>
      </c>
      <c r="W159" s="359">
        <f ca="1">IF(select!$O$1185&lt;6,1,0)</f>
        <v>1</v>
      </c>
      <c r="X159" s="359">
        <f>IF(select!$A$1012=IF(Scharniere[[#This Row],[mit Dämpfung]]=1,1,IF(Scharniere[[#This Row],[ohne Dämpfung]]=1,2,IF(Scharniere[[#This Row],[ohne Feder]]=1,3,0))),1,0)</f>
        <v>0</v>
      </c>
      <c r="Y159" s="359">
        <f>IF(Scharniere[[#This Row],[Bohrbild]]=select!$A$989,1,0)</f>
        <v>0</v>
      </c>
      <c r="Z159" s="359">
        <f>IF(IF(Scharniere[[#This Row],[Anschrauben]]=1,1,IF(Scharniere[[#This Row],[Einpressen]]=1,2,IF(Scharniere[[#This Row],[Quick]]=1,3,IF(Scharniere[[#This Row],[Werkzeuglos]]=1,4,0))))=select!$A$1003,1,0)</f>
        <v>1</v>
      </c>
      <c r="AA1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59" s="359">
        <f ca="1">IF(select!$K$980="*",Scharniere[[#This Row],[AG Ges2]],Scharniere[[#This Row],[AG Ges1]])</f>
        <v>0</v>
      </c>
      <c r="AE159" s="451">
        <f ca="1">IF(AND(Scharniere[[#This Row],[Scharnierart]]=select!$A$1485,Scharniere[[#This Row],[Gruppenschlüssel]]=select!$B$1485)=TRUE,1,0)</f>
        <v>1</v>
      </c>
      <c r="AF159" s="451">
        <f ca="1">IF(AND(Scharniere[[#This Row],[Scharnierart]]=select!$A$1486,Scharniere[[#This Row],[Gruppenschlüssel]]=select!$B$1486)=TRUE,1,0)</f>
        <v>0</v>
      </c>
      <c r="AG159" s="451">
        <f ca="1">IF(AND(Scharniere[[#This Row],[Scharnierart]]=select!$A$1487,Scharniere[[#This Row],[Gruppenschlüssel]]=select!$B$1487)=TRUE,1,0)</f>
        <v>0</v>
      </c>
      <c r="AH159" s="451">
        <f ca="1">IF(AND(Scharniere[[#This Row],[Scharnierart]]=select!$A$1488,Scharniere[[#This Row],[Gruppenschlüssel]]=select!$B$1488)=TRUE,1,0)</f>
        <v>0</v>
      </c>
      <c r="AI159" s="451">
        <f ca="1">IF(SUM(Scharniere[[#This Row],[konf Scharnier 1]:[konf Scharnier 4]])&gt;0,1,0)</f>
        <v>1</v>
      </c>
      <c r="AJ159" s="451"/>
      <c r="AK159" s="451"/>
      <c r="AL159" s="451"/>
      <c r="AM159" s="451"/>
      <c r="AN159" s="451"/>
      <c r="AO159" s="146">
        <v>1</v>
      </c>
      <c r="AP159" s="146">
        <v>1</v>
      </c>
      <c r="AQ159" s="10" t="str">
        <f ca="1">Sprache!$A$114</f>
        <v>Tiomos Scharnier TT Click-on</v>
      </c>
      <c r="AR159" t="s">
        <v>302</v>
      </c>
      <c r="AS159" t="str">
        <f ca="1">Sprache!$A$103</f>
        <v>Tiomos Click-On Scharniere</v>
      </c>
      <c r="AT159">
        <v>0</v>
      </c>
      <c r="AU159" t="s">
        <v>3</v>
      </c>
      <c r="AV159">
        <v>110</v>
      </c>
      <c r="AW159" s="10">
        <v>0</v>
      </c>
      <c r="AX159">
        <v>0</v>
      </c>
      <c r="AY159">
        <v>1</v>
      </c>
      <c r="AZ159" s="10">
        <v>1</v>
      </c>
      <c r="BA159">
        <v>0</v>
      </c>
      <c r="BB159">
        <v>0</v>
      </c>
      <c r="BC159">
        <v>0</v>
      </c>
      <c r="BD159" s="143" t="s">
        <v>38</v>
      </c>
      <c r="BG159"/>
    </row>
    <row r="160" spans="1:59" ht="14.25" customHeight="1" x14ac:dyDescent="0.25">
      <c r="A160" s="37" t="str">
        <f>LEFT(Scharniere[[#This Row],[ArtikelNR]],4)</f>
        <v>F045</v>
      </c>
      <c r="B160" s="35" t="str">
        <f>MID(Scharniere[[#This Row],[ArtikelNR]],5,3)</f>
        <v>138</v>
      </c>
      <c r="C160" s="37" t="str">
        <f>RIGHT(Scharniere[[#This Row],[ArtikelNR]],3)</f>
        <v>279</v>
      </c>
      <c r="D160" s="35">
        <f>IF(AND(Scharniere[[#This Row],[Gruppenschlüssel]]=select!$A$44,Scharniere[[#This Row],[Scharnierart]]=1)=TRUE,1,0)</f>
        <v>1</v>
      </c>
      <c r="E1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0" s="35">
        <f>IF(select!$F$57=IF(Scharniere[[#This Row],[mit Dämpfung]]=1,1,IF(Scharniere[[#This Row],[ohne Dämpfung]]=1,2,IF(Scharniere[[#This Row],[ohne Feder]]=1,3,0))),1,0)</f>
        <v>0</v>
      </c>
      <c r="G160" s="35">
        <f>IF(Scharniere[[#This Row],[Bohrbild]]=select!$V$43,1,0)</f>
        <v>0</v>
      </c>
      <c r="H160" s="35">
        <f>IF(IF(Scharniere[[#This Row],[Anschrauben]]=1,1,IF(Scharniere[[#This Row],[Einpressen]]=1,2,IF(Scharniere[[#This Row],[Quick]]=1,3,IF(Scharniere[[#This Row],[Werkzeuglos]]=1,4,0))))=select!$F$48,1,0)</f>
        <v>1</v>
      </c>
      <c r="I1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0" s="149">
        <f>IF(AND(Scharniere[[#This Row],[Scharnierart]]=2,Scharniere[[#This Row],[Gruppenschlüssel]]=select!$A$318)=TRUE,1,0)</f>
        <v>0</v>
      </c>
      <c r="K160" s="221">
        <f ca="1">IF(select!$O$424&lt;6,1,0)</f>
        <v>1</v>
      </c>
      <c r="L160" s="139">
        <f>IF(select!$A$362=IF(Scharniere[[#This Row],[mit Dämpfung]]=1,1,IF(Scharniere[[#This Row],[ohne Dämpfung]]=1,2,IF(Scharniere[[#This Row],[ohne Feder]]=1,3,0))),1,0)</f>
        <v>0</v>
      </c>
      <c r="M160" s="135">
        <f>IF(Scharniere[[#This Row],[Bohrbild]]=select!$O$334,1,0)</f>
        <v>0</v>
      </c>
      <c r="N160" s="135">
        <f>IF(IF(Scharniere[[#This Row],[Anschrauben]]=1,1,IF(Scharniere[[#This Row],[Einpressen]]=1,2,IF(Scharniere[[#This Row],[Quick]]=1,3,IF(Scharniere[[#This Row],[Werkzeuglos]]=1,4,0))))=select!$E$362,1,0)</f>
        <v>0</v>
      </c>
      <c r="O1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0" s="298">
        <f>IF(AND(Scharniere[[#This Row],[Scharnierart]]=3,Scharniere[[#This Row],[Gruppenschlüssel]]=select!$A$747)=TRUE,1,0)</f>
        <v>0</v>
      </c>
      <c r="Q160" s="298">
        <f ca="1">IF(select!$O$945&lt;6,1,0)</f>
        <v>1</v>
      </c>
      <c r="R160" s="298">
        <f>IF(select!$A$778=IF(Scharniere[[#This Row],[mit Dämpfung]]=1,1,IF(Scharniere[[#This Row],[ohne Dämpfung]]=1,2,IF(Scharniere[[#This Row],[ohne Feder]]=1,3,0))),1,0)</f>
        <v>1</v>
      </c>
      <c r="S160" s="298">
        <f>IF(Scharniere[[#This Row],[Bohrbild]]=select!$A$755,1,0)</f>
        <v>0</v>
      </c>
      <c r="T160" s="298">
        <f>IF(IF(Scharniere[[#This Row],[Anschrauben]]=1,1,IF(Scharniere[[#This Row],[Einpressen]]=1,2,IF(Scharniere[[#This Row],[Quick]]=1,3,IF(Scharniere[[#This Row],[Werkzeuglos]]=1,4,0))))=select!$A$769,1,0)</f>
        <v>0</v>
      </c>
      <c r="U1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0" s="359">
        <f>IF(AND(Scharniere[[#This Row],[Scharnierart]]=4,Scharniere[[#This Row],[Gruppenschlüssel]]=select!$A$981)=TRUE,1,0)</f>
        <v>0</v>
      </c>
      <c r="W160" s="359">
        <f ca="1">IF(select!$O$1185&lt;6,1,0)</f>
        <v>1</v>
      </c>
      <c r="X160" s="359">
        <f>IF(select!$A$1012=IF(Scharniere[[#This Row],[mit Dämpfung]]=1,1,IF(Scharniere[[#This Row],[ohne Dämpfung]]=1,2,IF(Scharniere[[#This Row],[ohne Feder]]=1,3,0))),1,0)</f>
        <v>1</v>
      </c>
      <c r="Y160" s="359">
        <f>IF(Scharniere[[#This Row],[Bohrbild]]=select!$A$989,1,0)</f>
        <v>0</v>
      </c>
      <c r="Z160" s="359">
        <f>IF(IF(Scharniere[[#This Row],[Anschrauben]]=1,1,IF(Scharniere[[#This Row],[Einpressen]]=1,2,IF(Scharniere[[#This Row],[Quick]]=1,3,IF(Scharniere[[#This Row],[Werkzeuglos]]=1,4,0))))=select!$A$1003,1,0)</f>
        <v>0</v>
      </c>
      <c r="AA1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0" s="359">
        <f ca="1">IF(select!$K$980="*",Scharniere[[#This Row],[AG Ges2]],Scharniere[[#This Row],[AG Ges1]])</f>
        <v>0</v>
      </c>
      <c r="AE160" s="451">
        <f ca="1">IF(AND(Scharniere[[#This Row],[Scharnierart]]=select!$A$1485,Scharniere[[#This Row],[Gruppenschlüssel]]=select!$B$1485)=TRUE,1,0)</f>
        <v>1</v>
      </c>
      <c r="AF160" s="451">
        <f ca="1">IF(AND(Scharniere[[#This Row],[Scharnierart]]=select!$A$1486,Scharniere[[#This Row],[Gruppenschlüssel]]=select!$B$1486)=TRUE,1,0)</f>
        <v>0</v>
      </c>
      <c r="AG160" s="451">
        <f ca="1">IF(AND(Scharniere[[#This Row],[Scharnierart]]=select!$A$1487,Scharniere[[#This Row],[Gruppenschlüssel]]=select!$B$1487)=TRUE,1,0)</f>
        <v>0</v>
      </c>
      <c r="AH160" s="451">
        <f ca="1">IF(AND(Scharniere[[#This Row],[Scharnierart]]=select!$A$1488,Scharniere[[#This Row],[Gruppenschlüssel]]=select!$B$1488)=TRUE,1,0)</f>
        <v>0</v>
      </c>
      <c r="AI160" s="451">
        <f ca="1">IF(SUM(Scharniere[[#This Row],[konf Scharnier 1]:[konf Scharnier 4]])&gt;0,1,0)</f>
        <v>1</v>
      </c>
      <c r="AJ160" s="451"/>
      <c r="AK160" s="451"/>
      <c r="AL160" s="451"/>
      <c r="AM160" s="451"/>
      <c r="AN160" s="451"/>
      <c r="AO160" s="146">
        <v>1</v>
      </c>
      <c r="AP160" s="146">
        <v>1</v>
      </c>
      <c r="AQ160" s="10" t="str">
        <f ca="1">Sprache!$A$110</f>
        <v>Tiomos Scharnier T Click-on</v>
      </c>
      <c r="AR160" t="str">
        <f ca="1">"110°, G-BB, K00, "&amp;Sprache!A181&amp;", ni"</f>
        <v>110°, G-BB, K00, Dübel, ni</v>
      </c>
      <c r="AS160" t="str">
        <f ca="1">Sprache!$A$103</f>
        <v>Tiomos Click-On Scharniere</v>
      </c>
      <c r="AT160">
        <v>0</v>
      </c>
      <c r="AU160" s="34" t="s">
        <v>9</v>
      </c>
      <c r="AV160">
        <v>110</v>
      </c>
      <c r="AW160" s="10">
        <v>0</v>
      </c>
      <c r="AX160">
        <v>1</v>
      </c>
      <c r="AY160">
        <v>0</v>
      </c>
      <c r="AZ160" s="10">
        <v>0</v>
      </c>
      <c r="BA160">
        <v>1</v>
      </c>
      <c r="BB160">
        <v>0</v>
      </c>
      <c r="BC160">
        <v>0</v>
      </c>
      <c r="BD160" s="143" t="s">
        <v>461</v>
      </c>
      <c r="BG160"/>
    </row>
    <row r="161" spans="1:59" ht="14.25" customHeight="1" x14ac:dyDescent="0.25">
      <c r="A161" s="37" t="str">
        <f>LEFT(Scharniere[[#This Row],[ArtikelNR]],4)</f>
        <v>F028</v>
      </c>
      <c r="B161" s="35" t="str">
        <f>MID(Scharniere[[#This Row],[ArtikelNR]],5,3)</f>
        <v>138</v>
      </c>
      <c r="C161" s="37" t="str">
        <f>RIGHT(Scharniere[[#This Row],[ArtikelNR]],3)</f>
        <v>341</v>
      </c>
      <c r="D161" s="35">
        <f>IF(AND(Scharniere[[#This Row],[Gruppenschlüssel]]=select!$A$44,Scharniere[[#This Row],[Scharnierart]]=1)=TRUE,1,0)</f>
        <v>1</v>
      </c>
      <c r="E1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1" s="35">
        <f>IF(select!$F$57=IF(Scharniere[[#This Row],[mit Dämpfung]]=1,1,IF(Scharniere[[#This Row],[ohne Dämpfung]]=1,2,IF(Scharniere[[#This Row],[ohne Feder]]=1,3,0))),1,0)</f>
        <v>0</v>
      </c>
      <c r="G161" s="35">
        <f>IF(Scharniere[[#This Row],[Bohrbild]]=select!$V$43,1,0)</f>
        <v>0</v>
      </c>
      <c r="H161" s="35">
        <f>IF(IF(Scharniere[[#This Row],[Anschrauben]]=1,1,IF(Scharniere[[#This Row],[Einpressen]]=1,2,IF(Scharniere[[#This Row],[Quick]]=1,3,IF(Scharniere[[#This Row],[Werkzeuglos]]=1,4,0))))=select!$F$48,1,0)</f>
        <v>1</v>
      </c>
      <c r="I1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1" s="149">
        <f>IF(AND(Scharniere[[#This Row],[Scharnierart]]=2,Scharniere[[#This Row],[Gruppenschlüssel]]=select!$A$318)=TRUE,1,0)</f>
        <v>0</v>
      </c>
      <c r="K161" s="221">
        <f ca="1">IF(select!$O$424&lt;6,1,0)</f>
        <v>1</v>
      </c>
      <c r="L161" s="139">
        <f>IF(select!$A$362=IF(Scharniere[[#This Row],[mit Dämpfung]]=1,1,IF(Scharniere[[#This Row],[ohne Dämpfung]]=1,2,IF(Scharniere[[#This Row],[ohne Feder]]=1,3,0))),1,0)</f>
        <v>1</v>
      </c>
      <c r="M161" s="135">
        <f>IF(Scharniere[[#This Row],[Bohrbild]]=select!$O$334,1,0)</f>
        <v>0</v>
      </c>
      <c r="N161" s="135">
        <f>IF(IF(Scharniere[[#This Row],[Anschrauben]]=1,1,IF(Scharniere[[#This Row],[Einpressen]]=1,2,IF(Scharniere[[#This Row],[Quick]]=1,3,IF(Scharniere[[#This Row],[Werkzeuglos]]=1,4,0))))=select!$E$362,1,0)</f>
        <v>0</v>
      </c>
      <c r="O1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1" s="298">
        <f>IF(AND(Scharniere[[#This Row],[Scharnierart]]=3,Scharniere[[#This Row],[Gruppenschlüssel]]=select!$A$747)=TRUE,1,0)</f>
        <v>0</v>
      </c>
      <c r="Q161" s="298">
        <f ca="1">IF(select!$O$945&lt;6,1,0)</f>
        <v>1</v>
      </c>
      <c r="R161" s="298">
        <f>IF(select!$A$778=IF(Scharniere[[#This Row],[mit Dämpfung]]=1,1,IF(Scharniere[[#This Row],[ohne Dämpfung]]=1,2,IF(Scharniere[[#This Row],[ohne Feder]]=1,3,0))),1,0)</f>
        <v>0</v>
      </c>
      <c r="S161" s="298">
        <f>IF(Scharniere[[#This Row],[Bohrbild]]=select!$A$755,1,0)</f>
        <v>0</v>
      </c>
      <c r="T161" s="298">
        <f>IF(IF(Scharniere[[#This Row],[Anschrauben]]=1,1,IF(Scharniere[[#This Row],[Einpressen]]=1,2,IF(Scharniere[[#This Row],[Quick]]=1,3,IF(Scharniere[[#This Row],[Werkzeuglos]]=1,4,0))))=select!$A$769,1,0)</f>
        <v>0</v>
      </c>
      <c r="U1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1" s="359">
        <f>IF(AND(Scharniere[[#This Row],[Scharnierart]]=4,Scharniere[[#This Row],[Gruppenschlüssel]]=select!$A$981)=TRUE,1,0)</f>
        <v>0</v>
      </c>
      <c r="W161" s="359">
        <f ca="1">IF(select!$O$1185&lt;6,1,0)</f>
        <v>1</v>
      </c>
      <c r="X161" s="359">
        <f>IF(select!$A$1012=IF(Scharniere[[#This Row],[mit Dämpfung]]=1,1,IF(Scharniere[[#This Row],[ohne Dämpfung]]=1,2,IF(Scharniere[[#This Row],[ohne Feder]]=1,3,0))),1,0)</f>
        <v>0</v>
      </c>
      <c r="Y161" s="359">
        <f>IF(Scharniere[[#This Row],[Bohrbild]]=select!$A$989,1,0)</f>
        <v>0</v>
      </c>
      <c r="Z161" s="359">
        <f>IF(IF(Scharniere[[#This Row],[Anschrauben]]=1,1,IF(Scharniere[[#This Row],[Einpressen]]=1,2,IF(Scharniere[[#This Row],[Quick]]=1,3,IF(Scharniere[[#This Row],[Werkzeuglos]]=1,4,0))))=select!$A$1003,1,0)</f>
        <v>0</v>
      </c>
      <c r="AA1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1" s="359">
        <f ca="1">IF(select!$K$980="*",Scharniere[[#This Row],[AG Ges2]],Scharniere[[#This Row],[AG Ges1]])</f>
        <v>0</v>
      </c>
      <c r="AE161" s="451">
        <f ca="1">IF(AND(Scharniere[[#This Row],[Scharnierart]]=select!$A$1485,Scharniere[[#This Row],[Gruppenschlüssel]]=select!$B$1485)=TRUE,1,0)</f>
        <v>1</v>
      </c>
      <c r="AF161" s="451">
        <f ca="1">IF(AND(Scharniere[[#This Row],[Scharnierart]]=select!$A$1486,Scharniere[[#This Row],[Gruppenschlüssel]]=select!$B$1486)=TRUE,1,0)</f>
        <v>0</v>
      </c>
      <c r="AG161" s="451">
        <f ca="1">IF(AND(Scharniere[[#This Row],[Scharnierart]]=select!$A$1487,Scharniere[[#This Row],[Gruppenschlüssel]]=select!$B$1487)=TRUE,1,0)</f>
        <v>0</v>
      </c>
      <c r="AH161" s="451">
        <f ca="1">IF(AND(Scharniere[[#This Row],[Scharnierart]]=select!$A$1488,Scharniere[[#This Row],[Gruppenschlüssel]]=select!$B$1488)=TRUE,1,0)</f>
        <v>0</v>
      </c>
      <c r="AI161" s="451">
        <f ca="1">IF(SUM(Scharniere[[#This Row],[konf Scharnier 1]:[konf Scharnier 4]])&gt;0,1,0)</f>
        <v>1</v>
      </c>
      <c r="AJ161" s="451"/>
      <c r="AK161" s="451"/>
      <c r="AL161" s="451"/>
      <c r="AM161" s="451"/>
      <c r="AN161" s="451"/>
      <c r="AO161" s="146">
        <v>1</v>
      </c>
      <c r="AP161" s="146">
        <v>1</v>
      </c>
      <c r="AQ161" s="10" t="str">
        <f ca="1">Sprache!$A$112</f>
        <v>Tiomos Scharnier TS Click-on</v>
      </c>
      <c r="AR161" t="str">
        <f ca="1">"110°, G-BB, K00, "&amp;Sprache!A181&amp;", ni"</f>
        <v>110°, G-BB, K00, Dübel, ni</v>
      </c>
      <c r="AS161" t="str">
        <f ca="1">Sprache!$A$103</f>
        <v>Tiomos Click-On Scharniere</v>
      </c>
      <c r="AT161">
        <v>0</v>
      </c>
      <c r="AU161" t="s">
        <v>9</v>
      </c>
      <c r="AV161">
        <v>110</v>
      </c>
      <c r="AW161" s="10">
        <v>1</v>
      </c>
      <c r="AX161">
        <v>0</v>
      </c>
      <c r="AY161">
        <v>0</v>
      </c>
      <c r="AZ161" s="10">
        <v>0</v>
      </c>
      <c r="BA161">
        <v>1</v>
      </c>
      <c r="BB161">
        <v>0</v>
      </c>
      <c r="BC161">
        <v>0</v>
      </c>
      <c r="BD161" s="143" t="s">
        <v>271</v>
      </c>
      <c r="BG161"/>
    </row>
    <row r="162" spans="1:59" ht="14.25" customHeight="1" x14ac:dyDescent="0.25">
      <c r="A162" s="37" t="str">
        <f>LEFT(Scharniere[[#This Row],[ArtikelNR]],4)</f>
        <v>F046</v>
      </c>
      <c r="B162" s="35" t="str">
        <f>MID(Scharniere[[#This Row],[ArtikelNR]],5,3)</f>
        <v>138</v>
      </c>
      <c r="C162" s="37" t="str">
        <f>RIGHT(Scharniere[[#This Row],[ArtikelNR]],3)</f>
        <v>401</v>
      </c>
      <c r="D162" s="35">
        <f>IF(AND(Scharniere[[#This Row],[Gruppenschlüssel]]=select!$A$44,Scharniere[[#This Row],[Scharnierart]]=1)=TRUE,1,0)</f>
        <v>1</v>
      </c>
      <c r="E1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2" s="35">
        <f>IF(select!$F$57=IF(Scharniere[[#This Row],[mit Dämpfung]]=1,1,IF(Scharniere[[#This Row],[ohne Dämpfung]]=1,2,IF(Scharniere[[#This Row],[ohne Feder]]=1,3,0))),1,0)</f>
        <v>1</v>
      </c>
      <c r="G162" s="35">
        <f>IF(Scharniere[[#This Row],[Bohrbild]]=select!$V$43,1,0)</f>
        <v>0</v>
      </c>
      <c r="H162" s="35">
        <f>IF(IF(Scharniere[[#This Row],[Anschrauben]]=1,1,IF(Scharniere[[#This Row],[Einpressen]]=1,2,IF(Scharniere[[#This Row],[Quick]]=1,3,IF(Scharniere[[#This Row],[Werkzeuglos]]=1,4,0))))=select!$F$48,1,0)</f>
        <v>1</v>
      </c>
      <c r="I1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2" s="149">
        <f>IF(AND(Scharniere[[#This Row],[Scharnierart]]=2,Scharniere[[#This Row],[Gruppenschlüssel]]=select!$A$318)=TRUE,1,0)</f>
        <v>0</v>
      </c>
      <c r="K162" s="221">
        <f ca="1">IF(select!$O$424&lt;6,1,0)</f>
        <v>1</v>
      </c>
      <c r="L162" s="139">
        <f>IF(select!$A$362=IF(Scharniere[[#This Row],[mit Dämpfung]]=1,1,IF(Scharniere[[#This Row],[ohne Dämpfung]]=1,2,IF(Scharniere[[#This Row],[ohne Feder]]=1,3,0))),1,0)</f>
        <v>0</v>
      </c>
      <c r="M162" s="135">
        <f>IF(Scharniere[[#This Row],[Bohrbild]]=select!$O$334,1,0)</f>
        <v>0</v>
      </c>
      <c r="N162" s="135">
        <f>IF(IF(Scharniere[[#This Row],[Anschrauben]]=1,1,IF(Scharniere[[#This Row],[Einpressen]]=1,2,IF(Scharniere[[#This Row],[Quick]]=1,3,IF(Scharniere[[#This Row],[Werkzeuglos]]=1,4,0))))=select!$E$362,1,0)</f>
        <v>0</v>
      </c>
      <c r="O1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2" s="298">
        <f>IF(AND(Scharniere[[#This Row],[Scharnierart]]=3,Scharniere[[#This Row],[Gruppenschlüssel]]=select!$A$747)=TRUE,1,0)</f>
        <v>0</v>
      </c>
      <c r="Q162" s="298">
        <f ca="1">IF(select!$O$945&lt;6,1,0)</f>
        <v>1</v>
      </c>
      <c r="R162" s="298">
        <f>IF(select!$A$778=IF(Scharniere[[#This Row],[mit Dämpfung]]=1,1,IF(Scharniere[[#This Row],[ohne Dämpfung]]=1,2,IF(Scharniere[[#This Row],[ohne Feder]]=1,3,0))),1,0)</f>
        <v>0</v>
      </c>
      <c r="S162" s="298">
        <f>IF(Scharniere[[#This Row],[Bohrbild]]=select!$A$755,1,0)</f>
        <v>0</v>
      </c>
      <c r="T162" s="298">
        <f>IF(IF(Scharniere[[#This Row],[Anschrauben]]=1,1,IF(Scharniere[[#This Row],[Einpressen]]=1,2,IF(Scharniere[[#This Row],[Quick]]=1,3,IF(Scharniere[[#This Row],[Werkzeuglos]]=1,4,0))))=select!$A$769,1,0)</f>
        <v>0</v>
      </c>
      <c r="U1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2" s="359">
        <f>IF(AND(Scharniere[[#This Row],[Scharnierart]]=4,Scharniere[[#This Row],[Gruppenschlüssel]]=select!$A$981)=TRUE,1,0)</f>
        <v>0</v>
      </c>
      <c r="W162" s="359">
        <f ca="1">IF(select!$O$1185&lt;6,1,0)</f>
        <v>1</v>
      </c>
      <c r="X162" s="359">
        <f>IF(select!$A$1012=IF(Scharniere[[#This Row],[mit Dämpfung]]=1,1,IF(Scharniere[[#This Row],[ohne Dämpfung]]=1,2,IF(Scharniere[[#This Row],[ohne Feder]]=1,3,0))),1,0)</f>
        <v>0</v>
      </c>
      <c r="Y162" s="359">
        <f>IF(Scharniere[[#This Row],[Bohrbild]]=select!$A$989,1,0)</f>
        <v>0</v>
      </c>
      <c r="Z162" s="359">
        <f>IF(IF(Scharniere[[#This Row],[Anschrauben]]=1,1,IF(Scharniere[[#This Row],[Einpressen]]=1,2,IF(Scharniere[[#This Row],[Quick]]=1,3,IF(Scharniere[[#This Row],[Werkzeuglos]]=1,4,0))))=select!$A$1003,1,0)</f>
        <v>0</v>
      </c>
      <c r="AA1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2" s="359">
        <f ca="1">IF(select!$K$980="*",Scharniere[[#This Row],[AG Ges2]],Scharniere[[#This Row],[AG Ges1]])</f>
        <v>0</v>
      </c>
      <c r="AE162" s="451">
        <f ca="1">IF(AND(Scharniere[[#This Row],[Scharnierart]]=select!$A$1485,Scharniere[[#This Row],[Gruppenschlüssel]]=select!$B$1485)=TRUE,1,0)</f>
        <v>1</v>
      </c>
      <c r="AF162" s="451">
        <f ca="1">IF(AND(Scharniere[[#This Row],[Scharnierart]]=select!$A$1486,Scharniere[[#This Row],[Gruppenschlüssel]]=select!$B$1486)=TRUE,1,0)</f>
        <v>0</v>
      </c>
      <c r="AG162" s="451">
        <f ca="1">IF(AND(Scharniere[[#This Row],[Scharnierart]]=select!$A$1487,Scharniere[[#This Row],[Gruppenschlüssel]]=select!$B$1487)=TRUE,1,0)</f>
        <v>0</v>
      </c>
      <c r="AH162" s="451">
        <f ca="1">IF(AND(Scharniere[[#This Row],[Scharnierart]]=select!$A$1488,Scharniere[[#This Row],[Gruppenschlüssel]]=select!$B$1488)=TRUE,1,0)</f>
        <v>0</v>
      </c>
      <c r="AI162" s="451">
        <f ca="1">IF(SUM(Scharniere[[#This Row],[konf Scharnier 1]:[konf Scharnier 4]])&gt;0,1,0)</f>
        <v>1</v>
      </c>
      <c r="AJ162" s="451"/>
      <c r="AK162" s="451"/>
      <c r="AL162" s="451"/>
      <c r="AM162" s="451"/>
      <c r="AN162" s="451"/>
      <c r="AO162" s="146">
        <v>1</v>
      </c>
      <c r="AP162" s="146">
        <v>1</v>
      </c>
      <c r="AQ162" s="10" t="str">
        <f ca="1">Sprache!$A$114</f>
        <v>Tiomos Scharnier TT Click-on</v>
      </c>
      <c r="AR162" t="str">
        <f ca="1">"110°, G-BB, K00, "&amp;Sprache!A181&amp;", ni"</f>
        <v>110°, G-BB, K00, Dübel, ni</v>
      </c>
      <c r="AS162" t="str">
        <f ca="1">Sprache!$A$103</f>
        <v>Tiomos Click-On Scharniere</v>
      </c>
      <c r="AT162">
        <v>0</v>
      </c>
      <c r="AU162" t="s">
        <v>9</v>
      </c>
      <c r="AV162">
        <v>110</v>
      </c>
      <c r="AW162" s="10">
        <v>0</v>
      </c>
      <c r="AX162">
        <v>0</v>
      </c>
      <c r="AY162">
        <v>1</v>
      </c>
      <c r="AZ162" s="10">
        <v>0</v>
      </c>
      <c r="BA162">
        <v>1</v>
      </c>
      <c r="BB162">
        <v>0</v>
      </c>
      <c r="BC162">
        <v>0</v>
      </c>
      <c r="BD162" s="143" t="s">
        <v>613</v>
      </c>
      <c r="BG162"/>
    </row>
    <row r="163" spans="1:59" ht="14.25" customHeight="1" x14ac:dyDescent="0.25">
      <c r="A163" s="37" t="str">
        <f>LEFT(Scharniere[[#This Row],[ArtikelNR]],4)</f>
        <v>F045</v>
      </c>
      <c r="B163" s="35" t="str">
        <f>MID(Scharniere[[#This Row],[ArtikelNR]],5,3)</f>
        <v>138</v>
      </c>
      <c r="C163" s="37" t="str">
        <f>RIGHT(Scharniere[[#This Row],[ArtikelNR]],3)</f>
        <v>275</v>
      </c>
      <c r="D163" s="35">
        <f>IF(AND(Scharniere[[#This Row],[Gruppenschlüssel]]=select!$A$44,Scharniere[[#This Row],[Scharnierart]]=1)=TRUE,1,0)</f>
        <v>1</v>
      </c>
      <c r="E1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3" s="35">
        <f>IF(select!$F$57=IF(Scharniere[[#This Row],[mit Dämpfung]]=1,1,IF(Scharniere[[#This Row],[ohne Dämpfung]]=1,2,IF(Scharniere[[#This Row],[ohne Feder]]=1,3,0))),1,0)</f>
        <v>0</v>
      </c>
      <c r="G163" s="35">
        <f>IF(Scharniere[[#This Row],[Bohrbild]]=select!$V$43,1,0)</f>
        <v>0</v>
      </c>
      <c r="H163" s="35">
        <f>IF(IF(Scharniere[[#This Row],[Anschrauben]]=1,1,IF(Scharniere[[#This Row],[Einpressen]]=1,2,IF(Scharniere[[#This Row],[Quick]]=1,3,IF(Scharniere[[#This Row],[Werkzeuglos]]=1,4,0))))=select!$F$48,1,0)</f>
        <v>0</v>
      </c>
      <c r="I1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3" s="149">
        <f>IF(AND(Scharniere[[#This Row],[Scharnierart]]=2,Scharniere[[#This Row],[Gruppenschlüssel]]=select!$A$318)=TRUE,1,0)</f>
        <v>0</v>
      </c>
      <c r="K163" s="221">
        <f ca="1">IF(select!$O$424&lt;6,1,0)</f>
        <v>1</v>
      </c>
      <c r="L163" s="139">
        <f>IF(select!$A$362=IF(Scharniere[[#This Row],[mit Dämpfung]]=1,1,IF(Scharniere[[#This Row],[ohne Dämpfung]]=1,2,IF(Scharniere[[#This Row],[ohne Feder]]=1,3,0))),1,0)</f>
        <v>0</v>
      </c>
      <c r="M163" s="135">
        <f>IF(Scharniere[[#This Row],[Bohrbild]]=select!$O$334,1,0)</f>
        <v>0</v>
      </c>
      <c r="N163" s="135">
        <f>IF(IF(Scharniere[[#This Row],[Anschrauben]]=1,1,IF(Scharniere[[#This Row],[Einpressen]]=1,2,IF(Scharniere[[#This Row],[Quick]]=1,3,IF(Scharniere[[#This Row],[Werkzeuglos]]=1,4,0))))=select!$E$362,1,0)</f>
        <v>1</v>
      </c>
      <c r="O1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3" s="298">
        <f>IF(AND(Scharniere[[#This Row],[Scharnierart]]=3,Scharniere[[#This Row],[Gruppenschlüssel]]=select!$A$747)=TRUE,1,0)</f>
        <v>0</v>
      </c>
      <c r="Q163" s="298">
        <f ca="1">IF(select!$O$945&lt;6,1,0)</f>
        <v>1</v>
      </c>
      <c r="R163" s="298">
        <f>IF(select!$A$778=IF(Scharniere[[#This Row],[mit Dämpfung]]=1,1,IF(Scharniere[[#This Row],[ohne Dämpfung]]=1,2,IF(Scharniere[[#This Row],[ohne Feder]]=1,3,0))),1,0)</f>
        <v>1</v>
      </c>
      <c r="S163" s="298">
        <f>IF(Scharniere[[#This Row],[Bohrbild]]=select!$A$755,1,0)</f>
        <v>0</v>
      </c>
      <c r="T163" s="298">
        <f>IF(IF(Scharniere[[#This Row],[Anschrauben]]=1,1,IF(Scharniere[[#This Row],[Einpressen]]=1,2,IF(Scharniere[[#This Row],[Quick]]=1,3,IF(Scharniere[[#This Row],[Werkzeuglos]]=1,4,0))))=select!$A$769,1,0)</f>
        <v>1</v>
      </c>
      <c r="U1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3" s="359">
        <f>IF(AND(Scharniere[[#This Row],[Scharnierart]]=4,Scharniere[[#This Row],[Gruppenschlüssel]]=select!$A$981)=TRUE,1,0)</f>
        <v>0</v>
      </c>
      <c r="W163" s="359">
        <f ca="1">IF(select!$O$1185&lt;6,1,0)</f>
        <v>1</v>
      </c>
      <c r="X163" s="359">
        <f>IF(select!$A$1012=IF(Scharniere[[#This Row],[mit Dämpfung]]=1,1,IF(Scharniere[[#This Row],[ohne Dämpfung]]=1,2,IF(Scharniere[[#This Row],[ohne Feder]]=1,3,0))),1,0)</f>
        <v>1</v>
      </c>
      <c r="Y163" s="359">
        <f>IF(Scharniere[[#This Row],[Bohrbild]]=select!$A$989,1,0)</f>
        <v>0</v>
      </c>
      <c r="Z163" s="359">
        <f>IF(IF(Scharniere[[#This Row],[Anschrauben]]=1,1,IF(Scharniere[[#This Row],[Einpressen]]=1,2,IF(Scharniere[[#This Row],[Quick]]=1,3,IF(Scharniere[[#This Row],[Werkzeuglos]]=1,4,0))))=select!$A$1003,1,0)</f>
        <v>1</v>
      </c>
      <c r="AA1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3" s="359">
        <f ca="1">IF(select!$K$980="*",Scharniere[[#This Row],[AG Ges2]],Scharniere[[#This Row],[AG Ges1]])</f>
        <v>0</v>
      </c>
      <c r="AE163" s="451">
        <f ca="1">IF(AND(Scharniere[[#This Row],[Scharnierart]]=select!$A$1485,Scharniere[[#This Row],[Gruppenschlüssel]]=select!$B$1485)=TRUE,1,0)</f>
        <v>1</v>
      </c>
      <c r="AF163" s="451">
        <f ca="1">IF(AND(Scharniere[[#This Row],[Scharnierart]]=select!$A$1486,Scharniere[[#This Row],[Gruppenschlüssel]]=select!$B$1486)=TRUE,1,0)</f>
        <v>0</v>
      </c>
      <c r="AG163" s="451">
        <f ca="1">IF(AND(Scharniere[[#This Row],[Scharnierart]]=select!$A$1487,Scharniere[[#This Row],[Gruppenschlüssel]]=select!$B$1487)=TRUE,1,0)</f>
        <v>0</v>
      </c>
      <c r="AH163" s="451">
        <f ca="1">IF(AND(Scharniere[[#This Row],[Scharnierart]]=select!$A$1488,Scharniere[[#This Row],[Gruppenschlüssel]]=select!$B$1488)=TRUE,1,0)</f>
        <v>0</v>
      </c>
      <c r="AI163" s="451">
        <f ca="1">IF(SUM(Scharniere[[#This Row],[konf Scharnier 1]:[konf Scharnier 4]])&gt;0,1,0)</f>
        <v>1</v>
      </c>
      <c r="AJ163" s="451"/>
      <c r="AK163" s="451"/>
      <c r="AL163" s="451"/>
      <c r="AM163" s="451"/>
      <c r="AN163" s="451"/>
      <c r="AO163" s="146">
        <v>1</v>
      </c>
      <c r="AP163" s="146">
        <v>1</v>
      </c>
      <c r="AQ163" s="10" t="str">
        <f ca="1">Sprache!$A$110</f>
        <v>Tiomos Scharnier T Click-on</v>
      </c>
      <c r="AR163" t="s">
        <v>265</v>
      </c>
      <c r="AS163" t="str">
        <f ca="1">Sprache!$A$103</f>
        <v>Tiomos Click-On Scharniere</v>
      </c>
      <c r="AT163">
        <v>0</v>
      </c>
      <c r="AU163" t="s">
        <v>9</v>
      </c>
      <c r="AV163">
        <v>110</v>
      </c>
      <c r="AW163" s="10">
        <v>0</v>
      </c>
      <c r="AX163">
        <v>1</v>
      </c>
      <c r="AY163">
        <v>0</v>
      </c>
      <c r="AZ163" s="10">
        <v>1</v>
      </c>
      <c r="BA163">
        <v>0</v>
      </c>
      <c r="BB163">
        <v>0</v>
      </c>
      <c r="BC163">
        <v>0</v>
      </c>
      <c r="BD163" s="143" t="s">
        <v>457</v>
      </c>
      <c r="BG163"/>
    </row>
    <row r="164" spans="1:59" ht="14.25" customHeight="1" x14ac:dyDescent="0.25">
      <c r="A164" s="37" t="str">
        <f>LEFT(Scharniere[[#This Row],[ArtikelNR]],4)</f>
        <v>F028</v>
      </c>
      <c r="B164" s="35" t="str">
        <f>MID(Scharniere[[#This Row],[ArtikelNR]],5,3)</f>
        <v>138</v>
      </c>
      <c r="C164" s="37" t="str">
        <f>RIGHT(Scharniere[[#This Row],[ArtikelNR]],3)</f>
        <v>337</v>
      </c>
      <c r="D164" s="35">
        <f>IF(AND(Scharniere[[#This Row],[Gruppenschlüssel]]=select!$A$44,Scharniere[[#This Row],[Scharnierart]]=1)=TRUE,1,0)</f>
        <v>1</v>
      </c>
      <c r="E1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4" s="35">
        <f>IF(select!$F$57=IF(Scharniere[[#This Row],[mit Dämpfung]]=1,1,IF(Scharniere[[#This Row],[ohne Dämpfung]]=1,2,IF(Scharniere[[#This Row],[ohne Feder]]=1,3,0))),1,0)</f>
        <v>0</v>
      </c>
      <c r="G164" s="35">
        <f>IF(Scharniere[[#This Row],[Bohrbild]]=select!$V$43,1,0)</f>
        <v>0</v>
      </c>
      <c r="H164" s="35">
        <f>IF(IF(Scharniere[[#This Row],[Anschrauben]]=1,1,IF(Scharniere[[#This Row],[Einpressen]]=1,2,IF(Scharniere[[#This Row],[Quick]]=1,3,IF(Scharniere[[#This Row],[Werkzeuglos]]=1,4,0))))=select!$F$48,1,0)</f>
        <v>0</v>
      </c>
      <c r="I1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4" s="149">
        <f>IF(AND(Scharniere[[#This Row],[Scharnierart]]=2,Scharniere[[#This Row],[Gruppenschlüssel]]=select!$A$318)=TRUE,1,0)</f>
        <v>0</v>
      </c>
      <c r="K164" s="221">
        <f ca="1">IF(select!$O$424&lt;6,1,0)</f>
        <v>1</v>
      </c>
      <c r="L164" s="139">
        <f>IF(select!$A$362=IF(Scharniere[[#This Row],[mit Dämpfung]]=1,1,IF(Scharniere[[#This Row],[ohne Dämpfung]]=1,2,IF(Scharniere[[#This Row],[ohne Feder]]=1,3,0))),1,0)</f>
        <v>1</v>
      </c>
      <c r="M164" s="135">
        <f>IF(Scharniere[[#This Row],[Bohrbild]]=select!$O$334,1,0)</f>
        <v>0</v>
      </c>
      <c r="N164" s="135">
        <f>IF(IF(Scharniere[[#This Row],[Anschrauben]]=1,1,IF(Scharniere[[#This Row],[Einpressen]]=1,2,IF(Scharniere[[#This Row],[Quick]]=1,3,IF(Scharniere[[#This Row],[Werkzeuglos]]=1,4,0))))=select!$E$362,1,0)</f>
        <v>1</v>
      </c>
      <c r="O1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4" s="298">
        <f>IF(AND(Scharniere[[#This Row],[Scharnierart]]=3,Scharniere[[#This Row],[Gruppenschlüssel]]=select!$A$747)=TRUE,1,0)</f>
        <v>0</v>
      </c>
      <c r="Q164" s="298">
        <f ca="1">IF(select!$O$945&lt;6,1,0)</f>
        <v>1</v>
      </c>
      <c r="R164" s="298">
        <f>IF(select!$A$778=IF(Scharniere[[#This Row],[mit Dämpfung]]=1,1,IF(Scharniere[[#This Row],[ohne Dämpfung]]=1,2,IF(Scharniere[[#This Row],[ohne Feder]]=1,3,0))),1,0)</f>
        <v>0</v>
      </c>
      <c r="S164" s="298">
        <f>IF(Scharniere[[#This Row],[Bohrbild]]=select!$A$755,1,0)</f>
        <v>0</v>
      </c>
      <c r="T164" s="298">
        <f>IF(IF(Scharniere[[#This Row],[Anschrauben]]=1,1,IF(Scharniere[[#This Row],[Einpressen]]=1,2,IF(Scharniere[[#This Row],[Quick]]=1,3,IF(Scharniere[[#This Row],[Werkzeuglos]]=1,4,0))))=select!$A$769,1,0)</f>
        <v>1</v>
      </c>
      <c r="U1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4" s="359">
        <f>IF(AND(Scharniere[[#This Row],[Scharnierart]]=4,Scharniere[[#This Row],[Gruppenschlüssel]]=select!$A$981)=TRUE,1,0)</f>
        <v>0</v>
      </c>
      <c r="W164" s="359">
        <f ca="1">IF(select!$O$1185&lt;6,1,0)</f>
        <v>1</v>
      </c>
      <c r="X164" s="359">
        <f>IF(select!$A$1012=IF(Scharniere[[#This Row],[mit Dämpfung]]=1,1,IF(Scharniere[[#This Row],[ohne Dämpfung]]=1,2,IF(Scharniere[[#This Row],[ohne Feder]]=1,3,0))),1,0)</f>
        <v>0</v>
      </c>
      <c r="Y164" s="359">
        <f>IF(Scharniere[[#This Row],[Bohrbild]]=select!$A$989,1,0)</f>
        <v>0</v>
      </c>
      <c r="Z164" s="359">
        <f>IF(IF(Scharniere[[#This Row],[Anschrauben]]=1,1,IF(Scharniere[[#This Row],[Einpressen]]=1,2,IF(Scharniere[[#This Row],[Quick]]=1,3,IF(Scharniere[[#This Row],[Werkzeuglos]]=1,4,0))))=select!$A$1003,1,0)</f>
        <v>1</v>
      </c>
      <c r="AA1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4" s="359">
        <f ca="1">IF(select!$K$980="*",Scharniere[[#This Row],[AG Ges2]],Scharniere[[#This Row],[AG Ges1]])</f>
        <v>0</v>
      </c>
      <c r="AE164" s="451">
        <f ca="1">IF(AND(Scharniere[[#This Row],[Scharnierart]]=select!$A$1485,Scharniere[[#This Row],[Gruppenschlüssel]]=select!$B$1485)=TRUE,1,0)</f>
        <v>1</v>
      </c>
      <c r="AF164" s="451">
        <f ca="1">IF(AND(Scharniere[[#This Row],[Scharnierart]]=select!$A$1486,Scharniere[[#This Row],[Gruppenschlüssel]]=select!$B$1486)=TRUE,1,0)</f>
        <v>0</v>
      </c>
      <c r="AG164" s="451">
        <f ca="1">IF(AND(Scharniere[[#This Row],[Scharnierart]]=select!$A$1487,Scharniere[[#This Row],[Gruppenschlüssel]]=select!$B$1487)=TRUE,1,0)</f>
        <v>0</v>
      </c>
      <c r="AH164" s="451">
        <f ca="1">IF(AND(Scharniere[[#This Row],[Scharnierart]]=select!$A$1488,Scharniere[[#This Row],[Gruppenschlüssel]]=select!$B$1488)=TRUE,1,0)</f>
        <v>0</v>
      </c>
      <c r="AI164" s="451">
        <f ca="1">IF(SUM(Scharniere[[#This Row],[konf Scharnier 1]:[konf Scharnier 4]])&gt;0,1,0)</f>
        <v>1</v>
      </c>
      <c r="AJ164" s="451"/>
      <c r="AK164" s="451"/>
      <c r="AL164" s="451"/>
      <c r="AM164" s="451"/>
      <c r="AN164" s="451"/>
      <c r="AO164" s="146">
        <v>1</v>
      </c>
      <c r="AP164" s="146">
        <v>1</v>
      </c>
      <c r="AQ164" s="10" t="str">
        <f ca="1">Sprache!$A$112</f>
        <v>Tiomos Scharnier TS Click-on</v>
      </c>
      <c r="AR164" t="s">
        <v>265</v>
      </c>
      <c r="AS164" t="str">
        <f ca="1">Sprache!$A$103</f>
        <v>Tiomos Click-On Scharniere</v>
      </c>
      <c r="AT164">
        <v>0</v>
      </c>
      <c r="AU164" t="s">
        <v>9</v>
      </c>
      <c r="AV164">
        <v>110</v>
      </c>
      <c r="AW164" s="10">
        <v>1</v>
      </c>
      <c r="AX164">
        <v>0</v>
      </c>
      <c r="AY164">
        <v>0</v>
      </c>
      <c r="AZ164" s="10">
        <v>1</v>
      </c>
      <c r="BA164">
        <v>0</v>
      </c>
      <c r="BB164">
        <v>0</v>
      </c>
      <c r="BC164">
        <v>0</v>
      </c>
      <c r="BD164" s="143" t="s">
        <v>264</v>
      </c>
      <c r="BG164"/>
    </row>
    <row r="165" spans="1:59" ht="14.25" customHeight="1" x14ac:dyDescent="0.25">
      <c r="A165" s="37" t="str">
        <f>LEFT(Scharniere[[#This Row],[ArtikelNR]],4)</f>
        <v>F046</v>
      </c>
      <c r="B165" s="35" t="str">
        <f>MID(Scharniere[[#This Row],[ArtikelNR]],5,3)</f>
        <v>138</v>
      </c>
      <c r="C165" s="37" t="str">
        <f>RIGHT(Scharniere[[#This Row],[ArtikelNR]],3)</f>
        <v>397</v>
      </c>
      <c r="D165" s="35">
        <f>IF(AND(Scharniere[[#This Row],[Gruppenschlüssel]]=select!$A$44,Scharniere[[#This Row],[Scharnierart]]=1)=TRUE,1,0)</f>
        <v>1</v>
      </c>
      <c r="E1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5" s="35">
        <f>IF(select!$F$57=IF(Scharniere[[#This Row],[mit Dämpfung]]=1,1,IF(Scharniere[[#This Row],[ohne Dämpfung]]=1,2,IF(Scharniere[[#This Row],[ohne Feder]]=1,3,0))),1,0)</f>
        <v>1</v>
      </c>
      <c r="G165" s="35">
        <f>IF(Scharniere[[#This Row],[Bohrbild]]=select!$V$43,1,0)</f>
        <v>0</v>
      </c>
      <c r="H165" s="35">
        <f>IF(IF(Scharniere[[#This Row],[Anschrauben]]=1,1,IF(Scharniere[[#This Row],[Einpressen]]=1,2,IF(Scharniere[[#This Row],[Quick]]=1,3,IF(Scharniere[[#This Row],[Werkzeuglos]]=1,4,0))))=select!$F$48,1,0)</f>
        <v>0</v>
      </c>
      <c r="I1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5" s="149">
        <f>IF(AND(Scharniere[[#This Row],[Scharnierart]]=2,Scharniere[[#This Row],[Gruppenschlüssel]]=select!$A$318)=TRUE,1,0)</f>
        <v>0</v>
      </c>
      <c r="K165" s="221">
        <f ca="1">IF(select!$O$424&lt;6,1,0)</f>
        <v>1</v>
      </c>
      <c r="L165" s="139">
        <f>IF(select!$A$362=IF(Scharniere[[#This Row],[mit Dämpfung]]=1,1,IF(Scharniere[[#This Row],[ohne Dämpfung]]=1,2,IF(Scharniere[[#This Row],[ohne Feder]]=1,3,0))),1,0)</f>
        <v>0</v>
      </c>
      <c r="M165" s="135">
        <f>IF(Scharniere[[#This Row],[Bohrbild]]=select!$O$334,1,0)</f>
        <v>0</v>
      </c>
      <c r="N165" s="135">
        <f>IF(IF(Scharniere[[#This Row],[Anschrauben]]=1,1,IF(Scharniere[[#This Row],[Einpressen]]=1,2,IF(Scharniere[[#This Row],[Quick]]=1,3,IF(Scharniere[[#This Row],[Werkzeuglos]]=1,4,0))))=select!$E$362,1,0)</f>
        <v>1</v>
      </c>
      <c r="O1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5" s="298">
        <f>IF(AND(Scharniere[[#This Row],[Scharnierart]]=3,Scharniere[[#This Row],[Gruppenschlüssel]]=select!$A$747)=TRUE,1,0)</f>
        <v>0</v>
      </c>
      <c r="Q165" s="298">
        <f ca="1">IF(select!$O$945&lt;6,1,0)</f>
        <v>1</v>
      </c>
      <c r="R165" s="298">
        <f>IF(select!$A$778=IF(Scharniere[[#This Row],[mit Dämpfung]]=1,1,IF(Scharniere[[#This Row],[ohne Dämpfung]]=1,2,IF(Scharniere[[#This Row],[ohne Feder]]=1,3,0))),1,0)</f>
        <v>0</v>
      </c>
      <c r="S165" s="298">
        <f>IF(Scharniere[[#This Row],[Bohrbild]]=select!$A$755,1,0)</f>
        <v>0</v>
      </c>
      <c r="T165" s="298">
        <f>IF(IF(Scharniere[[#This Row],[Anschrauben]]=1,1,IF(Scharniere[[#This Row],[Einpressen]]=1,2,IF(Scharniere[[#This Row],[Quick]]=1,3,IF(Scharniere[[#This Row],[Werkzeuglos]]=1,4,0))))=select!$A$769,1,0)</f>
        <v>1</v>
      </c>
      <c r="U1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5" s="359">
        <f>IF(AND(Scharniere[[#This Row],[Scharnierart]]=4,Scharniere[[#This Row],[Gruppenschlüssel]]=select!$A$981)=TRUE,1,0)</f>
        <v>0</v>
      </c>
      <c r="W165" s="359">
        <f ca="1">IF(select!$O$1185&lt;6,1,0)</f>
        <v>1</v>
      </c>
      <c r="X165" s="359">
        <f>IF(select!$A$1012=IF(Scharniere[[#This Row],[mit Dämpfung]]=1,1,IF(Scharniere[[#This Row],[ohne Dämpfung]]=1,2,IF(Scharniere[[#This Row],[ohne Feder]]=1,3,0))),1,0)</f>
        <v>0</v>
      </c>
      <c r="Y165" s="359">
        <f>IF(Scharniere[[#This Row],[Bohrbild]]=select!$A$989,1,0)</f>
        <v>0</v>
      </c>
      <c r="Z165" s="359">
        <f>IF(IF(Scharniere[[#This Row],[Anschrauben]]=1,1,IF(Scharniere[[#This Row],[Einpressen]]=1,2,IF(Scharniere[[#This Row],[Quick]]=1,3,IF(Scharniere[[#This Row],[Werkzeuglos]]=1,4,0))))=select!$A$1003,1,0)</f>
        <v>1</v>
      </c>
      <c r="AA1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5" s="359">
        <f ca="1">IF(select!$K$980="*",Scharniere[[#This Row],[AG Ges2]],Scharniere[[#This Row],[AG Ges1]])</f>
        <v>0</v>
      </c>
      <c r="AE165" s="451">
        <f ca="1">IF(AND(Scharniere[[#This Row],[Scharnierart]]=select!$A$1485,Scharniere[[#This Row],[Gruppenschlüssel]]=select!$B$1485)=TRUE,1,0)</f>
        <v>1</v>
      </c>
      <c r="AF165" s="451">
        <f ca="1">IF(AND(Scharniere[[#This Row],[Scharnierart]]=select!$A$1486,Scharniere[[#This Row],[Gruppenschlüssel]]=select!$B$1486)=TRUE,1,0)</f>
        <v>0</v>
      </c>
      <c r="AG165" s="451">
        <f ca="1">IF(AND(Scharniere[[#This Row],[Scharnierart]]=select!$A$1487,Scharniere[[#This Row],[Gruppenschlüssel]]=select!$B$1487)=TRUE,1,0)</f>
        <v>0</v>
      </c>
      <c r="AH165" s="451">
        <f ca="1">IF(AND(Scharniere[[#This Row],[Scharnierart]]=select!$A$1488,Scharniere[[#This Row],[Gruppenschlüssel]]=select!$B$1488)=TRUE,1,0)</f>
        <v>0</v>
      </c>
      <c r="AI165" s="451">
        <f ca="1">IF(SUM(Scharniere[[#This Row],[konf Scharnier 1]:[konf Scharnier 4]])&gt;0,1,0)</f>
        <v>1</v>
      </c>
      <c r="AJ165" s="451"/>
      <c r="AK165" s="451"/>
      <c r="AL165" s="451"/>
      <c r="AM165" s="451"/>
      <c r="AN165" s="451"/>
      <c r="AO165" s="146">
        <v>1</v>
      </c>
      <c r="AP165" s="146">
        <v>1</v>
      </c>
      <c r="AQ165" s="10" t="str">
        <f ca="1">Sprache!$A$114</f>
        <v>Tiomos Scharnier TT Click-on</v>
      </c>
      <c r="AR165" t="s">
        <v>265</v>
      </c>
      <c r="AS165" t="str">
        <f ca="1">Sprache!$A$103</f>
        <v>Tiomos Click-On Scharniere</v>
      </c>
      <c r="AT165">
        <v>0</v>
      </c>
      <c r="AU165" t="s">
        <v>9</v>
      </c>
      <c r="AV165">
        <v>110</v>
      </c>
      <c r="AW165" s="10">
        <v>0</v>
      </c>
      <c r="AX165">
        <v>0</v>
      </c>
      <c r="AY165">
        <v>1</v>
      </c>
      <c r="AZ165" s="10">
        <v>1</v>
      </c>
      <c r="BA165">
        <v>0</v>
      </c>
      <c r="BB165">
        <v>0</v>
      </c>
      <c r="BC165">
        <v>0</v>
      </c>
      <c r="BD165" s="143" t="s">
        <v>609</v>
      </c>
      <c r="BG165"/>
    </row>
    <row r="166" spans="1:59" ht="14.25" customHeight="1" x14ac:dyDescent="0.25">
      <c r="A166" s="37" t="str">
        <f>LEFT(Scharniere[[#This Row],[ArtikelNR]],4)</f>
        <v>F034</v>
      </c>
      <c r="B166" s="35" t="str">
        <f>MID(Scharniere[[#This Row],[ArtikelNR]],5,3)</f>
        <v>139</v>
      </c>
      <c r="C166" s="37" t="str">
        <f>RIGHT(Scharniere[[#This Row],[ArtikelNR]],3)</f>
        <v>385</v>
      </c>
      <c r="D166" s="35">
        <f>IF(AND(Scharniere[[#This Row],[Gruppenschlüssel]]=select!$A$44,Scharniere[[#This Row],[Scharnierart]]=1)=TRUE,1,0)</f>
        <v>1</v>
      </c>
      <c r="E1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6" s="35">
        <f>IF(select!$F$57=IF(Scharniere[[#This Row],[mit Dämpfung]]=1,1,IF(Scharniere[[#This Row],[ohne Dämpfung]]=1,2,IF(Scharniere[[#This Row],[ohne Feder]]=1,3,0))),1,0)</f>
        <v>0</v>
      </c>
      <c r="G166" s="35">
        <f>IF(Scharniere[[#This Row],[Bohrbild]]=select!$V$43,1,0)</f>
        <v>0</v>
      </c>
      <c r="H166" s="35">
        <f>IF(IF(Scharniere[[#This Row],[Anschrauben]]=1,1,IF(Scharniere[[#This Row],[Einpressen]]=1,2,IF(Scharniere[[#This Row],[Quick]]=1,3,IF(Scharniere[[#This Row],[Werkzeuglos]]=1,4,0))))=select!$F$48,1,0)</f>
        <v>0</v>
      </c>
      <c r="I1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6" s="149">
        <f>IF(AND(Scharniere[[#This Row],[Scharnierart]]=2,Scharniere[[#This Row],[Gruppenschlüssel]]=select!$A$318)=TRUE,1,0)</f>
        <v>0</v>
      </c>
      <c r="K166" s="221">
        <f ca="1">IF(select!$O$424&lt;6,1,0)</f>
        <v>1</v>
      </c>
      <c r="L166" s="139">
        <f>IF(select!$A$362=IF(Scharniere[[#This Row],[mit Dämpfung]]=1,1,IF(Scharniere[[#This Row],[ohne Dämpfung]]=1,2,IF(Scharniere[[#This Row],[ohne Feder]]=1,3,0))),1,0)</f>
        <v>0</v>
      </c>
      <c r="M166" s="135">
        <f>IF(Scharniere[[#This Row],[Bohrbild]]=select!$O$334,1,0)</f>
        <v>0</v>
      </c>
      <c r="N166" s="135">
        <f>IF(IF(Scharniere[[#This Row],[Anschrauben]]=1,1,IF(Scharniere[[#This Row],[Einpressen]]=1,2,IF(Scharniere[[#This Row],[Quick]]=1,3,IF(Scharniere[[#This Row],[Werkzeuglos]]=1,4,0))))=select!$E$362,1,0)</f>
        <v>0</v>
      </c>
      <c r="O1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6" s="298">
        <f>IF(AND(Scharniere[[#This Row],[Scharnierart]]=3,Scharniere[[#This Row],[Gruppenschlüssel]]=select!$A$747)=TRUE,1,0)</f>
        <v>0</v>
      </c>
      <c r="Q166" s="298">
        <f ca="1">IF(select!$O$945&lt;6,1,0)</f>
        <v>1</v>
      </c>
      <c r="R166" s="298">
        <f>IF(select!$A$778=IF(Scharniere[[#This Row],[mit Dämpfung]]=1,1,IF(Scharniere[[#This Row],[ohne Dämpfung]]=1,2,IF(Scharniere[[#This Row],[ohne Feder]]=1,3,0))),1,0)</f>
        <v>1</v>
      </c>
      <c r="S166" s="298">
        <f>IF(Scharniere[[#This Row],[Bohrbild]]=select!$A$755,1,0)</f>
        <v>0</v>
      </c>
      <c r="T166" s="298">
        <f>IF(IF(Scharniere[[#This Row],[Anschrauben]]=1,1,IF(Scharniere[[#This Row],[Einpressen]]=1,2,IF(Scharniere[[#This Row],[Quick]]=1,3,IF(Scharniere[[#This Row],[Werkzeuglos]]=1,4,0))))=select!$A$769,1,0)</f>
        <v>0</v>
      </c>
      <c r="U1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6" s="359">
        <f>IF(AND(Scharniere[[#This Row],[Scharnierart]]=4,Scharniere[[#This Row],[Gruppenschlüssel]]=select!$A$981)=TRUE,1,0)</f>
        <v>0</v>
      </c>
      <c r="W166" s="359">
        <f ca="1">IF(select!$O$1185&lt;6,1,0)</f>
        <v>1</v>
      </c>
      <c r="X166" s="359">
        <f>IF(select!$A$1012=IF(Scharniere[[#This Row],[mit Dämpfung]]=1,1,IF(Scharniere[[#This Row],[ohne Dämpfung]]=1,2,IF(Scharniere[[#This Row],[ohne Feder]]=1,3,0))),1,0)</f>
        <v>1</v>
      </c>
      <c r="Y166" s="359">
        <f>IF(Scharniere[[#This Row],[Bohrbild]]=select!$A$989,1,0)</f>
        <v>0</v>
      </c>
      <c r="Z166" s="359">
        <f>IF(IF(Scharniere[[#This Row],[Anschrauben]]=1,1,IF(Scharniere[[#This Row],[Einpressen]]=1,2,IF(Scharniere[[#This Row],[Quick]]=1,3,IF(Scharniere[[#This Row],[Werkzeuglos]]=1,4,0))))=select!$A$1003,1,0)</f>
        <v>0</v>
      </c>
      <c r="AA1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6" s="359">
        <f ca="1">IF(select!$K$980="*",Scharniere[[#This Row],[AG Ges2]],Scharniere[[#This Row],[AG Ges1]])</f>
        <v>0</v>
      </c>
      <c r="AE166" s="451">
        <f ca="1">IF(AND(Scharniere[[#This Row],[Scharnierart]]=select!$A$1485,Scharniere[[#This Row],[Gruppenschlüssel]]=select!$B$1485)=TRUE,1,0)</f>
        <v>1</v>
      </c>
      <c r="AF166" s="451">
        <f ca="1">IF(AND(Scharniere[[#This Row],[Scharnierart]]=select!$A$1486,Scharniere[[#This Row],[Gruppenschlüssel]]=select!$B$1486)=TRUE,1,0)</f>
        <v>0</v>
      </c>
      <c r="AG166" s="451">
        <f ca="1">IF(AND(Scharniere[[#This Row],[Scharnierart]]=select!$A$1487,Scharniere[[#This Row],[Gruppenschlüssel]]=select!$B$1487)=TRUE,1,0)</f>
        <v>0</v>
      </c>
      <c r="AH166" s="451">
        <f ca="1">IF(AND(Scharniere[[#This Row],[Scharnierart]]=select!$A$1488,Scharniere[[#This Row],[Gruppenschlüssel]]=select!$B$1488)=TRUE,1,0)</f>
        <v>0</v>
      </c>
      <c r="AI166" s="451">
        <f ca="1">IF(SUM(Scharniere[[#This Row],[konf Scharnier 1]:[konf Scharnier 4]])&gt;0,1,0)</f>
        <v>1</v>
      </c>
      <c r="AJ166" s="451"/>
      <c r="AK166" s="451"/>
      <c r="AL166" s="451"/>
      <c r="AM166" s="451"/>
      <c r="AN166" s="451"/>
      <c r="AO166" s="146">
        <v>1</v>
      </c>
      <c r="AP166" s="146">
        <v>1</v>
      </c>
      <c r="AQ166" s="10" t="str">
        <f ca="1">Sprache!$A$111</f>
        <v>Tiomos Scharnier T Impresso</v>
      </c>
      <c r="AR166" t="s">
        <v>86</v>
      </c>
      <c r="AS166" t="str">
        <f ca="1">Sprache!$A$116</f>
        <v>Tiomos Impresso Scharniere</v>
      </c>
      <c r="AT166">
        <v>0</v>
      </c>
      <c r="AU166" s="10" t="s">
        <v>9</v>
      </c>
      <c r="AV166">
        <v>110</v>
      </c>
      <c r="AW166" s="10">
        <v>0</v>
      </c>
      <c r="AX166">
        <v>1</v>
      </c>
      <c r="AY166">
        <v>0</v>
      </c>
      <c r="AZ166" s="10">
        <v>0</v>
      </c>
      <c r="BA166">
        <v>0</v>
      </c>
      <c r="BB166">
        <v>0</v>
      </c>
      <c r="BC166">
        <v>1</v>
      </c>
      <c r="BD166" s="143" t="s">
        <v>151</v>
      </c>
      <c r="BG166"/>
    </row>
    <row r="167" spans="1:59" ht="14.25" customHeight="1" x14ac:dyDescent="0.25">
      <c r="A167" s="37" t="str">
        <f>LEFT(Scharniere[[#This Row],[ArtikelNR]],4)</f>
        <v>F034</v>
      </c>
      <c r="B167" s="35" t="str">
        <f>MID(Scharniere[[#This Row],[ArtikelNR]],5,3)</f>
        <v>139</v>
      </c>
      <c r="C167" s="37" t="str">
        <f>RIGHT(Scharniere[[#This Row],[ArtikelNR]],3)</f>
        <v>385</v>
      </c>
      <c r="D167" s="35">
        <f>IF(AND(Scharniere[[#This Row],[Gruppenschlüssel]]=select!$A$44,Scharniere[[#This Row],[Scharnierart]]=1)=TRUE,1,0)</f>
        <v>1</v>
      </c>
      <c r="E1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7" s="35">
        <f>IF(select!$F$57=IF(Scharniere[[#This Row],[mit Dämpfung]]=1,1,IF(Scharniere[[#This Row],[ohne Dämpfung]]=1,2,IF(Scharniere[[#This Row],[ohne Feder]]=1,3,0))),1,0)</f>
        <v>0</v>
      </c>
      <c r="G167" s="35">
        <f>IF(Scharniere[[#This Row],[Bohrbild]]=select!$V$43,1,0)</f>
        <v>0</v>
      </c>
      <c r="H167" s="35">
        <f>IF(IF(Scharniere[[#This Row],[Anschrauben]]=1,1,IF(Scharniere[[#This Row],[Einpressen]]=1,2,IF(Scharniere[[#This Row],[Quick]]=1,3,IF(Scharniere[[#This Row],[Werkzeuglos]]=1,4,0))))=select!$F$48,1,0)</f>
        <v>0</v>
      </c>
      <c r="I1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7" s="149">
        <f>IF(AND(Scharniere[[#This Row],[Scharnierart]]=2,Scharniere[[#This Row],[Gruppenschlüssel]]=select!$A$318)=TRUE,1,0)</f>
        <v>0</v>
      </c>
      <c r="K167" s="221">
        <f ca="1">IF(select!$O$424&lt;6,1,0)</f>
        <v>1</v>
      </c>
      <c r="L167" s="139">
        <f>IF(select!$A$362=IF(Scharniere[[#This Row],[mit Dämpfung]]=1,1,IF(Scharniere[[#This Row],[ohne Dämpfung]]=1,2,IF(Scharniere[[#This Row],[ohne Feder]]=1,3,0))),1,0)</f>
        <v>0</v>
      </c>
      <c r="M167" s="135">
        <f>IF(Scharniere[[#This Row],[Bohrbild]]=select!$O$334,1,0)</f>
        <v>0</v>
      </c>
      <c r="N167" s="135">
        <f>IF(IF(Scharniere[[#This Row],[Anschrauben]]=1,1,IF(Scharniere[[#This Row],[Einpressen]]=1,2,IF(Scharniere[[#This Row],[Quick]]=1,3,IF(Scharniere[[#This Row],[Werkzeuglos]]=1,4,0))))=select!$E$362,1,0)</f>
        <v>0</v>
      </c>
      <c r="O1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7" s="298">
        <f>IF(AND(Scharniere[[#This Row],[Scharnierart]]=3,Scharniere[[#This Row],[Gruppenschlüssel]]=select!$A$747)=TRUE,1,0)</f>
        <v>0</v>
      </c>
      <c r="Q167" s="298">
        <f ca="1">IF(select!$O$945&lt;6,1,0)</f>
        <v>1</v>
      </c>
      <c r="R167" s="298">
        <f>IF(select!$A$778=IF(Scharniere[[#This Row],[mit Dämpfung]]=1,1,IF(Scharniere[[#This Row],[ohne Dämpfung]]=1,2,IF(Scharniere[[#This Row],[ohne Feder]]=1,3,0))),1,0)</f>
        <v>1</v>
      </c>
      <c r="S167" s="298">
        <f>IF(Scharniere[[#This Row],[Bohrbild]]=select!$A$755,1,0)</f>
        <v>0</v>
      </c>
      <c r="T167" s="298">
        <f>IF(IF(Scharniere[[#This Row],[Anschrauben]]=1,1,IF(Scharniere[[#This Row],[Einpressen]]=1,2,IF(Scharniere[[#This Row],[Quick]]=1,3,IF(Scharniere[[#This Row],[Werkzeuglos]]=1,4,0))))=select!$A$769,1,0)</f>
        <v>0</v>
      </c>
      <c r="U1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7" s="359">
        <f>IF(AND(Scharniere[[#This Row],[Scharnierart]]=4,Scharniere[[#This Row],[Gruppenschlüssel]]=select!$A$981)=TRUE,1,0)</f>
        <v>0</v>
      </c>
      <c r="W167" s="359">
        <f ca="1">IF(select!$O$1185&lt;6,1,0)</f>
        <v>1</v>
      </c>
      <c r="X167" s="359">
        <f>IF(select!$A$1012=IF(Scharniere[[#This Row],[mit Dämpfung]]=1,1,IF(Scharniere[[#This Row],[ohne Dämpfung]]=1,2,IF(Scharniere[[#This Row],[ohne Feder]]=1,3,0))),1,0)</f>
        <v>1</v>
      </c>
      <c r="Y167" s="359">
        <f>IF(Scharniere[[#This Row],[Bohrbild]]=select!$A$989,1,0)</f>
        <v>0</v>
      </c>
      <c r="Z167" s="359">
        <f>IF(IF(Scharniere[[#This Row],[Anschrauben]]=1,1,IF(Scharniere[[#This Row],[Einpressen]]=1,2,IF(Scharniere[[#This Row],[Quick]]=1,3,IF(Scharniere[[#This Row],[Werkzeuglos]]=1,4,0))))=select!$A$1003,1,0)</f>
        <v>0</v>
      </c>
      <c r="AA1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7" s="359">
        <f ca="1">IF(select!$K$980="*",Scharniere[[#This Row],[AG Ges2]],Scharniere[[#This Row],[AG Ges1]])</f>
        <v>0</v>
      </c>
      <c r="AE167" s="451">
        <f ca="1">IF(AND(Scharniere[[#This Row],[Scharnierart]]=select!$A$1485,Scharniere[[#This Row],[Gruppenschlüssel]]=select!$B$1485)=TRUE,1,0)</f>
        <v>1</v>
      </c>
      <c r="AF167" s="451">
        <f ca="1">IF(AND(Scharniere[[#This Row],[Scharnierart]]=select!$A$1486,Scharniere[[#This Row],[Gruppenschlüssel]]=select!$B$1486)=TRUE,1,0)</f>
        <v>0</v>
      </c>
      <c r="AG167" s="451">
        <f ca="1">IF(AND(Scharniere[[#This Row],[Scharnierart]]=select!$A$1487,Scharniere[[#This Row],[Gruppenschlüssel]]=select!$B$1487)=TRUE,1,0)</f>
        <v>0</v>
      </c>
      <c r="AH167" s="451">
        <f ca="1">IF(AND(Scharniere[[#This Row],[Scharnierart]]=select!$A$1488,Scharniere[[#This Row],[Gruppenschlüssel]]=select!$B$1488)=TRUE,1,0)</f>
        <v>0</v>
      </c>
      <c r="AI167" s="451">
        <f ca="1">IF(SUM(Scharniere[[#This Row],[konf Scharnier 1]:[konf Scharnier 4]])&gt;0,1,0)</f>
        <v>1</v>
      </c>
      <c r="AJ167" s="451"/>
      <c r="AK167" s="451"/>
      <c r="AL167" s="451"/>
      <c r="AM167" s="451"/>
      <c r="AN167" s="451"/>
      <c r="AO167" s="146">
        <v>1</v>
      </c>
      <c r="AP167" s="146">
        <v>1</v>
      </c>
      <c r="AQ167" s="10" t="str">
        <f ca="1">Sprache!$A$111</f>
        <v>Tiomos Scharnier T Impresso</v>
      </c>
      <c r="AR167" t="s">
        <v>86</v>
      </c>
      <c r="AS167" t="str">
        <f ca="1">Sprache!$A$116</f>
        <v>Tiomos Impresso Scharniere</v>
      </c>
      <c r="AT167">
        <v>0</v>
      </c>
      <c r="AU167" s="10" t="s">
        <v>3</v>
      </c>
      <c r="AV167">
        <v>110</v>
      </c>
      <c r="AW167" s="10">
        <v>0</v>
      </c>
      <c r="AX167">
        <v>1</v>
      </c>
      <c r="AY167">
        <v>0</v>
      </c>
      <c r="AZ167" s="10">
        <v>0</v>
      </c>
      <c r="BA167">
        <v>0</v>
      </c>
      <c r="BB167">
        <v>0</v>
      </c>
      <c r="BC167">
        <v>1</v>
      </c>
      <c r="BD167" s="143" t="s">
        <v>151</v>
      </c>
      <c r="BG167"/>
    </row>
    <row r="168" spans="1:59" ht="14.25" customHeight="1" x14ac:dyDescent="0.25">
      <c r="A168" s="37" t="str">
        <f>LEFT(Scharniere[[#This Row],[ArtikelNR]],4)</f>
        <v>F017</v>
      </c>
      <c r="B168" s="35" t="str">
        <f>MID(Scharniere[[#This Row],[ArtikelNR]],5,3)</f>
        <v>139</v>
      </c>
      <c r="C168" s="37" t="str">
        <f>RIGHT(Scharniere[[#This Row],[ArtikelNR]],3)</f>
        <v>414</v>
      </c>
      <c r="D168" s="35">
        <f>IF(AND(Scharniere[[#This Row],[Gruppenschlüssel]]=select!$A$44,Scharniere[[#This Row],[Scharnierart]]=1)=TRUE,1,0)</f>
        <v>1</v>
      </c>
      <c r="E1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8" s="35">
        <f>IF(select!$F$57=IF(Scharniere[[#This Row],[mit Dämpfung]]=1,1,IF(Scharniere[[#This Row],[ohne Dämpfung]]=1,2,IF(Scharniere[[#This Row],[ohne Feder]]=1,3,0))),1,0)</f>
        <v>0</v>
      </c>
      <c r="G168" s="35">
        <f>IF(Scharniere[[#This Row],[Bohrbild]]=select!$V$43,1,0)</f>
        <v>0</v>
      </c>
      <c r="H168" s="35">
        <f>IF(IF(Scharniere[[#This Row],[Anschrauben]]=1,1,IF(Scharniere[[#This Row],[Einpressen]]=1,2,IF(Scharniere[[#This Row],[Quick]]=1,3,IF(Scharniere[[#This Row],[Werkzeuglos]]=1,4,0))))=select!$F$48,1,0)</f>
        <v>0</v>
      </c>
      <c r="I1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8" s="149">
        <f>IF(AND(Scharniere[[#This Row],[Scharnierart]]=2,Scharniere[[#This Row],[Gruppenschlüssel]]=select!$A$318)=TRUE,1,0)</f>
        <v>0</v>
      </c>
      <c r="K168" s="221">
        <f ca="1">IF(select!$O$424&lt;6,1,0)</f>
        <v>1</v>
      </c>
      <c r="L168" s="139">
        <f>IF(select!$A$362=IF(Scharniere[[#This Row],[mit Dämpfung]]=1,1,IF(Scharniere[[#This Row],[ohne Dämpfung]]=1,2,IF(Scharniere[[#This Row],[ohne Feder]]=1,3,0))),1,0)</f>
        <v>1</v>
      </c>
      <c r="M168" s="135">
        <f>IF(Scharniere[[#This Row],[Bohrbild]]=select!$O$334,1,0)</f>
        <v>0</v>
      </c>
      <c r="N168" s="135">
        <f>IF(IF(Scharniere[[#This Row],[Anschrauben]]=1,1,IF(Scharniere[[#This Row],[Einpressen]]=1,2,IF(Scharniere[[#This Row],[Quick]]=1,3,IF(Scharniere[[#This Row],[Werkzeuglos]]=1,4,0))))=select!$E$362,1,0)</f>
        <v>0</v>
      </c>
      <c r="O1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8" s="298">
        <f>IF(AND(Scharniere[[#This Row],[Scharnierart]]=3,Scharniere[[#This Row],[Gruppenschlüssel]]=select!$A$747)=TRUE,1,0)</f>
        <v>0</v>
      </c>
      <c r="Q168" s="298">
        <f ca="1">IF(select!$O$945&lt;6,1,0)</f>
        <v>1</v>
      </c>
      <c r="R168" s="298">
        <f>IF(select!$A$778=IF(Scharniere[[#This Row],[mit Dämpfung]]=1,1,IF(Scharniere[[#This Row],[ohne Dämpfung]]=1,2,IF(Scharniere[[#This Row],[ohne Feder]]=1,3,0))),1,0)</f>
        <v>0</v>
      </c>
      <c r="S168" s="298">
        <f>IF(Scharniere[[#This Row],[Bohrbild]]=select!$A$755,1,0)</f>
        <v>0</v>
      </c>
      <c r="T168" s="298">
        <f>IF(IF(Scharniere[[#This Row],[Anschrauben]]=1,1,IF(Scharniere[[#This Row],[Einpressen]]=1,2,IF(Scharniere[[#This Row],[Quick]]=1,3,IF(Scharniere[[#This Row],[Werkzeuglos]]=1,4,0))))=select!$A$769,1,0)</f>
        <v>0</v>
      </c>
      <c r="U1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8" s="359">
        <f>IF(AND(Scharniere[[#This Row],[Scharnierart]]=4,Scharniere[[#This Row],[Gruppenschlüssel]]=select!$A$981)=TRUE,1,0)</f>
        <v>0</v>
      </c>
      <c r="W168" s="359">
        <f ca="1">IF(select!$O$1185&lt;6,1,0)</f>
        <v>1</v>
      </c>
      <c r="X168" s="359">
        <f>IF(select!$A$1012=IF(Scharniere[[#This Row],[mit Dämpfung]]=1,1,IF(Scharniere[[#This Row],[ohne Dämpfung]]=1,2,IF(Scharniere[[#This Row],[ohne Feder]]=1,3,0))),1,0)</f>
        <v>0</v>
      </c>
      <c r="Y168" s="359">
        <f>IF(Scharniere[[#This Row],[Bohrbild]]=select!$A$989,1,0)</f>
        <v>0</v>
      </c>
      <c r="Z168" s="359">
        <f>IF(IF(Scharniere[[#This Row],[Anschrauben]]=1,1,IF(Scharniere[[#This Row],[Einpressen]]=1,2,IF(Scharniere[[#This Row],[Quick]]=1,3,IF(Scharniere[[#This Row],[Werkzeuglos]]=1,4,0))))=select!$A$1003,1,0)</f>
        <v>0</v>
      </c>
      <c r="AA1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8" s="359">
        <f ca="1">IF(select!$K$980="*",Scharniere[[#This Row],[AG Ges2]],Scharniere[[#This Row],[AG Ges1]])</f>
        <v>0</v>
      </c>
      <c r="AE168" s="451">
        <f ca="1">IF(AND(Scharniere[[#This Row],[Scharnierart]]=select!$A$1485,Scharniere[[#This Row],[Gruppenschlüssel]]=select!$B$1485)=TRUE,1,0)</f>
        <v>1</v>
      </c>
      <c r="AF168" s="451">
        <f ca="1">IF(AND(Scharniere[[#This Row],[Scharnierart]]=select!$A$1486,Scharniere[[#This Row],[Gruppenschlüssel]]=select!$B$1486)=TRUE,1,0)</f>
        <v>0</v>
      </c>
      <c r="AG168" s="451">
        <f ca="1">IF(AND(Scharniere[[#This Row],[Scharnierart]]=select!$A$1487,Scharniere[[#This Row],[Gruppenschlüssel]]=select!$B$1487)=TRUE,1,0)</f>
        <v>0</v>
      </c>
      <c r="AH168" s="451">
        <f ca="1">IF(AND(Scharniere[[#This Row],[Scharnierart]]=select!$A$1488,Scharniere[[#This Row],[Gruppenschlüssel]]=select!$B$1488)=TRUE,1,0)</f>
        <v>0</v>
      </c>
      <c r="AI168" s="451">
        <f ca="1">IF(SUM(Scharniere[[#This Row],[konf Scharnier 1]:[konf Scharnier 4]])&gt;0,1,0)</f>
        <v>1</v>
      </c>
      <c r="AJ168" s="451"/>
      <c r="AK168" s="451"/>
      <c r="AL168" s="451"/>
      <c r="AM168" s="451"/>
      <c r="AN168" s="451"/>
      <c r="AO168" s="146">
        <v>1</v>
      </c>
      <c r="AP168" s="146">
        <v>1</v>
      </c>
      <c r="AQ168" s="10" t="str">
        <f ca="1">Sprache!$A$113</f>
        <v>Tiomos Scharnier TS Impresso</v>
      </c>
      <c r="AR168" t="s">
        <v>86</v>
      </c>
      <c r="AS168" t="str">
        <f ca="1">Sprache!$A$116</f>
        <v>Tiomos Impresso Scharniere</v>
      </c>
      <c r="AT168">
        <v>0</v>
      </c>
      <c r="AU168" t="s">
        <v>9</v>
      </c>
      <c r="AV168">
        <v>110</v>
      </c>
      <c r="AW168" s="10">
        <v>1</v>
      </c>
      <c r="AX168">
        <v>0</v>
      </c>
      <c r="AY168">
        <v>0</v>
      </c>
      <c r="AZ168" s="10">
        <v>0</v>
      </c>
      <c r="BA168">
        <v>0</v>
      </c>
      <c r="BB168">
        <v>0</v>
      </c>
      <c r="BC168">
        <v>1</v>
      </c>
      <c r="BD168" s="143" t="s">
        <v>85</v>
      </c>
      <c r="BG168"/>
    </row>
    <row r="169" spans="1:59" ht="14.25" customHeight="1" x14ac:dyDescent="0.25">
      <c r="A169" s="37" t="str">
        <f>LEFT(Scharniere[[#This Row],[ArtikelNR]],4)</f>
        <v>F017</v>
      </c>
      <c r="B169" s="35" t="str">
        <f>MID(Scharniere[[#This Row],[ArtikelNR]],5,3)</f>
        <v>139</v>
      </c>
      <c r="C169" s="37" t="str">
        <f>RIGHT(Scharniere[[#This Row],[ArtikelNR]],3)</f>
        <v>414</v>
      </c>
      <c r="D169" s="35">
        <f>IF(AND(Scharniere[[#This Row],[Gruppenschlüssel]]=select!$A$44,Scharniere[[#This Row],[Scharnierart]]=1)=TRUE,1,0)</f>
        <v>1</v>
      </c>
      <c r="E1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69" s="35">
        <f>IF(select!$F$57=IF(Scharniere[[#This Row],[mit Dämpfung]]=1,1,IF(Scharniere[[#This Row],[ohne Dämpfung]]=1,2,IF(Scharniere[[#This Row],[ohne Feder]]=1,3,0))),1,0)</f>
        <v>0</v>
      </c>
      <c r="G169" s="35">
        <f>IF(Scharniere[[#This Row],[Bohrbild]]=select!$V$43,1,0)</f>
        <v>0</v>
      </c>
      <c r="H169" s="35">
        <f>IF(IF(Scharniere[[#This Row],[Anschrauben]]=1,1,IF(Scharniere[[#This Row],[Einpressen]]=1,2,IF(Scharniere[[#This Row],[Quick]]=1,3,IF(Scharniere[[#This Row],[Werkzeuglos]]=1,4,0))))=select!$F$48,1,0)</f>
        <v>0</v>
      </c>
      <c r="I1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69" s="149">
        <f>IF(AND(Scharniere[[#This Row],[Scharnierart]]=2,Scharniere[[#This Row],[Gruppenschlüssel]]=select!$A$318)=TRUE,1,0)</f>
        <v>0</v>
      </c>
      <c r="K169" s="221">
        <f ca="1">IF(select!$O$424&lt;6,1,0)</f>
        <v>1</v>
      </c>
      <c r="L169" s="139">
        <f>IF(select!$A$362=IF(Scharniere[[#This Row],[mit Dämpfung]]=1,1,IF(Scharniere[[#This Row],[ohne Dämpfung]]=1,2,IF(Scharniere[[#This Row],[ohne Feder]]=1,3,0))),1,0)</f>
        <v>1</v>
      </c>
      <c r="M169" s="135">
        <f>IF(Scharniere[[#This Row],[Bohrbild]]=select!$O$334,1,0)</f>
        <v>0</v>
      </c>
      <c r="N169" s="135">
        <f>IF(IF(Scharniere[[#This Row],[Anschrauben]]=1,1,IF(Scharniere[[#This Row],[Einpressen]]=1,2,IF(Scharniere[[#This Row],[Quick]]=1,3,IF(Scharniere[[#This Row],[Werkzeuglos]]=1,4,0))))=select!$E$362,1,0)</f>
        <v>0</v>
      </c>
      <c r="O1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69" s="298">
        <f>IF(AND(Scharniere[[#This Row],[Scharnierart]]=3,Scharniere[[#This Row],[Gruppenschlüssel]]=select!$A$747)=TRUE,1,0)</f>
        <v>0</v>
      </c>
      <c r="Q169" s="298">
        <f ca="1">IF(select!$O$945&lt;6,1,0)</f>
        <v>1</v>
      </c>
      <c r="R169" s="298">
        <f>IF(select!$A$778=IF(Scharniere[[#This Row],[mit Dämpfung]]=1,1,IF(Scharniere[[#This Row],[ohne Dämpfung]]=1,2,IF(Scharniere[[#This Row],[ohne Feder]]=1,3,0))),1,0)</f>
        <v>0</v>
      </c>
      <c r="S169" s="298">
        <f>IF(Scharniere[[#This Row],[Bohrbild]]=select!$A$755,1,0)</f>
        <v>0</v>
      </c>
      <c r="T169" s="298">
        <f>IF(IF(Scharniere[[#This Row],[Anschrauben]]=1,1,IF(Scharniere[[#This Row],[Einpressen]]=1,2,IF(Scharniere[[#This Row],[Quick]]=1,3,IF(Scharniere[[#This Row],[Werkzeuglos]]=1,4,0))))=select!$A$769,1,0)</f>
        <v>0</v>
      </c>
      <c r="U1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69" s="359">
        <f>IF(AND(Scharniere[[#This Row],[Scharnierart]]=4,Scharniere[[#This Row],[Gruppenschlüssel]]=select!$A$981)=TRUE,1,0)</f>
        <v>0</v>
      </c>
      <c r="W169" s="359">
        <f ca="1">IF(select!$O$1185&lt;6,1,0)</f>
        <v>1</v>
      </c>
      <c r="X169" s="359">
        <f>IF(select!$A$1012=IF(Scharniere[[#This Row],[mit Dämpfung]]=1,1,IF(Scharniere[[#This Row],[ohne Dämpfung]]=1,2,IF(Scharniere[[#This Row],[ohne Feder]]=1,3,0))),1,0)</f>
        <v>0</v>
      </c>
      <c r="Y169" s="359">
        <f>IF(Scharniere[[#This Row],[Bohrbild]]=select!$A$989,1,0)</f>
        <v>0</v>
      </c>
      <c r="Z169" s="359">
        <f>IF(IF(Scharniere[[#This Row],[Anschrauben]]=1,1,IF(Scharniere[[#This Row],[Einpressen]]=1,2,IF(Scharniere[[#This Row],[Quick]]=1,3,IF(Scharniere[[#This Row],[Werkzeuglos]]=1,4,0))))=select!$A$1003,1,0)</f>
        <v>0</v>
      </c>
      <c r="AA1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69" s="359">
        <f ca="1">IF(select!$K$980="*",Scharniere[[#This Row],[AG Ges2]],Scharniere[[#This Row],[AG Ges1]])</f>
        <v>0</v>
      </c>
      <c r="AE169" s="451">
        <f ca="1">IF(AND(Scharniere[[#This Row],[Scharnierart]]=select!$A$1485,Scharniere[[#This Row],[Gruppenschlüssel]]=select!$B$1485)=TRUE,1,0)</f>
        <v>1</v>
      </c>
      <c r="AF169" s="451">
        <f ca="1">IF(AND(Scharniere[[#This Row],[Scharnierart]]=select!$A$1486,Scharniere[[#This Row],[Gruppenschlüssel]]=select!$B$1486)=TRUE,1,0)</f>
        <v>0</v>
      </c>
      <c r="AG169" s="451">
        <f ca="1">IF(AND(Scharniere[[#This Row],[Scharnierart]]=select!$A$1487,Scharniere[[#This Row],[Gruppenschlüssel]]=select!$B$1487)=TRUE,1,0)</f>
        <v>0</v>
      </c>
      <c r="AH169" s="451">
        <f ca="1">IF(AND(Scharniere[[#This Row],[Scharnierart]]=select!$A$1488,Scharniere[[#This Row],[Gruppenschlüssel]]=select!$B$1488)=TRUE,1,0)</f>
        <v>0</v>
      </c>
      <c r="AI169" s="451">
        <f ca="1">IF(SUM(Scharniere[[#This Row],[konf Scharnier 1]:[konf Scharnier 4]])&gt;0,1,0)</f>
        <v>1</v>
      </c>
      <c r="AJ169" s="451"/>
      <c r="AK169" s="451"/>
      <c r="AL169" s="451"/>
      <c r="AM169" s="451"/>
      <c r="AN169" s="451"/>
      <c r="AO169" s="146">
        <v>1</v>
      </c>
      <c r="AP169" s="146">
        <v>1</v>
      </c>
      <c r="AQ169" s="10" t="str">
        <f ca="1">Sprache!$A$113</f>
        <v>Tiomos Scharnier TS Impresso</v>
      </c>
      <c r="AR169" t="s">
        <v>86</v>
      </c>
      <c r="AS169" t="str">
        <f ca="1">Sprache!$A$116</f>
        <v>Tiomos Impresso Scharniere</v>
      </c>
      <c r="AT169">
        <v>0</v>
      </c>
      <c r="AU169" t="s">
        <v>3</v>
      </c>
      <c r="AV169">
        <v>110</v>
      </c>
      <c r="AW169" s="10">
        <v>1</v>
      </c>
      <c r="AX169">
        <v>0</v>
      </c>
      <c r="AY169">
        <v>0</v>
      </c>
      <c r="AZ169" s="10">
        <v>0</v>
      </c>
      <c r="BA169">
        <v>0</v>
      </c>
      <c r="BB169">
        <v>0</v>
      </c>
      <c r="BC169">
        <v>1</v>
      </c>
      <c r="BD169" s="143" t="s">
        <v>85</v>
      </c>
      <c r="BG169"/>
    </row>
    <row r="170" spans="1:59" ht="14.25" customHeight="1" x14ac:dyDescent="0.25">
      <c r="A170" s="37" t="str">
        <f>LEFT(Scharniere[[#This Row],[ArtikelNR]],4)</f>
        <v>F035</v>
      </c>
      <c r="B170" s="35" t="str">
        <f>MID(Scharniere[[#This Row],[ArtikelNR]],5,3)</f>
        <v>139</v>
      </c>
      <c r="C170" s="37" t="str">
        <f>RIGHT(Scharniere[[#This Row],[ArtikelNR]],3)</f>
        <v>442</v>
      </c>
      <c r="D170" s="35">
        <f>IF(AND(Scharniere[[#This Row],[Gruppenschlüssel]]=select!$A$44,Scharniere[[#This Row],[Scharnierart]]=1)=TRUE,1,0)</f>
        <v>1</v>
      </c>
      <c r="E1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0" s="35">
        <f>IF(select!$F$57=IF(Scharniere[[#This Row],[mit Dämpfung]]=1,1,IF(Scharniere[[#This Row],[ohne Dämpfung]]=1,2,IF(Scharniere[[#This Row],[ohne Feder]]=1,3,0))),1,0)</f>
        <v>1</v>
      </c>
      <c r="G170" s="35">
        <f>IF(Scharniere[[#This Row],[Bohrbild]]=select!$V$43,1,0)</f>
        <v>0</v>
      </c>
      <c r="H170" s="35">
        <f>IF(IF(Scharniere[[#This Row],[Anschrauben]]=1,1,IF(Scharniere[[#This Row],[Einpressen]]=1,2,IF(Scharniere[[#This Row],[Quick]]=1,3,IF(Scharniere[[#This Row],[Werkzeuglos]]=1,4,0))))=select!$F$48,1,0)</f>
        <v>0</v>
      </c>
      <c r="I1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0" s="149">
        <f>IF(AND(Scharniere[[#This Row],[Scharnierart]]=2,Scharniere[[#This Row],[Gruppenschlüssel]]=select!$A$318)=TRUE,1,0)</f>
        <v>0</v>
      </c>
      <c r="K170" s="221">
        <f ca="1">IF(select!$O$424&lt;6,1,0)</f>
        <v>1</v>
      </c>
      <c r="L170" s="139">
        <f>IF(select!$A$362=IF(Scharniere[[#This Row],[mit Dämpfung]]=1,1,IF(Scharniere[[#This Row],[ohne Dämpfung]]=1,2,IF(Scharniere[[#This Row],[ohne Feder]]=1,3,0))),1,0)</f>
        <v>0</v>
      </c>
      <c r="M170" s="135">
        <f>IF(Scharniere[[#This Row],[Bohrbild]]=select!$O$334,1,0)</f>
        <v>0</v>
      </c>
      <c r="N170" s="135">
        <f>IF(IF(Scharniere[[#This Row],[Anschrauben]]=1,1,IF(Scharniere[[#This Row],[Einpressen]]=1,2,IF(Scharniere[[#This Row],[Quick]]=1,3,IF(Scharniere[[#This Row],[Werkzeuglos]]=1,4,0))))=select!$E$362,1,0)</f>
        <v>0</v>
      </c>
      <c r="O1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0" s="298">
        <f>IF(AND(Scharniere[[#This Row],[Scharnierart]]=3,Scharniere[[#This Row],[Gruppenschlüssel]]=select!$A$747)=TRUE,1,0)</f>
        <v>0</v>
      </c>
      <c r="Q170" s="298">
        <f ca="1">IF(select!$O$945&lt;6,1,0)</f>
        <v>1</v>
      </c>
      <c r="R170" s="298">
        <f>IF(select!$A$778=IF(Scharniere[[#This Row],[mit Dämpfung]]=1,1,IF(Scharniere[[#This Row],[ohne Dämpfung]]=1,2,IF(Scharniere[[#This Row],[ohne Feder]]=1,3,0))),1,0)</f>
        <v>0</v>
      </c>
      <c r="S170" s="298">
        <f>IF(Scharniere[[#This Row],[Bohrbild]]=select!$A$755,1,0)</f>
        <v>0</v>
      </c>
      <c r="T170" s="298">
        <f>IF(IF(Scharniere[[#This Row],[Anschrauben]]=1,1,IF(Scharniere[[#This Row],[Einpressen]]=1,2,IF(Scharniere[[#This Row],[Quick]]=1,3,IF(Scharniere[[#This Row],[Werkzeuglos]]=1,4,0))))=select!$A$769,1,0)</f>
        <v>0</v>
      </c>
      <c r="U1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0" s="359">
        <f>IF(AND(Scharniere[[#This Row],[Scharnierart]]=4,Scharniere[[#This Row],[Gruppenschlüssel]]=select!$A$981)=TRUE,1,0)</f>
        <v>0</v>
      </c>
      <c r="W170" s="359">
        <f ca="1">IF(select!$O$1185&lt;6,1,0)</f>
        <v>1</v>
      </c>
      <c r="X170" s="359">
        <f>IF(select!$A$1012=IF(Scharniere[[#This Row],[mit Dämpfung]]=1,1,IF(Scharniere[[#This Row],[ohne Dämpfung]]=1,2,IF(Scharniere[[#This Row],[ohne Feder]]=1,3,0))),1,0)</f>
        <v>0</v>
      </c>
      <c r="Y170" s="359">
        <f>IF(Scharniere[[#This Row],[Bohrbild]]=select!$A$989,1,0)</f>
        <v>0</v>
      </c>
      <c r="Z170" s="359">
        <f>IF(IF(Scharniere[[#This Row],[Anschrauben]]=1,1,IF(Scharniere[[#This Row],[Einpressen]]=1,2,IF(Scharniere[[#This Row],[Quick]]=1,3,IF(Scharniere[[#This Row],[Werkzeuglos]]=1,4,0))))=select!$A$1003,1,0)</f>
        <v>0</v>
      </c>
      <c r="AA1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0" s="359">
        <f ca="1">IF(select!$K$980="*",Scharniere[[#This Row],[AG Ges2]],Scharniere[[#This Row],[AG Ges1]])</f>
        <v>0</v>
      </c>
      <c r="AE170" s="451">
        <f ca="1">IF(AND(Scharniere[[#This Row],[Scharnierart]]=select!$A$1485,Scharniere[[#This Row],[Gruppenschlüssel]]=select!$B$1485)=TRUE,1,0)</f>
        <v>1</v>
      </c>
      <c r="AF170" s="451">
        <f ca="1">IF(AND(Scharniere[[#This Row],[Scharnierart]]=select!$A$1486,Scharniere[[#This Row],[Gruppenschlüssel]]=select!$B$1486)=TRUE,1,0)</f>
        <v>0</v>
      </c>
      <c r="AG170" s="451">
        <f ca="1">IF(AND(Scharniere[[#This Row],[Scharnierart]]=select!$A$1487,Scharniere[[#This Row],[Gruppenschlüssel]]=select!$B$1487)=TRUE,1,0)</f>
        <v>0</v>
      </c>
      <c r="AH170" s="451">
        <f ca="1">IF(AND(Scharniere[[#This Row],[Scharnierart]]=select!$A$1488,Scharniere[[#This Row],[Gruppenschlüssel]]=select!$B$1488)=TRUE,1,0)</f>
        <v>0</v>
      </c>
      <c r="AI170" s="451">
        <f ca="1">IF(SUM(Scharniere[[#This Row],[konf Scharnier 1]:[konf Scharnier 4]])&gt;0,1,0)</f>
        <v>1</v>
      </c>
      <c r="AJ170" s="451"/>
      <c r="AK170" s="451"/>
      <c r="AL170" s="451"/>
      <c r="AM170" s="451"/>
      <c r="AN170" s="451"/>
      <c r="AO170" s="146">
        <v>1</v>
      </c>
      <c r="AP170" s="146">
        <v>1</v>
      </c>
      <c r="AQ170" s="10" t="str">
        <f ca="1">Sprache!$A$115</f>
        <v>Tiomos Scharnier TT Impresso</v>
      </c>
      <c r="AR170" t="s">
        <v>86</v>
      </c>
      <c r="AS170" t="str">
        <f ca="1">Sprache!$A$116</f>
        <v>Tiomos Impresso Scharniere</v>
      </c>
      <c r="AT170">
        <v>0</v>
      </c>
      <c r="AU170" s="34" t="s">
        <v>9</v>
      </c>
      <c r="AV170">
        <v>110</v>
      </c>
      <c r="AW170" s="10">
        <v>0</v>
      </c>
      <c r="AX170">
        <v>0</v>
      </c>
      <c r="AY170">
        <v>1</v>
      </c>
      <c r="AZ170" s="10">
        <v>0</v>
      </c>
      <c r="BA170">
        <v>0</v>
      </c>
      <c r="BB170">
        <v>0</v>
      </c>
      <c r="BC170">
        <v>1</v>
      </c>
      <c r="BD170" s="143" t="s">
        <v>195</v>
      </c>
      <c r="BG170"/>
    </row>
    <row r="171" spans="1:59" ht="14.25" customHeight="1" x14ac:dyDescent="0.25">
      <c r="A171" s="37" t="str">
        <f>LEFT(Scharniere[[#This Row],[ArtikelNR]],4)</f>
        <v>F035</v>
      </c>
      <c r="B171" s="35" t="str">
        <f>MID(Scharniere[[#This Row],[ArtikelNR]],5,3)</f>
        <v>139</v>
      </c>
      <c r="C171" s="37" t="str">
        <f>RIGHT(Scharniere[[#This Row],[ArtikelNR]],3)</f>
        <v>442</v>
      </c>
      <c r="D171" s="35">
        <f>IF(AND(Scharniere[[#This Row],[Gruppenschlüssel]]=select!$A$44,Scharniere[[#This Row],[Scharnierart]]=1)=TRUE,1,0)</f>
        <v>1</v>
      </c>
      <c r="E1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1" s="35">
        <f>IF(select!$F$57=IF(Scharniere[[#This Row],[mit Dämpfung]]=1,1,IF(Scharniere[[#This Row],[ohne Dämpfung]]=1,2,IF(Scharniere[[#This Row],[ohne Feder]]=1,3,0))),1,0)</f>
        <v>1</v>
      </c>
      <c r="G171" s="35">
        <f>IF(Scharniere[[#This Row],[Bohrbild]]=select!$V$43,1,0)</f>
        <v>0</v>
      </c>
      <c r="H171" s="35">
        <f>IF(IF(Scharniere[[#This Row],[Anschrauben]]=1,1,IF(Scharniere[[#This Row],[Einpressen]]=1,2,IF(Scharniere[[#This Row],[Quick]]=1,3,IF(Scharniere[[#This Row],[Werkzeuglos]]=1,4,0))))=select!$F$48,1,0)</f>
        <v>0</v>
      </c>
      <c r="I1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1" s="149">
        <f>IF(AND(Scharniere[[#This Row],[Scharnierart]]=2,Scharniere[[#This Row],[Gruppenschlüssel]]=select!$A$318)=TRUE,1,0)</f>
        <v>0</v>
      </c>
      <c r="K171" s="221">
        <f ca="1">IF(select!$O$424&lt;6,1,0)</f>
        <v>1</v>
      </c>
      <c r="L171" s="139">
        <f>IF(select!$A$362=IF(Scharniere[[#This Row],[mit Dämpfung]]=1,1,IF(Scharniere[[#This Row],[ohne Dämpfung]]=1,2,IF(Scharniere[[#This Row],[ohne Feder]]=1,3,0))),1,0)</f>
        <v>0</v>
      </c>
      <c r="M171" s="135">
        <f>IF(Scharniere[[#This Row],[Bohrbild]]=select!$O$334,1,0)</f>
        <v>0</v>
      </c>
      <c r="N171" s="135">
        <f>IF(IF(Scharniere[[#This Row],[Anschrauben]]=1,1,IF(Scharniere[[#This Row],[Einpressen]]=1,2,IF(Scharniere[[#This Row],[Quick]]=1,3,IF(Scharniere[[#This Row],[Werkzeuglos]]=1,4,0))))=select!$E$362,1,0)</f>
        <v>0</v>
      </c>
      <c r="O1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1" s="298">
        <f>IF(AND(Scharniere[[#This Row],[Scharnierart]]=3,Scharniere[[#This Row],[Gruppenschlüssel]]=select!$A$747)=TRUE,1,0)</f>
        <v>0</v>
      </c>
      <c r="Q171" s="298">
        <f ca="1">IF(select!$O$945&lt;6,1,0)</f>
        <v>1</v>
      </c>
      <c r="R171" s="298">
        <f>IF(select!$A$778=IF(Scharniere[[#This Row],[mit Dämpfung]]=1,1,IF(Scharniere[[#This Row],[ohne Dämpfung]]=1,2,IF(Scharniere[[#This Row],[ohne Feder]]=1,3,0))),1,0)</f>
        <v>0</v>
      </c>
      <c r="S171" s="298">
        <f>IF(Scharniere[[#This Row],[Bohrbild]]=select!$A$755,1,0)</f>
        <v>0</v>
      </c>
      <c r="T171" s="298">
        <f>IF(IF(Scharniere[[#This Row],[Anschrauben]]=1,1,IF(Scharniere[[#This Row],[Einpressen]]=1,2,IF(Scharniere[[#This Row],[Quick]]=1,3,IF(Scharniere[[#This Row],[Werkzeuglos]]=1,4,0))))=select!$A$769,1,0)</f>
        <v>0</v>
      </c>
      <c r="U1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1" s="359">
        <f>IF(AND(Scharniere[[#This Row],[Scharnierart]]=4,Scharniere[[#This Row],[Gruppenschlüssel]]=select!$A$981)=TRUE,1,0)</f>
        <v>0</v>
      </c>
      <c r="W171" s="359">
        <f ca="1">IF(select!$O$1185&lt;6,1,0)</f>
        <v>1</v>
      </c>
      <c r="X171" s="359">
        <f>IF(select!$A$1012=IF(Scharniere[[#This Row],[mit Dämpfung]]=1,1,IF(Scharniere[[#This Row],[ohne Dämpfung]]=1,2,IF(Scharniere[[#This Row],[ohne Feder]]=1,3,0))),1,0)</f>
        <v>0</v>
      </c>
      <c r="Y171" s="359">
        <f>IF(Scharniere[[#This Row],[Bohrbild]]=select!$A$989,1,0)</f>
        <v>0</v>
      </c>
      <c r="Z171" s="359">
        <f>IF(IF(Scharniere[[#This Row],[Anschrauben]]=1,1,IF(Scharniere[[#This Row],[Einpressen]]=1,2,IF(Scharniere[[#This Row],[Quick]]=1,3,IF(Scharniere[[#This Row],[Werkzeuglos]]=1,4,0))))=select!$A$1003,1,0)</f>
        <v>0</v>
      </c>
      <c r="AA1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1" s="359">
        <f ca="1">IF(select!$K$980="*",Scharniere[[#This Row],[AG Ges2]],Scharniere[[#This Row],[AG Ges1]])</f>
        <v>0</v>
      </c>
      <c r="AE171" s="451">
        <f ca="1">IF(AND(Scharniere[[#This Row],[Scharnierart]]=select!$A$1485,Scharniere[[#This Row],[Gruppenschlüssel]]=select!$B$1485)=TRUE,1,0)</f>
        <v>1</v>
      </c>
      <c r="AF171" s="451">
        <f ca="1">IF(AND(Scharniere[[#This Row],[Scharnierart]]=select!$A$1486,Scharniere[[#This Row],[Gruppenschlüssel]]=select!$B$1486)=TRUE,1,0)</f>
        <v>0</v>
      </c>
      <c r="AG171" s="451">
        <f ca="1">IF(AND(Scharniere[[#This Row],[Scharnierart]]=select!$A$1487,Scharniere[[#This Row],[Gruppenschlüssel]]=select!$B$1487)=TRUE,1,0)</f>
        <v>0</v>
      </c>
      <c r="AH171" s="451">
        <f ca="1">IF(AND(Scharniere[[#This Row],[Scharnierart]]=select!$A$1488,Scharniere[[#This Row],[Gruppenschlüssel]]=select!$B$1488)=TRUE,1,0)</f>
        <v>0</v>
      </c>
      <c r="AI171" s="451">
        <f ca="1">IF(SUM(Scharniere[[#This Row],[konf Scharnier 1]:[konf Scharnier 4]])&gt;0,1,0)</f>
        <v>1</v>
      </c>
      <c r="AJ171" s="451"/>
      <c r="AK171" s="451"/>
      <c r="AL171" s="451"/>
      <c r="AM171" s="451"/>
      <c r="AN171" s="451"/>
      <c r="AO171" s="146">
        <v>1</v>
      </c>
      <c r="AP171" s="146">
        <v>1</v>
      </c>
      <c r="AQ171" s="10" t="str">
        <f ca="1">Sprache!$A$115</f>
        <v>Tiomos Scharnier TT Impresso</v>
      </c>
      <c r="AR171" t="s">
        <v>86</v>
      </c>
      <c r="AS171" t="str">
        <f ca="1">Sprache!$A$116</f>
        <v>Tiomos Impresso Scharniere</v>
      </c>
      <c r="AT171">
        <v>0</v>
      </c>
      <c r="AU171" s="34" t="s">
        <v>3</v>
      </c>
      <c r="AV171">
        <v>110</v>
      </c>
      <c r="AW171" s="10">
        <v>0</v>
      </c>
      <c r="AX171">
        <v>0</v>
      </c>
      <c r="AY171">
        <v>1</v>
      </c>
      <c r="AZ171" s="10">
        <v>0</v>
      </c>
      <c r="BA171">
        <v>0</v>
      </c>
      <c r="BB171">
        <v>0</v>
      </c>
      <c r="BC171">
        <v>1</v>
      </c>
      <c r="BD171" s="143" t="s">
        <v>195</v>
      </c>
      <c r="BG171"/>
    </row>
    <row r="172" spans="1:59" ht="14.25" customHeight="1" x14ac:dyDescent="0.25">
      <c r="A172" s="37" t="str">
        <f>LEFT(Scharniere[[#This Row],[ArtikelNR]],4)</f>
        <v>F045</v>
      </c>
      <c r="B172" s="35" t="str">
        <f>MID(Scharniere[[#This Row],[ArtikelNR]],5,3)</f>
        <v>138</v>
      </c>
      <c r="C172" s="37" t="str">
        <f>RIGHT(Scharniere[[#This Row],[ArtikelNR]],3)</f>
        <v>643</v>
      </c>
      <c r="D172" s="35">
        <f>IF(AND(Scharniere[[#This Row],[Gruppenschlüssel]]=select!$A$44,Scharniere[[#This Row],[Scharnierart]]=1)=TRUE,1,0)</f>
        <v>1</v>
      </c>
      <c r="E1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2" s="35">
        <f>IF(select!$F$57=IF(Scharniere[[#This Row],[mit Dämpfung]]=1,1,IF(Scharniere[[#This Row],[ohne Dämpfung]]=1,2,IF(Scharniere[[#This Row],[ohne Feder]]=1,3,0))),1,0)</f>
        <v>0</v>
      </c>
      <c r="G172" s="35">
        <f>IF(Scharniere[[#This Row],[Bohrbild]]=select!$V$43,1,0)</f>
        <v>0</v>
      </c>
      <c r="H172" s="35">
        <f>IF(IF(Scharniere[[#This Row],[Anschrauben]]=1,1,IF(Scharniere[[#This Row],[Einpressen]]=1,2,IF(Scharniere[[#This Row],[Quick]]=1,3,IF(Scharniere[[#This Row],[Werkzeuglos]]=1,4,0))))=select!$F$48,1,0)</f>
        <v>1</v>
      </c>
      <c r="I1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2" s="149">
        <f>IF(AND(Scharniere[[#This Row],[Scharnierart]]=2,Scharniere[[#This Row],[Gruppenschlüssel]]=select!$A$318)=TRUE,1,0)</f>
        <v>0</v>
      </c>
      <c r="K172" s="221">
        <f ca="1">IF(select!$O$424&lt;6,1,0)</f>
        <v>1</v>
      </c>
      <c r="L172" s="139">
        <f>IF(select!$A$362=IF(Scharniere[[#This Row],[mit Dämpfung]]=1,1,IF(Scharniere[[#This Row],[ohne Dämpfung]]=1,2,IF(Scharniere[[#This Row],[ohne Feder]]=1,3,0))),1,0)</f>
        <v>0</v>
      </c>
      <c r="M172" s="135">
        <f>IF(Scharniere[[#This Row],[Bohrbild]]=select!$O$334,1,0)</f>
        <v>0</v>
      </c>
      <c r="N172" s="135">
        <f>IF(IF(Scharniere[[#This Row],[Anschrauben]]=1,1,IF(Scharniere[[#This Row],[Einpressen]]=1,2,IF(Scharniere[[#This Row],[Quick]]=1,3,IF(Scharniere[[#This Row],[Werkzeuglos]]=1,4,0))))=select!$E$362,1,0)</f>
        <v>0</v>
      </c>
      <c r="O1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2" s="298">
        <f>IF(AND(Scharniere[[#This Row],[Scharnierart]]=3,Scharniere[[#This Row],[Gruppenschlüssel]]=select!$A$747)=TRUE,1,0)</f>
        <v>0</v>
      </c>
      <c r="Q172" s="298">
        <f ca="1">IF(select!$O$945&lt;6,1,0)</f>
        <v>1</v>
      </c>
      <c r="R172" s="298">
        <f>IF(select!$A$778=IF(Scharniere[[#This Row],[mit Dämpfung]]=1,1,IF(Scharniere[[#This Row],[ohne Dämpfung]]=1,2,IF(Scharniere[[#This Row],[ohne Feder]]=1,3,0))),1,0)</f>
        <v>1</v>
      </c>
      <c r="S172" s="298">
        <f>IF(Scharniere[[#This Row],[Bohrbild]]=select!$A$755,1,0)</f>
        <v>0</v>
      </c>
      <c r="T172" s="298">
        <f>IF(IF(Scharniere[[#This Row],[Anschrauben]]=1,1,IF(Scharniere[[#This Row],[Einpressen]]=1,2,IF(Scharniere[[#This Row],[Quick]]=1,3,IF(Scharniere[[#This Row],[Werkzeuglos]]=1,4,0))))=select!$A$769,1,0)</f>
        <v>0</v>
      </c>
      <c r="U1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2" s="359">
        <f>IF(AND(Scharniere[[#This Row],[Scharnierart]]=4,Scharniere[[#This Row],[Gruppenschlüssel]]=select!$A$981)=TRUE,1,0)</f>
        <v>0</v>
      </c>
      <c r="W172" s="359">
        <f ca="1">IF(select!$O$1185&lt;6,1,0)</f>
        <v>1</v>
      </c>
      <c r="X172" s="359">
        <f>IF(select!$A$1012=IF(Scharniere[[#This Row],[mit Dämpfung]]=1,1,IF(Scharniere[[#This Row],[ohne Dämpfung]]=1,2,IF(Scharniere[[#This Row],[ohne Feder]]=1,3,0))),1,0)</f>
        <v>1</v>
      </c>
      <c r="Y172" s="359">
        <f>IF(Scharniere[[#This Row],[Bohrbild]]=select!$A$989,1,0)</f>
        <v>0</v>
      </c>
      <c r="Z172" s="359">
        <f>IF(IF(Scharniere[[#This Row],[Anschrauben]]=1,1,IF(Scharniere[[#This Row],[Einpressen]]=1,2,IF(Scharniere[[#This Row],[Quick]]=1,3,IF(Scharniere[[#This Row],[Werkzeuglos]]=1,4,0))))=select!$A$1003,1,0)</f>
        <v>0</v>
      </c>
      <c r="AA1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2" s="359">
        <f ca="1">IF(select!$K$980="*",Scharniere[[#This Row],[AG Ges2]],Scharniere[[#This Row],[AG Ges1]])</f>
        <v>0</v>
      </c>
      <c r="AE172" s="451">
        <f ca="1">IF(AND(Scharniere[[#This Row],[Scharnierart]]=select!$A$1485,Scharniere[[#This Row],[Gruppenschlüssel]]=select!$B$1485)=TRUE,1,0)</f>
        <v>1</v>
      </c>
      <c r="AF172" s="451">
        <f ca="1">IF(AND(Scharniere[[#This Row],[Scharnierart]]=select!$A$1486,Scharniere[[#This Row],[Gruppenschlüssel]]=select!$B$1486)=TRUE,1,0)</f>
        <v>0</v>
      </c>
      <c r="AG172" s="451">
        <f ca="1">IF(AND(Scharniere[[#This Row],[Scharnierart]]=select!$A$1487,Scharniere[[#This Row],[Gruppenschlüssel]]=select!$B$1487)=TRUE,1,0)</f>
        <v>0</v>
      </c>
      <c r="AH172" s="451">
        <f ca="1">IF(AND(Scharniere[[#This Row],[Scharnierart]]=select!$A$1488,Scharniere[[#This Row],[Gruppenschlüssel]]=select!$B$1488)=TRUE,1,0)</f>
        <v>0</v>
      </c>
      <c r="AI172" s="451">
        <f ca="1">IF(SUM(Scharniere[[#This Row],[konf Scharnier 1]:[konf Scharnier 4]])&gt;0,1,0)</f>
        <v>1</v>
      </c>
      <c r="AJ172" s="451"/>
      <c r="AK172" s="451"/>
      <c r="AL172" s="451"/>
      <c r="AM172" s="451"/>
      <c r="AN172" s="451"/>
      <c r="AO172" s="146">
        <v>1</v>
      </c>
      <c r="AP172" s="146">
        <v>1</v>
      </c>
      <c r="AQ172" s="10" t="str">
        <f ca="1">Sprache!$A$110</f>
        <v>Tiomos Scharnier T Click-on</v>
      </c>
      <c r="AR172" t="str">
        <f ca="1">"110°, H-BB, K00, "&amp;Sprache!A181&amp;", ni"</f>
        <v>110°, H-BB, K00, Dübel, ni</v>
      </c>
      <c r="AS172" t="str">
        <f ca="1">Sprache!$A$103</f>
        <v>Tiomos Click-On Scharniere</v>
      </c>
      <c r="AT172">
        <v>0</v>
      </c>
      <c r="AU172" s="34" t="s">
        <v>10</v>
      </c>
      <c r="AV172">
        <v>110</v>
      </c>
      <c r="AW172" s="10">
        <v>0</v>
      </c>
      <c r="AX172">
        <v>1</v>
      </c>
      <c r="AY172">
        <v>0</v>
      </c>
      <c r="AZ172" s="10">
        <v>0</v>
      </c>
      <c r="BA172">
        <v>1</v>
      </c>
      <c r="BB172">
        <v>0</v>
      </c>
      <c r="BC172">
        <v>0</v>
      </c>
      <c r="BD172" s="143" t="s">
        <v>518</v>
      </c>
      <c r="BG172"/>
    </row>
    <row r="173" spans="1:59" ht="14.25" customHeight="1" x14ac:dyDescent="0.25">
      <c r="A173" s="37" t="str">
        <f>LEFT(Scharniere[[#This Row],[ArtikelNR]],4)</f>
        <v>F028</v>
      </c>
      <c r="B173" s="35" t="str">
        <f>MID(Scharniere[[#This Row],[ArtikelNR]],5,3)</f>
        <v>138</v>
      </c>
      <c r="C173" s="37" t="str">
        <f>RIGHT(Scharniere[[#This Row],[ArtikelNR]],3)</f>
        <v>705</v>
      </c>
      <c r="D173" s="35">
        <f>IF(AND(Scharniere[[#This Row],[Gruppenschlüssel]]=select!$A$44,Scharniere[[#This Row],[Scharnierart]]=1)=TRUE,1,0)</f>
        <v>1</v>
      </c>
      <c r="E1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3" s="35">
        <f>IF(select!$F$57=IF(Scharniere[[#This Row],[mit Dämpfung]]=1,1,IF(Scharniere[[#This Row],[ohne Dämpfung]]=1,2,IF(Scharniere[[#This Row],[ohne Feder]]=1,3,0))),1,0)</f>
        <v>0</v>
      </c>
      <c r="G173" s="35">
        <f>IF(Scharniere[[#This Row],[Bohrbild]]=select!$V$43,1,0)</f>
        <v>0</v>
      </c>
      <c r="H173" s="35">
        <f>IF(IF(Scharniere[[#This Row],[Anschrauben]]=1,1,IF(Scharniere[[#This Row],[Einpressen]]=1,2,IF(Scharniere[[#This Row],[Quick]]=1,3,IF(Scharniere[[#This Row],[Werkzeuglos]]=1,4,0))))=select!$F$48,1,0)</f>
        <v>1</v>
      </c>
      <c r="I1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3" s="149">
        <f>IF(AND(Scharniere[[#This Row],[Scharnierart]]=2,Scharniere[[#This Row],[Gruppenschlüssel]]=select!$A$318)=TRUE,1,0)</f>
        <v>0</v>
      </c>
      <c r="K173" s="221">
        <f ca="1">IF(select!$O$424&lt;6,1,0)</f>
        <v>1</v>
      </c>
      <c r="L173" s="139">
        <f>IF(select!$A$362=IF(Scharniere[[#This Row],[mit Dämpfung]]=1,1,IF(Scharniere[[#This Row],[ohne Dämpfung]]=1,2,IF(Scharniere[[#This Row],[ohne Feder]]=1,3,0))),1,0)</f>
        <v>1</v>
      </c>
      <c r="M173" s="135">
        <f>IF(Scharniere[[#This Row],[Bohrbild]]=select!$O$334,1,0)</f>
        <v>0</v>
      </c>
      <c r="N173" s="135">
        <f>IF(IF(Scharniere[[#This Row],[Anschrauben]]=1,1,IF(Scharniere[[#This Row],[Einpressen]]=1,2,IF(Scharniere[[#This Row],[Quick]]=1,3,IF(Scharniere[[#This Row],[Werkzeuglos]]=1,4,0))))=select!$E$362,1,0)</f>
        <v>0</v>
      </c>
      <c r="O1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3" s="298">
        <f>IF(AND(Scharniere[[#This Row],[Scharnierart]]=3,Scharniere[[#This Row],[Gruppenschlüssel]]=select!$A$747)=TRUE,1,0)</f>
        <v>0</v>
      </c>
      <c r="Q173" s="298">
        <f ca="1">IF(select!$O$945&lt;6,1,0)</f>
        <v>1</v>
      </c>
      <c r="R173" s="298">
        <f>IF(select!$A$778=IF(Scharniere[[#This Row],[mit Dämpfung]]=1,1,IF(Scharniere[[#This Row],[ohne Dämpfung]]=1,2,IF(Scharniere[[#This Row],[ohne Feder]]=1,3,0))),1,0)</f>
        <v>0</v>
      </c>
      <c r="S173" s="298">
        <f>IF(Scharniere[[#This Row],[Bohrbild]]=select!$A$755,1,0)</f>
        <v>0</v>
      </c>
      <c r="T173" s="298">
        <f>IF(IF(Scharniere[[#This Row],[Anschrauben]]=1,1,IF(Scharniere[[#This Row],[Einpressen]]=1,2,IF(Scharniere[[#This Row],[Quick]]=1,3,IF(Scharniere[[#This Row],[Werkzeuglos]]=1,4,0))))=select!$A$769,1,0)</f>
        <v>0</v>
      </c>
      <c r="U1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3" s="359">
        <f>IF(AND(Scharniere[[#This Row],[Scharnierart]]=4,Scharniere[[#This Row],[Gruppenschlüssel]]=select!$A$981)=TRUE,1,0)</f>
        <v>0</v>
      </c>
      <c r="W173" s="359">
        <f ca="1">IF(select!$O$1185&lt;6,1,0)</f>
        <v>1</v>
      </c>
      <c r="X173" s="359">
        <f>IF(select!$A$1012=IF(Scharniere[[#This Row],[mit Dämpfung]]=1,1,IF(Scharniere[[#This Row],[ohne Dämpfung]]=1,2,IF(Scharniere[[#This Row],[ohne Feder]]=1,3,0))),1,0)</f>
        <v>0</v>
      </c>
      <c r="Y173" s="359">
        <f>IF(Scharniere[[#This Row],[Bohrbild]]=select!$A$989,1,0)</f>
        <v>0</v>
      </c>
      <c r="Z173" s="359">
        <f>IF(IF(Scharniere[[#This Row],[Anschrauben]]=1,1,IF(Scharniere[[#This Row],[Einpressen]]=1,2,IF(Scharniere[[#This Row],[Quick]]=1,3,IF(Scharniere[[#This Row],[Werkzeuglos]]=1,4,0))))=select!$A$1003,1,0)</f>
        <v>0</v>
      </c>
      <c r="AA1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3" s="359">
        <f ca="1">IF(select!$K$980="*",Scharniere[[#This Row],[AG Ges2]],Scharniere[[#This Row],[AG Ges1]])</f>
        <v>0</v>
      </c>
      <c r="AE173" s="451">
        <f ca="1">IF(AND(Scharniere[[#This Row],[Scharnierart]]=select!$A$1485,Scharniere[[#This Row],[Gruppenschlüssel]]=select!$B$1485)=TRUE,1,0)</f>
        <v>1</v>
      </c>
      <c r="AF173" s="451">
        <f ca="1">IF(AND(Scharniere[[#This Row],[Scharnierart]]=select!$A$1486,Scharniere[[#This Row],[Gruppenschlüssel]]=select!$B$1486)=TRUE,1,0)</f>
        <v>0</v>
      </c>
      <c r="AG173" s="451">
        <f ca="1">IF(AND(Scharniere[[#This Row],[Scharnierart]]=select!$A$1487,Scharniere[[#This Row],[Gruppenschlüssel]]=select!$B$1487)=TRUE,1,0)</f>
        <v>0</v>
      </c>
      <c r="AH173" s="451">
        <f ca="1">IF(AND(Scharniere[[#This Row],[Scharnierart]]=select!$A$1488,Scharniere[[#This Row],[Gruppenschlüssel]]=select!$B$1488)=TRUE,1,0)</f>
        <v>0</v>
      </c>
      <c r="AI173" s="451">
        <f ca="1">IF(SUM(Scharniere[[#This Row],[konf Scharnier 1]:[konf Scharnier 4]])&gt;0,1,0)</f>
        <v>1</v>
      </c>
      <c r="AJ173" s="451"/>
      <c r="AK173" s="451"/>
      <c r="AL173" s="451"/>
      <c r="AM173" s="451"/>
      <c r="AN173" s="451"/>
      <c r="AO173" s="146">
        <v>1</v>
      </c>
      <c r="AP173" s="146">
        <v>1</v>
      </c>
      <c r="AQ173" s="10" t="str">
        <f ca="1">Sprache!$A$112</f>
        <v>Tiomos Scharnier TS Click-on</v>
      </c>
      <c r="AR173" t="str">
        <f ca="1">"110°, H-BB, K00, "&amp;Sprache!A181&amp;", ni"</f>
        <v>110°, H-BB, K00, Dübel, ni</v>
      </c>
      <c r="AS173" t="str">
        <f ca="1">Sprache!$A$103</f>
        <v>Tiomos Click-On Scharniere</v>
      </c>
      <c r="AT173">
        <v>0</v>
      </c>
      <c r="AU173" t="s">
        <v>10</v>
      </c>
      <c r="AV173">
        <v>110</v>
      </c>
      <c r="AW173" s="10">
        <v>1</v>
      </c>
      <c r="AX173">
        <v>0</v>
      </c>
      <c r="AY173">
        <v>0</v>
      </c>
      <c r="AZ173" s="10">
        <v>0</v>
      </c>
      <c r="BA173">
        <v>1</v>
      </c>
      <c r="BB173">
        <v>0</v>
      </c>
      <c r="BC173">
        <v>0</v>
      </c>
      <c r="BD173" s="143" t="s">
        <v>348</v>
      </c>
      <c r="BG173"/>
    </row>
    <row r="174" spans="1:59" ht="14.25" customHeight="1" x14ac:dyDescent="0.25">
      <c r="A174" s="37" t="str">
        <f>LEFT(Scharniere[[#This Row],[ArtikelNR]],4)</f>
        <v>F046</v>
      </c>
      <c r="B174" s="35" t="str">
        <f>MID(Scharniere[[#This Row],[ArtikelNR]],5,3)</f>
        <v>138</v>
      </c>
      <c r="C174" s="37" t="str">
        <f>RIGHT(Scharniere[[#This Row],[ArtikelNR]],3)</f>
        <v>765</v>
      </c>
      <c r="D174" s="35">
        <f>IF(AND(Scharniere[[#This Row],[Gruppenschlüssel]]=select!$A$44,Scharniere[[#This Row],[Scharnierart]]=1)=TRUE,1,0)</f>
        <v>1</v>
      </c>
      <c r="E1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4" s="35">
        <f>IF(select!$F$57=IF(Scharniere[[#This Row],[mit Dämpfung]]=1,1,IF(Scharniere[[#This Row],[ohne Dämpfung]]=1,2,IF(Scharniere[[#This Row],[ohne Feder]]=1,3,0))),1,0)</f>
        <v>1</v>
      </c>
      <c r="G174" s="35">
        <f>IF(Scharniere[[#This Row],[Bohrbild]]=select!$V$43,1,0)</f>
        <v>0</v>
      </c>
      <c r="H174" s="35">
        <f>IF(IF(Scharniere[[#This Row],[Anschrauben]]=1,1,IF(Scharniere[[#This Row],[Einpressen]]=1,2,IF(Scharniere[[#This Row],[Quick]]=1,3,IF(Scharniere[[#This Row],[Werkzeuglos]]=1,4,0))))=select!$F$48,1,0)</f>
        <v>1</v>
      </c>
      <c r="I1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4" s="149">
        <f>IF(AND(Scharniere[[#This Row],[Scharnierart]]=2,Scharniere[[#This Row],[Gruppenschlüssel]]=select!$A$318)=TRUE,1,0)</f>
        <v>0</v>
      </c>
      <c r="K174" s="221">
        <f ca="1">IF(select!$O$424&lt;6,1,0)</f>
        <v>1</v>
      </c>
      <c r="L174" s="139">
        <f>IF(select!$A$362=IF(Scharniere[[#This Row],[mit Dämpfung]]=1,1,IF(Scharniere[[#This Row],[ohne Dämpfung]]=1,2,IF(Scharniere[[#This Row],[ohne Feder]]=1,3,0))),1,0)</f>
        <v>0</v>
      </c>
      <c r="M174" s="135">
        <f>IF(Scharniere[[#This Row],[Bohrbild]]=select!$O$334,1,0)</f>
        <v>0</v>
      </c>
      <c r="N174" s="135">
        <f>IF(IF(Scharniere[[#This Row],[Anschrauben]]=1,1,IF(Scharniere[[#This Row],[Einpressen]]=1,2,IF(Scharniere[[#This Row],[Quick]]=1,3,IF(Scharniere[[#This Row],[Werkzeuglos]]=1,4,0))))=select!$E$362,1,0)</f>
        <v>0</v>
      </c>
      <c r="O1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4" s="298">
        <f>IF(AND(Scharniere[[#This Row],[Scharnierart]]=3,Scharniere[[#This Row],[Gruppenschlüssel]]=select!$A$747)=TRUE,1,0)</f>
        <v>0</v>
      </c>
      <c r="Q174" s="298">
        <f ca="1">IF(select!$O$945&lt;6,1,0)</f>
        <v>1</v>
      </c>
      <c r="R174" s="298">
        <f>IF(select!$A$778=IF(Scharniere[[#This Row],[mit Dämpfung]]=1,1,IF(Scharniere[[#This Row],[ohne Dämpfung]]=1,2,IF(Scharniere[[#This Row],[ohne Feder]]=1,3,0))),1,0)</f>
        <v>0</v>
      </c>
      <c r="S174" s="298">
        <f>IF(Scharniere[[#This Row],[Bohrbild]]=select!$A$755,1,0)</f>
        <v>0</v>
      </c>
      <c r="T174" s="298">
        <f>IF(IF(Scharniere[[#This Row],[Anschrauben]]=1,1,IF(Scharniere[[#This Row],[Einpressen]]=1,2,IF(Scharniere[[#This Row],[Quick]]=1,3,IF(Scharniere[[#This Row],[Werkzeuglos]]=1,4,0))))=select!$A$769,1,0)</f>
        <v>0</v>
      </c>
      <c r="U1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4" s="359">
        <f>IF(AND(Scharniere[[#This Row],[Scharnierart]]=4,Scharniere[[#This Row],[Gruppenschlüssel]]=select!$A$981)=TRUE,1,0)</f>
        <v>0</v>
      </c>
      <c r="W174" s="359">
        <f ca="1">IF(select!$O$1185&lt;6,1,0)</f>
        <v>1</v>
      </c>
      <c r="X174" s="359">
        <f>IF(select!$A$1012=IF(Scharniere[[#This Row],[mit Dämpfung]]=1,1,IF(Scharniere[[#This Row],[ohne Dämpfung]]=1,2,IF(Scharniere[[#This Row],[ohne Feder]]=1,3,0))),1,0)</f>
        <v>0</v>
      </c>
      <c r="Y174" s="359">
        <f>IF(Scharniere[[#This Row],[Bohrbild]]=select!$A$989,1,0)</f>
        <v>0</v>
      </c>
      <c r="Z174" s="359">
        <f>IF(IF(Scharniere[[#This Row],[Anschrauben]]=1,1,IF(Scharniere[[#This Row],[Einpressen]]=1,2,IF(Scharniere[[#This Row],[Quick]]=1,3,IF(Scharniere[[#This Row],[Werkzeuglos]]=1,4,0))))=select!$A$1003,1,0)</f>
        <v>0</v>
      </c>
      <c r="AA1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4" s="359">
        <f ca="1">IF(select!$K$980="*",Scharniere[[#This Row],[AG Ges2]],Scharniere[[#This Row],[AG Ges1]])</f>
        <v>0</v>
      </c>
      <c r="AE174" s="451">
        <f ca="1">IF(AND(Scharniere[[#This Row],[Scharnierart]]=select!$A$1485,Scharniere[[#This Row],[Gruppenschlüssel]]=select!$B$1485)=TRUE,1,0)</f>
        <v>1</v>
      </c>
      <c r="AF174" s="451">
        <f ca="1">IF(AND(Scharniere[[#This Row],[Scharnierart]]=select!$A$1486,Scharniere[[#This Row],[Gruppenschlüssel]]=select!$B$1486)=TRUE,1,0)</f>
        <v>0</v>
      </c>
      <c r="AG174" s="451">
        <f ca="1">IF(AND(Scharniere[[#This Row],[Scharnierart]]=select!$A$1487,Scharniere[[#This Row],[Gruppenschlüssel]]=select!$B$1487)=TRUE,1,0)</f>
        <v>0</v>
      </c>
      <c r="AH174" s="451">
        <f ca="1">IF(AND(Scharniere[[#This Row],[Scharnierart]]=select!$A$1488,Scharniere[[#This Row],[Gruppenschlüssel]]=select!$B$1488)=TRUE,1,0)</f>
        <v>0</v>
      </c>
      <c r="AI174" s="451">
        <f ca="1">IF(SUM(Scharniere[[#This Row],[konf Scharnier 1]:[konf Scharnier 4]])&gt;0,1,0)</f>
        <v>1</v>
      </c>
      <c r="AJ174" s="451"/>
      <c r="AK174" s="451"/>
      <c r="AL174" s="451"/>
      <c r="AM174" s="451"/>
      <c r="AN174" s="451"/>
      <c r="AO174" s="146">
        <v>1</v>
      </c>
      <c r="AP174" s="146">
        <v>1</v>
      </c>
      <c r="AQ174" s="10" t="str">
        <f ca="1">Sprache!$A$114</f>
        <v>Tiomos Scharnier TT Click-on</v>
      </c>
      <c r="AR174" t="str">
        <f ca="1">"110°, H-BB, K00, "&amp;Sprache!A181&amp;", ni"</f>
        <v>110°, H-BB, K00, Dübel, ni</v>
      </c>
      <c r="AS174" t="str">
        <f ca="1">Sprache!$A$103</f>
        <v>Tiomos Click-On Scharniere</v>
      </c>
      <c r="AT174">
        <v>0</v>
      </c>
      <c r="AU174" t="s">
        <v>10</v>
      </c>
      <c r="AV174">
        <v>110</v>
      </c>
      <c r="AW174" s="10">
        <v>0</v>
      </c>
      <c r="AX174">
        <v>0</v>
      </c>
      <c r="AY174">
        <v>1</v>
      </c>
      <c r="AZ174" s="10">
        <v>0</v>
      </c>
      <c r="BA174">
        <v>1</v>
      </c>
      <c r="BB174">
        <v>0</v>
      </c>
      <c r="BC174">
        <v>0</v>
      </c>
      <c r="BD174" s="143" t="s">
        <v>670</v>
      </c>
      <c r="BG174"/>
    </row>
    <row r="175" spans="1:59" ht="14.25" customHeight="1" x14ac:dyDescent="0.25">
      <c r="A175" s="37" t="str">
        <f>LEFT(Scharniere[[#This Row],[ArtikelNR]],4)</f>
        <v>F045</v>
      </c>
      <c r="B175" s="35" t="str">
        <f>MID(Scharniere[[#This Row],[ArtikelNR]],5,3)</f>
        <v>138</v>
      </c>
      <c r="C175" s="37" t="str">
        <f>RIGHT(Scharniere[[#This Row],[ArtikelNR]],3)</f>
        <v>639</v>
      </c>
      <c r="D175" s="35">
        <f>IF(AND(Scharniere[[#This Row],[Gruppenschlüssel]]=select!$A$44,Scharniere[[#This Row],[Scharnierart]]=1)=TRUE,1,0)</f>
        <v>1</v>
      </c>
      <c r="E1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5" s="35">
        <f>IF(select!$F$57=IF(Scharniere[[#This Row],[mit Dämpfung]]=1,1,IF(Scharniere[[#This Row],[ohne Dämpfung]]=1,2,IF(Scharniere[[#This Row],[ohne Feder]]=1,3,0))),1,0)</f>
        <v>0</v>
      </c>
      <c r="G175" s="35">
        <f>IF(Scharniere[[#This Row],[Bohrbild]]=select!$V$43,1,0)</f>
        <v>0</v>
      </c>
      <c r="H175" s="35">
        <f>IF(IF(Scharniere[[#This Row],[Anschrauben]]=1,1,IF(Scharniere[[#This Row],[Einpressen]]=1,2,IF(Scharniere[[#This Row],[Quick]]=1,3,IF(Scharniere[[#This Row],[Werkzeuglos]]=1,4,0))))=select!$F$48,1,0)</f>
        <v>0</v>
      </c>
      <c r="I1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5" s="149">
        <f>IF(AND(Scharniere[[#This Row],[Scharnierart]]=2,Scharniere[[#This Row],[Gruppenschlüssel]]=select!$A$318)=TRUE,1,0)</f>
        <v>0</v>
      </c>
      <c r="K175" s="221">
        <f ca="1">IF(select!$O$424&lt;6,1,0)</f>
        <v>1</v>
      </c>
      <c r="L175" s="139">
        <f>IF(select!$A$362=IF(Scharniere[[#This Row],[mit Dämpfung]]=1,1,IF(Scharniere[[#This Row],[ohne Dämpfung]]=1,2,IF(Scharniere[[#This Row],[ohne Feder]]=1,3,0))),1,0)</f>
        <v>0</v>
      </c>
      <c r="M175" s="135">
        <f>IF(Scharniere[[#This Row],[Bohrbild]]=select!$O$334,1,0)</f>
        <v>0</v>
      </c>
      <c r="N175" s="135">
        <f>IF(IF(Scharniere[[#This Row],[Anschrauben]]=1,1,IF(Scharniere[[#This Row],[Einpressen]]=1,2,IF(Scharniere[[#This Row],[Quick]]=1,3,IF(Scharniere[[#This Row],[Werkzeuglos]]=1,4,0))))=select!$E$362,1,0)</f>
        <v>1</v>
      </c>
      <c r="O1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5" s="298">
        <f>IF(AND(Scharniere[[#This Row],[Scharnierart]]=3,Scharniere[[#This Row],[Gruppenschlüssel]]=select!$A$747)=TRUE,1,0)</f>
        <v>0</v>
      </c>
      <c r="Q175" s="298">
        <f ca="1">IF(select!$O$945&lt;6,1,0)</f>
        <v>1</v>
      </c>
      <c r="R175" s="298">
        <f>IF(select!$A$778=IF(Scharniere[[#This Row],[mit Dämpfung]]=1,1,IF(Scharniere[[#This Row],[ohne Dämpfung]]=1,2,IF(Scharniere[[#This Row],[ohne Feder]]=1,3,0))),1,0)</f>
        <v>1</v>
      </c>
      <c r="S175" s="298">
        <f>IF(Scharniere[[#This Row],[Bohrbild]]=select!$A$755,1,0)</f>
        <v>0</v>
      </c>
      <c r="T175" s="298">
        <f>IF(IF(Scharniere[[#This Row],[Anschrauben]]=1,1,IF(Scharniere[[#This Row],[Einpressen]]=1,2,IF(Scharniere[[#This Row],[Quick]]=1,3,IF(Scharniere[[#This Row],[Werkzeuglos]]=1,4,0))))=select!$A$769,1,0)</f>
        <v>1</v>
      </c>
      <c r="U1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5" s="359">
        <f>IF(AND(Scharniere[[#This Row],[Scharnierart]]=4,Scharniere[[#This Row],[Gruppenschlüssel]]=select!$A$981)=TRUE,1,0)</f>
        <v>0</v>
      </c>
      <c r="W175" s="359">
        <f ca="1">IF(select!$O$1185&lt;6,1,0)</f>
        <v>1</v>
      </c>
      <c r="X175" s="359">
        <f>IF(select!$A$1012=IF(Scharniere[[#This Row],[mit Dämpfung]]=1,1,IF(Scharniere[[#This Row],[ohne Dämpfung]]=1,2,IF(Scharniere[[#This Row],[ohne Feder]]=1,3,0))),1,0)</f>
        <v>1</v>
      </c>
      <c r="Y175" s="359">
        <f>IF(Scharniere[[#This Row],[Bohrbild]]=select!$A$989,1,0)</f>
        <v>0</v>
      </c>
      <c r="Z175" s="359">
        <f>IF(IF(Scharniere[[#This Row],[Anschrauben]]=1,1,IF(Scharniere[[#This Row],[Einpressen]]=1,2,IF(Scharniere[[#This Row],[Quick]]=1,3,IF(Scharniere[[#This Row],[Werkzeuglos]]=1,4,0))))=select!$A$1003,1,0)</f>
        <v>1</v>
      </c>
      <c r="AA1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5" s="359">
        <f ca="1">IF(select!$K$980="*",Scharniere[[#This Row],[AG Ges2]],Scharniere[[#This Row],[AG Ges1]])</f>
        <v>0</v>
      </c>
      <c r="AE175" s="451">
        <f ca="1">IF(AND(Scharniere[[#This Row],[Scharnierart]]=select!$A$1485,Scharniere[[#This Row],[Gruppenschlüssel]]=select!$B$1485)=TRUE,1,0)</f>
        <v>1</v>
      </c>
      <c r="AF175" s="451">
        <f ca="1">IF(AND(Scharniere[[#This Row],[Scharnierart]]=select!$A$1486,Scharniere[[#This Row],[Gruppenschlüssel]]=select!$B$1486)=TRUE,1,0)</f>
        <v>0</v>
      </c>
      <c r="AG175" s="451">
        <f ca="1">IF(AND(Scharniere[[#This Row],[Scharnierart]]=select!$A$1487,Scharniere[[#This Row],[Gruppenschlüssel]]=select!$B$1487)=TRUE,1,0)</f>
        <v>0</v>
      </c>
      <c r="AH175" s="451">
        <f ca="1">IF(AND(Scharniere[[#This Row],[Scharnierart]]=select!$A$1488,Scharniere[[#This Row],[Gruppenschlüssel]]=select!$B$1488)=TRUE,1,0)</f>
        <v>0</v>
      </c>
      <c r="AI175" s="451">
        <f ca="1">IF(SUM(Scharniere[[#This Row],[konf Scharnier 1]:[konf Scharnier 4]])&gt;0,1,0)</f>
        <v>1</v>
      </c>
      <c r="AJ175" s="451"/>
      <c r="AK175" s="451"/>
      <c r="AL175" s="451"/>
      <c r="AM175" s="451"/>
      <c r="AN175" s="451"/>
      <c r="AO175" s="146">
        <v>1</v>
      </c>
      <c r="AP175" s="146">
        <v>1</v>
      </c>
      <c r="AQ175" s="10" t="str">
        <f ca="1">Sprache!$A$110</f>
        <v>Tiomos Scharnier T Click-on</v>
      </c>
      <c r="AR175" t="s">
        <v>342</v>
      </c>
      <c r="AS175" t="str">
        <f ca="1">Sprache!$A$103</f>
        <v>Tiomos Click-On Scharniere</v>
      </c>
      <c r="AT175">
        <v>0</v>
      </c>
      <c r="AU175" s="34" t="s">
        <v>10</v>
      </c>
      <c r="AV175">
        <v>110</v>
      </c>
      <c r="AW175" s="10">
        <v>0</v>
      </c>
      <c r="AX175">
        <v>1</v>
      </c>
      <c r="AY175">
        <v>0</v>
      </c>
      <c r="AZ175" s="10">
        <v>1</v>
      </c>
      <c r="BA175">
        <v>0</v>
      </c>
      <c r="BB175">
        <v>0</v>
      </c>
      <c r="BC175">
        <v>0</v>
      </c>
      <c r="BD175" s="143" t="s">
        <v>514</v>
      </c>
      <c r="BG175"/>
    </row>
    <row r="176" spans="1:59" ht="14.25" customHeight="1" x14ac:dyDescent="0.25">
      <c r="A176" s="37" t="str">
        <f>LEFT(Scharniere[[#This Row],[ArtikelNR]],4)</f>
        <v>F028</v>
      </c>
      <c r="B176" s="35" t="str">
        <f>MID(Scharniere[[#This Row],[ArtikelNR]],5,3)</f>
        <v>138</v>
      </c>
      <c r="C176" s="37" t="str">
        <f>RIGHT(Scharniere[[#This Row],[ArtikelNR]],3)</f>
        <v>701</v>
      </c>
      <c r="D176" s="35">
        <f>IF(AND(Scharniere[[#This Row],[Gruppenschlüssel]]=select!$A$44,Scharniere[[#This Row],[Scharnierart]]=1)=TRUE,1,0)</f>
        <v>1</v>
      </c>
      <c r="E1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6" s="35">
        <f>IF(select!$F$57=IF(Scharniere[[#This Row],[mit Dämpfung]]=1,1,IF(Scharniere[[#This Row],[ohne Dämpfung]]=1,2,IF(Scharniere[[#This Row],[ohne Feder]]=1,3,0))),1,0)</f>
        <v>0</v>
      </c>
      <c r="G176" s="35">
        <f>IF(Scharniere[[#This Row],[Bohrbild]]=select!$V$43,1,0)</f>
        <v>0</v>
      </c>
      <c r="H176" s="35">
        <f>IF(IF(Scharniere[[#This Row],[Anschrauben]]=1,1,IF(Scharniere[[#This Row],[Einpressen]]=1,2,IF(Scharniere[[#This Row],[Quick]]=1,3,IF(Scharniere[[#This Row],[Werkzeuglos]]=1,4,0))))=select!$F$48,1,0)</f>
        <v>0</v>
      </c>
      <c r="I1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6" s="149">
        <f>IF(AND(Scharniere[[#This Row],[Scharnierart]]=2,Scharniere[[#This Row],[Gruppenschlüssel]]=select!$A$318)=TRUE,1,0)</f>
        <v>0</v>
      </c>
      <c r="K176" s="221">
        <f ca="1">IF(select!$O$424&lt;6,1,0)</f>
        <v>1</v>
      </c>
      <c r="L176" s="139">
        <f>IF(select!$A$362=IF(Scharniere[[#This Row],[mit Dämpfung]]=1,1,IF(Scharniere[[#This Row],[ohne Dämpfung]]=1,2,IF(Scharniere[[#This Row],[ohne Feder]]=1,3,0))),1,0)</f>
        <v>1</v>
      </c>
      <c r="M176" s="135">
        <f>IF(Scharniere[[#This Row],[Bohrbild]]=select!$O$334,1,0)</f>
        <v>0</v>
      </c>
      <c r="N176" s="135">
        <f>IF(IF(Scharniere[[#This Row],[Anschrauben]]=1,1,IF(Scharniere[[#This Row],[Einpressen]]=1,2,IF(Scharniere[[#This Row],[Quick]]=1,3,IF(Scharniere[[#This Row],[Werkzeuglos]]=1,4,0))))=select!$E$362,1,0)</f>
        <v>1</v>
      </c>
      <c r="O1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6" s="298">
        <f>IF(AND(Scharniere[[#This Row],[Scharnierart]]=3,Scharniere[[#This Row],[Gruppenschlüssel]]=select!$A$747)=TRUE,1,0)</f>
        <v>0</v>
      </c>
      <c r="Q176" s="298">
        <f ca="1">IF(select!$O$945&lt;6,1,0)</f>
        <v>1</v>
      </c>
      <c r="R176" s="298">
        <f>IF(select!$A$778=IF(Scharniere[[#This Row],[mit Dämpfung]]=1,1,IF(Scharniere[[#This Row],[ohne Dämpfung]]=1,2,IF(Scharniere[[#This Row],[ohne Feder]]=1,3,0))),1,0)</f>
        <v>0</v>
      </c>
      <c r="S176" s="298">
        <f>IF(Scharniere[[#This Row],[Bohrbild]]=select!$A$755,1,0)</f>
        <v>0</v>
      </c>
      <c r="T176" s="298">
        <f>IF(IF(Scharniere[[#This Row],[Anschrauben]]=1,1,IF(Scharniere[[#This Row],[Einpressen]]=1,2,IF(Scharniere[[#This Row],[Quick]]=1,3,IF(Scharniere[[#This Row],[Werkzeuglos]]=1,4,0))))=select!$A$769,1,0)</f>
        <v>1</v>
      </c>
      <c r="U1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6" s="359">
        <f>IF(AND(Scharniere[[#This Row],[Scharnierart]]=4,Scharniere[[#This Row],[Gruppenschlüssel]]=select!$A$981)=TRUE,1,0)</f>
        <v>0</v>
      </c>
      <c r="W176" s="359">
        <f ca="1">IF(select!$O$1185&lt;6,1,0)</f>
        <v>1</v>
      </c>
      <c r="X176" s="359">
        <f>IF(select!$A$1012=IF(Scharniere[[#This Row],[mit Dämpfung]]=1,1,IF(Scharniere[[#This Row],[ohne Dämpfung]]=1,2,IF(Scharniere[[#This Row],[ohne Feder]]=1,3,0))),1,0)</f>
        <v>0</v>
      </c>
      <c r="Y176" s="359">
        <f>IF(Scharniere[[#This Row],[Bohrbild]]=select!$A$989,1,0)</f>
        <v>0</v>
      </c>
      <c r="Z176" s="359">
        <f>IF(IF(Scharniere[[#This Row],[Anschrauben]]=1,1,IF(Scharniere[[#This Row],[Einpressen]]=1,2,IF(Scharniere[[#This Row],[Quick]]=1,3,IF(Scharniere[[#This Row],[Werkzeuglos]]=1,4,0))))=select!$A$1003,1,0)</f>
        <v>1</v>
      </c>
      <c r="AA1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6" s="359">
        <f ca="1">IF(select!$K$980="*",Scharniere[[#This Row],[AG Ges2]],Scharniere[[#This Row],[AG Ges1]])</f>
        <v>0</v>
      </c>
      <c r="AE176" s="451">
        <f ca="1">IF(AND(Scharniere[[#This Row],[Scharnierart]]=select!$A$1485,Scharniere[[#This Row],[Gruppenschlüssel]]=select!$B$1485)=TRUE,1,0)</f>
        <v>1</v>
      </c>
      <c r="AF176" s="451">
        <f ca="1">IF(AND(Scharniere[[#This Row],[Scharnierart]]=select!$A$1486,Scharniere[[#This Row],[Gruppenschlüssel]]=select!$B$1486)=TRUE,1,0)</f>
        <v>0</v>
      </c>
      <c r="AG176" s="451">
        <f ca="1">IF(AND(Scharniere[[#This Row],[Scharnierart]]=select!$A$1487,Scharniere[[#This Row],[Gruppenschlüssel]]=select!$B$1487)=TRUE,1,0)</f>
        <v>0</v>
      </c>
      <c r="AH176" s="451">
        <f ca="1">IF(AND(Scharniere[[#This Row],[Scharnierart]]=select!$A$1488,Scharniere[[#This Row],[Gruppenschlüssel]]=select!$B$1488)=TRUE,1,0)</f>
        <v>0</v>
      </c>
      <c r="AI176" s="451">
        <f ca="1">IF(SUM(Scharniere[[#This Row],[konf Scharnier 1]:[konf Scharnier 4]])&gt;0,1,0)</f>
        <v>1</v>
      </c>
      <c r="AJ176" s="451"/>
      <c r="AK176" s="451"/>
      <c r="AL176" s="451"/>
      <c r="AM176" s="451"/>
      <c r="AN176" s="451"/>
      <c r="AO176" s="146">
        <v>1</v>
      </c>
      <c r="AP176" s="146">
        <v>1</v>
      </c>
      <c r="AQ176" s="10" t="str">
        <f ca="1">Sprache!$A$112</f>
        <v>Tiomos Scharnier TS Click-on</v>
      </c>
      <c r="AR176" t="s">
        <v>342</v>
      </c>
      <c r="AS176" t="str">
        <f ca="1">Sprache!$A$103</f>
        <v>Tiomos Click-On Scharniere</v>
      </c>
      <c r="AT176">
        <v>0</v>
      </c>
      <c r="AU176" t="s">
        <v>10</v>
      </c>
      <c r="AV176">
        <v>110</v>
      </c>
      <c r="AW176" s="10">
        <v>1</v>
      </c>
      <c r="AX176">
        <v>0</v>
      </c>
      <c r="AY176">
        <v>0</v>
      </c>
      <c r="AZ176" s="10">
        <v>1</v>
      </c>
      <c r="BA176">
        <v>0</v>
      </c>
      <c r="BB176">
        <v>0</v>
      </c>
      <c r="BC176">
        <v>0</v>
      </c>
      <c r="BD176" s="143" t="s">
        <v>341</v>
      </c>
      <c r="BG176"/>
    </row>
    <row r="177" spans="1:59" ht="14.25" customHeight="1" x14ac:dyDescent="0.25">
      <c r="A177" s="37" t="str">
        <f>LEFT(Scharniere[[#This Row],[ArtikelNR]],4)</f>
        <v>F046</v>
      </c>
      <c r="B177" s="35" t="str">
        <f>MID(Scharniere[[#This Row],[ArtikelNR]],5,3)</f>
        <v>138</v>
      </c>
      <c r="C177" s="37" t="str">
        <f>RIGHT(Scharniere[[#This Row],[ArtikelNR]],3)</f>
        <v>761</v>
      </c>
      <c r="D177" s="35">
        <f>IF(AND(Scharniere[[#This Row],[Gruppenschlüssel]]=select!$A$44,Scharniere[[#This Row],[Scharnierart]]=1)=TRUE,1,0)</f>
        <v>1</v>
      </c>
      <c r="E1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7" s="35">
        <f>IF(select!$F$57=IF(Scharniere[[#This Row],[mit Dämpfung]]=1,1,IF(Scharniere[[#This Row],[ohne Dämpfung]]=1,2,IF(Scharniere[[#This Row],[ohne Feder]]=1,3,0))),1,0)</f>
        <v>1</v>
      </c>
      <c r="G177" s="35">
        <f>IF(Scharniere[[#This Row],[Bohrbild]]=select!$V$43,1,0)</f>
        <v>0</v>
      </c>
      <c r="H177" s="35">
        <f>IF(IF(Scharniere[[#This Row],[Anschrauben]]=1,1,IF(Scharniere[[#This Row],[Einpressen]]=1,2,IF(Scharniere[[#This Row],[Quick]]=1,3,IF(Scharniere[[#This Row],[Werkzeuglos]]=1,4,0))))=select!$F$48,1,0)</f>
        <v>0</v>
      </c>
      <c r="I1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7" s="149">
        <f>IF(AND(Scharniere[[#This Row],[Scharnierart]]=2,Scharniere[[#This Row],[Gruppenschlüssel]]=select!$A$318)=TRUE,1,0)</f>
        <v>0</v>
      </c>
      <c r="K177" s="221">
        <f ca="1">IF(select!$O$424&lt;6,1,0)</f>
        <v>1</v>
      </c>
      <c r="L177" s="139">
        <f>IF(select!$A$362=IF(Scharniere[[#This Row],[mit Dämpfung]]=1,1,IF(Scharniere[[#This Row],[ohne Dämpfung]]=1,2,IF(Scharniere[[#This Row],[ohne Feder]]=1,3,0))),1,0)</f>
        <v>0</v>
      </c>
      <c r="M177" s="135">
        <f>IF(Scharniere[[#This Row],[Bohrbild]]=select!$O$334,1,0)</f>
        <v>0</v>
      </c>
      <c r="N177" s="135">
        <f>IF(IF(Scharniere[[#This Row],[Anschrauben]]=1,1,IF(Scharniere[[#This Row],[Einpressen]]=1,2,IF(Scharniere[[#This Row],[Quick]]=1,3,IF(Scharniere[[#This Row],[Werkzeuglos]]=1,4,0))))=select!$E$362,1,0)</f>
        <v>1</v>
      </c>
      <c r="O1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7" s="298">
        <f>IF(AND(Scharniere[[#This Row],[Scharnierart]]=3,Scharniere[[#This Row],[Gruppenschlüssel]]=select!$A$747)=TRUE,1,0)</f>
        <v>0</v>
      </c>
      <c r="Q177" s="298">
        <f ca="1">IF(select!$O$945&lt;6,1,0)</f>
        <v>1</v>
      </c>
      <c r="R177" s="298">
        <f>IF(select!$A$778=IF(Scharniere[[#This Row],[mit Dämpfung]]=1,1,IF(Scharniere[[#This Row],[ohne Dämpfung]]=1,2,IF(Scharniere[[#This Row],[ohne Feder]]=1,3,0))),1,0)</f>
        <v>0</v>
      </c>
      <c r="S177" s="298">
        <f>IF(Scharniere[[#This Row],[Bohrbild]]=select!$A$755,1,0)</f>
        <v>0</v>
      </c>
      <c r="T177" s="298">
        <f>IF(IF(Scharniere[[#This Row],[Anschrauben]]=1,1,IF(Scharniere[[#This Row],[Einpressen]]=1,2,IF(Scharniere[[#This Row],[Quick]]=1,3,IF(Scharniere[[#This Row],[Werkzeuglos]]=1,4,0))))=select!$A$769,1,0)</f>
        <v>1</v>
      </c>
      <c r="U1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7" s="359">
        <f>IF(AND(Scharniere[[#This Row],[Scharnierart]]=4,Scharniere[[#This Row],[Gruppenschlüssel]]=select!$A$981)=TRUE,1,0)</f>
        <v>0</v>
      </c>
      <c r="W177" s="359">
        <f ca="1">IF(select!$O$1185&lt;6,1,0)</f>
        <v>1</v>
      </c>
      <c r="X177" s="359">
        <f>IF(select!$A$1012=IF(Scharniere[[#This Row],[mit Dämpfung]]=1,1,IF(Scharniere[[#This Row],[ohne Dämpfung]]=1,2,IF(Scharniere[[#This Row],[ohne Feder]]=1,3,0))),1,0)</f>
        <v>0</v>
      </c>
      <c r="Y177" s="359">
        <f>IF(Scharniere[[#This Row],[Bohrbild]]=select!$A$989,1,0)</f>
        <v>0</v>
      </c>
      <c r="Z177" s="359">
        <f>IF(IF(Scharniere[[#This Row],[Anschrauben]]=1,1,IF(Scharniere[[#This Row],[Einpressen]]=1,2,IF(Scharniere[[#This Row],[Quick]]=1,3,IF(Scharniere[[#This Row],[Werkzeuglos]]=1,4,0))))=select!$A$1003,1,0)</f>
        <v>1</v>
      </c>
      <c r="AA1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7" s="359">
        <f ca="1">IF(select!$K$980="*",Scharniere[[#This Row],[AG Ges2]],Scharniere[[#This Row],[AG Ges1]])</f>
        <v>0</v>
      </c>
      <c r="AE177" s="451">
        <f ca="1">IF(AND(Scharniere[[#This Row],[Scharnierart]]=select!$A$1485,Scharniere[[#This Row],[Gruppenschlüssel]]=select!$B$1485)=TRUE,1,0)</f>
        <v>1</v>
      </c>
      <c r="AF177" s="451">
        <f ca="1">IF(AND(Scharniere[[#This Row],[Scharnierart]]=select!$A$1486,Scharniere[[#This Row],[Gruppenschlüssel]]=select!$B$1486)=TRUE,1,0)</f>
        <v>0</v>
      </c>
      <c r="AG177" s="451">
        <f ca="1">IF(AND(Scharniere[[#This Row],[Scharnierart]]=select!$A$1487,Scharniere[[#This Row],[Gruppenschlüssel]]=select!$B$1487)=TRUE,1,0)</f>
        <v>0</v>
      </c>
      <c r="AH177" s="451">
        <f ca="1">IF(AND(Scharniere[[#This Row],[Scharnierart]]=select!$A$1488,Scharniere[[#This Row],[Gruppenschlüssel]]=select!$B$1488)=TRUE,1,0)</f>
        <v>0</v>
      </c>
      <c r="AI177" s="451">
        <f ca="1">IF(SUM(Scharniere[[#This Row],[konf Scharnier 1]:[konf Scharnier 4]])&gt;0,1,0)</f>
        <v>1</v>
      </c>
      <c r="AJ177" s="451"/>
      <c r="AK177" s="451"/>
      <c r="AL177" s="451"/>
      <c r="AM177" s="451"/>
      <c r="AN177" s="451"/>
      <c r="AO177" s="146">
        <v>1</v>
      </c>
      <c r="AP177" s="146">
        <v>1</v>
      </c>
      <c r="AQ177" s="10" t="str">
        <f ca="1">Sprache!$A$114</f>
        <v>Tiomos Scharnier TT Click-on</v>
      </c>
      <c r="AR177" t="s">
        <v>342</v>
      </c>
      <c r="AS177" t="str">
        <f ca="1">Sprache!$A$103</f>
        <v>Tiomos Click-On Scharniere</v>
      </c>
      <c r="AT177">
        <v>0</v>
      </c>
      <c r="AU177" t="s">
        <v>10</v>
      </c>
      <c r="AV177">
        <v>110</v>
      </c>
      <c r="AW177" s="10">
        <v>0</v>
      </c>
      <c r="AX177">
        <v>0</v>
      </c>
      <c r="AY177">
        <v>1</v>
      </c>
      <c r="AZ177" s="10">
        <v>1</v>
      </c>
      <c r="BA177">
        <v>0</v>
      </c>
      <c r="BB177">
        <v>0</v>
      </c>
      <c r="BC177">
        <v>0</v>
      </c>
      <c r="BD177" s="143" t="s">
        <v>666</v>
      </c>
      <c r="BG177"/>
    </row>
    <row r="178" spans="1:59" ht="14.25" customHeight="1" x14ac:dyDescent="0.25">
      <c r="A178" s="37" t="str">
        <f>LEFT(Scharniere[[#This Row],[ArtikelNR]],4)</f>
        <v>F034</v>
      </c>
      <c r="B178" s="35" t="str">
        <f>MID(Scharniere[[#This Row],[ArtikelNR]],5,3)</f>
        <v>139</v>
      </c>
      <c r="C178" s="37" t="str">
        <f>RIGHT(Scharniere[[#This Row],[ArtikelNR]],3)</f>
        <v>470</v>
      </c>
      <c r="D178" s="35">
        <f>IF(AND(Scharniere[[#This Row],[Gruppenschlüssel]]=select!$A$44,Scharniere[[#This Row],[Scharnierart]]=1)=TRUE,1,0)</f>
        <v>1</v>
      </c>
      <c r="E1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8" s="35">
        <f>IF(select!$F$57=IF(Scharniere[[#This Row],[mit Dämpfung]]=1,1,IF(Scharniere[[#This Row],[ohne Dämpfung]]=1,2,IF(Scharniere[[#This Row],[ohne Feder]]=1,3,0))),1,0)</f>
        <v>0</v>
      </c>
      <c r="G178" s="35">
        <f>IF(Scharniere[[#This Row],[Bohrbild]]=select!$V$43,1,0)</f>
        <v>0</v>
      </c>
      <c r="H178" s="35">
        <f>IF(IF(Scharniere[[#This Row],[Anschrauben]]=1,1,IF(Scharniere[[#This Row],[Einpressen]]=1,2,IF(Scharniere[[#This Row],[Quick]]=1,3,IF(Scharniere[[#This Row],[Werkzeuglos]]=1,4,0))))=select!$F$48,1,0)</f>
        <v>0</v>
      </c>
      <c r="I1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8" s="149">
        <f>IF(AND(Scharniere[[#This Row],[Scharnierart]]=2,Scharniere[[#This Row],[Gruppenschlüssel]]=select!$A$318)=TRUE,1,0)</f>
        <v>0</v>
      </c>
      <c r="K178" s="221">
        <f ca="1">IF(select!$O$424&lt;6,1,0)</f>
        <v>1</v>
      </c>
      <c r="L178" s="139">
        <f>IF(select!$A$362=IF(Scharniere[[#This Row],[mit Dämpfung]]=1,1,IF(Scharniere[[#This Row],[ohne Dämpfung]]=1,2,IF(Scharniere[[#This Row],[ohne Feder]]=1,3,0))),1,0)</f>
        <v>0</v>
      </c>
      <c r="M178" s="135">
        <f>IF(Scharniere[[#This Row],[Bohrbild]]=select!$O$334,1,0)</f>
        <v>0</v>
      </c>
      <c r="N178" s="135">
        <f>IF(IF(Scharniere[[#This Row],[Anschrauben]]=1,1,IF(Scharniere[[#This Row],[Einpressen]]=1,2,IF(Scharniere[[#This Row],[Quick]]=1,3,IF(Scharniere[[#This Row],[Werkzeuglos]]=1,4,0))))=select!$E$362,1,0)</f>
        <v>0</v>
      </c>
      <c r="O1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8" s="298">
        <f>IF(AND(Scharniere[[#This Row],[Scharnierart]]=3,Scharniere[[#This Row],[Gruppenschlüssel]]=select!$A$747)=TRUE,1,0)</f>
        <v>0</v>
      </c>
      <c r="Q178" s="298">
        <f ca="1">IF(select!$O$945&lt;6,1,0)</f>
        <v>1</v>
      </c>
      <c r="R178" s="298">
        <f>IF(select!$A$778=IF(Scharniere[[#This Row],[mit Dämpfung]]=1,1,IF(Scharniere[[#This Row],[ohne Dämpfung]]=1,2,IF(Scharniere[[#This Row],[ohne Feder]]=1,3,0))),1,0)</f>
        <v>1</v>
      </c>
      <c r="S178" s="298">
        <f>IF(Scharniere[[#This Row],[Bohrbild]]=select!$A$755,1,0)</f>
        <v>0</v>
      </c>
      <c r="T178" s="298">
        <f>IF(IF(Scharniere[[#This Row],[Anschrauben]]=1,1,IF(Scharniere[[#This Row],[Einpressen]]=1,2,IF(Scharniere[[#This Row],[Quick]]=1,3,IF(Scharniere[[#This Row],[Werkzeuglos]]=1,4,0))))=select!$A$769,1,0)</f>
        <v>0</v>
      </c>
      <c r="U1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8" s="359">
        <f>IF(AND(Scharniere[[#This Row],[Scharnierart]]=4,Scharniere[[#This Row],[Gruppenschlüssel]]=select!$A$981)=TRUE,1,0)</f>
        <v>0</v>
      </c>
      <c r="W178" s="359">
        <f ca="1">IF(select!$O$1185&lt;6,1,0)</f>
        <v>1</v>
      </c>
      <c r="X178" s="359">
        <f>IF(select!$A$1012=IF(Scharniere[[#This Row],[mit Dämpfung]]=1,1,IF(Scharniere[[#This Row],[ohne Dämpfung]]=1,2,IF(Scharniere[[#This Row],[ohne Feder]]=1,3,0))),1,0)</f>
        <v>1</v>
      </c>
      <c r="Y178" s="359">
        <f>IF(Scharniere[[#This Row],[Bohrbild]]=select!$A$989,1,0)</f>
        <v>0</v>
      </c>
      <c r="Z178" s="359">
        <f>IF(IF(Scharniere[[#This Row],[Anschrauben]]=1,1,IF(Scharniere[[#This Row],[Einpressen]]=1,2,IF(Scharniere[[#This Row],[Quick]]=1,3,IF(Scharniere[[#This Row],[Werkzeuglos]]=1,4,0))))=select!$A$1003,1,0)</f>
        <v>0</v>
      </c>
      <c r="AA1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8" s="359">
        <f ca="1">IF(select!$K$980="*",Scharniere[[#This Row],[AG Ges2]],Scharniere[[#This Row],[AG Ges1]])</f>
        <v>0</v>
      </c>
      <c r="AE178" s="451">
        <f ca="1">IF(AND(Scharniere[[#This Row],[Scharnierart]]=select!$A$1485,Scharniere[[#This Row],[Gruppenschlüssel]]=select!$B$1485)=TRUE,1,0)</f>
        <v>1</v>
      </c>
      <c r="AF178" s="451">
        <f ca="1">IF(AND(Scharniere[[#This Row],[Scharnierart]]=select!$A$1486,Scharniere[[#This Row],[Gruppenschlüssel]]=select!$B$1486)=TRUE,1,0)</f>
        <v>0</v>
      </c>
      <c r="AG178" s="451">
        <f ca="1">IF(AND(Scharniere[[#This Row],[Scharnierart]]=select!$A$1487,Scharniere[[#This Row],[Gruppenschlüssel]]=select!$B$1487)=TRUE,1,0)</f>
        <v>0</v>
      </c>
      <c r="AH178" s="451">
        <f ca="1">IF(AND(Scharniere[[#This Row],[Scharnierart]]=select!$A$1488,Scharniere[[#This Row],[Gruppenschlüssel]]=select!$B$1488)=TRUE,1,0)</f>
        <v>0</v>
      </c>
      <c r="AI178" s="451">
        <f ca="1">IF(SUM(Scharniere[[#This Row],[konf Scharnier 1]:[konf Scharnier 4]])&gt;0,1,0)</f>
        <v>1</v>
      </c>
      <c r="AJ178" s="451"/>
      <c r="AK178" s="451"/>
      <c r="AL178" s="451"/>
      <c r="AM178" s="451"/>
      <c r="AN178" s="451"/>
      <c r="AO178" s="146">
        <v>1</v>
      </c>
      <c r="AP178" s="146">
        <v>1</v>
      </c>
      <c r="AQ178" s="10" t="str">
        <f ca="1">Sprache!$A$111</f>
        <v>Tiomos Scharnier T Impresso</v>
      </c>
      <c r="AR178" t="s">
        <v>110</v>
      </c>
      <c r="AS178" t="str">
        <f ca="1">Sprache!$A$116</f>
        <v>Tiomos Impresso Scharniere</v>
      </c>
      <c r="AT178">
        <v>0</v>
      </c>
      <c r="AU178" s="34" t="s">
        <v>10</v>
      </c>
      <c r="AV178">
        <v>110</v>
      </c>
      <c r="AW178" s="10">
        <v>0</v>
      </c>
      <c r="AX178">
        <v>1</v>
      </c>
      <c r="AY178">
        <v>0</v>
      </c>
      <c r="AZ178" s="10">
        <v>0</v>
      </c>
      <c r="BA178">
        <v>0</v>
      </c>
      <c r="BB178">
        <v>0</v>
      </c>
      <c r="BC178">
        <v>1</v>
      </c>
      <c r="BD178" s="143" t="s">
        <v>165</v>
      </c>
      <c r="BG178"/>
    </row>
    <row r="179" spans="1:59" ht="14.25" customHeight="1" x14ac:dyDescent="0.25">
      <c r="A179" s="37" t="str">
        <f>LEFT(Scharniere[[#This Row],[ArtikelNR]],4)</f>
        <v>F034</v>
      </c>
      <c r="B179" s="35" t="str">
        <f>MID(Scharniere[[#This Row],[ArtikelNR]],5,3)</f>
        <v>139</v>
      </c>
      <c r="C179" s="37" t="str">
        <f>RIGHT(Scharniere[[#This Row],[ArtikelNR]],3)</f>
        <v>470</v>
      </c>
      <c r="D179" s="35">
        <f>IF(AND(Scharniere[[#This Row],[Gruppenschlüssel]]=select!$A$44,Scharniere[[#This Row],[Scharnierart]]=1)=TRUE,1,0)</f>
        <v>1</v>
      </c>
      <c r="E1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79" s="35">
        <f>IF(select!$F$57=IF(Scharniere[[#This Row],[mit Dämpfung]]=1,1,IF(Scharniere[[#This Row],[ohne Dämpfung]]=1,2,IF(Scharniere[[#This Row],[ohne Feder]]=1,3,0))),1,0)</f>
        <v>0</v>
      </c>
      <c r="G179" s="35">
        <f>IF(Scharniere[[#This Row],[Bohrbild]]=select!$V$43,1,0)</f>
        <v>0</v>
      </c>
      <c r="H179" s="35">
        <f>IF(IF(Scharniere[[#This Row],[Anschrauben]]=1,1,IF(Scharniere[[#This Row],[Einpressen]]=1,2,IF(Scharniere[[#This Row],[Quick]]=1,3,IF(Scharniere[[#This Row],[Werkzeuglos]]=1,4,0))))=select!$F$48,1,0)</f>
        <v>0</v>
      </c>
      <c r="I1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79" s="149">
        <f>IF(AND(Scharniere[[#This Row],[Scharnierart]]=2,Scharniere[[#This Row],[Gruppenschlüssel]]=select!$A$318)=TRUE,1,0)</f>
        <v>0</v>
      </c>
      <c r="K179" s="221">
        <f ca="1">IF(select!$O$424&lt;6,1,0)</f>
        <v>1</v>
      </c>
      <c r="L179" s="139">
        <f>IF(select!$A$362=IF(Scharniere[[#This Row],[mit Dämpfung]]=1,1,IF(Scharniere[[#This Row],[ohne Dämpfung]]=1,2,IF(Scharniere[[#This Row],[ohne Feder]]=1,3,0))),1,0)</f>
        <v>0</v>
      </c>
      <c r="M179" s="135">
        <f>IF(Scharniere[[#This Row],[Bohrbild]]=select!$O$334,1,0)</f>
        <v>0</v>
      </c>
      <c r="N179" s="135">
        <f>IF(IF(Scharniere[[#This Row],[Anschrauben]]=1,1,IF(Scharniere[[#This Row],[Einpressen]]=1,2,IF(Scharniere[[#This Row],[Quick]]=1,3,IF(Scharniere[[#This Row],[Werkzeuglos]]=1,4,0))))=select!$E$362,1,0)</f>
        <v>0</v>
      </c>
      <c r="O1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79" s="298">
        <f>IF(AND(Scharniere[[#This Row],[Scharnierart]]=3,Scharniere[[#This Row],[Gruppenschlüssel]]=select!$A$747)=TRUE,1,0)</f>
        <v>0</v>
      </c>
      <c r="Q179" s="298">
        <f ca="1">IF(select!$O$945&lt;6,1,0)</f>
        <v>1</v>
      </c>
      <c r="R179" s="298">
        <f>IF(select!$A$778=IF(Scharniere[[#This Row],[mit Dämpfung]]=1,1,IF(Scharniere[[#This Row],[ohne Dämpfung]]=1,2,IF(Scharniere[[#This Row],[ohne Feder]]=1,3,0))),1,0)</f>
        <v>1</v>
      </c>
      <c r="S179" s="298">
        <f>IF(Scharniere[[#This Row],[Bohrbild]]=select!$A$755,1,0)</f>
        <v>0</v>
      </c>
      <c r="T179" s="298">
        <f>IF(IF(Scharniere[[#This Row],[Anschrauben]]=1,1,IF(Scharniere[[#This Row],[Einpressen]]=1,2,IF(Scharniere[[#This Row],[Quick]]=1,3,IF(Scharniere[[#This Row],[Werkzeuglos]]=1,4,0))))=select!$A$769,1,0)</f>
        <v>0</v>
      </c>
      <c r="U1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79" s="359">
        <f>IF(AND(Scharniere[[#This Row],[Scharnierart]]=4,Scharniere[[#This Row],[Gruppenschlüssel]]=select!$A$981)=TRUE,1,0)</f>
        <v>0</v>
      </c>
      <c r="W179" s="359">
        <f ca="1">IF(select!$O$1185&lt;6,1,0)</f>
        <v>1</v>
      </c>
      <c r="X179" s="359">
        <f>IF(select!$A$1012=IF(Scharniere[[#This Row],[mit Dämpfung]]=1,1,IF(Scharniere[[#This Row],[ohne Dämpfung]]=1,2,IF(Scharniere[[#This Row],[ohne Feder]]=1,3,0))),1,0)</f>
        <v>1</v>
      </c>
      <c r="Y179" s="359">
        <f>IF(Scharniere[[#This Row],[Bohrbild]]=select!$A$989,1,0)</f>
        <v>0</v>
      </c>
      <c r="Z179" s="359">
        <f>IF(IF(Scharniere[[#This Row],[Anschrauben]]=1,1,IF(Scharniere[[#This Row],[Einpressen]]=1,2,IF(Scharniere[[#This Row],[Quick]]=1,3,IF(Scharniere[[#This Row],[Werkzeuglos]]=1,4,0))))=select!$A$1003,1,0)</f>
        <v>0</v>
      </c>
      <c r="AA1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79" s="359">
        <f ca="1">IF(select!$K$980="*",Scharniere[[#This Row],[AG Ges2]],Scharniere[[#This Row],[AG Ges1]])</f>
        <v>0</v>
      </c>
      <c r="AE179" s="451">
        <f ca="1">IF(AND(Scharniere[[#This Row],[Scharnierart]]=select!$A$1485,Scharniere[[#This Row],[Gruppenschlüssel]]=select!$B$1485)=TRUE,1,0)</f>
        <v>1</v>
      </c>
      <c r="AF179" s="451">
        <f ca="1">IF(AND(Scharniere[[#This Row],[Scharnierart]]=select!$A$1486,Scharniere[[#This Row],[Gruppenschlüssel]]=select!$B$1486)=TRUE,1,0)</f>
        <v>0</v>
      </c>
      <c r="AG179" s="451">
        <f ca="1">IF(AND(Scharniere[[#This Row],[Scharnierart]]=select!$A$1487,Scharniere[[#This Row],[Gruppenschlüssel]]=select!$B$1487)=TRUE,1,0)</f>
        <v>0</v>
      </c>
      <c r="AH179" s="451">
        <f ca="1">IF(AND(Scharniere[[#This Row],[Scharnierart]]=select!$A$1488,Scharniere[[#This Row],[Gruppenschlüssel]]=select!$B$1488)=TRUE,1,0)</f>
        <v>0</v>
      </c>
      <c r="AI179" s="451">
        <f ca="1">IF(SUM(Scharniere[[#This Row],[konf Scharnier 1]:[konf Scharnier 4]])&gt;0,1,0)</f>
        <v>1</v>
      </c>
      <c r="AJ179" s="451"/>
      <c r="AK179" s="451"/>
      <c r="AL179" s="451"/>
      <c r="AM179" s="451"/>
      <c r="AN179" s="451"/>
      <c r="AO179" s="146">
        <v>1</v>
      </c>
      <c r="AP179" s="146">
        <v>1</v>
      </c>
      <c r="AQ179" s="10" t="str">
        <f ca="1">Sprache!$A$111</f>
        <v>Tiomos Scharnier T Impresso</v>
      </c>
      <c r="AR179" t="s">
        <v>110</v>
      </c>
      <c r="AS179" t="str">
        <f ca="1">Sprache!$A$116</f>
        <v>Tiomos Impresso Scharniere</v>
      </c>
      <c r="AT179">
        <v>0</v>
      </c>
      <c r="AU179" t="s">
        <v>11</v>
      </c>
      <c r="AV179">
        <v>110</v>
      </c>
      <c r="AW179" s="10">
        <v>0</v>
      </c>
      <c r="AX179">
        <v>1</v>
      </c>
      <c r="AY179">
        <v>0</v>
      </c>
      <c r="AZ179" s="10">
        <v>0</v>
      </c>
      <c r="BA179">
        <v>0</v>
      </c>
      <c r="BB179">
        <v>0</v>
      </c>
      <c r="BC179">
        <v>1</v>
      </c>
      <c r="BD179" s="143" t="s">
        <v>165</v>
      </c>
      <c r="BG179"/>
    </row>
    <row r="180" spans="1:59" ht="14.25" customHeight="1" x14ac:dyDescent="0.25">
      <c r="A180" s="37" t="str">
        <f>LEFT(Scharniere[[#This Row],[ArtikelNR]],4)</f>
        <v>F017</v>
      </c>
      <c r="B180" s="35" t="str">
        <f>MID(Scharniere[[#This Row],[ArtikelNR]],5,3)</f>
        <v>139</v>
      </c>
      <c r="C180" s="37" t="str">
        <f>RIGHT(Scharniere[[#This Row],[ArtikelNR]],3)</f>
        <v>499</v>
      </c>
      <c r="D180" s="35">
        <f>IF(AND(Scharniere[[#This Row],[Gruppenschlüssel]]=select!$A$44,Scharniere[[#This Row],[Scharnierart]]=1)=TRUE,1,0)</f>
        <v>1</v>
      </c>
      <c r="E1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0" s="35">
        <f>IF(select!$F$57=IF(Scharniere[[#This Row],[mit Dämpfung]]=1,1,IF(Scharniere[[#This Row],[ohne Dämpfung]]=1,2,IF(Scharniere[[#This Row],[ohne Feder]]=1,3,0))),1,0)</f>
        <v>0</v>
      </c>
      <c r="G180" s="35">
        <f>IF(Scharniere[[#This Row],[Bohrbild]]=select!$V$43,1,0)</f>
        <v>0</v>
      </c>
      <c r="H180" s="35">
        <f>IF(IF(Scharniere[[#This Row],[Anschrauben]]=1,1,IF(Scharniere[[#This Row],[Einpressen]]=1,2,IF(Scharniere[[#This Row],[Quick]]=1,3,IF(Scharniere[[#This Row],[Werkzeuglos]]=1,4,0))))=select!$F$48,1,0)</f>
        <v>0</v>
      </c>
      <c r="I1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0" s="149">
        <f>IF(AND(Scharniere[[#This Row],[Scharnierart]]=2,Scharniere[[#This Row],[Gruppenschlüssel]]=select!$A$318)=TRUE,1,0)</f>
        <v>0</v>
      </c>
      <c r="K180" s="221">
        <f ca="1">IF(select!$O$424&lt;6,1,0)</f>
        <v>1</v>
      </c>
      <c r="L180" s="139">
        <f>IF(select!$A$362=IF(Scharniere[[#This Row],[mit Dämpfung]]=1,1,IF(Scharniere[[#This Row],[ohne Dämpfung]]=1,2,IF(Scharniere[[#This Row],[ohne Feder]]=1,3,0))),1,0)</f>
        <v>1</v>
      </c>
      <c r="M180" s="135">
        <f>IF(Scharniere[[#This Row],[Bohrbild]]=select!$O$334,1,0)</f>
        <v>0</v>
      </c>
      <c r="N180" s="135">
        <f>IF(IF(Scharniere[[#This Row],[Anschrauben]]=1,1,IF(Scharniere[[#This Row],[Einpressen]]=1,2,IF(Scharniere[[#This Row],[Quick]]=1,3,IF(Scharniere[[#This Row],[Werkzeuglos]]=1,4,0))))=select!$E$362,1,0)</f>
        <v>0</v>
      </c>
      <c r="O1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0" s="298">
        <f>IF(AND(Scharniere[[#This Row],[Scharnierart]]=3,Scharniere[[#This Row],[Gruppenschlüssel]]=select!$A$747)=TRUE,1,0)</f>
        <v>0</v>
      </c>
      <c r="Q180" s="298">
        <f ca="1">IF(select!$O$945&lt;6,1,0)</f>
        <v>1</v>
      </c>
      <c r="R180" s="298">
        <f>IF(select!$A$778=IF(Scharniere[[#This Row],[mit Dämpfung]]=1,1,IF(Scharniere[[#This Row],[ohne Dämpfung]]=1,2,IF(Scharniere[[#This Row],[ohne Feder]]=1,3,0))),1,0)</f>
        <v>0</v>
      </c>
      <c r="S180" s="298">
        <f>IF(Scharniere[[#This Row],[Bohrbild]]=select!$A$755,1,0)</f>
        <v>0</v>
      </c>
      <c r="T180" s="298">
        <f>IF(IF(Scharniere[[#This Row],[Anschrauben]]=1,1,IF(Scharniere[[#This Row],[Einpressen]]=1,2,IF(Scharniere[[#This Row],[Quick]]=1,3,IF(Scharniere[[#This Row],[Werkzeuglos]]=1,4,0))))=select!$A$769,1,0)</f>
        <v>0</v>
      </c>
      <c r="U1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0" s="359">
        <f>IF(AND(Scharniere[[#This Row],[Scharnierart]]=4,Scharniere[[#This Row],[Gruppenschlüssel]]=select!$A$981)=TRUE,1,0)</f>
        <v>0</v>
      </c>
      <c r="W180" s="359">
        <f ca="1">IF(select!$O$1185&lt;6,1,0)</f>
        <v>1</v>
      </c>
      <c r="X180" s="359">
        <f>IF(select!$A$1012=IF(Scharniere[[#This Row],[mit Dämpfung]]=1,1,IF(Scharniere[[#This Row],[ohne Dämpfung]]=1,2,IF(Scharniere[[#This Row],[ohne Feder]]=1,3,0))),1,0)</f>
        <v>0</v>
      </c>
      <c r="Y180" s="359">
        <f>IF(Scharniere[[#This Row],[Bohrbild]]=select!$A$989,1,0)</f>
        <v>0</v>
      </c>
      <c r="Z180" s="359">
        <f>IF(IF(Scharniere[[#This Row],[Anschrauben]]=1,1,IF(Scharniere[[#This Row],[Einpressen]]=1,2,IF(Scharniere[[#This Row],[Quick]]=1,3,IF(Scharniere[[#This Row],[Werkzeuglos]]=1,4,0))))=select!$A$1003,1,0)</f>
        <v>0</v>
      </c>
      <c r="AA1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0" s="359">
        <f ca="1">IF(select!$K$980="*",Scharniere[[#This Row],[AG Ges2]],Scharniere[[#This Row],[AG Ges1]])</f>
        <v>0</v>
      </c>
      <c r="AE180" s="451">
        <f ca="1">IF(AND(Scharniere[[#This Row],[Scharnierart]]=select!$A$1485,Scharniere[[#This Row],[Gruppenschlüssel]]=select!$B$1485)=TRUE,1,0)</f>
        <v>1</v>
      </c>
      <c r="AF180" s="451">
        <f ca="1">IF(AND(Scharniere[[#This Row],[Scharnierart]]=select!$A$1486,Scharniere[[#This Row],[Gruppenschlüssel]]=select!$B$1486)=TRUE,1,0)</f>
        <v>0</v>
      </c>
      <c r="AG180" s="451">
        <f ca="1">IF(AND(Scharniere[[#This Row],[Scharnierart]]=select!$A$1487,Scharniere[[#This Row],[Gruppenschlüssel]]=select!$B$1487)=TRUE,1,0)</f>
        <v>0</v>
      </c>
      <c r="AH180" s="451">
        <f ca="1">IF(AND(Scharniere[[#This Row],[Scharnierart]]=select!$A$1488,Scharniere[[#This Row],[Gruppenschlüssel]]=select!$B$1488)=TRUE,1,0)</f>
        <v>0</v>
      </c>
      <c r="AI180" s="451">
        <f ca="1">IF(SUM(Scharniere[[#This Row],[konf Scharnier 1]:[konf Scharnier 4]])&gt;0,1,0)</f>
        <v>1</v>
      </c>
      <c r="AJ180" s="451"/>
      <c r="AK180" s="451"/>
      <c r="AL180" s="451"/>
      <c r="AM180" s="451"/>
      <c r="AN180" s="451"/>
      <c r="AO180" s="146">
        <v>1</v>
      </c>
      <c r="AP180" s="146">
        <v>1</v>
      </c>
      <c r="AQ180" s="10" t="str">
        <f ca="1">Sprache!$A$113</f>
        <v>Tiomos Scharnier TS Impresso</v>
      </c>
      <c r="AR180" t="s">
        <v>110</v>
      </c>
      <c r="AS180" t="str">
        <f ca="1">Sprache!$A$116</f>
        <v>Tiomos Impresso Scharniere</v>
      </c>
      <c r="AT180">
        <v>0</v>
      </c>
      <c r="AU180" s="34" t="s">
        <v>10</v>
      </c>
      <c r="AV180">
        <v>110</v>
      </c>
      <c r="AW180" s="10">
        <v>1</v>
      </c>
      <c r="AX180">
        <v>0</v>
      </c>
      <c r="AY180">
        <v>0</v>
      </c>
      <c r="AZ180" s="10">
        <v>0</v>
      </c>
      <c r="BA180">
        <v>0</v>
      </c>
      <c r="BB180">
        <v>0</v>
      </c>
      <c r="BC180">
        <v>1</v>
      </c>
      <c r="BD180" s="143" t="s">
        <v>109</v>
      </c>
      <c r="BG180"/>
    </row>
    <row r="181" spans="1:59" ht="14.25" customHeight="1" x14ac:dyDescent="0.25">
      <c r="A181" s="37" t="str">
        <f>LEFT(Scharniere[[#This Row],[ArtikelNR]],4)</f>
        <v>F017</v>
      </c>
      <c r="B181" s="35" t="str">
        <f>MID(Scharniere[[#This Row],[ArtikelNR]],5,3)</f>
        <v>139</v>
      </c>
      <c r="C181" s="37" t="str">
        <f>RIGHT(Scharniere[[#This Row],[ArtikelNR]],3)</f>
        <v>499</v>
      </c>
      <c r="D181" s="35">
        <f>IF(AND(Scharniere[[#This Row],[Gruppenschlüssel]]=select!$A$44,Scharniere[[#This Row],[Scharnierart]]=1)=TRUE,1,0)</f>
        <v>1</v>
      </c>
      <c r="E1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1" s="35">
        <f>IF(select!$F$57=IF(Scharniere[[#This Row],[mit Dämpfung]]=1,1,IF(Scharniere[[#This Row],[ohne Dämpfung]]=1,2,IF(Scharniere[[#This Row],[ohne Feder]]=1,3,0))),1,0)</f>
        <v>0</v>
      </c>
      <c r="G181" s="35">
        <f>IF(Scharniere[[#This Row],[Bohrbild]]=select!$V$43,1,0)</f>
        <v>0</v>
      </c>
      <c r="H181" s="35">
        <f>IF(IF(Scharniere[[#This Row],[Anschrauben]]=1,1,IF(Scharniere[[#This Row],[Einpressen]]=1,2,IF(Scharniere[[#This Row],[Quick]]=1,3,IF(Scharniere[[#This Row],[Werkzeuglos]]=1,4,0))))=select!$F$48,1,0)</f>
        <v>0</v>
      </c>
      <c r="I1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1" s="149">
        <f>IF(AND(Scharniere[[#This Row],[Scharnierart]]=2,Scharniere[[#This Row],[Gruppenschlüssel]]=select!$A$318)=TRUE,1,0)</f>
        <v>0</v>
      </c>
      <c r="K181" s="221">
        <f ca="1">IF(select!$O$424&lt;6,1,0)</f>
        <v>1</v>
      </c>
      <c r="L181" s="139">
        <f>IF(select!$A$362=IF(Scharniere[[#This Row],[mit Dämpfung]]=1,1,IF(Scharniere[[#This Row],[ohne Dämpfung]]=1,2,IF(Scharniere[[#This Row],[ohne Feder]]=1,3,0))),1,0)</f>
        <v>1</v>
      </c>
      <c r="M181" s="135">
        <f>IF(Scharniere[[#This Row],[Bohrbild]]=select!$O$334,1,0)</f>
        <v>0</v>
      </c>
      <c r="N181" s="135">
        <f>IF(IF(Scharniere[[#This Row],[Anschrauben]]=1,1,IF(Scharniere[[#This Row],[Einpressen]]=1,2,IF(Scharniere[[#This Row],[Quick]]=1,3,IF(Scharniere[[#This Row],[Werkzeuglos]]=1,4,0))))=select!$E$362,1,0)</f>
        <v>0</v>
      </c>
      <c r="O1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1" s="298">
        <f>IF(AND(Scharniere[[#This Row],[Scharnierart]]=3,Scharniere[[#This Row],[Gruppenschlüssel]]=select!$A$747)=TRUE,1,0)</f>
        <v>0</v>
      </c>
      <c r="Q181" s="298">
        <f ca="1">IF(select!$O$945&lt;6,1,0)</f>
        <v>1</v>
      </c>
      <c r="R181" s="298">
        <f>IF(select!$A$778=IF(Scharniere[[#This Row],[mit Dämpfung]]=1,1,IF(Scharniere[[#This Row],[ohne Dämpfung]]=1,2,IF(Scharniere[[#This Row],[ohne Feder]]=1,3,0))),1,0)</f>
        <v>0</v>
      </c>
      <c r="S181" s="298">
        <f>IF(Scharniere[[#This Row],[Bohrbild]]=select!$A$755,1,0)</f>
        <v>0</v>
      </c>
      <c r="T181" s="298">
        <f>IF(IF(Scharniere[[#This Row],[Anschrauben]]=1,1,IF(Scharniere[[#This Row],[Einpressen]]=1,2,IF(Scharniere[[#This Row],[Quick]]=1,3,IF(Scharniere[[#This Row],[Werkzeuglos]]=1,4,0))))=select!$A$769,1,0)</f>
        <v>0</v>
      </c>
      <c r="U1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1" s="359">
        <f>IF(AND(Scharniere[[#This Row],[Scharnierart]]=4,Scharniere[[#This Row],[Gruppenschlüssel]]=select!$A$981)=TRUE,1,0)</f>
        <v>0</v>
      </c>
      <c r="W181" s="359">
        <f ca="1">IF(select!$O$1185&lt;6,1,0)</f>
        <v>1</v>
      </c>
      <c r="X181" s="359">
        <f>IF(select!$A$1012=IF(Scharniere[[#This Row],[mit Dämpfung]]=1,1,IF(Scharniere[[#This Row],[ohne Dämpfung]]=1,2,IF(Scharniere[[#This Row],[ohne Feder]]=1,3,0))),1,0)</f>
        <v>0</v>
      </c>
      <c r="Y181" s="359">
        <f>IF(Scharniere[[#This Row],[Bohrbild]]=select!$A$989,1,0)</f>
        <v>0</v>
      </c>
      <c r="Z181" s="359">
        <f>IF(IF(Scharniere[[#This Row],[Anschrauben]]=1,1,IF(Scharniere[[#This Row],[Einpressen]]=1,2,IF(Scharniere[[#This Row],[Quick]]=1,3,IF(Scharniere[[#This Row],[Werkzeuglos]]=1,4,0))))=select!$A$1003,1,0)</f>
        <v>0</v>
      </c>
      <c r="AA1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1" s="359">
        <f ca="1">IF(select!$K$980="*",Scharniere[[#This Row],[AG Ges2]],Scharniere[[#This Row],[AG Ges1]])</f>
        <v>0</v>
      </c>
      <c r="AE181" s="451">
        <f ca="1">IF(AND(Scharniere[[#This Row],[Scharnierart]]=select!$A$1485,Scharniere[[#This Row],[Gruppenschlüssel]]=select!$B$1485)=TRUE,1,0)</f>
        <v>1</v>
      </c>
      <c r="AF181" s="451">
        <f ca="1">IF(AND(Scharniere[[#This Row],[Scharnierart]]=select!$A$1486,Scharniere[[#This Row],[Gruppenschlüssel]]=select!$B$1486)=TRUE,1,0)</f>
        <v>0</v>
      </c>
      <c r="AG181" s="451">
        <f ca="1">IF(AND(Scharniere[[#This Row],[Scharnierart]]=select!$A$1487,Scharniere[[#This Row],[Gruppenschlüssel]]=select!$B$1487)=TRUE,1,0)</f>
        <v>0</v>
      </c>
      <c r="AH181" s="451">
        <f ca="1">IF(AND(Scharniere[[#This Row],[Scharnierart]]=select!$A$1488,Scharniere[[#This Row],[Gruppenschlüssel]]=select!$B$1488)=TRUE,1,0)</f>
        <v>0</v>
      </c>
      <c r="AI181" s="451">
        <f ca="1">IF(SUM(Scharniere[[#This Row],[konf Scharnier 1]:[konf Scharnier 4]])&gt;0,1,0)</f>
        <v>1</v>
      </c>
      <c r="AJ181" s="451"/>
      <c r="AK181" s="451"/>
      <c r="AL181" s="451"/>
      <c r="AM181" s="451"/>
      <c r="AN181" s="451"/>
      <c r="AO181" s="146">
        <v>1</v>
      </c>
      <c r="AP181" s="146">
        <v>1</v>
      </c>
      <c r="AQ181" s="10" t="str">
        <f ca="1">Sprache!$A$113</f>
        <v>Tiomos Scharnier TS Impresso</v>
      </c>
      <c r="AR181" t="s">
        <v>110</v>
      </c>
      <c r="AS181" t="str">
        <f ca="1">Sprache!$A$116</f>
        <v>Tiomos Impresso Scharniere</v>
      </c>
      <c r="AT181">
        <v>0</v>
      </c>
      <c r="AU181" s="34" t="s">
        <v>11</v>
      </c>
      <c r="AV181">
        <v>110</v>
      </c>
      <c r="AW181" s="10">
        <v>1</v>
      </c>
      <c r="AX181">
        <v>0</v>
      </c>
      <c r="AY181">
        <v>0</v>
      </c>
      <c r="AZ181" s="10">
        <v>0</v>
      </c>
      <c r="BA181">
        <v>0</v>
      </c>
      <c r="BB181">
        <v>0</v>
      </c>
      <c r="BC181">
        <v>1</v>
      </c>
      <c r="BD181" s="143" t="s">
        <v>109</v>
      </c>
      <c r="BG181"/>
    </row>
    <row r="182" spans="1:59" ht="14.25" customHeight="1" x14ac:dyDescent="0.25">
      <c r="A182" s="37" t="str">
        <f>LEFT(Scharniere[[#This Row],[ArtikelNR]],4)</f>
        <v>F035</v>
      </c>
      <c r="B182" s="35" t="str">
        <f>MID(Scharniere[[#This Row],[ArtikelNR]],5,3)</f>
        <v>139</v>
      </c>
      <c r="C182" s="37" t="str">
        <f>RIGHT(Scharniere[[#This Row],[ArtikelNR]],3)</f>
        <v>527</v>
      </c>
      <c r="D182" s="35">
        <f>IF(AND(Scharniere[[#This Row],[Gruppenschlüssel]]=select!$A$44,Scharniere[[#This Row],[Scharnierart]]=1)=TRUE,1,0)</f>
        <v>1</v>
      </c>
      <c r="E1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2" s="35">
        <f>IF(select!$F$57=IF(Scharniere[[#This Row],[mit Dämpfung]]=1,1,IF(Scharniere[[#This Row],[ohne Dämpfung]]=1,2,IF(Scharniere[[#This Row],[ohne Feder]]=1,3,0))),1,0)</f>
        <v>1</v>
      </c>
      <c r="G182" s="35">
        <f>IF(Scharniere[[#This Row],[Bohrbild]]=select!$V$43,1,0)</f>
        <v>0</v>
      </c>
      <c r="H182" s="35">
        <f>IF(IF(Scharniere[[#This Row],[Anschrauben]]=1,1,IF(Scharniere[[#This Row],[Einpressen]]=1,2,IF(Scharniere[[#This Row],[Quick]]=1,3,IF(Scharniere[[#This Row],[Werkzeuglos]]=1,4,0))))=select!$F$48,1,0)</f>
        <v>0</v>
      </c>
      <c r="I1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2" s="149">
        <f>IF(AND(Scharniere[[#This Row],[Scharnierart]]=2,Scharniere[[#This Row],[Gruppenschlüssel]]=select!$A$318)=TRUE,1,0)</f>
        <v>0</v>
      </c>
      <c r="K182" s="221">
        <f ca="1">IF(select!$O$424&lt;6,1,0)</f>
        <v>1</v>
      </c>
      <c r="L182" s="139">
        <f>IF(select!$A$362=IF(Scharniere[[#This Row],[mit Dämpfung]]=1,1,IF(Scharniere[[#This Row],[ohne Dämpfung]]=1,2,IF(Scharniere[[#This Row],[ohne Feder]]=1,3,0))),1,0)</f>
        <v>0</v>
      </c>
      <c r="M182" s="135">
        <f>IF(Scharniere[[#This Row],[Bohrbild]]=select!$O$334,1,0)</f>
        <v>0</v>
      </c>
      <c r="N182" s="135">
        <f>IF(IF(Scharniere[[#This Row],[Anschrauben]]=1,1,IF(Scharniere[[#This Row],[Einpressen]]=1,2,IF(Scharniere[[#This Row],[Quick]]=1,3,IF(Scharniere[[#This Row],[Werkzeuglos]]=1,4,0))))=select!$E$362,1,0)</f>
        <v>0</v>
      </c>
      <c r="O1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2" s="298">
        <f>IF(AND(Scharniere[[#This Row],[Scharnierart]]=3,Scharniere[[#This Row],[Gruppenschlüssel]]=select!$A$747)=TRUE,1,0)</f>
        <v>0</v>
      </c>
      <c r="Q182" s="298">
        <f ca="1">IF(select!$O$945&lt;6,1,0)</f>
        <v>1</v>
      </c>
      <c r="R182" s="298">
        <f>IF(select!$A$778=IF(Scharniere[[#This Row],[mit Dämpfung]]=1,1,IF(Scharniere[[#This Row],[ohne Dämpfung]]=1,2,IF(Scharniere[[#This Row],[ohne Feder]]=1,3,0))),1,0)</f>
        <v>0</v>
      </c>
      <c r="S182" s="298">
        <f>IF(Scharniere[[#This Row],[Bohrbild]]=select!$A$755,1,0)</f>
        <v>0</v>
      </c>
      <c r="T182" s="298">
        <f>IF(IF(Scharniere[[#This Row],[Anschrauben]]=1,1,IF(Scharniere[[#This Row],[Einpressen]]=1,2,IF(Scharniere[[#This Row],[Quick]]=1,3,IF(Scharniere[[#This Row],[Werkzeuglos]]=1,4,0))))=select!$A$769,1,0)</f>
        <v>0</v>
      </c>
      <c r="U1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2" s="359">
        <f>IF(AND(Scharniere[[#This Row],[Scharnierart]]=4,Scharniere[[#This Row],[Gruppenschlüssel]]=select!$A$981)=TRUE,1,0)</f>
        <v>0</v>
      </c>
      <c r="W182" s="359">
        <f ca="1">IF(select!$O$1185&lt;6,1,0)</f>
        <v>1</v>
      </c>
      <c r="X182" s="359">
        <f>IF(select!$A$1012=IF(Scharniere[[#This Row],[mit Dämpfung]]=1,1,IF(Scharniere[[#This Row],[ohne Dämpfung]]=1,2,IF(Scharniere[[#This Row],[ohne Feder]]=1,3,0))),1,0)</f>
        <v>0</v>
      </c>
      <c r="Y182" s="359">
        <f>IF(Scharniere[[#This Row],[Bohrbild]]=select!$A$989,1,0)</f>
        <v>0</v>
      </c>
      <c r="Z182" s="359">
        <f>IF(IF(Scharniere[[#This Row],[Anschrauben]]=1,1,IF(Scharniere[[#This Row],[Einpressen]]=1,2,IF(Scharniere[[#This Row],[Quick]]=1,3,IF(Scharniere[[#This Row],[Werkzeuglos]]=1,4,0))))=select!$A$1003,1,0)</f>
        <v>0</v>
      </c>
      <c r="AA1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2" s="359">
        <f ca="1">IF(select!$K$980="*",Scharniere[[#This Row],[AG Ges2]],Scharniere[[#This Row],[AG Ges1]])</f>
        <v>0</v>
      </c>
      <c r="AE182" s="451">
        <f ca="1">IF(AND(Scharniere[[#This Row],[Scharnierart]]=select!$A$1485,Scharniere[[#This Row],[Gruppenschlüssel]]=select!$B$1485)=TRUE,1,0)</f>
        <v>1</v>
      </c>
      <c r="AF182" s="451">
        <f ca="1">IF(AND(Scharniere[[#This Row],[Scharnierart]]=select!$A$1486,Scharniere[[#This Row],[Gruppenschlüssel]]=select!$B$1486)=TRUE,1,0)</f>
        <v>0</v>
      </c>
      <c r="AG182" s="451">
        <f ca="1">IF(AND(Scharniere[[#This Row],[Scharnierart]]=select!$A$1487,Scharniere[[#This Row],[Gruppenschlüssel]]=select!$B$1487)=TRUE,1,0)</f>
        <v>0</v>
      </c>
      <c r="AH182" s="451">
        <f ca="1">IF(AND(Scharniere[[#This Row],[Scharnierart]]=select!$A$1488,Scharniere[[#This Row],[Gruppenschlüssel]]=select!$B$1488)=TRUE,1,0)</f>
        <v>0</v>
      </c>
      <c r="AI182" s="451">
        <f ca="1">IF(SUM(Scharniere[[#This Row],[konf Scharnier 1]:[konf Scharnier 4]])&gt;0,1,0)</f>
        <v>1</v>
      </c>
      <c r="AJ182" s="451"/>
      <c r="AK182" s="451"/>
      <c r="AL182" s="451"/>
      <c r="AM182" s="451"/>
      <c r="AN182" s="451"/>
      <c r="AO182" s="146">
        <v>1</v>
      </c>
      <c r="AP182" s="146">
        <v>1</v>
      </c>
      <c r="AQ182" s="10" t="str">
        <f ca="1">Sprache!$A$115</f>
        <v>Tiomos Scharnier TT Impresso</v>
      </c>
      <c r="AR182" t="s">
        <v>110</v>
      </c>
      <c r="AS182" t="str">
        <f ca="1">Sprache!$A$116</f>
        <v>Tiomos Impresso Scharniere</v>
      </c>
      <c r="AT182">
        <v>0</v>
      </c>
      <c r="AU182" s="34" t="s">
        <v>10</v>
      </c>
      <c r="AV182">
        <v>110</v>
      </c>
      <c r="AW182" s="10">
        <v>0</v>
      </c>
      <c r="AX182">
        <v>0</v>
      </c>
      <c r="AY182">
        <v>1</v>
      </c>
      <c r="AZ182" s="10">
        <v>0</v>
      </c>
      <c r="BA182">
        <v>0</v>
      </c>
      <c r="BB182">
        <v>0</v>
      </c>
      <c r="BC182">
        <v>1</v>
      </c>
      <c r="BD182" s="143" t="s">
        <v>209</v>
      </c>
      <c r="BG182"/>
    </row>
    <row r="183" spans="1:59" ht="14.25" customHeight="1" x14ac:dyDescent="0.25">
      <c r="A183" s="37" t="str">
        <f>LEFT(Scharniere[[#This Row],[ArtikelNR]],4)</f>
        <v>F035</v>
      </c>
      <c r="B183" s="35" t="str">
        <f>MID(Scharniere[[#This Row],[ArtikelNR]],5,3)</f>
        <v>139</v>
      </c>
      <c r="C183" s="37" t="str">
        <f>RIGHT(Scharniere[[#This Row],[ArtikelNR]],3)</f>
        <v>527</v>
      </c>
      <c r="D183" s="35">
        <f>IF(AND(Scharniere[[#This Row],[Gruppenschlüssel]]=select!$A$44,Scharniere[[#This Row],[Scharnierart]]=1)=TRUE,1,0)</f>
        <v>1</v>
      </c>
      <c r="E1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3" s="35">
        <f>IF(select!$F$57=IF(Scharniere[[#This Row],[mit Dämpfung]]=1,1,IF(Scharniere[[#This Row],[ohne Dämpfung]]=1,2,IF(Scharniere[[#This Row],[ohne Feder]]=1,3,0))),1,0)</f>
        <v>1</v>
      </c>
      <c r="G183" s="35">
        <f>IF(Scharniere[[#This Row],[Bohrbild]]=select!$V$43,1,0)</f>
        <v>0</v>
      </c>
      <c r="H183" s="35">
        <f>IF(IF(Scharniere[[#This Row],[Anschrauben]]=1,1,IF(Scharniere[[#This Row],[Einpressen]]=1,2,IF(Scharniere[[#This Row],[Quick]]=1,3,IF(Scharniere[[#This Row],[Werkzeuglos]]=1,4,0))))=select!$F$48,1,0)</f>
        <v>0</v>
      </c>
      <c r="I1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3" s="149">
        <f>IF(AND(Scharniere[[#This Row],[Scharnierart]]=2,Scharniere[[#This Row],[Gruppenschlüssel]]=select!$A$318)=TRUE,1,0)</f>
        <v>0</v>
      </c>
      <c r="K183" s="221">
        <f ca="1">IF(select!$O$424&lt;6,1,0)</f>
        <v>1</v>
      </c>
      <c r="L183" s="139">
        <f>IF(select!$A$362=IF(Scharniere[[#This Row],[mit Dämpfung]]=1,1,IF(Scharniere[[#This Row],[ohne Dämpfung]]=1,2,IF(Scharniere[[#This Row],[ohne Feder]]=1,3,0))),1,0)</f>
        <v>0</v>
      </c>
      <c r="M183" s="135">
        <f>IF(Scharniere[[#This Row],[Bohrbild]]=select!$O$334,1,0)</f>
        <v>0</v>
      </c>
      <c r="N183" s="135">
        <f>IF(IF(Scharniere[[#This Row],[Anschrauben]]=1,1,IF(Scharniere[[#This Row],[Einpressen]]=1,2,IF(Scharniere[[#This Row],[Quick]]=1,3,IF(Scharniere[[#This Row],[Werkzeuglos]]=1,4,0))))=select!$E$362,1,0)</f>
        <v>0</v>
      </c>
      <c r="O1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3" s="298">
        <f>IF(AND(Scharniere[[#This Row],[Scharnierart]]=3,Scharniere[[#This Row],[Gruppenschlüssel]]=select!$A$747)=TRUE,1,0)</f>
        <v>0</v>
      </c>
      <c r="Q183" s="298">
        <f ca="1">IF(select!$O$945&lt;6,1,0)</f>
        <v>1</v>
      </c>
      <c r="R183" s="298">
        <f>IF(select!$A$778=IF(Scharniere[[#This Row],[mit Dämpfung]]=1,1,IF(Scharniere[[#This Row],[ohne Dämpfung]]=1,2,IF(Scharniere[[#This Row],[ohne Feder]]=1,3,0))),1,0)</f>
        <v>0</v>
      </c>
      <c r="S183" s="298">
        <f>IF(Scharniere[[#This Row],[Bohrbild]]=select!$A$755,1,0)</f>
        <v>0</v>
      </c>
      <c r="T183" s="298">
        <f>IF(IF(Scharniere[[#This Row],[Anschrauben]]=1,1,IF(Scharniere[[#This Row],[Einpressen]]=1,2,IF(Scharniere[[#This Row],[Quick]]=1,3,IF(Scharniere[[#This Row],[Werkzeuglos]]=1,4,0))))=select!$A$769,1,0)</f>
        <v>0</v>
      </c>
      <c r="U1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3" s="359">
        <f>IF(AND(Scharniere[[#This Row],[Scharnierart]]=4,Scharniere[[#This Row],[Gruppenschlüssel]]=select!$A$981)=TRUE,1,0)</f>
        <v>0</v>
      </c>
      <c r="W183" s="359">
        <f ca="1">IF(select!$O$1185&lt;6,1,0)</f>
        <v>1</v>
      </c>
      <c r="X183" s="359">
        <f>IF(select!$A$1012=IF(Scharniere[[#This Row],[mit Dämpfung]]=1,1,IF(Scharniere[[#This Row],[ohne Dämpfung]]=1,2,IF(Scharniere[[#This Row],[ohne Feder]]=1,3,0))),1,0)</f>
        <v>0</v>
      </c>
      <c r="Y183" s="359">
        <f>IF(Scharniere[[#This Row],[Bohrbild]]=select!$A$989,1,0)</f>
        <v>0</v>
      </c>
      <c r="Z183" s="359">
        <f>IF(IF(Scharniere[[#This Row],[Anschrauben]]=1,1,IF(Scharniere[[#This Row],[Einpressen]]=1,2,IF(Scharniere[[#This Row],[Quick]]=1,3,IF(Scharniere[[#This Row],[Werkzeuglos]]=1,4,0))))=select!$A$1003,1,0)</f>
        <v>0</v>
      </c>
      <c r="AA1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3" s="359">
        <f ca="1">IF(select!$K$980="*",Scharniere[[#This Row],[AG Ges2]],Scharniere[[#This Row],[AG Ges1]])</f>
        <v>0</v>
      </c>
      <c r="AE183" s="451">
        <f ca="1">IF(AND(Scharniere[[#This Row],[Scharnierart]]=select!$A$1485,Scharniere[[#This Row],[Gruppenschlüssel]]=select!$B$1485)=TRUE,1,0)</f>
        <v>1</v>
      </c>
      <c r="AF183" s="451">
        <f ca="1">IF(AND(Scharniere[[#This Row],[Scharnierart]]=select!$A$1486,Scharniere[[#This Row],[Gruppenschlüssel]]=select!$B$1486)=TRUE,1,0)</f>
        <v>0</v>
      </c>
      <c r="AG183" s="451">
        <f ca="1">IF(AND(Scharniere[[#This Row],[Scharnierart]]=select!$A$1487,Scharniere[[#This Row],[Gruppenschlüssel]]=select!$B$1487)=TRUE,1,0)</f>
        <v>0</v>
      </c>
      <c r="AH183" s="451">
        <f ca="1">IF(AND(Scharniere[[#This Row],[Scharnierart]]=select!$A$1488,Scharniere[[#This Row],[Gruppenschlüssel]]=select!$B$1488)=TRUE,1,0)</f>
        <v>0</v>
      </c>
      <c r="AI183" s="451">
        <f ca="1">IF(SUM(Scharniere[[#This Row],[konf Scharnier 1]:[konf Scharnier 4]])&gt;0,1,0)</f>
        <v>1</v>
      </c>
      <c r="AJ183" s="451"/>
      <c r="AK183" s="451"/>
      <c r="AL183" s="451"/>
      <c r="AM183" s="451"/>
      <c r="AN183" s="451"/>
      <c r="AO183" s="146">
        <v>1</v>
      </c>
      <c r="AP183" s="146">
        <v>1</v>
      </c>
      <c r="AQ183" s="10" t="str">
        <f ca="1">Sprache!$A$115</f>
        <v>Tiomos Scharnier TT Impresso</v>
      </c>
      <c r="AR183" t="s">
        <v>110</v>
      </c>
      <c r="AS183" t="str">
        <f ca="1">Sprache!$A$116</f>
        <v>Tiomos Impresso Scharniere</v>
      </c>
      <c r="AT183">
        <v>0</v>
      </c>
      <c r="AU183" t="s">
        <v>11</v>
      </c>
      <c r="AV183">
        <v>110</v>
      </c>
      <c r="AW183" s="10">
        <v>0</v>
      </c>
      <c r="AX183">
        <v>0</v>
      </c>
      <c r="AY183">
        <v>1</v>
      </c>
      <c r="AZ183" s="10">
        <v>0</v>
      </c>
      <c r="BA183">
        <v>0</v>
      </c>
      <c r="BB183">
        <v>0</v>
      </c>
      <c r="BC183">
        <v>1</v>
      </c>
      <c r="BD183" s="143" t="s">
        <v>209</v>
      </c>
      <c r="BG183"/>
    </row>
    <row r="184" spans="1:59" ht="14.25" customHeight="1" x14ac:dyDescent="0.25">
      <c r="A184" s="37" t="str">
        <f>LEFT(Scharniere[[#This Row],[ArtikelNR]],4)</f>
        <v>F045</v>
      </c>
      <c r="B184" s="35" t="str">
        <f>MID(Scharniere[[#This Row],[ArtikelNR]],5,3)</f>
        <v>138</v>
      </c>
      <c r="C184" s="37" t="str">
        <f>RIGHT(Scharniere[[#This Row],[ArtikelNR]],3)</f>
        <v>004</v>
      </c>
      <c r="D184" s="35">
        <f>IF(AND(Scharniere[[#This Row],[Gruppenschlüssel]]=select!$A$44,Scharniere[[#This Row],[Scharnierart]]=1)=TRUE,1,0)</f>
        <v>1</v>
      </c>
      <c r="E1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4" s="35">
        <f>IF(select!$F$57=IF(Scharniere[[#This Row],[mit Dämpfung]]=1,1,IF(Scharniere[[#This Row],[ohne Dämpfung]]=1,2,IF(Scharniere[[#This Row],[ohne Feder]]=1,3,0))),1,0)</f>
        <v>0</v>
      </c>
      <c r="G184" s="35">
        <f>IF(Scharniere[[#This Row],[Bohrbild]]=select!$V$43,1,0)</f>
        <v>1</v>
      </c>
      <c r="H184" s="35">
        <f>IF(IF(Scharniere[[#This Row],[Anschrauben]]=1,1,IF(Scharniere[[#This Row],[Einpressen]]=1,2,IF(Scharniere[[#This Row],[Quick]]=1,3,IF(Scharniere[[#This Row],[Werkzeuglos]]=1,4,0))))=select!$F$48,1,0)</f>
        <v>1</v>
      </c>
      <c r="I1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4" s="149">
        <f>IF(AND(Scharniere[[#This Row],[Scharnierart]]=2,Scharniere[[#This Row],[Gruppenschlüssel]]=select!$A$318)=TRUE,1,0)</f>
        <v>0</v>
      </c>
      <c r="K184" s="221">
        <f ca="1">IF(select!$O$424&lt;6,1,0)</f>
        <v>1</v>
      </c>
      <c r="L184" s="139">
        <f>IF(select!$A$362=IF(Scharniere[[#This Row],[mit Dämpfung]]=1,1,IF(Scharniere[[#This Row],[ohne Dämpfung]]=1,2,IF(Scharniere[[#This Row],[ohne Feder]]=1,3,0))),1,0)</f>
        <v>0</v>
      </c>
      <c r="M184" s="135">
        <f>IF(Scharniere[[#This Row],[Bohrbild]]=select!$O$334,1,0)</f>
        <v>1</v>
      </c>
      <c r="N184" s="135">
        <f>IF(IF(Scharniere[[#This Row],[Anschrauben]]=1,1,IF(Scharniere[[#This Row],[Einpressen]]=1,2,IF(Scharniere[[#This Row],[Quick]]=1,3,IF(Scharniere[[#This Row],[Werkzeuglos]]=1,4,0))))=select!$E$362,1,0)</f>
        <v>0</v>
      </c>
      <c r="O1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4" s="298">
        <f>IF(AND(Scharniere[[#This Row],[Scharnierart]]=3,Scharniere[[#This Row],[Gruppenschlüssel]]=select!$A$747)=TRUE,1,0)</f>
        <v>0</v>
      </c>
      <c r="Q184" s="298">
        <f ca="1">IF(select!$O$945&lt;6,1,0)</f>
        <v>1</v>
      </c>
      <c r="R184" s="298">
        <f>IF(select!$A$778=IF(Scharniere[[#This Row],[mit Dämpfung]]=1,1,IF(Scharniere[[#This Row],[ohne Dämpfung]]=1,2,IF(Scharniere[[#This Row],[ohne Feder]]=1,3,0))),1,0)</f>
        <v>1</v>
      </c>
      <c r="S184" s="298">
        <f>IF(Scharniere[[#This Row],[Bohrbild]]=select!$A$755,1,0)</f>
        <v>0</v>
      </c>
      <c r="T184" s="298">
        <f>IF(IF(Scharniere[[#This Row],[Anschrauben]]=1,1,IF(Scharniere[[#This Row],[Einpressen]]=1,2,IF(Scharniere[[#This Row],[Quick]]=1,3,IF(Scharniere[[#This Row],[Werkzeuglos]]=1,4,0))))=select!$A$769,1,0)</f>
        <v>0</v>
      </c>
      <c r="U1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4" s="359">
        <f>IF(AND(Scharniere[[#This Row],[Scharnierart]]=4,Scharniere[[#This Row],[Gruppenschlüssel]]=select!$A$981)=TRUE,1,0)</f>
        <v>0</v>
      </c>
      <c r="W184" s="359">
        <f ca="1">IF(select!$O$1185&lt;6,1,0)</f>
        <v>1</v>
      </c>
      <c r="X184" s="359">
        <f>IF(select!$A$1012=IF(Scharniere[[#This Row],[mit Dämpfung]]=1,1,IF(Scharniere[[#This Row],[ohne Dämpfung]]=1,2,IF(Scharniere[[#This Row],[ohne Feder]]=1,3,0))),1,0)</f>
        <v>1</v>
      </c>
      <c r="Y184" s="359">
        <f>IF(Scharniere[[#This Row],[Bohrbild]]=select!$A$989,1,0)</f>
        <v>0</v>
      </c>
      <c r="Z184" s="359">
        <f>IF(IF(Scharniere[[#This Row],[Anschrauben]]=1,1,IF(Scharniere[[#This Row],[Einpressen]]=1,2,IF(Scharniere[[#This Row],[Quick]]=1,3,IF(Scharniere[[#This Row],[Werkzeuglos]]=1,4,0))))=select!$A$1003,1,0)</f>
        <v>0</v>
      </c>
      <c r="AA1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4" s="359">
        <f ca="1">IF(select!$K$980="*",Scharniere[[#This Row],[AG Ges2]],Scharniere[[#This Row],[AG Ges1]])</f>
        <v>0</v>
      </c>
      <c r="AE184" s="451">
        <f ca="1">IF(AND(Scharniere[[#This Row],[Scharnierart]]=select!$A$1485,Scharniere[[#This Row],[Gruppenschlüssel]]=select!$B$1485)=TRUE,1,0)</f>
        <v>1</v>
      </c>
      <c r="AF184" s="451">
        <f ca="1">IF(AND(Scharniere[[#This Row],[Scharnierart]]=select!$A$1486,Scharniere[[#This Row],[Gruppenschlüssel]]=select!$B$1486)=TRUE,1,0)</f>
        <v>0</v>
      </c>
      <c r="AG184" s="451">
        <f ca="1">IF(AND(Scharniere[[#This Row],[Scharnierart]]=select!$A$1487,Scharniere[[#This Row],[Gruppenschlüssel]]=select!$B$1487)=TRUE,1,0)</f>
        <v>0</v>
      </c>
      <c r="AH184" s="451">
        <f ca="1">IF(AND(Scharniere[[#This Row],[Scharnierart]]=select!$A$1488,Scharniere[[#This Row],[Gruppenschlüssel]]=select!$B$1488)=TRUE,1,0)</f>
        <v>0</v>
      </c>
      <c r="AI184" s="451">
        <f ca="1">IF(SUM(Scharniere[[#This Row],[konf Scharnier 1]:[konf Scharnier 4]])&gt;0,1,0)</f>
        <v>1</v>
      </c>
      <c r="AJ184" s="451"/>
      <c r="AK184" s="451"/>
      <c r="AL184" s="451"/>
      <c r="AM184" s="451"/>
      <c r="AN184" s="451"/>
      <c r="AO184" s="146">
        <v>1</v>
      </c>
      <c r="AP184" s="146">
        <v>1</v>
      </c>
      <c r="AQ184" s="10" t="str">
        <f ca="1">Sprache!$A$110</f>
        <v>Tiomos Scharnier T Click-on</v>
      </c>
      <c r="AR184" t="str">
        <f ca="1">"110°, M-BB, K00, "&amp;Sprache!A181&amp;", ni"</f>
        <v>110°, M-BB, K00, Dübel, ni</v>
      </c>
      <c r="AS184" t="str">
        <f ca="1">Sprache!$A$103</f>
        <v>Tiomos Click-On Scharniere</v>
      </c>
      <c r="AT184">
        <v>0</v>
      </c>
      <c r="AU184" t="s">
        <v>8</v>
      </c>
      <c r="AV184">
        <v>110</v>
      </c>
      <c r="AW184" s="10">
        <v>0</v>
      </c>
      <c r="AX184">
        <v>1</v>
      </c>
      <c r="AY184">
        <v>0</v>
      </c>
      <c r="AZ184" s="10">
        <v>0</v>
      </c>
      <c r="BA184">
        <v>1</v>
      </c>
      <c r="BB184">
        <v>0</v>
      </c>
      <c r="BC184">
        <v>0</v>
      </c>
      <c r="BD184" s="143" t="s">
        <v>433</v>
      </c>
      <c r="BG184"/>
    </row>
    <row r="185" spans="1:59" ht="14.25" customHeight="1" x14ac:dyDescent="0.25">
      <c r="A185" s="37" t="str">
        <f>LEFT(Scharniere[[#This Row],[ArtikelNR]],4)</f>
        <v>F028</v>
      </c>
      <c r="B185" s="35" t="str">
        <f>MID(Scharniere[[#This Row],[ArtikelNR]],5,3)</f>
        <v>138</v>
      </c>
      <c r="C185" s="37" t="str">
        <f>RIGHT(Scharniere[[#This Row],[ArtikelNR]],3)</f>
        <v>097</v>
      </c>
      <c r="D185" s="35">
        <f>IF(AND(Scharniere[[#This Row],[Gruppenschlüssel]]=select!$A$44,Scharniere[[#This Row],[Scharnierart]]=1)=TRUE,1,0)</f>
        <v>1</v>
      </c>
      <c r="E1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5" s="35">
        <f>IF(select!$F$57=IF(Scharniere[[#This Row],[mit Dämpfung]]=1,1,IF(Scharniere[[#This Row],[ohne Dämpfung]]=1,2,IF(Scharniere[[#This Row],[ohne Feder]]=1,3,0))),1,0)</f>
        <v>0</v>
      </c>
      <c r="G185" s="35">
        <f>IF(Scharniere[[#This Row],[Bohrbild]]=select!$V$43,1,0)</f>
        <v>1</v>
      </c>
      <c r="H185" s="35">
        <f>IF(IF(Scharniere[[#This Row],[Anschrauben]]=1,1,IF(Scharniere[[#This Row],[Einpressen]]=1,2,IF(Scharniere[[#This Row],[Quick]]=1,3,IF(Scharniere[[#This Row],[Werkzeuglos]]=1,4,0))))=select!$F$48,1,0)</f>
        <v>1</v>
      </c>
      <c r="I1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5" s="149">
        <f>IF(AND(Scharniere[[#This Row],[Scharnierart]]=2,Scharniere[[#This Row],[Gruppenschlüssel]]=select!$A$318)=TRUE,1,0)</f>
        <v>0</v>
      </c>
      <c r="K185" s="221">
        <f ca="1">IF(select!$O$424&lt;6,1,0)</f>
        <v>1</v>
      </c>
      <c r="L185" s="139">
        <f>IF(select!$A$362=IF(Scharniere[[#This Row],[mit Dämpfung]]=1,1,IF(Scharniere[[#This Row],[ohne Dämpfung]]=1,2,IF(Scharniere[[#This Row],[ohne Feder]]=1,3,0))),1,0)</f>
        <v>1</v>
      </c>
      <c r="M185" s="135">
        <f>IF(Scharniere[[#This Row],[Bohrbild]]=select!$O$334,1,0)</f>
        <v>1</v>
      </c>
      <c r="N185" s="135">
        <f>IF(IF(Scharniere[[#This Row],[Anschrauben]]=1,1,IF(Scharniere[[#This Row],[Einpressen]]=1,2,IF(Scharniere[[#This Row],[Quick]]=1,3,IF(Scharniere[[#This Row],[Werkzeuglos]]=1,4,0))))=select!$E$362,1,0)</f>
        <v>0</v>
      </c>
      <c r="O1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5" s="298">
        <f>IF(AND(Scharniere[[#This Row],[Scharnierart]]=3,Scharniere[[#This Row],[Gruppenschlüssel]]=select!$A$747)=TRUE,1,0)</f>
        <v>0</v>
      </c>
      <c r="Q185" s="298">
        <f ca="1">IF(select!$O$945&lt;6,1,0)</f>
        <v>1</v>
      </c>
      <c r="R185" s="298">
        <f>IF(select!$A$778=IF(Scharniere[[#This Row],[mit Dämpfung]]=1,1,IF(Scharniere[[#This Row],[ohne Dämpfung]]=1,2,IF(Scharniere[[#This Row],[ohne Feder]]=1,3,0))),1,0)</f>
        <v>0</v>
      </c>
      <c r="S185" s="298">
        <f>IF(Scharniere[[#This Row],[Bohrbild]]=select!$A$755,1,0)</f>
        <v>0</v>
      </c>
      <c r="T185" s="298">
        <f>IF(IF(Scharniere[[#This Row],[Anschrauben]]=1,1,IF(Scharniere[[#This Row],[Einpressen]]=1,2,IF(Scharniere[[#This Row],[Quick]]=1,3,IF(Scharniere[[#This Row],[Werkzeuglos]]=1,4,0))))=select!$A$769,1,0)</f>
        <v>0</v>
      </c>
      <c r="U1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5" s="359">
        <f>IF(AND(Scharniere[[#This Row],[Scharnierart]]=4,Scharniere[[#This Row],[Gruppenschlüssel]]=select!$A$981)=TRUE,1,0)</f>
        <v>0</v>
      </c>
      <c r="W185" s="359">
        <f ca="1">IF(select!$O$1185&lt;6,1,0)</f>
        <v>1</v>
      </c>
      <c r="X185" s="359">
        <f>IF(select!$A$1012=IF(Scharniere[[#This Row],[mit Dämpfung]]=1,1,IF(Scharniere[[#This Row],[ohne Dämpfung]]=1,2,IF(Scharniere[[#This Row],[ohne Feder]]=1,3,0))),1,0)</f>
        <v>0</v>
      </c>
      <c r="Y185" s="359">
        <f>IF(Scharniere[[#This Row],[Bohrbild]]=select!$A$989,1,0)</f>
        <v>0</v>
      </c>
      <c r="Z185" s="359">
        <f>IF(IF(Scharniere[[#This Row],[Anschrauben]]=1,1,IF(Scharniere[[#This Row],[Einpressen]]=1,2,IF(Scharniere[[#This Row],[Quick]]=1,3,IF(Scharniere[[#This Row],[Werkzeuglos]]=1,4,0))))=select!$A$1003,1,0)</f>
        <v>0</v>
      </c>
      <c r="AA1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5" s="359">
        <f ca="1">IF(select!$K$980="*",Scharniere[[#This Row],[AG Ges2]],Scharniere[[#This Row],[AG Ges1]])</f>
        <v>0</v>
      </c>
      <c r="AE185" s="451">
        <f ca="1">IF(AND(Scharniere[[#This Row],[Scharnierart]]=select!$A$1485,Scharniere[[#This Row],[Gruppenschlüssel]]=select!$B$1485)=TRUE,1,0)</f>
        <v>1</v>
      </c>
      <c r="AF185" s="451">
        <f ca="1">IF(AND(Scharniere[[#This Row],[Scharnierart]]=select!$A$1486,Scharniere[[#This Row],[Gruppenschlüssel]]=select!$B$1486)=TRUE,1,0)</f>
        <v>0</v>
      </c>
      <c r="AG185" s="451">
        <f ca="1">IF(AND(Scharniere[[#This Row],[Scharnierart]]=select!$A$1487,Scharniere[[#This Row],[Gruppenschlüssel]]=select!$B$1487)=TRUE,1,0)</f>
        <v>0</v>
      </c>
      <c r="AH185" s="451">
        <f ca="1">IF(AND(Scharniere[[#This Row],[Scharnierart]]=select!$A$1488,Scharniere[[#This Row],[Gruppenschlüssel]]=select!$B$1488)=TRUE,1,0)</f>
        <v>0</v>
      </c>
      <c r="AI185" s="451">
        <f ca="1">IF(SUM(Scharniere[[#This Row],[konf Scharnier 1]:[konf Scharnier 4]])&gt;0,1,0)</f>
        <v>1</v>
      </c>
      <c r="AJ185" s="451"/>
      <c r="AK185" s="451"/>
      <c r="AL185" s="451"/>
      <c r="AM185" s="451"/>
      <c r="AN185" s="451"/>
      <c r="AO185" s="146">
        <v>1</v>
      </c>
      <c r="AP185" s="146">
        <v>1</v>
      </c>
      <c r="AQ185" s="10" t="str">
        <f ca="1">Sprache!$A$112</f>
        <v>Tiomos Scharnier TS Click-on</v>
      </c>
      <c r="AR185" t="str">
        <f ca="1">"110°, M-BB, K00, "&amp;Sprache!A181&amp;", ni"</f>
        <v>110°, M-BB, K00, Dübel, ni</v>
      </c>
      <c r="AS185" t="str">
        <f ca="1">Sprache!$A$103</f>
        <v>Tiomos Click-On Scharniere</v>
      </c>
      <c r="AT185">
        <v>0</v>
      </c>
      <c r="AU185" t="s">
        <v>8</v>
      </c>
      <c r="AV185">
        <v>110</v>
      </c>
      <c r="AW185" s="10">
        <v>1</v>
      </c>
      <c r="AX185">
        <v>0</v>
      </c>
      <c r="AY185">
        <v>0</v>
      </c>
      <c r="AZ185" s="10">
        <v>0</v>
      </c>
      <c r="BA185">
        <v>1</v>
      </c>
      <c r="BB185">
        <v>0</v>
      </c>
      <c r="BC185">
        <v>0</v>
      </c>
      <c r="BD185" s="143" t="s">
        <v>233</v>
      </c>
      <c r="BG185"/>
    </row>
    <row r="186" spans="1:59" ht="14.25" customHeight="1" x14ac:dyDescent="0.25">
      <c r="A186" s="37" t="str">
        <f>LEFT(Scharniere[[#This Row],[ArtikelNR]],4)</f>
        <v>F046</v>
      </c>
      <c r="B186" s="35" t="str">
        <f>MID(Scharniere[[#This Row],[ArtikelNR]],5,3)</f>
        <v>138</v>
      </c>
      <c r="C186" s="37" t="str">
        <f>RIGHT(Scharniere[[#This Row],[ArtikelNR]],3)</f>
        <v>188</v>
      </c>
      <c r="D186" s="35">
        <f>IF(AND(Scharniere[[#This Row],[Gruppenschlüssel]]=select!$A$44,Scharniere[[#This Row],[Scharnierart]]=1)=TRUE,1,0)</f>
        <v>1</v>
      </c>
      <c r="E1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6" s="35">
        <f>IF(select!$F$57=IF(Scharniere[[#This Row],[mit Dämpfung]]=1,1,IF(Scharniere[[#This Row],[ohne Dämpfung]]=1,2,IF(Scharniere[[#This Row],[ohne Feder]]=1,3,0))),1,0)</f>
        <v>1</v>
      </c>
      <c r="G186" s="35">
        <f>IF(Scharniere[[#This Row],[Bohrbild]]=select!$V$43,1,0)</f>
        <v>1</v>
      </c>
      <c r="H186" s="35">
        <f>IF(IF(Scharniere[[#This Row],[Anschrauben]]=1,1,IF(Scharniere[[#This Row],[Einpressen]]=1,2,IF(Scharniere[[#This Row],[Quick]]=1,3,IF(Scharniere[[#This Row],[Werkzeuglos]]=1,4,0))))=select!$F$48,1,0)</f>
        <v>1</v>
      </c>
      <c r="I186" s="35">
        <f ca="1">IF(Scharniere[[#This Row],[Winkel_sel]]+Scharniere[[#This Row],[Kröpfung_sel]]+Scharniere[[#This Row],[Däpfung_sel]]+Scharniere[[#This Row],[Bohrbild_sel]]+Scharniere[[#This Row],[Scharnierbefestigung]]=5,1,0)</f>
        <v>1</v>
      </c>
      <c r="J186" s="149">
        <f>IF(AND(Scharniere[[#This Row],[Scharnierart]]=2,Scharniere[[#This Row],[Gruppenschlüssel]]=select!$A$318)=TRUE,1,0)</f>
        <v>0</v>
      </c>
      <c r="K186" s="221">
        <f ca="1">IF(select!$O$424&lt;6,1,0)</f>
        <v>1</v>
      </c>
      <c r="L186" s="139">
        <f>IF(select!$A$362=IF(Scharniere[[#This Row],[mit Dämpfung]]=1,1,IF(Scharniere[[#This Row],[ohne Dämpfung]]=1,2,IF(Scharniere[[#This Row],[ohne Feder]]=1,3,0))),1,0)</f>
        <v>0</v>
      </c>
      <c r="M186" s="135">
        <f>IF(Scharniere[[#This Row],[Bohrbild]]=select!$O$334,1,0)</f>
        <v>1</v>
      </c>
      <c r="N186" s="135">
        <f>IF(IF(Scharniere[[#This Row],[Anschrauben]]=1,1,IF(Scharniere[[#This Row],[Einpressen]]=1,2,IF(Scharniere[[#This Row],[Quick]]=1,3,IF(Scharniere[[#This Row],[Werkzeuglos]]=1,4,0))))=select!$E$362,1,0)</f>
        <v>0</v>
      </c>
      <c r="O1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6" s="298">
        <f>IF(AND(Scharniere[[#This Row],[Scharnierart]]=3,Scharniere[[#This Row],[Gruppenschlüssel]]=select!$A$747)=TRUE,1,0)</f>
        <v>0</v>
      </c>
      <c r="Q186" s="298">
        <f ca="1">IF(select!$O$945&lt;6,1,0)</f>
        <v>1</v>
      </c>
      <c r="R186" s="298">
        <f>IF(select!$A$778=IF(Scharniere[[#This Row],[mit Dämpfung]]=1,1,IF(Scharniere[[#This Row],[ohne Dämpfung]]=1,2,IF(Scharniere[[#This Row],[ohne Feder]]=1,3,0))),1,0)</f>
        <v>0</v>
      </c>
      <c r="S186" s="298">
        <f>IF(Scharniere[[#This Row],[Bohrbild]]=select!$A$755,1,0)</f>
        <v>0</v>
      </c>
      <c r="T186" s="298">
        <f>IF(IF(Scharniere[[#This Row],[Anschrauben]]=1,1,IF(Scharniere[[#This Row],[Einpressen]]=1,2,IF(Scharniere[[#This Row],[Quick]]=1,3,IF(Scharniere[[#This Row],[Werkzeuglos]]=1,4,0))))=select!$A$769,1,0)</f>
        <v>0</v>
      </c>
      <c r="U1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6" s="359">
        <f>IF(AND(Scharniere[[#This Row],[Scharnierart]]=4,Scharniere[[#This Row],[Gruppenschlüssel]]=select!$A$981)=TRUE,1,0)</f>
        <v>0</v>
      </c>
      <c r="W186" s="359">
        <f ca="1">IF(select!$O$1185&lt;6,1,0)</f>
        <v>1</v>
      </c>
      <c r="X186" s="359">
        <f>IF(select!$A$1012=IF(Scharniere[[#This Row],[mit Dämpfung]]=1,1,IF(Scharniere[[#This Row],[ohne Dämpfung]]=1,2,IF(Scharniere[[#This Row],[ohne Feder]]=1,3,0))),1,0)</f>
        <v>0</v>
      </c>
      <c r="Y186" s="359">
        <f>IF(Scharniere[[#This Row],[Bohrbild]]=select!$A$989,1,0)</f>
        <v>0</v>
      </c>
      <c r="Z186" s="359">
        <f>IF(IF(Scharniere[[#This Row],[Anschrauben]]=1,1,IF(Scharniere[[#This Row],[Einpressen]]=1,2,IF(Scharniere[[#This Row],[Quick]]=1,3,IF(Scharniere[[#This Row],[Werkzeuglos]]=1,4,0))))=select!$A$1003,1,0)</f>
        <v>0</v>
      </c>
      <c r="AA1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6" s="359">
        <f ca="1">IF(select!$K$980="*",Scharniere[[#This Row],[AG Ges2]],Scharniere[[#This Row],[AG Ges1]])</f>
        <v>0</v>
      </c>
      <c r="AE186" s="451">
        <f ca="1">IF(AND(Scharniere[[#This Row],[Scharnierart]]=select!$A$1485,Scharniere[[#This Row],[Gruppenschlüssel]]=select!$B$1485)=TRUE,1,0)</f>
        <v>1</v>
      </c>
      <c r="AF186" s="451">
        <f ca="1">IF(AND(Scharniere[[#This Row],[Scharnierart]]=select!$A$1486,Scharniere[[#This Row],[Gruppenschlüssel]]=select!$B$1486)=TRUE,1,0)</f>
        <v>0</v>
      </c>
      <c r="AG186" s="451">
        <f ca="1">IF(AND(Scharniere[[#This Row],[Scharnierart]]=select!$A$1487,Scharniere[[#This Row],[Gruppenschlüssel]]=select!$B$1487)=TRUE,1,0)</f>
        <v>0</v>
      </c>
      <c r="AH186" s="451">
        <f ca="1">IF(AND(Scharniere[[#This Row],[Scharnierart]]=select!$A$1488,Scharniere[[#This Row],[Gruppenschlüssel]]=select!$B$1488)=TRUE,1,0)</f>
        <v>0</v>
      </c>
      <c r="AI186" s="451">
        <f ca="1">IF(SUM(Scharniere[[#This Row],[konf Scharnier 1]:[konf Scharnier 4]])&gt;0,1,0)</f>
        <v>1</v>
      </c>
      <c r="AJ186" s="451"/>
      <c r="AK186" s="451"/>
      <c r="AL186" s="451"/>
      <c r="AM186" s="451"/>
      <c r="AN186" s="451"/>
      <c r="AO186" s="146">
        <v>1</v>
      </c>
      <c r="AP186" s="146">
        <v>1</v>
      </c>
      <c r="AQ186" s="10" t="str">
        <f ca="1">Sprache!$A$114</f>
        <v>Tiomos Scharnier TT Click-on</v>
      </c>
      <c r="AR186" t="str">
        <f ca="1">"110°, M-BB, K00, "&amp;Sprache!A181&amp;", ni"</f>
        <v>110°, M-BB, K00, Dübel, ni</v>
      </c>
      <c r="AS186" t="str">
        <f ca="1">Sprache!$A$103</f>
        <v>Tiomos Click-On Scharniere</v>
      </c>
      <c r="AT186">
        <v>0</v>
      </c>
      <c r="AU186" t="s">
        <v>8</v>
      </c>
      <c r="AV186">
        <v>110</v>
      </c>
      <c r="AW186" s="10">
        <v>0</v>
      </c>
      <c r="AX186">
        <v>0</v>
      </c>
      <c r="AY186">
        <v>1</v>
      </c>
      <c r="AZ186" s="10">
        <v>0</v>
      </c>
      <c r="BA186">
        <v>1</v>
      </c>
      <c r="BB186">
        <v>0</v>
      </c>
      <c r="BC186">
        <v>0</v>
      </c>
      <c r="BD186" s="143" t="s">
        <v>585</v>
      </c>
      <c r="BG186"/>
    </row>
    <row r="187" spans="1:59" ht="14.25" customHeight="1" x14ac:dyDescent="0.25">
      <c r="A187" s="37" t="str">
        <f>LEFT(Scharniere[[#This Row],[ArtikelNR]],4)</f>
        <v>F045</v>
      </c>
      <c r="B187" s="35" t="str">
        <f>MID(Scharniere[[#This Row],[ArtikelNR]],5,3)</f>
        <v>138</v>
      </c>
      <c r="C187" s="37" t="str">
        <f>RIGHT(Scharniere[[#This Row],[ArtikelNR]],3)</f>
        <v>000</v>
      </c>
      <c r="D187" s="35">
        <f>IF(AND(Scharniere[[#This Row],[Gruppenschlüssel]]=select!$A$44,Scharniere[[#This Row],[Scharnierart]]=1)=TRUE,1,0)</f>
        <v>1</v>
      </c>
      <c r="E1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7" s="35">
        <f>IF(select!$F$57=IF(Scharniere[[#This Row],[mit Dämpfung]]=1,1,IF(Scharniere[[#This Row],[ohne Dämpfung]]=1,2,IF(Scharniere[[#This Row],[ohne Feder]]=1,3,0))),1,0)</f>
        <v>0</v>
      </c>
      <c r="G187" s="35">
        <f>IF(Scharniere[[#This Row],[Bohrbild]]=select!$V$43,1,0)</f>
        <v>1</v>
      </c>
      <c r="H187" s="35">
        <f>IF(IF(Scharniere[[#This Row],[Anschrauben]]=1,1,IF(Scharniere[[#This Row],[Einpressen]]=1,2,IF(Scharniere[[#This Row],[Quick]]=1,3,IF(Scharniere[[#This Row],[Werkzeuglos]]=1,4,0))))=select!$F$48,1,0)</f>
        <v>0</v>
      </c>
      <c r="I1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7" s="149">
        <f>IF(AND(Scharniere[[#This Row],[Scharnierart]]=2,Scharniere[[#This Row],[Gruppenschlüssel]]=select!$A$318)=TRUE,1,0)</f>
        <v>0</v>
      </c>
      <c r="K187" s="221">
        <f ca="1">IF(select!$O$424&lt;6,1,0)</f>
        <v>1</v>
      </c>
      <c r="L187" s="139">
        <f>IF(select!$A$362=IF(Scharniere[[#This Row],[mit Dämpfung]]=1,1,IF(Scharniere[[#This Row],[ohne Dämpfung]]=1,2,IF(Scharniere[[#This Row],[ohne Feder]]=1,3,0))),1,0)</f>
        <v>0</v>
      </c>
      <c r="M187" s="135">
        <f>IF(Scharniere[[#This Row],[Bohrbild]]=select!$O$334,1,0)</f>
        <v>1</v>
      </c>
      <c r="N187" s="135">
        <f>IF(IF(Scharniere[[#This Row],[Anschrauben]]=1,1,IF(Scharniere[[#This Row],[Einpressen]]=1,2,IF(Scharniere[[#This Row],[Quick]]=1,3,IF(Scharniere[[#This Row],[Werkzeuglos]]=1,4,0))))=select!$E$362,1,0)</f>
        <v>1</v>
      </c>
      <c r="O1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7" s="298">
        <f>IF(AND(Scharniere[[#This Row],[Scharnierart]]=3,Scharniere[[#This Row],[Gruppenschlüssel]]=select!$A$747)=TRUE,1,0)</f>
        <v>0</v>
      </c>
      <c r="Q187" s="298">
        <f ca="1">IF(select!$O$945&lt;6,1,0)</f>
        <v>1</v>
      </c>
      <c r="R187" s="298">
        <f>IF(select!$A$778=IF(Scharniere[[#This Row],[mit Dämpfung]]=1,1,IF(Scharniere[[#This Row],[ohne Dämpfung]]=1,2,IF(Scharniere[[#This Row],[ohne Feder]]=1,3,0))),1,0)</f>
        <v>1</v>
      </c>
      <c r="S187" s="298">
        <f>IF(Scharniere[[#This Row],[Bohrbild]]=select!$A$755,1,0)</f>
        <v>0</v>
      </c>
      <c r="T187" s="298">
        <f>IF(IF(Scharniere[[#This Row],[Anschrauben]]=1,1,IF(Scharniere[[#This Row],[Einpressen]]=1,2,IF(Scharniere[[#This Row],[Quick]]=1,3,IF(Scharniere[[#This Row],[Werkzeuglos]]=1,4,0))))=select!$A$769,1,0)</f>
        <v>1</v>
      </c>
      <c r="U1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7" s="359">
        <f>IF(AND(Scharniere[[#This Row],[Scharnierart]]=4,Scharniere[[#This Row],[Gruppenschlüssel]]=select!$A$981)=TRUE,1,0)</f>
        <v>0</v>
      </c>
      <c r="W187" s="359">
        <f ca="1">IF(select!$O$1185&lt;6,1,0)</f>
        <v>1</v>
      </c>
      <c r="X187" s="359">
        <f>IF(select!$A$1012=IF(Scharniere[[#This Row],[mit Dämpfung]]=1,1,IF(Scharniere[[#This Row],[ohne Dämpfung]]=1,2,IF(Scharniere[[#This Row],[ohne Feder]]=1,3,0))),1,0)</f>
        <v>1</v>
      </c>
      <c r="Y187" s="359">
        <f>IF(Scharniere[[#This Row],[Bohrbild]]=select!$A$989,1,0)</f>
        <v>0</v>
      </c>
      <c r="Z187" s="359">
        <f>IF(IF(Scharniere[[#This Row],[Anschrauben]]=1,1,IF(Scharniere[[#This Row],[Einpressen]]=1,2,IF(Scharniere[[#This Row],[Quick]]=1,3,IF(Scharniere[[#This Row],[Werkzeuglos]]=1,4,0))))=select!$A$1003,1,0)</f>
        <v>1</v>
      </c>
      <c r="AA1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7" s="359">
        <f ca="1">IF(select!$K$980="*",Scharniere[[#This Row],[AG Ges2]],Scharniere[[#This Row],[AG Ges1]])</f>
        <v>0</v>
      </c>
      <c r="AE187" s="451">
        <f ca="1">IF(AND(Scharniere[[#This Row],[Scharnierart]]=select!$A$1485,Scharniere[[#This Row],[Gruppenschlüssel]]=select!$B$1485)=TRUE,1,0)</f>
        <v>1</v>
      </c>
      <c r="AF187" s="451">
        <f ca="1">IF(AND(Scharniere[[#This Row],[Scharnierart]]=select!$A$1486,Scharniere[[#This Row],[Gruppenschlüssel]]=select!$B$1486)=TRUE,1,0)</f>
        <v>0</v>
      </c>
      <c r="AG187" s="451">
        <f ca="1">IF(AND(Scharniere[[#This Row],[Scharnierart]]=select!$A$1487,Scharniere[[#This Row],[Gruppenschlüssel]]=select!$B$1487)=TRUE,1,0)</f>
        <v>0</v>
      </c>
      <c r="AH187" s="451">
        <f ca="1">IF(AND(Scharniere[[#This Row],[Scharnierart]]=select!$A$1488,Scharniere[[#This Row],[Gruppenschlüssel]]=select!$B$1488)=TRUE,1,0)</f>
        <v>0</v>
      </c>
      <c r="AI187" s="451">
        <f ca="1">IF(SUM(Scharniere[[#This Row],[konf Scharnier 1]:[konf Scharnier 4]])&gt;0,1,0)</f>
        <v>1</v>
      </c>
      <c r="AJ187" s="451"/>
      <c r="AK187" s="451"/>
      <c r="AL187" s="451"/>
      <c r="AM187" s="451"/>
      <c r="AN187" s="451"/>
      <c r="AO187" s="146">
        <v>1</v>
      </c>
      <c r="AP187" s="146">
        <v>1</v>
      </c>
      <c r="AQ187" s="10" t="str">
        <f ca="1">Sprache!$A$110</f>
        <v>Tiomos Scharnier T Click-on</v>
      </c>
      <c r="AR187" t="s">
        <v>226</v>
      </c>
      <c r="AS187" t="str">
        <f ca="1">Sprache!$A$103</f>
        <v>Tiomos Click-On Scharniere</v>
      </c>
      <c r="AT187">
        <v>0</v>
      </c>
      <c r="AU187" t="s">
        <v>8</v>
      </c>
      <c r="AV187">
        <v>110</v>
      </c>
      <c r="AW187" s="10">
        <v>0</v>
      </c>
      <c r="AX187">
        <v>1</v>
      </c>
      <c r="AY187">
        <v>0</v>
      </c>
      <c r="AZ187" s="10">
        <v>1</v>
      </c>
      <c r="BA187">
        <v>0</v>
      </c>
      <c r="BB187">
        <v>0</v>
      </c>
      <c r="BC187">
        <v>0</v>
      </c>
      <c r="BD187" s="143" t="s">
        <v>429</v>
      </c>
      <c r="BG187"/>
    </row>
    <row r="188" spans="1:59" ht="14.25" customHeight="1" x14ac:dyDescent="0.25">
      <c r="A188" s="37" t="str">
        <f>LEFT(Scharniere[[#This Row],[ArtikelNR]],4)</f>
        <v>F028</v>
      </c>
      <c r="B188" s="35" t="str">
        <f>MID(Scharniere[[#This Row],[ArtikelNR]],5,3)</f>
        <v>138</v>
      </c>
      <c r="C188" s="37" t="str">
        <f>RIGHT(Scharniere[[#This Row],[ArtikelNR]],3)</f>
        <v>093</v>
      </c>
      <c r="D188" s="35">
        <f>IF(AND(Scharniere[[#This Row],[Gruppenschlüssel]]=select!$A$44,Scharniere[[#This Row],[Scharnierart]]=1)=TRUE,1,0)</f>
        <v>1</v>
      </c>
      <c r="E1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8" s="35">
        <f>IF(select!$F$57=IF(Scharniere[[#This Row],[mit Dämpfung]]=1,1,IF(Scharniere[[#This Row],[ohne Dämpfung]]=1,2,IF(Scharniere[[#This Row],[ohne Feder]]=1,3,0))),1,0)</f>
        <v>0</v>
      </c>
      <c r="G188" s="35">
        <f>IF(Scharniere[[#This Row],[Bohrbild]]=select!$V$43,1,0)</f>
        <v>1</v>
      </c>
      <c r="H188" s="35">
        <f>IF(IF(Scharniere[[#This Row],[Anschrauben]]=1,1,IF(Scharniere[[#This Row],[Einpressen]]=1,2,IF(Scharniere[[#This Row],[Quick]]=1,3,IF(Scharniere[[#This Row],[Werkzeuglos]]=1,4,0))))=select!$F$48,1,0)</f>
        <v>0</v>
      </c>
      <c r="I1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8" s="149">
        <f>IF(AND(Scharniere[[#This Row],[Scharnierart]]=2,Scharniere[[#This Row],[Gruppenschlüssel]]=select!$A$318)=TRUE,1,0)</f>
        <v>0</v>
      </c>
      <c r="K188" s="221">
        <f ca="1">IF(select!$O$424&lt;6,1,0)</f>
        <v>1</v>
      </c>
      <c r="L188" s="139">
        <f>IF(select!$A$362=IF(Scharniere[[#This Row],[mit Dämpfung]]=1,1,IF(Scharniere[[#This Row],[ohne Dämpfung]]=1,2,IF(Scharniere[[#This Row],[ohne Feder]]=1,3,0))),1,0)</f>
        <v>1</v>
      </c>
      <c r="M188" s="135">
        <f>IF(Scharniere[[#This Row],[Bohrbild]]=select!$O$334,1,0)</f>
        <v>1</v>
      </c>
      <c r="N188" s="135">
        <f>IF(IF(Scharniere[[#This Row],[Anschrauben]]=1,1,IF(Scharniere[[#This Row],[Einpressen]]=1,2,IF(Scharniere[[#This Row],[Quick]]=1,3,IF(Scharniere[[#This Row],[Werkzeuglos]]=1,4,0))))=select!$E$362,1,0)</f>
        <v>1</v>
      </c>
      <c r="O1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8" s="298">
        <f>IF(AND(Scharniere[[#This Row],[Scharnierart]]=3,Scharniere[[#This Row],[Gruppenschlüssel]]=select!$A$747)=TRUE,1,0)</f>
        <v>0</v>
      </c>
      <c r="Q188" s="298">
        <f ca="1">IF(select!$O$945&lt;6,1,0)</f>
        <v>1</v>
      </c>
      <c r="R188" s="298">
        <f>IF(select!$A$778=IF(Scharniere[[#This Row],[mit Dämpfung]]=1,1,IF(Scharniere[[#This Row],[ohne Dämpfung]]=1,2,IF(Scharniere[[#This Row],[ohne Feder]]=1,3,0))),1,0)</f>
        <v>0</v>
      </c>
      <c r="S188" s="298">
        <f>IF(Scharniere[[#This Row],[Bohrbild]]=select!$A$755,1,0)</f>
        <v>0</v>
      </c>
      <c r="T188" s="298">
        <f>IF(IF(Scharniere[[#This Row],[Anschrauben]]=1,1,IF(Scharniere[[#This Row],[Einpressen]]=1,2,IF(Scharniere[[#This Row],[Quick]]=1,3,IF(Scharniere[[#This Row],[Werkzeuglos]]=1,4,0))))=select!$A$769,1,0)</f>
        <v>1</v>
      </c>
      <c r="U1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8" s="359">
        <f>IF(AND(Scharniere[[#This Row],[Scharnierart]]=4,Scharniere[[#This Row],[Gruppenschlüssel]]=select!$A$981)=TRUE,1,0)</f>
        <v>0</v>
      </c>
      <c r="W188" s="359">
        <f ca="1">IF(select!$O$1185&lt;6,1,0)</f>
        <v>1</v>
      </c>
      <c r="X188" s="359">
        <f>IF(select!$A$1012=IF(Scharniere[[#This Row],[mit Dämpfung]]=1,1,IF(Scharniere[[#This Row],[ohne Dämpfung]]=1,2,IF(Scharniere[[#This Row],[ohne Feder]]=1,3,0))),1,0)</f>
        <v>0</v>
      </c>
      <c r="Y188" s="359">
        <f>IF(Scharniere[[#This Row],[Bohrbild]]=select!$A$989,1,0)</f>
        <v>0</v>
      </c>
      <c r="Z188" s="359">
        <f>IF(IF(Scharniere[[#This Row],[Anschrauben]]=1,1,IF(Scharniere[[#This Row],[Einpressen]]=1,2,IF(Scharniere[[#This Row],[Quick]]=1,3,IF(Scharniere[[#This Row],[Werkzeuglos]]=1,4,0))))=select!$A$1003,1,0)</f>
        <v>1</v>
      </c>
      <c r="AA1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8" s="359">
        <f ca="1">IF(select!$K$980="*",Scharniere[[#This Row],[AG Ges2]],Scharniere[[#This Row],[AG Ges1]])</f>
        <v>0</v>
      </c>
      <c r="AE188" s="451">
        <f ca="1">IF(AND(Scharniere[[#This Row],[Scharnierart]]=select!$A$1485,Scharniere[[#This Row],[Gruppenschlüssel]]=select!$B$1485)=TRUE,1,0)</f>
        <v>1</v>
      </c>
      <c r="AF188" s="451">
        <f ca="1">IF(AND(Scharniere[[#This Row],[Scharnierart]]=select!$A$1486,Scharniere[[#This Row],[Gruppenschlüssel]]=select!$B$1486)=TRUE,1,0)</f>
        <v>0</v>
      </c>
      <c r="AG188" s="451">
        <f ca="1">IF(AND(Scharniere[[#This Row],[Scharnierart]]=select!$A$1487,Scharniere[[#This Row],[Gruppenschlüssel]]=select!$B$1487)=TRUE,1,0)</f>
        <v>0</v>
      </c>
      <c r="AH188" s="451">
        <f ca="1">IF(AND(Scharniere[[#This Row],[Scharnierart]]=select!$A$1488,Scharniere[[#This Row],[Gruppenschlüssel]]=select!$B$1488)=TRUE,1,0)</f>
        <v>0</v>
      </c>
      <c r="AI188" s="451">
        <f ca="1">IF(SUM(Scharniere[[#This Row],[konf Scharnier 1]:[konf Scharnier 4]])&gt;0,1,0)</f>
        <v>1</v>
      </c>
      <c r="AJ188" s="451"/>
      <c r="AK188" s="451"/>
      <c r="AL188" s="451"/>
      <c r="AM188" s="451"/>
      <c r="AN188" s="451"/>
      <c r="AO188" s="146">
        <v>1</v>
      </c>
      <c r="AP188" s="146">
        <v>1</v>
      </c>
      <c r="AQ188" s="10" t="str">
        <f ca="1">Sprache!$A$112</f>
        <v>Tiomos Scharnier TS Click-on</v>
      </c>
      <c r="AR188" t="s">
        <v>226</v>
      </c>
      <c r="AS188" t="str">
        <f ca="1">Sprache!$A$103</f>
        <v>Tiomos Click-On Scharniere</v>
      </c>
      <c r="AT188">
        <v>0</v>
      </c>
      <c r="AU188" s="34" t="s">
        <v>8</v>
      </c>
      <c r="AV188">
        <v>110</v>
      </c>
      <c r="AW188" s="10">
        <v>1</v>
      </c>
      <c r="AX188">
        <v>0</v>
      </c>
      <c r="AY188">
        <v>0</v>
      </c>
      <c r="AZ188" s="10">
        <v>1</v>
      </c>
      <c r="BA188">
        <v>0</v>
      </c>
      <c r="BB188">
        <v>0</v>
      </c>
      <c r="BC188">
        <v>0</v>
      </c>
      <c r="BD188" s="143" t="s">
        <v>225</v>
      </c>
      <c r="BG188"/>
    </row>
    <row r="189" spans="1:59" ht="14.25" customHeight="1" x14ac:dyDescent="0.25">
      <c r="A189" s="37" t="str">
        <f>LEFT(Scharniere[[#This Row],[ArtikelNR]],4)</f>
        <v>F046</v>
      </c>
      <c r="B189" s="35" t="str">
        <f>MID(Scharniere[[#This Row],[ArtikelNR]],5,3)</f>
        <v>138</v>
      </c>
      <c r="C189" s="37" t="str">
        <f>RIGHT(Scharniere[[#This Row],[ArtikelNR]],3)</f>
        <v>184</v>
      </c>
      <c r="D189" s="35">
        <f>IF(AND(Scharniere[[#This Row],[Gruppenschlüssel]]=select!$A$44,Scharniere[[#This Row],[Scharnierart]]=1)=TRUE,1,0)</f>
        <v>1</v>
      </c>
      <c r="E1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89" s="35">
        <f>IF(select!$F$57=IF(Scharniere[[#This Row],[mit Dämpfung]]=1,1,IF(Scharniere[[#This Row],[ohne Dämpfung]]=1,2,IF(Scharniere[[#This Row],[ohne Feder]]=1,3,0))),1,0)</f>
        <v>1</v>
      </c>
      <c r="G189" s="35">
        <f>IF(Scharniere[[#This Row],[Bohrbild]]=select!$V$43,1,0)</f>
        <v>1</v>
      </c>
      <c r="H189" s="35">
        <f>IF(IF(Scharniere[[#This Row],[Anschrauben]]=1,1,IF(Scharniere[[#This Row],[Einpressen]]=1,2,IF(Scharniere[[#This Row],[Quick]]=1,3,IF(Scharniere[[#This Row],[Werkzeuglos]]=1,4,0))))=select!$F$48,1,0)</f>
        <v>0</v>
      </c>
      <c r="I1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89" s="149">
        <f>IF(AND(Scharniere[[#This Row],[Scharnierart]]=2,Scharniere[[#This Row],[Gruppenschlüssel]]=select!$A$318)=TRUE,1,0)</f>
        <v>0</v>
      </c>
      <c r="K189" s="221">
        <f ca="1">IF(select!$O$424&lt;6,1,0)</f>
        <v>1</v>
      </c>
      <c r="L189" s="139">
        <f>IF(select!$A$362=IF(Scharniere[[#This Row],[mit Dämpfung]]=1,1,IF(Scharniere[[#This Row],[ohne Dämpfung]]=1,2,IF(Scharniere[[#This Row],[ohne Feder]]=1,3,0))),1,0)</f>
        <v>0</v>
      </c>
      <c r="M189" s="135">
        <f>IF(Scharniere[[#This Row],[Bohrbild]]=select!$O$334,1,0)</f>
        <v>1</v>
      </c>
      <c r="N189" s="135">
        <f>IF(IF(Scharniere[[#This Row],[Anschrauben]]=1,1,IF(Scharniere[[#This Row],[Einpressen]]=1,2,IF(Scharniere[[#This Row],[Quick]]=1,3,IF(Scharniere[[#This Row],[Werkzeuglos]]=1,4,0))))=select!$E$362,1,0)</f>
        <v>1</v>
      </c>
      <c r="O1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89" s="298">
        <f>IF(AND(Scharniere[[#This Row],[Scharnierart]]=3,Scharniere[[#This Row],[Gruppenschlüssel]]=select!$A$747)=TRUE,1,0)</f>
        <v>0</v>
      </c>
      <c r="Q189" s="298">
        <f ca="1">IF(select!$O$945&lt;6,1,0)</f>
        <v>1</v>
      </c>
      <c r="R189" s="298">
        <f>IF(select!$A$778=IF(Scharniere[[#This Row],[mit Dämpfung]]=1,1,IF(Scharniere[[#This Row],[ohne Dämpfung]]=1,2,IF(Scharniere[[#This Row],[ohne Feder]]=1,3,0))),1,0)</f>
        <v>0</v>
      </c>
      <c r="S189" s="298">
        <f>IF(Scharniere[[#This Row],[Bohrbild]]=select!$A$755,1,0)</f>
        <v>0</v>
      </c>
      <c r="T189" s="298">
        <f>IF(IF(Scharniere[[#This Row],[Anschrauben]]=1,1,IF(Scharniere[[#This Row],[Einpressen]]=1,2,IF(Scharniere[[#This Row],[Quick]]=1,3,IF(Scharniere[[#This Row],[Werkzeuglos]]=1,4,0))))=select!$A$769,1,0)</f>
        <v>1</v>
      </c>
      <c r="U1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89" s="359">
        <f>IF(AND(Scharniere[[#This Row],[Scharnierart]]=4,Scharniere[[#This Row],[Gruppenschlüssel]]=select!$A$981)=TRUE,1,0)</f>
        <v>0</v>
      </c>
      <c r="W189" s="359">
        <f ca="1">IF(select!$O$1185&lt;6,1,0)</f>
        <v>1</v>
      </c>
      <c r="X189" s="359">
        <f>IF(select!$A$1012=IF(Scharniere[[#This Row],[mit Dämpfung]]=1,1,IF(Scharniere[[#This Row],[ohne Dämpfung]]=1,2,IF(Scharniere[[#This Row],[ohne Feder]]=1,3,0))),1,0)</f>
        <v>0</v>
      </c>
      <c r="Y189" s="359">
        <f>IF(Scharniere[[#This Row],[Bohrbild]]=select!$A$989,1,0)</f>
        <v>0</v>
      </c>
      <c r="Z189" s="359">
        <f>IF(IF(Scharniere[[#This Row],[Anschrauben]]=1,1,IF(Scharniere[[#This Row],[Einpressen]]=1,2,IF(Scharniere[[#This Row],[Quick]]=1,3,IF(Scharniere[[#This Row],[Werkzeuglos]]=1,4,0))))=select!$A$1003,1,0)</f>
        <v>1</v>
      </c>
      <c r="AA1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89" s="359">
        <f ca="1">IF(select!$K$980="*",Scharniere[[#This Row],[AG Ges2]],Scharniere[[#This Row],[AG Ges1]])</f>
        <v>0</v>
      </c>
      <c r="AE189" s="451">
        <f ca="1">IF(AND(Scharniere[[#This Row],[Scharnierart]]=select!$A$1485,Scharniere[[#This Row],[Gruppenschlüssel]]=select!$B$1485)=TRUE,1,0)</f>
        <v>1</v>
      </c>
      <c r="AF189" s="451">
        <f ca="1">IF(AND(Scharniere[[#This Row],[Scharnierart]]=select!$A$1486,Scharniere[[#This Row],[Gruppenschlüssel]]=select!$B$1486)=TRUE,1,0)</f>
        <v>0</v>
      </c>
      <c r="AG189" s="451">
        <f ca="1">IF(AND(Scharniere[[#This Row],[Scharnierart]]=select!$A$1487,Scharniere[[#This Row],[Gruppenschlüssel]]=select!$B$1487)=TRUE,1,0)</f>
        <v>0</v>
      </c>
      <c r="AH189" s="451">
        <f ca="1">IF(AND(Scharniere[[#This Row],[Scharnierart]]=select!$A$1488,Scharniere[[#This Row],[Gruppenschlüssel]]=select!$B$1488)=TRUE,1,0)</f>
        <v>0</v>
      </c>
      <c r="AI189" s="451">
        <f ca="1">IF(SUM(Scharniere[[#This Row],[konf Scharnier 1]:[konf Scharnier 4]])&gt;0,1,0)</f>
        <v>1</v>
      </c>
      <c r="AJ189" s="451"/>
      <c r="AK189" s="451"/>
      <c r="AL189" s="451"/>
      <c r="AM189" s="451"/>
      <c r="AN189" s="451"/>
      <c r="AO189" s="146">
        <v>1</v>
      </c>
      <c r="AP189" s="146">
        <v>1</v>
      </c>
      <c r="AQ189" s="10" t="str">
        <f ca="1">Sprache!$A$114</f>
        <v>Tiomos Scharnier TT Click-on</v>
      </c>
      <c r="AR189" t="s">
        <v>226</v>
      </c>
      <c r="AS189" t="str">
        <f ca="1">Sprache!$A$103</f>
        <v>Tiomos Click-On Scharniere</v>
      </c>
      <c r="AT189">
        <v>0</v>
      </c>
      <c r="AU189" t="s">
        <v>8</v>
      </c>
      <c r="AV189">
        <v>110</v>
      </c>
      <c r="AW189" s="10">
        <v>0</v>
      </c>
      <c r="AX189">
        <v>0</v>
      </c>
      <c r="AY189">
        <v>1</v>
      </c>
      <c r="AZ189" s="10">
        <v>1</v>
      </c>
      <c r="BA189">
        <v>0</v>
      </c>
      <c r="BB189">
        <v>0</v>
      </c>
      <c r="BC189">
        <v>0</v>
      </c>
      <c r="BD189" s="143" t="s">
        <v>581</v>
      </c>
      <c r="BG189"/>
    </row>
    <row r="190" spans="1:59" ht="14.25" customHeight="1" x14ac:dyDescent="0.25">
      <c r="A190" s="37" t="str">
        <f>LEFT(Scharniere[[#This Row],[ArtikelNR]],4)</f>
        <v>F034</v>
      </c>
      <c r="B190" s="35" t="str">
        <f>MID(Scharniere[[#This Row],[ArtikelNR]],5,3)</f>
        <v>139</v>
      </c>
      <c r="C190" s="37" t="str">
        <f>RIGHT(Scharniere[[#This Row],[ArtikelNR]],3)</f>
        <v>300</v>
      </c>
      <c r="D190" s="35">
        <f>IF(AND(Scharniere[[#This Row],[Gruppenschlüssel]]=select!$A$44,Scharniere[[#This Row],[Scharnierart]]=1)=TRUE,1,0)</f>
        <v>1</v>
      </c>
      <c r="E1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0" s="35">
        <f>IF(select!$F$57=IF(Scharniere[[#This Row],[mit Dämpfung]]=1,1,IF(Scharniere[[#This Row],[ohne Dämpfung]]=1,2,IF(Scharniere[[#This Row],[ohne Feder]]=1,3,0))),1,0)</f>
        <v>0</v>
      </c>
      <c r="G190" s="35">
        <f>IF(Scharniere[[#This Row],[Bohrbild]]=select!$V$43,1,0)</f>
        <v>1</v>
      </c>
      <c r="H190" s="35">
        <f>IF(IF(Scharniere[[#This Row],[Anschrauben]]=1,1,IF(Scharniere[[#This Row],[Einpressen]]=1,2,IF(Scharniere[[#This Row],[Quick]]=1,3,IF(Scharniere[[#This Row],[Werkzeuglos]]=1,4,0))))=select!$F$48,1,0)</f>
        <v>0</v>
      </c>
      <c r="I1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0" s="149">
        <f>IF(AND(Scharniere[[#This Row],[Scharnierart]]=2,Scharniere[[#This Row],[Gruppenschlüssel]]=select!$A$318)=TRUE,1,0)</f>
        <v>0</v>
      </c>
      <c r="K190" s="221">
        <f ca="1">IF(select!$O$424&lt;6,1,0)</f>
        <v>1</v>
      </c>
      <c r="L190" s="139">
        <f>IF(select!$A$362=IF(Scharniere[[#This Row],[mit Dämpfung]]=1,1,IF(Scharniere[[#This Row],[ohne Dämpfung]]=1,2,IF(Scharniere[[#This Row],[ohne Feder]]=1,3,0))),1,0)</f>
        <v>0</v>
      </c>
      <c r="M190" s="135">
        <f>IF(Scharniere[[#This Row],[Bohrbild]]=select!$O$334,1,0)</f>
        <v>1</v>
      </c>
      <c r="N190" s="135">
        <f>IF(IF(Scharniere[[#This Row],[Anschrauben]]=1,1,IF(Scharniere[[#This Row],[Einpressen]]=1,2,IF(Scharniere[[#This Row],[Quick]]=1,3,IF(Scharniere[[#This Row],[Werkzeuglos]]=1,4,0))))=select!$E$362,1,0)</f>
        <v>0</v>
      </c>
      <c r="O1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0" s="298">
        <f>IF(AND(Scharniere[[#This Row],[Scharnierart]]=3,Scharniere[[#This Row],[Gruppenschlüssel]]=select!$A$747)=TRUE,1,0)</f>
        <v>0</v>
      </c>
      <c r="Q190" s="298">
        <f ca="1">IF(select!$O$945&lt;6,1,0)</f>
        <v>1</v>
      </c>
      <c r="R190" s="298">
        <f>IF(select!$A$778=IF(Scharniere[[#This Row],[mit Dämpfung]]=1,1,IF(Scharniere[[#This Row],[ohne Dämpfung]]=1,2,IF(Scharniere[[#This Row],[ohne Feder]]=1,3,0))),1,0)</f>
        <v>1</v>
      </c>
      <c r="S190" s="298">
        <f>IF(Scharniere[[#This Row],[Bohrbild]]=select!$A$755,1,0)</f>
        <v>0</v>
      </c>
      <c r="T190" s="298">
        <f>IF(IF(Scharniere[[#This Row],[Anschrauben]]=1,1,IF(Scharniere[[#This Row],[Einpressen]]=1,2,IF(Scharniere[[#This Row],[Quick]]=1,3,IF(Scharniere[[#This Row],[Werkzeuglos]]=1,4,0))))=select!$A$769,1,0)</f>
        <v>0</v>
      </c>
      <c r="U1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0" s="359">
        <f>IF(AND(Scharniere[[#This Row],[Scharnierart]]=4,Scharniere[[#This Row],[Gruppenschlüssel]]=select!$A$981)=TRUE,1,0)</f>
        <v>0</v>
      </c>
      <c r="W190" s="359">
        <f ca="1">IF(select!$O$1185&lt;6,1,0)</f>
        <v>1</v>
      </c>
      <c r="X190" s="359">
        <f>IF(select!$A$1012=IF(Scharniere[[#This Row],[mit Dämpfung]]=1,1,IF(Scharniere[[#This Row],[ohne Dämpfung]]=1,2,IF(Scharniere[[#This Row],[ohne Feder]]=1,3,0))),1,0)</f>
        <v>1</v>
      </c>
      <c r="Y190" s="359">
        <f>IF(Scharniere[[#This Row],[Bohrbild]]=select!$A$989,1,0)</f>
        <v>0</v>
      </c>
      <c r="Z190" s="359">
        <f>IF(IF(Scharniere[[#This Row],[Anschrauben]]=1,1,IF(Scharniere[[#This Row],[Einpressen]]=1,2,IF(Scharniere[[#This Row],[Quick]]=1,3,IF(Scharniere[[#This Row],[Werkzeuglos]]=1,4,0))))=select!$A$1003,1,0)</f>
        <v>0</v>
      </c>
      <c r="AA1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0" s="359">
        <f ca="1">IF(select!$K$980="*",Scharniere[[#This Row],[AG Ges2]],Scharniere[[#This Row],[AG Ges1]])</f>
        <v>0</v>
      </c>
      <c r="AE190" s="451">
        <f ca="1">IF(AND(Scharniere[[#This Row],[Scharnierart]]=select!$A$1485,Scharniere[[#This Row],[Gruppenschlüssel]]=select!$B$1485)=TRUE,1,0)</f>
        <v>1</v>
      </c>
      <c r="AF190" s="451">
        <f ca="1">IF(AND(Scharniere[[#This Row],[Scharnierart]]=select!$A$1486,Scharniere[[#This Row],[Gruppenschlüssel]]=select!$B$1486)=TRUE,1,0)</f>
        <v>0</v>
      </c>
      <c r="AG190" s="451">
        <f ca="1">IF(AND(Scharniere[[#This Row],[Scharnierart]]=select!$A$1487,Scharniere[[#This Row],[Gruppenschlüssel]]=select!$B$1487)=TRUE,1,0)</f>
        <v>0</v>
      </c>
      <c r="AH190" s="451">
        <f ca="1">IF(AND(Scharniere[[#This Row],[Scharnierart]]=select!$A$1488,Scharniere[[#This Row],[Gruppenschlüssel]]=select!$B$1488)=TRUE,1,0)</f>
        <v>0</v>
      </c>
      <c r="AI190" s="451">
        <f ca="1">IF(SUM(Scharniere[[#This Row],[konf Scharnier 1]:[konf Scharnier 4]])&gt;0,1,0)</f>
        <v>1</v>
      </c>
      <c r="AJ190" s="451"/>
      <c r="AK190" s="451"/>
      <c r="AL190" s="451"/>
      <c r="AM190" s="451"/>
      <c r="AN190" s="451"/>
      <c r="AO190" s="146">
        <v>1</v>
      </c>
      <c r="AP190" s="146">
        <v>1</v>
      </c>
      <c r="AQ190" s="10" t="str">
        <f ca="1">Sprache!$A$111</f>
        <v>Tiomos Scharnier T Impresso</v>
      </c>
      <c r="AR190" t="s">
        <v>59</v>
      </c>
      <c r="AS190" t="str">
        <f ca="1">Sprache!$A$116</f>
        <v>Tiomos Impresso Scharniere</v>
      </c>
      <c r="AT190">
        <v>0</v>
      </c>
      <c r="AU190" t="s">
        <v>8</v>
      </c>
      <c r="AV190">
        <v>110</v>
      </c>
      <c r="AW190" s="10">
        <v>0</v>
      </c>
      <c r="AX190">
        <v>1</v>
      </c>
      <c r="AY190">
        <v>0</v>
      </c>
      <c r="AZ190" s="10">
        <v>0</v>
      </c>
      <c r="BA190">
        <v>0</v>
      </c>
      <c r="BB190">
        <v>0</v>
      </c>
      <c r="BC190">
        <v>1</v>
      </c>
      <c r="BD190" s="143" t="s">
        <v>37</v>
      </c>
      <c r="BG190"/>
    </row>
    <row r="191" spans="1:59" ht="14.25" customHeight="1" x14ac:dyDescent="0.25">
      <c r="A191" s="37" t="str">
        <f>LEFT(Scharniere[[#This Row],[ArtikelNR]],4)</f>
        <v>F034</v>
      </c>
      <c r="B191" s="35" t="str">
        <f>MID(Scharniere[[#This Row],[ArtikelNR]],5,3)</f>
        <v>139</v>
      </c>
      <c r="C191" s="37" t="str">
        <f>RIGHT(Scharniere[[#This Row],[ArtikelNR]],3)</f>
        <v>300</v>
      </c>
      <c r="D191" s="35">
        <f>IF(AND(Scharniere[[#This Row],[Gruppenschlüssel]]=select!$A$44,Scharniere[[#This Row],[Scharnierart]]=1)=TRUE,1,0)</f>
        <v>1</v>
      </c>
      <c r="E1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1" s="35">
        <f>IF(select!$F$57=IF(Scharniere[[#This Row],[mit Dämpfung]]=1,1,IF(Scharniere[[#This Row],[ohne Dämpfung]]=1,2,IF(Scharniere[[#This Row],[ohne Feder]]=1,3,0))),1,0)</f>
        <v>0</v>
      </c>
      <c r="G191" s="35">
        <f>IF(Scharniere[[#This Row],[Bohrbild]]=select!$V$43,1,0)</f>
        <v>0</v>
      </c>
      <c r="H191" s="35">
        <f>IF(IF(Scharniere[[#This Row],[Anschrauben]]=1,1,IF(Scharniere[[#This Row],[Einpressen]]=1,2,IF(Scharniere[[#This Row],[Quick]]=1,3,IF(Scharniere[[#This Row],[Werkzeuglos]]=1,4,0))))=select!$F$48,1,0)</f>
        <v>0</v>
      </c>
      <c r="I1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1" s="149">
        <f>IF(AND(Scharniere[[#This Row],[Scharnierart]]=2,Scharniere[[#This Row],[Gruppenschlüssel]]=select!$A$318)=TRUE,1,0)</f>
        <v>0</v>
      </c>
      <c r="K191" s="221">
        <f ca="1">IF(select!$O$424&lt;6,1,0)</f>
        <v>1</v>
      </c>
      <c r="L191" s="139">
        <f>IF(select!$A$362=IF(Scharniere[[#This Row],[mit Dämpfung]]=1,1,IF(Scharniere[[#This Row],[ohne Dämpfung]]=1,2,IF(Scharniere[[#This Row],[ohne Feder]]=1,3,0))),1,0)</f>
        <v>0</v>
      </c>
      <c r="M191" s="135">
        <f>IF(Scharniere[[#This Row],[Bohrbild]]=select!$O$334,1,0)</f>
        <v>0</v>
      </c>
      <c r="N191" s="135">
        <f>IF(IF(Scharniere[[#This Row],[Anschrauben]]=1,1,IF(Scharniere[[#This Row],[Einpressen]]=1,2,IF(Scharniere[[#This Row],[Quick]]=1,3,IF(Scharniere[[#This Row],[Werkzeuglos]]=1,4,0))))=select!$E$362,1,0)</f>
        <v>0</v>
      </c>
      <c r="O1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1" s="298">
        <f>IF(AND(Scharniere[[#This Row],[Scharnierart]]=3,Scharniere[[#This Row],[Gruppenschlüssel]]=select!$A$747)=TRUE,1,0)</f>
        <v>0</v>
      </c>
      <c r="Q191" s="298">
        <f ca="1">IF(select!$O$945&lt;6,1,0)</f>
        <v>1</v>
      </c>
      <c r="R191" s="298">
        <f>IF(select!$A$778=IF(Scharniere[[#This Row],[mit Dämpfung]]=1,1,IF(Scharniere[[#This Row],[ohne Dämpfung]]=1,2,IF(Scharniere[[#This Row],[ohne Feder]]=1,3,0))),1,0)</f>
        <v>1</v>
      </c>
      <c r="S191" s="298">
        <f>IF(Scharniere[[#This Row],[Bohrbild]]=select!$A$755,1,0)</f>
        <v>0</v>
      </c>
      <c r="T191" s="298">
        <f>IF(IF(Scharniere[[#This Row],[Anschrauben]]=1,1,IF(Scharniere[[#This Row],[Einpressen]]=1,2,IF(Scharniere[[#This Row],[Quick]]=1,3,IF(Scharniere[[#This Row],[Werkzeuglos]]=1,4,0))))=select!$A$769,1,0)</f>
        <v>0</v>
      </c>
      <c r="U1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1" s="359">
        <f>IF(AND(Scharniere[[#This Row],[Scharnierart]]=4,Scharniere[[#This Row],[Gruppenschlüssel]]=select!$A$981)=TRUE,1,0)</f>
        <v>0</v>
      </c>
      <c r="W191" s="359">
        <f ca="1">IF(select!$O$1185&lt;6,1,0)</f>
        <v>1</v>
      </c>
      <c r="X191" s="359">
        <f>IF(select!$A$1012=IF(Scharniere[[#This Row],[mit Dämpfung]]=1,1,IF(Scharniere[[#This Row],[ohne Dämpfung]]=1,2,IF(Scharniere[[#This Row],[ohne Feder]]=1,3,0))),1,0)</f>
        <v>1</v>
      </c>
      <c r="Y191" s="359">
        <f>IF(Scharniere[[#This Row],[Bohrbild]]=select!$A$989,1,0)</f>
        <v>0</v>
      </c>
      <c r="Z191" s="359">
        <f>IF(IF(Scharniere[[#This Row],[Anschrauben]]=1,1,IF(Scharniere[[#This Row],[Einpressen]]=1,2,IF(Scharniere[[#This Row],[Quick]]=1,3,IF(Scharniere[[#This Row],[Werkzeuglos]]=1,4,0))))=select!$A$1003,1,0)</f>
        <v>0</v>
      </c>
      <c r="AA1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1" s="359">
        <f ca="1">IF(select!$K$980="*",Scharniere[[#This Row],[AG Ges2]],Scharniere[[#This Row],[AG Ges1]])</f>
        <v>0</v>
      </c>
      <c r="AE191" s="451">
        <f ca="1">IF(AND(Scharniere[[#This Row],[Scharnierart]]=select!$A$1485,Scharniere[[#This Row],[Gruppenschlüssel]]=select!$B$1485)=TRUE,1,0)</f>
        <v>1</v>
      </c>
      <c r="AF191" s="451">
        <f ca="1">IF(AND(Scharniere[[#This Row],[Scharnierart]]=select!$A$1486,Scharniere[[#This Row],[Gruppenschlüssel]]=select!$B$1486)=TRUE,1,0)</f>
        <v>0</v>
      </c>
      <c r="AG191" s="451">
        <f ca="1">IF(AND(Scharniere[[#This Row],[Scharnierart]]=select!$A$1487,Scharniere[[#This Row],[Gruppenschlüssel]]=select!$B$1487)=TRUE,1,0)</f>
        <v>0</v>
      </c>
      <c r="AH191" s="451">
        <f ca="1">IF(AND(Scharniere[[#This Row],[Scharnierart]]=select!$A$1488,Scharniere[[#This Row],[Gruppenschlüssel]]=select!$B$1488)=TRUE,1,0)</f>
        <v>0</v>
      </c>
      <c r="AI191" s="451">
        <f ca="1">IF(SUM(Scharniere[[#This Row],[konf Scharnier 1]:[konf Scharnier 4]])&gt;0,1,0)</f>
        <v>1</v>
      </c>
      <c r="AJ191" s="451"/>
      <c r="AK191" s="451"/>
      <c r="AL191" s="451"/>
      <c r="AM191" s="451"/>
      <c r="AN191" s="451"/>
      <c r="AO191" s="146">
        <v>1</v>
      </c>
      <c r="AP191" s="146">
        <v>1</v>
      </c>
      <c r="AQ191" s="10" t="str">
        <f ca="1">Sprache!$A$111</f>
        <v>Tiomos Scharnier T Impresso</v>
      </c>
      <c r="AR191" t="s">
        <v>59</v>
      </c>
      <c r="AS191" t="str">
        <f ca="1">Sprache!$A$116</f>
        <v>Tiomos Impresso Scharniere</v>
      </c>
      <c r="AT191">
        <v>0</v>
      </c>
      <c r="AU191" t="s">
        <v>3</v>
      </c>
      <c r="AV191">
        <v>110</v>
      </c>
      <c r="AW191" s="10">
        <v>0</v>
      </c>
      <c r="AX191">
        <v>1</v>
      </c>
      <c r="AY191">
        <v>0</v>
      </c>
      <c r="AZ191" s="10">
        <v>0</v>
      </c>
      <c r="BA191">
        <v>0</v>
      </c>
      <c r="BB191">
        <v>0</v>
      </c>
      <c r="BC191">
        <v>1</v>
      </c>
      <c r="BD191" s="143" t="s">
        <v>37</v>
      </c>
      <c r="BG191"/>
    </row>
    <row r="192" spans="1:59" ht="14.25" customHeight="1" x14ac:dyDescent="0.25">
      <c r="A192" s="37" t="str">
        <f>LEFT(Scharniere[[#This Row],[ArtikelNR]],4)</f>
        <v>F017</v>
      </c>
      <c r="B192" s="35" t="str">
        <f>MID(Scharniere[[#This Row],[ArtikelNR]],5,3)</f>
        <v>139</v>
      </c>
      <c r="C192" s="37" t="str">
        <f>RIGHT(Scharniere[[#This Row],[ArtikelNR]],3)</f>
        <v>329</v>
      </c>
      <c r="D192" s="35">
        <f>IF(AND(Scharniere[[#This Row],[Gruppenschlüssel]]=select!$A$44,Scharniere[[#This Row],[Scharnierart]]=1)=TRUE,1,0)</f>
        <v>1</v>
      </c>
      <c r="E1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2" s="35">
        <f>IF(select!$F$57=IF(Scharniere[[#This Row],[mit Dämpfung]]=1,1,IF(Scharniere[[#This Row],[ohne Dämpfung]]=1,2,IF(Scharniere[[#This Row],[ohne Feder]]=1,3,0))),1,0)</f>
        <v>0</v>
      </c>
      <c r="G192" s="35">
        <f>IF(Scharniere[[#This Row],[Bohrbild]]=select!$V$43,1,0)</f>
        <v>1</v>
      </c>
      <c r="H192" s="35">
        <f>IF(IF(Scharniere[[#This Row],[Anschrauben]]=1,1,IF(Scharniere[[#This Row],[Einpressen]]=1,2,IF(Scharniere[[#This Row],[Quick]]=1,3,IF(Scharniere[[#This Row],[Werkzeuglos]]=1,4,0))))=select!$F$48,1,0)</f>
        <v>0</v>
      </c>
      <c r="I1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2" s="149">
        <f>IF(AND(Scharniere[[#This Row],[Scharnierart]]=2,Scharniere[[#This Row],[Gruppenschlüssel]]=select!$A$318)=TRUE,1,0)</f>
        <v>0</v>
      </c>
      <c r="K192" s="221">
        <f ca="1">IF(select!$O$424&lt;6,1,0)</f>
        <v>1</v>
      </c>
      <c r="L192" s="139">
        <f>IF(select!$A$362=IF(Scharniere[[#This Row],[mit Dämpfung]]=1,1,IF(Scharniere[[#This Row],[ohne Dämpfung]]=1,2,IF(Scharniere[[#This Row],[ohne Feder]]=1,3,0))),1,0)</f>
        <v>1</v>
      </c>
      <c r="M192" s="135">
        <f>IF(Scharniere[[#This Row],[Bohrbild]]=select!$O$334,1,0)</f>
        <v>1</v>
      </c>
      <c r="N192" s="135">
        <f>IF(IF(Scharniere[[#This Row],[Anschrauben]]=1,1,IF(Scharniere[[#This Row],[Einpressen]]=1,2,IF(Scharniere[[#This Row],[Quick]]=1,3,IF(Scharniere[[#This Row],[Werkzeuglos]]=1,4,0))))=select!$E$362,1,0)</f>
        <v>0</v>
      </c>
      <c r="O1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2" s="298">
        <f>IF(AND(Scharniere[[#This Row],[Scharnierart]]=3,Scharniere[[#This Row],[Gruppenschlüssel]]=select!$A$747)=TRUE,1,0)</f>
        <v>0</v>
      </c>
      <c r="Q192" s="298">
        <f ca="1">IF(select!$O$945&lt;6,1,0)</f>
        <v>1</v>
      </c>
      <c r="R192" s="298">
        <f>IF(select!$A$778=IF(Scharniere[[#This Row],[mit Dämpfung]]=1,1,IF(Scharniere[[#This Row],[ohne Dämpfung]]=1,2,IF(Scharniere[[#This Row],[ohne Feder]]=1,3,0))),1,0)</f>
        <v>0</v>
      </c>
      <c r="S192" s="298">
        <f>IF(Scharniere[[#This Row],[Bohrbild]]=select!$A$755,1,0)</f>
        <v>0</v>
      </c>
      <c r="T192" s="298">
        <f>IF(IF(Scharniere[[#This Row],[Anschrauben]]=1,1,IF(Scharniere[[#This Row],[Einpressen]]=1,2,IF(Scharniere[[#This Row],[Quick]]=1,3,IF(Scharniere[[#This Row],[Werkzeuglos]]=1,4,0))))=select!$A$769,1,0)</f>
        <v>0</v>
      </c>
      <c r="U1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2" s="359">
        <f>IF(AND(Scharniere[[#This Row],[Scharnierart]]=4,Scharniere[[#This Row],[Gruppenschlüssel]]=select!$A$981)=TRUE,1,0)</f>
        <v>0</v>
      </c>
      <c r="W192" s="359">
        <f ca="1">IF(select!$O$1185&lt;6,1,0)</f>
        <v>1</v>
      </c>
      <c r="X192" s="359">
        <f>IF(select!$A$1012=IF(Scharniere[[#This Row],[mit Dämpfung]]=1,1,IF(Scharniere[[#This Row],[ohne Dämpfung]]=1,2,IF(Scharniere[[#This Row],[ohne Feder]]=1,3,0))),1,0)</f>
        <v>0</v>
      </c>
      <c r="Y192" s="359">
        <f>IF(Scharniere[[#This Row],[Bohrbild]]=select!$A$989,1,0)</f>
        <v>0</v>
      </c>
      <c r="Z192" s="359">
        <f>IF(IF(Scharniere[[#This Row],[Anschrauben]]=1,1,IF(Scharniere[[#This Row],[Einpressen]]=1,2,IF(Scharniere[[#This Row],[Quick]]=1,3,IF(Scharniere[[#This Row],[Werkzeuglos]]=1,4,0))))=select!$A$1003,1,0)</f>
        <v>0</v>
      </c>
      <c r="AA1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2" s="359">
        <f ca="1">IF(select!$K$980="*",Scharniere[[#This Row],[AG Ges2]],Scharniere[[#This Row],[AG Ges1]])</f>
        <v>0</v>
      </c>
      <c r="AE192" s="451">
        <f ca="1">IF(AND(Scharniere[[#This Row],[Scharnierart]]=select!$A$1485,Scharniere[[#This Row],[Gruppenschlüssel]]=select!$B$1485)=TRUE,1,0)</f>
        <v>1</v>
      </c>
      <c r="AF192" s="451">
        <f ca="1">IF(AND(Scharniere[[#This Row],[Scharnierart]]=select!$A$1486,Scharniere[[#This Row],[Gruppenschlüssel]]=select!$B$1486)=TRUE,1,0)</f>
        <v>0</v>
      </c>
      <c r="AG192" s="451">
        <f ca="1">IF(AND(Scharniere[[#This Row],[Scharnierart]]=select!$A$1487,Scharniere[[#This Row],[Gruppenschlüssel]]=select!$B$1487)=TRUE,1,0)</f>
        <v>0</v>
      </c>
      <c r="AH192" s="451">
        <f ca="1">IF(AND(Scharniere[[#This Row],[Scharnierart]]=select!$A$1488,Scharniere[[#This Row],[Gruppenschlüssel]]=select!$B$1488)=TRUE,1,0)</f>
        <v>0</v>
      </c>
      <c r="AI192" s="451">
        <f ca="1">IF(SUM(Scharniere[[#This Row],[konf Scharnier 1]:[konf Scharnier 4]])&gt;0,1,0)</f>
        <v>1</v>
      </c>
      <c r="AJ192" s="451"/>
      <c r="AK192" s="451"/>
      <c r="AL192" s="451"/>
      <c r="AM192" s="451"/>
      <c r="AN192" s="451"/>
      <c r="AO192" s="146">
        <v>1</v>
      </c>
      <c r="AP192" s="146">
        <v>1</v>
      </c>
      <c r="AQ192" s="10" t="str">
        <f ca="1">Sprache!$A$113</f>
        <v>Tiomos Scharnier TS Impresso</v>
      </c>
      <c r="AR192" t="s">
        <v>59</v>
      </c>
      <c r="AS192" t="str">
        <f ca="1">Sprache!$A$116</f>
        <v>Tiomos Impresso Scharniere</v>
      </c>
      <c r="AT192">
        <v>0</v>
      </c>
      <c r="AU192" t="s">
        <v>8</v>
      </c>
      <c r="AV192">
        <v>110</v>
      </c>
      <c r="AW192" s="10">
        <v>1</v>
      </c>
      <c r="AX192">
        <v>0</v>
      </c>
      <c r="AY192">
        <v>0</v>
      </c>
      <c r="AZ192" s="10">
        <v>0</v>
      </c>
      <c r="BA192">
        <v>0</v>
      </c>
      <c r="BB192">
        <v>0</v>
      </c>
      <c r="BC192">
        <v>1</v>
      </c>
      <c r="BD192" s="143" t="s">
        <v>35</v>
      </c>
      <c r="BG192"/>
    </row>
    <row r="193" spans="1:59" ht="14.25" customHeight="1" x14ac:dyDescent="0.25">
      <c r="A193" s="37" t="str">
        <f>LEFT(Scharniere[[#This Row],[ArtikelNR]],4)</f>
        <v>F017</v>
      </c>
      <c r="B193" s="35" t="str">
        <f>MID(Scharniere[[#This Row],[ArtikelNR]],5,3)</f>
        <v>139</v>
      </c>
      <c r="C193" s="37" t="str">
        <f>RIGHT(Scharniere[[#This Row],[ArtikelNR]],3)</f>
        <v>329</v>
      </c>
      <c r="D193" s="35">
        <f>IF(AND(Scharniere[[#This Row],[Gruppenschlüssel]]=select!$A$44,Scharniere[[#This Row],[Scharnierart]]=1)=TRUE,1,0)</f>
        <v>1</v>
      </c>
      <c r="E1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3" s="35">
        <f>IF(select!$F$57=IF(Scharniere[[#This Row],[mit Dämpfung]]=1,1,IF(Scharniere[[#This Row],[ohne Dämpfung]]=1,2,IF(Scharniere[[#This Row],[ohne Feder]]=1,3,0))),1,0)</f>
        <v>0</v>
      </c>
      <c r="G193" s="35">
        <f>IF(Scharniere[[#This Row],[Bohrbild]]=select!$V$43,1,0)</f>
        <v>0</v>
      </c>
      <c r="H193" s="35">
        <f>IF(IF(Scharniere[[#This Row],[Anschrauben]]=1,1,IF(Scharniere[[#This Row],[Einpressen]]=1,2,IF(Scharniere[[#This Row],[Quick]]=1,3,IF(Scharniere[[#This Row],[Werkzeuglos]]=1,4,0))))=select!$F$48,1,0)</f>
        <v>0</v>
      </c>
      <c r="I1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3" s="149">
        <f>IF(AND(Scharniere[[#This Row],[Scharnierart]]=2,Scharniere[[#This Row],[Gruppenschlüssel]]=select!$A$318)=TRUE,1,0)</f>
        <v>0</v>
      </c>
      <c r="K193" s="221">
        <f ca="1">IF(select!$O$424&lt;6,1,0)</f>
        <v>1</v>
      </c>
      <c r="L193" s="139">
        <f>IF(select!$A$362=IF(Scharniere[[#This Row],[mit Dämpfung]]=1,1,IF(Scharniere[[#This Row],[ohne Dämpfung]]=1,2,IF(Scharniere[[#This Row],[ohne Feder]]=1,3,0))),1,0)</f>
        <v>1</v>
      </c>
      <c r="M193" s="135">
        <f>IF(Scharniere[[#This Row],[Bohrbild]]=select!$O$334,1,0)</f>
        <v>0</v>
      </c>
      <c r="N193" s="135">
        <f>IF(IF(Scharniere[[#This Row],[Anschrauben]]=1,1,IF(Scharniere[[#This Row],[Einpressen]]=1,2,IF(Scharniere[[#This Row],[Quick]]=1,3,IF(Scharniere[[#This Row],[Werkzeuglos]]=1,4,0))))=select!$E$362,1,0)</f>
        <v>0</v>
      </c>
      <c r="O1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3" s="298">
        <f>IF(AND(Scharniere[[#This Row],[Scharnierart]]=3,Scharniere[[#This Row],[Gruppenschlüssel]]=select!$A$747)=TRUE,1,0)</f>
        <v>0</v>
      </c>
      <c r="Q193" s="298">
        <f ca="1">IF(select!$O$945&lt;6,1,0)</f>
        <v>1</v>
      </c>
      <c r="R193" s="298">
        <f>IF(select!$A$778=IF(Scharniere[[#This Row],[mit Dämpfung]]=1,1,IF(Scharniere[[#This Row],[ohne Dämpfung]]=1,2,IF(Scharniere[[#This Row],[ohne Feder]]=1,3,0))),1,0)</f>
        <v>0</v>
      </c>
      <c r="S193" s="298">
        <f>IF(Scharniere[[#This Row],[Bohrbild]]=select!$A$755,1,0)</f>
        <v>0</v>
      </c>
      <c r="T193" s="298">
        <f>IF(IF(Scharniere[[#This Row],[Anschrauben]]=1,1,IF(Scharniere[[#This Row],[Einpressen]]=1,2,IF(Scharniere[[#This Row],[Quick]]=1,3,IF(Scharniere[[#This Row],[Werkzeuglos]]=1,4,0))))=select!$A$769,1,0)</f>
        <v>0</v>
      </c>
      <c r="U1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3" s="359">
        <f>IF(AND(Scharniere[[#This Row],[Scharnierart]]=4,Scharniere[[#This Row],[Gruppenschlüssel]]=select!$A$981)=TRUE,1,0)</f>
        <v>0</v>
      </c>
      <c r="W193" s="359">
        <f ca="1">IF(select!$O$1185&lt;6,1,0)</f>
        <v>1</v>
      </c>
      <c r="X193" s="359">
        <f>IF(select!$A$1012=IF(Scharniere[[#This Row],[mit Dämpfung]]=1,1,IF(Scharniere[[#This Row],[ohne Dämpfung]]=1,2,IF(Scharniere[[#This Row],[ohne Feder]]=1,3,0))),1,0)</f>
        <v>0</v>
      </c>
      <c r="Y193" s="359">
        <f>IF(Scharniere[[#This Row],[Bohrbild]]=select!$A$989,1,0)</f>
        <v>0</v>
      </c>
      <c r="Z193" s="359">
        <f>IF(IF(Scharniere[[#This Row],[Anschrauben]]=1,1,IF(Scharniere[[#This Row],[Einpressen]]=1,2,IF(Scharniere[[#This Row],[Quick]]=1,3,IF(Scharniere[[#This Row],[Werkzeuglos]]=1,4,0))))=select!$A$1003,1,0)</f>
        <v>0</v>
      </c>
      <c r="AA1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3" s="359">
        <f ca="1">IF(select!$K$980="*",Scharniere[[#This Row],[AG Ges2]],Scharniere[[#This Row],[AG Ges1]])</f>
        <v>0</v>
      </c>
      <c r="AE193" s="451">
        <f ca="1">IF(AND(Scharniere[[#This Row],[Scharnierart]]=select!$A$1485,Scharniere[[#This Row],[Gruppenschlüssel]]=select!$B$1485)=TRUE,1,0)</f>
        <v>1</v>
      </c>
      <c r="AF193" s="451">
        <f ca="1">IF(AND(Scharniere[[#This Row],[Scharnierart]]=select!$A$1486,Scharniere[[#This Row],[Gruppenschlüssel]]=select!$B$1486)=TRUE,1,0)</f>
        <v>0</v>
      </c>
      <c r="AG193" s="451">
        <f ca="1">IF(AND(Scharniere[[#This Row],[Scharnierart]]=select!$A$1487,Scharniere[[#This Row],[Gruppenschlüssel]]=select!$B$1487)=TRUE,1,0)</f>
        <v>0</v>
      </c>
      <c r="AH193" s="451">
        <f ca="1">IF(AND(Scharniere[[#This Row],[Scharnierart]]=select!$A$1488,Scharniere[[#This Row],[Gruppenschlüssel]]=select!$B$1488)=TRUE,1,0)</f>
        <v>0</v>
      </c>
      <c r="AI193" s="451">
        <f ca="1">IF(SUM(Scharniere[[#This Row],[konf Scharnier 1]:[konf Scharnier 4]])&gt;0,1,0)</f>
        <v>1</v>
      </c>
      <c r="AJ193" s="451"/>
      <c r="AK193" s="451"/>
      <c r="AL193" s="451"/>
      <c r="AM193" s="451"/>
      <c r="AN193" s="451"/>
      <c r="AO193" s="146">
        <v>1</v>
      </c>
      <c r="AP193" s="146">
        <v>1</v>
      </c>
      <c r="AQ193" s="10" t="str">
        <f ca="1">Sprache!$A$113</f>
        <v>Tiomos Scharnier TS Impresso</v>
      </c>
      <c r="AR193" t="s">
        <v>59</v>
      </c>
      <c r="AS193" t="str">
        <f ca="1">Sprache!$A$116</f>
        <v>Tiomos Impresso Scharniere</v>
      </c>
      <c r="AT193">
        <v>0</v>
      </c>
      <c r="AU193" t="s">
        <v>3</v>
      </c>
      <c r="AV193">
        <v>110</v>
      </c>
      <c r="AW193" s="10">
        <v>1</v>
      </c>
      <c r="AX193">
        <v>0</v>
      </c>
      <c r="AY193">
        <v>0</v>
      </c>
      <c r="AZ193" s="10">
        <v>0</v>
      </c>
      <c r="BA193">
        <v>0</v>
      </c>
      <c r="BB193">
        <v>0</v>
      </c>
      <c r="BC193">
        <v>1</v>
      </c>
      <c r="BD193" s="143" t="s">
        <v>35</v>
      </c>
      <c r="BG193"/>
    </row>
    <row r="194" spans="1:59" ht="14.25" customHeight="1" x14ac:dyDescent="0.25">
      <c r="A194" s="37" t="str">
        <f>LEFT(Scharniere[[#This Row],[ArtikelNR]],4)</f>
        <v>F035</v>
      </c>
      <c r="B194" s="35" t="str">
        <f>MID(Scharniere[[#This Row],[ArtikelNR]],5,3)</f>
        <v>139</v>
      </c>
      <c r="C194" s="37" t="str">
        <f>RIGHT(Scharniere[[#This Row],[ArtikelNR]],3)</f>
        <v>357</v>
      </c>
      <c r="D194" s="35">
        <f>IF(AND(Scharniere[[#This Row],[Gruppenschlüssel]]=select!$A$44,Scharniere[[#This Row],[Scharnierart]]=1)=TRUE,1,0)</f>
        <v>1</v>
      </c>
      <c r="E1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4" s="35">
        <f>IF(select!$F$57=IF(Scharniere[[#This Row],[mit Dämpfung]]=1,1,IF(Scharniere[[#This Row],[ohne Dämpfung]]=1,2,IF(Scharniere[[#This Row],[ohne Feder]]=1,3,0))),1,0)</f>
        <v>1</v>
      </c>
      <c r="G194" s="35">
        <f>IF(Scharniere[[#This Row],[Bohrbild]]=select!$V$43,1,0)</f>
        <v>1</v>
      </c>
      <c r="H194" s="35">
        <f>IF(IF(Scharniere[[#This Row],[Anschrauben]]=1,1,IF(Scharniere[[#This Row],[Einpressen]]=1,2,IF(Scharniere[[#This Row],[Quick]]=1,3,IF(Scharniere[[#This Row],[Werkzeuglos]]=1,4,0))))=select!$F$48,1,0)</f>
        <v>0</v>
      </c>
      <c r="I1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4" s="149">
        <f>IF(AND(Scharniere[[#This Row],[Scharnierart]]=2,Scharniere[[#This Row],[Gruppenschlüssel]]=select!$A$318)=TRUE,1,0)</f>
        <v>0</v>
      </c>
      <c r="K194" s="221">
        <f ca="1">IF(select!$O$424&lt;6,1,0)</f>
        <v>1</v>
      </c>
      <c r="L194" s="139">
        <f>IF(select!$A$362=IF(Scharniere[[#This Row],[mit Dämpfung]]=1,1,IF(Scharniere[[#This Row],[ohne Dämpfung]]=1,2,IF(Scharniere[[#This Row],[ohne Feder]]=1,3,0))),1,0)</f>
        <v>0</v>
      </c>
      <c r="M194" s="135">
        <f>IF(Scharniere[[#This Row],[Bohrbild]]=select!$O$334,1,0)</f>
        <v>1</v>
      </c>
      <c r="N194" s="135">
        <f>IF(IF(Scharniere[[#This Row],[Anschrauben]]=1,1,IF(Scharniere[[#This Row],[Einpressen]]=1,2,IF(Scharniere[[#This Row],[Quick]]=1,3,IF(Scharniere[[#This Row],[Werkzeuglos]]=1,4,0))))=select!$E$362,1,0)</f>
        <v>0</v>
      </c>
      <c r="O1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4" s="298">
        <f>IF(AND(Scharniere[[#This Row],[Scharnierart]]=3,Scharniere[[#This Row],[Gruppenschlüssel]]=select!$A$747)=TRUE,1,0)</f>
        <v>0</v>
      </c>
      <c r="Q194" s="298">
        <f ca="1">IF(select!$O$945&lt;6,1,0)</f>
        <v>1</v>
      </c>
      <c r="R194" s="298">
        <f>IF(select!$A$778=IF(Scharniere[[#This Row],[mit Dämpfung]]=1,1,IF(Scharniere[[#This Row],[ohne Dämpfung]]=1,2,IF(Scharniere[[#This Row],[ohne Feder]]=1,3,0))),1,0)</f>
        <v>0</v>
      </c>
      <c r="S194" s="298">
        <f>IF(Scharniere[[#This Row],[Bohrbild]]=select!$A$755,1,0)</f>
        <v>0</v>
      </c>
      <c r="T194" s="298">
        <f>IF(IF(Scharniere[[#This Row],[Anschrauben]]=1,1,IF(Scharniere[[#This Row],[Einpressen]]=1,2,IF(Scharniere[[#This Row],[Quick]]=1,3,IF(Scharniere[[#This Row],[Werkzeuglos]]=1,4,0))))=select!$A$769,1,0)</f>
        <v>0</v>
      </c>
      <c r="U1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4" s="359">
        <f>IF(AND(Scharniere[[#This Row],[Scharnierart]]=4,Scharniere[[#This Row],[Gruppenschlüssel]]=select!$A$981)=TRUE,1,0)</f>
        <v>0</v>
      </c>
      <c r="W194" s="359">
        <f ca="1">IF(select!$O$1185&lt;6,1,0)</f>
        <v>1</v>
      </c>
      <c r="X194" s="359">
        <f>IF(select!$A$1012=IF(Scharniere[[#This Row],[mit Dämpfung]]=1,1,IF(Scharniere[[#This Row],[ohne Dämpfung]]=1,2,IF(Scharniere[[#This Row],[ohne Feder]]=1,3,0))),1,0)</f>
        <v>0</v>
      </c>
      <c r="Y194" s="359">
        <f>IF(Scharniere[[#This Row],[Bohrbild]]=select!$A$989,1,0)</f>
        <v>0</v>
      </c>
      <c r="Z194" s="359">
        <f>IF(IF(Scharniere[[#This Row],[Anschrauben]]=1,1,IF(Scharniere[[#This Row],[Einpressen]]=1,2,IF(Scharniere[[#This Row],[Quick]]=1,3,IF(Scharniere[[#This Row],[Werkzeuglos]]=1,4,0))))=select!$A$1003,1,0)</f>
        <v>0</v>
      </c>
      <c r="AA1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4" s="359">
        <f ca="1">IF(select!$K$980="*",Scharniere[[#This Row],[AG Ges2]],Scharniere[[#This Row],[AG Ges1]])</f>
        <v>0</v>
      </c>
      <c r="AE194" s="451">
        <f ca="1">IF(AND(Scharniere[[#This Row],[Scharnierart]]=select!$A$1485,Scharniere[[#This Row],[Gruppenschlüssel]]=select!$B$1485)=TRUE,1,0)</f>
        <v>1</v>
      </c>
      <c r="AF194" s="451">
        <f ca="1">IF(AND(Scharniere[[#This Row],[Scharnierart]]=select!$A$1486,Scharniere[[#This Row],[Gruppenschlüssel]]=select!$B$1486)=TRUE,1,0)</f>
        <v>0</v>
      </c>
      <c r="AG194" s="451">
        <f ca="1">IF(AND(Scharniere[[#This Row],[Scharnierart]]=select!$A$1487,Scharniere[[#This Row],[Gruppenschlüssel]]=select!$B$1487)=TRUE,1,0)</f>
        <v>0</v>
      </c>
      <c r="AH194" s="451">
        <f ca="1">IF(AND(Scharniere[[#This Row],[Scharnierart]]=select!$A$1488,Scharniere[[#This Row],[Gruppenschlüssel]]=select!$B$1488)=TRUE,1,0)</f>
        <v>0</v>
      </c>
      <c r="AI194" s="451">
        <f ca="1">IF(SUM(Scharniere[[#This Row],[konf Scharnier 1]:[konf Scharnier 4]])&gt;0,1,0)</f>
        <v>1</v>
      </c>
      <c r="AJ194" s="451"/>
      <c r="AK194" s="451"/>
      <c r="AL194" s="451"/>
      <c r="AM194" s="451"/>
      <c r="AN194" s="451"/>
      <c r="AO194" s="146">
        <v>1</v>
      </c>
      <c r="AP194" s="146">
        <v>1</v>
      </c>
      <c r="AQ194" s="10" t="str">
        <f ca="1">Sprache!$A$115</f>
        <v>Tiomos Scharnier TT Impresso</v>
      </c>
      <c r="AR194" t="s">
        <v>59</v>
      </c>
      <c r="AS194" t="str">
        <f ca="1">Sprache!$A$116</f>
        <v>Tiomos Impresso Scharniere</v>
      </c>
      <c r="AT194">
        <v>0</v>
      </c>
      <c r="AU194" t="s">
        <v>8</v>
      </c>
      <c r="AV194">
        <v>110</v>
      </c>
      <c r="AW194" s="10">
        <v>0</v>
      </c>
      <c r="AX194">
        <v>0</v>
      </c>
      <c r="AY194">
        <v>1</v>
      </c>
      <c r="AZ194" s="10">
        <v>0</v>
      </c>
      <c r="BA194">
        <v>0</v>
      </c>
      <c r="BB194">
        <v>0</v>
      </c>
      <c r="BC194">
        <v>1</v>
      </c>
      <c r="BD194" s="143" t="s">
        <v>39</v>
      </c>
      <c r="BG194"/>
    </row>
    <row r="195" spans="1:59" ht="14.25" customHeight="1" x14ac:dyDescent="0.25">
      <c r="A195" s="37" t="str">
        <f>LEFT(Scharniere[[#This Row],[ArtikelNR]],4)</f>
        <v>F035</v>
      </c>
      <c r="B195" s="35" t="str">
        <f>MID(Scharniere[[#This Row],[ArtikelNR]],5,3)</f>
        <v>139</v>
      </c>
      <c r="C195" s="37" t="str">
        <f>RIGHT(Scharniere[[#This Row],[ArtikelNR]],3)</f>
        <v>357</v>
      </c>
      <c r="D195" s="35">
        <f>IF(AND(Scharniere[[#This Row],[Gruppenschlüssel]]=select!$A$44,Scharniere[[#This Row],[Scharnierart]]=1)=TRUE,1,0)</f>
        <v>1</v>
      </c>
      <c r="E1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5" s="35">
        <f>IF(select!$F$57=IF(Scharniere[[#This Row],[mit Dämpfung]]=1,1,IF(Scharniere[[#This Row],[ohne Dämpfung]]=1,2,IF(Scharniere[[#This Row],[ohne Feder]]=1,3,0))),1,0)</f>
        <v>1</v>
      </c>
      <c r="G195" s="35">
        <f>IF(Scharniere[[#This Row],[Bohrbild]]=select!$V$43,1,0)</f>
        <v>0</v>
      </c>
      <c r="H195" s="35">
        <f>IF(IF(Scharniere[[#This Row],[Anschrauben]]=1,1,IF(Scharniere[[#This Row],[Einpressen]]=1,2,IF(Scharniere[[#This Row],[Quick]]=1,3,IF(Scharniere[[#This Row],[Werkzeuglos]]=1,4,0))))=select!$F$48,1,0)</f>
        <v>0</v>
      </c>
      <c r="I1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5" s="149">
        <f>IF(AND(Scharniere[[#This Row],[Scharnierart]]=2,Scharniere[[#This Row],[Gruppenschlüssel]]=select!$A$318)=TRUE,1,0)</f>
        <v>0</v>
      </c>
      <c r="K195" s="221">
        <f ca="1">IF(select!$O$424&lt;6,1,0)</f>
        <v>1</v>
      </c>
      <c r="L195" s="139">
        <f>IF(select!$A$362=IF(Scharniere[[#This Row],[mit Dämpfung]]=1,1,IF(Scharniere[[#This Row],[ohne Dämpfung]]=1,2,IF(Scharniere[[#This Row],[ohne Feder]]=1,3,0))),1,0)</f>
        <v>0</v>
      </c>
      <c r="M195" s="135">
        <f>IF(Scharniere[[#This Row],[Bohrbild]]=select!$O$334,1,0)</f>
        <v>0</v>
      </c>
      <c r="N195" s="135">
        <f>IF(IF(Scharniere[[#This Row],[Anschrauben]]=1,1,IF(Scharniere[[#This Row],[Einpressen]]=1,2,IF(Scharniere[[#This Row],[Quick]]=1,3,IF(Scharniere[[#This Row],[Werkzeuglos]]=1,4,0))))=select!$E$362,1,0)</f>
        <v>0</v>
      </c>
      <c r="O1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5" s="298">
        <f>IF(AND(Scharniere[[#This Row],[Scharnierart]]=3,Scharniere[[#This Row],[Gruppenschlüssel]]=select!$A$747)=TRUE,1,0)</f>
        <v>0</v>
      </c>
      <c r="Q195" s="298">
        <f ca="1">IF(select!$O$945&lt;6,1,0)</f>
        <v>1</v>
      </c>
      <c r="R195" s="298">
        <f>IF(select!$A$778=IF(Scharniere[[#This Row],[mit Dämpfung]]=1,1,IF(Scharniere[[#This Row],[ohne Dämpfung]]=1,2,IF(Scharniere[[#This Row],[ohne Feder]]=1,3,0))),1,0)</f>
        <v>0</v>
      </c>
      <c r="S195" s="298">
        <f>IF(Scharniere[[#This Row],[Bohrbild]]=select!$A$755,1,0)</f>
        <v>0</v>
      </c>
      <c r="T195" s="298">
        <f>IF(IF(Scharniere[[#This Row],[Anschrauben]]=1,1,IF(Scharniere[[#This Row],[Einpressen]]=1,2,IF(Scharniere[[#This Row],[Quick]]=1,3,IF(Scharniere[[#This Row],[Werkzeuglos]]=1,4,0))))=select!$A$769,1,0)</f>
        <v>0</v>
      </c>
      <c r="U1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5" s="359">
        <f>IF(AND(Scharniere[[#This Row],[Scharnierart]]=4,Scharniere[[#This Row],[Gruppenschlüssel]]=select!$A$981)=TRUE,1,0)</f>
        <v>0</v>
      </c>
      <c r="W195" s="359">
        <f ca="1">IF(select!$O$1185&lt;6,1,0)</f>
        <v>1</v>
      </c>
      <c r="X195" s="359">
        <f>IF(select!$A$1012=IF(Scharniere[[#This Row],[mit Dämpfung]]=1,1,IF(Scharniere[[#This Row],[ohne Dämpfung]]=1,2,IF(Scharniere[[#This Row],[ohne Feder]]=1,3,0))),1,0)</f>
        <v>0</v>
      </c>
      <c r="Y195" s="359">
        <f>IF(Scharniere[[#This Row],[Bohrbild]]=select!$A$989,1,0)</f>
        <v>0</v>
      </c>
      <c r="Z195" s="359">
        <f>IF(IF(Scharniere[[#This Row],[Anschrauben]]=1,1,IF(Scharniere[[#This Row],[Einpressen]]=1,2,IF(Scharniere[[#This Row],[Quick]]=1,3,IF(Scharniere[[#This Row],[Werkzeuglos]]=1,4,0))))=select!$A$1003,1,0)</f>
        <v>0</v>
      </c>
      <c r="AA1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5" s="359">
        <f ca="1">IF(select!$K$980="*",Scharniere[[#This Row],[AG Ges2]],Scharniere[[#This Row],[AG Ges1]])</f>
        <v>0</v>
      </c>
      <c r="AE195" s="451">
        <f ca="1">IF(AND(Scharniere[[#This Row],[Scharnierart]]=select!$A$1485,Scharniere[[#This Row],[Gruppenschlüssel]]=select!$B$1485)=TRUE,1,0)</f>
        <v>1</v>
      </c>
      <c r="AF195" s="451">
        <f ca="1">IF(AND(Scharniere[[#This Row],[Scharnierart]]=select!$A$1486,Scharniere[[#This Row],[Gruppenschlüssel]]=select!$B$1486)=TRUE,1,0)</f>
        <v>0</v>
      </c>
      <c r="AG195" s="451">
        <f ca="1">IF(AND(Scharniere[[#This Row],[Scharnierart]]=select!$A$1487,Scharniere[[#This Row],[Gruppenschlüssel]]=select!$B$1487)=TRUE,1,0)</f>
        <v>0</v>
      </c>
      <c r="AH195" s="451">
        <f ca="1">IF(AND(Scharniere[[#This Row],[Scharnierart]]=select!$A$1488,Scharniere[[#This Row],[Gruppenschlüssel]]=select!$B$1488)=TRUE,1,0)</f>
        <v>0</v>
      </c>
      <c r="AI195" s="451">
        <f ca="1">IF(SUM(Scharniere[[#This Row],[konf Scharnier 1]:[konf Scharnier 4]])&gt;0,1,0)</f>
        <v>1</v>
      </c>
      <c r="AJ195" s="451"/>
      <c r="AK195" s="451"/>
      <c r="AL195" s="451"/>
      <c r="AM195" s="451"/>
      <c r="AN195" s="451"/>
      <c r="AO195" s="146">
        <v>1</v>
      </c>
      <c r="AP195" s="146">
        <v>1</v>
      </c>
      <c r="AQ195" s="10" t="str">
        <f ca="1">Sprache!$A$115</f>
        <v>Tiomos Scharnier TT Impresso</v>
      </c>
      <c r="AR195" t="s">
        <v>59</v>
      </c>
      <c r="AS195" t="str">
        <f ca="1">Sprache!$A$116</f>
        <v>Tiomos Impresso Scharniere</v>
      </c>
      <c r="AT195">
        <v>0</v>
      </c>
      <c r="AU195" s="34" t="s">
        <v>3</v>
      </c>
      <c r="AV195">
        <v>110</v>
      </c>
      <c r="AW195" s="10">
        <v>0</v>
      </c>
      <c r="AX195">
        <v>0</v>
      </c>
      <c r="AY195">
        <v>1</v>
      </c>
      <c r="AZ195" s="10">
        <v>0</v>
      </c>
      <c r="BA195">
        <v>0</v>
      </c>
      <c r="BB195">
        <v>0</v>
      </c>
      <c r="BC195">
        <v>1</v>
      </c>
      <c r="BD195" s="143" t="s">
        <v>39</v>
      </c>
      <c r="BG195"/>
    </row>
    <row r="196" spans="1:59" ht="14.25" customHeight="1" x14ac:dyDescent="0.25">
      <c r="A196" s="37" t="str">
        <f>LEFT(Scharniere[[#This Row],[ArtikelNR]],4)</f>
        <v>F045</v>
      </c>
      <c r="B196" s="35" t="str">
        <f>MID(Scharniere[[#This Row],[ArtikelNR]],5,3)</f>
        <v>138</v>
      </c>
      <c r="C196" s="37" t="str">
        <f>RIGHT(Scharniere[[#This Row],[ArtikelNR]],3)</f>
        <v>825</v>
      </c>
      <c r="D196" s="35">
        <f>IF(AND(Scharniere[[#This Row],[Gruppenschlüssel]]=select!$A$44,Scharniere[[#This Row],[Scharnierart]]=1)=TRUE,1,0)</f>
        <v>1</v>
      </c>
      <c r="E1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6" s="35">
        <f>IF(select!$F$57=IF(Scharniere[[#This Row],[mit Dämpfung]]=1,1,IF(Scharniere[[#This Row],[ohne Dämpfung]]=1,2,IF(Scharniere[[#This Row],[ohne Feder]]=1,3,0))),1,0)</f>
        <v>0</v>
      </c>
      <c r="G196" s="35">
        <f>IF(Scharniere[[#This Row],[Bohrbild]]=select!$V$43,1,0)</f>
        <v>0</v>
      </c>
      <c r="H196" s="35">
        <f>IF(IF(Scharniere[[#This Row],[Anschrauben]]=1,1,IF(Scharniere[[#This Row],[Einpressen]]=1,2,IF(Scharniere[[#This Row],[Quick]]=1,3,IF(Scharniere[[#This Row],[Werkzeuglos]]=1,4,0))))=select!$F$48,1,0)</f>
        <v>1</v>
      </c>
      <c r="I1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6" s="149">
        <f>IF(AND(Scharniere[[#This Row],[Scharnierart]]=2,Scharniere[[#This Row],[Gruppenschlüssel]]=select!$A$318)=TRUE,1,0)</f>
        <v>0</v>
      </c>
      <c r="K196" s="221">
        <f ca="1">IF(select!$O$424&lt;6,1,0)</f>
        <v>1</v>
      </c>
      <c r="L196" s="139">
        <f>IF(select!$A$362=IF(Scharniere[[#This Row],[mit Dämpfung]]=1,1,IF(Scharniere[[#This Row],[ohne Dämpfung]]=1,2,IF(Scharniere[[#This Row],[ohne Feder]]=1,3,0))),1,0)</f>
        <v>0</v>
      </c>
      <c r="M196" s="135">
        <f>IF(Scharniere[[#This Row],[Bohrbild]]=select!$O$334,1,0)</f>
        <v>0</v>
      </c>
      <c r="N196" s="135">
        <f>IF(IF(Scharniere[[#This Row],[Anschrauben]]=1,1,IF(Scharniere[[#This Row],[Einpressen]]=1,2,IF(Scharniere[[#This Row],[Quick]]=1,3,IF(Scharniere[[#This Row],[Werkzeuglos]]=1,4,0))))=select!$E$362,1,0)</f>
        <v>0</v>
      </c>
      <c r="O1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6" s="298">
        <f>IF(AND(Scharniere[[#This Row],[Scharnierart]]=3,Scharniere[[#This Row],[Gruppenschlüssel]]=select!$A$747)=TRUE,1,0)</f>
        <v>0</v>
      </c>
      <c r="Q196" s="298">
        <f ca="1">IF(select!$O$945&lt;6,1,0)</f>
        <v>1</v>
      </c>
      <c r="R196" s="298">
        <f>IF(select!$A$778=IF(Scharniere[[#This Row],[mit Dämpfung]]=1,1,IF(Scharniere[[#This Row],[ohne Dämpfung]]=1,2,IF(Scharniere[[#This Row],[ohne Feder]]=1,3,0))),1,0)</f>
        <v>1</v>
      </c>
      <c r="S196" s="298">
        <f>IF(Scharniere[[#This Row],[Bohrbild]]=select!$A$755,1,0)</f>
        <v>0</v>
      </c>
      <c r="T196" s="298">
        <f>IF(IF(Scharniere[[#This Row],[Anschrauben]]=1,1,IF(Scharniere[[#This Row],[Einpressen]]=1,2,IF(Scharniere[[#This Row],[Quick]]=1,3,IF(Scharniere[[#This Row],[Werkzeuglos]]=1,4,0))))=select!$A$769,1,0)</f>
        <v>0</v>
      </c>
      <c r="U1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6" s="359">
        <f>IF(AND(Scharniere[[#This Row],[Scharnierart]]=4,Scharniere[[#This Row],[Gruppenschlüssel]]=select!$A$981)=TRUE,1,0)</f>
        <v>0</v>
      </c>
      <c r="W196" s="359">
        <f ca="1">IF(select!$O$1185&lt;6,1,0)</f>
        <v>1</v>
      </c>
      <c r="X196" s="359">
        <f>IF(select!$A$1012=IF(Scharniere[[#This Row],[mit Dämpfung]]=1,1,IF(Scharniere[[#This Row],[ohne Dämpfung]]=1,2,IF(Scharniere[[#This Row],[ohne Feder]]=1,3,0))),1,0)</f>
        <v>1</v>
      </c>
      <c r="Y196" s="359">
        <f>IF(Scharniere[[#This Row],[Bohrbild]]=select!$A$989,1,0)</f>
        <v>0</v>
      </c>
      <c r="Z196" s="359">
        <f>IF(IF(Scharniere[[#This Row],[Anschrauben]]=1,1,IF(Scharniere[[#This Row],[Einpressen]]=1,2,IF(Scharniere[[#This Row],[Quick]]=1,3,IF(Scharniere[[#This Row],[Werkzeuglos]]=1,4,0))))=select!$A$1003,1,0)</f>
        <v>0</v>
      </c>
      <c r="AA1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6" s="359">
        <f ca="1">IF(select!$K$980="*",Scharniere[[#This Row],[AG Ges2]],Scharniere[[#This Row],[AG Ges1]])</f>
        <v>0</v>
      </c>
      <c r="AE196" s="451">
        <f ca="1">IF(AND(Scharniere[[#This Row],[Scharnierart]]=select!$A$1485,Scharniere[[#This Row],[Gruppenschlüssel]]=select!$B$1485)=TRUE,1,0)</f>
        <v>1</v>
      </c>
      <c r="AF196" s="451">
        <f ca="1">IF(AND(Scharniere[[#This Row],[Scharnierart]]=select!$A$1486,Scharniere[[#This Row],[Gruppenschlüssel]]=select!$B$1486)=TRUE,1,0)</f>
        <v>0</v>
      </c>
      <c r="AG196" s="451">
        <f ca="1">IF(AND(Scharniere[[#This Row],[Scharnierart]]=select!$A$1487,Scharniere[[#This Row],[Gruppenschlüssel]]=select!$B$1487)=TRUE,1,0)</f>
        <v>0</v>
      </c>
      <c r="AH196" s="451">
        <f ca="1">IF(AND(Scharniere[[#This Row],[Scharnierart]]=select!$A$1488,Scharniere[[#This Row],[Gruppenschlüssel]]=select!$B$1488)=TRUE,1,0)</f>
        <v>0</v>
      </c>
      <c r="AI196" s="451">
        <f ca="1">IF(SUM(Scharniere[[#This Row],[konf Scharnier 1]:[konf Scharnier 4]])&gt;0,1,0)</f>
        <v>1</v>
      </c>
      <c r="AJ196" s="451"/>
      <c r="AK196" s="451"/>
      <c r="AL196" s="451"/>
      <c r="AM196" s="451"/>
      <c r="AN196" s="451"/>
      <c r="AO196" s="146">
        <v>1</v>
      </c>
      <c r="AP196" s="146">
        <v>1</v>
      </c>
      <c r="AQ196" s="10" t="str">
        <f ca="1">Sprache!$A$110</f>
        <v>Tiomos Scharnier T Click-on</v>
      </c>
      <c r="AR196" t="str">
        <f ca="1">"110°, S-BB, K00, "&amp;Sprache!A181&amp;", ni"</f>
        <v>110°, S-BB, K00, Dübel, ni</v>
      </c>
      <c r="AS196" t="str">
        <f ca="1">Sprache!$A$103</f>
        <v>Tiomos Click-On Scharniere</v>
      </c>
      <c r="AT196">
        <v>0</v>
      </c>
      <c r="AU196" s="34" t="s">
        <v>11</v>
      </c>
      <c r="AV196">
        <v>110</v>
      </c>
      <c r="AW196" s="10">
        <v>0</v>
      </c>
      <c r="AX196">
        <v>1</v>
      </c>
      <c r="AY196">
        <v>0</v>
      </c>
      <c r="AZ196" s="10">
        <v>0</v>
      </c>
      <c r="BA196">
        <v>1</v>
      </c>
      <c r="BB196">
        <v>0</v>
      </c>
      <c r="BC196">
        <v>0</v>
      </c>
      <c r="BD196" s="143" t="s">
        <v>546</v>
      </c>
      <c r="BG196"/>
    </row>
    <row r="197" spans="1:59" ht="14.25" customHeight="1" x14ac:dyDescent="0.25">
      <c r="A197" s="37" t="str">
        <f>LEFT(Scharniere[[#This Row],[ArtikelNR]],4)</f>
        <v>F028</v>
      </c>
      <c r="B197" s="35" t="str">
        <f>MID(Scharniere[[#This Row],[ArtikelNR]],5,3)</f>
        <v>138</v>
      </c>
      <c r="C197" s="37" t="str">
        <f>RIGHT(Scharniere[[#This Row],[ArtikelNR]],3)</f>
        <v>887</v>
      </c>
      <c r="D197" s="35">
        <f>IF(AND(Scharniere[[#This Row],[Gruppenschlüssel]]=select!$A$44,Scharniere[[#This Row],[Scharnierart]]=1)=TRUE,1,0)</f>
        <v>1</v>
      </c>
      <c r="E1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7" s="35">
        <f>IF(select!$F$57=IF(Scharniere[[#This Row],[mit Dämpfung]]=1,1,IF(Scharniere[[#This Row],[ohne Dämpfung]]=1,2,IF(Scharniere[[#This Row],[ohne Feder]]=1,3,0))),1,0)</f>
        <v>0</v>
      </c>
      <c r="G197" s="35">
        <f>IF(Scharniere[[#This Row],[Bohrbild]]=select!$V$43,1,0)</f>
        <v>0</v>
      </c>
      <c r="H197" s="35">
        <f>IF(IF(Scharniere[[#This Row],[Anschrauben]]=1,1,IF(Scharniere[[#This Row],[Einpressen]]=1,2,IF(Scharniere[[#This Row],[Quick]]=1,3,IF(Scharniere[[#This Row],[Werkzeuglos]]=1,4,0))))=select!$F$48,1,0)</f>
        <v>1</v>
      </c>
      <c r="I1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7" s="149">
        <f>IF(AND(Scharniere[[#This Row],[Scharnierart]]=2,Scharniere[[#This Row],[Gruppenschlüssel]]=select!$A$318)=TRUE,1,0)</f>
        <v>0</v>
      </c>
      <c r="K197" s="221">
        <f ca="1">IF(select!$O$424&lt;6,1,0)</f>
        <v>1</v>
      </c>
      <c r="L197" s="139">
        <f>IF(select!$A$362=IF(Scharniere[[#This Row],[mit Dämpfung]]=1,1,IF(Scharniere[[#This Row],[ohne Dämpfung]]=1,2,IF(Scharniere[[#This Row],[ohne Feder]]=1,3,0))),1,0)</f>
        <v>1</v>
      </c>
      <c r="M197" s="135">
        <f>IF(Scharniere[[#This Row],[Bohrbild]]=select!$O$334,1,0)</f>
        <v>0</v>
      </c>
      <c r="N197" s="135">
        <f>IF(IF(Scharniere[[#This Row],[Anschrauben]]=1,1,IF(Scharniere[[#This Row],[Einpressen]]=1,2,IF(Scharniere[[#This Row],[Quick]]=1,3,IF(Scharniere[[#This Row],[Werkzeuglos]]=1,4,0))))=select!$E$362,1,0)</f>
        <v>0</v>
      </c>
      <c r="O1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7" s="298">
        <f>IF(AND(Scharniere[[#This Row],[Scharnierart]]=3,Scharniere[[#This Row],[Gruppenschlüssel]]=select!$A$747)=TRUE,1,0)</f>
        <v>0</v>
      </c>
      <c r="Q197" s="298">
        <f ca="1">IF(select!$O$945&lt;6,1,0)</f>
        <v>1</v>
      </c>
      <c r="R197" s="298">
        <f>IF(select!$A$778=IF(Scharniere[[#This Row],[mit Dämpfung]]=1,1,IF(Scharniere[[#This Row],[ohne Dämpfung]]=1,2,IF(Scharniere[[#This Row],[ohne Feder]]=1,3,0))),1,0)</f>
        <v>0</v>
      </c>
      <c r="S197" s="298">
        <f>IF(Scharniere[[#This Row],[Bohrbild]]=select!$A$755,1,0)</f>
        <v>0</v>
      </c>
      <c r="T197" s="298">
        <f>IF(IF(Scharniere[[#This Row],[Anschrauben]]=1,1,IF(Scharniere[[#This Row],[Einpressen]]=1,2,IF(Scharniere[[#This Row],[Quick]]=1,3,IF(Scharniere[[#This Row],[Werkzeuglos]]=1,4,0))))=select!$A$769,1,0)</f>
        <v>0</v>
      </c>
      <c r="U1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7" s="359">
        <f>IF(AND(Scharniere[[#This Row],[Scharnierart]]=4,Scharniere[[#This Row],[Gruppenschlüssel]]=select!$A$981)=TRUE,1,0)</f>
        <v>0</v>
      </c>
      <c r="W197" s="359">
        <f ca="1">IF(select!$O$1185&lt;6,1,0)</f>
        <v>1</v>
      </c>
      <c r="X197" s="359">
        <f>IF(select!$A$1012=IF(Scharniere[[#This Row],[mit Dämpfung]]=1,1,IF(Scharniere[[#This Row],[ohne Dämpfung]]=1,2,IF(Scharniere[[#This Row],[ohne Feder]]=1,3,0))),1,0)</f>
        <v>0</v>
      </c>
      <c r="Y197" s="359">
        <f>IF(Scharniere[[#This Row],[Bohrbild]]=select!$A$989,1,0)</f>
        <v>0</v>
      </c>
      <c r="Z197" s="359">
        <f>IF(IF(Scharniere[[#This Row],[Anschrauben]]=1,1,IF(Scharniere[[#This Row],[Einpressen]]=1,2,IF(Scharniere[[#This Row],[Quick]]=1,3,IF(Scharniere[[#This Row],[Werkzeuglos]]=1,4,0))))=select!$A$1003,1,0)</f>
        <v>0</v>
      </c>
      <c r="AA1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7" s="359">
        <f ca="1">IF(select!$K$980="*",Scharniere[[#This Row],[AG Ges2]],Scharniere[[#This Row],[AG Ges1]])</f>
        <v>0</v>
      </c>
      <c r="AE197" s="451">
        <f ca="1">IF(AND(Scharniere[[#This Row],[Scharnierart]]=select!$A$1485,Scharniere[[#This Row],[Gruppenschlüssel]]=select!$B$1485)=TRUE,1,0)</f>
        <v>1</v>
      </c>
      <c r="AF197" s="451">
        <f ca="1">IF(AND(Scharniere[[#This Row],[Scharnierart]]=select!$A$1486,Scharniere[[#This Row],[Gruppenschlüssel]]=select!$B$1486)=TRUE,1,0)</f>
        <v>0</v>
      </c>
      <c r="AG197" s="451">
        <f ca="1">IF(AND(Scharniere[[#This Row],[Scharnierart]]=select!$A$1487,Scharniere[[#This Row],[Gruppenschlüssel]]=select!$B$1487)=TRUE,1,0)</f>
        <v>0</v>
      </c>
      <c r="AH197" s="451">
        <f ca="1">IF(AND(Scharniere[[#This Row],[Scharnierart]]=select!$A$1488,Scharniere[[#This Row],[Gruppenschlüssel]]=select!$B$1488)=TRUE,1,0)</f>
        <v>0</v>
      </c>
      <c r="AI197" s="451">
        <f ca="1">IF(SUM(Scharniere[[#This Row],[konf Scharnier 1]:[konf Scharnier 4]])&gt;0,1,0)</f>
        <v>1</v>
      </c>
      <c r="AJ197" s="451"/>
      <c r="AK197" s="451"/>
      <c r="AL197" s="451"/>
      <c r="AM197" s="451"/>
      <c r="AN197" s="451"/>
      <c r="AO197" s="146">
        <v>1</v>
      </c>
      <c r="AP197" s="146">
        <v>1</v>
      </c>
      <c r="AQ197" s="10" t="str">
        <f ca="1">Sprache!$A$112</f>
        <v>Tiomos Scharnier TS Click-on</v>
      </c>
      <c r="AR197" t="str">
        <f ca="1">"110°, S-BB, K00, "&amp;Sprache!A181&amp;", ni"</f>
        <v>110°, S-BB, K00, Dübel, ni</v>
      </c>
      <c r="AS197" t="str">
        <f ca="1">Sprache!$A$103</f>
        <v>Tiomos Click-On Scharniere</v>
      </c>
      <c r="AT197">
        <v>0</v>
      </c>
      <c r="AU197" s="34" t="s">
        <v>11</v>
      </c>
      <c r="AV197">
        <v>110</v>
      </c>
      <c r="AW197" s="10">
        <v>1</v>
      </c>
      <c r="AX197">
        <v>0</v>
      </c>
      <c r="AY197">
        <v>0</v>
      </c>
      <c r="AZ197" s="10">
        <v>0</v>
      </c>
      <c r="BA197">
        <v>1</v>
      </c>
      <c r="BB197">
        <v>0</v>
      </c>
      <c r="BC197">
        <v>0</v>
      </c>
      <c r="BD197" s="143" t="s">
        <v>386</v>
      </c>
      <c r="BG197"/>
    </row>
    <row r="198" spans="1:59" ht="14.25" customHeight="1" x14ac:dyDescent="0.25">
      <c r="A198" s="37" t="str">
        <f>LEFT(Scharniere[[#This Row],[ArtikelNR]],4)</f>
        <v>F046</v>
      </c>
      <c r="B198" s="35" t="str">
        <f>MID(Scharniere[[#This Row],[ArtikelNR]],5,3)</f>
        <v>138</v>
      </c>
      <c r="C198" s="37" t="str">
        <f>RIGHT(Scharniere[[#This Row],[ArtikelNR]],3)</f>
        <v>947</v>
      </c>
      <c r="D198" s="35">
        <f>IF(AND(Scharniere[[#This Row],[Gruppenschlüssel]]=select!$A$44,Scharniere[[#This Row],[Scharnierart]]=1)=TRUE,1,0)</f>
        <v>1</v>
      </c>
      <c r="E1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8" s="35">
        <f>IF(select!$F$57=IF(Scharniere[[#This Row],[mit Dämpfung]]=1,1,IF(Scharniere[[#This Row],[ohne Dämpfung]]=1,2,IF(Scharniere[[#This Row],[ohne Feder]]=1,3,0))),1,0)</f>
        <v>1</v>
      </c>
      <c r="G198" s="35">
        <f>IF(Scharniere[[#This Row],[Bohrbild]]=select!$V$43,1,0)</f>
        <v>0</v>
      </c>
      <c r="H198" s="35">
        <f>IF(IF(Scharniere[[#This Row],[Anschrauben]]=1,1,IF(Scharniere[[#This Row],[Einpressen]]=1,2,IF(Scharniere[[#This Row],[Quick]]=1,3,IF(Scharniere[[#This Row],[Werkzeuglos]]=1,4,0))))=select!$F$48,1,0)</f>
        <v>1</v>
      </c>
      <c r="I1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8" s="149">
        <f>IF(AND(Scharniere[[#This Row],[Scharnierart]]=2,Scharniere[[#This Row],[Gruppenschlüssel]]=select!$A$318)=TRUE,1,0)</f>
        <v>0</v>
      </c>
      <c r="K198" s="221">
        <f ca="1">IF(select!$O$424&lt;6,1,0)</f>
        <v>1</v>
      </c>
      <c r="L198" s="139">
        <f>IF(select!$A$362=IF(Scharniere[[#This Row],[mit Dämpfung]]=1,1,IF(Scharniere[[#This Row],[ohne Dämpfung]]=1,2,IF(Scharniere[[#This Row],[ohne Feder]]=1,3,0))),1,0)</f>
        <v>0</v>
      </c>
      <c r="M198" s="135">
        <f>IF(Scharniere[[#This Row],[Bohrbild]]=select!$O$334,1,0)</f>
        <v>0</v>
      </c>
      <c r="N198" s="135">
        <f>IF(IF(Scharniere[[#This Row],[Anschrauben]]=1,1,IF(Scharniere[[#This Row],[Einpressen]]=1,2,IF(Scharniere[[#This Row],[Quick]]=1,3,IF(Scharniere[[#This Row],[Werkzeuglos]]=1,4,0))))=select!$E$362,1,0)</f>
        <v>0</v>
      </c>
      <c r="O1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8" s="298">
        <f>IF(AND(Scharniere[[#This Row],[Scharnierart]]=3,Scharniere[[#This Row],[Gruppenschlüssel]]=select!$A$747)=TRUE,1,0)</f>
        <v>0</v>
      </c>
      <c r="Q198" s="298">
        <f ca="1">IF(select!$O$945&lt;6,1,0)</f>
        <v>1</v>
      </c>
      <c r="R198" s="298">
        <f>IF(select!$A$778=IF(Scharniere[[#This Row],[mit Dämpfung]]=1,1,IF(Scharniere[[#This Row],[ohne Dämpfung]]=1,2,IF(Scharniere[[#This Row],[ohne Feder]]=1,3,0))),1,0)</f>
        <v>0</v>
      </c>
      <c r="S198" s="298">
        <f>IF(Scharniere[[#This Row],[Bohrbild]]=select!$A$755,1,0)</f>
        <v>0</v>
      </c>
      <c r="T198" s="298">
        <f>IF(IF(Scharniere[[#This Row],[Anschrauben]]=1,1,IF(Scharniere[[#This Row],[Einpressen]]=1,2,IF(Scharniere[[#This Row],[Quick]]=1,3,IF(Scharniere[[#This Row],[Werkzeuglos]]=1,4,0))))=select!$A$769,1,0)</f>
        <v>0</v>
      </c>
      <c r="U1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8" s="359">
        <f>IF(AND(Scharniere[[#This Row],[Scharnierart]]=4,Scharniere[[#This Row],[Gruppenschlüssel]]=select!$A$981)=TRUE,1,0)</f>
        <v>0</v>
      </c>
      <c r="W198" s="359">
        <f ca="1">IF(select!$O$1185&lt;6,1,0)</f>
        <v>1</v>
      </c>
      <c r="X198" s="359">
        <f>IF(select!$A$1012=IF(Scharniere[[#This Row],[mit Dämpfung]]=1,1,IF(Scharniere[[#This Row],[ohne Dämpfung]]=1,2,IF(Scharniere[[#This Row],[ohne Feder]]=1,3,0))),1,0)</f>
        <v>0</v>
      </c>
      <c r="Y198" s="359">
        <f>IF(Scharniere[[#This Row],[Bohrbild]]=select!$A$989,1,0)</f>
        <v>0</v>
      </c>
      <c r="Z198" s="359">
        <f>IF(IF(Scharniere[[#This Row],[Anschrauben]]=1,1,IF(Scharniere[[#This Row],[Einpressen]]=1,2,IF(Scharniere[[#This Row],[Quick]]=1,3,IF(Scharniere[[#This Row],[Werkzeuglos]]=1,4,0))))=select!$A$1003,1,0)</f>
        <v>0</v>
      </c>
      <c r="AA1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8" s="359">
        <f ca="1">IF(select!$K$980="*",Scharniere[[#This Row],[AG Ges2]],Scharniere[[#This Row],[AG Ges1]])</f>
        <v>0</v>
      </c>
      <c r="AE198" s="451">
        <f ca="1">IF(AND(Scharniere[[#This Row],[Scharnierart]]=select!$A$1485,Scharniere[[#This Row],[Gruppenschlüssel]]=select!$B$1485)=TRUE,1,0)</f>
        <v>1</v>
      </c>
      <c r="AF198" s="451">
        <f ca="1">IF(AND(Scharniere[[#This Row],[Scharnierart]]=select!$A$1486,Scharniere[[#This Row],[Gruppenschlüssel]]=select!$B$1486)=TRUE,1,0)</f>
        <v>0</v>
      </c>
      <c r="AG198" s="451">
        <f ca="1">IF(AND(Scharniere[[#This Row],[Scharnierart]]=select!$A$1487,Scharniere[[#This Row],[Gruppenschlüssel]]=select!$B$1487)=TRUE,1,0)</f>
        <v>0</v>
      </c>
      <c r="AH198" s="451">
        <f ca="1">IF(AND(Scharniere[[#This Row],[Scharnierart]]=select!$A$1488,Scharniere[[#This Row],[Gruppenschlüssel]]=select!$B$1488)=TRUE,1,0)</f>
        <v>0</v>
      </c>
      <c r="AI198" s="451">
        <f ca="1">IF(SUM(Scharniere[[#This Row],[konf Scharnier 1]:[konf Scharnier 4]])&gt;0,1,0)</f>
        <v>1</v>
      </c>
      <c r="AJ198" s="451"/>
      <c r="AK198" s="451"/>
      <c r="AL198" s="451"/>
      <c r="AM198" s="451"/>
      <c r="AN198" s="451"/>
      <c r="AO198" s="146">
        <v>1</v>
      </c>
      <c r="AP198" s="146">
        <v>1</v>
      </c>
      <c r="AQ198" s="10" t="str">
        <f ca="1">Sprache!$A$114</f>
        <v>Tiomos Scharnier TT Click-on</v>
      </c>
      <c r="AR198" t="str">
        <f ca="1">"110°, S-BB, K00, "&amp;Sprache!A181&amp;", ni"</f>
        <v>110°, S-BB, K00, Dübel, ni</v>
      </c>
      <c r="AS198" t="str">
        <f ca="1">Sprache!$A$103</f>
        <v>Tiomos Click-On Scharniere</v>
      </c>
      <c r="AT198">
        <v>0</v>
      </c>
      <c r="AU198" s="10" t="s">
        <v>11</v>
      </c>
      <c r="AV198">
        <v>110</v>
      </c>
      <c r="AW198" s="10">
        <v>0</v>
      </c>
      <c r="AX198">
        <v>0</v>
      </c>
      <c r="AY198">
        <v>1</v>
      </c>
      <c r="AZ198" s="10">
        <v>0</v>
      </c>
      <c r="BA198">
        <v>1</v>
      </c>
      <c r="BB198">
        <v>0</v>
      </c>
      <c r="BC198">
        <v>0</v>
      </c>
      <c r="BD198" s="143" t="s">
        <v>698</v>
      </c>
      <c r="BG198"/>
    </row>
    <row r="199" spans="1:59" ht="14.25" customHeight="1" x14ac:dyDescent="0.25">
      <c r="A199" s="37" t="str">
        <f>LEFT(Scharniere[[#This Row],[ArtikelNR]],4)</f>
        <v>F045</v>
      </c>
      <c r="B199" s="35" t="str">
        <f>MID(Scharniere[[#This Row],[ArtikelNR]],5,3)</f>
        <v>138</v>
      </c>
      <c r="C199" s="37" t="str">
        <f>RIGHT(Scharniere[[#This Row],[ArtikelNR]],3)</f>
        <v>821</v>
      </c>
      <c r="D199" s="35">
        <f>IF(AND(Scharniere[[#This Row],[Gruppenschlüssel]]=select!$A$44,Scharniere[[#This Row],[Scharnierart]]=1)=TRUE,1,0)</f>
        <v>1</v>
      </c>
      <c r="E1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99" s="35">
        <f>IF(select!$F$57=IF(Scharniere[[#This Row],[mit Dämpfung]]=1,1,IF(Scharniere[[#This Row],[ohne Dämpfung]]=1,2,IF(Scharniere[[#This Row],[ohne Feder]]=1,3,0))),1,0)</f>
        <v>0</v>
      </c>
      <c r="G199" s="35">
        <f>IF(Scharniere[[#This Row],[Bohrbild]]=select!$V$43,1,0)</f>
        <v>0</v>
      </c>
      <c r="H199" s="35">
        <f>IF(IF(Scharniere[[#This Row],[Anschrauben]]=1,1,IF(Scharniere[[#This Row],[Einpressen]]=1,2,IF(Scharniere[[#This Row],[Quick]]=1,3,IF(Scharniere[[#This Row],[Werkzeuglos]]=1,4,0))))=select!$F$48,1,0)</f>
        <v>0</v>
      </c>
      <c r="I1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99" s="149">
        <f>IF(AND(Scharniere[[#This Row],[Scharnierart]]=2,Scharniere[[#This Row],[Gruppenschlüssel]]=select!$A$318)=TRUE,1,0)</f>
        <v>0</v>
      </c>
      <c r="K199" s="221">
        <f ca="1">IF(select!$O$424&lt;6,1,0)</f>
        <v>1</v>
      </c>
      <c r="L199" s="139">
        <f>IF(select!$A$362=IF(Scharniere[[#This Row],[mit Dämpfung]]=1,1,IF(Scharniere[[#This Row],[ohne Dämpfung]]=1,2,IF(Scharniere[[#This Row],[ohne Feder]]=1,3,0))),1,0)</f>
        <v>0</v>
      </c>
      <c r="M199" s="135">
        <f>IF(Scharniere[[#This Row],[Bohrbild]]=select!$O$334,1,0)</f>
        <v>0</v>
      </c>
      <c r="N199" s="135">
        <f>IF(IF(Scharniere[[#This Row],[Anschrauben]]=1,1,IF(Scharniere[[#This Row],[Einpressen]]=1,2,IF(Scharniere[[#This Row],[Quick]]=1,3,IF(Scharniere[[#This Row],[Werkzeuglos]]=1,4,0))))=select!$E$362,1,0)</f>
        <v>1</v>
      </c>
      <c r="O1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99" s="298">
        <f>IF(AND(Scharniere[[#This Row],[Scharnierart]]=3,Scharniere[[#This Row],[Gruppenschlüssel]]=select!$A$747)=TRUE,1,0)</f>
        <v>0</v>
      </c>
      <c r="Q199" s="298">
        <f ca="1">IF(select!$O$945&lt;6,1,0)</f>
        <v>1</v>
      </c>
      <c r="R199" s="298">
        <f>IF(select!$A$778=IF(Scharniere[[#This Row],[mit Dämpfung]]=1,1,IF(Scharniere[[#This Row],[ohne Dämpfung]]=1,2,IF(Scharniere[[#This Row],[ohne Feder]]=1,3,0))),1,0)</f>
        <v>1</v>
      </c>
      <c r="S199" s="298">
        <f>IF(Scharniere[[#This Row],[Bohrbild]]=select!$A$755,1,0)</f>
        <v>0</v>
      </c>
      <c r="T199" s="298">
        <f>IF(IF(Scharniere[[#This Row],[Anschrauben]]=1,1,IF(Scharniere[[#This Row],[Einpressen]]=1,2,IF(Scharniere[[#This Row],[Quick]]=1,3,IF(Scharniere[[#This Row],[Werkzeuglos]]=1,4,0))))=select!$A$769,1,0)</f>
        <v>1</v>
      </c>
      <c r="U1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99" s="359">
        <f>IF(AND(Scharniere[[#This Row],[Scharnierart]]=4,Scharniere[[#This Row],[Gruppenschlüssel]]=select!$A$981)=TRUE,1,0)</f>
        <v>0</v>
      </c>
      <c r="W199" s="359">
        <f ca="1">IF(select!$O$1185&lt;6,1,0)</f>
        <v>1</v>
      </c>
      <c r="X199" s="359">
        <f>IF(select!$A$1012=IF(Scharniere[[#This Row],[mit Dämpfung]]=1,1,IF(Scharniere[[#This Row],[ohne Dämpfung]]=1,2,IF(Scharniere[[#This Row],[ohne Feder]]=1,3,0))),1,0)</f>
        <v>1</v>
      </c>
      <c r="Y199" s="359">
        <f>IF(Scharniere[[#This Row],[Bohrbild]]=select!$A$989,1,0)</f>
        <v>0</v>
      </c>
      <c r="Z199" s="359">
        <f>IF(IF(Scharniere[[#This Row],[Anschrauben]]=1,1,IF(Scharniere[[#This Row],[Einpressen]]=1,2,IF(Scharniere[[#This Row],[Quick]]=1,3,IF(Scharniere[[#This Row],[Werkzeuglos]]=1,4,0))))=select!$A$1003,1,0)</f>
        <v>1</v>
      </c>
      <c r="AA1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99" s="359">
        <f ca="1">IF(select!$K$980="*",Scharniere[[#This Row],[AG Ges2]],Scharniere[[#This Row],[AG Ges1]])</f>
        <v>0</v>
      </c>
      <c r="AE199" s="451">
        <f ca="1">IF(AND(Scharniere[[#This Row],[Scharnierart]]=select!$A$1485,Scharniere[[#This Row],[Gruppenschlüssel]]=select!$B$1485)=TRUE,1,0)</f>
        <v>1</v>
      </c>
      <c r="AF199" s="451">
        <f ca="1">IF(AND(Scharniere[[#This Row],[Scharnierart]]=select!$A$1486,Scharniere[[#This Row],[Gruppenschlüssel]]=select!$B$1486)=TRUE,1,0)</f>
        <v>0</v>
      </c>
      <c r="AG199" s="451">
        <f ca="1">IF(AND(Scharniere[[#This Row],[Scharnierart]]=select!$A$1487,Scharniere[[#This Row],[Gruppenschlüssel]]=select!$B$1487)=TRUE,1,0)</f>
        <v>0</v>
      </c>
      <c r="AH199" s="451">
        <f ca="1">IF(AND(Scharniere[[#This Row],[Scharnierart]]=select!$A$1488,Scharniere[[#This Row],[Gruppenschlüssel]]=select!$B$1488)=TRUE,1,0)</f>
        <v>0</v>
      </c>
      <c r="AI199" s="451">
        <f ca="1">IF(SUM(Scharniere[[#This Row],[konf Scharnier 1]:[konf Scharnier 4]])&gt;0,1,0)</f>
        <v>1</v>
      </c>
      <c r="AJ199" s="451"/>
      <c r="AK199" s="451"/>
      <c r="AL199" s="451"/>
      <c r="AM199" s="451"/>
      <c r="AN199" s="451"/>
      <c r="AO199" s="146">
        <v>1</v>
      </c>
      <c r="AP199" s="146">
        <v>1</v>
      </c>
      <c r="AQ199" s="10" t="str">
        <f ca="1">Sprache!$A$110</f>
        <v>Tiomos Scharnier T Click-on</v>
      </c>
      <c r="AR199" t="s">
        <v>380</v>
      </c>
      <c r="AS199" t="str">
        <f ca="1">Sprache!$A$103</f>
        <v>Tiomos Click-On Scharniere</v>
      </c>
      <c r="AT199">
        <v>0</v>
      </c>
      <c r="AU199" s="10" t="s">
        <v>11</v>
      </c>
      <c r="AV199">
        <v>110</v>
      </c>
      <c r="AW199" s="10">
        <v>0</v>
      </c>
      <c r="AX199">
        <v>1</v>
      </c>
      <c r="AY199">
        <v>0</v>
      </c>
      <c r="AZ199" s="10">
        <v>1</v>
      </c>
      <c r="BA199">
        <v>0</v>
      </c>
      <c r="BB199">
        <v>0</v>
      </c>
      <c r="BC199">
        <v>0</v>
      </c>
      <c r="BD199" s="143" t="s">
        <v>542</v>
      </c>
      <c r="BG199"/>
    </row>
    <row r="200" spans="1:59" ht="14.25" customHeight="1" x14ac:dyDescent="0.25">
      <c r="A200" s="37" t="str">
        <f>LEFT(Scharniere[[#This Row],[ArtikelNR]],4)</f>
        <v>F028</v>
      </c>
      <c r="B200" s="35" t="str">
        <f>MID(Scharniere[[#This Row],[ArtikelNR]],5,3)</f>
        <v>138</v>
      </c>
      <c r="C200" s="37" t="str">
        <f>RIGHT(Scharniere[[#This Row],[ArtikelNR]],3)</f>
        <v>883</v>
      </c>
      <c r="D200" s="35">
        <f>IF(AND(Scharniere[[#This Row],[Gruppenschlüssel]]=select!$A$44,Scharniere[[#This Row],[Scharnierart]]=1)=TRUE,1,0)</f>
        <v>1</v>
      </c>
      <c r="E2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0" s="35">
        <f>IF(select!$F$57=IF(Scharniere[[#This Row],[mit Dämpfung]]=1,1,IF(Scharniere[[#This Row],[ohne Dämpfung]]=1,2,IF(Scharniere[[#This Row],[ohne Feder]]=1,3,0))),1,0)</f>
        <v>0</v>
      </c>
      <c r="G200" s="35">
        <f>IF(Scharniere[[#This Row],[Bohrbild]]=select!$V$43,1,0)</f>
        <v>0</v>
      </c>
      <c r="H200" s="35">
        <f>IF(IF(Scharniere[[#This Row],[Anschrauben]]=1,1,IF(Scharniere[[#This Row],[Einpressen]]=1,2,IF(Scharniere[[#This Row],[Quick]]=1,3,IF(Scharniere[[#This Row],[Werkzeuglos]]=1,4,0))))=select!$F$48,1,0)</f>
        <v>0</v>
      </c>
      <c r="I2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0" s="149">
        <f>IF(AND(Scharniere[[#This Row],[Scharnierart]]=2,Scharniere[[#This Row],[Gruppenschlüssel]]=select!$A$318)=TRUE,1,0)</f>
        <v>0</v>
      </c>
      <c r="K200" s="221">
        <f ca="1">IF(select!$O$424&lt;6,1,0)</f>
        <v>1</v>
      </c>
      <c r="L200" s="139">
        <f>IF(select!$A$362=IF(Scharniere[[#This Row],[mit Dämpfung]]=1,1,IF(Scharniere[[#This Row],[ohne Dämpfung]]=1,2,IF(Scharniere[[#This Row],[ohne Feder]]=1,3,0))),1,0)</f>
        <v>1</v>
      </c>
      <c r="M200" s="135">
        <f>IF(Scharniere[[#This Row],[Bohrbild]]=select!$O$334,1,0)</f>
        <v>0</v>
      </c>
      <c r="N200" s="135">
        <f>IF(IF(Scharniere[[#This Row],[Anschrauben]]=1,1,IF(Scharniere[[#This Row],[Einpressen]]=1,2,IF(Scharniere[[#This Row],[Quick]]=1,3,IF(Scharniere[[#This Row],[Werkzeuglos]]=1,4,0))))=select!$E$362,1,0)</f>
        <v>1</v>
      </c>
      <c r="O2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0" s="298">
        <f>IF(AND(Scharniere[[#This Row],[Scharnierart]]=3,Scharniere[[#This Row],[Gruppenschlüssel]]=select!$A$747)=TRUE,1,0)</f>
        <v>0</v>
      </c>
      <c r="Q200" s="298">
        <f ca="1">IF(select!$O$945&lt;6,1,0)</f>
        <v>1</v>
      </c>
      <c r="R200" s="298">
        <f>IF(select!$A$778=IF(Scharniere[[#This Row],[mit Dämpfung]]=1,1,IF(Scharniere[[#This Row],[ohne Dämpfung]]=1,2,IF(Scharniere[[#This Row],[ohne Feder]]=1,3,0))),1,0)</f>
        <v>0</v>
      </c>
      <c r="S200" s="298">
        <f>IF(Scharniere[[#This Row],[Bohrbild]]=select!$A$755,1,0)</f>
        <v>0</v>
      </c>
      <c r="T200" s="298">
        <f>IF(IF(Scharniere[[#This Row],[Anschrauben]]=1,1,IF(Scharniere[[#This Row],[Einpressen]]=1,2,IF(Scharniere[[#This Row],[Quick]]=1,3,IF(Scharniere[[#This Row],[Werkzeuglos]]=1,4,0))))=select!$A$769,1,0)</f>
        <v>1</v>
      </c>
      <c r="U2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0" s="359">
        <f>IF(AND(Scharniere[[#This Row],[Scharnierart]]=4,Scharniere[[#This Row],[Gruppenschlüssel]]=select!$A$981)=TRUE,1,0)</f>
        <v>0</v>
      </c>
      <c r="W200" s="359">
        <f ca="1">IF(select!$O$1185&lt;6,1,0)</f>
        <v>1</v>
      </c>
      <c r="X200" s="359">
        <f>IF(select!$A$1012=IF(Scharniere[[#This Row],[mit Dämpfung]]=1,1,IF(Scharniere[[#This Row],[ohne Dämpfung]]=1,2,IF(Scharniere[[#This Row],[ohne Feder]]=1,3,0))),1,0)</f>
        <v>0</v>
      </c>
      <c r="Y200" s="359">
        <f>IF(Scharniere[[#This Row],[Bohrbild]]=select!$A$989,1,0)</f>
        <v>0</v>
      </c>
      <c r="Z200" s="359">
        <f>IF(IF(Scharniere[[#This Row],[Anschrauben]]=1,1,IF(Scharniere[[#This Row],[Einpressen]]=1,2,IF(Scharniere[[#This Row],[Quick]]=1,3,IF(Scharniere[[#This Row],[Werkzeuglos]]=1,4,0))))=select!$A$1003,1,0)</f>
        <v>1</v>
      </c>
      <c r="AA2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0" s="359">
        <f ca="1">IF(select!$K$980="*",Scharniere[[#This Row],[AG Ges2]],Scharniere[[#This Row],[AG Ges1]])</f>
        <v>0</v>
      </c>
      <c r="AE200" s="451">
        <f ca="1">IF(AND(Scharniere[[#This Row],[Scharnierart]]=select!$A$1485,Scharniere[[#This Row],[Gruppenschlüssel]]=select!$B$1485)=TRUE,1,0)</f>
        <v>1</v>
      </c>
      <c r="AF200" s="451">
        <f ca="1">IF(AND(Scharniere[[#This Row],[Scharnierart]]=select!$A$1486,Scharniere[[#This Row],[Gruppenschlüssel]]=select!$B$1486)=TRUE,1,0)</f>
        <v>0</v>
      </c>
      <c r="AG200" s="451">
        <f ca="1">IF(AND(Scharniere[[#This Row],[Scharnierart]]=select!$A$1487,Scharniere[[#This Row],[Gruppenschlüssel]]=select!$B$1487)=TRUE,1,0)</f>
        <v>0</v>
      </c>
      <c r="AH200" s="451">
        <f ca="1">IF(AND(Scharniere[[#This Row],[Scharnierart]]=select!$A$1488,Scharniere[[#This Row],[Gruppenschlüssel]]=select!$B$1488)=TRUE,1,0)</f>
        <v>0</v>
      </c>
      <c r="AI200" s="451">
        <f ca="1">IF(SUM(Scharniere[[#This Row],[konf Scharnier 1]:[konf Scharnier 4]])&gt;0,1,0)</f>
        <v>1</v>
      </c>
      <c r="AJ200" s="451"/>
      <c r="AK200" s="451"/>
      <c r="AL200" s="451"/>
      <c r="AM200" s="451"/>
      <c r="AN200" s="451"/>
      <c r="AO200" s="146">
        <v>1</v>
      </c>
      <c r="AP200" s="146">
        <v>1</v>
      </c>
      <c r="AQ200" s="10" t="str">
        <f ca="1">Sprache!$A$112</f>
        <v>Tiomos Scharnier TS Click-on</v>
      </c>
      <c r="AR200" t="s">
        <v>380</v>
      </c>
      <c r="AS200" t="str">
        <f ca="1">Sprache!$A$103</f>
        <v>Tiomos Click-On Scharniere</v>
      </c>
      <c r="AT200">
        <v>0</v>
      </c>
      <c r="AU200" t="s">
        <v>11</v>
      </c>
      <c r="AV200">
        <v>110</v>
      </c>
      <c r="AW200" s="10">
        <v>1</v>
      </c>
      <c r="AX200">
        <v>0</v>
      </c>
      <c r="AY200">
        <v>0</v>
      </c>
      <c r="AZ200" s="10">
        <v>1</v>
      </c>
      <c r="BA200">
        <v>0</v>
      </c>
      <c r="BB200">
        <v>0</v>
      </c>
      <c r="BC200">
        <v>0</v>
      </c>
      <c r="BD200" s="143" t="s">
        <v>379</v>
      </c>
      <c r="BG200"/>
    </row>
    <row r="201" spans="1:59" ht="14.25" customHeight="1" x14ac:dyDescent="0.25">
      <c r="A201" s="37" t="str">
        <f>LEFT(Scharniere[[#This Row],[ArtikelNR]],4)</f>
        <v>F046</v>
      </c>
      <c r="B201" s="35" t="str">
        <f>MID(Scharniere[[#This Row],[ArtikelNR]],5,3)</f>
        <v>138</v>
      </c>
      <c r="C201" s="37" t="str">
        <f>RIGHT(Scharniere[[#This Row],[ArtikelNR]],3)</f>
        <v>943</v>
      </c>
      <c r="D201" s="35">
        <f>IF(AND(Scharniere[[#This Row],[Gruppenschlüssel]]=select!$A$44,Scharniere[[#This Row],[Scharnierart]]=1)=TRUE,1,0)</f>
        <v>1</v>
      </c>
      <c r="E2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1" s="35">
        <f>IF(select!$F$57=IF(Scharniere[[#This Row],[mit Dämpfung]]=1,1,IF(Scharniere[[#This Row],[ohne Dämpfung]]=1,2,IF(Scharniere[[#This Row],[ohne Feder]]=1,3,0))),1,0)</f>
        <v>1</v>
      </c>
      <c r="G201" s="35">
        <f>IF(Scharniere[[#This Row],[Bohrbild]]=select!$V$43,1,0)</f>
        <v>0</v>
      </c>
      <c r="H201" s="35">
        <f>IF(IF(Scharniere[[#This Row],[Anschrauben]]=1,1,IF(Scharniere[[#This Row],[Einpressen]]=1,2,IF(Scharniere[[#This Row],[Quick]]=1,3,IF(Scharniere[[#This Row],[Werkzeuglos]]=1,4,0))))=select!$F$48,1,0)</f>
        <v>0</v>
      </c>
      <c r="I2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1" s="149">
        <f>IF(AND(Scharniere[[#This Row],[Scharnierart]]=2,Scharniere[[#This Row],[Gruppenschlüssel]]=select!$A$318)=TRUE,1,0)</f>
        <v>0</v>
      </c>
      <c r="K201" s="221">
        <f ca="1">IF(select!$O$424&lt;6,1,0)</f>
        <v>1</v>
      </c>
      <c r="L201" s="139">
        <f>IF(select!$A$362=IF(Scharniere[[#This Row],[mit Dämpfung]]=1,1,IF(Scharniere[[#This Row],[ohne Dämpfung]]=1,2,IF(Scharniere[[#This Row],[ohne Feder]]=1,3,0))),1,0)</f>
        <v>0</v>
      </c>
      <c r="M201" s="135">
        <f>IF(Scharniere[[#This Row],[Bohrbild]]=select!$O$334,1,0)</f>
        <v>0</v>
      </c>
      <c r="N201" s="135">
        <f>IF(IF(Scharniere[[#This Row],[Anschrauben]]=1,1,IF(Scharniere[[#This Row],[Einpressen]]=1,2,IF(Scharniere[[#This Row],[Quick]]=1,3,IF(Scharniere[[#This Row],[Werkzeuglos]]=1,4,0))))=select!$E$362,1,0)</f>
        <v>1</v>
      </c>
      <c r="O2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1" s="298">
        <f>IF(AND(Scharniere[[#This Row],[Scharnierart]]=3,Scharniere[[#This Row],[Gruppenschlüssel]]=select!$A$747)=TRUE,1,0)</f>
        <v>0</v>
      </c>
      <c r="Q201" s="298">
        <f ca="1">IF(select!$O$945&lt;6,1,0)</f>
        <v>1</v>
      </c>
      <c r="R201" s="298">
        <f>IF(select!$A$778=IF(Scharniere[[#This Row],[mit Dämpfung]]=1,1,IF(Scharniere[[#This Row],[ohne Dämpfung]]=1,2,IF(Scharniere[[#This Row],[ohne Feder]]=1,3,0))),1,0)</f>
        <v>0</v>
      </c>
      <c r="S201" s="298">
        <f>IF(Scharniere[[#This Row],[Bohrbild]]=select!$A$755,1,0)</f>
        <v>0</v>
      </c>
      <c r="T201" s="298">
        <f>IF(IF(Scharniere[[#This Row],[Anschrauben]]=1,1,IF(Scharniere[[#This Row],[Einpressen]]=1,2,IF(Scharniere[[#This Row],[Quick]]=1,3,IF(Scharniere[[#This Row],[Werkzeuglos]]=1,4,0))))=select!$A$769,1,0)</f>
        <v>1</v>
      </c>
      <c r="U2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1" s="359">
        <f>IF(AND(Scharniere[[#This Row],[Scharnierart]]=4,Scharniere[[#This Row],[Gruppenschlüssel]]=select!$A$981)=TRUE,1,0)</f>
        <v>0</v>
      </c>
      <c r="W201" s="359">
        <f ca="1">IF(select!$O$1185&lt;6,1,0)</f>
        <v>1</v>
      </c>
      <c r="X201" s="359">
        <f>IF(select!$A$1012=IF(Scharniere[[#This Row],[mit Dämpfung]]=1,1,IF(Scharniere[[#This Row],[ohne Dämpfung]]=1,2,IF(Scharniere[[#This Row],[ohne Feder]]=1,3,0))),1,0)</f>
        <v>0</v>
      </c>
      <c r="Y201" s="359">
        <f>IF(Scharniere[[#This Row],[Bohrbild]]=select!$A$989,1,0)</f>
        <v>0</v>
      </c>
      <c r="Z201" s="359">
        <f>IF(IF(Scharniere[[#This Row],[Anschrauben]]=1,1,IF(Scharniere[[#This Row],[Einpressen]]=1,2,IF(Scharniere[[#This Row],[Quick]]=1,3,IF(Scharniere[[#This Row],[Werkzeuglos]]=1,4,0))))=select!$A$1003,1,0)</f>
        <v>1</v>
      </c>
      <c r="AA2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1" s="359">
        <f ca="1">IF(select!$K$980="*",Scharniere[[#This Row],[AG Ges2]],Scharniere[[#This Row],[AG Ges1]])</f>
        <v>0</v>
      </c>
      <c r="AE201" s="451">
        <f ca="1">IF(AND(Scharniere[[#This Row],[Scharnierart]]=select!$A$1485,Scharniere[[#This Row],[Gruppenschlüssel]]=select!$B$1485)=TRUE,1,0)</f>
        <v>1</v>
      </c>
      <c r="AF201" s="451">
        <f ca="1">IF(AND(Scharniere[[#This Row],[Scharnierart]]=select!$A$1486,Scharniere[[#This Row],[Gruppenschlüssel]]=select!$B$1486)=TRUE,1,0)</f>
        <v>0</v>
      </c>
      <c r="AG201" s="451">
        <f ca="1">IF(AND(Scharniere[[#This Row],[Scharnierart]]=select!$A$1487,Scharniere[[#This Row],[Gruppenschlüssel]]=select!$B$1487)=TRUE,1,0)</f>
        <v>0</v>
      </c>
      <c r="AH201" s="451">
        <f ca="1">IF(AND(Scharniere[[#This Row],[Scharnierart]]=select!$A$1488,Scharniere[[#This Row],[Gruppenschlüssel]]=select!$B$1488)=TRUE,1,0)</f>
        <v>0</v>
      </c>
      <c r="AI201" s="451">
        <f ca="1">IF(SUM(Scharniere[[#This Row],[konf Scharnier 1]:[konf Scharnier 4]])&gt;0,1,0)</f>
        <v>1</v>
      </c>
      <c r="AJ201" s="451"/>
      <c r="AK201" s="451"/>
      <c r="AL201" s="451"/>
      <c r="AM201" s="451"/>
      <c r="AN201" s="451"/>
      <c r="AO201" s="146">
        <v>1</v>
      </c>
      <c r="AP201" s="146">
        <v>1</v>
      </c>
      <c r="AQ201" s="10" t="str">
        <f ca="1">Sprache!$A$114</f>
        <v>Tiomos Scharnier TT Click-on</v>
      </c>
      <c r="AR201" t="s">
        <v>380</v>
      </c>
      <c r="AS201" t="str">
        <f ca="1">Sprache!$A$103</f>
        <v>Tiomos Click-On Scharniere</v>
      </c>
      <c r="AT201">
        <v>0</v>
      </c>
      <c r="AU201" s="34" t="s">
        <v>11</v>
      </c>
      <c r="AV201">
        <v>110</v>
      </c>
      <c r="AW201" s="10">
        <v>0</v>
      </c>
      <c r="AX201">
        <v>0</v>
      </c>
      <c r="AY201">
        <v>1</v>
      </c>
      <c r="AZ201" s="10">
        <v>1</v>
      </c>
      <c r="BA201">
        <v>0</v>
      </c>
      <c r="BB201">
        <v>0</v>
      </c>
      <c r="BC201">
        <v>0</v>
      </c>
      <c r="BD201" s="143" t="s">
        <v>694</v>
      </c>
      <c r="BG201"/>
    </row>
    <row r="202" spans="1:59" ht="14.25" customHeight="1" x14ac:dyDescent="0.25">
      <c r="A202" s="37" t="str">
        <f>LEFT(Scharniere[[#This Row],[ArtikelNR]],4)</f>
        <v>F022</v>
      </c>
      <c r="B202" s="35" t="str">
        <f>MID(Scharniere[[#This Row],[ArtikelNR]],5,3)</f>
        <v>140</v>
      </c>
      <c r="C202" s="37" t="str">
        <f>RIGHT(Scharniere[[#This Row],[ArtikelNR]],3)</f>
        <v>090</v>
      </c>
      <c r="D202" s="35">
        <f>IF(AND(Scharniere[[#This Row],[Gruppenschlüssel]]=select!$A$44,Scharniere[[#This Row],[Scharnierart]]=1)=TRUE,1,0)</f>
        <v>1</v>
      </c>
      <c r="E2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2" s="35">
        <f>IF(select!$F$57=IF(Scharniere[[#This Row],[mit Dämpfung]]=1,1,IF(Scharniere[[#This Row],[ohne Dämpfung]]=1,2,IF(Scharniere[[#This Row],[ohne Feder]]=1,3,0))),1,0)</f>
        <v>0</v>
      </c>
      <c r="G202" s="35">
        <f>IF(Scharniere[[#This Row],[Bohrbild]]=select!$V$43,1,0)</f>
        <v>0</v>
      </c>
      <c r="H202" s="35">
        <f>IF(IF(Scharniere[[#This Row],[Anschrauben]]=1,1,IF(Scharniere[[#This Row],[Einpressen]]=1,2,IF(Scharniere[[#This Row],[Quick]]=1,3,IF(Scharniere[[#This Row],[Werkzeuglos]]=1,4,0))))=select!$F$48,1,0)</f>
        <v>0</v>
      </c>
      <c r="I2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2" s="149">
        <f>IF(AND(Scharniere[[#This Row],[Scharnierart]]=2,Scharniere[[#This Row],[Gruppenschlüssel]]=select!$A$318)=TRUE,1,0)</f>
        <v>0</v>
      </c>
      <c r="K202" s="221">
        <f ca="1">IF(select!$O$424&lt;6,1,0)</f>
        <v>1</v>
      </c>
      <c r="L202" s="139">
        <f>IF(select!$A$362=IF(Scharniere[[#This Row],[mit Dämpfung]]=1,1,IF(Scharniere[[#This Row],[ohne Dämpfung]]=1,2,IF(Scharniere[[#This Row],[ohne Feder]]=1,3,0))),1,0)</f>
        <v>1</v>
      </c>
      <c r="M202" s="135">
        <f>IF(Scharniere[[#This Row],[Bohrbild]]=select!$O$334,1,0)</f>
        <v>0</v>
      </c>
      <c r="N202" s="135">
        <f>IF(IF(Scharniere[[#This Row],[Anschrauben]]=1,1,IF(Scharniere[[#This Row],[Einpressen]]=1,2,IF(Scharniere[[#This Row],[Quick]]=1,3,IF(Scharniere[[#This Row],[Werkzeuglos]]=1,4,0))))=select!$E$362,1,0)</f>
        <v>0</v>
      </c>
      <c r="O2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2" s="298">
        <f>IF(AND(Scharniere[[#This Row],[Scharnierart]]=3,Scharniere[[#This Row],[Gruppenschlüssel]]=select!$A$747)=TRUE,1,0)</f>
        <v>0</v>
      </c>
      <c r="Q202" s="298">
        <f ca="1">IF(select!$O$945&lt;6,1,0)</f>
        <v>1</v>
      </c>
      <c r="R202" s="298">
        <f>IF(select!$A$778=IF(Scharniere[[#This Row],[mit Dämpfung]]=1,1,IF(Scharniere[[#This Row],[ohne Dämpfung]]=1,2,IF(Scharniere[[#This Row],[ohne Feder]]=1,3,0))),1,0)</f>
        <v>0</v>
      </c>
      <c r="S202" s="298">
        <f>IF(Scharniere[[#This Row],[Bohrbild]]=select!$A$755,1,0)</f>
        <v>0</v>
      </c>
      <c r="T202" s="298">
        <f>IF(IF(Scharniere[[#This Row],[Anschrauben]]=1,1,IF(Scharniere[[#This Row],[Einpressen]]=1,2,IF(Scharniere[[#This Row],[Quick]]=1,3,IF(Scharniere[[#This Row],[Werkzeuglos]]=1,4,0))))=select!$A$769,1,0)</f>
        <v>0</v>
      </c>
      <c r="U2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2" s="359">
        <f>IF(AND(Scharniere[[#This Row],[Scharnierart]]=4,Scharniere[[#This Row],[Gruppenschlüssel]]=select!$A$981)=TRUE,1,0)</f>
        <v>0</v>
      </c>
      <c r="W202" s="359">
        <f ca="1">IF(select!$O$1185&lt;6,1,0)</f>
        <v>1</v>
      </c>
      <c r="X202" s="359">
        <f>IF(select!$A$1012=IF(Scharniere[[#This Row],[mit Dämpfung]]=1,1,IF(Scharniere[[#This Row],[ohne Dämpfung]]=1,2,IF(Scharniere[[#This Row],[ohne Feder]]=1,3,0))),1,0)</f>
        <v>0</v>
      </c>
      <c r="Y202" s="359">
        <f>IF(Scharniere[[#This Row],[Bohrbild]]=select!$A$989,1,0)</f>
        <v>0</v>
      </c>
      <c r="Z202" s="359">
        <f>IF(IF(Scharniere[[#This Row],[Anschrauben]]=1,1,IF(Scharniere[[#This Row],[Einpressen]]=1,2,IF(Scharniere[[#This Row],[Quick]]=1,3,IF(Scharniere[[#This Row],[Werkzeuglos]]=1,4,0))))=select!$A$1003,1,0)</f>
        <v>0</v>
      </c>
      <c r="AA2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2" s="359">
        <f ca="1">IF(select!$K$980="*",Scharniere[[#This Row],[AG Ges2]],Scharniere[[#This Row],[AG Ges1]])</f>
        <v>0</v>
      </c>
      <c r="AE202" s="451">
        <f ca="1">IF(AND(Scharniere[[#This Row],[Scharnierart]]=select!$A$1485,Scharniere[[#This Row],[Gruppenschlüssel]]=select!$B$1485)=TRUE,1,0)</f>
        <v>1</v>
      </c>
      <c r="AF202" s="451">
        <f ca="1">IF(AND(Scharniere[[#This Row],[Scharnierart]]=select!$A$1486,Scharniere[[#This Row],[Gruppenschlüssel]]=select!$B$1486)=TRUE,1,0)</f>
        <v>0</v>
      </c>
      <c r="AG202" s="451">
        <f ca="1">IF(AND(Scharniere[[#This Row],[Scharnierart]]=select!$A$1487,Scharniere[[#This Row],[Gruppenschlüssel]]=select!$B$1487)=TRUE,1,0)</f>
        <v>0</v>
      </c>
      <c r="AH202" s="451">
        <f ca="1">IF(AND(Scharniere[[#This Row],[Scharnierart]]=select!$A$1488,Scharniere[[#This Row],[Gruppenschlüssel]]=select!$B$1488)=TRUE,1,0)</f>
        <v>0</v>
      </c>
      <c r="AI202" s="451">
        <f ca="1">IF(SUM(Scharniere[[#This Row],[konf Scharnier 1]:[konf Scharnier 4]])&gt;0,1,0)</f>
        <v>1</v>
      </c>
      <c r="AJ202" s="451"/>
      <c r="AK202" s="451"/>
      <c r="AL202" s="451"/>
      <c r="AM202" s="451"/>
      <c r="AN202" s="451"/>
      <c r="AO202" s="146">
        <v>1</v>
      </c>
      <c r="AP202" s="146">
        <v>1</v>
      </c>
      <c r="AQ202" s="10" t="str">
        <f ca="1">Sprache!$A$126</f>
        <v>Tiomos Scharnier TS Quick</v>
      </c>
      <c r="AR202" t="s">
        <v>302</v>
      </c>
      <c r="AS202" t="str">
        <f ca="1">Sprache!$A$102</f>
        <v>Tiomos Quick Scharnier</v>
      </c>
      <c r="AT202">
        <v>0</v>
      </c>
      <c r="AU202" t="s">
        <v>3</v>
      </c>
      <c r="AV202" t="s">
        <v>1489</v>
      </c>
      <c r="AW202" s="10">
        <v>1</v>
      </c>
      <c r="AX202">
        <v>0</v>
      </c>
      <c r="AY202">
        <v>0</v>
      </c>
      <c r="AZ202" s="10">
        <v>0</v>
      </c>
      <c r="BA202">
        <v>0</v>
      </c>
      <c r="BB202">
        <v>1</v>
      </c>
      <c r="BC202">
        <v>0</v>
      </c>
      <c r="BD202" s="143" t="s">
        <v>1509</v>
      </c>
      <c r="BG202"/>
    </row>
    <row r="203" spans="1:59" ht="14.25" customHeight="1" x14ac:dyDescent="0.25">
      <c r="A203" s="37" t="str">
        <f>LEFT(Scharniere[[#This Row],[ArtikelNR]],4)</f>
        <v>F039</v>
      </c>
      <c r="B203" s="35" t="str">
        <f>MID(Scharniere[[#This Row],[ArtikelNR]],5,3)</f>
        <v>140</v>
      </c>
      <c r="C203" s="37" t="str">
        <f>RIGHT(Scharniere[[#This Row],[ArtikelNR]],3)</f>
        <v>030</v>
      </c>
      <c r="D203" s="35">
        <f>IF(AND(Scharniere[[#This Row],[Gruppenschlüssel]]=select!$A$44,Scharniere[[#This Row],[Scharnierart]]=1)=TRUE,1,0)</f>
        <v>1</v>
      </c>
      <c r="E2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3" s="35">
        <f>IF(select!$F$57=IF(Scharniere[[#This Row],[mit Dämpfung]]=1,1,IF(Scharniere[[#This Row],[ohne Dämpfung]]=1,2,IF(Scharniere[[#This Row],[ohne Feder]]=1,3,0))),1,0)</f>
        <v>0</v>
      </c>
      <c r="G203" s="35">
        <f>IF(Scharniere[[#This Row],[Bohrbild]]=select!$V$43,1,0)</f>
        <v>0</v>
      </c>
      <c r="H203" s="35">
        <f>IF(IF(Scharniere[[#This Row],[Anschrauben]]=1,1,IF(Scharniere[[#This Row],[Einpressen]]=1,2,IF(Scharniere[[#This Row],[Quick]]=1,3,IF(Scharniere[[#This Row],[Werkzeuglos]]=1,4,0))))=select!$F$48,1,0)</f>
        <v>0</v>
      </c>
      <c r="I2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3" s="149">
        <f>IF(AND(Scharniere[[#This Row],[Scharnierart]]=2,Scharniere[[#This Row],[Gruppenschlüssel]]=select!$A$318)=TRUE,1,0)</f>
        <v>0</v>
      </c>
      <c r="K203" s="221">
        <f ca="1">IF(select!$O$424&lt;6,1,0)</f>
        <v>1</v>
      </c>
      <c r="L203" s="139">
        <f>IF(select!$A$362=IF(Scharniere[[#This Row],[mit Dämpfung]]=1,1,IF(Scharniere[[#This Row],[ohne Dämpfung]]=1,2,IF(Scharniere[[#This Row],[ohne Feder]]=1,3,0))),1,0)</f>
        <v>0</v>
      </c>
      <c r="M203" s="135">
        <f>IF(Scharniere[[#This Row],[Bohrbild]]=select!$O$334,1,0)</f>
        <v>0</v>
      </c>
      <c r="N203" s="135">
        <f>IF(IF(Scharniere[[#This Row],[Anschrauben]]=1,1,IF(Scharniere[[#This Row],[Einpressen]]=1,2,IF(Scharniere[[#This Row],[Quick]]=1,3,IF(Scharniere[[#This Row],[Werkzeuglos]]=1,4,0))))=select!$E$362,1,0)</f>
        <v>0</v>
      </c>
      <c r="O2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3" s="298">
        <f>IF(AND(Scharniere[[#This Row],[Scharnierart]]=3,Scharniere[[#This Row],[Gruppenschlüssel]]=select!$A$747)=TRUE,1,0)</f>
        <v>0</v>
      </c>
      <c r="Q203" s="298">
        <f ca="1">IF(select!$O$945&lt;6,1,0)</f>
        <v>1</v>
      </c>
      <c r="R203" s="298">
        <f>IF(select!$A$778=IF(Scharniere[[#This Row],[mit Dämpfung]]=1,1,IF(Scharniere[[#This Row],[ohne Dämpfung]]=1,2,IF(Scharniere[[#This Row],[ohne Feder]]=1,3,0))),1,0)</f>
        <v>1</v>
      </c>
      <c r="S203" s="298">
        <f>IF(Scharniere[[#This Row],[Bohrbild]]=select!$A$755,1,0)</f>
        <v>0</v>
      </c>
      <c r="T203" s="298">
        <f>IF(IF(Scharniere[[#This Row],[Anschrauben]]=1,1,IF(Scharniere[[#This Row],[Einpressen]]=1,2,IF(Scharniere[[#This Row],[Quick]]=1,3,IF(Scharniere[[#This Row],[Werkzeuglos]]=1,4,0))))=select!$A$769,1,0)</f>
        <v>0</v>
      </c>
      <c r="U2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3" s="359">
        <f>IF(AND(Scharniere[[#This Row],[Scharnierart]]=4,Scharniere[[#This Row],[Gruppenschlüssel]]=select!$A$981)=TRUE,1,0)</f>
        <v>0</v>
      </c>
      <c r="W203" s="359">
        <f ca="1">IF(select!$O$1185&lt;6,1,0)</f>
        <v>1</v>
      </c>
      <c r="X203" s="359">
        <f>IF(select!$A$1012=IF(Scharniere[[#This Row],[mit Dämpfung]]=1,1,IF(Scharniere[[#This Row],[ohne Dämpfung]]=1,2,IF(Scharniere[[#This Row],[ohne Feder]]=1,3,0))),1,0)</f>
        <v>1</v>
      </c>
      <c r="Y203" s="359">
        <f>IF(Scharniere[[#This Row],[Bohrbild]]=select!$A$989,1,0)</f>
        <v>0</v>
      </c>
      <c r="Z203" s="359">
        <f>IF(IF(Scharniere[[#This Row],[Anschrauben]]=1,1,IF(Scharniere[[#This Row],[Einpressen]]=1,2,IF(Scharniere[[#This Row],[Quick]]=1,3,IF(Scharniere[[#This Row],[Werkzeuglos]]=1,4,0))))=select!$A$1003,1,0)</f>
        <v>0</v>
      </c>
      <c r="AA2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3" s="359">
        <f ca="1">IF(select!$K$980="*",Scharniere[[#This Row],[AG Ges2]],Scharniere[[#This Row],[AG Ges1]])</f>
        <v>0</v>
      </c>
      <c r="AE203" s="451">
        <f ca="1">IF(AND(Scharniere[[#This Row],[Scharnierart]]=select!$A$1485,Scharniere[[#This Row],[Gruppenschlüssel]]=select!$B$1485)=TRUE,1,0)</f>
        <v>1</v>
      </c>
      <c r="AF203" s="451">
        <f ca="1">IF(AND(Scharniere[[#This Row],[Scharnierart]]=select!$A$1486,Scharniere[[#This Row],[Gruppenschlüssel]]=select!$B$1486)=TRUE,1,0)</f>
        <v>0</v>
      </c>
      <c r="AG203" s="451">
        <f ca="1">IF(AND(Scharniere[[#This Row],[Scharnierart]]=select!$A$1487,Scharniere[[#This Row],[Gruppenschlüssel]]=select!$B$1487)=TRUE,1,0)</f>
        <v>0</v>
      </c>
      <c r="AH203" s="451">
        <f ca="1">IF(AND(Scharniere[[#This Row],[Scharnierart]]=select!$A$1488,Scharniere[[#This Row],[Gruppenschlüssel]]=select!$B$1488)=TRUE,1,0)</f>
        <v>0</v>
      </c>
      <c r="AI203" s="451">
        <f ca="1">IF(SUM(Scharniere[[#This Row],[konf Scharnier 1]:[konf Scharnier 4]])&gt;0,1,0)</f>
        <v>1</v>
      </c>
      <c r="AJ203" s="451"/>
      <c r="AK203" s="451"/>
      <c r="AL203" s="451"/>
      <c r="AM203" s="451"/>
      <c r="AN203" s="451"/>
      <c r="AO203" s="146">
        <v>1</v>
      </c>
      <c r="AP203" s="146">
        <v>1</v>
      </c>
      <c r="AQ203" s="10" t="str">
        <f ca="1">Sprache!$A$123</f>
        <v>Tiomos Scharnier T Quick</v>
      </c>
      <c r="AR203" t="s">
        <v>302</v>
      </c>
      <c r="AS203" t="str">
        <f ca="1">Sprache!$A$102</f>
        <v>Tiomos Quick Scharnier</v>
      </c>
      <c r="AT203">
        <v>0</v>
      </c>
      <c r="AU203" t="s">
        <v>3</v>
      </c>
      <c r="AV203" t="s">
        <v>1489</v>
      </c>
      <c r="AW203" s="10">
        <v>0</v>
      </c>
      <c r="AX203">
        <v>1</v>
      </c>
      <c r="AY203">
        <v>0</v>
      </c>
      <c r="AZ203" s="10">
        <v>0</v>
      </c>
      <c r="BA203">
        <v>0</v>
      </c>
      <c r="BB203">
        <v>1</v>
      </c>
      <c r="BC203">
        <v>0</v>
      </c>
      <c r="BD203" s="143" t="s">
        <v>1611</v>
      </c>
      <c r="BG203"/>
    </row>
    <row r="204" spans="1:59" ht="14.25" customHeight="1" x14ac:dyDescent="0.25">
      <c r="A204" s="37" t="str">
        <f>LEFT(Scharniere[[#This Row],[ArtikelNR]],4)</f>
        <v>F045</v>
      </c>
      <c r="B204" s="35" t="str">
        <f>MID(Scharniere[[#This Row],[ArtikelNR]],5,3)</f>
        <v>138</v>
      </c>
      <c r="C204" s="37" t="str">
        <f>RIGHT(Scharniere[[#This Row],[ArtikelNR]],3)</f>
        <v>492</v>
      </c>
      <c r="D204" s="35">
        <f>IF(AND(Scharniere[[#This Row],[Gruppenschlüssel]]=select!$A$44,Scharniere[[#This Row],[Scharnierart]]=1)=TRUE,1,0)</f>
        <v>0</v>
      </c>
      <c r="E2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4" s="35">
        <f>IF(select!$F$57=IF(Scharniere[[#This Row],[mit Dämpfung]]=1,1,IF(Scharniere[[#This Row],[ohne Dämpfung]]=1,2,IF(Scharniere[[#This Row],[ohne Feder]]=1,3,0))),1,0)</f>
        <v>0</v>
      </c>
      <c r="G204" s="35">
        <f>IF(Scharniere[[#This Row],[Bohrbild]]=select!$V$43,1,0)</f>
        <v>0</v>
      </c>
      <c r="H204" s="35">
        <f>IF(IF(Scharniere[[#This Row],[Anschrauben]]=1,1,IF(Scharniere[[#This Row],[Einpressen]]=1,2,IF(Scharniere[[#This Row],[Quick]]=1,3,IF(Scharniere[[#This Row],[Werkzeuglos]]=1,4,0))))=select!$F$48,1,0)</f>
        <v>1</v>
      </c>
      <c r="I2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4" s="149">
        <f>IF(AND(Scharniere[[#This Row],[Scharnierart]]=2,Scharniere[[#This Row],[Gruppenschlüssel]]=select!$A$318)=TRUE,1,0)</f>
        <v>0</v>
      </c>
      <c r="K204" s="221">
        <f ca="1">IF(select!$O$424&lt;6,1,0)</f>
        <v>1</v>
      </c>
      <c r="L204" s="139">
        <f>IF(select!$A$362=IF(Scharniere[[#This Row],[mit Dämpfung]]=1,1,IF(Scharniere[[#This Row],[ohne Dämpfung]]=1,2,IF(Scharniere[[#This Row],[ohne Feder]]=1,3,0))),1,0)</f>
        <v>0</v>
      </c>
      <c r="M204" s="135">
        <f>IF(Scharniere[[#This Row],[Bohrbild]]=select!$O$334,1,0)</f>
        <v>0</v>
      </c>
      <c r="N204" s="135">
        <f>IF(IF(Scharniere[[#This Row],[Anschrauben]]=1,1,IF(Scharniere[[#This Row],[Einpressen]]=1,2,IF(Scharniere[[#This Row],[Quick]]=1,3,IF(Scharniere[[#This Row],[Werkzeuglos]]=1,4,0))))=select!$E$362,1,0)</f>
        <v>0</v>
      </c>
      <c r="O2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4" s="298">
        <f>IF(AND(Scharniere[[#This Row],[Scharnierart]]=3,Scharniere[[#This Row],[Gruppenschlüssel]]=select!$A$747)=TRUE,1,0)</f>
        <v>0</v>
      </c>
      <c r="Q204" s="298">
        <f ca="1">IF(select!$O$945&lt;6,1,0)</f>
        <v>1</v>
      </c>
      <c r="R204" s="298">
        <f>IF(select!$A$778=IF(Scharniere[[#This Row],[mit Dämpfung]]=1,1,IF(Scharniere[[#This Row],[ohne Dämpfung]]=1,2,IF(Scharniere[[#This Row],[ohne Feder]]=1,3,0))),1,0)</f>
        <v>1</v>
      </c>
      <c r="S204" s="298">
        <f>IF(Scharniere[[#This Row],[Bohrbild]]=select!$A$755,1,0)</f>
        <v>0</v>
      </c>
      <c r="T204" s="298">
        <f>IF(IF(Scharniere[[#This Row],[Anschrauben]]=1,1,IF(Scharniere[[#This Row],[Einpressen]]=1,2,IF(Scharniere[[#This Row],[Quick]]=1,3,IF(Scharniere[[#This Row],[Werkzeuglos]]=1,4,0))))=select!$A$769,1,0)</f>
        <v>0</v>
      </c>
      <c r="U2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4" s="359">
        <f>IF(AND(Scharniere[[#This Row],[Scharnierart]]=4,Scharniere[[#This Row],[Gruppenschlüssel]]=select!$A$981)=TRUE,1,0)</f>
        <v>0</v>
      </c>
      <c r="W204" s="359">
        <f ca="1">IF(select!$O$1185&lt;6,1,0)</f>
        <v>1</v>
      </c>
      <c r="X204" s="359">
        <f>IF(select!$A$1012=IF(Scharniere[[#This Row],[mit Dämpfung]]=1,1,IF(Scharniere[[#This Row],[ohne Dämpfung]]=1,2,IF(Scharniere[[#This Row],[ohne Feder]]=1,3,0))),1,0)</f>
        <v>1</v>
      </c>
      <c r="Y204" s="359">
        <f>IF(Scharniere[[#This Row],[Bohrbild]]=select!$A$989,1,0)</f>
        <v>0</v>
      </c>
      <c r="Z204" s="359">
        <f>IF(IF(Scharniere[[#This Row],[Anschrauben]]=1,1,IF(Scharniere[[#This Row],[Einpressen]]=1,2,IF(Scharniere[[#This Row],[Quick]]=1,3,IF(Scharniere[[#This Row],[Werkzeuglos]]=1,4,0))))=select!$A$1003,1,0)</f>
        <v>0</v>
      </c>
      <c r="AA2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4" s="359">
        <f ca="1">IF(select!$K$980="*",Scharniere[[#This Row],[AG Ges2]],Scharniere[[#This Row],[AG Ges1]])</f>
        <v>0</v>
      </c>
      <c r="AE204" s="451">
        <f ca="1">IF(AND(Scharniere[[#This Row],[Scharnierart]]=select!$A$1485,Scharniere[[#This Row],[Gruppenschlüssel]]=select!$B$1485)=TRUE,1,0)</f>
        <v>0</v>
      </c>
      <c r="AF204" s="451">
        <f ca="1">IF(AND(Scharniere[[#This Row],[Scharnierart]]=select!$A$1486,Scharniere[[#This Row],[Gruppenschlüssel]]=select!$B$1486)=TRUE,1,0)</f>
        <v>0</v>
      </c>
      <c r="AG204" s="451">
        <f ca="1">IF(AND(Scharniere[[#This Row],[Scharnierart]]=select!$A$1487,Scharniere[[#This Row],[Gruppenschlüssel]]=select!$B$1487)=TRUE,1,0)</f>
        <v>0</v>
      </c>
      <c r="AH204" s="451">
        <f ca="1">IF(AND(Scharniere[[#This Row],[Scharnierart]]=select!$A$1488,Scharniere[[#This Row],[Gruppenschlüssel]]=select!$B$1488)=TRUE,1,0)</f>
        <v>0</v>
      </c>
      <c r="AI204" s="451">
        <f ca="1">IF(SUM(Scharniere[[#This Row],[konf Scharnier 1]:[konf Scharnier 4]])&gt;0,1,0)</f>
        <v>0</v>
      </c>
      <c r="AJ204" s="451"/>
      <c r="AK204" s="451"/>
      <c r="AL204" s="451"/>
      <c r="AM204" s="451"/>
      <c r="AN204" s="451"/>
      <c r="AO204" s="146">
        <v>1</v>
      </c>
      <c r="AP204" s="146">
        <v>2</v>
      </c>
      <c r="AQ204" s="10" t="str">
        <f ca="1">Sprache!$A$110</f>
        <v>Tiomos Scharnier T Click-on</v>
      </c>
      <c r="AR204" t="str">
        <f ca="1">"120°, B-BB, K19, "&amp;Sprache!A181&amp;", ni"</f>
        <v>120°, B-BB, K19, Dübel, ni</v>
      </c>
      <c r="AS204" t="str">
        <f ca="1">Sprache!$A$103</f>
        <v>Tiomos Click-On Scharniere</v>
      </c>
      <c r="AT204">
        <v>19</v>
      </c>
      <c r="AU204" t="s">
        <v>3</v>
      </c>
      <c r="AV204">
        <v>120</v>
      </c>
      <c r="AW204" s="10">
        <v>0</v>
      </c>
      <c r="AX204">
        <v>1</v>
      </c>
      <c r="AY204">
        <v>0</v>
      </c>
      <c r="AZ204" s="10">
        <v>0</v>
      </c>
      <c r="BA204">
        <v>1</v>
      </c>
      <c r="BB204">
        <v>0</v>
      </c>
      <c r="BC204">
        <v>0</v>
      </c>
      <c r="BD204" s="143" t="s">
        <v>499</v>
      </c>
      <c r="BG204"/>
    </row>
    <row r="205" spans="1:59" ht="14.25" customHeight="1" x14ac:dyDescent="0.25">
      <c r="A205" s="37" t="str">
        <f>LEFT(Scharniere[[#This Row],[ArtikelNR]],4)</f>
        <v>F028</v>
      </c>
      <c r="B205" s="35" t="str">
        <f>MID(Scharniere[[#This Row],[ArtikelNR]],5,3)</f>
        <v>138</v>
      </c>
      <c r="C205" s="37" t="str">
        <f>RIGHT(Scharniere[[#This Row],[ArtikelNR]],3)</f>
        <v>554</v>
      </c>
      <c r="D205" s="35">
        <f>IF(AND(Scharniere[[#This Row],[Gruppenschlüssel]]=select!$A$44,Scharniere[[#This Row],[Scharnierart]]=1)=TRUE,1,0)</f>
        <v>0</v>
      </c>
      <c r="E2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5" s="35">
        <f>IF(select!$F$57=IF(Scharniere[[#This Row],[mit Dämpfung]]=1,1,IF(Scharniere[[#This Row],[ohne Dämpfung]]=1,2,IF(Scharniere[[#This Row],[ohne Feder]]=1,3,0))),1,0)</f>
        <v>0</v>
      </c>
      <c r="G205" s="35">
        <f>IF(Scharniere[[#This Row],[Bohrbild]]=select!$V$43,1,0)</f>
        <v>0</v>
      </c>
      <c r="H205" s="35">
        <f>IF(IF(Scharniere[[#This Row],[Anschrauben]]=1,1,IF(Scharniere[[#This Row],[Einpressen]]=1,2,IF(Scharniere[[#This Row],[Quick]]=1,3,IF(Scharniere[[#This Row],[Werkzeuglos]]=1,4,0))))=select!$F$48,1,0)</f>
        <v>1</v>
      </c>
      <c r="I2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5" s="149">
        <f>IF(AND(Scharniere[[#This Row],[Scharnierart]]=2,Scharniere[[#This Row],[Gruppenschlüssel]]=select!$A$318)=TRUE,1,0)</f>
        <v>0</v>
      </c>
      <c r="K205" s="221">
        <f ca="1">IF(select!$O$424&lt;6,1,0)</f>
        <v>1</v>
      </c>
      <c r="L205" s="139">
        <f>IF(select!$A$362=IF(Scharniere[[#This Row],[mit Dämpfung]]=1,1,IF(Scharniere[[#This Row],[ohne Dämpfung]]=1,2,IF(Scharniere[[#This Row],[ohne Feder]]=1,3,0))),1,0)</f>
        <v>1</v>
      </c>
      <c r="M205" s="135">
        <f>IF(Scharniere[[#This Row],[Bohrbild]]=select!$O$334,1,0)</f>
        <v>0</v>
      </c>
      <c r="N205" s="135">
        <f>IF(IF(Scharniere[[#This Row],[Anschrauben]]=1,1,IF(Scharniere[[#This Row],[Einpressen]]=1,2,IF(Scharniere[[#This Row],[Quick]]=1,3,IF(Scharniere[[#This Row],[Werkzeuglos]]=1,4,0))))=select!$E$362,1,0)</f>
        <v>0</v>
      </c>
      <c r="O2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5" s="298">
        <f>IF(AND(Scharniere[[#This Row],[Scharnierart]]=3,Scharniere[[#This Row],[Gruppenschlüssel]]=select!$A$747)=TRUE,1,0)</f>
        <v>0</v>
      </c>
      <c r="Q205" s="298">
        <f ca="1">IF(select!$O$945&lt;6,1,0)</f>
        <v>1</v>
      </c>
      <c r="R205" s="298">
        <f>IF(select!$A$778=IF(Scharniere[[#This Row],[mit Dämpfung]]=1,1,IF(Scharniere[[#This Row],[ohne Dämpfung]]=1,2,IF(Scharniere[[#This Row],[ohne Feder]]=1,3,0))),1,0)</f>
        <v>0</v>
      </c>
      <c r="S205" s="298">
        <f>IF(Scharniere[[#This Row],[Bohrbild]]=select!$A$755,1,0)</f>
        <v>0</v>
      </c>
      <c r="T205" s="298">
        <f>IF(IF(Scharniere[[#This Row],[Anschrauben]]=1,1,IF(Scharniere[[#This Row],[Einpressen]]=1,2,IF(Scharniere[[#This Row],[Quick]]=1,3,IF(Scharniere[[#This Row],[Werkzeuglos]]=1,4,0))))=select!$A$769,1,0)</f>
        <v>0</v>
      </c>
      <c r="U2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5" s="359">
        <f>IF(AND(Scharniere[[#This Row],[Scharnierart]]=4,Scharniere[[#This Row],[Gruppenschlüssel]]=select!$A$981)=TRUE,1,0)</f>
        <v>0</v>
      </c>
      <c r="W205" s="359">
        <f ca="1">IF(select!$O$1185&lt;6,1,0)</f>
        <v>1</v>
      </c>
      <c r="X205" s="359">
        <f>IF(select!$A$1012=IF(Scharniere[[#This Row],[mit Dämpfung]]=1,1,IF(Scharniere[[#This Row],[ohne Dämpfung]]=1,2,IF(Scharniere[[#This Row],[ohne Feder]]=1,3,0))),1,0)</f>
        <v>0</v>
      </c>
      <c r="Y205" s="359">
        <f>IF(Scharniere[[#This Row],[Bohrbild]]=select!$A$989,1,0)</f>
        <v>0</v>
      </c>
      <c r="Z205" s="359">
        <f>IF(IF(Scharniere[[#This Row],[Anschrauben]]=1,1,IF(Scharniere[[#This Row],[Einpressen]]=1,2,IF(Scharniere[[#This Row],[Quick]]=1,3,IF(Scharniere[[#This Row],[Werkzeuglos]]=1,4,0))))=select!$A$1003,1,0)</f>
        <v>0</v>
      </c>
      <c r="AA2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5" s="359">
        <f ca="1">IF(select!$K$980="*",Scharniere[[#This Row],[AG Ges2]],Scharniere[[#This Row],[AG Ges1]])</f>
        <v>0</v>
      </c>
      <c r="AE205" s="451">
        <f ca="1">IF(AND(Scharniere[[#This Row],[Scharnierart]]=select!$A$1485,Scharniere[[#This Row],[Gruppenschlüssel]]=select!$B$1485)=TRUE,1,0)</f>
        <v>0</v>
      </c>
      <c r="AF205" s="451">
        <f ca="1">IF(AND(Scharniere[[#This Row],[Scharnierart]]=select!$A$1486,Scharniere[[#This Row],[Gruppenschlüssel]]=select!$B$1486)=TRUE,1,0)</f>
        <v>0</v>
      </c>
      <c r="AG205" s="451">
        <f ca="1">IF(AND(Scharniere[[#This Row],[Scharnierart]]=select!$A$1487,Scharniere[[#This Row],[Gruppenschlüssel]]=select!$B$1487)=TRUE,1,0)</f>
        <v>0</v>
      </c>
      <c r="AH205" s="451">
        <f ca="1">IF(AND(Scharniere[[#This Row],[Scharnierart]]=select!$A$1488,Scharniere[[#This Row],[Gruppenschlüssel]]=select!$B$1488)=TRUE,1,0)</f>
        <v>0</v>
      </c>
      <c r="AI205" s="451">
        <f ca="1">IF(SUM(Scharniere[[#This Row],[konf Scharnier 1]:[konf Scharnier 4]])&gt;0,1,0)</f>
        <v>0</v>
      </c>
      <c r="AJ205" s="451"/>
      <c r="AK205" s="451"/>
      <c r="AL205" s="451"/>
      <c r="AM205" s="451"/>
      <c r="AN205" s="451"/>
      <c r="AO205" s="146">
        <v>1</v>
      </c>
      <c r="AP205" s="146">
        <v>2</v>
      </c>
      <c r="AQ205" s="10" t="str">
        <f ca="1">Sprache!$A$112</f>
        <v>Tiomos Scharnier TS Click-on</v>
      </c>
      <c r="AR205" t="str">
        <f ca="1">"120°, B-BB, K19, "&amp;Sprache!A181&amp;", ni"</f>
        <v>120°, B-BB, K19, Dübel, ni</v>
      </c>
      <c r="AS205" t="str">
        <f ca="1">Sprache!$A$103</f>
        <v>Tiomos Click-On Scharniere</v>
      </c>
      <c r="AT205">
        <v>19</v>
      </c>
      <c r="AU205" t="s">
        <v>3</v>
      </c>
      <c r="AV205">
        <v>120</v>
      </c>
      <c r="AW205" s="10">
        <v>1</v>
      </c>
      <c r="AX205">
        <v>0</v>
      </c>
      <c r="AY205">
        <v>0</v>
      </c>
      <c r="AZ205" s="10">
        <v>0</v>
      </c>
      <c r="BA205">
        <v>1</v>
      </c>
      <c r="BB205">
        <v>0</v>
      </c>
      <c r="BC205">
        <v>0</v>
      </c>
      <c r="BD205" s="143" t="s">
        <v>321</v>
      </c>
      <c r="BG205"/>
    </row>
    <row r="206" spans="1:59" ht="14.25" customHeight="1" x14ac:dyDescent="0.25">
      <c r="A206" s="37" t="str">
        <f>LEFT(Scharniere[[#This Row],[ArtikelNR]],4)</f>
        <v>F046</v>
      </c>
      <c r="B206" s="35" t="str">
        <f>MID(Scharniere[[#This Row],[ArtikelNR]],5,3)</f>
        <v>138</v>
      </c>
      <c r="C206" s="37" t="str">
        <f>RIGHT(Scharniere[[#This Row],[ArtikelNR]],3)</f>
        <v>614</v>
      </c>
      <c r="D206" s="35">
        <f>IF(AND(Scharniere[[#This Row],[Gruppenschlüssel]]=select!$A$44,Scharniere[[#This Row],[Scharnierart]]=1)=TRUE,1,0)</f>
        <v>0</v>
      </c>
      <c r="E2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6" s="35">
        <f>IF(select!$F$57=IF(Scharniere[[#This Row],[mit Dämpfung]]=1,1,IF(Scharniere[[#This Row],[ohne Dämpfung]]=1,2,IF(Scharniere[[#This Row],[ohne Feder]]=1,3,0))),1,0)</f>
        <v>1</v>
      </c>
      <c r="G206" s="35">
        <f>IF(Scharniere[[#This Row],[Bohrbild]]=select!$V$43,1,0)</f>
        <v>0</v>
      </c>
      <c r="H206" s="35">
        <f>IF(IF(Scharniere[[#This Row],[Anschrauben]]=1,1,IF(Scharniere[[#This Row],[Einpressen]]=1,2,IF(Scharniere[[#This Row],[Quick]]=1,3,IF(Scharniere[[#This Row],[Werkzeuglos]]=1,4,0))))=select!$F$48,1,0)</f>
        <v>1</v>
      </c>
      <c r="I2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6" s="149">
        <f>IF(AND(Scharniere[[#This Row],[Scharnierart]]=2,Scharniere[[#This Row],[Gruppenschlüssel]]=select!$A$318)=TRUE,1,0)</f>
        <v>0</v>
      </c>
      <c r="K206" s="221">
        <f ca="1">IF(select!$O$424&lt;6,1,0)</f>
        <v>1</v>
      </c>
      <c r="L206" s="139">
        <f>IF(select!$A$362=IF(Scharniere[[#This Row],[mit Dämpfung]]=1,1,IF(Scharniere[[#This Row],[ohne Dämpfung]]=1,2,IF(Scharniere[[#This Row],[ohne Feder]]=1,3,0))),1,0)</f>
        <v>0</v>
      </c>
      <c r="M206" s="135">
        <f>IF(Scharniere[[#This Row],[Bohrbild]]=select!$O$334,1,0)</f>
        <v>0</v>
      </c>
      <c r="N206" s="135">
        <f>IF(IF(Scharniere[[#This Row],[Anschrauben]]=1,1,IF(Scharniere[[#This Row],[Einpressen]]=1,2,IF(Scharniere[[#This Row],[Quick]]=1,3,IF(Scharniere[[#This Row],[Werkzeuglos]]=1,4,0))))=select!$E$362,1,0)</f>
        <v>0</v>
      </c>
      <c r="O2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6" s="298">
        <f>IF(AND(Scharniere[[#This Row],[Scharnierart]]=3,Scharniere[[#This Row],[Gruppenschlüssel]]=select!$A$747)=TRUE,1,0)</f>
        <v>0</v>
      </c>
      <c r="Q206" s="298">
        <f ca="1">IF(select!$O$945&lt;6,1,0)</f>
        <v>1</v>
      </c>
      <c r="R206" s="298">
        <f>IF(select!$A$778=IF(Scharniere[[#This Row],[mit Dämpfung]]=1,1,IF(Scharniere[[#This Row],[ohne Dämpfung]]=1,2,IF(Scharniere[[#This Row],[ohne Feder]]=1,3,0))),1,0)</f>
        <v>0</v>
      </c>
      <c r="S206" s="298">
        <f>IF(Scharniere[[#This Row],[Bohrbild]]=select!$A$755,1,0)</f>
        <v>0</v>
      </c>
      <c r="T206" s="298">
        <f>IF(IF(Scharniere[[#This Row],[Anschrauben]]=1,1,IF(Scharniere[[#This Row],[Einpressen]]=1,2,IF(Scharniere[[#This Row],[Quick]]=1,3,IF(Scharniere[[#This Row],[Werkzeuglos]]=1,4,0))))=select!$A$769,1,0)</f>
        <v>0</v>
      </c>
      <c r="U2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6" s="359">
        <f>IF(AND(Scharniere[[#This Row],[Scharnierart]]=4,Scharniere[[#This Row],[Gruppenschlüssel]]=select!$A$981)=TRUE,1,0)</f>
        <v>0</v>
      </c>
      <c r="W206" s="359">
        <f ca="1">IF(select!$O$1185&lt;6,1,0)</f>
        <v>1</v>
      </c>
      <c r="X206" s="359">
        <f>IF(select!$A$1012=IF(Scharniere[[#This Row],[mit Dämpfung]]=1,1,IF(Scharniere[[#This Row],[ohne Dämpfung]]=1,2,IF(Scharniere[[#This Row],[ohne Feder]]=1,3,0))),1,0)</f>
        <v>0</v>
      </c>
      <c r="Y206" s="359">
        <f>IF(Scharniere[[#This Row],[Bohrbild]]=select!$A$989,1,0)</f>
        <v>0</v>
      </c>
      <c r="Z206" s="359">
        <f>IF(IF(Scharniere[[#This Row],[Anschrauben]]=1,1,IF(Scharniere[[#This Row],[Einpressen]]=1,2,IF(Scharniere[[#This Row],[Quick]]=1,3,IF(Scharniere[[#This Row],[Werkzeuglos]]=1,4,0))))=select!$A$1003,1,0)</f>
        <v>0</v>
      </c>
      <c r="AA2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6" s="359">
        <f ca="1">IF(select!$K$980="*",Scharniere[[#This Row],[AG Ges2]],Scharniere[[#This Row],[AG Ges1]])</f>
        <v>0</v>
      </c>
      <c r="AE206" s="451">
        <f ca="1">IF(AND(Scharniere[[#This Row],[Scharnierart]]=select!$A$1485,Scharniere[[#This Row],[Gruppenschlüssel]]=select!$B$1485)=TRUE,1,0)</f>
        <v>0</v>
      </c>
      <c r="AF206" s="451">
        <f ca="1">IF(AND(Scharniere[[#This Row],[Scharnierart]]=select!$A$1486,Scharniere[[#This Row],[Gruppenschlüssel]]=select!$B$1486)=TRUE,1,0)</f>
        <v>0</v>
      </c>
      <c r="AG206" s="451">
        <f ca="1">IF(AND(Scharniere[[#This Row],[Scharnierart]]=select!$A$1487,Scharniere[[#This Row],[Gruppenschlüssel]]=select!$B$1487)=TRUE,1,0)</f>
        <v>0</v>
      </c>
      <c r="AH206" s="451">
        <f ca="1">IF(AND(Scharniere[[#This Row],[Scharnierart]]=select!$A$1488,Scharniere[[#This Row],[Gruppenschlüssel]]=select!$B$1488)=TRUE,1,0)</f>
        <v>0</v>
      </c>
      <c r="AI206" s="451">
        <f ca="1">IF(SUM(Scharniere[[#This Row],[konf Scharnier 1]:[konf Scharnier 4]])&gt;0,1,0)</f>
        <v>0</v>
      </c>
      <c r="AJ206" s="451"/>
      <c r="AK206" s="451"/>
      <c r="AL206" s="451"/>
      <c r="AM206" s="451"/>
      <c r="AN206" s="451"/>
      <c r="AO206" s="146">
        <v>1</v>
      </c>
      <c r="AP206" s="146">
        <v>2</v>
      </c>
      <c r="AQ206" s="10" t="str">
        <f ca="1">Sprache!$A$114</f>
        <v>Tiomos Scharnier TT Click-on</v>
      </c>
      <c r="AR206" t="str">
        <f ca="1">"120°, B-BB, K19, "&amp;Sprache!A181&amp;", ni"</f>
        <v>120°, B-BB, K19, Dübel, ni</v>
      </c>
      <c r="AS206" t="str">
        <f ca="1">Sprache!$A$103</f>
        <v>Tiomos Click-On Scharniere</v>
      </c>
      <c r="AT206">
        <v>19</v>
      </c>
      <c r="AU206" t="s">
        <v>3</v>
      </c>
      <c r="AV206">
        <v>120</v>
      </c>
      <c r="AW206" s="10">
        <v>0</v>
      </c>
      <c r="AX206">
        <v>0</v>
      </c>
      <c r="AY206">
        <v>1</v>
      </c>
      <c r="AZ206" s="10">
        <v>0</v>
      </c>
      <c r="BA206">
        <v>1</v>
      </c>
      <c r="BB206">
        <v>0</v>
      </c>
      <c r="BC206">
        <v>0</v>
      </c>
      <c r="BD206" s="143" t="s">
        <v>651</v>
      </c>
      <c r="BG206"/>
    </row>
    <row r="207" spans="1:59" ht="14.25" customHeight="1" x14ac:dyDescent="0.25">
      <c r="A207" s="37" t="str">
        <f>LEFT(Scharniere[[#This Row],[ArtikelNR]],4)</f>
        <v>F045</v>
      </c>
      <c r="B207" s="35" t="str">
        <f>MID(Scharniere[[#This Row],[ArtikelNR]],5,3)</f>
        <v>138</v>
      </c>
      <c r="C207" s="37" t="str">
        <f>RIGHT(Scharniere[[#This Row],[ArtikelNR]],3)</f>
        <v>488</v>
      </c>
      <c r="D207" s="35">
        <f>IF(AND(Scharniere[[#This Row],[Gruppenschlüssel]]=select!$A$44,Scharniere[[#This Row],[Scharnierart]]=1)=TRUE,1,0)</f>
        <v>0</v>
      </c>
      <c r="E2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7" s="35">
        <f>IF(select!$F$57=IF(Scharniere[[#This Row],[mit Dämpfung]]=1,1,IF(Scharniere[[#This Row],[ohne Dämpfung]]=1,2,IF(Scharniere[[#This Row],[ohne Feder]]=1,3,0))),1,0)</f>
        <v>0</v>
      </c>
      <c r="G207" s="35">
        <f>IF(Scharniere[[#This Row],[Bohrbild]]=select!$V$43,1,0)</f>
        <v>0</v>
      </c>
      <c r="H207" s="35">
        <f>IF(IF(Scharniere[[#This Row],[Anschrauben]]=1,1,IF(Scharniere[[#This Row],[Einpressen]]=1,2,IF(Scharniere[[#This Row],[Quick]]=1,3,IF(Scharniere[[#This Row],[Werkzeuglos]]=1,4,0))))=select!$F$48,1,0)</f>
        <v>0</v>
      </c>
      <c r="I2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7" s="149">
        <f>IF(AND(Scharniere[[#This Row],[Scharnierart]]=2,Scharniere[[#This Row],[Gruppenschlüssel]]=select!$A$318)=TRUE,1,0)</f>
        <v>0</v>
      </c>
      <c r="K207" s="221">
        <f ca="1">IF(select!$O$424&lt;6,1,0)</f>
        <v>1</v>
      </c>
      <c r="L207" s="139">
        <f>IF(select!$A$362=IF(Scharniere[[#This Row],[mit Dämpfung]]=1,1,IF(Scharniere[[#This Row],[ohne Dämpfung]]=1,2,IF(Scharniere[[#This Row],[ohne Feder]]=1,3,0))),1,0)</f>
        <v>0</v>
      </c>
      <c r="M207" s="135">
        <f>IF(Scharniere[[#This Row],[Bohrbild]]=select!$O$334,1,0)</f>
        <v>0</v>
      </c>
      <c r="N207" s="135">
        <f>IF(IF(Scharniere[[#This Row],[Anschrauben]]=1,1,IF(Scharniere[[#This Row],[Einpressen]]=1,2,IF(Scharniere[[#This Row],[Quick]]=1,3,IF(Scharniere[[#This Row],[Werkzeuglos]]=1,4,0))))=select!$E$362,1,0)</f>
        <v>1</v>
      </c>
      <c r="O2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7" s="298">
        <f>IF(AND(Scharniere[[#This Row],[Scharnierart]]=3,Scharniere[[#This Row],[Gruppenschlüssel]]=select!$A$747)=TRUE,1,0)</f>
        <v>0</v>
      </c>
      <c r="Q207" s="298">
        <f ca="1">IF(select!$O$945&lt;6,1,0)</f>
        <v>1</v>
      </c>
      <c r="R207" s="298">
        <f>IF(select!$A$778=IF(Scharniere[[#This Row],[mit Dämpfung]]=1,1,IF(Scharniere[[#This Row],[ohne Dämpfung]]=1,2,IF(Scharniere[[#This Row],[ohne Feder]]=1,3,0))),1,0)</f>
        <v>1</v>
      </c>
      <c r="S207" s="298">
        <f>IF(Scharniere[[#This Row],[Bohrbild]]=select!$A$755,1,0)</f>
        <v>0</v>
      </c>
      <c r="T207" s="298">
        <f>IF(IF(Scharniere[[#This Row],[Anschrauben]]=1,1,IF(Scharniere[[#This Row],[Einpressen]]=1,2,IF(Scharniere[[#This Row],[Quick]]=1,3,IF(Scharniere[[#This Row],[Werkzeuglos]]=1,4,0))))=select!$A$769,1,0)</f>
        <v>1</v>
      </c>
      <c r="U2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7" s="359">
        <f>IF(AND(Scharniere[[#This Row],[Scharnierart]]=4,Scharniere[[#This Row],[Gruppenschlüssel]]=select!$A$981)=TRUE,1,0)</f>
        <v>0</v>
      </c>
      <c r="W207" s="359">
        <f ca="1">IF(select!$O$1185&lt;6,1,0)</f>
        <v>1</v>
      </c>
      <c r="X207" s="359">
        <f>IF(select!$A$1012=IF(Scharniere[[#This Row],[mit Dämpfung]]=1,1,IF(Scharniere[[#This Row],[ohne Dämpfung]]=1,2,IF(Scharniere[[#This Row],[ohne Feder]]=1,3,0))),1,0)</f>
        <v>1</v>
      </c>
      <c r="Y207" s="359">
        <f>IF(Scharniere[[#This Row],[Bohrbild]]=select!$A$989,1,0)</f>
        <v>0</v>
      </c>
      <c r="Z207" s="359">
        <f>IF(IF(Scharniere[[#This Row],[Anschrauben]]=1,1,IF(Scharniere[[#This Row],[Einpressen]]=1,2,IF(Scharniere[[#This Row],[Quick]]=1,3,IF(Scharniere[[#This Row],[Werkzeuglos]]=1,4,0))))=select!$A$1003,1,0)</f>
        <v>1</v>
      </c>
      <c r="AA2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7" s="359">
        <f ca="1">IF(select!$K$980="*",Scharniere[[#This Row],[AG Ges2]],Scharniere[[#This Row],[AG Ges1]])</f>
        <v>0</v>
      </c>
      <c r="AE207" s="451">
        <f ca="1">IF(AND(Scharniere[[#This Row],[Scharnierart]]=select!$A$1485,Scharniere[[#This Row],[Gruppenschlüssel]]=select!$B$1485)=TRUE,1,0)</f>
        <v>0</v>
      </c>
      <c r="AF207" s="451">
        <f ca="1">IF(AND(Scharniere[[#This Row],[Scharnierart]]=select!$A$1486,Scharniere[[#This Row],[Gruppenschlüssel]]=select!$B$1486)=TRUE,1,0)</f>
        <v>0</v>
      </c>
      <c r="AG207" s="451">
        <f ca="1">IF(AND(Scharniere[[#This Row],[Scharnierart]]=select!$A$1487,Scharniere[[#This Row],[Gruppenschlüssel]]=select!$B$1487)=TRUE,1,0)</f>
        <v>0</v>
      </c>
      <c r="AH207" s="451">
        <f ca="1">IF(AND(Scharniere[[#This Row],[Scharnierart]]=select!$A$1488,Scharniere[[#This Row],[Gruppenschlüssel]]=select!$B$1488)=TRUE,1,0)</f>
        <v>0</v>
      </c>
      <c r="AI207" s="451">
        <f ca="1">IF(SUM(Scharniere[[#This Row],[konf Scharnier 1]:[konf Scharnier 4]])&gt;0,1,0)</f>
        <v>0</v>
      </c>
      <c r="AJ207" s="451"/>
      <c r="AK207" s="451"/>
      <c r="AL207" s="451"/>
      <c r="AM207" s="451"/>
      <c r="AN207" s="451"/>
      <c r="AO207" s="146">
        <v>1</v>
      </c>
      <c r="AP207" s="146">
        <v>2</v>
      </c>
      <c r="AQ207" s="10" t="str">
        <f ca="1">Sprache!$A$110</f>
        <v>Tiomos Scharnier T Click-on</v>
      </c>
      <c r="AR207" t="s">
        <v>317</v>
      </c>
      <c r="AS207" t="str">
        <f ca="1">Sprache!$A$103</f>
        <v>Tiomos Click-On Scharniere</v>
      </c>
      <c r="AT207">
        <v>19</v>
      </c>
      <c r="AU207" t="s">
        <v>3</v>
      </c>
      <c r="AV207">
        <v>120</v>
      </c>
      <c r="AW207" s="10">
        <v>0</v>
      </c>
      <c r="AX207">
        <v>1</v>
      </c>
      <c r="AY207">
        <v>0</v>
      </c>
      <c r="AZ207" s="10">
        <v>1</v>
      </c>
      <c r="BA207">
        <v>0</v>
      </c>
      <c r="BB207">
        <v>0</v>
      </c>
      <c r="BC207">
        <v>0</v>
      </c>
      <c r="BD207" s="143" t="s">
        <v>495</v>
      </c>
      <c r="BG207"/>
    </row>
    <row r="208" spans="1:59" ht="14.25" customHeight="1" x14ac:dyDescent="0.25">
      <c r="A208" s="37" t="str">
        <f>LEFT(Scharniere[[#This Row],[ArtikelNR]],4)</f>
        <v>F028</v>
      </c>
      <c r="B208" s="35" t="str">
        <f>MID(Scharniere[[#This Row],[ArtikelNR]],5,3)</f>
        <v>138</v>
      </c>
      <c r="C208" s="37" t="str">
        <f>RIGHT(Scharniere[[#This Row],[ArtikelNR]],3)</f>
        <v>550</v>
      </c>
      <c r="D208" s="35">
        <f>IF(AND(Scharniere[[#This Row],[Gruppenschlüssel]]=select!$A$44,Scharniere[[#This Row],[Scharnierart]]=1)=TRUE,1,0)</f>
        <v>0</v>
      </c>
      <c r="E2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8" s="35">
        <f>IF(select!$F$57=IF(Scharniere[[#This Row],[mit Dämpfung]]=1,1,IF(Scharniere[[#This Row],[ohne Dämpfung]]=1,2,IF(Scharniere[[#This Row],[ohne Feder]]=1,3,0))),1,0)</f>
        <v>0</v>
      </c>
      <c r="G208" s="35">
        <f>IF(Scharniere[[#This Row],[Bohrbild]]=select!$V$43,1,0)</f>
        <v>0</v>
      </c>
      <c r="H208" s="35">
        <f>IF(IF(Scharniere[[#This Row],[Anschrauben]]=1,1,IF(Scharniere[[#This Row],[Einpressen]]=1,2,IF(Scharniere[[#This Row],[Quick]]=1,3,IF(Scharniere[[#This Row],[Werkzeuglos]]=1,4,0))))=select!$F$48,1,0)</f>
        <v>0</v>
      </c>
      <c r="I2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8" s="149">
        <f>IF(AND(Scharniere[[#This Row],[Scharnierart]]=2,Scharniere[[#This Row],[Gruppenschlüssel]]=select!$A$318)=TRUE,1,0)</f>
        <v>0</v>
      </c>
      <c r="K208" s="221">
        <f ca="1">IF(select!$O$424&lt;6,1,0)</f>
        <v>1</v>
      </c>
      <c r="L208" s="139">
        <f>IF(select!$A$362=IF(Scharniere[[#This Row],[mit Dämpfung]]=1,1,IF(Scharniere[[#This Row],[ohne Dämpfung]]=1,2,IF(Scharniere[[#This Row],[ohne Feder]]=1,3,0))),1,0)</f>
        <v>1</v>
      </c>
      <c r="M208" s="135">
        <f>IF(Scharniere[[#This Row],[Bohrbild]]=select!$O$334,1,0)</f>
        <v>0</v>
      </c>
      <c r="N208" s="135">
        <f>IF(IF(Scharniere[[#This Row],[Anschrauben]]=1,1,IF(Scharniere[[#This Row],[Einpressen]]=1,2,IF(Scharniere[[#This Row],[Quick]]=1,3,IF(Scharniere[[#This Row],[Werkzeuglos]]=1,4,0))))=select!$E$362,1,0)</f>
        <v>1</v>
      </c>
      <c r="O2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8" s="298">
        <f>IF(AND(Scharniere[[#This Row],[Scharnierart]]=3,Scharniere[[#This Row],[Gruppenschlüssel]]=select!$A$747)=TRUE,1,0)</f>
        <v>0</v>
      </c>
      <c r="Q208" s="298">
        <f ca="1">IF(select!$O$945&lt;6,1,0)</f>
        <v>1</v>
      </c>
      <c r="R208" s="298">
        <f>IF(select!$A$778=IF(Scharniere[[#This Row],[mit Dämpfung]]=1,1,IF(Scharniere[[#This Row],[ohne Dämpfung]]=1,2,IF(Scharniere[[#This Row],[ohne Feder]]=1,3,0))),1,0)</f>
        <v>0</v>
      </c>
      <c r="S208" s="298">
        <f>IF(Scharniere[[#This Row],[Bohrbild]]=select!$A$755,1,0)</f>
        <v>0</v>
      </c>
      <c r="T208" s="298">
        <f>IF(IF(Scharniere[[#This Row],[Anschrauben]]=1,1,IF(Scharniere[[#This Row],[Einpressen]]=1,2,IF(Scharniere[[#This Row],[Quick]]=1,3,IF(Scharniere[[#This Row],[Werkzeuglos]]=1,4,0))))=select!$A$769,1,0)</f>
        <v>1</v>
      </c>
      <c r="U2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8" s="359">
        <f>IF(AND(Scharniere[[#This Row],[Scharnierart]]=4,Scharniere[[#This Row],[Gruppenschlüssel]]=select!$A$981)=TRUE,1,0)</f>
        <v>0</v>
      </c>
      <c r="W208" s="359">
        <f ca="1">IF(select!$O$1185&lt;6,1,0)</f>
        <v>1</v>
      </c>
      <c r="X208" s="359">
        <f>IF(select!$A$1012=IF(Scharniere[[#This Row],[mit Dämpfung]]=1,1,IF(Scharniere[[#This Row],[ohne Dämpfung]]=1,2,IF(Scharniere[[#This Row],[ohne Feder]]=1,3,0))),1,0)</f>
        <v>0</v>
      </c>
      <c r="Y208" s="359">
        <f>IF(Scharniere[[#This Row],[Bohrbild]]=select!$A$989,1,0)</f>
        <v>0</v>
      </c>
      <c r="Z208" s="359">
        <f>IF(IF(Scharniere[[#This Row],[Anschrauben]]=1,1,IF(Scharniere[[#This Row],[Einpressen]]=1,2,IF(Scharniere[[#This Row],[Quick]]=1,3,IF(Scharniere[[#This Row],[Werkzeuglos]]=1,4,0))))=select!$A$1003,1,0)</f>
        <v>1</v>
      </c>
      <c r="AA2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8" s="359">
        <f ca="1">IF(select!$K$980="*",Scharniere[[#This Row],[AG Ges2]],Scharniere[[#This Row],[AG Ges1]])</f>
        <v>0</v>
      </c>
      <c r="AE208" s="451">
        <f ca="1">IF(AND(Scharniere[[#This Row],[Scharnierart]]=select!$A$1485,Scharniere[[#This Row],[Gruppenschlüssel]]=select!$B$1485)=TRUE,1,0)</f>
        <v>0</v>
      </c>
      <c r="AF208" s="451">
        <f ca="1">IF(AND(Scharniere[[#This Row],[Scharnierart]]=select!$A$1486,Scharniere[[#This Row],[Gruppenschlüssel]]=select!$B$1486)=TRUE,1,0)</f>
        <v>0</v>
      </c>
      <c r="AG208" s="451">
        <f ca="1">IF(AND(Scharniere[[#This Row],[Scharnierart]]=select!$A$1487,Scharniere[[#This Row],[Gruppenschlüssel]]=select!$B$1487)=TRUE,1,0)</f>
        <v>0</v>
      </c>
      <c r="AH208" s="451">
        <f ca="1">IF(AND(Scharniere[[#This Row],[Scharnierart]]=select!$A$1488,Scharniere[[#This Row],[Gruppenschlüssel]]=select!$B$1488)=TRUE,1,0)</f>
        <v>0</v>
      </c>
      <c r="AI208" s="451">
        <f ca="1">IF(SUM(Scharniere[[#This Row],[konf Scharnier 1]:[konf Scharnier 4]])&gt;0,1,0)</f>
        <v>0</v>
      </c>
      <c r="AJ208" s="451"/>
      <c r="AK208" s="451"/>
      <c r="AL208" s="451"/>
      <c r="AM208" s="451"/>
      <c r="AN208" s="451"/>
      <c r="AO208" s="146">
        <v>1</v>
      </c>
      <c r="AP208" s="146">
        <v>2</v>
      </c>
      <c r="AQ208" s="10" t="str">
        <f ca="1">Sprache!$A$112</f>
        <v>Tiomos Scharnier TS Click-on</v>
      </c>
      <c r="AR208" t="s">
        <v>317</v>
      </c>
      <c r="AS208" t="str">
        <f ca="1">Sprache!$A$103</f>
        <v>Tiomos Click-On Scharniere</v>
      </c>
      <c r="AT208">
        <v>19</v>
      </c>
      <c r="AU208" s="34" t="s">
        <v>3</v>
      </c>
      <c r="AV208">
        <v>120</v>
      </c>
      <c r="AW208" s="10">
        <v>1</v>
      </c>
      <c r="AX208">
        <v>0</v>
      </c>
      <c r="AY208">
        <v>0</v>
      </c>
      <c r="AZ208" s="10">
        <v>1</v>
      </c>
      <c r="BA208">
        <v>0</v>
      </c>
      <c r="BB208">
        <v>0</v>
      </c>
      <c r="BC208">
        <v>0</v>
      </c>
      <c r="BD208" s="143" t="s">
        <v>316</v>
      </c>
      <c r="BG208"/>
    </row>
    <row r="209" spans="1:59" ht="14.25" customHeight="1" x14ac:dyDescent="0.25">
      <c r="A209" s="37" t="str">
        <f>LEFT(Scharniere[[#This Row],[ArtikelNR]],4)</f>
        <v>F046</v>
      </c>
      <c r="B209" s="35" t="str">
        <f>MID(Scharniere[[#This Row],[ArtikelNR]],5,3)</f>
        <v>138</v>
      </c>
      <c r="C209" s="37" t="str">
        <f>RIGHT(Scharniere[[#This Row],[ArtikelNR]],3)</f>
        <v>610</v>
      </c>
      <c r="D209" s="35">
        <f>IF(AND(Scharniere[[#This Row],[Gruppenschlüssel]]=select!$A$44,Scharniere[[#This Row],[Scharnierart]]=1)=TRUE,1,0)</f>
        <v>0</v>
      </c>
      <c r="E2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09" s="35">
        <f>IF(select!$F$57=IF(Scharniere[[#This Row],[mit Dämpfung]]=1,1,IF(Scharniere[[#This Row],[ohne Dämpfung]]=1,2,IF(Scharniere[[#This Row],[ohne Feder]]=1,3,0))),1,0)</f>
        <v>1</v>
      </c>
      <c r="G209" s="35">
        <f>IF(Scharniere[[#This Row],[Bohrbild]]=select!$V$43,1,0)</f>
        <v>0</v>
      </c>
      <c r="H209" s="35">
        <f>IF(IF(Scharniere[[#This Row],[Anschrauben]]=1,1,IF(Scharniere[[#This Row],[Einpressen]]=1,2,IF(Scharniere[[#This Row],[Quick]]=1,3,IF(Scharniere[[#This Row],[Werkzeuglos]]=1,4,0))))=select!$F$48,1,0)</f>
        <v>0</v>
      </c>
      <c r="I2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09" s="149">
        <f>IF(AND(Scharniere[[#This Row],[Scharnierart]]=2,Scharniere[[#This Row],[Gruppenschlüssel]]=select!$A$318)=TRUE,1,0)</f>
        <v>0</v>
      </c>
      <c r="K209" s="221">
        <f ca="1">IF(select!$O$424&lt;6,1,0)</f>
        <v>1</v>
      </c>
      <c r="L209" s="139">
        <f>IF(select!$A$362=IF(Scharniere[[#This Row],[mit Dämpfung]]=1,1,IF(Scharniere[[#This Row],[ohne Dämpfung]]=1,2,IF(Scharniere[[#This Row],[ohne Feder]]=1,3,0))),1,0)</f>
        <v>0</v>
      </c>
      <c r="M209" s="135">
        <f>IF(Scharniere[[#This Row],[Bohrbild]]=select!$O$334,1,0)</f>
        <v>0</v>
      </c>
      <c r="N209" s="135">
        <f>IF(IF(Scharniere[[#This Row],[Anschrauben]]=1,1,IF(Scharniere[[#This Row],[Einpressen]]=1,2,IF(Scharniere[[#This Row],[Quick]]=1,3,IF(Scharniere[[#This Row],[Werkzeuglos]]=1,4,0))))=select!$E$362,1,0)</f>
        <v>1</v>
      </c>
      <c r="O2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09" s="298">
        <f>IF(AND(Scharniere[[#This Row],[Scharnierart]]=3,Scharniere[[#This Row],[Gruppenschlüssel]]=select!$A$747)=TRUE,1,0)</f>
        <v>0</v>
      </c>
      <c r="Q209" s="298">
        <f ca="1">IF(select!$O$945&lt;6,1,0)</f>
        <v>1</v>
      </c>
      <c r="R209" s="298">
        <f>IF(select!$A$778=IF(Scharniere[[#This Row],[mit Dämpfung]]=1,1,IF(Scharniere[[#This Row],[ohne Dämpfung]]=1,2,IF(Scharniere[[#This Row],[ohne Feder]]=1,3,0))),1,0)</f>
        <v>0</v>
      </c>
      <c r="S209" s="298">
        <f>IF(Scharniere[[#This Row],[Bohrbild]]=select!$A$755,1,0)</f>
        <v>0</v>
      </c>
      <c r="T209" s="298">
        <f>IF(IF(Scharniere[[#This Row],[Anschrauben]]=1,1,IF(Scharniere[[#This Row],[Einpressen]]=1,2,IF(Scharniere[[#This Row],[Quick]]=1,3,IF(Scharniere[[#This Row],[Werkzeuglos]]=1,4,0))))=select!$A$769,1,0)</f>
        <v>1</v>
      </c>
      <c r="U2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09" s="359">
        <f>IF(AND(Scharniere[[#This Row],[Scharnierart]]=4,Scharniere[[#This Row],[Gruppenschlüssel]]=select!$A$981)=TRUE,1,0)</f>
        <v>0</v>
      </c>
      <c r="W209" s="359">
        <f ca="1">IF(select!$O$1185&lt;6,1,0)</f>
        <v>1</v>
      </c>
      <c r="X209" s="359">
        <f>IF(select!$A$1012=IF(Scharniere[[#This Row],[mit Dämpfung]]=1,1,IF(Scharniere[[#This Row],[ohne Dämpfung]]=1,2,IF(Scharniere[[#This Row],[ohne Feder]]=1,3,0))),1,0)</f>
        <v>0</v>
      </c>
      <c r="Y209" s="359">
        <f>IF(Scharniere[[#This Row],[Bohrbild]]=select!$A$989,1,0)</f>
        <v>0</v>
      </c>
      <c r="Z209" s="359">
        <f>IF(IF(Scharniere[[#This Row],[Anschrauben]]=1,1,IF(Scharniere[[#This Row],[Einpressen]]=1,2,IF(Scharniere[[#This Row],[Quick]]=1,3,IF(Scharniere[[#This Row],[Werkzeuglos]]=1,4,0))))=select!$A$1003,1,0)</f>
        <v>1</v>
      </c>
      <c r="AA2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09" s="359">
        <f ca="1">IF(select!$K$980="*",Scharniere[[#This Row],[AG Ges2]],Scharniere[[#This Row],[AG Ges1]])</f>
        <v>0</v>
      </c>
      <c r="AE209" s="451">
        <f ca="1">IF(AND(Scharniere[[#This Row],[Scharnierart]]=select!$A$1485,Scharniere[[#This Row],[Gruppenschlüssel]]=select!$B$1485)=TRUE,1,0)</f>
        <v>0</v>
      </c>
      <c r="AF209" s="451">
        <f ca="1">IF(AND(Scharniere[[#This Row],[Scharnierart]]=select!$A$1486,Scharniere[[#This Row],[Gruppenschlüssel]]=select!$B$1486)=TRUE,1,0)</f>
        <v>0</v>
      </c>
      <c r="AG209" s="451">
        <f ca="1">IF(AND(Scharniere[[#This Row],[Scharnierart]]=select!$A$1487,Scharniere[[#This Row],[Gruppenschlüssel]]=select!$B$1487)=TRUE,1,0)</f>
        <v>0</v>
      </c>
      <c r="AH209" s="451">
        <f ca="1">IF(AND(Scharniere[[#This Row],[Scharnierart]]=select!$A$1488,Scharniere[[#This Row],[Gruppenschlüssel]]=select!$B$1488)=TRUE,1,0)</f>
        <v>0</v>
      </c>
      <c r="AI209" s="451">
        <f ca="1">IF(SUM(Scharniere[[#This Row],[konf Scharnier 1]:[konf Scharnier 4]])&gt;0,1,0)</f>
        <v>0</v>
      </c>
      <c r="AJ209" s="451"/>
      <c r="AK209" s="451"/>
      <c r="AL209" s="451"/>
      <c r="AM209" s="451"/>
      <c r="AN209" s="451"/>
      <c r="AO209" s="146">
        <v>1</v>
      </c>
      <c r="AP209" s="146">
        <v>2</v>
      </c>
      <c r="AQ209" s="10" t="str">
        <f ca="1">Sprache!$A$114</f>
        <v>Tiomos Scharnier TT Click-on</v>
      </c>
      <c r="AR209" t="s">
        <v>317</v>
      </c>
      <c r="AS209" t="str">
        <f ca="1">Sprache!$A$103</f>
        <v>Tiomos Click-On Scharniere</v>
      </c>
      <c r="AT209">
        <v>19</v>
      </c>
      <c r="AU209" t="s">
        <v>3</v>
      </c>
      <c r="AV209">
        <v>120</v>
      </c>
      <c r="AW209" s="10">
        <v>0</v>
      </c>
      <c r="AX209">
        <v>0</v>
      </c>
      <c r="AY209">
        <v>1</v>
      </c>
      <c r="AZ209" s="10">
        <v>1</v>
      </c>
      <c r="BA209">
        <v>0</v>
      </c>
      <c r="BB209">
        <v>0</v>
      </c>
      <c r="BC209">
        <v>0</v>
      </c>
      <c r="BD209" s="143" t="s">
        <v>647</v>
      </c>
      <c r="BG209"/>
    </row>
    <row r="210" spans="1:59" ht="14.25" customHeight="1" x14ac:dyDescent="0.25">
      <c r="A210" s="37" t="str">
        <f>LEFT(Scharniere[[#This Row],[ArtikelNR]],4)</f>
        <v>F045</v>
      </c>
      <c r="B210" s="35" t="str">
        <f>MID(Scharniere[[#This Row],[ArtikelNR]],5,3)</f>
        <v>139</v>
      </c>
      <c r="C210" s="37" t="str">
        <f>RIGHT(Scharniere[[#This Row],[ArtikelNR]],3)</f>
        <v>030</v>
      </c>
      <c r="D210" s="35">
        <f>IF(AND(Scharniere[[#This Row],[Gruppenschlüssel]]=select!$A$44,Scharniere[[#This Row],[Scharnierart]]=1)=TRUE,1,0)</f>
        <v>0</v>
      </c>
      <c r="E2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0" s="35">
        <f>IF(select!$F$57=IF(Scharniere[[#This Row],[mit Dämpfung]]=1,1,IF(Scharniere[[#This Row],[ohne Dämpfung]]=1,2,IF(Scharniere[[#This Row],[ohne Feder]]=1,3,0))),1,0)</f>
        <v>0</v>
      </c>
      <c r="G210" s="35">
        <f>IF(Scharniere[[#This Row],[Bohrbild]]=select!$V$43,1,0)</f>
        <v>0</v>
      </c>
      <c r="H210" s="35">
        <f>IF(IF(Scharniere[[#This Row],[Anschrauben]]=1,1,IF(Scharniere[[#This Row],[Einpressen]]=1,2,IF(Scharniere[[#This Row],[Quick]]=1,3,IF(Scharniere[[#This Row],[Werkzeuglos]]=1,4,0))))=select!$F$48,1,0)</f>
        <v>1</v>
      </c>
      <c r="I2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0" s="149">
        <f>IF(AND(Scharniere[[#This Row],[Scharnierart]]=2,Scharniere[[#This Row],[Gruppenschlüssel]]=select!$A$318)=TRUE,1,0)</f>
        <v>0</v>
      </c>
      <c r="K210" s="221">
        <f ca="1">IF(select!$O$424&lt;6,1,0)</f>
        <v>1</v>
      </c>
      <c r="L210" s="139">
        <f>IF(select!$A$362=IF(Scharniere[[#This Row],[mit Dämpfung]]=1,1,IF(Scharniere[[#This Row],[ohne Dämpfung]]=1,2,IF(Scharniere[[#This Row],[ohne Feder]]=1,3,0))),1,0)</f>
        <v>0</v>
      </c>
      <c r="M210" s="135">
        <f>IF(Scharniere[[#This Row],[Bohrbild]]=select!$O$334,1,0)</f>
        <v>0</v>
      </c>
      <c r="N210" s="135">
        <f>IF(IF(Scharniere[[#This Row],[Anschrauben]]=1,1,IF(Scharniere[[#This Row],[Einpressen]]=1,2,IF(Scharniere[[#This Row],[Quick]]=1,3,IF(Scharniere[[#This Row],[Werkzeuglos]]=1,4,0))))=select!$E$362,1,0)</f>
        <v>0</v>
      </c>
      <c r="O2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0" s="298">
        <f>IF(AND(Scharniere[[#This Row],[Scharnierart]]=3,Scharniere[[#This Row],[Gruppenschlüssel]]=select!$A$747)=TRUE,1,0)</f>
        <v>0</v>
      </c>
      <c r="Q210" s="298">
        <f ca="1">IF(select!$O$945&lt;6,1,0)</f>
        <v>1</v>
      </c>
      <c r="R210" s="298">
        <f>IF(select!$A$778=IF(Scharniere[[#This Row],[mit Dämpfung]]=1,1,IF(Scharniere[[#This Row],[ohne Dämpfung]]=1,2,IF(Scharniere[[#This Row],[ohne Feder]]=1,3,0))),1,0)</f>
        <v>1</v>
      </c>
      <c r="S210" s="298">
        <f>IF(Scharniere[[#This Row],[Bohrbild]]=select!$A$755,1,0)</f>
        <v>0</v>
      </c>
      <c r="T210" s="298">
        <f>IF(IF(Scharniere[[#This Row],[Anschrauben]]=1,1,IF(Scharniere[[#This Row],[Einpressen]]=1,2,IF(Scharniere[[#This Row],[Quick]]=1,3,IF(Scharniere[[#This Row],[Werkzeuglos]]=1,4,0))))=select!$A$769,1,0)</f>
        <v>0</v>
      </c>
      <c r="U2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0" s="359">
        <f>IF(AND(Scharniere[[#This Row],[Scharnierart]]=4,Scharniere[[#This Row],[Gruppenschlüssel]]=select!$A$981)=TRUE,1,0)</f>
        <v>0</v>
      </c>
      <c r="W210" s="359">
        <f ca="1">IF(select!$O$1185&lt;6,1,0)</f>
        <v>1</v>
      </c>
      <c r="X210" s="359">
        <f>IF(select!$A$1012=IF(Scharniere[[#This Row],[mit Dämpfung]]=1,1,IF(Scharniere[[#This Row],[ohne Dämpfung]]=1,2,IF(Scharniere[[#This Row],[ohne Feder]]=1,3,0))),1,0)</f>
        <v>1</v>
      </c>
      <c r="Y210" s="359">
        <f>IF(Scharniere[[#This Row],[Bohrbild]]=select!$A$989,1,0)</f>
        <v>0</v>
      </c>
      <c r="Z210" s="359">
        <f>IF(IF(Scharniere[[#This Row],[Anschrauben]]=1,1,IF(Scharniere[[#This Row],[Einpressen]]=1,2,IF(Scharniere[[#This Row],[Quick]]=1,3,IF(Scharniere[[#This Row],[Werkzeuglos]]=1,4,0))))=select!$A$1003,1,0)</f>
        <v>0</v>
      </c>
      <c r="AA2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0" s="359">
        <f ca="1">IF(select!$K$980="*",Scharniere[[#This Row],[AG Ges2]],Scharniere[[#This Row],[AG Ges1]])</f>
        <v>0</v>
      </c>
      <c r="AE210" s="451">
        <f ca="1">IF(AND(Scharniere[[#This Row],[Scharnierart]]=select!$A$1485,Scharniere[[#This Row],[Gruppenschlüssel]]=select!$B$1485)=TRUE,1,0)</f>
        <v>0</v>
      </c>
      <c r="AF210" s="451">
        <f ca="1">IF(AND(Scharniere[[#This Row],[Scharnierart]]=select!$A$1486,Scharniere[[#This Row],[Gruppenschlüssel]]=select!$B$1486)=TRUE,1,0)</f>
        <v>0</v>
      </c>
      <c r="AG210" s="451">
        <f ca="1">IF(AND(Scharniere[[#This Row],[Scharnierart]]=select!$A$1487,Scharniere[[#This Row],[Gruppenschlüssel]]=select!$B$1487)=TRUE,1,0)</f>
        <v>0</v>
      </c>
      <c r="AH210" s="451">
        <f ca="1">IF(AND(Scharniere[[#This Row],[Scharnierart]]=select!$A$1488,Scharniere[[#This Row],[Gruppenschlüssel]]=select!$B$1488)=TRUE,1,0)</f>
        <v>0</v>
      </c>
      <c r="AI210" s="451">
        <f ca="1">IF(SUM(Scharniere[[#This Row],[konf Scharnier 1]:[konf Scharnier 4]])&gt;0,1,0)</f>
        <v>0</v>
      </c>
      <c r="AJ210" s="451"/>
      <c r="AK210" s="451"/>
      <c r="AL210" s="451"/>
      <c r="AM210" s="451"/>
      <c r="AN210" s="451"/>
      <c r="AO210" s="146">
        <v>1</v>
      </c>
      <c r="AP210" s="146">
        <v>2</v>
      </c>
      <c r="AQ210" s="10" t="str">
        <f ca="1">Sprache!$A$110</f>
        <v>Tiomos Scharnier T Click-on</v>
      </c>
      <c r="AR210" t="str">
        <f ca="1">"120°, G-BB, K19, "&amp;Sprache!A181&amp;", ni"</f>
        <v>120°, G-BB, K19, Dübel, ni</v>
      </c>
      <c r="AS210" t="str">
        <f ca="1">Sprache!$A$103</f>
        <v>Tiomos Click-On Scharniere</v>
      </c>
      <c r="AT210">
        <v>19</v>
      </c>
      <c r="AU210" t="s">
        <v>9</v>
      </c>
      <c r="AV210">
        <v>120</v>
      </c>
      <c r="AW210" s="10">
        <v>0</v>
      </c>
      <c r="AX210">
        <v>1</v>
      </c>
      <c r="AY210">
        <v>0</v>
      </c>
      <c r="AZ210" s="10">
        <v>0</v>
      </c>
      <c r="BA210">
        <v>1</v>
      </c>
      <c r="BB210">
        <v>0</v>
      </c>
      <c r="BC210">
        <v>0</v>
      </c>
      <c r="BD210" s="143" t="s">
        <v>575</v>
      </c>
      <c r="BG210"/>
    </row>
    <row r="211" spans="1:59" ht="14.25" customHeight="1" x14ac:dyDescent="0.25">
      <c r="A211" s="37" t="str">
        <f>LEFT(Scharniere[[#This Row],[ArtikelNR]],4)</f>
        <v>F028</v>
      </c>
      <c r="B211" s="35" t="str">
        <f>MID(Scharniere[[#This Row],[ArtikelNR]],5,3)</f>
        <v>139</v>
      </c>
      <c r="C211" s="37" t="str">
        <f>RIGHT(Scharniere[[#This Row],[ArtikelNR]],3)</f>
        <v>028</v>
      </c>
      <c r="D211" s="35">
        <f>IF(AND(Scharniere[[#This Row],[Gruppenschlüssel]]=select!$A$44,Scharniere[[#This Row],[Scharnierart]]=1)=TRUE,1,0)</f>
        <v>0</v>
      </c>
      <c r="E2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1" s="35">
        <f>IF(select!$F$57=IF(Scharniere[[#This Row],[mit Dämpfung]]=1,1,IF(Scharniere[[#This Row],[ohne Dämpfung]]=1,2,IF(Scharniere[[#This Row],[ohne Feder]]=1,3,0))),1,0)</f>
        <v>0</v>
      </c>
      <c r="G211" s="35">
        <f>IF(Scharniere[[#This Row],[Bohrbild]]=select!$V$43,1,0)</f>
        <v>0</v>
      </c>
      <c r="H211" s="35">
        <f>IF(IF(Scharniere[[#This Row],[Anschrauben]]=1,1,IF(Scharniere[[#This Row],[Einpressen]]=1,2,IF(Scharniere[[#This Row],[Quick]]=1,3,IF(Scharniere[[#This Row],[Werkzeuglos]]=1,4,0))))=select!$F$48,1,0)</f>
        <v>1</v>
      </c>
      <c r="I2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1" s="149">
        <f>IF(AND(Scharniere[[#This Row],[Scharnierart]]=2,Scharniere[[#This Row],[Gruppenschlüssel]]=select!$A$318)=TRUE,1,0)</f>
        <v>0</v>
      </c>
      <c r="K211" s="221">
        <f ca="1">IF(select!$O$424&lt;6,1,0)</f>
        <v>1</v>
      </c>
      <c r="L211" s="139">
        <f>IF(select!$A$362=IF(Scharniere[[#This Row],[mit Dämpfung]]=1,1,IF(Scharniere[[#This Row],[ohne Dämpfung]]=1,2,IF(Scharniere[[#This Row],[ohne Feder]]=1,3,0))),1,0)</f>
        <v>1</v>
      </c>
      <c r="M211" s="135">
        <f>IF(Scharniere[[#This Row],[Bohrbild]]=select!$O$334,1,0)</f>
        <v>0</v>
      </c>
      <c r="N211" s="135">
        <f>IF(IF(Scharniere[[#This Row],[Anschrauben]]=1,1,IF(Scharniere[[#This Row],[Einpressen]]=1,2,IF(Scharniere[[#This Row],[Quick]]=1,3,IF(Scharniere[[#This Row],[Werkzeuglos]]=1,4,0))))=select!$E$362,1,0)</f>
        <v>0</v>
      </c>
      <c r="O2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1" s="298">
        <f>IF(AND(Scharniere[[#This Row],[Scharnierart]]=3,Scharniere[[#This Row],[Gruppenschlüssel]]=select!$A$747)=TRUE,1,0)</f>
        <v>0</v>
      </c>
      <c r="Q211" s="298">
        <f ca="1">IF(select!$O$945&lt;6,1,0)</f>
        <v>1</v>
      </c>
      <c r="R211" s="298">
        <f>IF(select!$A$778=IF(Scharniere[[#This Row],[mit Dämpfung]]=1,1,IF(Scharniere[[#This Row],[ohne Dämpfung]]=1,2,IF(Scharniere[[#This Row],[ohne Feder]]=1,3,0))),1,0)</f>
        <v>0</v>
      </c>
      <c r="S211" s="298">
        <f>IF(Scharniere[[#This Row],[Bohrbild]]=select!$A$755,1,0)</f>
        <v>0</v>
      </c>
      <c r="T211" s="298">
        <f>IF(IF(Scharniere[[#This Row],[Anschrauben]]=1,1,IF(Scharniere[[#This Row],[Einpressen]]=1,2,IF(Scharniere[[#This Row],[Quick]]=1,3,IF(Scharniere[[#This Row],[Werkzeuglos]]=1,4,0))))=select!$A$769,1,0)</f>
        <v>0</v>
      </c>
      <c r="U2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1" s="359">
        <f>IF(AND(Scharniere[[#This Row],[Scharnierart]]=4,Scharniere[[#This Row],[Gruppenschlüssel]]=select!$A$981)=TRUE,1,0)</f>
        <v>0</v>
      </c>
      <c r="W211" s="359">
        <f ca="1">IF(select!$O$1185&lt;6,1,0)</f>
        <v>1</v>
      </c>
      <c r="X211" s="359">
        <f>IF(select!$A$1012=IF(Scharniere[[#This Row],[mit Dämpfung]]=1,1,IF(Scharniere[[#This Row],[ohne Dämpfung]]=1,2,IF(Scharniere[[#This Row],[ohne Feder]]=1,3,0))),1,0)</f>
        <v>0</v>
      </c>
      <c r="Y211" s="359">
        <f>IF(Scharniere[[#This Row],[Bohrbild]]=select!$A$989,1,0)</f>
        <v>0</v>
      </c>
      <c r="Z211" s="359">
        <f>IF(IF(Scharniere[[#This Row],[Anschrauben]]=1,1,IF(Scharniere[[#This Row],[Einpressen]]=1,2,IF(Scharniere[[#This Row],[Quick]]=1,3,IF(Scharniere[[#This Row],[Werkzeuglos]]=1,4,0))))=select!$A$1003,1,0)</f>
        <v>0</v>
      </c>
      <c r="AA2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1" s="359">
        <f ca="1">IF(select!$K$980="*",Scharniere[[#This Row],[AG Ges2]],Scharniere[[#This Row],[AG Ges1]])</f>
        <v>0</v>
      </c>
      <c r="AE211" s="451">
        <f ca="1">IF(AND(Scharniere[[#This Row],[Scharnierart]]=select!$A$1485,Scharniere[[#This Row],[Gruppenschlüssel]]=select!$B$1485)=TRUE,1,0)</f>
        <v>0</v>
      </c>
      <c r="AF211" s="451">
        <f ca="1">IF(AND(Scharniere[[#This Row],[Scharnierart]]=select!$A$1486,Scharniere[[#This Row],[Gruppenschlüssel]]=select!$B$1486)=TRUE,1,0)</f>
        <v>0</v>
      </c>
      <c r="AG211" s="451">
        <f ca="1">IF(AND(Scharniere[[#This Row],[Scharnierart]]=select!$A$1487,Scharniere[[#This Row],[Gruppenschlüssel]]=select!$B$1487)=TRUE,1,0)</f>
        <v>0</v>
      </c>
      <c r="AH211" s="451">
        <f ca="1">IF(AND(Scharniere[[#This Row],[Scharnierart]]=select!$A$1488,Scharniere[[#This Row],[Gruppenschlüssel]]=select!$B$1488)=TRUE,1,0)</f>
        <v>0</v>
      </c>
      <c r="AI211" s="451">
        <f ca="1">IF(SUM(Scharniere[[#This Row],[konf Scharnier 1]:[konf Scharnier 4]])&gt;0,1,0)</f>
        <v>0</v>
      </c>
      <c r="AJ211" s="451"/>
      <c r="AK211" s="451"/>
      <c r="AL211" s="451"/>
      <c r="AM211" s="451"/>
      <c r="AN211" s="451"/>
      <c r="AO211" s="146">
        <v>1</v>
      </c>
      <c r="AP211" s="146">
        <v>2</v>
      </c>
      <c r="AQ211" s="10" t="str">
        <f ca="1">Sprache!$A$112</f>
        <v>Tiomos Scharnier TS Click-on</v>
      </c>
      <c r="AR211" t="str">
        <f ca="1">"120°, G-BB, K19, "&amp;Sprache!A181&amp;", ni"</f>
        <v>120°, G-BB, K19, Dübel, ni</v>
      </c>
      <c r="AS211" t="str">
        <f ca="1">Sprache!$A$103</f>
        <v>Tiomos Click-On Scharniere</v>
      </c>
      <c r="AT211">
        <v>19</v>
      </c>
      <c r="AU211" s="34" t="s">
        <v>9</v>
      </c>
      <c r="AV211">
        <v>120</v>
      </c>
      <c r="AW211" s="10">
        <v>1</v>
      </c>
      <c r="AX211">
        <v>0</v>
      </c>
      <c r="AY211">
        <v>0</v>
      </c>
      <c r="AZ211" s="10">
        <v>0</v>
      </c>
      <c r="BA211">
        <v>1</v>
      </c>
      <c r="BB211">
        <v>0</v>
      </c>
      <c r="BC211">
        <v>0</v>
      </c>
      <c r="BD211" s="143" t="s">
        <v>425</v>
      </c>
      <c r="BG211"/>
    </row>
    <row r="212" spans="1:59" ht="14.25" customHeight="1" x14ac:dyDescent="0.25">
      <c r="A212" s="37" t="str">
        <f>LEFT(Scharniere[[#This Row],[ArtikelNR]],4)</f>
        <v>F045</v>
      </c>
      <c r="B212" s="35" t="str">
        <f>MID(Scharniere[[#This Row],[ArtikelNR]],5,3)</f>
        <v>139</v>
      </c>
      <c r="C212" s="37" t="str">
        <f>RIGHT(Scharniere[[#This Row],[ArtikelNR]],3)</f>
        <v>029</v>
      </c>
      <c r="D212" s="35">
        <f>IF(AND(Scharniere[[#This Row],[Gruppenschlüssel]]=select!$A$44,Scharniere[[#This Row],[Scharnierart]]=1)=TRUE,1,0)</f>
        <v>0</v>
      </c>
      <c r="E2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2" s="35">
        <f>IF(select!$F$57=IF(Scharniere[[#This Row],[mit Dämpfung]]=1,1,IF(Scharniere[[#This Row],[ohne Dämpfung]]=1,2,IF(Scharniere[[#This Row],[ohne Feder]]=1,3,0))),1,0)</f>
        <v>0</v>
      </c>
      <c r="G212" s="35">
        <f>IF(Scharniere[[#This Row],[Bohrbild]]=select!$V$43,1,0)</f>
        <v>0</v>
      </c>
      <c r="H212" s="35">
        <f>IF(IF(Scharniere[[#This Row],[Anschrauben]]=1,1,IF(Scharniere[[#This Row],[Einpressen]]=1,2,IF(Scharniere[[#This Row],[Quick]]=1,3,IF(Scharniere[[#This Row],[Werkzeuglos]]=1,4,0))))=select!$F$48,1,0)</f>
        <v>0</v>
      </c>
      <c r="I2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2" s="149">
        <f>IF(AND(Scharniere[[#This Row],[Scharnierart]]=2,Scharniere[[#This Row],[Gruppenschlüssel]]=select!$A$318)=TRUE,1,0)</f>
        <v>0</v>
      </c>
      <c r="K212" s="221">
        <f ca="1">IF(select!$O$424&lt;6,1,0)</f>
        <v>1</v>
      </c>
      <c r="L212" s="139">
        <f>IF(select!$A$362=IF(Scharniere[[#This Row],[mit Dämpfung]]=1,1,IF(Scharniere[[#This Row],[ohne Dämpfung]]=1,2,IF(Scharniere[[#This Row],[ohne Feder]]=1,3,0))),1,0)</f>
        <v>0</v>
      </c>
      <c r="M212" s="135">
        <f>IF(Scharniere[[#This Row],[Bohrbild]]=select!$O$334,1,0)</f>
        <v>0</v>
      </c>
      <c r="N212" s="135">
        <f>IF(IF(Scharniere[[#This Row],[Anschrauben]]=1,1,IF(Scharniere[[#This Row],[Einpressen]]=1,2,IF(Scharniere[[#This Row],[Quick]]=1,3,IF(Scharniere[[#This Row],[Werkzeuglos]]=1,4,0))))=select!$E$362,1,0)</f>
        <v>1</v>
      </c>
      <c r="O2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2" s="298">
        <f>IF(AND(Scharniere[[#This Row],[Scharnierart]]=3,Scharniere[[#This Row],[Gruppenschlüssel]]=select!$A$747)=TRUE,1,0)</f>
        <v>0</v>
      </c>
      <c r="Q212" s="298">
        <f ca="1">IF(select!$O$945&lt;6,1,0)</f>
        <v>1</v>
      </c>
      <c r="R212" s="298">
        <f>IF(select!$A$778=IF(Scharniere[[#This Row],[mit Dämpfung]]=1,1,IF(Scharniere[[#This Row],[ohne Dämpfung]]=1,2,IF(Scharniere[[#This Row],[ohne Feder]]=1,3,0))),1,0)</f>
        <v>1</v>
      </c>
      <c r="S212" s="298">
        <f>IF(Scharniere[[#This Row],[Bohrbild]]=select!$A$755,1,0)</f>
        <v>0</v>
      </c>
      <c r="T212" s="298">
        <f>IF(IF(Scharniere[[#This Row],[Anschrauben]]=1,1,IF(Scharniere[[#This Row],[Einpressen]]=1,2,IF(Scharniere[[#This Row],[Quick]]=1,3,IF(Scharniere[[#This Row],[Werkzeuglos]]=1,4,0))))=select!$A$769,1,0)</f>
        <v>1</v>
      </c>
      <c r="U2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2" s="359">
        <f>IF(AND(Scharniere[[#This Row],[Scharnierart]]=4,Scharniere[[#This Row],[Gruppenschlüssel]]=select!$A$981)=TRUE,1,0)</f>
        <v>0</v>
      </c>
      <c r="W212" s="359">
        <f ca="1">IF(select!$O$1185&lt;6,1,0)</f>
        <v>1</v>
      </c>
      <c r="X212" s="359">
        <f>IF(select!$A$1012=IF(Scharniere[[#This Row],[mit Dämpfung]]=1,1,IF(Scharniere[[#This Row],[ohne Dämpfung]]=1,2,IF(Scharniere[[#This Row],[ohne Feder]]=1,3,0))),1,0)</f>
        <v>1</v>
      </c>
      <c r="Y212" s="359">
        <f>IF(Scharniere[[#This Row],[Bohrbild]]=select!$A$989,1,0)</f>
        <v>0</v>
      </c>
      <c r="Z212" s="359">
        <f>IF(IF(Scharniere[[#This Row],[Anschrauben]]=1,1,IF(Scharniere[[#This Row],[Einpressen]]=1,2,IF(Scharniere[[#This Row],[Quick]]=1,3,IF(Scharniere[[#This Row],[Werkzeuglos]]=1,4,0))))=select!$A$1003,1,0)</f>
        <v>1</v>
      </c>
      <c r="AA2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2" s="359">
        <f ca="1">IF(select!$K$980="*",Scharniere[[#This Row],[AG Ges2]],Scharniere[[#This Row],[AG Ges1]])</f>
        <v>0</v>
      </c>
      <c r="AE212" s="451">
        <f ca="1">IF(AND(Scharniere[[#This Row],[Scharnierart]]=select!$A$1485,Scharniere[[#This Row],[Gruppenschlüssel]]=select!$B$1485)=TRUE,1,0)</f>
        <v>0</v>
      </c>
      <c r="AF212" s="451">
        <f ca="1">IF(AND(Scharniere[[#This Row],[Scharnierart]]=select!$A$1486,Scharniere[[#This Row],[Gruppenschlüssel]]=select!$B$1486)=TRUE,1,0)</f>
        <v>0</v>
      </c>
      <c r="AG212" s="451">
        <f ca="1">IF(AND(Scharniere[[#This Row],[Scharnierart]]=select!$A$1487,Scharniere[[#This Row],[Gruppenschlüssel]]=select!$B$1487)=TRUE,1,0)</f>
        <v>0</v>
      </c>
      <c r="AH212" s="451">
        <f ca="1">IF(AND(Scharniere[[#This Row],[Scharnierart]]=select!$A$1488,Scharniere[[#This Row],[Gruppenschlüssel]]=select!$B$1488)=TRUE,1,0)</f>
        <v>0</v>
      </c>
      <c r="AI212" s="451">
        <f ca="1">IF(SUM(Scharniere[[#This Row],[konf Scharnier 1]:[konf Scharnier 4]])&gt;0,1,0)</f>
        <v>0</v>
      </c>
      <c r="AJ212" s="451"/>
      <c r="AK212" s="451"/>
      <c r="AL212" s="451"/>
      <c r="AM212" s="451"/>
      <c r="AN212" s="451"/>
      <c r="AO212" s="146">
        <v>1</v>
      </c>
      <c r="AP212" s="146">
        <v>2</v>
      </c>
      <c r="AQ212" s="10" t="str">
        <f ca="1">Sprache!$A$110</f>
        <v>Tiomos Scharnier T Click-on</v>
      </c>
      <c r="AR212" t="s">
        <v>424</v>
      </c>
      <c r="AS212" t="str">
        <f ca="1">Sprache!$A$103</f>
        <v>Tiomos Click-On Scharniere</v>
      </c>
      <c r="AT212">
        <v>19</v>
      </c>
      <c r="AU212" s="34" t="s">
        <v>9</v>
      </c>
      <c r="AV212">
        <v>120</v>
      </c>
      <c r="AW212" s="10">
        <v>0</v>
      </c>
      <c r="AX212">
        <v>1</v>
      </c>
      <c r="AY212">
        <v>0</v>
      </c>
      <c r="AZ212" s="10">
        <v>1</v>
      </c>
      <c r="BA212">
        <v>0</v>
      </c>
      <c r="BB212">
        <v>0</v>
      </c>
      <c r="BC212">
        <v>0</v>
      </c>
      <c r="BD212" s="143" t="s">
        <v>574</v>
      </c>
      <c r="BG212"/>
    </row>
    <row r="213" spans="1:59" ht="14.25" customHeight="1" x14ac:dyDescent="0.25">
      <c r="A213" s="37" t="str">
        <f>LEFT(Scharniere[[#This Row],[ArtikelNR]],4)</f>
        <v>F028</v>
      </c>
      <c r="B213" s="35" t="str">
        <f>MID(Scharniere[[#This Row],[ArtikelNR]],5,3)</f>
        <v>139</v>
      </c>
      <c r="C213" s="37" t="str">
        <f>RIGHT(Scharniere[[#This Row],[ArtikelNR]],3)</f>
        <v>027</v>
      </c>
      <c r="D213" s="35">
        <f>IF(AND(Scharniere[[#This Row],[Gruppenschlüssel]]=select!$A$44,Scharniere[[#This Row],[Scharnierart]]=1)=TRUE,1,0)</f>
        <v>0</v>
      </c>
      <c r="E2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3" s="35">
        <f>IF(select!$F$57=IF(Scharniere[[#This Row],[mit Dämpfung]]=1,1,IF(Scharniere[[#This Row],[ohne Dämpfung]]=1,2,IF(Scharniere[[#This Row],[ohne Feder]]=1,3,0))),1,0)</f>
        <v>0</v>
      </c>
      <c r="G213" s="35">
        <f>IF(Scharniere[[#This Row],[Bohrbild]]=select!$V$43,1,0)</f>
        <v>0</v>
      </c>
      <c r="H213" s="35">
        <f>IF(IF(Scharniere[[#This Row],[Anschrauben]]=1,1,IF(Scharniere[[#This Row],[Einpressen]]=1,2,IF(Scharniere[[#This Row],[Quick]]=1,3,IF(Scharniere[[#This Row],[Werkzeuglos]]=1,4,0))))=select!$F$48,1,0)</f>
        <v>0</v>
      </c>
      <c r="I2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3" s="149">
        <f>IF(AND(Scharniere[[#This Row],[Scharnierart]]=2,Scharniere[[#This Row],[Gruppenschlüssel]]=select!$A$318)=TRUE,1,0)</f>
        <v>0</v>
      </c>
      <c r="K213" s="221">
        <f ca="1">IF(select!$O$424&lt;6,1,0)</f>
        <v>1</v>
      </c>
      <c r="L213" s="139">
        <f>IF(select!$A$362=IF(Scharniere[[#This Row],[mit Dämpfung]]=1,1,IF(Scharniere[[#This Row],[ohne Dämpfung]]=1,2,IF(Scharniere[[#This Row],[ohne Feder]]=1,3,0))),1,0)</f>
        <v>1</v>
      </c>
      <c r="M213" s="135">
        <f>IF(Scharniere[[#This Row],[Bohrbild]]=select!$O$334,1,0)</f>
        <v>0</v>
      </c>
      <c r="N213" s="135">
        <f>IF(IF(Scharniere[[#This Row],[Anschrauben]]=1,1,IF(Scharniere[[#This Row],[Einpressen]]=1,2,IF(Scharniere[[#This Row],[Quick]]=1,3,IF(Scharniere[[#This Row],[Werkzeuglos]]=1,4,0))))=select!$E$362,1,0)</f>
        <v>1</v>
      </c>
      <c r="O2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3" s="298">
        <f>IF(AND(Scharniere[[#This Row],[Scharnierart]]=3,Scharniere[[#This Row],[Gruppenschlüssel]]=select!$A$747)=TRUE,1,0)</f>
        <v>0</v>
      </c>
      <c r="Q213" s="298">
        <f ca="1">IF(select!$O$945&lt;6,1,0)</f>
        <v>1</v>
      </c>
      <c r="R213" s="298">
        <f>IF(select!$A$778=IF(Scharniere[[#This Row],[mit Dämpfung]]=1,1,IF(Scharniere[[#This Row],[ohne Dämpfung]]=1,2,IF(Scharniere[[#This Row],[ohne Feder]]=1,3,0))),1,0)</f>
        <v>0</v>
      </c>
      <c r="S213" s="298">
        <f>IF(Scharniere[[#This Row],[Bohrbild]]=select!$A$755,1,0)</f>
        <v>0</v>
      </c>
      <c r="T213" s="298">
        <f>IF(IF(Scharniere[[#This Row],[Anschrauben]]=1,1,IF(Scharniere[[#This Row],[Einpressen]]=1,2,IF(Scharniere[[#This Row],[Quick]]=1,3,IF(Scharniere[[#This Row],[Werkzeuglos]]=1,4,0))))=select!$A$769,1,0)</f>
        <v>1</v>
      </c>
      <c r="U2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3" s="359">
        <f>IF(AND(Scharniere[[#This Row],[Scharnierart]]=4,Scharniere[[#This Row],[Gruppenschlüssel]]=select!$A$981)=TRUE,1,0)</f>
        <v>0</v>
      </c>
      <c r="W213" s="359">
        <f ca="1">IF(select!$O$1185&lt;6,1,0)</f>
        <v>1</v>
      </c>
      <c r="X213" s="359">
        <f>IF(select!$A$1012=IF(Scharniere[[#This Row],[mit Dämpfung]]=1,1,IF(Scharniere[[#This Row],[ohne Dämpfung]]=1,2,IF(Scharniere[[#This Row],[ohne Feder]]=1,3,0))),1,0)</f>
        <v>0</v>
      </c>
      <c r="Y213" s="359">
        <f>IF(Scharniere[[#This Row],[Bohrbild]]=select!$A$989,1,0)</f>
        <v>0</v>
      </c>
      <c r="Z213" s="359">
        <f>IF(IF(Scharniere[[#This Row],[Anschrauben]]=1,1,IF(Scharniere[[#This Row],[Einpressen]]=1,2,IF(Scharniere[[#This Row],[Quick]]=1,3,IF(Scharniere[[#This Row],[Werkzeuglos]]=1,4,0))))=select!$A$1003,1,0)</f>
        <v>1</v>
      </c>
      <c r="AA2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3" s="359">
        <f ca="1">IF(select!$K$980="*",Scharniere[[#This Row],[AG Ges2]],Scharniere[[#This Row],[AG Ges1]])</f>
        <v>0</v>
      </c>
      <c r="AE213" s="451">
        <f ca="1">IF(AND(Scharniere[[#This Row],[Scharnierart]]=select!$A$1485,Scharniere[[#This Row],[Gruppenschlüssel]]=select!$B$1485)=TRUE,1,0)</f>
        <v>0</v>
      </c>
      <c r="AF213" s="451">
        <f ca="1">IF(AND(Scharniere[[#This Row],[Scharnierart]]=select!$A$1486,Scharniere[[#This Row],[Gruppenschlüssel]]=select!$B$1486)=TRUE,1,0)</f>
        <v>0</v>
      </c>
      <c r="AG213" s="451">
        <f ca="1">IF(AND(Scharniere[[#This Row],[Scharnierart]]=select!$A$1487,Scharniere[[#This Row],[Gruppenschlüssel]]=select!$B$1487)=TRUE,1,0)</f>
        <v>0</v>
      </c>
      <c r="AH213" s="451">
        <f ca="1">IF(AND(Scharniere[[#This Row],[Scharnierart]]=select!$A$1488,Scharniere[[#This Row],[Gruppenschlüssel]]=select!$B$1488)=TRUE,1,0)</f>
        <v>0</v>
      </c>
      <c r="AI213" s="451">
        <f ca="1">IF(SUM(Scharniere[[#This Row],[konf Scharnier 1]:[konf Scharnier 4]])&gt;0,1,0)</f>
        <v>0</v>
      </c>
      <c r="AJ213" s="451"/>
      <c r="AK213" s="451"/>
      <c r="AL213" s="451"/>
      <c r="AM213" s="451"/>
      <c r="AN213" s="451"/>
      <c r="AO213" s="146">
        <v>1</v>
      </c>
      <c r="AP213" s="146">
        <v>2</v>
      </c>
      <c r="AQ213" s="10" t="str">
        <f ca="1">Sprache!$A$112</f>
        <v>Tiomos Scharnier TS Click-on</v>
      </c>
      <c r="AR213" t="s">
        <v>424</v>
      </c>
      <c r="AS213" t="str">
        <f ca="1">Sprache!$A$103</f>
        <v>Tiomos Click-On Scharniere</v>
      </c>
      <c r="AT213">
        <v>19</v>
      </c>
      <c r="AU213" t="s">
        <v>9</v>
      </c>
      <c r="AV213">
        <v>120</v>
      </c>
      <c r="AW213" s="10">
        <v>1</v>
      </c>
      <c r="AX213">
        <v>0</v>
      </c>
      <c r="AY213">
        <v>0</v>
      </c>
      <c r="AZ213" s="10">
        <v>1</v>
      </c>
      <c r="BA213">
        <v>0</v>
      </c>
      <c r="BB213">
        <v>0</v>
      </c>
      <c r="BC213">
        <v>0</v>
      </c>
      <c r="BD213" s="143" t="s">
        <v>423</v>
      </c>
      <c r="BG213"/>
    </row>
    <row r="214" spans="1:59" ht="14.25" customHeight="1" x14ac:dyDescent="0.25">
      <c r="A214" s="37" t="str">
        <f>LEFT(Scharniere[[#This Row],[ArtikelNR]],4)</f>
        <v>F046</v>
      </c>
      <c r="B214" s="35" t="str">
        <f>MID(Scharniere[[#This Row],[ArtikelNR]],5,3)</f>
        <v>139</v>
      </c>
      <c r="C214" s="37" t="str">
        <f>RIGHT(Scharniere[[#This Row],[ArtikelNR]],3)</f>
        <v>031</v>
      </c>
      <c r="D214" s="35">
        <f>IF(AND(Scharniere[[#This Row],[Gruppenschlüssel]]=select!$A$44,Scharniere[[#This Row],[Scharnierart]]=1)=TRUE,1,0)</f>
        <v>0</v>
      </c>
      <c r="E2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4" s="35">
        <f>IF(select!$F$57=IF(Scharniere[[#This Row],[mit Dämpfung]]=1,1,IF(Scharniere[[#This Row],[ohne Dämpfung]]=1,2,IF(Scharniere[[#This Row],[ohne Feder]]=1,3,0))),1,0)</f>
        <v>1</v>
      </c>
      <c r="G214" s="35">
        <f>IF(Scharniere[[#This Row],[Bohrbild]]=select!$V$43,1,0)</f>
        <v>0</v>
      </c>
      <c r="H214" s="35">
        <f>IF(IF(Scharniere[[#This Row],[Anschrauben]]=1,1,IF(Scharniere[[#This Row],[Einpressen]]=1,2,IF(Scharniere[[#This Row],[Quick]]=1,3,IF(Scharniere[[#This Row],[Werkzeuglos]]=1,4,0))))=select!$F$48,1,0)</f>
        <v>0</v>
      </c>
      <c r="I2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4" s="149">
        <f>IF(AND(Scharniere[[#This Row],[Scharnierart]]=2,Scharniere[[#This Row],[Gruppenschlüssel]]=select!$A$318)=TRUE,1,0)</f>
        <v>0</v>
      </c>
      <c r="K214" s="221">
        <f ca="1">IF(select!$O$424&lt;6,1,0)</f>
        <v>1</v>
      </c>
      <c r="L214" s="139">
        <f>IF(select!$A$362=IF(Scharniere[[#This Row],[mit Dämpfung]]=1,1,IF(Scharniere[[#This Row],[ohne Dämpfung]]=1,2,IF(Scharniere[[#This Row],[ohne Feder]]=1,3,0))),1,0)</f>
        <v>0</v>
      </c>
      <c r="M214" s="135">
        <f>IF(Scharniere[[#This Row],[Bohrbild]]=select!$O$334,1,0)</f>
        <v>0</v>
      </c>
      <c r="N214" s="135">
        <f>IF(IF(Scharniere[[#This Row],[Anschrauben]]=1,1,IF(Scharniere[[#This Row],[Einpressen]]=1,2,IF(Scharniere[[#This Row],[Quick]]=1,3,IF(Scharniere[[#This Row],[Werkzeuglos]]=1,4,0))))=select!$E$362,1,0)</f>
        <v>1</v>
      </c>
      <c r="O2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4" s="298">
        <f>IF(AND(Scharniere[[#This Row],[Scharnierart]]=3,Scharniere[[#This Row],[Gruppenschlüssel]]=select!$A$747)=TRUE,1,0)</f>
        <v>0</v>
      </c>
      <c r="Q214" s="298">
        <f ca="1">IF(select!$O$945&lt;6,1,0)</f>
        <v>1</v>
      </c>
      <c r="R214" s="298">
        <f>IF(select!$A$778=IF(Scharniere[[#This Row],[mit Dämpfung]]=1,1,IF(Scharniere[[#This Row],[ohne Dämpfung]]=1,2,IF(Scharniere[[#This Row],[ohne Feder]]=1,3,0))),1,0)</f>
        <v>0</v>
      </c>
      <c r="S214" s="298">
        <f>IF(Scharniere[[#This Row],[Bohrbild]]=select!$A$755,1,0)</f>
        <v>0</v>
      </c>
      <c r="T214" s="298">
        <f>IF(IF(Scharniere[[#This Row],[Anschrauben]]=1,1,IF(Scharniere[[#This Row],[Einpressen]]=1,2,IF(Scharniere[[#This Row],[Quick]]=1,3,IF(Scharniere[[#This Row],[Werkzeuglos]]=1,4,0))))=select!$A$769,1,0)</f>
        <v>1</v>
      </c>
      <c r="U2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4" s="359">
        <f>IF(AND(Scharniere[[#This Row],[Scharnierart]]=4,Scharniere[[#This Row],[Gruppenschlüssel]]=select!$A$981)=TRUE,1,0)</f>
        <v>0</v>
      </c>
      <c r="W214" s="359">
        <f ca="1">IF(select!$O$1185&lt;6,1,0)</f>
        <v>1</v>
      </c>
      <c r="X214" s="359">
        <f>IF(select!$A$1012=IF(Scharniere[[#This Row],[mit Dämpfung]]=1,1,IF(Scharniere[[#This Row],[ohne Dämpfung]]=1,2,IF(Scharniere[[#This Row],[ohne Feder]]=1,3,0))),1,0)</f>
        <v>0</v>
      </c>
      <c r="Y214" s="359">
        <f>IF(Scharniere[[#This Row],[Bohrbild]]=select!$A$989,1,0)</f>
        <v>0</v>
      </c>
      <c r="Z214" s="359">
        <f>IF(IF(Scharniere[[#This Row],[Anschrauben]]=1,1,IF(Scharniere[[#This Row],[Einpressen]]=1,2,IF(Scharniere[[#This Row],[Quick]]=1,3,IF(Scharniere[[#This Row],[Werkzeuglos]]=1,4,0))))=select!$A$1003,1,0)</f>
        <v>1</v>
      </c>
      <c r="AA2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4" s="359">
        <f ca="1">IF(select!$K$980="*",Scharniere[[#This Row],[AG Ges2]],Scharniere[[#This Row],[AG Ges1]])</f>
        <v>0</v>
      </c>
      <c r="AE214" s="451">
        <f ca="1">IF(AND(Scharniere[[#This Row],[Scharnierart]]=select!$A$1485,Scharniere[[#This Row],[Gruppenschlüssel]]=select!$B$1485)=TRUE,1,0)</f>
        <v>0</v>
      </c>
      <c r="AF214" s="451">
        <f ca="1">IF(AND(Scharniere[[#This Row],[Scharnierart]]=select!$A$1486,Scharniere[[#This Row],[Gruppenschlüssel]]=select!$B$1486)=TRUE,1,0)</f>
        <v>0</v>
      </c>
      <c r="AG214" s="451">
        <f ca="1">IF(AND(Scharniere[[#This Row],[Scharnierart]]=select!$A$1487,Scharniere[[#This Row],[Gruppenschlüssel]]=select!$B$1487)=TRUE,1,0)</f>
        <v>0</v>
      </c>
      <c r="AH214" s="451">
        <f ca="1">IF(AND(Scharniere[[#This Row],[Scharnierart]]=select!$A$1488,Scharniere[[#This Row],[Gruppenschlüssel]]=select!$B$1488)=TRUE,1,0)</f>
        <v>0</v>
      </c>
      <c r="AI214" s="451">
        <f ca="1">IF(SUM(Scharniere[[#This Row],[konf Scharnier 1]:[konf Scharnier 4]])&gt;0,1,0)</f>
        <v>0</v>
      </c>
      <c r="AJ214" s="451"/>
      <c r="AK214" s="451"/>
      <c r="AL214" s="451"/>
      <c r="AM214" s="451"/>
      <c r="AN214" s="451"/>
      <c r="AO214" s="146">
        <v>1</v>
      </c>
      <c r="AP214" s="146">
        <v>2</v>
      </c>
      <c r="AQ214" s="10" t="str">
        <f ca="1">Sprache!$A$114</f>
        <v>Tiomos Scharnier TT Click-on</v>
      </c>
      <c r="AR214" t="s">
        <v>424</v>
      </c>
      <c r="AS214" t="str">
        <f ca="1">Sprache!$A$103</f>
        <v>Tiomos Click-On Scharniere</v>
      </c>
      <c r="AT214">
        <v>19</v>
      </c>
      <c r="AU214" t="s">
        <v>9</v>
      </c>
      <c r="AV214">
        <v>120</v>
      </c>
      <c r="AW214" s="10">
        <v>0</v>
      </c>
      <c r="AX214">
        <v>0</v>
      </c>
      <c r="AY214">
        <v>1</v>
      </c>
      <c r="AZ214" s="10">
        <v>1</v>
      </c>
      <c r="BA214">
        <v>0</v>
      </c>
      <c r="BB214">
        <v>0</v>
      </c>
      <c r="BC214">
        <v>0</v>
      </c>
      <c r="BD214" s="143" t="s">
        <v>724</v>
      </c>
      <c r="BG214"/>
    </row>
    <row r="215" spans="1:59" ht="14.25" customHeight="1" x14ac:dyDescent="0.25">
      <c r="A215" s="37" t="str">
        <f>LEFT(Scharniere[[#This Row],[ArtikelNR]],4)</f>
        <v>F034</v>
      </c>
      <c r="B215" s="35" t="str">
        <f>MID(Scharniere[[#This Row],[ArtikelNR]],5,3)</f>
        <v>139</v>
      </c>
      <c r="C215" s="37" t="str">
        <f>RIGHT(Scharniere[[#This Row],[ArtikelNR]],3)</f>
        <v>559</v>
      </c>
      <c r="D215" s="35">
        <f>IF(AND(Scharniere[[#This Row],[Gruppenschlüssel]]=select!$A$44,Scharniere[[#This Row],[Scharnierart]]=1)=TRUE,1,0)</f>
        <v>0</v>
      </c>
      <c r="E2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5" s="35">
        <f>IF(select!$F$57=IF(Scharniere[[#This Row],[mit Dämpfung]]=1,1,IF(Scharniere[[#This Row],[ohne Dämpfung]]=1,2,IF(Scharniere[[#This Row],[ohne Feder]]=1,3,0))),1,0)</f>
        <v>0</v>
      </c>
      <c r="G215" s="35">
        <f>IF(Scharniere[[#This Row],[Bohrbild]]=select!$V$43,1,0)</f>
        <v>0</v>
      </c>
      <c r="H215" s="35">
        <f>IF(IF(Scharniere[[#This Row],[Anschrauben]]=1,1,IF(Scharniere[[#This Row],[Einpressen]]=1,2,IF(Scharniere[[#This Row],[Quick]]=1,3,IF(Scharniere[[#This Row],[Werkzeuglos]]=1,4,0))))=select!$F$48,1,0)</f>
        <v>0</v>
      </c>
      <c r="I2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5" s="149">
        <f>IF(AND(Scharniere[[#This Row],[Scharnierart]]=2,Scharniere[[#This Row],[Gruppenschlüssel]]=select!$A$318)=TRUE,1,0)</f>
        <v>0</v>
      </c>
      <c r="K215" s="221">
        <f ca="1">IF(select!$O$424&lt;6,1,0)</f>
        <v>1</v>
      </c>
      <c r="L215" s="139">
        <f>IF(select!$A$362=IF(Scharniere[[#This Row],[mit Dämpfung]]=1,1,IF(Scharniere[[#This Row],[ohne Dämpfung]]=1,2,IF(Scharniere[[#This Row],[ohne Feder]]=1,3,0))),1,0)</f>
        <v>0</v>
      </c>
      <c r="M215" s="135">
        <f>IF(Scharniere[[#This Row],[Bohrbild]]=select!$O$334,1,0)</f>
        <v>0</v>
      </c>
      <c r="N215" s="135">
        <f>IF(IF(Scharniere[[#This Row],[Anschrauben]]=1,1,IF(Scharniere[[#This Row],[Einpressen]]=1,2,IF(Scharniere[[#This Row],[Quick]]=1,3,IF(Scharniere[[#This Row],[Werkzeuglos]]=1,4,0))))=select!$E$362,1,0)</f>
        <v>0</v>
      </c>
      <c r="O2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5" s="298">
        <f>IF(AND(Scharniere[[#This Row],[Scharnierart]]=3,Scharniere[[#This Row],[Gruppenschlüssel]]=select!$A$747)=TRUE,1,0)</f>
        <v>0</v>
      </c>
      <c r="Q215" s="298">
        <f ca="1">IF(select!$O$945&lt;6,1,0)</f>
        <v>1</v>
      </c>
      <c r="R215" s="298">
        <f>IF(select!$A$778=IF(Scharniere[[#This Row],[mit Dämpfung]]=1,1,IF(Scharniere[[#This Row],[ohne Dämpfung]]=1,2,IF(Scharniere[[#This Row],[ohne Feder]]=1,3,0))),1,0)</f>
        <v>1</v>
      </c>
      <c r="S215" s="298">
        <f>IF(Scharniere[[#This Row],[Bohrbild]]=select!$A$755,1,0)</f>
        <v>0</v>
      </c>
      <c r="T215" s="298">
        <f>IF(IF(Scharniere[[#This Row],[Anschrauben]]=1,1,IF(Scharniere[[#This Row],[Einpressen]]=1,2,IF(Scharniere[[#This Row],[Quick]]=1,3,IF(Scharniere[[#This Row],[Werkzeuglos]]=1,4,0))))=select!$A$769,1,0)</f>
        <v>0</v>
      </c>
      <c r="U2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5" s="359">
        <f>IF(AND(Scharniere[[#This Row],[Scharnierart]]=4,Scharniere[[#This Row],[Gruppenschlüssel]]=select!$A$981)=TRUE,1,0)</f>
        <v>0</v>
      </c>
      <c r="W215" s="359">
        <f ca="1">IF(select!$O$1185&lt;6,1,0)</f>
        <v>1</v>
      </c>
      <c r="X215" s="359">
        <f>IF(select!$A$1012=IF(Scharniere[[#This Row],[mit Dämpfung]]=1,1,IF(Scharniere[[#This Row],[ohne Dämpfung]]=1,2,IF(Scharniere[[#This Row],[ohne Feder]]=1,3,0))),1,0)</f>
        <v>1</v>
      </c>
      <c r="Y215" s="359">
        <f>IF(Scharniere[[#This Row],[Bohrbild]]=select!$A$989,1,0)</f>
        <v>0</v>
      </c>
      <c r="Z215" s="359">
        <f>IF(IF(Scharniere[[#This Row],[Anschrauben]]=1,1,IF(Scharniere[[#This Row],[Einpressen]]=1,2,IF(Scharniere[[#This Row],[Quick]]=1,3,IF(Scharniere[[#This Row],[Werkzeuglos]]=1,4,0))))=select!$A$1003,1,0)</f>
        <v>0</v>
      </c>
      <c r="AA2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5" s="359">
        <f ca="1">IF(select!$K$980="*",Scharniere[[#This Row],[AG Ges2]],Scharniere[[#This Row],[AG Ges1]])</f>
        <v>0</v>
      </c>
      <c r="AE215" s="451">
        <f ca="1">IF(AND(Scharniere[[#This Row],[Scharnierart]]=select!$A$1485,Scharniere[[#This Row],[Gruppenschlüssel]]=select!$B$1485)=TRUE,1,0)</f>
        <v>0</v>
      </c>
      <c r="AF215" s="451">
        <f ca="1">IF(AND(Scharniere[[#This Row],[Scharnierart]]=select!$A$1486,Scharniere[[#This Row],[Gruppenschlüssel]]=select!$B$1486)=TRUE,1,0)</f>
        <v>0</v>
      </c>
      <c r="AG215" s="451">
        <f ca="1">IF(AND(Scharniere[[#This Row],[Scharnierart]]=select!$A$1487,Scharniere[[#This Row],[Gruppenschlüssel]]=select!$B$1487)=TRUE,1,0)</f>
        <v>0</v>
      </c>
      <c r="AH215" s="451">
        <f ca="1">IF(AND(Scharniere[[#This Row],[Scharnierart]]=select!$A$1488,Scharniere[[#This Row],[Gruppenschlüssel]]=select!$B$1488)=TRUE,1,0)</f>
        <v>0</v>
      </c>
      <c r="AI215" s="451">
        <f ca="1">IF(SUM(Scharniere[[#This Row],[konf Scharnier 1]:[konf Scharnier 4]])&gt;0,1,0)</f>
        <v>0</v>
      </c>
      <c r="AJ215" s="451"/>
      <c r="AK215" s="451"/>
      <c r="AL215" s="451"/>
      <c r="AM215" s="451"/>
      <c r="AN215" s="451"/>
      <c r="AO215" s="146">
        <v>1</v>
      </c>
      <c r="AP215" s="146">
        <v>2</v>
      </c>
      <c r="AQ215" s="10" t="str">
        <f ca="1">Sprache!$A$111</f>
        <v>Tiomos Scharnier T Impresso</v>
      </c>
      <c r="AR215" t="s">
        <v>136</v>
      </c>
      <c r="AS215" t="str">
        <f ca="1">Sprache!$A$116</f>
        <v>Tiomos Impresso Scharniere</v>
      </c>
      <c r="AT215">
        <v>19</v>
      </c>
      <c r="AU215" s="34" t="s">
        <v>9</v>
      </c>
      <c r="AV215">
        <v>120</v>
      </c>
      <c r="AW215" s="10">
        <v>0</v>
      </c>
      <c r="AX215">
        <v>1</v>
      </c>
      <c r="AY215">
        <v>0</v>
      </c>
      <c r="AZ215" s="10">
        <v>0</v>
      </c>
      <c r="BA215">
        <v>0</v>
      </c>
      <c r="BB215">
        <v>0</v>
      </c>
      <c r="BC215">
        <v>1</v>
      </c>
      <c r="BD215" s="143" t="s">
        <v>180</v>
      </c>
      <c r="BG215"/>
    </row>
    <row r="216" spans="1:59" ht="14.25" customHeight="1" x14ac:dyDescent="0.25">
      <c r="A216" s="37" t="str">
        <f>LEFT(Scharniere[[#This Row],[ArtikelNR]],4)</f>
        <v>F034</v>
      </c>
      <c r="B216" s="35" t="str">
        <f>MID(Scharniere[[#This Row],[ArtikelNR]],5,3)</f>
        <v>139</v>
      </c>
      <c r="C216" s="37" t="str">
        <f>RIGHT(Scharniere[[#This Row],[ArtikelNR]],3)</f>
        <v>559</v>
      </c>
      <c r="D216" s="35">
        <f>IF(AND(Scharniere[[#This Row],[Gruppenschlüssel]]=select!$A$44,Scharniere[[#This Row],[Scharnierart]]=1)=TRUE,1,0)</f>
        <v>0</v>
      </c>
      <c r="E2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6" s="35">
        <f>IF(select!$F$57=IF(Scharniere[[#This Row],[mit Dämpfung]]=1,1,IF(Scharniere[[#This Row],[ohne Dämpfung]]=1,2,IF(Scharniere[[#This Row],[ohne Feder]]=1,3,0))),1,0)</f>
        <v>0</v>
      </c>
      <c r="G216" s="35">
        <f>IF(Scharniere[[#This Row],[Bohrbild]]=select!$V$43,1,0)</f>
        <v>0</v>
      </c>
      <c r="H216" s="35">
        <f>IF(IF(Scharniere[[#This Row],[Anschrauben]]=1,1,IF(Scharniere[[#This Row],[Einpressen]]=1,2,IF(Scharniere[[#This Row],[Quick]]=1,3,IF(Scharniere[[#This Row],[Werkzeuglos]]=1,4,0))))=select!$F$48,1,0)</f>
        <v>0</v>
      </c>
      <c r="I2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6" s="149">
        <f>IF(AND(Scharniere[[#This Row],[Scharnierart]]=2,Scharniere[[#This Row],[Gruppenschlüssel]]=select!$A$318)=TRUE,1,0)</f>
        <v>0</v>
      </c>
      <c r="K216" s="221">
        <f ca="1">IF(select!$O$424&lt;6,1,0)</f>
        <v>1</v>
      </c>
      <c r="L216" s="139">
        <f>IF(select!$A$362=IF(Scharniere[[#This Row],[mit Dämpfung]]=1,1,IF(Scharniere[[#This Row],[ohne Dämpfung]]=1,2,IF(Scharniere[[#This Row],[ohne Feder]]=1,3,0))),1,0)</f>
        <v>0</v>
      </c>
      <c r="M216" s="135">
        <f>IF(Scharniere[[#This Row],[Bohrbild]]=select!$O$334,1,0)</f>
        <v>0</v>
      </c>
      <c r="N216" s="135">
        <f>IF(IF(Scharniere[[#This Row],[Anschrauben]]=1,1,IF(Scharniere[[#This Row],[Einpressen]]=1,2,IF(Scharniere[[#This Row],[Quick]]=1,3,IF(Scharniere[[#This Row],[Werkzeuglos]]=1,4,0))))=select!$E$362,1,0)</f>
        <v>0</v>
      </c>
      <c r="O2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6" s="298">
        <f>IF(AND(Scharniere[[#This Row],[Scharnierart]]=3,Scharniere[[#This Row],[Gruppenschlüssel]]=select!$A$747)=TRUE,1,0)</f>
        <v>0</v>
      </c>
      <c r="Q216" s="298">
        <f ca="1">IF(select!$O$945&lt;6,1,0)</f>
        <v>1</v>
      </c>
      <c r="R216" s="298">
        <f>IF(select!$A$778=IF(Scharniere[[#This Row],[mit Dämpfung]]=1,1,IF(Scharniere[[#This Row],[ohne Dämpfung]]=1,2,IF(Scharniere[[#This Row],[ohne Feder]]=1,3,0))),1,0)</f>
        <v>1</v>
      </c>
      <c r="S216" s="298">
        <f>IF(Scharniere[[#This Row],[Bohrbild]]=select!$A$755,1,0)</f>
        <v>0</v>
      </c>
      <c r="T216" s="298">
        <f>IF(IF(Scharniere[[#This Row],[Anschrauben]]=1,1,IF(Scharniere[[#This Row],[Einpressen]]=1,2,IF(Scharniere[[#This Row],[Quick]]=1,3,IF(Scharniere[[#This Row],[Werkzeuglos]]=1,4,0))))=select!$A$769,1,0)</f>
        <v>0</v>
      </c>
      <c r="U2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6" s="359">
        <f>IF(AND(Scharniere[[#This Row],[Scharnierart]]=4,Scharniere[[#This Row],[Gruppenschlüssel]]=select!$A$981)=TRUE,1,0)</f>
        <v>0</v>
      </c>
      <c r="W216" s="359">
        <f ca="1">IF(select!$O$1185&lt;6,1,0)</f>
        <v>1</v>
      </c>
      <c r="X216" s="359">
        <f>IF(select!$A$1012=IF(Scharniere[[#This Row],[mit Dämpfung]]=1,1,IF(Scharniere[[#This Row],[ohne Dämpfung]]=1,2,IF(Scharniere[[#This Row],[ohne Feder]]=1,3,0))),1,0)</f>
        <v>1</v>
      </c>
      <c r="Y216" s="359">
        <f>IF(Scharniere[[#This Row],[Bohrbild]]=select!$A$989,1,0)</f>
        <v>0</v>
      </c>
      <c r="Z216" s="359">
        <f>IF(IF(Scharniere[[#This Row],[Anschrauben]]=1,1,IF(Scharniere[[#This Row],[Einpressen]]=1,2,IF(Scharniere[[#This Row],[Quick]]=1,3,IF(Scharniere[[#This Row],[Werkzeuglos]]=1,4,0))))=select!$A$1003,1,0)</f>
        <v>0</v>
      </c>
      <c r="AA2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6" s="359">
        <f ca="1">IF(select!$K$980="*",Scharniere[[#This Row],[AG Ges2]],Scharniere[[#This Row],[AG Ges1]])</f>
        <v>0</v>
      </c>
      <c r="AE216" s="451">
        <f ca="1">IF(AND(Scharniere[[#This Row],[Scharnierart]]=select!$A$1485,Scharniere[[#This Row],[Gruppenschlüssel]]=select!$B$1485)=TRUE,1,0)</f>
        <v>0</v>
      </c>
      <c r="AF216" s="451">
        <f ca="1">IF(AND(Scharniere[[#This Row],[Scharnierart]]=select!$A$1486,Scharniere[[#This Row],[Gruppenschlüssel]]=select!$B$1486)=TRUE,1,0)</f>
        <v>0</v>
      </c>
      <c r="AG216" s="451">
        <f ca="1">IF(AND(Scharniere[[#This Row],[Scharnierart]]=select!$A$1487,Scharniere[[#This Row],[Gruppenschlüssel]]=select!$B$1487)=TRUE,1,0)</f>
        <v>0</v>
      </c>
      <c r="AH216" s="451">
        <f ca="1">IF(AND(Scharniere[[#This Row],[Scharnierart]]=select!$A$1488,Scharniere[[#This Row],[Gruppenschlüssel]]=select!$B$1488)=TRUE,1,0)</f>
        <v>0</v>
      </c>
      <c r="AI216" s="451">
        <f ca="1">IF(SUM(Scharniere[[#This Row],[konf Scharnier 1]:[konf Scharnier 4]])&gt;0,1,0)</f>
        <v>0</v>
      </c>
      <c r="AJ216" s="451"/>
      <c r="AK216" s="451"/>
      <c r="AL216" s="451"/>
      <c r="AM216" s="451"/>
      <c r="AN216" s="451"/>
      <c r="AO216" s="146">
        <v>1</v>
      </c>
      <c r="AP216" s="146">
        <v>2</v>
      </c>
      <c r="AQ216" s="10" t="str">
        <f ca="1">Sprache!$A$111</f>
        <v>Tiomos Scharnier T Impresso</v>
      </c>
      <c r="AR216" t="s">
        <v>136</v>
      </c>
      <c r="AS216" t="str">
        <f ca="1">Sprache!$A$116</f>
        <v>Tiomos Impresso Scharniere</v>
      </c>
      <c r="AT216">
        <v>19</v>
      </c>
      <c r="AU216" t="s">
        <v>3</v>
      </c>
      <c r="AV216">
        <v>120</v>
      </c>
      <c r="AW216" s="10">
        <v>0</v>
      </c>
      <c r="AX216">
        <v>1</v>
      </c>
      <c r="AY216">
        <v>0</v>
      </c>
      <c r="AZ216" s="10">
        <v>0</v>
      </c>
      <c r="BA216">
        <v>0</v>
      </c>
      <c r="BB216">
        <v>0</v>
      </c>
      <c r="BC216">
        <v>1</v>
      </c>
      <c r="BD216" s="143" t="s">
        <v>180</v>
      </c>
      <c r="BG216"/>
    </row>
    <row r="217" spans="1:59" ht="14.25" customHeight="1" x14ac:dyDescent="0.25">
      <c r="A217" s="37" t="str">
        <f>LEFT(Scharniere[[#This Row],[ArtikelNR]],4)</f>
        <v>F017</v>
      </c>
      <c r="B217" s="35" t="str">
        <f>MID(Scharniere[[#This Row],[ArtikelNR]],5,3)</f>
        <v>139</v>
      </c>
      <c r="C217" s="37" t="str">
        <f>RIGHT(Scharniere[[#This Row],[ArtikelNR]],3)</f>
        <v>558</v>
      </c>
      <c r="D217" s="35">
        <f>IF(AND(Scharniere[[#This Row],[Gruppenschlüssel]]=select!$A$44,Scharniere[[#This Row],[Scharnierart]]=1)=TRUE,1,0)</f>
        <v>0</v>
      </c>
      <c r="E2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7" s="35">
        <f>IF(select!$F$57=IF(Scharniere[[#This Row],[mit Dämpfung]]=1,1,IF(Scharniere[[#This Row],[ohne Dämpfung]]=1,2,IF(Scharniere[[#This Row],[ohne Feder]]=1,3,0))),1,0)</f>
        <v>0</v>
      </c>
      <c r="G217" s="35">
        <f>IF(Scharniere[[#This Row],[Bohrbild]]=select!$V$43,1,0)</f>
        <v>0</v>
      </c>
      <c r="H217" s="35">
        <f>IF(IF(Scharniere[[#This Row],[Anschrauben]]=1,1,IF(Scharniere[[#This Row],[Einpressen]]=1,2,IF(Scharniere[[#This Row],[Quick]]=1,3,IF(Scharniere[[#This Row],[Werkzeuglos]]=1,4,0))))=select!$F$48,1,0)</f>
        <v>0</v>
      </c>
      <c r="I2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7" s="149">
        <f>IF(AND(Scharniere[[#This Row],[Scharnierart]]=2,Scharniere[[#This Row],[Gruppenschlüssel]]=select!$A$318)=TRUE,1,0)</f>
        <v>0</v>
      </c>
      <c r="K217" s="221">
        <f ca="1">IF(select!$O$424&lt;6,1,0)</f>
        <v>1</v>
      </c>
      <c r="L217" s="139">
        <f>IF(select!$A$362=IF(Scharniere[[#This Row],[mit Dämpfung]]=1,1,IF(Scharniere[[#This Row],[ohne Dämpfung]]=1,2,IF(Scharniere[[#This Row],[ohne Feder]]=1,3,0))),1,0)</f>
        <v>1</v>
      </c>
      <c r="M217" s="135">
        <f>IF(Scharniere[[#This Row],[Bohrbild]]=select!$O$334,1,0)</f>
        <v>0</v>
      </c>
      <c r="N217" s="135">
        <f>IF(IF(Scharniere[[#This Row],[Anschrauben]]=1,1,IF(Scharniere[[#This Row],[Einpressen]]=1,2,IF(Scharniere[[#This Row],[Quick]]=1,3,IF(Scharniere[[#This Row],[Werkzeuglos]]=1,4,0))))=select!$E$362,1,0)</f>
        <v>0</v>
      </c>
      <c r="O2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7" s="298">
        <f>IF(AND(Scharniere[[#This Row],[Scharnierart]]=3,Scharniere[[#This Row],[Gruppenschlüssel]]=select!$A$747)=TRUE,1,0)</f>
        <v>0</v>
      </c>
      <c r="Q217" s="298">
        <f ca="1">IF(select!$O$945&lt;6,1,0)</f>
        <v>1</v>
      </c>
      <c r="R217" s="298">
        <f>IF(select!$A$778=IF(Scharniere[[#This Row],[mit Dämpfung]]=1,1,IF(Scharniere[[#This Row],[ohne Dämpfung]]=1,2,IF(Scharniere[[#This Row],[ohne Feder]]=1,3,0))),1,0)</f>
        <v>0</v>
      </c>
      <c r="S217" s="298">
        <f>IF(Scharniere[[#This Row],[Bohrbild]]=select!$A$755,1,0)</f>
        <v>0</v>
      </c>
      <c r="T217" s="298">
        <f>IF(IF(Scharniere[[#This Row],[Anschrauben]]=1,1,IF(Scharniere[[#This Row],[Einpressen]]=1,2,IF(Scharniere[[#This Row],[Quick]]=1,3,IF(Scharniere[[#This Row],[Werkzeuglos]]=1,4,0))))=select!$A$769,1,0)</f>
        <v>0</v>
      </c>
      <c r="U2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7" s="359">
        <f>IF(AND(Scharniere[[#This Row],[Scharnierart]]=4,Scharniere[[#This Row],[Gruppenschlüssel]]=select!$A$981)=TRUE,1,0)</f>
        <v>0</v>
      </c>
      <c r="W217" s="359">
        <f ca="1">IF(select!$O$1185&lt;6,1,0)</f>
        <v>1</v>
      </c>
      <c r="X217" s="359">
        <f>IF(select!$A$1012=IF(Scharniere[[#This Row],[mit Dämpfung]]=1,1,IF(Scharniere[[#This Row],[ohne Dämpfung]]=1,2,IF(Scharniere[[#This Row],[ohne Feder]]=1,3,0))),1,0)</f>
        <v>0</v>
      </c>
      <c r="Y217" s="359">
        <f>IF(Scharniere[[#This Row],[Bohrbild]]=select!$A$989,1,0)</f>
        <v>0</v>
      </c>
      <c r="Z217" s="359">
        <f>IF(IF(Scharniere[[#This Row],[Anschrauben]]=1,1,IF(Scharniere[[#This Row],[Einpressen]]=1,2,IF(Scharniere[[#This Row],[Quick]]=1,3,IF(Scharniere[[#This Row],[Werkzeuglos]]=1,4,0))))=select!$A$1003,1,0)</f>
        <v>0</v>
      </c>
      <c r="AA2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7" s="359">
        <f ca="1">IF(select!$K$980="*",Scharniere[[#This Row],[AG Ges2]],Scharniere[[#This Row],[AG Ges1]])</f>
        <v>0</v>
      </c>
      <c r="AE217" s="451">
        <f ca="1">IF(AND(Scharniere[[#This Row],[Scharnierart]]=select!$A$1485,Scharniere[[#This Row],[Gruppenschlüssel]]=select!$B$1485)=TRUE,1,0)</f>
        <v>0</v>
      </c>
      <c r="AF217" s="451">
        <f ca="1">IF(AND(Scharniere[[#This Row],[Scharnierart]]=select!$A$1486,Scharniere[[#This Row],[Gruppenschlüssel]]=select!$B$1486)=TRUE,1,0)</f>
        <v>0</v>
      </c>
      <c r="AG217" s="451">
        <f ca="1">IF(AND(Scharniere[[#This Row],[Scharnierart]]=select!$A$1487,Scharniere[[#This Row],[Gruppenschlüssel]]=select!$B$1487)=TRUE,1,0)</f>
        <v>0</v>
      </c>
      <c r="AH217" s="451">
        <f ca="1">IF(AND(Scharniere[[#This Row],[Scharnierart]]=select!$A$1488,Scharniere[[#This Row],[Gruppenschlüssel]]=select!$B$1488)=TRUE,1,0)</f>
        <v>0</v>
      </c>
      <c r="AI217" s="451">
        <f ca="1">IF(SUM(Scharniere[[#This Row],[konf Scharnier 1]:[konf Scharnier 4]])&gt;0,1,0)</f>
        <v>0</v>
      </c>
      <c r="AJ217" s="451"/>
      <c r="AK217" s="451"/>
      <c r="AL217" s="451"/>
      <c r="AM217" s="451"/>
      <c r="AN217" s="451"/>
      <c r="AO217" s="146">
        <v>1</v>
      </c>
      <c r="AP217" s="146">
        <v>2</v>
      </c>
      <c r="AQ217" s="10" t="str">
        <f ca="1">Sprache!$A$113</f>
        <v>Tiomos Scharnier TS Impresso</v>
      </c>
      <c r="AR217" t="s">
        <v>136</v>
      </c>
      <c r="AS217" t="str">
        <f ca="1">Sprache!$A$116</f>
        <v>Tiomos Impresso Scharniere</v>
      </c>
      <c r="AT217">
        <v>19</v>
      </c>
      <c r="AU217" t="s">
        <v>9</v>
      </c>
      <c r="AV217">
        <v>120</v>
      </c>
      <c r="AW217" s="10">
        <v>1</v>
      </c>
      <c r="AX217">
        <v>0</v>
      </c>
      <c r="AY217">
        <v>0</v>
      </c>
      <c r="AZ217" s="10">
        <v>0</v>
      </c>
      <c r="BA217">
        <v>0</v>
      </c>
      <c r="BB217">
        <v>0</v>
      </c>
      <c r="BC217">
        <v>1</v>
      </c>
      <c r="BD217" s="143" t="s">
        <v>135</v>
      </c>
      <c r="BG217"/>
    </row>
    <row r="218" spans="1:59" ht="14.25" customHeight="1" x14ac:dyDescent="0.25">
      <c r="A218" s="37" t="str">
        <f>LEFT(Scharniere[[#This Row],[ArtikelNR]],4)</f>
        <v>F017</v>
      </c>
      <c r="B218" s="35" t="str">
        <f>MID(Scharniere[[#This Row],[ArtikelNR]],5,3)</f>
        <v>139</v>
      </c>
      <c r="C218" s="37" t="str">
        <f>RIGHT(Scharniere[[#This Row],[ArtikelNR]],3)</f>
        <v>558</v>
      </c>
      <c r="D218" s="35">
        <f>IF(AND(Scharniere[[#This Row],[Gruppenschlüssel]]=select!$A$44,Scharniere[[#This Row],[Scharnierart]]=1)=TRUE,1,0)</f>
        <v>0</v>
      </c>
      <c r="E2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8" s="35">
        <f>IF(select!$F$57=IF(Scharniere[[#This Row],[mit Dämpfung]]=1,1,IF(Scharniere[[#This Row],[ohne Dämpfung]]=1,2,IF(Scharniere[[#This Row],[ohne Feder]]=1,3,0))),1,0)</f>
        <v>0</v>
      </c>
      <c r="G218" s="35">
        <f>IF(Scharniere[[#This Row],[Bohrbild]]=select!$V$43,1,0)</f>
        <v>0</v>
      </c>
      <c r="H218" s="35">
        <f>IF(IF(Scharniere[[#This Row],[Anschrauben]]=1,1,IF(Scharniere[[#This Row],[Einpressen]]=1,2,IF(Scharniere[[#This Row],[Quick]]=1,3,IF(Scharniere[[#This Row],[Werkzeuglos]]=1,4,0))))=select!$F$48,1,0)</f>
        <v>0</v>
      </c>
      <c r="I2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8" s="149">
        <f>IF(AND(Scharniere[[#This Row],[Scharnierart]]=2,Scharniere[[#This Row],[Gruppenschlüssel]]=select!$A$318)=TRUE,1,0)</f>
        <v>0</v>
      </c>
      <c r="K218" s="221">
        <f ca="1">IF(select!$O$424&lt;6,1,0)</f>
        <v>1</v>
      </c>
      <c r="L218" s="139">
        <f>IF(select!$A$362=IF(Scharniere[[#This Row],[mit Dämpfung]]=1,1,IF(Scharniere[[#This Row],[ohne Dämpfung]]=1,2,IF(Scharniere[[#This Row],[ohne Feder]]=1,3,0))),1,0)</f>
        <v>1</v>
      </c>
      <c r="M218" s="135">
        <f>IF(Scharniere[[#This Row],[Bohrbild]]=select!$O$334,1,0)</f>
        <v>0</v>
      </c>
      <c r="N218" s="135">
        <f>IF(IF(Scharniere[[#This Row],[Anschrauben]]=1,1,IF(Scharniere[[#This Row],[Einpressen]]=1,2,IF(Scharniere[[#This Row],[Quick]]=1,3,IF(Scharniere[[#This Row],[Werkzeuglos]]=1,4,0))))=select!$E$362,1,0)</f>
        <v>0</v>
      </c>
      <c r="O2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8" s="298">
        <f>IF(AND(Scharniere[[#This Row],[Scharnierart]]=3,Scharniere[[#This Row],[Gruppenschlüssel]]=select!$A$747)=TRUE,1,0)</f>
        <v>0</v>
      </c>
      <c r="Q218" s="298">
        <f ca="1">IF(select!$O$945&lt;6,1,0)</f>
        <v>1</v>
      </c>
      <c r="R218" s="298">
        <f>IF(select!$A$778=IF(Scharniere[[#This Row],[mit Dämpfung]]=1,1,IF(Scharniere[[#This Row],[ohne Dämpfung]]=1,2,IF(Scharniere[[#This Row],[ohne Feder]]=1,3,0))),1,0)</f>
        <v>0</v>
      </c>
      <c r="S218" s="298">
        <f>IF(Scharniere[[#This Row],[Bohrbild]]=select!$A$755,1,0)</f>
        <v>0</v>
      </c>
      <c r="T218" s="298">
        <f>IF(IF(Scharniere[[#This Row],[Anschrauben]]=1,1,IF(Scharniere[[#This Row],[Einpressen]]=1,2,IF(Scharniere[[#This Row],[Quick]]=1,3,IF(Scharniere[[#This Row],[Werkzeuglos]]=1,4,0))))=select!$A$769,1,0)</f>
        <v>0</v>
      </c>
      <c r="U2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8" s="359">
        <f>IF(AND(Scharniere[[#This Row],[Scharnierart]]=4,Scharniere[[#This Row],[Gruppenschlüssel]]=select!$A$981)=TRUE,1,0)</f>
        <v>0</v>
      </c>
      <c r="W218" s="359">
        <f ca="1">IF(select!$O$1185&lt;6,1,0)</f>
        <v>1</v>
      </c>
      <c r="X218" s="359">
        <f>IF(select!$A$1012=IF(Scharniere[[#This Row],[mit Dämpfung]]=1,1,IF(Scharniere[[#This Row],[ohne Dämpfung]]=1,2,IF(Scharniere[[#This Row],[ohne Feder]]=1,3,0))),1,0)</f>
        <v>0</v>
      </c>
      <c r="Y218" s="359">
        <f>IF(Scharniere[[#This Row],[Bohrbild]]=select!$A$989,1,0)</f>
        <v>0</v>
      </c>
      <c r="Z218" s="359">
        <f>IF(IF(Scharniere[[#This Row],[Anschrauben]]=1,1,IF(Scharniere[[#This Row],[Einpressen]]=1,2,IF(Scharniere[[#This Row],[Quick]]=1,3,IF(Scharniere[[#This Row],[Werkzeuglos]]=1,4,0))))=select!$A$1003,1,0)</f>
        <v>0</v>
      </c>
      <c r="AA2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8" s="359">
        <f ca="1">IF(select!$K$980="*",Scharniere[[#This Row],[AG Ges2]],Scharniere[[#This Row],[AG Ges1]])</f>
        <v>0</v>
      </c>
      <c r="AE218" s="451">
        <f ca="1">IF(AND(Scharniere[[#This Row],[Scharnierart]]=select!$A$1485,Scharniere[[#This Row],[Gruppenschlüssel]]=select!$B$1485)=TRUE,1,0)</f>
        <v>0</v>
      </c>
      <c r="AF218" s="451">
        <f ca="1">IF(AND(Scharniere[[#This Row],[Scharnierart]]=select!$A$1486,Scharniere[[#This Row],[Gruppenschlüssel]]=select!$B$1486)=TRUE,1,0)</f>
        <v>0</v>
      </c>
      <c r="AG218" s="451">
        <f ca="1">IF(AND(Scharniere[[#This Row],[Scharnierart]]=select!$A$1487,Scharniere[[#This Row],[Gruppenschlüssel]]=select!$B$1487)=TRUE,1,0)</f>
        <v>0</v>
      </c>
      <c r="AH218" s="451">
        <f ca="1">IF(AND(Scharniere[[#This Row],[Scharnierart]]=select!$A$1488,Scharniere[[#This Row],[Gruppenschlüssel]]=select!$B$1488)=TRUE,1,0)</f>
        <v>0</v>
      </c>
      <c r="AI218" s="451">
        <f ca="1">IF(SUM(Scharniere[[#This Row],[konf Scharnier 1]:[konf Scharnier 4]])&gt;0,1,0)</f>
        <v>0</v>
      </c>
      <c r="AJ218" s="451"/>
      <c r="AK218" s="451"/>
      <c r="AL218" s="451"/>
      <c r="AM218" s="451"/>
      <c r="AN218" s="451"/>
      <c r="AO218" s="146">
        <v>1</v>
      </c>
      <c r="AP218" s="146">
        <v>2</v>
      </c>
      <c r="AQ218" s="10" t="str">
        <f ca="1">Sprache!$A$113</f>
        <v>Tiomos Scharnier TS Impresso</v>
      </c>
      <c r="AR218" t="s">
        <v>136</v>
      </c>
      <c r="AS218" t="str">
        <f ca="1">Sprache!$A$116</f>
        <v>Tiomos Impresso Scharniere</v>
      </c>
      <c r="AT218">
        <v>19</v>
      </c>
      <c r="AU218" t="s">
        <v>3</v>
      </c>
      <c r="AV218">
        <v>120</v>
      </c>
      <c r="AW218" s="10">
        <v>1</v>
      </c>
      <c r="AX218">
        <v>0</v>
      </c>
      <c r="AY218">
        <v>0</v>
      </c>
      <c r="AZ218" s="10">
        <v>0</v>
      </c>
      <c r="BA218">
        <v>0</v>
      </c>
      <c r="BB218">
        <v>0</v>
      </c>
      <c r="BC218">
        <v>1</v>
      </c>
      <c r="BD218" s="143" t="s">
        <v>135</v>
      </c>
      <c r="BG218"/>
    </row>
    <row r="219" spans="1:59" ht="14.25" customHeight="1" x14ac:dyDescent="0.25">
      <c r="A219" s="37" t="str">
        <f>LEFT(Scharniere[[#This Row],[ArtikelNR]],4)</f>
        <v>F035</v>
      </c>
      <c r="B219" s="35" t="str">
        <f>MID(Scharniere[[#This Row],[ArtikelNR]],5,3)</f>
        <v>139</v>
      </c>
      <c r="C219" s="37" t="str">
        <f>RIGHT(Scharniere[[#This Row],[ArtikelNR]],3)</f>
        <v>560</v>
      </c>
      <c r="D219" s="35">
        <f>IF(AND(Scharniere[[#This Row],[Gruppenschlüssel]]=select!$A$44,Scharniere[[#This Row],[Scharnierart]]=1)=TRUE,1,0)</f>
        <v>0</v>
      </c>
      <c r="E2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19" s="35">
        <f>IF(select!$F$57=IF(Scharniere[[#This Row],[mit Dämpfung]]=1,1,IF(Scharniere[[#This Row],[ohne Dämpfung]]=1,2,IF(Scharniere[[#This Row],[ohne Feder]]=1,3,0))),1,0)</f>
        <v>1</v>
      </c>
      <c r="G219" s="35">
        <f>IF(Scharniere[[#This Row],[Bohrbild]]=select!$V$43,1,0)</f>
        <v>0</v>
      </c>
      <c r="H219" s="35">
        <f>IF(IF(Scharniere[[#This Row],[Anschrauben]]=1,1,IF(Scharniere[[#This Row],[Einpressen]]=1,2,IF(Scharniere[[#This Row],[Quick]]=1,3,IF(Scharniere[[#This Row],[Werkzeuglos]]=1,4,0))))=select!$F$48,1,0)</f>
        <v>0</v>
      </c>
      <c r="I2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19" s="149">
        <f>IF(AND(Scharniere[[#This Row],[Scharnierart]]=2,Scharniere[[#This Row],[Gruppenschlüssel]]=select!$A$318)=TRUE,1,0)</f>
        <v>0</v>
      </c>
      <c r="K219" s="221">
        <f ca="1">IF(select!$O$424&lt;6,1,0)</f>
        <v>1</v>
      </c>
      <c r="L219" s="139">
        <f>IF(select!$A$362=IF(Scharniere[[#This Row],[mit Dämpfung]]=1,1,IF(Scharniere[[#This Row],[ohne Dämpfung]]=1,2,IF(Scharniere[[#This Row],[ohne Feder]]=1,3,0))),1,0)</f>
        <v>0</v>
      </c>
      <c r="M219" s="135">
        <f>IF(Scharniere[[#This Row],[Bohrbild]]=select!$O$334,1,0)</f>
        <v>0</v>
      </c>
      <c r="N219" s="135">
        <f>IF(IF(Scharniere[[#This Row],[Anschrauben]]=1,1,IF(Scharniere[[#This Row],[Einpressen]]=1,2,IF(Scharniere[[#This Row],[Quick]]=1,3,IF(Scharniere[[#This Row],[Werkzeuglos]]=1,4,0))))=select!$E$362,1,0)</f>
        <v>0</v>
      </c>
      <c r="O2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19" s="298">
        <f>IF(AND(Scharniere[[#This Row],[Scharnierart]]=3,Scharniere[[#This Row],[Gruppenschlüssel]]=select!$A$747)=TRUE,1,0)</f>
        <v>0</v>
      </c>
      <c r="Q219" s="298">
        <f ca="1">IF(select!$O$945&lt;6,1,0)</f>
        <v>1</v>
      </c>
      <c r="R219" s="298">
        <f>IF(select!$A$778=IF(Scharniere[[#This Row],[mit Dämpfung]]=1,1,IF(Scharniere[[#This Row],[ohne Dämpfung]]=1,2,IF(Scharniere[[#This Row],[ohne Feder]]=1,3,0))),1,0)</f>
        <v>0</v>
      </c>
      <c r="S219" s="298">
        <f>IF(Scharniere[[#This Row],[Bohrbild]]=select!$A$755,1,0)</f>
        <v>0</v>
      </c>
      <c r="T219" s="298">
        <f>IF(IF(Scharniere[[#This Row],[Anschrauben]]=1,1,IF(Scharniere[[#This Row],[Einpressen]]=1,2,IF(Scharniere[[#This Row],[Quick]]=1,3,IF(Scharniere[[#This Row],[Werkzeuglos]]=1,4,0))))=select!$A$769,1,0)</f>
        <v>0</v>
      </c>
      <c r="U2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19" s="359">
        <f>IF(AND(Scharniere[[#This Row],[Scharnierart]]=4,Scharniere[[#This Row],[Gruppenschlüssel]]=select!$A$981)=TRUE,1,0)</f>
        <v>0</v>
      </c>
      <c r="W219" s="359">
        <f ca="1">IF(select!$O$1185&lt;6,1,0)</f>
        <v>1</v>
      </c>
      <c r="X219" s="359">
        <f>IF(select!$A$1012=IF(Scharniere[[#This Row],[mit Dämpfung]]=1,1,IF(Scharniere[[#This Row],[ohne Dämpfung]]=1,2,IF(Scharniere[[#This Row],[ohne Feder]]=1,3,0))),1,0)</f>
        <v>0</v>
      </c>
      <c r="Y219" s="359">
        <f>IF(Scharniere[[#This Row],[Bohrbild]]=select!$A$989,1,0)</f>
        <v>0</v>
      </c>
      <c r="Z219" s="359">
        <f>IF(IF(Scharniere[[#This Row],[Anschrauben]]=1,1,IF(Scharniere[[#This Row],[Einpressen]]=1,2,IF(Scharniere[[#This Row],[Quick]]=1,3,IF(Scharniere[[#This Row],[Werkzeuglos]]=1,4,0))))=select!$A$1003,1,0)</f>
        <v>0</v>
      </c>
      <c r="AA2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19" s="359">
        <f ca="1">IF(select!$K$980="*",Scharniere[[#This Row],[AG Ges2]],Scharniere[[#This Row],[AG Ges1]])</f>
        <v>0</v>
      </c>
      <c r="AE219" s="451">
        <f ca="1">IF(AND(Scharniere[[#This Row],[Scharnierart]]=select!$A$1485,Scharniere[[#This Row],[Gruppenschlüssel]]=select!$B$1485)=TRUE,1,0)</f>
        <v>0</v>
      </c>
      <c r="AF219" s="451">
        <f ca="1">IF(AND(Scharniere[[#This Row],[Scharnierart]]=select!$A$1486,Scharniere[[#This Row],[Gruppenschlüssel]]=select!$B$1486)=TRUE,1,0)</f>
        <v>0</v>
      </c>
      <c r="AG219" s="451">
        <f ca="1">IF(AND(Scharniere[[#This Row],[Scharnierart]]=select!$A$1487,Scharniere[[#This Row],[Gruppenschlüssel]]=select!$B$1487)=TRUE,1,0)</f>
        <v>0</v>
      </c>
      <c r="AH219" s="451">
        <f ca="1">IF(AND(Scharniere[[#This Row],[Scharnierart]]=select!$A$1488,Scharniere[[#This Row],[Gruppenschlüssel]]=select!$B$1488)=TRUE,1,0)</f>
        <v>0</v>
      </c>
      <c r="AI219" s="451">
        <f ca="1">IF(SUM(Scharniere[[#This Row],[konf Scharnier 1]:[konf Scharnier 4]])&gt;0,1,0)</f>
        <v>0</v>
      </c>
      <c r="AJ219" s="451"/>
      <c r="AK219" s="451"/>
      <c r="AL219" s="451"/>
      <c r="AM219" s="451"/>
      <c r="AN219" s="451"/>
      <c r="AO219" s="146">
        <v>1</v>
      </c>
      <c r="AP219" s="146">
        <v>2</v>
      </c>
      <c r="AQ219" s="10" t="str">
        <f ca="1">Sprache!$A$115</f>
        <v>Tiomos Scharnier TT Impresso</v>
      </c>
      <c r="AR219" t="s">
        <v>136</v>
      </c>
      <c r="AS219" t="str">
        <f ca="1">Sprache!$A$116</f>
        <v>Tiomos Impresso Scharniere</v>
      </c>
      <c r="AT219">
        <v>19</v>
      </c>
      <c r="AU219" t="s">
        <v>9</v>
      </c>
      <c r="AV219">
        <v>120</v>
      </c>
      <c r="AW219" s="10">
        <v>0</v>
      </c>
      <c r="AX219">
        <v>0</v>
      </c>
      <c r="AY219">
        <v>1</v>
      </c>
      <c r="AZ219" s="10">
        <v>0</v>
      </c>
      <c r="BA219">
        <v>0</v>
      </c>
      <c r="BB219">
        <v>0</v>
      </c>
      <c r="BC219">
        <v>1</v>
      </c>
      <c r="BD219" s="143" t="s">
        <v>224</v>
      </c>
      <c r="BG219"/>
    </row>
    <row r="220" spans="1:59" ht="14.25" customHeight="1" x14ac:dyDescent="0.25">
      <c r="A220" s="37" t="str">
        <f>LEFT(Scharniere[[#This Row],[ArtikelNR]],4)</f>
        <v>F035</v>
      </c>
      <c r="B220" s="35" t="str">
        <f>MID(Scharniere[[#This Row],[ArtikelNR]],5,3)</f>
        <v>139</v>
      </c>
      <c r="C220" s="37" t="str">
        <f>RIGHT(Scharniere[[#This Row],[ArtikelNR]],3)</f>
        <v>560</v>
      </c>
      <c r="D220" s="35">
        <f>IF(AND(Scharniere[[#This Row],[Gruppenschlüssel]]=select!$A$44,Scharniere[[#This Row],[Scharnierart]]=1)=TRUE,1,0)</f>
        <v>0</v>
      </c>
      <c r="E2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0" s="35">
        <f>IF(select!$F$57=IF(Scharniere[[#This Row],[mit Dämpfung]]=1,1,IF(Scharniere[[#This Row],[ohne Dämpfung]]=1,2,IF(Scharniere[[#This Row],[ohne Feder]]=1,3,0))),1,0)</f>
        <v>1</v>
      </c>
      <c r="G220" s="35">
        <f>IF(Scharniere[[#This Row],[Bohrbild]]=select!$V$43,1,0)</f>
        <v>0</v>
      </c>
      <c r="H220" s="35">
        <f>IF(IF(Scharniere[[#This Row],[Anschrauben]]=1,1,IF(Scharniere[[#This Row],[Einpressen]]=1,2,IF(Scharniere[[#This Row],[Quick]]=1,3,IF(Scharniere[[#This Row],[Werkzeuglos]]=1,4,0))))=select!$F$48,1,0)</f>
        <v>0</v>
      </c>
      <c r="I2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0" s="149">
        <f>IF(AND(Scharniere[[#This Row],[Scharnierart]]=2,Scharniere[[#This Row],[Gruppenschlüssel]]=select!$A$318)=TRUE,1,0)</f>
        <v>0</v>
      </c>
      <c r="K220" s="221">
        <f ca="1">IF(select!$O$424&lt;6,1,0)</f>
        <v>1</v>
      </c>
      <c r="L220" s="139">
        <f>IF(select!$A$362=IF(Scharniere[[#This Row],[mit Dämpfung]]=1,1,IF(Scharniere[[#This Row],[ohne Dämpfung]]=1,2,IF(Scharniere[[#This Row],[ohne Feder]]=1,3,0))),1,0)</f>
        <v>0</v>
      </c>
      <c r="M220" s="135">
        <f>IF(Scharniere[[#This Row],[Bohrbild]]=select!$O$334,1,0)</f>
        <v>0</v>
      </c>
      <c r="N220" s="135">
        <f>IF(IF(Scharniere[[#This Row],[Anschrauben]]=1,1,IF(Scharniere[[#This Row],[Einpressen]]=1,2,IF(Scharniere[[#This Row],[Quick]]=1,3,IF(Scharniere[[#This Row],[Werkzeuglos]]=1,4,0))))=select!$E$362,1,0)</f>
        <v>0</v>
      </c>
      <c r="O2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0" s="298">
        <f>IF(AND(Scharniere[[#This Row],[Scharnierart]]=3,Scharniere[[#This Row],[Gruppenschlüssel]]=select!$A$747)=TRUE,1,0)</f>
        <v>0</v>
      </c>
      <c r="Q220" s="298">
        <f ca="1">IF(select!$O$945&lt;6,1,0)</f>
        <v>1</v>
      </c>
      <c r="R220" s="298">
        <f>IF(select!$A$778=IF(Scharniere[[#This Row],[mit Dämpfung]]=1,1,IF(Scharniere[[#This Row],[ohne Dämpfung]]=1,2,IF(Scharniere[[#This Row],[ohne Feder]]=1,3,0))),1,0)</f>
        <v>0</v>
      </c>
      <c r="S220" s="298">
        <f>IF(Scharniere[[#This Row],[Bohrbild]]=select!$A$755,1,0)</f>
        <v>0</v>
      </c>
      <c r="T220" s="298">
        <f>IF(IF(Scharniere[[#This Row],[Anschrauben]]=1,1,IF(Scharniere[[#This Row],[Einpressen]]=1,2,IF(Scharniere[[#This Row],[Quick]]=1,3,IF(Scharniere[[#This Row],[Werkzeuglos]]=1,4,0))))=select!$A$769,1,0)</f>
        <v>0</v>
      </c>
      <c r="U2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0" s="359">
        <f>IF(AND(Scharniere[[#This Row],[Scharnierart]]=4,Scharniere[[#This Row],[Gruppenschlüssel]]=select!$A$981)=TRUE,1,0)</f>
        <v>0</v>
      </c>
      <c r="W220" s="359">
        <f ca="1">IF(select!$O$1185&lt;6,1,0)</f>
        <v>1</v>
      </c>
      <c r="X220" s="359">
        <f>IF(select!$A$1012=IF(Scharniere[[#This Row],[mit Dämpfung]]=1,1,IF(Scharniere[[#This Row],[ohne Dämpfung]]=1,2,IF(Scharniere[[#This Row],[ohne Feder]]=1,3,0))),1,0)</f>
        <v>0</v>
      </c>
      <c r="Y220" s="359">
        <f>IF(Scharniere[[#This Row],[Bohrbild]]=select!$A$989,1,0)</f>
        <v>0</v>
      </c>
      <c r="Z220" s="359">
        <f>IF(IF(Scharniere[[#This Row],[Anschrauben]]=1,1,IF(Scharniere[[#This Row],[Einpressen]]=1,2,IF(Scharniere[[#This Row],[Quick]]=1,3,IF(Scharniere[[#This Row],[Werkzeuglos]]=1,4,0))))=select!$A$1003,1,0)</f>
        <v>0</v>
      </c>
      <c r="AA2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0" s="359">
        <f ca="1">IF(select!$K$980="*",Scharniere[[#This Row],[AG Ges2]],Scharniere[[#This Row],[AG Ges1]])</f>
        <v>0</v>
      </c>
      <c r="AE220" s="451">
        <f ca="1">IF(AND(Scharniere[[#This Row],[Scharnierart]]=select!$A$1485,Scharniere[[#This Row],[Gruppenschlüssel]]=select!$B$1485)=TRUE,1,0)</f>
        <v>0</v>
      </c>
      <c r="AF220" s="451">
        <f ca="1">IF(AND(Scharniere[[#This Row],[Scharnierart]]=select!$A$1486,Scharniere[[#This Row],[Gruppenschlüssel]]=select!$B$1486)=TRUE,1,0)</f>
        <v>0</v>
      </c>
      <c r="AG220" s="451">
        <f ca="1">IF(AND(Scharniere[[#This Row],[Scharnierart]]=select!$A$1487,Scharniere[[#This Row],[Gruppenschlüssel]]=select!$B$1487)=TRUE,1,0)</f>
        <v>0</v>
      </c>
      <c r="AH220" s="451">
        <f ca="1">IF(AND(Scharniere[[#This Row],[Scharnierart]]=select!$A$1488,Scharniere[[#This Row],[Gruppenschlüssel]]=select!$B$1488)=TRUE,1,0)</f>
        <v>0</v>
      </c>
      <c r="AI220" s="451">
        <f ca="1">IF(SUM(Scharniere[[#This Row],[konf Scharnier 1]:[konf Scharnier 4]])&gt;0,1,0)</f>
        <v>0</v>
      </c>
      <c r="AJ220" s="451"/>
      <c r="AK220" s="451"/>
      <c r="AL220" s="451"/>
      <c r="AM220" s="451"/>
      <c r="AN220" s="451"/>
      <c r="AO220" s="146">
        <v>1</v>
      </c>
      <c r="AP220" s="146">
        <v>2</v>
      </c>
      <c r="AQ220" s="10" t="str">
        <f ca="1">Sprache!$A$115</f>
        <v>Tiomos Scharnier TT Impresso</v>
      </c>
      <c r="AR220" t="s">
        <v>136</v>
      </c>
      <c r="AS220" t="str">
        <f ca="1">Sprache!$A$116</f>
        <v>Tiomos Impresso Scharniere</v>
      </c>
      <c r="AT220">
        <v>19</v>
      </c>
      <c r="AU220" t="s">
        <v>3</v>
      </c>
      <c r="AV220">
        <v>120</v>
      </c>
      <c r="AW220" s="10">
        <v>0</v>
      </c>
      <c r="AX220">
        <v>0</v>
      </c>
      <c r="AY220">
        <v>1</v>
      </c>
      <c r="AZ220" s="10">
        <v>0</v>
      </c>
      <c r="BA220">
        <v>0</v>
      </c>
      <c r="BB220">
        <v>0</v>
      </c>
      <c r="BC220">
        <v>1</v>
      </c>
      <c r="BD220" s="143" t="s">
        <v>224</v>
      </c>
      <c r="BG220"/>
    </row>
    <row r="221" spans="1:59" ht="14.25" customHeight="1" x14ac:dyDescent="0.25">
      <c r="A221" s="37" t="str">
        <f>LEFT(Scharniere[[#This Row],[ArtikelNR]],4)</f>
        <v>F045</v>
      </c>
      <c r="B221" s="35" t="str">
        <f>MID(Scharniere[[#This Row],[ArtikelNR]],5,3)</f>
        <v>139</v>
      </c>
      <c r="C221" s="37" t="str">
        <f>RIGHT(Scharniere[[#This Row],[ArtikelNR]],3)</f>
        <v>025</v>
      </c>
      <c r="D221" s="35">
        <f>IF(AND(Scharniere[[#This Row],[Gruppenschlüssel]]=select!$A$44,Scharniere[[#This Row],[Scharnierart]]=1)=TRUE,1,0)</f>
        <v>0</v>
      </c>
      <c r="E2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1" s="35">
        <f>IF(select!$F$57=IF(Scharniere[[#This Row],[mit Dämpfung]]=1,1,IF(Scharniere[[#This Row],[ohne Dämpfung]]=1,2,IF(Scharniere[[#This Row],[ohne Feder]]=1,3,0))),1,0)</f>
        <v>0</v>
      </c>
      <c r="G221" s="35">
        <f>IF(Scharniere[[#This Row],[Bohrbild]]=select!$V$43,1,0)</f>
        <v>0</v>
      </c>
      <c r="H221" s="35">
        <f>IF(IF(Scharniere[[#This Row],[Anschrauben]]=1,1,IF(Scharniere[[#This Row],[Einpressen]]=1,2,IF(Scharniere[[#This Row],[Quick]]=1,3,IF(Scharniere[[#This Row],[Werkzeuglos]]=1,4,0))))=select!$F$48,1,0)</f>
        <v>1</v>
      </c>
      <c r="I2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1" s="149">
        <f>IF(AND(Scharniere[[#This Row],[Scharnierart]]=2,Scharniere[[#This Row],[Gruppenschlüssel]]=select!$A$318)=TRUE,1,0)</f>
        <v>0</v>
      </c>
      <c r="K221" s="221">
        <f ca="1">IF(select!$O$424&lt;6,1,0)</f>
        <v>1</v>
      </c>
      <c r="L221" s="139">
        <f>IF(select!$A$362=IF(Scharniere[[#This Row],[mit Dämpfung]]=1,1,IF(Scharniere[[#This Row],[ohne Dämpfung]]=1,2,IF(Scharniere[[#This Row],[ohne Feder]]=1,3,0))),1,0)</f>
        <v>0</v>
      </c>
      <c r="M221" s="135">
        <f>IF(Scharniere[[#This Row],[Bohrbild]]=select!$O$334,1,0)</f>
        <v>0</v>
      </c>
      <c r="N221" s="135">
        <f>IF(IF(Scharniere[[#This Row],[Anschrauben]]=1,1,IF(Scharniere[[#This Row],[Einpressen]]=1,2,IF(Scharniere[[#This Row],[Quick]]=1,3,IF(Scharniere[[#This Row],[Werkzeuglos]]=1,4,0))))=select!$E$362,1,0)</f>
        <v>0</v>
      </c>
      <c r="O2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1" s="298">
        <f>IF(AND(Scharniere[[#This Row],[Scharnierart]]=3,Scharniere[[#This Row],[Gruppenschlüssel]]=select!$A$747)=TRUE,1,0)</f>
        <v>0</v>
      </c>
      <c r="Q221" s="298">
        <f ca="1">IF(select!$O$945&lt;6,1,0)</f>
        <v>1</v>
      </c>
      <c r="R221" s="298">
        <f>IF(select!$A$778=IF(Scharniere[[#This Row],[mit Dämpfung]]=1,1,IF(Scharniere[[#This Row],[ohne Dämpfung]]=1,2,IF(Scharniere[[#This Row],[ohne Feder]]=1,3,0))),1,0)</f>
        <v>1</v>
      </c>
      <c r="S221" s="298">
        <f>IF(Scharniere[[#This Row],[Bohrbild]]=select!$A$755,1,0)</f>
        <v>0</v>
      </c>
      <c r="T221" s="298">
        <f>IF(IF(Scharniere[[#This Row],[Anschrauben]]=1,1,IF(Scharniere[[#This Row],[Einpressen]]=1,2,IF(Scharniere[[#This Row],[Quick]]=1,3,IF(Scharniere[[#This Row],[Werkzeuglos]]=1,4,0))))=select!$A$769,1,0)</f>
        <v>0</v>
      </c>
      <c r="U2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1" s="359">
        <f>IF(AND(Scharniere[[#This Row],[Scharnierart]]=4,Scharniere[[#This Row],[Gruppenschlüssel]]=select!$A$981)=TRUE,1,0)</f>
        <v>0</v>
      </c>
      <c r="W221" s="359">
        <f ca="1">IF(select!$O$1185&lt;6,1,0)</f>
        <v>1</v>
      </c>
      <c r="X221" s="359">
        <f>IF(select!$A$1012=IF(Scharniere[[#This Row],[mit Dämpfung]]=1,1,IF(Scharniere[[#This Row],[ohne Dämpfung]]=1,2,IF(Scharniere[[#This Row],[ohne Feder]]=1,3,0))),1,0)</f>
        <v>1</v>
      </c>
      <c r="Y221" s="359">
        <f>IF(Scharniere[[#This Row],[Bohrbild]]=select!$A$989,1,0)</f>
        <v>0</v>
      </c>
      <c r="Z221" s="359">
        <f>IF(IF(Scharniere[[#This Row],[Anschrauben]]=1,1,IF(Scharniere[[#This Row],[Einpressen]]=1,2,IF(Scharniere[[#This Row],[Quick]]=1,3,IF(Scharniere[[#This Row],[Werkzeuglos]]=1,4,0))))=select!$A$1003,1,0)</f>
        <v>0</v>
      </c>
      <c r="AA2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1" s="359">
        <f ca="1">IF(select!$K$980="*",Scharniere[[#This Row],[AG Ges2]],Scharniere[[#This Row],[AG Ges1]])</f>
        <v>0</v>
      </c>
      <c r="AE221" s="451">
        <f ca="1">IF(AND(Scharniere[[#This Row],[Scharnierart]]=select!$A$1485,Scharniere[[#This Row],[Gruppenschlüssel]]=select!$B$1485)=TRUE,1,0)</f>
        <v>0</v>
      </c>
      <c r="AF221" s="451">
        <f ca="1">IF(AND(Scharniere[[#This Row],[Scharnierart]]=select!$A$1486,Scharniere[[#This Row],[Gruppenschlüssel]]=select!$B$1486)=TRUE,1,0)</f>
        <v>0</v>
      </c>
      <c r="AG221" s="451">
        <f ca="1">IF(AND(Scharniere[[#This Row],[Scharnierart]]=select!$A$1487,Scharniere[[#This Row],[Gruppenschlüssel]]=select!$B$1487)=TRUE,1,0)</f>
        <v>0</v>
      </c>
      <c r="AH221" s="451">
        <f ca="1">IF(AND(Scharniere[[#This Row],[Scharnierart]]=select!$A$1488,Scharniere[[#This Row],[Gruppenschlüssel]]=select!$B$1488)=TRUE,1,0)</f>
        <v>0</v>
      </c>
      <c r="AI221" s="451">
        <f ca="1">IF(SUM(Scharniere[[#This Row],[konf Scharnier 1]:[konf Scharnier 4]])&gt;0,1,0)</f>
        <v>0</v>
      </c>
      <c r="AJ221" s="451"/>
      <c r="AK221" s="451"/>
      <c r="AL221" s="451"/>
      <c r="AM221" s="451"/>
      <c r="AN221" s="451"/>
      <c r="AO221" s="146">
        <v>1</v>
      </c>
      <c r="AP221" s="146">
        <v>2</v>
      </c>
      <c r="AQ221" s="10" t="str">
        <f ca="1">Sprache!$A$110</f>
        <v>Tiomos Scharnier T Click-on</v>
      </c>
      <c r="AR221" t="str">
        <f ca="1">"120°, H-BB, K19, "&amp;Sprache!A181&amp;", ni"</f>
        <v>120°, H-BB, K19, Dübel, ni</v>
      </c>
      <c r="AS221" t="str">
        <f ca="1">Sprache!$A$103</f>
        <v>Tiomos Click-On Scharniere</v>
      </c>
      <c r="AT221">
        <v>19</v>
      </c>
      <c r="AU221" t="s">
        <v>10</v>
      </c>
      <c r="AV221">
        <v>120</v>
      </c>
      <c r="AW221" s="10">
        <v>0</v>
      </c>
      <c r="AX221">
        <v>1</v>
      </c>
      <c r="AY221">
        <v>0</v>
      </c>
      <c r="AZ221" s="10">
        <v>0</v>
      </c>
      <c r="BA221">
        <v>1</v>
      </c>
      <c r="BB221">
        <v>0</v>
      </c>
      <c r="BC221">
        <v>0</v>
      </c>
      <c r="BD221" s="143" t="s">
        <v>573</v>
      </c>
      <c r="BG221"/>
    </row>
    <row r="222" spans="1:59" ht="14.25" customHeight="1" x14ac:dyDescent="0.25">
      <c r="A222" s="37" t="str">
        <f>LEFT(Scharniere[[#This Row],[ArtikelNR]],4)</f>
        <v>F028</v>
      </c>
      <c r="B222" s="35" t="str">
        <f>MID(Scharniere[[#This Row],[ArtikelNR]],5,3)</f>
        <v>139</v>
      </c>
      <c r="C222" s="37" t="str">
        <f>RIGHT(Scharniere[[#This Row],[ArtikelNR]],3)</f>
        <v>023</v>
      </c>
      <c r="D222" s="35">
        <f>IF(AND(Scharniere[[#This Row],[Gruppenschlüssel]]=select!$A$44,Scharniere[[#This Row],[Scharnierart]]=1)=TRUE,1,0)</f>
        <v>0</v>
      </c>
      <c r="E2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2" s="35">
        <f>IF(select!$F$57=IF(Scharniere[[#This Row],[mit Dämpfung]]=1,1,IF(Scharniere[[#This Row],[ohne Dämpfung]]=1,2,IF(Scharniere[[#This Row],[ohne Feder]]=1,3,0))),1,0)</f>
        <v>0</v>
      </c>
      <c r="G222" s="35">
        <f>IF(Scharniere[[#This Row],[Bohrbild]]=select!$V$43,1,0)</f>
        <v>0</v>
      </c>
      <c r="H222" s="35">
        <f>IF(IF(Scharniere[[#This Row],[Anschrauben]]=1,1,IF(Scharniere[[#This Row],[Einpressen]]=1,2,IF(Scharniere[[#This Row],[Quick]]=1,3,IF(Scharniere[[#This Row],[Werkzeuglos]]=1,4,0))))=select!$F$48,1,0)</f>
        <v>1</v>
      </c>
      <c r="I2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2" s="149">
        <f>IF(AND(Scharniere[[#This Row],[Scharnierart]]=2,Scharniere[[#This Row],[Gruppenschlüssel]]=select!$A$318)=TRUE,1,0)</f>
        <v>0</v>
      </c>
      <c r="K222" s="221">
        <f ca="1">IF(select!$O$424&lt;6,1,0)</f>
        <v>1</v>
      </c>
      <c r="L222" s="139">
        <f>IF(select!$A$362=IF(Scharniere[[#This Row],[mit Dämpfung]]=1,1,IF(Scharniere[[#This Row],[ohne Dämpfung]]=1,2,IF(Scharniere[[#This Row],[ohne Feder]]=1,3,0))),1,0)</f>
        <v>1</v>
      </c>
      <c r="M222" s="135">
        <f>IF(Scharniere[[#This Row],[Bohrbild]]=select!$O$334,1,0)</f>
        <v>0</v>
      </c>
      <c r="N222" s="135">
        <f>IF(IF(Scharniere[[#This Row],[Anschrauben]]=1,1,IF(Scharniere[[#This Row],[Einpressen]]=1,2,IF(Scharniere[[#This Row],[Quick]]=1,3,IF(Scharniere[[#This Row],[Werkzeuglos]]=1,4,0))))=select!$E$362,1,0)</f>
        <v>0</v>
      </c>
      <c r="O2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2" s="298">
        <f>IF(AND(Scharniere[[#This Row],[Scharnierart]]=3,Scharniere[[#This Row],[Gruppenschlüssel]]=select!$A$747)=TRUE,1,0)</f>
        <v>0</v>
      </c>
      <c r="Q222" s="298">
        <f ca="1">IF(select!$O$945&lt;6,1,0)</f>
        <v>1</v>
      </c>
      <c r="R222" s="298">
        <f>IF(select!$A$778=IF(Scharniere[[#This Row],[mit Dämpfung]]=1,1,IF(Scharniere[[#This Row],[ohne Dämpfung]]=1,2,IF(Scharniere[[#This Row],[ohne Feder]]=1,3,0))),1,0)</f>
        <v>0</v>
      </c>
      <c r="S222" s="298">
        <f>IF(Scharniere[[#This Row],[Bohrbild]]=select!$A$755,1,0)</f>
        <v>0</v>
      </c>
      <c r="T222" s="298">
        <f>IF(IF(Scharniere[[#This Row],[Anschrauben]]=1,1,IF(Scharniere[[#This Row],[Einpressen]]=1,2,IF(Scharniere[[#This Row],[Quick]]=1,3,IF(Scharniere[[#This Row],[Werkzeuglos]]=1,4,0))))=select!$A$769,1,0)</f>
        <v>0</v>
      </c>
      <c r="U2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2" s="359">
        <f>IF(AND(Scharniere[[#This Row],[Scharnierart]]=4,Scharniere[[#This Row],[Gruppenschlüssel]]=select!$A$981)=TRUE,1,0)</f>
        <v>0</v>
      </c>
      <c r="W222" s="359">
        <f ca="1">IF(select!$O$1185&lt;6,1,0)</f>
        <v>1</v>
      </c>
      <c r="X222" s="359">
        <f>IF(select!$A$1012=IF(Scharniere[[#This Row],[mit Dämpfung]]=1,1,IF(Scharniere[[#This Row],[ohne Dämpfung]]=1,2,IF(Scharniere[[#This Row],[ohne Feder]]=1,3,0))),1,0)</f>
        <v>0</v>
      </c>
      <c r="Y222" s="359">
        <f>IF(Scharniere[[#This Row],[Bohrbild]]=select!$A$989,1,0)</f>
        <v>0</v>
      </c>
      <c r="Z222" s="359">
        <f>IF(IF(Scharniere[[#This Row],[Anschrauben]]=1,1,IF(Scharniere[[#This Row],[Einpressen]]=1,2,IF(Scharniere[[#This Row],[Quick]]=1,3,IF(Scharniere[[#This Row],[Werkzeuglos]]=1,4,0))))=select!$A$1003,1,0)</f>
        <v>0</v>
      </c>
      <c r="AA2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2" s="359">
        <f ca="1">IF(select!$K$980="*",Scharniere[[#This Row],[AG Ges2]],Scharniere[[#This Row],[AG Ges1]])</f>
        <v>0</v>
      </c>
      <c r="AE222" s="451">
        <f ca="1">IF(AND(Scharniere[[#This Row],[Scharnierart]]=select!$A$1485,Scharniere[[#This Row],[Gruppenschlüssel]]=select!$B$1485)=TRUE,1,0)</f>
        <v>0</v>
      </c>
      <c r="AF222" s="451">
        <f ca="1">IF(AND(Scharniere[[#This Row],[Scharnierart]]=select!$A$1486,Scharniere[[#This Row],[Gruppenschlüssel]]=select!$B$1486)=TRUE,1,0)</f>
        <v>0</v>
      </c>
      <c r="AG222" s="451">
        <f ca="1">IF(AND(Scharniere[[#This Row],[Scharnierart]]=select!$A$1487,Scharniere[[#This Row],[Gruppenschlüssel]]=select!$B$1487)=TRUE,1,0)</f>
        <v>0</v>
      </c>
      <c r="AH222" s="451">
        <f ca="1">IF(AND(Scharniere[[#This Row],[Scharnierart]]=select!$A$1488,Scharniere[[#This Row],[Gruppenschlüssel]]=select!$B$1488)=TRUE,1,0)</f>
        <v>0</v>
      </c>
      <c r="AI222" s="451">
        <f ca="1">IF(SUM(Scharniere[[#This Row],[konf Scharnier 1]:[konf Scharnier 4]])&gt;0,1,0)</f>
        <v>0</v>
      </c>
      <c r="AJ222" s="451"/>
      <c r="AK222" s="451"/>
      <c r="AL222" s="451"/>
      <c r="AM222" s="451"/>
      <c r="AN222" s="451"/>
      <c r="AO222" s="146">
        <v>1</v>
      </c>
      <c r="AP222" s="146">
        <v>2</v>
      </c>
      <c r="AQ222" s="10" t="str">
        <f ca="1">Sprache!$A$112</f>
        <v>Tiomos Scharnier TS Click-on</v>
      </c>
      <c r="AR222" t="str">
        <f ca="1">"120°, H-BB, K19, "&amp;Sprache!A181&amp;", ni"</f>
        <v>120°, H-BB, K19, Dübel, ni</v>
      </c>
      <c r="AS222" t="str">
        <f ca="1">Sprache!$A$103</f>
        <v>Tiomos Click-On Scharniere</v>
      </c>
      <c r="AT222">
        <v>19</v>
      </c>
      <c r="AU222" t="s">
        <v>10</v>
      </c>
      <c r="AV222">
        <v>120</v>
      </c>
      <c r="AW222" s="10">
        <v>1</v>
      </c>
      <c r="AX222">
        <v>0</v>
      </c>
      <c r="AY222">
        <v>0</v>
      </c>
      <c r="AZ222" s="10">
        <v>0</v>
      </c>
      <c r="BA222">
        <v>1</v>
      </c>
      <c r="BB222">
        <v>0</v>
      </c>
      <c r="BC222">
        <v>0</v>
      </c>
      <c r="BD222" s="143" t="s">
        <v>422</v>
      </c>
      <c r="BG222"/>
    </row>
    <row r="223" spans="1:59" ht="14.25" customHeight="1" x14ac:dyDescent="0.25">
      <c r="A223" s="37" t="str">
        <f>LEFT(Scharniere[[#This Row],[ArtikelNR]],4)</f>
        <v>F045</v>
      </c>
      <c r="B223" s="35" t="str">
        <f>MID(Scharniere[[#This Row],[ArtikelNR]],5,3)</f>
        <v>139</v>
      </c>
      <c r="C223" s="37" t="str">
        <f>RIGHT(Scharniere[[#This Row],[ArtikelNR]],3)</f>
        <v>024</v>
      </c>
      <c r="D223" s="35">
        <f>IF(AND(Scharniere[[#This Row],[Gruppenschlüssel]]=select!$A$44,Scharniere[[#This Row],[Scharnierart]]=1)=TRUE,1,0)</f>
        <v>0</v>
      </c>
      <c r="E2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3" s="35">
        <f>IF(select!$F$57=IF(Scharniere[[#This Row],[mit Dämpfung]]=1,1,IF(Scharniere[[#This Row],[ohne Dämpfung]]=1,2,IF(Scharniere[[#This Row],[ohne Feder]]=1,3,0))),1,0)</f>
        <v>0</v>
      </c>
      <c r="G223" s="35">
        <f>IF(Scharniere[[#This Row],[Bohrbild]]=select!$V$43,1,0)</f>
        <v>0</v>
      </c>
      <c r="H223" s="35">
        <f>IF(IF(Scharniere[[#This Row],[Anschrauben]]=1,1,IF(Scharniere[[#This Row],[Einpressen]]=1,2,IF(Scharniere[[#This Row],[Quick]]=1,3,IF(Scharniere[[#This Row],[Werkzeuglos]]=1,4,0))))=select!$F$48,1,0)</f>
        <v>0</v>
      </c>
      <c r="I2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3" s="149">
        <f>IF(AND(Scharniere[[#This Row],[Scharnierart]]=2,Scharniere[[#This Row],[Gruppenschlüssel]]=select!$A$318)=TRUE,1,0)</f>
        <v>0</v>
      </c>
      <c r="K223" s="221">
        <f ca="1">IF(select!$O$424&lt;6,1,0)</f>
        <v>1</v>
      </c>
      <c r="L223" s="139">
        <f>IF(select!$A$362=IF(Scharniere[[#This Row],[mit Dämpfung]]=1,1,IF(Scharniere[[#This Row],[ohne Dämpfung]]=1,2,IF(Scharniere[[#This Row],[ohne Feder]]=1,3,0))),1,0)</f>
        <v>0</v>
      </c>
      <c r="M223" s="135">
        <f>IF(Scharniere[[#This Row],[Bohrbild]]=select!$O$334,1,0)</f>
        <v>0</v>
      </c>
      <c r="N223" s="135">
        <f>IF(IF(Scharniere[[#This Row],[Anschrauben]]=1,1,IF(Scharniere[[#This Row],[Einpressen]]=1,2,IF(Scharniere[[#This Row],[Quick]]=1,3,IF(Scharniere[[#This Row],[Werkzeuglos]]=1,4,0))))=select!$E$362,1,0)</f>
        <v>1</v>
      </c>
      <c r="O2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3" s="298">
        <f>IF(AND(Scharniere[[#This Row],[Scharnierart]]=3,Scharniere[[#This Row],[Gruppenschlüssel]]=select!$A$747)=TRUE,1,0)</f>
        <v>0</v>
      </c>
      <c r="Q223" s="298">
        <f ca="1">IF(select!$O$945&lt;6,1,0)</f>
        <v>1</v>
      </c>
      <c r="R223" s="298">
        <f>IF(select!$A$778=IF(Scharniere[[#This Row],[mit Dämpfung]]=1,1,IF(Scharniere[[#This Row],[ohne Dämpfung]]=1,2,IF(Scharniere[[#This Row],[ohne Feder]]=1,3,0))),1,0)</f>
        <v>1</v>
      </c>
      <c r="S223" s="298">
        <f>IF(Scharniere[[#This Row],[Bohrbild]]=select!$A$755,1,0)</f>
        <v>0</v>
      </c>
      <c r="T223" s="298">
        <f>IF(IF(Scharniere[[#This Row],[Anschrauben]]=1,1,IF(Scharniere[[#This Row],[Einpressen]]=1,2,IF(Scharniere[[#This Row],[Quick]]=1,3,IF(Scharniere[[#This Row],[Werkzeuglos]]=1,4,0))))=select!$A$769,1,0)</f>
        <v>1</v>
      </c>
      <c r="U2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3" s="359">
        <f>IF(AND(Scharniere[[#This Row],[Scharnierart]]=4,Scharniere[[#This Row],[Gruppenschlüssel]]=select!$A$981)=TRUE,1,0)</f>
        <v>0</v>
      </c>
      <c r="W223" s="359">
        <f ca="1">IF(select!$O$1185&lt;6,1,0)</f>
        <v>1</v>
      </c>
      <c r="X223" s="359">
        <f>IF(select!$A$1012=IF(Scharniere[[#This Row],[mit Dämpfung]]=1,1,IF(Scharniere[[#This Row],[ohne Dämpfung]]=1,2,IF(Scharniere[[#This Row],[ohne Feder]]=1,3,0))),1,0)</f>
        <v>1</v>
      </c>
      <c r="Y223" s="359">
        <f>IF(Scharniere[[#This Row],[Bohrbild]]=select!$A$989,1,0)</f>
        <v>0</v>
      </c>
      <c r="Z223" s="359">
        <f>IF(IF(Scharniere[[#This Row],[Anschrauben]]=1,1,IF(Scharniere[[#This Row],[Einpressen]]=1,2,IF(Scharniere[[#This Row],[Quick]]=1,3,IF(Scharniere[[#This Row],[Werkzeuglos]]=1,4,0))))=select!$A$1003,1,0)</f>
        <v>1</v>
      </c>
      <c r="AA2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3" s="359">
        <f ca="1">IF(select!$K$980="*",Scharniere[[#This Row],[AG Ges2]],Scharniere[[#This Row],[AG Ges1]])</f>
        <v>0</v>
      </c>
      <c r="AE223" s="451">
        <f ca="1">IF(AND(Scharniere[[#This Row],[Scharnierart]]=select!$A$1485,Scharniere[[#This Row],[Gruppenschlüssel]]=select!$B$1485)=TRUE,1,0)</f>
        <v>0</v>
      </c>
      <c r="AF223" s="451">
        <f ca="1">IF(AND(Scharniere[[#This Row],[Scharnierart]]=select!$A$1486,Scharniere[[#This Row],[Gruppenschlüssel]]=select!$B$1486)=TRUE,1,0)</f>
        <v>0</v>
      </c>
      <c r="AG223" s="451">
        <f ca="1">IF(AND(Scharniere[[#This Row],[Scharnierart]]=select!$A$1487,Scharniere[[#This Row],[Gruppenschlüssel]]=select!$B$1487)=TRUE,1,0)</f>
        <v>0</v>
      </c>
      <c r="AH223" s="451">
        <f ca="1">IF(AND(Scharniere[[#This Row],[Scharnierart]]=select!$A$1488,Scharniere[[#This Row],[Gruppenschlüssel]]=select!$B$1488)=TRUE,1,0)</f>
        <v>0</v>
      </c>
      <c r="AI223" s="451">
        <f ca="1">IF(SUM(Scharniere[[#This Row],[konf Scharnier 1]:[konf Scharnier 4]])&gt;0,1,0)</f>
        <v>0</v>
      </c>
      <c r="AJ223" s="451"/>
      <c r="AK223" s="451"/>
      <c r="AL223" s="451"/>
      <c r="AM223" s="451"/>
      <c r="AN223" s="451"/>
      <c r="AO223" s="146">
        <v>1</v>
      </c>
      <c r="AP223" s="146">
        <v>2</v>
      </c>
      <c r="AQ223" s="10" t="str">
        <f ca="1">Sprache!$A$110</f>
        <v>Tiomos Scharnier T Click-on</v>
      </c>
      <c r="AR223" t="s">
        <v>421</v>
      </c>
      <c r="AS223" t="str">
        <f ca="1">Sprache!$A$103</f>
        <v>Tiomos Click-On Scharniere</v>
      </c>
      <c r="AT223">
        <v>19</v>
      </c>
      <c r="AU223" s="34" t="s">
        <v>10</v>
      </c>
      <c r="AV223">
        <v>120</v>
      </c>
      <c r="AW223" s="10">
        <v>0</v>
      </c>
      <c r="AX223">
        <v>1</v>
      </c>
      <c r="AY223">
        <v>0</v>
      </c>
      <c r="AZ223" s="10">
        <v>1</v>
      </c>
      <c r="BA223">
        <v>0</v>
      </c>
      <c r="BB223">
        <v>0</v>
      </c>
      <c r="BC223">
        <v>0</v>
      </c>
      <c r="BD223" s="143" t="s">
        <v>572</v>
      </c>
      <c r="BG223"/>
    </row>
    <row r="224" spans="1:59" ht="14.25" customHeight="1" x14ac:dyDescent="0.25">
      <c r="A224" s="37" t="str">
        <f>LEFT(Scharniere[[#This Row],[ArtikelNR]],4)</f>
        <v>F028</v>
      </c>
      <c r="B224" s="35" t="str">
        <f>MID(Scharniere[[#This Row],[ArtikelNR]],5,3)</f>
        <v>139</v>
      </c>
      <c r="C224" s="37" t="str">
        <f>RIGHT(Scharniere[[#This Row],[ArtikelNR]],3)</f>
        <v>022</v>
      </c>
      <c r="D224" s="35">
        <f>IF(AND(Scharniere[[#This Row],[Gruppenschlüssel]]=select!$A$44,Scharniere[[#This Row],[Scharnierart]]=1)=TRUE,1,0)</f>
        <v>0</v>
      </c>
      <c r="E2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4" s="35">
        <f>IF(select!$F$57=IF(Scharniere[[#This Row],[mit Dämpfung]]=1,1,IF(Scharniere[[#This Row],[ohne Dämpfung]]=1,2,IF(Scharniere[[#This Row],[ohne Feder]]=1,3,0))),1,0)</f>
        <v>0</v>
      </c>
      <c r="G224" s="35">
        <f>IF(Scharniere[[#This Row],[Bohrbild]]=select!$V$43,1,0)</f>
        <v>0</v>
      </c>
      <c r="H224" s="35">
        <f>IF(IF(Scharniere[[#This Row],[Anschrauben]]=1,1,IF(Scharniere[[#This Row],[Einpressen]]=1,2,IF(Scharniere[[#This Row],[Quick]]=1,3,IF(Scharniere[[#This Row],[Werkzeuglos]]=1,4,0))))=select!$F$48,1,0)</f>
        <v>0</v>
      </c>
      <c r="I2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4" s="149">
        <f>IF(AND(Scharniere[[#This Row],[Scharnierart]]=2,Scharniere[[#This Row],[Gruppenschlüssel]]=select!$A$318)=TRUE,1,0)</f>
        <v>0</v>
      </c>
      <c r="K224" s="221">
        <f ca="1">IF(select!$O$424&lt;6,1,0)</f>
        <v>1</v>
      </c>
      <c r="L224" s="139">
        <f>IF(select!$A$362=IF(Scharniere[[#This Row],[mit Dämpfung]]=1,1,IF(Scharniere[[#This Row],[ohne Dämpfung]]=1,2,IF(Scharniere[[#This Row],[ohne Feder]]=1,3,0))),1,0)</f>
        <v>1</v>
      </c>
      <c r="M224" s="135">
        <f>IF(Scharniere[[#This Row],[Bohrbild]]=select!$O$334,1,0)</f>
        <v>0</v>
      </c>
      <c r="N224" s="135">
        <f>IF(IF(Scharniere[[#This Row],[Anschrauben]]=1,1,IF(Scharniere[[#This Row],[Einpressen]]=1,2,IF(Scharniere[[#This Row],[Quick]]=1,3,IF(Scharniere[[#This Row],[Werkzeuglos]]=1,4,0))))=select!$E$362,1,0)</f>
        <v>1</v>
      </c>
      <c r="O2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4" s="298">
        <f>IF(AND(Scharniere[[#This Row],[Scharnierart]]=3,Scharniere[[#This Row],[Gruppenschlüssel]]=select!$A$747)=TRUE,1,0)</f>
        <v>0</v>
      </c>
      <c r="Q224" s="298">
        <f ca="1">IF(select!$O$945&lt;6,1,0)</f>
        <v>1</v>
      </c>
      <c r="R224" s="298">
        <f>IF(select!$A$778=IF(Scharniere[[#This Row],[mit Dämpfung]]=1,1,IF(Scharniere[[#This Row],[ohne Dämpfung]]=1,2,IF(Scharniere[[#This Row],[ohne Feder]]=1,3,0))),1,0)</f>
        <v>0</v>
      </c>
      <c r="S224" s="298">
        <f>IF(Scharniere[[#This Row],[Bohrbild]]=select!$A$755,1,0)</f>
        <v>0</v>
      </c>
      <c r="T224" s="298">
        <f>IF(IF(Scharniere[[#This Row],[Anschrauben]]=1,1,IF(Scharniere[[#This Row],[Einpressen]]=1,2,IF(Scharniere[[#This Row],[Quick]]=1,3,IF(Scharniere[[#This Row],[Werkzeuglos]]=1,4,0))))=select!$A$769,1,0)</f>
        <v>1</v>
      </c>
      <c r="U2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4" s="359">
        <f>IF(AND(Scharniere[[#This Row],[Scharnierart]]=4,Scharniere[[#This Row],[Gruppenschlüssel]]=select!$A$981)=TRUE,1,0)</f>
        <v>0</v>
      </c>
      <c r="W224" s="359">
        <f ca="1">IF(select!$O$1185&lt;6,1,0)</f>
        <v>1</v>
      </c>
      <c r="X224" s="359">
        <f>IF(select!$A$1012=IF(Scharniere[[#This Row],[mit Dämpfung]]=1,1,IF(Scharniere[[#This Row],[ohne Dämpfung]]=1,2,IF(Scharniere[[#This Row],[ohne Feder]]=1,3,0))),1,0)</f>
        <v>0</v>
      </c>
      <c r="Y224" s="359">
        <f>IF(Scharniere[[#This Row],[Bohrbild]]=select!$A$989,1,0)</f>
        <v>0</v>
      </c>
      <c r="Z224" s="359">
        <f>IF(IF(Scharniere[[#This Row],[Anschrauben]]=1,1,IF(Scharniere[[#This Row],[Einpressen]]=1,2,IF(Scharniere[[#This Row],[Quick]]=1,3,IF(Scharniere[[#This Row],[Werkzeuglos]]=1,4,0))))=select!$A$1003,1,0)</f>
        <v>1</v>
      </c>
      <c r="AA2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4" s="359">
        <f ca="1">IF(select!$K$980="*",Scharniere[[#This Row],[AG Ges2]],Scharniere[[#This Row],[AG Ges1]])</f>
        <v>0</v>
      </c>
      <c r="AE224" s="451">
        <f ca="1">IF(AND(Scharniere[[#This Row],[Scharnierart]]=select!$A$1485,Scharniere[[#This Row],[Gruppenschlüssel]]=select!$B$1485)=TRUE,1,0)</f>
        <v>0</v>
      </c>
      <c r="AF224" s="451">
        <f ca="1">IF(AND(Scharniere[[#This Row],[Scharnierart]]=select!$A$1486,Scharniere[[#This Row],[Gruppenschlüssel]]=select!$B$1486)=TRUE,1,0)</f>
        <v>0</v>
      </c>
      <c r="AG224" s="451">
        <f ca="1">IF(AND(Scharniere[[#This Row],[Scharnierart]]=select!$A$1487,Scharniere[[#This Row],[Gruppenschlüssel]]=select!$B$1487)=TRUE,1,0)</f>
        <v>0</v>
      </c>
      <c r="AH224" s="451">
        <f ca="1">IF(AND(Scharniere[[#This Row],[Scharnierart]]=select!$A$1488,Scharniere[[#This Row],[Gruppenschlüssel]]=select!$B$1488)=TRUE,1,0)</f>
        <v>0</v>
      </c>
      <c r="AI224" s="451">
        <f ca="1">IF(SUM(Scharniere[[#This Row],[konf Scharnier 1]:[konf Scharnier 4]])&gt;0,1,0)</f>
        <v>0</v>
      </c>
      <c r="AJ224" s="451"/>
      <c r="AK224" s="451"/>
      <c r="AL224" s="451"/>
      <c r="AM224" s="451"/>
      <c r="AN224" s="451"/>
      <c r="AO224" s="146">
        <v>1</v>
      </c>
      <c r="AP224" s="146">
        <v>2</v>
      </c>
      <c r="AQ224" s="10" t="str">
        <f ca="1">Sprache!$A$112</f>
        <v>Tiomos Scharnier TS Click-on</v>
      </c>
      <c r="AR224" t="s">
        <v>421</v>
      </c>
      <c r="AS224" t="str">
        <f ca="1">Sprache!$A$103</f>
        <v>Tiomos Click-On Scharniere</v>
      </c>
      <c r="AT224">
        <v>19</v>
      </c>
      <c r="AU224" t="s">
        <v>10</v>
      </c>
      <c r="AV224">
        <v>120</v>
      </c>
      <c r="AW224" s="10">
        <v>1</v>
      </c>
      <c r="AX224">
        <v>0</v>
      </c>
      <c r="AY224">
        <v>0</v>
      </c>
      <c r="AZ224" s="10">
        <v>1</v>
      </c>
      <c r="BA224">
        <v>0</v>
      </c>
      <c r="BB224">
        <v>0</v>
      </c>
      <c r="BC224">
        <v>0</v>
      </c>
      <c r="BD224" s="143" t="s">
        <v>420</v>
      </c>
      <c r="BG224"/>
    </row>
    <row r="225" spans="1:59" ht="14.25" customHeight="1" x14ac:dyDescent="0.25">
      <c r="A225" s="37" t="str">
        <f>LEFT(Scharniere[[#This Row],[ArtikelNR]],4)</f>
        <v>F046</v>
      </c>
      <c r="B225" s="35" t="str">
        <f>MID(Scharniere[[#This Row],[ArtikelNR]],5,3)</f>
        <v>139</v>
      </c>
      <c r="C225" s="37" t="str">
        <f>RIGHT(Scharniere[[#This Row],[ArtikelNR]],3)</f>
        <v>026</v>
      </c>
      <c r="D225" s="35">
        <f>IF(AND(Scharniere[[#This Row],[Gruppenschlüssel]]=select!$A$44,Scharniere[[#This Row],[Scharnierart]]=1)=TRUE,1,0)</f>
        <v>0</v>
      </c>
      <c r="E2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5" s="35">
        <f>IF(select!$F$57=IF(Scharniere[[#This Row],[mit Dämpfung]]=1,1,IF(Scharniere[[#This Row],[ohne Dämpfung]]=1,2,IF(Scharniere[[#This Row],[ohne Feder]]=1,3,0))),1,0)</f>
        <v>1</v>
      </c>
      <c r="G225" s="35">
        <f>IF(Scharniere[[#This Row],[Bohrbild]]=select!$V$43,1,0)</f>
        <v>0</v>
      </c>
      <c r="H225" s="35">
        <f>IF(IF(Scharniere[[#This Row],[Anschrauben]]=1,1,IF(Scharniere[[#This Row],[Einpressen]]=1,2,IF(Scharniere[[#This Row],[Quick]]=1,3,IF(Scharniere[[#This Row],[Werkzeuglos]]=1,4,0))))=select!$F$48,1,0)</f>
        <v>0</v>
      </c>
      <c r="I2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5" s="149">
        <f>IF(AND(Scharniere[[#This Row],[Scharnierart]]=2,Scharniere[[#This Row],[Gruppenschlüssel]]=select!$A$318)=TRUE,1,0)</f>
        <v>0</v>
      </c>
      <c r="K225" s="221">
        <f ca="1">IF(select!$O$424&lt;6,1,0)</f>
        <v>1</v>
      </c>
      <c r="L225" s="139">
        <f>IF(select!$A$362=IF(Scharniere[[#This Row],[mit Dämpfung]]=1,1,IF(Scharniere[[#This Row],[ohne Dämpfung]]=1,2,IF(Scharniere[[#This Row],[ohne Feder]]=1,3,0))),1,0)</f>
        <v>0</v>
      </c>
      <c r="M225" s="135">
        <f>IF(Scharniere[[#This Row],[Bohrbild]]=select!$O$334,1,0)</f>
        <v>0</v>
      </c>
      <c r="N225" s="135">
        <f>IF(IF(Scharniere[[#This Row],[Anschrauben]]=1,1,IF(Scharniere[[#This Row],[Einpressen]]=1,2,IF(Scharniere[[#This Row],[Quick]]=1,3,IF(Scharniere[[#This Row],[Werkzeuglos]]=1,4,0))))=select!$E$362,1,0)</f>
        <v>1</v>
      </c>
      <c r="O2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5" s="298">
        <f>IF(AND(Scharniere[[#This Row],[Scharnierart]]=3,Scharniere[[#This Row],[Gruppenschlüssel]]=select!$A$747)=TRUE,1,0)</f>
        <v>0</v>
      </c>
      <c r="Q225" s="298">
        <f ca="1">IF(select!$O$945&lt;6,1,0)</f>
        <v>1</v>
      </c>
      <c r="R225" s="298">
        <f>IF(select!$A$778=IF(Scharniere[[#This Row],[mit Dämpfung]]=1,1,IF(Scharniere[[#This Row],[ohne Dämpfung]]=1,2,IF(Scharniere[[#This Row],[ohne Feder]]=1,3,0))),1,0)</f>
        <v>0</v>
      </c>
      <c r="S225" s="298">
        <f>IF(Scharniere[[#This Row],[Bohrbild]]=select!$A$755,1,0)</f>
        <v>0</v>
      </c>
      <c r="T225" s="298">
        <f>IF(IF(Scharniere[[#This Row],[Anschrauben]]=1,1,IF(Scharniere[[#This Row],[Einpressen]]=1,2,IF(Scharniere[[#This Row],[Quick]]=1,3,IF(Scharniere[[#This Row],[Werkzeuglos]]=1,4,0))))=select!$A$769,1,0)</f>
        <v>1</v>
      </c>
      <c r="U2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5" s="359">
        <f>IF(AND(Scharniere[[#This Row],[Scharnierart]]=4,Scharniere[[#This Row],[Gruppenschlüssel]]=select!$A$981)=TRUE,1,0)</f>
        <v>0</v>
      </c>
      <c r="W225" s="359">
        <f ca="1">IF(select!$O$1185&lt;6,1,0)</f>
        <v>1</v>
      </c>
      <c r="X225" s="359">
        <f>IF(select!$A$1012=IF(Scharniere[[#This Row],[mit Dämpfung]]=1,1,IF(Scharniere[[#This Row],[ohne Dämpfung]]=1,2,IF(Scharniere[[#This Row],[ohne Feder]]=1,3,0))),1,0)</f>
        <v>0</v>
      </c>
      <c r="Y225" s="359">
        <f>IF(Scharniere[[#This Row],[Bohrbild]]=select!$A$989,1,0)</f>
        <v>0</v>
      </c>
      <c r="Z225" s="359">
        <f>IF(IF(Scharniere[[#This Row],[Anschrauben]]=1,1,IF(Scharniere[[#This Row],[Einpressen]]=1,2,IF(Scharniere[[#This Row],[Quick]]=1,3,IF(Scharniere[[#This Row],[Werkzeuglos]]=1,4,0))))=select!$A$1003,1,0)</f>
        <v>1</v>
      </c>
      <c r="AA2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5" s="359">
        <f ca="1">IF(select!$K$980="*",Scharniere[[#This Row],[AG Ges2]],Scharniere[[#This Row],[AG Ges1]])</f>
        <v>0</v>
      </c>
      <c r="AE225" s="451">
        <f ca="1">IF(AND(Scharniere[[#This Row],[Scharnierart]]=select!$A$1485,Scharniere[[#This Row],[Gruppenschlüssel]]=select!$B$1485)=TRUE,1,0)</f>
        <v>0</v>
      </c>
      <c r="AF225" s="451">
        <f ca="1">IF(AND(Scharniere[[#This Row],[Scharnierart]]=select!$A$1486,Scharniere[[#This Row],[Gruppenschlüssel]]=select!$B$1486)=TRUE,1,0)</f>
        <v>0</v>
      </c>
      <c r="AG225" s="451">
        <f ca="1">IF(AND(Scharniere[[#This Row],[Scharnierart]]=select!$A$1487,Scharniere[[#This Row],[Gruppenschlüssel]]=select!$B$1487)=TRUE,1,0)</f>
        <v>0</v>
      </c>
      <c r="AH225" s="451">
        <f ca="1">IF(AND(Scharniere[[#This Row],[Scharnierart]]=select!$A$1488,Scharniere[[#This Row],[Gruppenschlüssel]]=select!$B$1488)=TRUE,1,0)</f>
        <v>0</v>
      </c>
      <c r="AI225" s="451">
        <f ca="1">IF(SUM(Scharniere[[#This Row],[konf Scharnier 1]:[konf Scharnier 4]])&gt;0,1,0)</f>
        <v>0</v>
      </c>
      <c r="AJ225" s="451"/>
      <c r="AK225" s="451"/>
      <c r="AL225" s="451"/>
      <c r="AM225" s="451"/>
      <c r="AN225" s="451"/>
      <c r="AO225" s="146">
        <v>1</v>
      </c>
      <c r="AP225" s="146">
        <v>2</v>
      </c>
      <c r="AQ225" s="10" t="str">
        <f ca="1">Sprache!$A$114</f>
        <v>Tiomos Scharnier TT Click-on</v>
      </c>
      <c r="AR225" t="s">
        <v>421</v>
      </c>
      <c r="AS225" t="str">
        <f ca="1">Sprache!$A$103</f>
        <v>Tiomos Click-On Scharniere</v>
      </c>
      <c r="AT225">
        <v>19</v>
      </c>
      <c r="AU225" t="s">
        <v>10</v>
      </c>
      <c r="AV225">
        <v>120</v>
      </c>
      <c r="AW225" s="10">
        <v>0</v>
      </c>
      <c r="AX225">
        <v>0</v>
      </c>
      <c r="AY225">
        <v>1</v>
      </c>
      <c r="AZ225" s="10">
        <v>1</v>
      </c>
      <c r="BA225">
        <v>0</v>
      </c>
      <c r="BB225">
        <v>0</v>
      </c>
      <c r="BC225">
        <v>0</v>
      </c>
      <c r="BD225" s="143" t="s">
        <v>723</v>
      </c>
      <c r="BG225"/>
    </row>
    <row r="226" spans="1:59" ht="14.25" customHeight="1" x14ac:dyDescent="0.25">
      <c r="A226" s="37" t="str">
        <f>LEFT(Scharniere[[#This Row],[ArtikelNR]],4)</f>
        <v>F034</v>
      </c>
      <c r="B226" s="35" t="str">
        <f>MID(Scharniere[[#This Row],[ArtikelNR]],5,3)</f>
        <v>139</v>
      </c>
      <c r="C226" s="37" t="str">
        <f>RIGHT(Scharniere[[#This Row],[ArtikelNR]],3)</f>
        <v>556</v>
      </c>
      <c r="D226" s="35">
        <f>IF(AND(Scharniere[[#This Row],[Gruppenschlüssel]]=select!$A$44,Scharniere[[#This Row],[Scharnierart]]=1)=TRUE,1,0)</f>
        <v>0</v>
      </c>
      <c r="E2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6" s="35">
        <f>IF(select!$F$57=IF(Scharniere[[#This Row],[mit Dämpfung]]=1,1,IF(Scharniere[[#This Row],[ohne Dämpfung]]=1,2,IF(Scharniere[[#This Row],[ohne Feder]]=1,3,0))),1,0)</f>
        <v>0</v>
      </c>
      <c r="G226" s="35">
        <f>IF(Scharniere[[#This Row],[Bohrbild]]=select!$V$43,1,0)</f>
        <v>0</v>
      </c>
      <c r="H226" s="35">
        <f>IF(IF(Scharniere[[#This Row],[Anschrauben]]=1,1,IF(Scharniere[[#This Row],[Einpressen]]=1,2,IF(Scharniere[[#This Row],[Quick]]=1,3,IF(Scharniere[[#This Row],[Werkzeuglos]]=1,4,0))))=select!$F$48,1,0)</f>
        <v>0</v>
      </c>
      <c r="I2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6" s="149">
        <f>IF(AND(Scharniere[[#This Row],[Scharnierart]]=2,Scharniere[[#This Row],[Gruppenschlüssel]]=select!$A$318)=TRUE,1,0)</f>
        <v>0</v>
      </c>
      <c r="K226" s="221">
        <f ca="1">IF(select!$O$424&lt;6,1,0)</f>
        <v>1</v>
      </c>
      <c r="L226" s="139">
        <f>IF(select!$A$362=IF(Scharniere[[#This Row],[mit Dämpfung]]=1,1,IF(Scharniere[[#This Row],[ohne Dämpfung]]=1,2,IF(Scharniere[[#This Row],[ohne Feder]]=1,3,0))),1,0)</f>
        <v>0</v>
      </c>
      <c r="M226" s="135">
        <f>IF(Scharniere[[#This Row],[Bohrbild]]=select!$O$334,1,0)</f>
        <v>0</v>
      </c>
      <c r="N226" s="135">
        <f>IF(IF(Scharniere[[#This Row],[Anschrauben]]=1,1,IF(Scharniere[[#This Row],[Einpressen]]=1,2,IF(Scharniere[[#This Row],[Quick]]=1,3,IF(Scharniere[[#This Row],[Werkzeuglos]]=1,4,0))))=select!$E$362,1,0)</f>
        <v>0</v>
      </c>
      <c r="O2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6" s="298">
        <f>IF(AND(Scharniere[[#This Row],[Scharnierart]]=3,Scharniere[[#This Row],[Gruppenschlüssel]]=select!$A$747)=TRUE,1,0)</f>
        <v>0</v>
      </c>
      <c r="Q226" s="298">
        <f ca="1">IF(select!$O$945&lt;6,1,0)</f>
        <v>1</v>
      </c>
      <c r="R226" s="298">
        <f>IF(select!$A$778=IF(Scharniere[[#This Row],[mit Dämpfung]]=1,1,IF(Scharniere[[#This Row],[ohne Dämpfung]]=1,2,IF(Scharniere[[#This Row],[ohne Feder]]=1,3,0))),1,0)</f>
        <v>1</v>
      </c>
      <c r="S226" s="298">
        <f>IF(Scharniere[[#This Row],[Bohrbild]]=select!$A$755,1,0)</f>
        <v>0</v>
      </c>
      <c r="T226" s="298">
        <f>IF(IF(Scharniere[[#This Row],[Anschrauben]]=1,1,IF(Scharniere[[#This Row],[Einpressen]]=1,2,IF(Scharniere[[#This Row],[Quick]]=1,3,IF(Scharniere[[#This Row],[Werkzeuglos]]=1,4,0))))=select!$A$769,1,0)</f>
        <v>0</v>
      </c>
      <c r="U2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6" s="359">
        <f>IF(AND(Scharniere[[#This Row],[Scharnierart]]=4,Scharniere[[#This Row],[Gruppenschlüssel]]=select!$A$981)=TRUE,1,0)</f>
        <v>0</v>
      </c>
      <c r="W226" s="359">
        <f ca="1">IF(select!$O$1185&lt;6,1,0)</f>
        <v>1</v>
      </c>
      <c r="X226" s="359">
        <f>IF(select!$A$1012=IF(Scharniere[[#This Row],[mit Dämpfung]]=1,1,IF(Scharniere[[#This Row],[ohne Dämpfung]]=1,2,IF(Scharniere[[#This Row],[ohne Feder]]=1,3,0))),1,0)</f>
        <v>1</v>
      </c>
      <c r="Y226" s="359">
        <f>IF(Scharniere[[#This Row],[Bohrbild]]=select!$A$989,1,0)</f>
        <v>0</v>
      </c>
      <c r="Z226" s="359">
        <f>IF(IF(Scharniere[[#This Row],[Anschrauben]]=1,1,IF(Scharniere[[#This Row],[Einpressen]]=1,2,IF(Scharniere[[#This Row],[Quick]]=1,3,IF(Scharniere[[#This Row],[Werkzeuglos]]=1,4,0))))=select!$A$1003,1,0)</f>
        <v>0</v>
      </c>
      <c r="AA2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6" s="359">
        <f ca="1">IF(select!$K$980="*",Scharniere[[#This Row],[AG Ges2]],Scharniere[[#This Row],[AG Ges1]])</f>
        <v>0</v>
      </c>
      <c r="AE226" s="451">
        <f ca="1">IF(AND(Scharniere[[#This Row],[Scharnierart]]=select!$A$1485,Scharniere[[#This Row],[Gruppenschlüssel]]=select!$B$1485)=TRUE,1,0)</f>
        <v>0</v>
      </c>
      <c r="AF226" s="451">
        <f ca="1">IF(AND(Scharniere[[#This Row],[Scharnierart]]=select!$A$1486,Scharniere[[#This Row],[Gruppenschlüssel]]=select!$B$1486)=TRUE,1,0)</f>
        <v>0</v>
      </c>
      <c r="AG226" s="451">
        <f ca="1">IF(AND(Scharniere[[#This Row],[Scharnierart]]=select!$A$1487,Scharniere[[#This Row],[Gruppenschlüssel]]=select!$B$1487)=TRUE,1,0)</f>
        <v>0</v>
      </c>
      <c r="AH226" s="451">
        <f ca="1">IF(AND(Scharniere[[#This Row],[Scharnierart]]=select!$A$1488,Scharniere[[#This Row],[Gruppenschlüssel]]=select!$B$1488)=TRUE,1,0)</f>
        <v>0</v>
      </c>
      <c r="AI226" s="451">
        <f ca="1">IF(SUM(Scharniere[[#This Row],[konf Scharnier 1]:[konf Scharnier 4]])&gt;0,1,0)</f>
        <v>0</v>
      </c>
      <c r="AJ226" s="451"/>
      <c r="AK226" s="451"/>
      <c r="AL226" s="451"/>
      <c r="AM226" s="451"/>
      <c r="AN226" s="451"/>
      <c r="AO226" s="146">
        <v>1</v>
      </c>
      <c r="AP226" s="146">
        <v>2</v>
      </c>
      <c r="AQ226" s="10" t="str">
        <f ca="1">Sprache!$A$111</f>
        <v>Tiomos Scharnier T Impresso</v>
      </c>
      <c r="AR226" t="s">
        <v>134</v>
      </c>
      <c r="AS226" t="str">
        <f ca="1">Sprache!$A$116</f>
        <v>Tiomos Impresso Scharniere</v>
      </c>
      <c r="AT226">
        <v>19</v>
      </c>
      <c r="AU226" s="10" t="s">
        <v>10</v>
      </c>
      <c r="AV226">
        <v>120</v>
      </c>
      <c r="AW226" s="10">
        <v>0</v>
      </c>
      <c r="AX226">
        <v>1</v>
      </c>
      <c r="AY226">
        <v>0</v>
      </c>
      <c r="AZ226" s="10">
        <v>0</v>
      </c>
      <c r="BA226">
        <v>0</v>
      </c>
      <c r="BB226">
        <v>0</v>
      </c>
      <c r="BC226">
        <v>1</v>
      </c>
      <c r="BD226" s="143" t="s">
        <v>179</v>
      </c>
      <c r="BG226"/>
    </row>
    <row r="227" spans="1:59" ht="14.25" customHeight="1" x14ac:dyDescent="0.25">
      <c r="A227" s="37" t="str">
        <f>LEFT(Scharniere[[#This Row],[ArtikelNR]],4)</f>
        <v>F034</v>
      </c>
      <c r="B227" s="35" t="str">
        <f>MID(Scharniere[[#This Row],[ArtikelNR]],5,3)</f>
        <v>139</v>
      </c>
      <c r="C227" s="37" t="str">
        <f>RIGHT(Scharniere[[#This Row],[ArtikelNR]],3)</f>
        <v>556</v>
      </c>
      <c r="D227" s="35">
        <f>IF(AND(Scharniere[[#This Row],[Gruppenschlüssel]]=select!$A$44,Scharniere[[#This Row],[Scharnierart]]=1)=TRUE,1,0)</f>
        <v>0</v>
      </c>
      <c r="E2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7" s="35">
        <f>IF(select!$F$57=IF(Scharniere[[#This Row],[mit Dämpfung]]=1,1,IF(Scharniere[[#This Row],[ohne Dämpfung]]=1,2,IF(Scharniere[[#This Row],[ohne Feder]]=1,3,0))),1,0)</f>
        <v>0</v>
      </c>
      <c r="G227" s="35">
        <f>IF(Scharniere[[#This Row],[Bohrbild]]=select!$V$43,1,0)</f>
        <v>0</v>
      </c>
      <c r="H227" s="35">
        <f>IF(IF(Scharniere[[#This Row],[Anschrauben]]=1,1,IF(Scharniere[[#This Row],[Einpressen]]=1,2,IF(Scharniere[[#This Row],[Quick]]=1,3,IF(Scharniere[[#This Row],[Werkzeuglos]]=1,4,0))))=select!$F$48,1,0)</f>
        <v>0</v>
      </c>
      <c r="I2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7" s="149">
        <f>IF(AND(Scharniere[[#This Row],[Scharnierart]]=2,Scharniere[[#This Row],[Gruppenschlüssel]]=select!$A$318)=TRUE,1,0)</f>
        <v>0</v>
      </c>
      <c r="K227" s="221">
        <f ca="1">IF(select!$O$424&lt;6,1,0)</f>
        <v>1</v>
      </c>
      <c r="L227" s="139">
        <f>IF(select!$A$362=IF(Scharniere[[#This Row],[mit Dämpfung]]=1,1,IF(Scharniere[[#This Row],[ohne Dämpfung]]=1,2,IF(Scharniere[[#This Row],[ohne Feder]]=1,3,0))),1,0)</f>
        <v>0</v>
      </c>
      <c r="M227" s="135">
        <f>IF(Scharniere[[#This Row],[Bohrbild]]=select!$O$334,1,0)</f>
        <v>0</v>
      </c>
      <c r="N227" s="135">
        <f>IF(IF(Scharniere[[#This Row],[Anschrauben]]=1,1,IF(Scharniere[[#This Row],[Einpressen]]=1,2,IF(Scharniere[[#This Row],[Quick]]=1,3,IF(Scharniere[[#This Row],[Werkzeuglos]]=1,4,0))))=select!$E$362,1,0)</f>
        <v>0</v>
      </c>
      <c r="O2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7" s="298">
        <f>IF(AND(Scharniere[[#This Row],[Scharnierart]]=3,Scharniere[[#This Row],[Gruppenschlüssel]]=select!$A$747)=TRUE,1,0)</f>
        <v>0</v>
      </c>
      <c r="Q227" s="298">
        <f ca="1">IF(select!$O$945&lt;6,1,0)</f>
        <v>1</v>
      </c>
      <c r="R227" s="298">
        <f>IF(select!$A$778=IF(Scharniere[[#This Row],[mit Dämpfung]]=1,1,IF(Scharniere[[#This Row],[ohne Dämpfung]]=1,2,IF(Scharniere[[#This Row],[ohne Feder]]=1,3,0))),1,0)</f>
        <v>1</v>
      </c>
      <c r="S227" s="298">
        <f>IF(Scharniere[[#This Row],[Bohrbild]]=select!$A$755,1,0)</f>
        <v>0</v>
      </c>
      <c r="T227" s="298">
        <f>IF(IF(Scharniere[[#This Row],[Anschrauben]]=1,1,IF(Scharniere[[#This Row],[Einpressen]]=1,2,IF(Scharniere[[#This Row],[Quick]]=1,3,IF(Scharniere[[#This Row],[Werkzeuglos]]=1,4,0))))=select!$A$769,1,0)</f>
        <v>0</v>
      </c>
      <c r="U2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7" s="359">
        <f>IF(AND(Scharniere[[#This Row],[Scharnierart]]=4,Scharniere[[#This Row],[Gruppenschlüssel]]=select!$A$981)=TRUE,1,0)</f>
        <v>0</v>
      </c>
      <c r="W227" s="359">
        <f ca="1">IF(select!$O$1185&lt;6,1,0)</f>
        <v>1</v>
      </c>
      <c r="X227" s="359">
        <f>IF(select!$A$1012=IF(Scharniere[[#This Row],[mit Dämpfung]]=1,1,IF(Scharniere[[#This Row],[ohne Dämpfung]]=1,2,IF(Scharniere[[#This Row],[ohne Feder]]=1,3,0))),1,0)</f>
        <v>1</v>
      </c>
      <c r="Y227" s="359">
        <f>IF(Scharniere[[#This Row],[Bohrbild]]=select!$A$989,1,0)</f>
        <v>0</v>
      </c>
      <c r="Z227" s="359">
        <f>IF(IF(Scharniere[[#This Row],[Anschrauben]]=1,1,IF(Scharniere[[#This Row],[Einpressen]]=1,2,IF(Scharniere[[#This Row],[Quick]]=1,3,IF(Scharniere[[#This Row],[Werkzeuglos]]=1,4,0))))=select!$A$1003,1,0)</f>
        <v>0</v>
      </c>
      <c r="AA2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7" s="359">
        <f ca="1">IF(select!$K$980="*",Scharniere[[#This Row],[AG Ges2]],Scharniere[[#This Row],[AG Ges1]])</f>
        <v>0</v>
      </c>
      <c r="AE227" s="451">
        <f ca="1">IF(AND(Scharniere[[#This Row],[Scharnierart]]=select!$A$1485,Scharniere[[#This Row],[Gruppenschlüssel]]=select!$B$1485)=TRUE,1,0)</f>
        <v>0</v>
      </c>
      <c r="AF227" s="451">
        <f ca="1">IF(AND(Scharniere[[#This Row],[Scharnierart]]=select!$A$1486,Scharniere[[#This Row],[Gruppenschlüssel]]=select!$B$1486)=TRUE,1,0)</f>
        <v>0</v>
      </c>
      <c r="AG227" s="451">
        <f ca="1">IF(AND(Scharniere[[#This Row],[Scharnierart]]=select!$A$1487,Scharniere[[#This Row],[Gruppenschlüssel]]=select!$B$1487)=TRUE,1,0)</f>
        <v>0</v>
      </c>
      <c r="AH227" s="451">
        <f ca="1">IF(AND(Scharniere[[#This Row],[Scharnierart]]=select!$A$1488,Scharniere[[#This Row],[Gruppenschlüssel]]=select!$B$1488)=TRUE,1,0)</f>
        <v>0</v>
      </c>
      <c r="AI227" s="451">
        <f ca="1">IF(SUM(Scharniere[[#This Row],[konf Scharnier 1]:[konf Scharnier 4]])&gt;0,1,0)</f>
        <v>0</v>
      </c>
      <c r="AJ227" s="451"/>
      <c r="AK227" s="451"/>
      <c r="AL227" s="451"/>
      <c r="AM227" s="451"/>
      <c r="AN227" s="451"/>
      <c r="AO227" s="146">
        <v>1</v>
      </c>
      <c r="AP227" s="146">
        <v>2</v>
      </c>
      <c r="AQ227" s="10" t="str">
        <f ca="1">Sprache!$A$111</f>
        <v>Tiomos Scharnier T Impresso</v>
      </c>
      <c r="AR227" t="s">
        <v>134</v>
      </c>
      <c r="AS227" t="str">
        <f ca="1">Sprache!$A$116</f>
        <v>Tiomos Impresso Scharniere</v>
      </c>
      <c r="AT227">
        <v>19</v>
      </c>
      <c r="AU227" s="10" t="s">
        <v>11</v>
      </c>
      <c r="AV227">
        <v>120</v>
      </c>
      <c r="AW227" s="10">
        <v>0</v>
      </c>
      <c r="AX227">
        <v>1</v>
      </c>
      <c r="AY227">
        <v>0</v>
      </c>
      <c r="AZ227" s="10">
        <v>0</v>
      </c>
      <c r="BA227">
        <v>0</v>
      </c>
      <c r="BB227">
        <v>0</v>
      </c>
      <c r="BC227">
        <v>1</v>
      </c>
      <c r="BD227" s="143" t="s">
        <v>179</v>
      </c>
      <c r="BG227"/>
    </row>
    <row r="228" spans="1:59" ht="14.25" customHeight="1" x14ac:dyDescent="0.25">
      <c r="A228" s="37" t="str">
        <f>LEFT(Scharniere[[#This Row],[ArtikelNR]],4)</f>
        <v>F017</v>
      </c>
      <c r="B228" s="35" t="str">
        <f>MID(Scharniere[[#This Row],[ArtikelNR]],5,3)</f>
        <v>139</v>
      </c>
      <c r="C228" s="37" t="str">
        <f>RIGHT(Scharniere[[#This Row],[ArtikelNR]],3)</f>
        <v>555</v>
      </c>
      <c r="D228" s="35">
        <f>IF(AND(Scharniere[[#This Row],[Gruppenschlüssel]]=select!$A$44,Scharniere[[#This Row],[Scharnierart]]=1)=TRUE,1,0)</f>
        <v>0</v>
      </c>
      <c r="E2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8" s="35">
        <f>IF(select!$F$57=IF(Scharniere[[#This Row],[mit Dämpfung]]=1,1,IF(Scharniere[[#This Row],[ohne Dämpfung]]=1,2,IF(Scharniere[[#This Row],[ohne Feder]]=1,3,0))),1,0)</f>
        <v>0</v>
      </c>
      <c r="G228" s="35">
        <f>IF(Scharniere[[#This Row],[Bohrbild]]=select!$V$43,1,0)</f>
        <v>0</v>
      </c>
      <c r="H228" s="35">
        <f>IF(IF(Scharniere[[#This Row],[Anschrauben]]=1,1,IF(Scharniere[[#This Row],[Einpressen]]=1,2,IF(Scharniere[[#This Row],[Quick]]=1,3,IF(Scharniere[[#This Row],[Werkzeuglos]]=1,4,0))))=select!$F$48,1,0)</f>
        <v>0</v>
      </c>
      <c r="I2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8" s="149">
        <f>IF(AND(Scharniere[[#This Row],[Scharnierart]]=2,Scharniere[[#This Row],[Gruppenschlüssel]]=select!$A$318)=TRUE,1,0)</f>
        <v>0</v>
      </c>
      <c r="K228" s="221">
        <f ca="1">IF(select!$O$424&lt;6,1,0)</f>
        <v>1</v>
      </c>
      <c r="L228" s="139">
        <f>IF(select!$A$362=IF(Scharniere[[#This Row],[mit Dämpfung]]=1,1,IF(Scharniere[[#This Row],[ohne Dämpfung]]=1,2,IF(Scharniere[[#This Row],[ohne Feder]]=1,3,0))),1,0)</f>
        <v>1</v>
      </c>
      <c r="M228" s="135">
        <f>IF(Scharniere[[#This Row],[Bohrbild]]=select!$O$334,1,0)</f>
        <v>0</v>
      </c>
      <c r="N228" s="135">
        <f>IF(IF(Scharniere[[#This Row],[Anschrauben]]=1,1,IF(Scharniere[[#This Row],[Einpressen]]=1,2,IF(Scharniere[[#This Row],[Quick]]=1,3,IF(Scharniere[[#This Row],[Werkzeuglos]]=1,4,0))))=select!$E$362,1,0)</f>
        <v>0</v>
      </c>
      <c r="O2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8" s="298">
        <f>IF(AND(Scharniere[[#This Row],[Scharnierart]]=3,Scharniere[[#This Row],[Gruppenschlüssel]]=select!$A$747)=TRUE,1,0)</f>
        <v>0</v>
      </c>
      <c r="Q228" s="298">
        <f ca="1">IF(select!$O$945&lt;6,1,0)</f>
        <v>1</v>
      </c>
      <c r="R228" s="298">
        <f>IF(select!$A$778=IF(Scharniere[[#This Row],[mit Dämpfung]]=1,1,IF(Scharniere[[#This Row],[ohne Dämpfung]]=1,2,IF(Scharniere[[#This Row],[ohne Feder]]=1,3,0))),1,0)</f>
        <v>0</v>
      </c>
      <c r="S228" s="298">
        <f>IF(Scharniere[[#This Row],[Bohrbild]]=select!$A$755,1,0)</f>
        <v>0</v>
      </c>
      <c r="T228" s="298">
        <f>IF(IF(Scharniere[[#This Row],[Anschrauben]]=1,1,IF(Scharniere[[#This Row],[Einpressen]]=1,2,IF(Scharniere[[#This Row],[Quick]]=1,3,IF(Scharniere[[#This Row],[Werkzeuglos]]=1,4,0))))=select!$A$769,1,0)</f>
        <v>0</v>
      </c>
      <c r="U2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8" s="359">
        <f>IF(AND(Scharniere[[#This Row],[Scharnierart]]=4,Scharniere[[#This Row],[Gruppenschlüssel]]=select!$A$981)=TRUE,1,0)</f>
        <v>0</v>
      </c>
      <c r="W228" s="359">
        <f ca="1">IF(select!$O$1185&lt;6,1,0)</f>
        <v>1</v>
      </c>
      <c r="X228" s="359">
        <f>IF(select!$A$1012=IF(Scharniere[[#This Row],[mit Dämpfung]]=1,1,IF(Scharniere[[#This Row],[ohne Dämpfung]]=1,2,IF(Scharniere[[#This Row],[ohne Feder]]=1,3,0))),1,0)</f>
        <v>0</v>
      </c>
      <c r="Y228" s="359">
        <f>IF(Scharniere[[#This Row],[Bohrbild]]=select!$A$989,1,0)</f>
        <v>0</v>
      </c>
      <c r="Z228" s="359">
        <f>IF(IF(Scharniere[[#This Row],[Anschrauben]]=1,1,IF(Scharniere[[#This Row],[Einpressen]]=1,2,IF(Scharniere[[#This Row],[Quick]]=1,3,IF(Scharniere[[#This Row],[Werkzeuglos]]=1,4,0))))=select!$A$1003,1,0)</f>
        <v>0</v>
      </c>
      <c r="AA2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8" s="359">
        <f ca="1">IF(select!$K$980="*",Scharniere[[#This Row],[AG Ges2]],Scharniere[[#This Row],[AG Ges1]])</f>
        <v>0</v>
      </c>
      <c r="AE228" s="451">
        <f ca="1">IF(AND(Scharniere[[#This Row],[Scharnierart]]=select!$A$1485,Scharniere[[#This Row],[Gruppenschlüssel]]=select!$B$1485)=TRUE,1,0)</f>
        <v>0</v>
      </c>
      <c r="AF228" s="451">
        <f ca="1">IF(AND(Scharniere[[#This Row],[Scharnierart]]=select!$A$1486,Scharniere[[#This Row],[Gruppenschlüssel]]=select!$B$1486)=TRUE,1,0)</f>
        <v>0</v>
      </c>
      <c r="AG228" s="451">
        <f ca="1">IF(AND(Scharniere[[#This Row],[Scharnierart]]=select!$A$1487,Scharniere[[#This Row],[Gruppenschlüssel]]=select!$B$1487)=TRUE,1,0)</f>
        <v>0</v>
      </c>
      <c r="AH228" s="451">
        <f ca="1">IF(AND(Scharniere[[#This Row],[Scharnierart]]=select!$A$1488,Scharniere[[#This Row],[Gruppenschlüssel]]=select!$B$1488)=TRUE,1,0)</f>
        <v>0</v>
      </c>
      <c r="AI228" s="451">
        <f ca="1">IF(SUM(Scharniere[[#This Row],[konf Scharnier 1]:[konf Scharnier 4]])&gt;0,1,0)</f>
        <v>0</v>
      </c>
      <c r="AJ228" s="451"/>
      <c r="AK228" s="451"/>
      <c r="AL228" s="451"/>
      <c r="AM228" s="451"/>
      <c r="AN228" s="451"/>
      <c r="AO228" s="146">
        <v>1</v>
      </c>
      <c r="AP228" s="146">
        <v>2</v>
      </c>
      <c r="AQ228" s="10" t="str">
        <f ca="1">Sprache!$A$113</f>
        <v>Tiomos Scharnier TS Impresso</v>
      </c>
      <c r="AR228" t="s">
        <v>134</v>
      </c>
      <c r="AS228" t="str">
        <f ca="1">Sprache!$A$116</f>
        <v>Tiomos Impresso Scharniere</v>
      </c>
      <c r="AT228">
        <v>19</v>
      </c>
      <c r="AU228" s="34" t="s">
        <v>10</v>
      </c>
      <c r="AV228">
        <v>120</v>
      </c>
      <c r="AW228" s="10">
        <v>1</v>
      </c>
      <c r="AX228">
        <v>0</v>
      </c>
      <c r="AY228">
        <v>0</v>
      </c>
      <c r="AZ228" s="10">
        <v>0</v>
      </c>
      <c r="BA228">
        <v>0</v>
      </c>
      <c r="BB228">
        <v>0</v>
      </c>
      <c r="BC228">
        <v>1</v>
      </c>
      <c r="BD228" s="143" t="s">
        <v>133</v>
      </c>
      <c r="BG228"/>
    </row>
    <row r="229" spans="1:59" ht="14.25" customHeight="1" x14ac:dyDescent="0.25">
      <c r="A229" s="37" t="str">
        <f>LEFT(Scharniere[[#This Row],[ArtikelNR]],4)</f>
        <v>F017</v>
      </c>
      <c r="B229" s="35" t="str">
        <f>MID(Scharniere[[#This Row],[ArtikelNR]],5,3)</f>
        <v>139</v>
      </c>
      <c r="C229" s="37" t="str">
        <f>RIGHT(Scharniere[[#This Row],[ArtikelNR]],3)</f>
        <v>555</v>
      </c>
      <c r="D229" s="35">
        <f>IF(AND(Scharniere[[#This Row],[Gruppenschlüssel]]=select!$A$44,Scharniere[[#This Row],[Scharnierart]]=1)=TRUE,1,0)</f>
        <v>0</v>
      </c>
      <c r="E2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29" s="35">
        <f>IF(select!$F$57=IF(Scharniere[[#This Row],[mit Dämpfung]]=1,1,IF(Scharniere[[#This Row],[ohne Dämpfung]]=1,2,IF(Scharniere[[#This Row],[ohne Feder]]=1,3,0))),1,0)</f>
        <v>0</v>
      </c>
      <c r="G229" s="35">
        <f>IF(Scharniere[[#This Row],[Bohrbild]]=select!$V$43,1,0)</f>
        <v>0</v>
      </c>
      <c r="H229" s="35">
        <f>IF(IF(Scharniere[[#This Row],[Anschrauben]]=1,1,IF(Scharniere[[#This Row],[Einpressen]]=1,2,IF(Scharniere[[#This Row],[Quick]]=1,3,IF(Scharniere[[#This Row],[Werkzeuglos]]=1,4,0))))=select!$F$48,1,0)</f>
        <v>0</v>
      </c>
      <c r="I2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29" s="149">
        <f>IF(AND(Scharniere[[#This Row],[Scharnierart]]=2,Scharniere[[#This Row],[Gruppenschlüssel]]=select!$A$318)=TRUE,1,0)</f>
        <v>0</v>
      </c>
      <c r="K229" s="221">
        <f ca="1">IF(select!$O$424&lt;6,1,0)</f>
        <v>1</v>
      </c>
      <c r="L229" s="139">
        <f>IF(select!$A$362=IF(Scharniere[[#This Row],[mit Dämpfung]]=1,1,IF(Scharniere[[#This Row],[ohne Dämpfung]]=1,2,IF(Scharniere[[#This Row],[ohne Feder]]=1,3,0))),1,0)</f>
        <v>1</v>
      </c>
      <c r="M229" s="135">
        <f>IF(Scharniere[[#This Row],[Bohrbild]]=select!$O$334,1,0)</f>
        <v>0</v>
      </c>
      <c r="N229" s="135">
        <f>IF(IF(Scharniere[[#This Row],[Anschrauben]]=1,1,IF(Scharniere[[#This Row],[Einpressen]]=1,2,IF(Scharniere[[#This Row],[Quick]]=1,3,IF(Scharniere[[#This Row],[Werkzeuglos]]=1,4,0))))=select!$E$362,1,0)</f>
        <v>0</v>
      </c>
      <c r="O2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29" s="298">
        <f>IF(AND(Scharniere[[#This Row],[Scharnierart]]=3,Scharniere[[#This Row],[Gruppenschlüssel]]=select!$A$747)=TRUE,1,0)</f>
        <v>0</v>
      </c>
      <c r="Q229" s="298">
        <f ca="1">IF(select!$O$945&lt;6,1,0)</f>
        <v>1</v>
      </c>
      <c r="R229" s="298">
        <f>IF(select!$A$778=IF(Scharniere[[#This Row],[mit Dämpfung]]=1,1,IF(Scharniere[[#This Row],[ohne Dämpfung]]=1,2,IF(Scharniere[[#This Row],[ohne Feder]]=1,3,0))),1,0)</f>
        <v>0</v>
      </c>
      <c r="S229" s="298">
        <f>IF(Scharniere[[#This Row],[Bohrbild]]=select!$A$755,1,0)</f>
        <v>0</v>
      </c>
      <c r="T229" s="298">
        <f>IF(IF(Scharniere[[#This Row],[Anschrauben]]=1,1,IF(Scharniere[[#This Row],[Einpressen]]=1,2,IF(Scharniere[[#This Row],[Quick]]=1,3,IF(Scharniere[[#This Row],[Werkzeuglos]]=1,4,0))))=select!$A$769,1,0)</f>
        <v>0</v>
      </c>
      <c r="U2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29" s="359">
        <f>IF(AND(Scharniere[[#This Row],[Scharnierart]]=4,Scharniere[[#This Row],[Gruppenschlüssel]]=select!$A$981)=TRUE,1,0)</f>
        <v>0</v>
      </c>
      <c r="W229" s="359">
        <f ca="1">IF(select!$O$1185&lt;6,1,0)</f>
        <v>1</v>
      </c>
      <c r="X229" s="359">
        <f>IF(select!$A$1012=IF(Scharniere[[#This Row],[mit Dämpfung]]=1,1,IF(Scharniere[[#This Row],[ohne Dämpfung]]=1,2,IF(Scharniere[[#This Row],[ohne Feder]]=1,3,0))),1,0)</f>
        <v>0</v>
      </c>
      <c r="Y229" s="359">
        <f>IF(Scharniere[[#This Row],[Bohrbild]]=select!$A$989,1,0)</f>
        <v>0</v>
      </c>
      <c r="Z229" s="359">
        <f>IF(IF(Scharniere[[#This Row],[Anschrauben]]=1,1,IF(Scharniere[[#This Row],[Einpressen]]=1,2,IF(Scharniere[[#This Row],[Quick]]=1,3,IF(Scharniere[[#This Row],[Werkzeuglos]]=1,4,0))))=select!$A$1003,1,0)</f>
        <v>0</v>
      </c>
      <c r="AA2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29" s="359">
        <f ca="1">IF(select!$K$980="*",Scharniere[[#This Row],[AG Ges2]],Scharniere[[#This Row],[AG Ges1]])</f>
        <v>0</v>
      </c>
      <c r="AE229" s="451">
        <f ca="1">IF(AND(Scharniere[[#This Row],[Scharnierart]]=select!$A$1485,Scharniere[[#This Row],[Gruppenschlüssel]]=select!$B$1485)=TRUE,1,0)</f>
        <v>0</v>
      </c>
      <c r="AF229" s="451">
        <f ca="1">IF(AND(Scharniere[[#This Row],[Scharnierart]]=select!$A$1486,Scharniere[[#This Row],[Gruppenschlüssel]]=select!$B$1486)=TRUE,1,0)</f>
        <v>0</v>
      </c>
      <c r="AG229" s="451">
        <f ca="1">IF(AND(Scharniere[[#This Row],[Scharnierart]]=select!$A$1487,Scharniere[[#This Row],[Gruppenschlüssel]]=select!$B$1487)=TRUE,1,0)</f>
        <v>0</v>
      </c>
      <c r="AH229" s="451">
        <f ca="1">IF(AND(Scharniere[[#This Row],[Scharnierart]]=select!$A$1488,Scharniere[[#This Row],[Gruppenschlüssel]]=select!$B$1488)=TRUE,1,0)</f>
        <v>0</v>
      </c>
      <c r="AI229" s="451">
        <f ca="1">IF(SUM(Scharniere[[#This Row],[konf Scharnier 1]:[konf Scharnier 4]])&gt;0,1,0)</f>
        <v>0</v>
      </c>
      <c r="AJ229" s="451"/>
      <c r="AK229" s="451"/>
      <c r="AL229" s="451"/>
      <c r="AM229" s="451"/>
      <c r="AN229" s="451"/>
      <c r="AO229" s="146">
        <v>1</v>
      </c>
      <c r="AP229" s="146">
        <v>2</v>
      </c>
      <c r="AQ229" s="10" t="str">
        <f ca="1">Sprache!$A$113</f>
        <v>Tiomos Scharnier TS Impresso</v>
      </c>
      <c r="AR229" t="s">
        <v>134</v>
      </c>
      <c r="AS229" t="str">
        <f ca="1">Sprache!$A$116</f>
        <v>Tiomos Impresso Scharniere</v>
      </c>
      <c r="AT229">
        <v>19</v>
      </c>
      <c r="AU229" s="34" t="s">
        <v>11</v>
      </c>
      <c r="AV229">
        <v>120</v>
      </c>
      <c r="AW229" s="10">
        <v>1</v>
      </c>
      <c r="AX229">
        <v>0</v>
      </c>
      <c r="AY229">
        <v>0</v>
      </c>
      <c r="AZ229" s="10">
        <v>0</v>
      </c>
      <c r="BA229">
        <v>0</v>
      </c>
      <c r="BB229">
        <v>0</v>
      </c>
      <c r="BC229">
        <v>1</v>
      </c>
      <c r="BD229" s="143" t="s">
        <v>133</v>
      </c>
      <c r="BG229"/>
    </row>
    <row r="230" spans="1:59" ht="14.25" customHeight="1" x14ac:dyDescent="0.25">
      <c r="A230" s="37" t="str">
        <f>LEFT(Scharniere[[#This Row],[ArtikelNR]],4)</f>
        <v>F035</v>
      </c>
      <c r="B230" s="35" t="str">
        <f>MID(Scharniere[[#This Row],[ArtikelNR]],5,3)</f>
        <v>139</v>
      </c>
      <c r="C230" s="37" t="str">
        <f>RIGHT(Scharniere[[#This Row],[ArtikelNR]],3)</f>
        <v>557</v>
      </c>
      <c r="D230" s="35">
        <f>IF(AND(Scharniere[[#This Row],[Gruppenschlüssel]]=select!$A$44,Scharniere[[#This Row],[Scharnierart]]=1)=TRUE,1,0)</f>
        <v>0</v>
      </c>
      <c r="E2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0" s="35">
        <f>IF(select!$F$57=IF(Scharniere[[#This Row],[mit Dämpfung]]=1,1,IF(Scharniere[[#This Row],[ohne Dämpfung]]=1,2,IF(Scharniere[[#This Row],[ohne Feder]]=1,3,0))),1,0)</f>
        <v>1</v>
      </c>
      <c r="G230" s="35">
        <f>IF(Scharniere[[#This Row],[Bohrbild]]=select!$V$43,1,0)</f>
        <v>0</v>
      </c>
      <c r="H230" s="35">
        <f>IF(IF(Scharniere[[#This Row],[Anschrauben]]=1,1,IF(Scharniere[[#This Row],[Einpressen]]=1,2,IF(Scharniere[[#This Row],[Quick]]=1,3,IF(Scharniere[[#This Row],[Werkzeuglos]]=1,4,0))))=select!$F$48,1,0)</f>
        <v>0</v>
      </c>
      <c r="I2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0" s="149">
        <f>IF(AND(Scharniere[[#This Row],[Scharnierart]]=2,Scharniere[[#This Row],[Gruppenschlüssel]]=select!$A$318)=TRUE,1,0)</f>
        <v>0</v>
      </c>
      <c r="K230" s="221">
        <f ca="1">IF(select!$O$424&lt;6,1,0)</f>
        <v>1</v>
      </c>
      <c r="L230" s="139">
        <f>IF(select!$A$362=IF(Scharniere[[#This Row],[mit Dämpfung]]=1,1,IF(Scharniere[[#This Row],[ohne Dämpfung]]=1,2,IF(Scharniere[[#This Row],[ohne Feder]]=1,3,0))),1,0)</f>
        <v>0</v>
      </c>
      <c r="M230" s="135">
        <f>IF(Scharniere[[#This Row],[Bohrbild]]=select!$O$334,1,0)</f>
        <v>0</v>
      </c>
      <c r="N230" s="135">
        <f>IF(IF(Scharniere[[#This Row],[Anschrauben]]=1,1,IF(Scharniere[[#This Row],[Einpressen]]=1,2,IF(Scharniere[[#This Row],[Quick]]=1,3,IF(Scharniere[[#This Row],[Werkzeuglos]]=1,4,0))))=select!$E$362,1,0)</f>
        <v>0</v>
      </c>
      <c r="O2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0" s="298">
        <f>IF(AND(Scharniere[[#This Row],[Scharnierart]]=3,Scharniere[[#This Row],[Gruppenschlüssel]]=select!$A$747)=TRUE,1,0)</f>
        <v>0</v>
      </c>
      <c r="Q230" s="298">
        <f ca="1">IF(select!$O$945&lt;6,1,0)</f>
        <v>1</v>
      </c>
      <c r="R230" s="298">
        <f>IF(select!$A$778=IF(Scharniere[[#This Row],[mit Dämpfung]]=1,1,IF(Scharniere[[#This Row],[ohne Dämpfung]]=1,2,IF(Scharniere[[#This Row],[ohne Feder]]=1,3,0))),1,0)</f>
        <v>0</v>
      </c>
      <c r="S230" s="298">
        <f>IF(Scharniere[[#This Row],[Bohrbild]]=select!$A$755,1,0)</f>
        <v>0</v>
      </c>
      <c r="T230" s="298">
        <f>IF(IF(Scharniere[[#This Row],[Anschrauben]]=1,1,IF(Scharniere[[#This Row],[Einpressen]]=1,2,IF(Scharniere[[#This Row],[Quick]]=1,3,IF(Scharniere[[#This Row],[Werkzeuglos]]=1,4,0))))=select!$A$769,1,0)</f>
        <v>0</v>
      </c>
      <c r="U2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0" s="359">
        <f>IF(AND(Scharniere[[#This Row],[Scharnierart]]=4,Scharniere[[#This Row],[Gruppenschlüssel]]=select!$A$981)=TRUE,1,0)</f>
        <v>0</v>
      </c>
      <c r="W230" s="359">
        <f ca="1">IF(select!$O$1185&lt;6,1,0)</f>
        <v>1</v>
      </c>
      <c r="X230" s="359">
        <f>IF(select!$A$1012=IF(Scharniere[[#This Row],[mit Dämpfung]]=1,1,IF(Scharniere[[#This Row],[ohne Dämpfung]]=1,2,IF(Scharniere[[#This Row],[ohne Feder]]=1,3,0))),1,0)</f>
        <v>0</v>
      </c>
      <c r="Y230" s="359">
        <f>IF(Scharniere[[#This Row],[Bohrbild]]=select!$A$989,1,0)</f>
        <v>0</v>
      </c>
      <c r="Z230" s="359">
        <f>IF(IF(Scharniere[[#This Row],[Anschrauben]]=1,1,IF(Scharniere[[#This Row],[Einpressen]]=1,2,IF(Scharniere[[#This Row],[Quick]]=1,3,IF(Scharniere[[#This Row],[Werkzeuglos]]=1,4,0))))=select!$A$1003,1,0)</f>
        <v>0</v>
      </c>
      <c r="AA2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0" s="359">
        <f ca="1">IF(select!$K$980="*",Scharniere[[#This Row],[AG Ges2]],Scharniere[[#This Row],[AG Ges1]])</f>
        <v>0</v>
      </c>
      <c r="AE230" s="451">
        <f ca="1">IF(AND(Scharniere[[#This Row],[Scharnierart]]=select!$A$1485,Scharniere[[#This Row],[Gruppenschlüssel]]=select!$B$1485)=TRUE,1,0)</f>
        <v>0</v>
      </c>
      <c r="AF230" s="451">
        <f ca="1">IF(AND(Scharniere[[#This Row],[Scharnierart]]=select!$A$1486,Scharniere[[#This Row],[Gruppenschlüssel]]=select!$B$1486)=TRUE,1,0)</f>
        <v>0</v>
      </c>
      <c r="AG230" s="451">
        <f ca="1">IF(AND(Scharniere[[#This Row],[Scharnierart]]=select!$A$1487,Scharniere[[#This Row],[Gruppenschlüssel]]=select!$B$1487)=TRUE,1,0)</f>
        <v>0</v>
      </c>
      <c r="AH230" s="451">
        <f ca="1">IF(AND(Scharniere[[#This Row],[Scharnierart]]=select!$A$1488,Scharniere[[#This Row],[Gruppenschlüssel]]=select!$B$1488)=TRUE,1,0)</f>
        <v>0</v>
      </c>
      <c r="AI230" s="451">
        <f ca="1">IF(SUM(Scharniere[[#This Row],[konf Scharnier 1]:[konf Scharnier 4]])&gt;0,1,0)</f>
        <v>0</v>
      </c>
      <c r="AJ230" s="451"/>
      <c r="AK230" s="451"/>
      <c r="AL230" s="451"/>
      <c r="AM230" s="451"/>
      <c r="AN230" s="451"/>
      <c r="AO230" s="146">
        <v>1</v>
      </c>
      <c r="AP230" s="146">
        <v>2</v>
      </c>
      <c r="AQ230" s="10" t="str">
        <f ca="1">Sprache!$A$115</f>
        <v>Tiomos Scharnier TT Impresso</v>
      </c>
      <c r="AR230" t="s">
        <v>134</v>
      </c>
      <c r="AS230" t="str">
        <f ca="1">Sprache!$A$116</f>
        <v>Tiomos Impresso Scharniere</v>
      </c>
      <c r="AT230">
        <v>19</v>
      </c>
      <c r="AU230" s="34" t="s">
        <v>10</v>
      </c>
      <c r="AV230">
        <v>120</v>
      </c>
      <c r="AW230" s="10">
        <v>0</v>
      </c>
      <c r="AX230">
        <v>0</v>
      </c>
      <c r="AY230">
        <v>1</v>
      </c>
      <c r="AZ230" s="10">
        <v>0</v>
      </c>
      <c r="BA230">
        <v>0</v>
      </c>
      <c r="BB230">
        <v>0</v>
      </c>
      <c r="BC230">
        <v>1</v>
      </c>
      <c r="BD230" s="143" t="s">
        <v>223</v>
      </c>
      <c r="BG230"/>
    </row>
    <row r="231" spans="1:59" ht="14.25" customHeight="1" x14ac:dyDescent="0.25">
      <c r="A231" s="37" t="str">
        <f>LEFT(Scharniere[[#This Row],[ArtikelNR]],4)</f>
        <v>F035</v>
      </c>
      <c r="B231" s="35" t="str">
        <f>MID(Scharniere[[#This Row],[ArtikelNR]],5,3)</f>
        <v>139</v>
      </c>
      <c r="C231" s="37" t="str">
        <f>RIGHT(Scharniere[[#This Row],[ArtikelNR]],3)</f>
        <v>557</v>
      </c>
      <c r="D231" s="35">
        <f>IF(AND(Scharniere[[#This Row],[Gruppenschlüssel]]=select!$A$44,Scharniere[[#This Row],[Scharnierart]]=1)=TRUE,1,0)</f>
        <v>0</v>
      </c>
      <c r="E2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1" s="35">
        <f>IF(select!$F$57=IF(Scharniere[[#This Row],[mit Dämpfung]]=1,1,IF(Scharniere[[#This Row],[ohne Dämpfung]]=1,2,IF(Scharniere[[#This Row],[ohne Feder]]=1,3,0))),1,0)</f>
        <v>1</v>
      </c>
      <c r="G231" s="35">
        <f>IF(Scharniere[[#This Row],[Bohrbild]]=select!$V$43,1,0)</f>
        <v>0</v>
      </c>
      <c r="H231" s="35">
        <f>IF(IF(Scharniere[[#This Row],[Anschrauben]]=1,1,IF(Scharniere[[#This Row],[Einpressen]]=1,2,IF(Scharniere[[#This Row],[Quick]]=1,3,IF(Scharniere[[#This Row],[Werkzeuglos]]=1,4,0))))=select!$F$48,1,0)</f>
        <v>0</v>
      </c>
      <c r="I2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1" s="149">
        <f>IF(AND(Scharniere[[#This Row],[Scharnierart]]=2,Scharniere[[#This Row],[Gruppenschlüssel]]=select!$A$318)=TRUE,1,0)</f>
        <v>0</v>
      </c>
      <c r="K231" s="221">
        <f ca="1">IF(select!$O$424&lt;6,1,0)</f>
        <v>1</v>
      </c>
      <c r="L231" s="139">
        <f>IF(select!$A$362=IF(Scharniere[[#This Row],[mit Dämpfung]]=1,1,IF(Scharniere[[#This Row],[ohne Dämpfung]]=1,2,IF(Scharniere[[#This Row],[ohne Feder]]=1,3,0))),1,0)</f>
        <v>0</v>
      </c>
      <c r="M231" s="135">
        <f>IF(Scharniere[[#This Row],[Bohrbild]]=select!$O$334,1,0)</f>
        <v>0</v>
      </c>
      <c r="N231" s="135">
        <f>IF(IF(Scharniere[[#This Row],[Anschrauben]]=1,1,IF(Scharniere[[#This Row],[Einpressen]]=1,2,IF(Scharniere[[#This Row],[Quick]]=1,3,IF(Scharniere[[#This Row],[Werkzeuglos]]=1,4,0))))=select!$E$362,1,0)</f>
        <v>0</v>
      </c>
      <c r="O2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1" s="298">
        <f>IF(AND(Scharniere[[#This Row],[Scharnierart]]=3,Scharniere[[#This Row],[Gruppenschlüssel]]=select!$A$747)=TRUE,1,0)</f>
        <v>0</v>
      </c>
      <c r="Q231" s="298">
        <f ca="1">IF(select!$O$945&lt;6,1,0)</f>
        <v>1</v>
      </c>
      <c r="R231" s="298">
        <f>IF(select!$A$778=IF(Scharniere[[#This Row],[mit Dämpfung]]=1,1,IF(Scharniere[[#This Row],[ohne Dämpfung]]=1,2,IF(Scharniere[[#This Row],[ohne Feder]]=1,3,0))),1,0)</f>
        <v>0</v>
      </c>
      <c r="S231" s="298">
        <f>IF(Scharniere[[#This Row],[Bohrbild]]=select!$A$755,1,0)</f>
        <v>0</v>
      </c>
      <c r="T231" s="298">
        <f>IF(IF(Scharniere[[#This Row],[Anschrauben]]=1,1,IF(Scharniere[[#This Row],[Einpressen]]=1,2,IF(Scharniere[[#This Row],[Quick]]=1,3,IF(Scharniere[[#This Row],[Werkzeuglos]]=1,4,0))))=select!$A$769,1,0)</f>
        <v>0</v>
      </c>
      <c r="U2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1" s="359">
        <f>IF(AND(Scharniere[[#This Row],[Scharnierart]]=4,Scharniere[[#This Row],[Gruppenschlüssel]]=select!$A$981)=TRUE,1,0)</f>
        <v>0</v>
      </c>
      <c r="W231" s="359">
        <f ca="1">IF(select!$O$1185&lt;6,1,0)</f>
        <v>1</v>
      </c>
      <c r="X231" s="359">
        <f>IF(select!$A$1012=IF(Scharniere[[#This Row],[mit Dämpfung]]=1,1,IF(Scharniere[[#This Row],[ohne Dämpfung]]=1,2,IF(Scharniere[[#This Row],[ohne Feder]]=1,3,0))),1,0)</f>
        <v>0</v>
      </c>
      <c r="Y231" s="359">
        <f>IF(Scharniere[[#This Row],[Bohrbild]]=select!$A$989,1,0)</f>
        <v>0</v>
      </c>
      <c r="Z231" s="359">
        <f>IF(IF(Scharniere[[#This Row],[Anschrauben]]=1,1,IF(Scharniere[[#This Row],[Einpressen]]=1,2,IF(Scharniere[[#This Row],[Quick]]=1,3,IF(Scharniere[[#This Row],[Werkzeuglos]]=1,4,0))))=select!$A$1003,1,0)</f>
        <v>0</v>
      </c>
      <c r="AA2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1" s="359">
        <f ca="1">IF(select!$K$980="*",Scharniere[[#This Row],[AG Ges2]],Scharniere[[#This Row],[AG Ges1]])</f>
        <v>0</v>
      </c>
      <c r="AE231" s="451">
        <f ca="1">IF(AND(Scharniere[[#This Row],[Scharnierart]]=select!$A$1485,Scharniere[[#This Row],[Gruppenschlüssel]]=select!$B$1485)=TRUE,1,0)</f>
        <v>0</v>
      </c>
      <c r="AF231" s="451">
        <f ca="1">IF(AND(Scharniere[[#This Row],[Scharnierart]]=select!$A$1486,Scharniere[[#This Row],[Gruppenschlüssel]]=select!$B$1486)=TRUE,1,0)</f>
        <v>0</v>
      </c>
      <c r="AG231" s="451">
        <f ca="1">IF(AND(Scharniere[[#This Row],[Scharnierart]]=select!$A$1487,Scharniere[[#This Row],[Gruppenschlüssel]]=select!$B$1487)=TRUE,1,0)</f>
        <v>0</v>
      </c>
      <c r="AH231" s="451">
        <f ca="1">IF(AND(Scharniere[[#This Row],[Scharnierart]]=select!$A$1488,Scharniere[[#This Row],[Gruppenschlüssel]]=select!$B$1488)=TRUE,1,0)</f>
        <v>0</v>
      </c>
      <c r="AI231" s="451">
        <f ca="1">IF(SUM(Scharniere[[#This Row],[konf Scharnier 1]:[konf Scharnier 4]])&gt;0,1,0)</f>
        <v>0</v>
      </c>
      <c r="AJ231" s="451"/>
      <c r="AK231" s="451"/>
      <c r="AL231" s="451"/>
      <c r="AM231" s="451"/>
      <c r="AN231" s="451"/>
      <c r="AO231" s="146">
        <v>1</v>
      </c>
      <c r="AP231" s="146">
        <v>2</v>
      </c>
      <c r="AQ231" s="10" t="str">
        <f ca="1">Sprache!$A$115</f>
        <v>Tiomos Scharnier TT Impresso</v>
      </c>
      <c r="AR231" t="s">
        <v>134</v>
      </c>
      <c r="AS231" t="str">
        <f ca="1">Sprache!$A$116</f>
        <v>Tiomos Impresso Scharniere</v>
      </c>
      <c r="AT231">
        <v>19</v>
      </c>
      <c r="AU231" s="34" t="s">
        <v>11</v>
      </c>
      <c r="AV231">
        <v>120</v>
      </c>
      <c r="AW231" s="10">
        <v>0</v>
      </c>
      <c r="AX231">
        <v>0</v>
      </c>
      <c r="AY231">
        <v>1</v>
      </c>
      <c r="AZ231" s="10">
        <v>0</v>
      </c>
      <c r="BA231">
        <v>0</v>
      </c>
      <c r="BB231">
        <v>0</v>
      </c>
      <c r="BC231">
        <v>1</v>
      </c>
      <c r="BD231" s="143" t="s">
        <v>223</v>
      </c>
      <c r="BG231"/>
    </row>
    <row r="232" spans="1:59" ht="14.25" customHeight="1" x14ac:dyDescent="0.25">
      <c r="A232" s="37" t="str">
        <f>LEFT(Scharniere[[#This Row],[ArtikelNR]],4)</f>
        <v>F045</v>
      </c>
      <c r="B232" s="35" t="str">
        <f>MID(Scharniere[[#This Row],[ArtikelNR]],5,3)</f>
        <v>139</v>
      </c>
      <c r="C232" s="37" t="str">
        <f>RIGHT(Scharniere[[#This Row],[ArtikelNR]],3)</f>
        <v>020</v>
      </c>
      <c r="D232" s="35">
        <f>IF(AND(Scharniere[[#This Row],[Gruppenschlüssel]]=select!$A$44,Scharniere[[#This Row],[Scharnierart]]=1)=TRUE,1,0)</f>
        <v>0</v>
      </c>
      <c r="E2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2" s="35">
        <f>IF(select!$F$57=IF(Scharniere[[#This Row],[mit Dämpfung]]=1,1,IF(Scharniere[[#This Row],[ohne Dämpfung]]=1,2,IF(Scharniere[[#This Row],[ohne Feder]]=1,3,0))),1,0)</f>
        <v>0</v>
      </c>
      <c r="G232" s="35">
        <f>IF(Scharniere[[#This Row],[Bohrbild]]=select!$V$43,1,0)</f>
        <v>1</v>
      </c>
      <c r="H232" s="35">
        <f>IF(IF(Scharniere[[#This Row],[Anschrauben]]=1,1,IF(Scharniere[[#This Row],[Einpressen]]=1,2,IF(Scharniere[[#This Row],[Quick]]=1,3,IF(Scharniere[[#This Row],[Werkzeuglos]]=1,4,0))))=select!$F$48,1,0)</f>
        <v>1</v>
      </c>
      <c r="I2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2" s="149">
        <f>IF(AND(Scharniere[[#This Row],[Scharnierart]]=2,Scharniere[[#This Row],[Gruppenschlüssel]]=select!$A$318)=TRUE,1,0)</f>
        <v>0</v>
      </c>
      <c r="K232" s="221">
        <f ca="1">IF(select!$O$424&lt;6,1,0)</f>
        <v>1</v>
      </c>
      <c r="L232" s="139">
        <f>IF(select!$A$362=IF(Scharniere[[#This Row],[mit Dämpfung]]=1,1,IF(Scharniere[[#This Row],[ohne Dämpfung]]=1,2,IF(Scharniere[[#This Row],[ohne Feder]]=1,3,0))),1,0)</f>
        <v>0</v>
      </c>
      <c r="M232" s="135">
        <f>IF(Scharniere[[#This Row],[Bohrbild]]=select!$O$334,1,0)</f>
        <v>1</v>
      </c>
      <c r="N232" s="135">
        <f>IF(IF(Scharniere[[#This Row],[Anschrauben]]=1,1,IF(Scharniere[[#This Row],[Einpressen]]=1,2,IF(Scharniere[[#This Row],[Quick]]=1,3,IF(Scharniere[[#This Row],[Werkzeuglos]]=1,4,0))))=select!$E$362,1,0)</f>
        <v>0</v>
      </c>
      <c r="O2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2" s="298">
        <f>IF(AND(Scharniere[[#This Row],[Scharnierart]]=3,Scharniere[[#This Row],[Gruppenschlüssel]]=select!$A$747)=TRUE,1,0)</f>
        <v>0</v>
      </c>
      <c r="Q232" s="298">
        <f ca="1">IF(select!$O$945&lt;6,1,0)</f>
        <v>1</v>
      </c>
      <c r="R232" s="298">
        <f>IF(select!$A$778=IF(Scharniere[[#This Row],[mit Dämpfung]]=1,1,IF(Scharniere[[#This Row],[ohne Dämpfung]]=1,2,IF(Scharniere[[#This Row],[ohne Feder]]=1,3,0))),1,0)</f>
        <v>1</v>
      </c>
      <c r="S232" s="298">
        <f>IF(Scharniere[[#This Row],[Bohrbild]]=select!$A$755,1,0)</f>
        <v>0</v>
      </c>
      <c r="T232" s="298">
        <f>IF(IF(Scharniere[[#This Row],[Anschrauben]]=1,1,IF(Scharniere[[#This Row],[Einpressen]]=1,2,IF(Scharniere[[#This Row],[Quick]]=1,3,IF(Scharniere[[#This Row],[Werkzeuglos]]=1,4,0))))=select!$A$769,1,0)</f>
        <v>0</v>
      </c>
      <c r="U2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2" s="359">
        <f>IF(AND(Scharniere[[#This Row],[Scharnierart]]=4,Scharniere[[#This Row],[Gruppenschlüssel]]=select!$A$981)=TRUE,1,0)</f>
        <v>0</v>
      </c>
      <c r="W232" s="359">
        <f ca="1">IF(select!$O$1185&lt;6,1,0)</f>
        <v>1</v>
      </c>
      <c r="X232" s="359">
        <f>IF(select!$A$1012=IF(Scharniere[[#This Row],[mit Dämpfung]]=1,1,IF(Scharniere[[#This Row],[ohne Dämpfung]]=1,2,IF(Scharniere[[#This Row],[ohne Feder]]=1,3,0))),1,0)</f>
        <v>1</v>
      </c>
      <c r="Y232" s="359">
        <f>IF(Scharniere[[#This Row],[Bohrbild]]=select!$A$989,1,0)</f>
        <v>0</v>
      </c>
      <c r="Z232" s="359">
        <f>IF(IF(Scharniere[[#This Row],[Anschrauben]]=1,1,IF(Scharniere[[#This Row],[Einpressen]]=1,2,IF(Scharniere[[#This Row],[Quick]]=1,3,IF(Scharniere[[#This Row],[Werkzeuglos]]=1,4,0))))=select!$A$1003,1,0)</f>
        <v>0</v>
      </c>
      <c r="AA2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2" s="359">
        <f ca="1">IF(select!$K$980="*",Scharniere[[#This Row],[AG Ges2]],Scharniere[[#This Row],[AG Ges1]])</f>
        <v>0</v>
      </c>
      <c r="AE232" s="451">
        <f ca="1">IF(AND(Scharniere[[#This Row],[Scharnierart]]=select!$A$1485,Scharniere[[#This Row],[Gruppenschlüssel]]=select!$B$1485)=TRUE,1,0)</f>
        <v>0</v>
      </c>
      <c r="AF232" s="451">
        <f ca="1">IF(AND(Scharniere[[#This Row],[Scharnierart]]=select!$A$1486,Scharniere[[#This Row],[Gruppenschlüssel]]=select!$B$1486)=TRUE,1,0)</f>
        <v>0</v>
      </c>
      <c r="AG232" s="451">
        <f ca="1">IF(AND(Scharniere[[#This Row],[Scharnierart]]=select!$A$1487,Scharniere[[#This Row],[Gruppenschlüssel]]=select!$B$1487)=TRUE,1,0)</f>
        <v>0</v>
      </c>
      <c r="AH232" s="451">
        <f ca="1">IF(AND(Scharniere[[#This Row],[Scharnierart]]=select!$A$1488,Scharniere[[#This Row],[Gruppenschlüssel]]=select!$B$1488)=TRUE,1,0)</f>
        <v>0</v>
      </c>
      <c r="AI232" s="451">
        <f ca="1">IF(SUM(Scharniere[[#This Row],[konf Scharnier 1]:[konf Scharnier 4]])&gt;0,1,0)</f>
        <v>0</v>
      </c>
      <c r="AJ232" s="451"/>
      <c r="AK232" s="451"/>
      <c r="AL232" s="451"/>
      <c r="AM232" s="451"/>
      <c r="AN232" s="451"/>
      <c r="AO232" s="146">
        <v>1</v>
      </c>
      <c r="AP232" s="146">
        <v>2</v>
      </c>
      <c r="AQ232" s="10" t="str">
        <f ca="1">Sprache!$A$110</f>
        <v>Tiomos Scharnier T Click-on</v>
      </c>
      <c r="AR232" t="str">
        <f ca="1">"120°, M-BB, K19, "&amp;Sprache!A181&amp;", ni"</f>
        <v>120°, M-BB, K19, Dübel, ni</v>
      </c>
      <c r="AS232" t="str">
        <f ca="1">Sprache!$A$103</f>
        <v>Tiomos Click-On Scharniere</v>
      </c>
      <c r="AT232">
        <v>19</v>
      </c>
      <c r="AU232" s="34" t="s">
        <v>8</v>
      </c>
      <c r="AV232">
        <v>120</v>
      </c>
      <c r="AW232" s="10">
        <v>0</v>
      </c>
      <c r="AX232">
        <v>1</v>
      </c>
      <c r="AY232">
        <v>0</v>
      </c>
      <c r="AZ232" s="10">
        <v>0</v>
      </c>
      <c r="BA232">
        <v>1</v>
      </c>
      <c r="BB232">
        <v>0</v>
      </c>
      <c r="BC232">
        <v>0</v>
      </c>
      <c r="BD232" s="143" t="s">
        <v>571</v>
      </c>
      <c r="BG232"/>
    </row>
    <row r="233" spans="1:59" ht="14.25" customHeight="1" x14ac:dyDescent="0.25">
      <c r="A233" s="37" t="str">
        <f>LEFT(Scharniere[[#This Row],[ArtikelNR]],4)</f>
        <v>F028</v>
      </c>
      <c r="B233" s="35" t="str">
        <f>MID(Scharniere[[#This Row],[ArtikelNR]],5,3)</f>
        <v>139</v>
      </c>
      <c r="C233" s="37" t="str">
        <f>RIGHT(Scharniere[[#This Row],[ArtikelNR]],3)</f>
        <v>018</v>
      </c>
      <c r="D233" s="35">
        <f>IF(AND(Scharniere[[#This Row],[Gruppenschlüssel]]=select!$A$44,Scharniere[[#This Row],[Scharnierart]]=1)=TRUE,1,0)</f>
        <v>0</v>
      </c>
      <c r="E2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3" s="35">
        <f>IF(select!$F$57=IF(Scharniere[[#This Row],[mit Dämpfung]]=1,1,IF(Scharniere[[#This Row],[ohne Dämpfung]]=1,2,IF(Scharniere[[#This Row],[ohne Feder]]=1,3,0))),1,0)</f>
        <v>0</v>
      </c>
      <c r="G233" s="35">
        <f>IF(Scharniere[[#This Row],[Bohrbild]]=select!$V$43,1,0)</f>
        <v>1</v>
      </c>
      <c r="H233" s="35">
        <f>IF(IF(Scharniere[[#This Row],[Anschrauben]]=1,1,IF(Scharniere[[#This Row],[Einpressen]]=1,2,IF(Scharniere[[#This Row],[Quick]]=1,3,IF(Scharniere[[#This Row],[Werkzeuglos]]=1,4,0))))=select!$F$48,1,0)</f>
        <v>1</v>
      </c>
      <c r="I2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3" s="149">
        <f>IF(AND(Scharniere[[#This Row],[Scharnierart]]=2,Scharniere[[#This Row],[Gruppenschlüssel]]=select!$A$318)=TRUE,1,0)</f>
        <v>0</v>
      </c>
      <c r="K233" s="221">
        <f ca="1">IF(select!$O$424&lt;6,1,0)</f>
        <v>1</v>
      </c>
      <c r="L233" s="139">
        <f>IF(select!$A$362=IF(Scharniere[[#This Row],[mit Dämpfung]]=1,1,IF(Scharniere[[#This Row],[ohne Dämpfung]]=1,2,IF(Scharniere[[#This Row],[ohne Feder]]=1,3,0))),1,0)</f>
        <v>1</v>
      </c>
      <c r="M233" s="135">
        <f>IF(Scharniere[[#This Row],[Bohrbild]]=select!$O$334,1,0)</f>
        <v>1</v>
      </c>
      <c r="N233" s="135">
        <f>IF(IF(Scharniere[[#This Row],[Anschrauben]]=1,1,IF(Scharniere[[#This Row],[Einpressen]]=1,2,IF(Scharniere[[#This Row],[Quick]]=1,3,IF(Scharniere[[#This Row],[Werkzeuglos]]=1,4,0))))=select!$E$362,1,0)</f>
        <v>0</v>
      </c>
      <c r="O2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3" s="298">
        <f>IF(AND(Scharniere[[#This Row],[Scharnierart]]=3,Scharniere[[#This Row],[Gruppenschlüssel]]=select!$A$747)=TRUE,1,0)</f>
        <v>0</v>
      </c>
      <c r="Q233" s="298">
        <f ca="1">IF(select!$O$945&lt;6,1,0)</f>
        <v>1</v>
      </c>
      <c r="R233" s="298">
        <f>IF(select!$A$778=IF(Scharniere[[#This Row],[mit Dämpfung]]=1,1,IF(Scharniere[[#This Row],[ohne Dämpfung]]=1,2,IF(Scharniere[[#This Row],[ohne Feder]]=1,3,0))),1,0)</f>
        <v>0</v>
      </c>
      <c r="S233" s="298">
        <f>IF(Scharniere[[#This Row],[Bohrbild]]=select!$A$755,1,0)</f>
        <v>0</v>
      </c>
      <c r="T233" s="298">
        <f>IF(IF(Scharniere[[#This Row],[Anschrauben]]=1,1,IF(Scharniere[[#This Row],[Einpressen]]=1,2,IF(Scharniere[[#This Row],[Quick]]=1,3,IF(Scharniere[[#This Row],[Werkzeuglos]]=1,4,0))))=select!$A$769,1,0)</f>
        <v>0</v>
      </c>
      <c r="U2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3" s="359">
        <f>IF(AND(Scharniere[[#This Row],[Scharnierart]]=4,Scharniere[[#This Row],[Gruppenschlüssel]]=select!$A$981)=TRUE,1,0)</f>
        <v>0</v>
      </c>
      <c r="W233" s="359">
        <f ca="1">IF(select!$O$1185&lt;6,1,0)</f>
        <v>1</v>
      </c>
      <c r="X233" s="359">
        <f>IF(select!$A$1012=IF(Scharniere[[#This Row],[mit Dämpfung]]=1,1,IF(Scharniere[[#This Row],[ohne Dämpfung]]=1,2,IF(Scharniere[[#This Row],[ohne Feder]]=1,3,0))),1,0)</f>
        <v>0</v>
      </c>
      <c r="Y233" s="359">
        <f>IF(Scharniere[[#This Row],[Bohrbild]]=select!$A$989,1,0)</f>
        <v>0</v>
      </c>
      <c r="Z233" s="359">
        <f>IF(IF(Scharniere[[#This Row],[Anschrauben]]=1,1,IF(Scharniere[[#This Row],[Einpressen]]=1,2,IF(Scharniere[[#This Row],[Quick]]=1,3,IF(Scharniere[[#This Row],[Werkzeuglos]]=1,4,0))))=select!$A$1003,1,0)</f>
        <v>0</v>
      </c>
      <c r="AA2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3" s="359">
        <f ca="1">IF(select!$K$980="*",Scharniere[[#This Row],[AG Ges2]],Scharniere[[#This Row],[AG Ges1]])</f>
        <v>0</v>
      </c>
      <c r="AE233" s="451">
        <f ca="1">IF(AND(Scharniere[[#This Row],[Scharnierart]]=select!$A$1485,Scharniere[[#This Row],[Gruppenschlüssel]]=select!$B$1485)=TRUE,1,0)</f>
        <v>0</v>
      </c>
      <c r="AF233" s="451">
        <f ca="1">IF(AND(Scharniere[[#This Row],[Scharnierart]]=select!$A$1486,Scharniere[[#This Row],[Gruppenschlüssel]]=select!$B$1486)=TRUE,1,0)</f>
        <v>0</v>
      </c>
      <c r="AG233" s="451">
        <f ca="1">IF(AND(Scharniere[[#This Row],[Scharnierart]]=select!$A$1487,Scharniere[[#This Row],[Gruppenschlüssel]]=select!$B$1487)=TRUE,1,0)</f>
        <v>0</v>
      </c>
      <c r="AH233" s="451">
        <f ca="1">IF(AND(Scharniere[[#This Row],[Scharnierart]]=select!$A$1488,Scharniere[[#This Row],[Gruppenschlüssel]]=select!$B$1488)=TRUE,1,0)</f>
        <v>0</v>
      </c>
      <c r="AI233" s="451">
        <f ca="1">IF(SUM(Scharniere[[#This Row],[konf Scharnier 1]:[konf Scharnier 4]])&gt;0,1,0)</f>
        <v>0</v>
      </c>
      <c r="AJ233" s="451"/>
      <c r="AK233" s="451"/>
      <c r="AL233" s="451"/>
      <c r="AM233" s="451"/>
      <c r="AN233" s="451"/>
      <c r="AO233" s="146">
        <v>1</v>
      </c>
      <c r="AP233" s="146">
        <v>2</v>
      </c>
      <c r="AQ233" s="10" t="str">
        <f ca="1">Sprache!$A$112</f>
        <v>Tiomos Scharnier TS Click-on</v>
      </c>
      <c r="AR233" t="str">
        <f ca="1">"120°, M-BB, K19, "&amp;Sprache!A181&amp;", ni"</f>
        <v>120°, M-BB, K19, Dübel, ni</v>
      </c>
      <c r="AS233" t="str">
        <f ca="1">Sprache!$A$103</f>
        <v>Tiomos Click-On Scharniere</v>
      </c>
      <c r="AT233">
        <v>19</v>
      </c>
      <c r="AU233" s="34" t="s">
        <v>8</v>
      </c>
      <c r="AV233">
        <v>120</v>
      </c>
      <c r="AW233" s="10">
        <v>1</v>
      </c>
      <c r="AX233">
        <v>0</v>
      </c>
      <c r="AY233">
        <v>0</v>
      </c>
      <c r="AZ233" s="10">
        <v>0</v>
      </c>
      <c r="BA233">
        <v>1</v>
      </c>
      <c r="BB233">
        <v>0</v>
      </c>
      <c r="BC233">
        <v>0</v>
      </c>
      <c r="BD233" s="143" t="s">
        <v>419</v>
      </c>
      <c r="BG233"/>
    </row>
    <row r="234" spans="1:59" ht="14.25" customHeight="1" x14ac:dyDescent="0.25">
      <c r="A234" s="37" t="str">
        <f>LEFT(Scharniere[[#This Row],[ArtikelNR]],4)</f>
        <v>F045</v>
      </c>
      <c r="B234" s="35" t="str">
        <f>MID(Scharniere[[#This Row],[ArtikelNR]],5,3)</f>
        <v>139</v>
      </c>
      <c r="C234" s="37" t="str">
        <f>RIGHT(Scharniere[[#This Row],[ArtikelNR]],3)</f>
        <v>019</v>
      </c>
      <c r="D234" s="35">
        <f>IF(AND(Scharniere[[#This Row],[Gruppenschlüssel]]=select!$A$44,Scharniere[[#This Row],[Scharnierart]]=1)=TRUE,1,0)</f>
        <v>0</v>
      </c>
      <c r="E2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4" s="35">
        <f>IF(select!$F$57=IF(Scharniere[[#This Row],[mit Dämpfung]]=1,1,IF(Scharniere[[#This Row],[ohne Dämpfung]]=1,2,IF(Scharniere[[#This Row],[ohne Feder]]=1,3,0))),1,0)</f>
        <v>0</v>
      </c>
      <c r="G234" s="35">
        <f>IF(Scharniere[[#This Row],[Bohrbild]]=select!$V$43,1,0)</f>
        <v>1</v>
      </c>
      <c r="H234" s="35">
        <f>IF(IF(Scharniere[[#This Row],[Anschrauben]]=1,1,IF(Scharniere[[#This Row],[Einpressen]]=1,2,IF(Scharniere[[#This Row],[Quick]]=1,3,IF(Scharniere[[#This Row],[Werkzeuglos]]=1,4,0))))=select!$F$48,1,0)</f>
        <v>0</v>
      </c>
      <c r="I2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4" s="149">
        <f>IF(AND(Scharniere[[#This Row],[Scharnierart]]=2,Scharniere[[#This Row],[Gruppenschlüssel]]=select!$A$318)=TRUE,1,0)</f>
        <v>0</v>
      </c>
      <c r="K234" s="221">
        <f ca="1">IF(select!$O$424&lt;6,1,0)</f>
        <v>1</v>
      </c>
      <c r="L234" s="139">
        <f>IF(select!$A$362=IF(Scharniere[[#This Row],[mit Dämpfung]]=1,1,IF(Scharniere[[#This Row],[ohne Dämpfung]]=1,2,IF(Scharniere[[#This Row],[ohne Feder]]=1,3,0))),1,0)</f>
        <v>0</v>
      </c>
      <c r="M234" s="135">
        <f>IF(Scharniere[[#This Row],[Bohrbild]]=select!$O$334,1,0)</f>
        <v>1</v>
      </c>
      <c r="N234" s="135">
        <f>IF(IF(Scharniere[[#This Row],[Anschrauben]]=1,1,IF(Scharniere[[#This Row],[Einpressen]]=1,2,IF(Scharniere[[#This Row],[Quick]]=1,3,IF(Scharniere[[#This Row],[Werkzeuglos]]=1,4,0))))=select!$E$362,1,0)</f>
        <v>1</v>
      </c>
      <c r="O2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4" s="298">
        <f>IF(AND(Scharniere[[#This Row],[Scharnierart]]=3,Scharniere[[#This Row],[Gruppenschlüssel]]=select!$A$747)=TRUE,1,0)</f>
        <v>0</v>
      </c>
      <c r="Q234" s="298">
        <f ca="1">IF(select!$O$945&lt;6,1,0)</f>
        <v>1</v>
      </c>
      <c r="R234" s="298">
        <f>IF(select!$A$778=IF(Scharniere[[#This Row],[mit Dämpfung]]=1,1,IF(Scharniere[[#This Row],[ohne Dämpfung]]=1,2,IF(Scharniere[[#This Row],[ohne Feder]]=1,3,0))),1,0)</f>
        <v>1</v>
      </c>
      <c r="S234" s="298">
        <f>IF(Scharniere[[#This Row],[Bohrbild]]=select!$A$755,1,0)</f>
        <v>0</v>
      </c>
      <c r="T234" s="298">
        <f>IF(IF(Scharniere[[#This Row],[Anschrauben]]=1,1,IF(Scharniere[[#This Row],[Einpressen]]=1,2,IF(Scharniere[[#This Row],[Quick]]=1,3,IF(Scharniere[[#This Row],[Werkzeuglos]]=1,4,0))))=select!$A$769,1,0)</f>
        <v>1</v>
      </c>
      <c r="U2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4" s="359">
        <f>IF(AND(Scharniere[[#This Row],[Scharnierart]]=4,Scharniere[[#This Row],[Gruppenschlüssel]]=select!$A$981)=TRUE,1,0)</f>
        <v>0</v>
      </c>
      <c r="W234" s="359">
        <f ca="1">IF(select!$O$1185&lt;6,1,0)</f>
        <v>1</v>
      </c>
      <c r="X234" s="359">
        <f>IF(select!$A$1012=IF(Scharniere[[#This Row],[mit Dämpfung]]=1,1,IF(Scharniere[[#This Row],[ohne Dämpfung]]=1,2,IF(Scharniere[[#This Row],[ohne Feder]]=1,3,0))),1,0)</f>
        <v>1</v>
      </c>
      <c r="Y234" s="359">
        <f>IF(Scharniere[[#This Row],[Bohrbild]]=select!$A$989,1,0)</f>
        <v>0</v>
      </c>
      <c r="Z234" s="359">
        <f>IF(IF(Scharniere[[#This Row],[Anschrauben]]=1,1,IF(Scharniere[[#This Row],[Einpressen]]=1,2,IF(Scharniere[[#This Row],[Quick]]=1,3,IF(Scharniere[[#This Row],[Werkzeuglos]]=1,4,0))))=select!$A$1003,1,0)</f>
        <v>1</v>
      </c>
      <c r="AA2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4" s="359">
        <f ca="1">IF(select!$K$980="*",Scharniere[[#This Row],[AG Ges2]],Scharniere[[#This Row],[AG Ges1]])</f>
        <v>0</v>
      </c>
      <c r="AE234" s="451">
        <f ca="1">IF(AND(Scharniere[[#This Row],[Scharnierart]]=select!$A$1485,Scharniere[[#This Row],[Gruppenschlüssel]]=select!$B$1485)=TRUE,1,0)</f>
        <v>0</v>
      </c>
      <c r="AF234" s="451">
        <f ca="1">IF(AND(Scharniere[[#This Row],[Scharnierart]]=select!$A$1486,Scharniere[[#This Row],[Gruppenschlüssel]]=select!$B$1486)=TRUE,1,0)</f>
        <v>0</v>
      </c>
      <c r="AG234" s="451">
        <f ca="1">IF(AND(Scharniere[[#This Row],[Scharnierart]]=select!$A$1487,Scharniere[[#This Row],[Gruppenschlüssel]]=select!$B$1487)=TRUE,1,0)</f>
        <v>0</v>
      </c>
      <c r="AH234" s="451">
        <f ca="1">IF(AND(Scharniere[[#This Row],[Scharnierart]]=select!$A$1488,Scharniere[[#This Row],[Gruppenschlüssel]]=select!$B$1488)=TRUE,1,0)</f>
        <v>0</v>
      </c>
      <c r="AI234" s="451">
        <f ca="1">IF(SUM(Scharniere[[#This Row],[konf Scharnier 1]:[konf Scharnier 4]])&gt;0,1,0)</f>
        <v>0</v>
      </c>
      <c r="AJ234" s="451"/>
      <c r="AK234" s="451"/>
      <c r="AL234" s="451"/>
      <c r="AM234" s="451"/>
      <c r="AN234" s="451"/>
      <c r="AO234" s="146">
        <v>1</v>
      </c>
      <c r="AP234" s="146">
        <v>2</v>
      </c>
      <c r="AQ234" s="10" t="str">
        <f ca="1">Sprache!$A$110</f>
        <v>Tiomos Scharnier T Click-on</v>
      </c>
      <c r="AR234" t="s">
        <v>418</v>
      </c>
      <c r="AS234" t="str">
        <f ca="1">Sprache!$A$103</f>
        <v>Tiomos Click-On Scharniere</v>
      </c>
      <c r="AT234">
        <v>19</v>
      </c>
      <c r="AU234" t="s">
        <v>8</v>
      </c>
      <c r="AV234">
        <v>120</v>
      </c>
      <c r="AW234" s="10">
        <v>0</v>
      </c>
      <c r="AX234">
        <v>1</v>
      </c>
      <c r="AY234">
        <v>0</v>
      </c>
      <c r="AZ234" s="10">
        <v>1</v>
      </c>
      <c r="BA234">
        <v>0</v>
      </c>
      <c r="BB234">
        <v>0</v>
      </c>
      <c r="BC234">
        <v>0</v>
      </c>
      <c r="BD234" s="143" t="s">
        <v>570</v>
      </c>
      <c r="BG234"/>
    </row>
    <row r="235" spans="1:59" ht="14.25" customHeight="1" x14ac:dyDescent="0.25">
      <c r="A235" s="37" t="str">
        <f>LEFT(Scharniere[[#This Row],[ArtikelNR]],4)</f>
        <v>F028</v>
      </c>
      <c r="B235" s="35" t="str">
        <f>MID(Scharniere[[#This Row],[ArtikelNR]],5,3)</f>
        <v>139</v>
      </c>
      <c r="C235" s="37" t="str">
        <f>RIGHT(Scharniere[[#This Row],[ArtikelNR]],3)</f>
        <v>017</v>
      </c>
      <c r="D235" s="35">
        <f>IF(AND(Scharniere[[#This Row],[Gruppenschlüssel]]=select!$A$44,Scharniere[[#This Row],[Scharnierart]]=1)=TRUE,1,0)</f>
        <v>0</v>
      </c>
      <c r="E2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5" s="35">
        <f>IF(select!$F$57=IF(Scharniere[[#This Row],[mit Dämpfung]]=1,1,IF(Scharniere[[#This Row],[ohne Dämpfung]]=1,2,IF(Scharniere[[#This Row],[ohne Feder]]=1,3,0))),1,0)</f>
        <v>0</v>
      </c>
      <c r="G235" s="35">
        <f>IF(Scharniere[[#This Row],[Bohrbild]]=select!$V$43,1,0)</f>
        <v>1</v>
      </c>
      <c r="H235" s="35">
        <f>IF(IF(Scharniere[[#This Row],[Anschrauben]]=1,1,IF(Scharniere[[#This Row],[Einpressen]]=1,2,IF(Scharniere[[#This Row],[Quick]]=1,3,IF(Scharniere[[#This Row],[Werkzeuglos]]=1,4,0))))=select!$F$48,1,0)</f>
        <v>0</v>
      </c>
      <c r="I2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5" s="149">
        <f>IF(AND(Scharniere[[#This Row],[Scharnierart]]=2,Scharniere[[#This Row],[Gruppenschlüssel]]=select!$A$318)=TRUE,1,0)</f>
        <v>0</v>
      </c>
      <c r="K235" s="221">
        <f ca="1">IF(select!$O$424&lt;6,1,0)</f>
        <v>1</v>
      </c>
      <c r="L235" s="139">
        <f>IF(select!$A$362=IF(Scharniere[[#This Row],[mit Dämpfung]]=1,1,IF(Scharniere[[#This Row],[ohne Dämpfung]]=1,2,IF(Scharniere[[#This Row],[ohne Feder]]=1,3,0))),1,0)</f>
        <v>1</v>
      </c>
      <c r="M235" s="135">
        <f>IF(Scharniere[[#This Row],[Bohrbild]]=select!$O$334,1,0)</f>
        <v>1</v>
      </c>
      <c r="N235" s="135">
        <f>IF(IF(Scharniere[[#This Row],[Anschrauben]]=1,1,IF(Scharniere[[#This Row],[Einpressen]]=1,2,IF(Scharniere[[#This Row],[Quick]]=1,3,IF(Scharniere[[#This Row],[Werkzeuglos]]=1,4,0))))=select!$E$362,1,0)</f>
        <v>1</v>
      </c>
      <c r="O2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5" s="298">
        <f>IF(AND(Scharniere[[#This Row],[Scharnierart]]=3,Scharniere[[#This Row],[Gruppenschlüssel]]=select!$A$747)=TRUE,1,0)</f>
        <v>0</v>
      </c>
      <c r="Q235" s="298">
        <f ca="1">IF(select!$O$945&lt;6,1,0)</f>
        <v>1</v>
      </c>
      <c r="R235" s="298">
        <f>IF(select!$A$778=IF(Scharniere[[#This Row],[mit Dämpfung]]=1,1,IF(Scharniere[[#This Row],[ohne Dämpfung]]=1,2,IF(Scharniere[[#This Row],[ohne Feder]]=1,3,0))),1,0)</f>
        <v>0</v>
      </c>
      <c r="S235" s="298">
        <f>IF(Scharniere[[#This Row],[Bohrbild]]=select!$A$755,1,0)</f>
        <v>0</v>
      </c>
      <c r="T235" s="298">
        <f>IF(IF(Scharniere[[#This Row],[Anschrauben]]=1,1,IF(Scharniere[[#This Row],[Einpressen]]=1,2,IF(Scharniere[[#This Row],[Quick]]=1,3,IF(Scharniere[[#This Row],[Werkzeuglos]]=1,4,0))))=select!$A$769,1,0)</f>
        <v>1</v>
      </c>
      <c r="U2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5" s="359">
        <f>IF(AND(Scharniere[[#This Row],[Scharnierart]]=4,Scharniere[[#This Row],[Gruppenschlüssel]]=select!$A$981)=TRUE,1,0)</f>
        <v>0</v>
      </c>
      <c r="W235" s="359">
        <f ca="1">IF(select!$O$1185&lt;6,1,0)</f>
        <v>1</v>
      </c>
      <c r="X235" s="359">
        <f>IF(select!$A$1012=IF(Scharniere[[#This Row],[mit Dämpfung]]=1,1,IF(Scharniere[[#This Row],[ohne Dämpfung]]=1,2,IF(Scharniere[[#This Row],[ohne Feder]]=1,3,0))),1,0)</f>
        <v>0</v>
      </c>
      <c r="Y235" s="359">
        <f>IF(Scharniere[[#This Row],[Bohrbild]]=select!$A$989,1,0)</f>
        <v>0</v>
      </c>
      <c r="Z235" s="359">
        <f>IF(IF(Scharniere[[#This Row],[Anschrauben]]=1,1,IF(Scharniere[[#This Row],[Einpressen]]=1,2,IF(Scharniere[[#This Row],[Quick]]=1,3,IF(Scharniere[[#This Row],[Werkzeuglos]]=1,4,0))))=select!$A$1003,1,0)</f>
        <v>1</v>
      </c>
      <c r="AA2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5" s="359">
        <f ca="1">IF(select!$K$980="*",Scharniere[[#This Row],[AG Ges2]],Scharniere[[#This Row],[AG Ges1]])</f>
        <v>0</v>
      </c>
      <c r="AE235" s="451">
        <f ca="1">IF(AND(Scharniere[[#This Row],[Scharnierart]]=select!$A$1485,Scharniere[[#This Row],[Gruppenschlüssel]]=select!$B$1485)=TRUE,1,0)</f>
        <v>0</v>
      </c>
      <c r="AF235" s="451">
        <f ca="1">IF(AND(Scharniere[[#This Row],[Scharnierart]]=select!$A$1486,Scharniere[[#This Row],[Gruppenschlüssel]]=select!$B$1486)=TRUE,1,0)</f>
        <v>0</v>
      </c>
      <c r="AG235" s="451">
        <f ca="1">IF(AND(Scharniere[[#This Row],[Scharnierart]]=select!$A$1487,Scharniere[[#This Row],[Gruppenschlüssel]]=select!$B$1487)=TRUE,1,0)</f>
        <v>0</v>
      </c>
      <c r="AH235" s="451">
        <f ca="1">IF(AND(Scharniere[[#This Row],[Scharnierart]]=select!$A$1488,Scharniere[[#This Row],[Gruppenschlüssel]]=select!$B$1488)=TRUE,1,0)</f>
        <v>0</v>
      </c>
      <c r="AI235" s="451">
        <f ca="1">IF(SUM(Scharniere[[#This Row],[konf Scharnier 1]:[konf Scharnier 4]])&gt;0,1,0)</f>
        <v>0</v>
      </c>
      <c r="AJ235" s="451"/>
      <c r="AK235" s="451"/>
      <c r="AL235" s="451"/>
      <c r="AM235" s="451"/>
      <c r="AN235" s="451"/>
      <c r="AO235" s="146">
        <v>1</v>
      </c>
      <c r="AP235" s="146">
        <v>2</v>
      </c>
      <c r="AQ235" s="10" t="str">
        <f ca="1">Sprache!$A$112</f>
        <v>Tiomos Scharnier TS Click-on</v>
      </c>
      <c r="AR235" t="s">
        <v>418</v>
      </c>
      <c r="AS235" t="str">
        <f ca="1">Sprache!$A$103</f>
        <v>Tiomos Click-On Scharniere</v>
      </c>
      <c r="AT235">
        <v>19</v>
      </c>
      <c r="AU235" s="34" t="s">
        <v>8</v>
      </c>
      <c r="AV235">
        <v>120</v>
      </c>
      <c r="AW235" s="10">
        <v>1</v>
      </c>
      <c r="AX235">
        <v>0</v>
      </c>
      <c r="AY235">
        <v>0</v>
      </c>
      <c r="AZ235" s="10">
        <v>1</v>
      </c>
      <c r="BA235">
        <v>0</v>
      </c>
      <c r="BB235">
        <v>0</v>
      </c>
      <c r="BC235">
        <v>0</v>
      </c>
      <c r="BD235" s="143" t="s">
        <v>417</v>
      </c>
      <c r="BG235"/>
    </row>
    <row r="236" spans="1:59" ht="14.25" customHeight="1" x14ac:dyDescent="0.25">
      <c r="A236" s="37" t="str">
        <f>LEFT(Scharniere[[#This Row],[ArtikelNR]],4)</f>
        <v>F046</v>
      </c>
      <c r="B236" s="35" t="str">
        <f>MID(Scharniere[[#This Row],[ArtikelNR]],5,3)</f>
        <v>139</v>
      </c>
      <c r="C236" s="37" t="str">
        <f>RIGHT(Scharniere[[#This Row],[ArtikelNR]],3)</f>
        <v>021</v>
      </c>
      <c r="D236" s="35">
        <f>IF(AND(Scharniere[[#This Row],[Gruppenschlüssel]]=select!$A$44,Scharniere[[#This Row],[Scharnierart]]=1)=TRUE,1,0)</f>
        <v>0</v>
      </c>
      <c r="E2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6" s="35">
        <f>IF(select!$F$57=IF(Scharniere[[#This Row],[mit Dämpfung]]=1,1,IF(Scharniere[[#This Row],[ohne Dämpfung]]=1,2,IF(Scharniere[[#This Row],[ohne Feder]]=1,3,0))),1,0)</f>
        <v>1</v>
      </c>
      <c r="G236" s="35">
        <f>IF(Scharniere[[#This Row],[Bohrbild]]=select!$V$43,1,0)</f>
        <v>1</v>
      </c>
      <c r="H236" s="35">
        <f>IF(IF(Scharniere[[#This Row],[Anschrauben]]=1,1,IF(Scharniere[[#This Row],[Einpressen]]=1,2,IF(Scharniere[[#This Row],[Quick]]=1,3,IF(Scharniere[[#This Row],[Werkzeuglos]]=1,4,0))))=select!$F$48,1,0)</f>
        <v>0</v>
      </c>
      <c r="I2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6" s="149">
        <f>IF(AND(Scharniere[[#This Row],[Scharnierart]]=2,Scharniere[[#This Row],[Gruppenschlüssel]]=select!$A$318)=TRUE,1,0)</f>
        <v>0</v>
      </c>
      <c r="K236" s="221">
        <f ca="1">IF(select!$O$424&lt;6,1,0)</f>
        <v>1</v>
      </c>
      <c r="L236" s="139">
        <f>IF(select!$A$362=IF(Scharniere[[#This Row],[mit Dämpfung]]=1,1,IF(Scharniere[[#This Row],[ohne Dämpfung]]=1,2,IF(Scharniere[[#This Row],[ohne Feder]]=1,3,0))),1,0)</f>
        <v>0</v>
      </c>
      <c r="M236" s="135">
        <f>IF(Scharniere[[#This Row],[Bohrbild]]=select!$O$334,1,0)</f>
        <v>1</v>
      </c>
      <c r="N236" s="135">
        <f>IF(IF(Scharniere[[#This Row],[Anschrauben]]=1,1,IF(Scharniere[[#This Row],[Einpressen]]=1,2,IF(Scharniere[[#This Row],[Quick]]=1,3,IF(Scharniere[[#This Row],[Werkzeuglos]]=1,4,0))))=select!$E$362,1,0)</f>
        <v>1</v>
      </c>
      <c r="O2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6" s="298">
        <f>IF(AND(Scharniere[[#This Row],[Scharnierart]]=3,Scharniere[[#This Row],[Gruppenschlüssel]]=select!$A$747)=TRUE,1,0)</f>
        <v>0</v>
      </c>
      <c r="Q236" s="298">
        <f ca="1">IF(select!$O$945&lt;6,1,0)</f>
        <v>1</v>
      </c>
      <c r="R236" s="298">
        <f>IF(select!$A$778=IF(Scharniere[[#This Row],[mit Dämpfung]]=1,1,IF(Scharniere[[#This Row],[ohne Dämpfung]]=1,2,IF(Scharniere[[#This Row],[ohne Feder]]=1,3,0))),1,0)</f>
        <v>0</v>
      </c>
      <c r="S236" s="298">
        <f>IF(Scharniere[[#This Row],[Bohrbild]]=select!$A$755,1,0)</f>
        <v>0</v>
      </c>
      <c r="T236" s="298">
        <f>IF(IF(Scharniere[[#This Row],[Anschrauben]]=1,1,IF(Scharniere[[#This Row],[Einpressen]]=1,2,IF(Scharniere[[#This Row],[Quick]]=1,3,IF(Scharniere[[#This Row],[Werkzeuglos]]=1,4,0))))=select!$A$769,1,0)</f>
        <v>1</v>
      </c>
      <c r="U2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6" s="359">
        <f>IF(AND(Scharniere[[#This Row],[Scharnierart]]=4,Scharniere[[#This Row],[Gruppenschlüssel]]=select!$A$981)=TRUE,1,0)</f>
        <v>0</v>
      </c>
      <c r="W236" s="359">
        <f ca="1">IF(select!$O$1185&lt;6,1,0)</f>
        <v>1</v>
      </c>
      <c r="X236" s="359">
        <f>IF(select!$A$1012=IF(Scharniere[[#This Row],[mit Dämpfung]]=1,1,IF(Scharniere[[#This Row],[ohne Dämpfung]]=1,2,IF(Scharniere[[#This Row],[ohne Feder]]=1,3,0))),1,0)</f>
        <v>0</v>
      </c>
      <c r="Y236" s="359">
        <f>IF(Scharniere[[#This Row],[Bohrbild]]=select!$A$989,1,0)</f>
        <v>0</v>
      </c>
      <c r="Z236" s="359">
        <f>IF(IF(Scharniere[[#This Row],[Anschrauben]]=1,1,IF(Scharniere[[#This Row],[Einpressen]]=1,2,IF(Scharniere[[#This Row],[Quick]]=1,3,IF(Scharniere[[#This Row],[Werkzeuglos]]=1,4,0))))=select!$A$1003,1,0)</f>
        <v>1</v>
      </c>
      <c r="AA2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6" s="359">
        <f ca="1">IF(select!$K$980="*",Scharniere[[#This Row],[AG Ges2]],Scharniere[[#This Row],[AG Ges1]])</f>
        <v>0</v>
      </c>
      <c r="AE236" s="451">
        <f ca="1">IF(AND(Scharniere[[#This Row],[Scharnierart]]=select!$A$1485,Scharniere[[#This Row],[Gruppenschlüssel]]=select!$B$1485)=TRUE,1,0)</f>
        <v>0</v>
      </c>
      <c r="AF236" s="451">
        <f ca="1">IF(AND(Scharniere[[#This Row],[Scharnierart]]=select!$A$1486,Scharniere[[#This Row],[Gruppenschlüssel]]=select!$B$1486)=TRUE,1,0)</f>
        <v>0</v>
      </c>
      <c r="AG236" s="451">
        <f ca="1">IF(AND(Scharniere[[#This Row],[Scharnierart]]=select!$A$1487,Scharniere[[#This Row],[Gruppenschlüssel]]=select!$B$1487)=TRUE,1,0)</f>
        <v>0</v>
      </c>
      <c r="AH236" s="451">
        <f ca="1">IF(AND(Scharniere[[#This Row],[Scharnierart]]=select!$A$1488,Scharniere[[#This Row],[Gruppenschlüssel]]=select!$B$1488)=TRUE,1,0)</f>
        <v>0</v>
      </c>
      <c r="AI236" s="451">
        <f ca="1">IF(SUM(Scharniere[[#This Row],[konf Scharnier 1]:[konf Scharnier 4]])&gt;0,1,0)</f>
        <v>0</v>
      </c>
      <c r="AJ236" s="451"/>
      <c r="AK236" s="451"/>
      <c r="AL236" s="451"/>
      <c r="AM236" s="451"/>
      <c r="AN236" s="451"/>
      <c r="AO236" s="146">
        <v>1</v>
      </c>
      <c r="AP236" s="146">
        <v>2</v>
      </c>
      <c r="AQ236" s="10" t="str">
        <f ca="1">Sprache!$A$114</f>
        <v>Tiomos Scharnier TT Click-on</v>
      </c>
      <c r="AR236" t="s">
        <v>418</v>
      </c>
      <c r="AS236" t="str">
        <f ca="1">Sprache!$A$103</f>
        <v>Tiomos Click-On Scharniere</v>
      </c>
      <c r="AT236">
        <v>19</v>
      </c>
      <c r="AU236" s="34" t="s">
        <v>8</v>
      </c>
      <c r="AV236">
        <v>120</v>
      </c>
      <c r="AW236" s="10">
        <v>0</v>
      </c>
      <c r="AX236">
        <v>0</v>
      </c>
      <c r="AY236">
        <v>1</v>
      </c>
      <c r="AZ236" s="10">
        <v>1</v>
      </c>
      <c r="BA236">
        <v>0</v>
      </c>
      <c r="BB236">
        <v>0</v>
      </c>
      <c r="BC236">
        <v>0</v>
      </c>
      <c r="BD236" s="143" t="s">
        <v>722</v>
      </c>
      <c r="BG236"/>
    </row>
    <row r="237" spans="1:59" ht="14.25" customHeight="1" x14ac:dyDescent="0.25">
      <c r="A237" s="37" t="str">
        <f>LEFT(Scharniere[[#This Row],[ArtikelNR]],4)</f>
        <v>F034</v>
      </c>
      <c r="B237" s="35" t="str">
        <f>MID(Scharniere[[#This Row],[ArtikelNR]],5,3)</f>
        <v>139</v>
      </c>
      <c r="C237" s="37" t="str">
        <f>RIGHT(Scharniere[[#This Row],[ArtikelNR]],3)</f>
        <v>317</v>
      </c>
      <c r="D237" s="35">
        <f>IF(AND(Scharniere[[#This Row],[Gruppenschlüssel]]=select!$A$44,Scharniere[[#This Row],[Scharnierart]]=1)=TRUE,1,0)</f>
        <v>0</v>
      </c>
      <c r="E2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7" s="35">
        <f>IF(select!$F$57=IF(Scharniere[[#This Row],[mit Dämpfung]]=1,1,IF(Scharniere[[#This Row],[ohne Dämpfung]]=1,2,IF(Scharniere[[#This Row],[ohne Feder]]=1,3,0))),1,0)</f>
        <v>0</v>
      </c>
      <c r="G237" s="35">
        <f>IF(Scharniere[[#This Row],[Bohrbild]]=select!$V$43,1,0)</f>
        <v>1</v>
      </c>
      <c r="H237" s="35">
        <f>IF(IF(Scharniere[[#This Row],[Anschrauben]]=1,1,IF(Scharniere[[#This Row],[Einpressen]]=1,2,IF(Scharniere[[#This Row],[Quick]]=1,3,IF(Scharniere[[#This Row],[Werkzeuglos]]=1,4,0))))=select!$F$48,1,0)</f>
        <v>0</v>
      </c>
      <c r="I2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7" s="149">
        <f>IF(AND(Scharniere[[#This Row],[Scharnierart]]=2,Scharniere[[#This Row],[Gruppenschlüssel]]=select!$A$318)=TRUE,1,0)</f>
        <v>0</v>
      </c>
      <c r="K237" s="221">
        <f ca="1">IF(select!$O$424&lt;6,1,0)</f>
        <v>1</v>
      </c>
      <c r="L237" s="139">
        <f>IF(select!$A$362=IF(Scharniere[[#This Row],[mit Dämpfung]]=1,1,IF(Scharniere[[#This Row],[ohne Dämpfung]]=1,2,IF(Scharniere[[#This Row],[ohne Feder]]=1,3,0))),1,0)</f>
        <v>0</v>
      </c>
      <c r="M237" s="135">
        <f>IF(Scharniere[[#This Row],[Bohrbild]]=select!$O$334,1,0)</f>
        <v>1</v>
      </c>
      <c r="N237" s="135">
        <f>IF(IF(Scharniere[[#This Row],[Anschrauben]]=1,1,IF(Scharniere[[#This Row],[Einpressen]]=1,2,IF(Scharniere[[#This Row],[Quick]]=1,3,IF(Scharniere[[#This Row],[Werkzeuglos]]=1,4,0))))=select!$E$362,1,0)</f>
        <v>0</v>
      </c>
      <c r="O2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7" s="298">
        <f>IF(AND(Scharniere[[#This Row],[Scharnierart]]=3,Scharniere[[#This Row],[Gruppenschlüssel]]=select!$A$747)=TRUE,1,0)</f>
        <v>0</v>
      </c>
      <c r="Q237" s="298">
        <f ca="1">IF(select!$O$945&lt;6,1,0)</f>
        <v>1</v>
      </c>
      <c r="R237" s="298">
        <f>IF(select!$A$778=IF(Scharniere[[#This Row],[mit Dämpfung]]=1,1,IF(Scharniere[[#This Row],[ohne Dämpfung]]=1,2,IF(Scharniere[[#This Row],[ohne Feder]]=1,3,0))),1,0)</f>
        <v>1</v>
      </c>
      <c r="S237" s="298">
        <f>IF(Scharniere[[#This Row],[Bohrbild]]=select!$A$755,1,0)</f>
        <v>0</v>
      </c>
      <c r="T237" s="298">
        <f>IF(IF(Scharniere[[#This Row],[Anschrauben]]=1,1,IF(Scharniere[[#This Row],[Einpressen]]=1,2,IF(Scharniere[[#This Row],[Quick]]=1,3,IF(Scharniere[[#This Row],[Werkzeuglos]]=1,4,0))))=select!$A$769,1,0)</f>
        <v>0</v>
      </c>
      <c r="U2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7" s="359">
        <f>IF(AND(Scharniere[[#This Row],[Scharnierart]]=4,Scharniere[[#This Row],[Gruppenschlüssel]]=select!$A$981)=TRUE,1,0)</f>
        <v>0</v>
      </c>
      <c r="W237" s="359">
        <f ca="1">IF(select!$O$1185&lt;6,1,0)</f>
        <v>1</v>
      </c>
      <c r="X237" s="359">
        <f>IF(select!$A$1012=IF(Scharniere[[#This Row],[mit Dämpfung]]=1,1,IF(Scharniere[[#This Row],[ohne Dämpfung]]=1,2,IF(Scharniere[[#This Row],[ohne Feder]]=1,3,0))),1,0)</f>
        <v>1</v>
      </c>
      <c r="Y237" s="359">
        <f>IF(Scharniere[[#This Row],[Bohrbild]]=select!$A$989,1,0)</f>
        <v>0</v>
      </c>
      <c r="Z237" s="359">
        <f>IF(IF(Scharniere[[#This Row],[Anschrauben]]=1,1,IF(Scharniere[[#This Row],[Einpressen]]=1,2,IF(Scharniere[[#This Row],[Quick]]=1,3,IF(Scharniere[[#This Row],[Werkzeuglos]]=1,4,0))))=select!$A$1003,1,0)</f>
        <v>0</v>
      </c>
      <c r="AA2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7" s="359">
        <f ca="1">IF(select!$K$980="*",Scharniere[[#This Row],[AG Ges2]],Scharniere[[#This Row],[AG Ges1]])</f>
        <v>0</v>
      </c>
      <c r="AE237" s="451">
        <f ca="1">IF(AND(Scharniere[[#This Row],[Scharnierart]]=select!$A$1485,Scharniere[[#This Row],[Gruppenschlüssel]]=select!$B$1485)=TRUE,1,0)</f>
        <v>0</v>
      </c>
      <c r="AF237" s="451">
        <f ca="1">IF(AND(Scharniere[[#This Row],[Scharnierart]]=select!$A$1486,Scharniere[[#This Row],[Gruppenschlüssel]]=select!$B$1486)=TRUE,1,0)</f>
        <v>0</v>
      </c>
      <c r="AG237" s="451">
        <f ca="1">IF(AND(Scharniere[[#This Row],[Scharnierart]]=select!$A$1487,Scharniere[[#This Row],[Gruppenschlüssel]]=select!$B$1487)=TRUE,1,0)</f>
        <v>0</v>
      </c>
      <c r="AH237" s="451">
        <f ca="1">IF(AND(Scharniere[[#This Row],[Scharnierart]]=select!$A$1488,Scharniere[[#This Row],[Gruppenschlüssel]]=select!$B$1488)=TRUE,1,0)</f>
        <v>0</v>
      </c>
      <c r="AI237" s="451">
        <f ca="1">IF(SUM(Scharniere[[#This Row],[konf Scharnier 1]:[konf Scharnier 4]])&gt;0,1,0)</f>
        <v>0</v>
      </c>
      <c r="AJ237" s="451"/>
      <c r="AK237" s="451"/>
      <c r="AL237" s="451"/>
      <c r="AM237" s="451"/>
      <c r="AN237" s="451"/>
      <c r="AO237" s="146">
        <v>1</v>
      </c>
      <c r="AP237" s="146">
        <v>2</v>
      </c>
      <c r="AQ237" s="10" t="str">
        <f ca="1">Sprache!$A$111</f>
        <v>Tiomos Scharnier T Impresso</v>
      </c>
      <c r="AR237" t="s">
        <v>72</v>
      </c>
      <c r="AS237" t="str">
        <f ca="1">Sprache!$A$116</f>
        <v>Tiomos Impresso Scharniere</v>
      </c>
      <c r="AT237">
        <v>19</v>
      </c>
      <c r="AU237" s="34" t="s">
        <v>8</v>
      </c>
      <c r="AV237">
        <v>120</v>
      </c>
      <c r="AW237" s="10">
        <v>0</v>
      </c>
      <c r="AX237">
        <v>1</v>
      </c>
      <c r="AY237">
        <v>0</v>
      </c>
      <c r="AZ237" s="10">
        <v>0</v>
      </c>
      <c r="BA237">
        <v>0</v>
      </c>
      <c r="BB237">
        <v>0</v>
      </c>
      <c r="BC237">
        <v>1</v>
      </c>
      <c r="BD237" s="143" t="s">
        <v>143</v>
      </c>
      <c r="BG237"/>
    </row>
    <row r="238" spans="1:59" ht="14.25" customHeight="1" x14ac:dyDescent="0.25">
      <c r="A238" s="37" t="str">
        <f>LEFT(Scharniere[[#This Row],[ArtikelNR]],4)</f>
        <v>F034</v>
      </c>
      <c r="B238" s="35" t="str">
        <f>MID(Scharniere[[#This Row],[ArtikelNR]],5,3)</f>
        <v>139</v>
      </c>
      <c r="C238" s="37" t="str">
        <f>RIGHT(Scharniere[[#This Row],[ArtikelNR]],3)</f>
        <v>317</v>
      </c>
      <c r="D238" s="35">
        <f>IF(AND(Scharniere[[#This Row],[Gruppenschlüssel]]=select!$A$44,Scharniere[[#This Row],[Scharnierart]]=1)=TRUE,1,0)</f>
        <v>0</v>
      </c>
      <c r="E2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8" s="35">
        <f>IF(select!$F$57=IF(Scharniere[[#This Row],[mit Dämpfung]]=1,1,IF(Scharniere[[#This Row],[ohne Dämpfung]]=1,2,IF(Scharniere[[#This Row],[ohne Feder]]=1,3,0))),1,0)</f>
        <v>0</v>
      </c>
      <c r="G238" s="35">
        <f>IF(Scharniere[[#This Row],[Bohrbild]]=select!$V$43,1,0)</f>
        <v>0</v>
      </c>
      <c r="H238" s="35">
        <f>IF(IF(Scharniere[[#This Row],[Anschrauben]]=1,1,IF(Scharniere[[#This Row],[Einpressen]]=1,2,IF(Scharniere[[#This Row],[Quick]]=1,3,IF(Scharniere[[#This Row],[Werkzeuglos]]=1,4,0))))=select!$F$48,1,0)</f>
        <v>0</v>
      </c>
      <c r="I2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8" s="149">
        <f>IF(AND(Scharniere[[#This Row],[Scharnierart]]=2,Scharniere[[#This Row],[Gruppenschlüssel]]=select!$A$318)=TRUE,1,0)</f>
        <v>0</v>
      </c>
      <c r="K238" s="221">
        <f ca="1">IF(select!$O$424&lt;6,1,0)</f>
        <v>1</v>
      </c>
      <c r="L238" s="139">
        <f>IF(select!$A$362=IF(Scharniere[[#This Row],[mit Dämpfung]]=1,1,IF(Scharniere[[#This Row],[ohne Dämpfung]]=1,2,IF(Scharniere[[#This Row],[ohne Feder]]=1,3,0))),1,0)</f>
        <v>0</v>
      </c>
      <c r="M238" s="135">
        <f>IF(Scharniere[[#This Row],[Bohrbild]]=select!$O$334,1,0)</f>
        <v>0</v>
      </c>
      <c r="N238" s="135">
        <f>IF(IF(Scharniere[[#This Row],[Anschrauben]]=1,1,IF(Scharniere[[#This Row],[Einpressen]]=1,2,IF(Scharniere[[#This Row],[Quick]]=1,3,IF(Scharniere[[#This Row],[Werkzeuglos]]=1,4,0))))=select!$E$362,1,0)</f>
        <v>0</v>
      </c>
      <c r="O2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8" s="298">
        <f>IF(AND(Scharniere[[#This Row],[Scharnierart]]=3,Scharniere[[#This Row],[Gruppenschlüssel]]=select!$A$747)=TRUE,1,0)</f>
        <v>0</v>
      </c>
      <c r="Q238" s="298">
        <f ca="1">IF(select!$O$945&lt;6,1,0)</f>
        <v>1</v>
      </c>
      <c r="R238" s="298">
        <f>IF(select!$A$778=IF(Scharniere[[#This Row],[mit Dämpfung]]=1,1,IF(Scharniere[[#This Row],[ohne Dämpfung]]=1,2,IF(Scharniere[[#This Row],[ohne Feder]]=1,3,0))),1,0)</f>
        <v>1</v>
      </c>
      <c r="S238" s="298">
        <f>IF(Scharniere[[#This Row],[Bohrbild]]=select!$A$755,1,0)</f>
        <v>0</v>
      </c>
      <c r="T238" s="298">
        <f>IF(IF(Scharniere[[#This Row],[Anschrauben]]=1,1,IF(Scharniere[[#This Row],[Einpressen]]=1,2,IF(Scharniere[[#This Row],[Quick]]=1,3,IF(Scharniere[[#This Row],[Werkzeuglos]]=1,4,0))))=select!$A$769,1,0)</f>
        <v>0</v>
      </c>
      <c r="U2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8" s="359">
        <f>IF(AND(Scharniere[[#This Row],[Scharnierart]]=4,Scharniere[[#This Row],[Gruppenschlüssel]]=select!$A$981)=TRUE,1,0)</f>
        <v>0</v>
      </c>
      <c r="W238" s="359">
        <f ca="1">IF(select!$O$1185&lt;6,1,0)</f>
        <v>1</v>
      </c>
      <c r="X238" s="359">
        <f>IF(select!$A$1012=IF(Scharniere[[#This Row],[mit Dämpfung]]=1,1,IF(Scharniere[[#This Row],[ohne Dämpfung]]=1,2,IF(Scharniere[[#This Row],[ohne Feder]]=1,3,0))),1,0)</f>
        <v>1</v>
      </c>
      <c r="Y238" s="359">
        <f>IF(Scharniere[[#This Row],[Bohrbild]]=select!$A$989,1,0)</f>
        <v>0</v>
      </c>
      <c r="Z238" s="359">
        <f>IF(IF(Scharniere[[#This Row],[Anschrauben]]=1,1,IF(Scharniere[[#This Row],[Einpressen]]=1,2,IF(Scharniere[[#This Row],[Quick]]=1,3,IF(Scharniere[[#This Row],[Werkzeuglos]]=1,4,0))))=select!$A$1003,1,0)</f>
        <v>0</v>
      </c>
      <c r="AA2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8" s="359">
        <f ca="1">IF(select!$K$980="*",Scharniere[[#This Row],[AG Ges2]],Scharniere[[#This Row],[AG Ges1]])</f>
        <v>0</v>
      </c>
      <c r="AE238" s="451">
        <f ca="1">IF(AND(Scharniere[[#This Row],[Scharnierart]]=select!$A$1485,Scharniere[[#This Row],[Gruppenschlüssel]]=select!$B$1485)=TRUE,1,0)</f>
        <v>0</v>
      </c>
      <c r="AF238" s="451">
        <f ca="1">IF(AND(Scharniere[[#This Row],[Scharnierart]]=select!$A$1486,Scharniere[[#This Row],[Gruppenschlüssel]]=select!$B$1486)=TRUE,1,0)</f>
        <v>0</v>
      </c>
      <c r="AG238" s="451">
        <f ca="1">IF(AND(Scharniere[[#This Row],[Scharnierart]]=select!$A$1487,Scharniere[[#This Row],[Gruppenschlüssel]]=select!$B$1487)=TRUE,1,0)</f>
        <v>0</v>
      </c>
      <c r="AH238" s="451">
        <f ca="1">IF(AND(Scharniere[[#This Row],[Scharnierart]]=select!$A$1488,Scharniere[[#This Row],[Gruppenschlüssel]]=select!$B$1488)=TRUE,1,0)</f>
        <v>0</v>
      </c>
      <c r="AI238" s="451">
        <f ca="1">IF(SUM(Scharniere[[#This Row],[konf Scharnier 1]:[konf Scharnier 4]])&gt;0,1,0)</f>
        <v>0</v>
      </c>
      <c r="AJ238" s="451"/>
      <c r="AK238" s="451"/>
      <c r="AL238" s="451"/>
      <c r="AM238" s="451"/>
      <c r="AN238" s="451"/>
      <c r="AO238" s="146">
        <v>1</v>
      </c>
      <c r="AP238" s="146">
        <v>2</v>
      </c>
      <c r="AQ238" s="10" t="str">
        <f ca="1">Sprache!$A$111</f>
        <v>Tiomos Scharnier T Impresso</v>
      </c>
      <c r="AR238" t="s">
        <v>72</v>
      </c>
      <c r="AS238" t="str">
        <f ca="1">Sprache!$A$116</f>
        <v>Tiomos Impresso Scharniere</v>
      </c>
      <c r="AT238">
        <v>19</v>
      </c>
      <c r="AU238" s="34" t="s">
        <v>3</v>
      </c>
      <c r="AV238">
        <v>120</v>
      </c>
      <c r="AW238" s="10">
        <v>0</v>
      </c>
      <c r="AX238">
        <v>1</v>
      </c>
      <c r="AY238">
        <v>0</v>
      </c>
      <c r="AZ238" s="10">
        <v>0</v>
      </c>
      <c r="BA238">
        <v>0</v>
      </c>
      <c r="BB238">
        <v>0</v>
      </c>
      <c r="BC238">
        <v>1</v>
      </c>
      <c r="BD238" s="143" t="s">
        <v>143</v>
      </c>
      <c r="BG238"/>
    </row>
    <row r="239" spans="1:59" ht="14.25" customHeight="1" x14ac:dyDescent="0.25">
      <c r="A239" s="37" t="str">
        <f>LEFT(Scharniere[[#This Row],[ArtikelNR]],4)</f>
        <v>F017</v>
      </c>
      <c r="B239" s="35" t="str">
        <f>MID(Scharniere[[#This Row],[ArtikelNR]],5,3)</f>
        <v>139</v>
      </c>
      <c r="C239" s="37" t="str">
        <f>RIGHT(Scharniere[[#This Row],[ArtikelNR]],3)</f>
        <v>346</v>
      </c>
      <c r="D239" s="35">
        <f>IF(AND(Scharniere[[#This Row],[Gruppenschlüssel]]=select!$A$44,Scharniere[[#This Row],[Scharnierart]]=1)=TRUE,1,0)</f>
        <v>0</v>
      </c>
      <c r="E2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39" s="35">
        <f>IF(select!$F$57=IF(Scharniere[[#This Row],[mit Dämpfung]]=1,1,IF(Scharniere[[#This Row],[ohne Dämpfung]]=1,2,IF(Scharniere[[#This Row],[ohne Feder]]=1,3,0))),1,0)</f>
        <v>0</v>
      </c>
      <c r="G239" s="35">
        <f>IF(Scharniere[[#This Row],[Bohrbild]]=select!$V$43,1,0)</f>
        <v>1</v>
      </c>
      <c r="H239" s="35">
        <f>IF(IF(Scharniere[[#This Row],[Anschrauben]]=1,1,IF(Scharniere[[#This Row],[Einpressen]]=1,2,IF(Scharniere[[#This Row],[Quick]]=1,3,IF(Scharniere[[#This Row],[Werkzeuglos]]=1,4,0))))=select!$F$48,1,0)</f>
        <v>0</v>
      </c>
      <c r="I2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39" s="149">
        <f>IF(AND(Scharniere[[#This Row],[Scharnierart]]=2,Scharniere[[#This Row],[Gruppenschlüssel]]=select!$A$318)=TRUE,1,0)</f>
        <v>0</v>
      </c>
      <c r="K239" s="221">
        <f ca="1">IF(select!$O$424&lt;6,1,0)</f>
        <v>1</v>
      </c>
      <c r="L239" s="139">
        <f>IF(select!$A$362=IF(Scharniere[[#This Row],[mit Dämpfung]]=1,1,IF(Scharniere[[#This Row],[ohne Dämpfung]]=1,2,IF(Scharniere[[#This Row],[ohne Feder]]=1,3,0))),1,0)</f>
        <v>1</v>
      </c>
      <c r="M239" s="135">
        <f>IF(Scharniere[[#This Row],[Bohrbild]]=select!$O$334,1,0)</f>
        <v>1</v>
      </c>
      <c r="N239" s="135">
        <f>IF(IF(Scharniere[[#This Row],[Anschrauben]]=1,1,IF(Scharniere[[#This Row],[Einpressen]]=1,2,IF(Scharniere[[#This Row],[Quick]]=1,3,IF(Scharniere[[#This Row],[Werkzeuglos]]=1,4,0))))=select!$E$362,1,0)</f>
        <v>0</v>
      </c>
      <c r="O2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39" s="298">
        <f>IF(AND(Scharniere[[#This Row],[Scharnierart]]=3,Scharniere[[#This Row],[Gruppenschlüssel]]=select!$A$747)=TRUE,1,0)</f>
        <v>0</v>
      </c>
      <c r="Q239" s="298">
        <f ca="1">IF(select!$O$945&lt;6,1,0)</f>
        <v>1</v>
      </c>
      <c r="R239" s="298">
        <f>IF(select!$A$778=IF(Scharniere[[#This Row],[mit Dämpfung]]=1,1,IF(Scharniere[[#This Row],[ohne Dämpfung]]=1,2,IF(Scharniere[[#This Row],[ohne Feder]]=1,3,0))),1,0)</f>
        <v>0</v>
      </c>
      <c r="S239" s="298">
        <f>IF(Scharniere[[#This Row],[Bohrbild]]=select!$A$755,1,0)</f>
        <v>0</v>
      </c>
      <c r="T239" s="298">
        <f>IF(IF(Scharniere[[#This Row],[Anschrauben]]=1,1,IF(Scharniere[[#This Row],[Einpressen]]=1,2,IF(Scharniere[[#This Row],[Quick]]=1,3,IF(Scharniere[[#This Row],[Werkzeuglos]]=1,4,0))))=select!$A$769,1,0)</f>
        <v>0</v>
      </c>
      <c r="U2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39" s="359">
        <f>IF(AND(Scharniere[[#This Row],[Scharnierart]]=4,Scharniere[[#This Row],[Gruppenschlüssel]]=select!$A$981)=TRUE,1,0)</f>
        <v>0</v>
      </c>
      <c r="W239" s="359">
        <f ca="1">IF(select!$O$1185&lt;6,1,0)</f>
        <v>1</v>
      </c>
      <c r="X239" s="359">
        <f>IF(select!$A$1012=IF(Scharniere[[#This Row],[mit Dämpfung]]=1,1,IF(Scharniere[[#This Row],[ohne Dämpfung]]=1,2,IF(Scharniere[[#This Row],[ohne Feder]]=1,3,0))),1,0)</f>
        <v>0</v>
      </c>
      <c r="Y239" s="359">
        <f>IF(Scharniere[[#This Row],[Bohrbild]]=select!$A$989,1,0)</f>
        <v>0</v>
      </c>
      <c r="Z239" s="359">
        <f>IF(IF(Scharniere[[#This Row],[Anschrauben]]=1,1,IF(Scharniere[[#This Row],[Einpressen]]=1,2,IF(Scharniere[[#This Row],[Quick]]=1,3,IF(Scharniere[[#This Row],[Werkzeuglos]]=1,4,0))))=select!$A$1003,1,0)</f>
        <v>0</v>
      </c>
      <c r="AA2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39" s="359">
        <f ca="1">IF(select!$K$980="*",Scharniere[[#This Row],[AG Ges2]],Scharniere[[#This Row],[AG Ges1]])</f>
        <v>0</v>
      </c>
      <c r="AE239" s="451">
        <f ca="1">IF(AND(Scharniere[[#This Row],[Scharnierart]]=select!$A$1485,Scharniere[[#This Row],[Gruppenschlüssel]]=select!$B$1485)=TRUE,1,0)</f>
        <v>0</v>
      </c>
      <c r="AF239" s="451">
        <f ca="1">IF(AND(Scharniere[[#This Row],[Scharnierart]]=select!$A$1486,Scharniere[[#This Row],[Gruppenschlüssel]]=select!$B$1486)=TRUE,1,0)</f>
        <v>0</v>
      </c>
      <c r="AG239" s="451">
        <f ca="1">IF(AND(Scharniere[[#This Row],[Scharnierart]]=select!$A$1487,Scharniere[[#This Row],[Gruppenschlüssel]]=select!$B$1487)=TRUE,1,0)</f>
        <v>0</v>
      </c>
      <c r="AH239" s="451">
        <f ca="1">IF(AND(Scharniere[[#This Row],[Scharnierart]]=select!$A$1488,Scharniere[[#This Row],[Gruppenschlüssel]]=select!$B$1488)=TRUE,1,0)</f>
        <v>0</v>
      </c>
      <c r="AI239" s="451">
        <f ca="1">IF(SUM(Scharniere[[#This Row],[konf Scharnier 1]:[konf Scharnier 4]])&gt;0,1,0)</f>
        <v>0</v>
      </c>
      <c r="AJ239" s="451"/>
      <c r="AK239" s="451"/>
      <c r="AL239" s="451"/>
      <c r="AM239" s="451"/>
      <c r="AN239" s="451"/>
      <c r="AO239" s="146">
        <v>1</v>
      </c>
      <c r="AP239" s="146">
        <v>2</v>
      </c>
      <c r="AQ239" s="10" t="str">
        <f ca="1">Sprache!$A$113</f>
        <v>Tiomos Scharnier TS Impresso</v>
      </c>
      <c r="AR239" t="s">
        <v>72</v>
      </c>
      <c r="AS239" t="str">
        <f ca="1">Sprache!$A$116</f>
        <v>Tiomos Impresso Scharniere</v>
      </c>
      <c r="AT239">
        <v>19</v>
      </c>
      <c r="AU239" s="34" t="s">
        <v>8</v>
      </c>
      <c r="AV239">
        <v>120</v>
      </c>
      <c r="AW239" s="10">
        <v>1</v>
      </c>
      <c r="AX239">
        <v>0</v>
      </c>
      <c r="AY239">
        <v>0</v>
      </c>
      <c r="AZ239" s="10">
        <v>0</v>
      </c>
      <c r="BA239">
        <v>0</v>
      </c>
      <c r="BB239">
        <v>0</v>
      </c>
      <c r="BC239">
        <v>1</v>
      </c>
      <c r="BD239" s="143" t="s">
        <v>71</v>
      </c>
      <c r="BG239"/>
    </row>
    <row r="240" spans="1:59" ht="14.25" customHeight="1" x14ac:dyDescent="0.25">
      <c r="A240" s="37" t="str">
        <f>LEFT(Scharniere[[#This Row],[ArtikelNR]],4)</f>
        <v>F017</v>
      </c>
      <c r="B240" s="35" t="str">
        <f>MID(Scharniere[[#This Row],[ArtikelNR]],5,3)</f>
        <v>139</v>
      </c>
      <c r="C240" s="37" t="str">
        <f>RIGHT(Scharniere[[#This Row],[ArtikelNR]],3)</f>
        <v>346</v>
      </c>
      <c r="D240" s="35">
        <f>IF(AND(Scharniere[[#This Row],[Gruppenschlüssel]]=select!$A$44,Scharniere[[#This Row],[Scharnierart]]=1)=TRUE,1,0)</f>
        <v>0</v>
      </c>
      <c r="E2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0" s="35">
        <f>IF(select!$F$57=IF(Scharniere[[#This Row],[mit Dämpfung]]=1,1,IF(Scharniere[[#This Row],[ohne Dämpfung]]=1,2,IF(Scharniere[[#This Row],[ohne Feder]]=1,3,0))),1,0)</f>
        <v>0</v>
      </c>
      <c r="G240" s="35">
        <f>IF(Scharniere[[#This Row],[Bohrbild]]=select!$V$43,1,0)</f>
        <v>0</v>
      </c>
      <c r="H240" s="35">
        <f>IF(IF(Scharniere[[#This Row],[Anschrauben]]=1,1,IF(Scharniere[[#This Row],[Einpressen]]=1,2,IF(Scharniere[[#This Row],[Quick]]=1,3,IF(Scharniere[[#This Row],[Werkzeuglos]]=1,4,0))))=select!$F$48,1,0)</f>
        <v>0</v>
      </c>
      <c r="I2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0" s="149">
        <f>IF(AND(Scharniere[[#This Row],[Scharnierart]]=2,Scharniere[[#This Row],[Gruppenschlüssel]]=select!$A$318)=TRUE,1,0)</f>
        <v>0</v>
      </c>
      <c r="K240" s="221">
        <f ca="1">IF(select!$O$424&lt;6,1,0)</f>
        <v>1</v>
      </c>
      <c r="L240" s="139">
        <f>IF(select!$A$362=IF(Scharniere[[#This Row],[mit Dämpfung]]=1,1,IF(Scharniere[[#This Row],[ohne Dämpfung]]=1,2,IF(Scharniere[[#This Row],[ohne Feder]]=1,3,0))),1,0)</f>
        <v>1</v>
      </c>
      <c r="M240" s="135">
        <f>IF(Scharniere[[#This Row],[Bohrbild]]=select!$O$334,1,0)</f>
        <v>0</v>
      </c>
      <c r="N240" s="135">
        <f>IF(IF(Scharniere[[#This Row],[Anschrauben]]=1,1,IF(Scharniere[[#This Row],[Einpressen]]=1,2,IF(Scharniere[[#This Row],[Quick]]=1,3,IF(Scharniere[[#This Row],[Werkzeuglos]]=1,4,0))))=select!$E$362,1,0)</f>
        <v>0</v>
      </c>
      <c r="O2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0" s="298">
        <f>IF(AND(Scharniere[[#This Row],[Scharnierart]]=3,Scharniere[[#This Row],[Gruppenschlüssel]]=select!$A$747)=TRUE,1,0)</f>
        <v>0</v>
      </c>
      <c r="Q240" s="298">
        <f ca="1">IF(select!$O$945&lt;6,1,0)</f>
        <v>1</v>
      </c>
      <c r="R240" s="298">
        <f>IF(select!$A$778=IF(Scharniere[[#This Row],[mit Dämpfung]]=1,1,IF(Scharniere[[#This Row],[ohne Dämpfung]]=1,2,IF(Scharniere[[#This Row],[ohne Feder]]=1,3,0))),1,0)</f>
        <v>0</v>
      </c>
      <c r="S240" s="298">
        <f>IF(Scharniere[[#This Row],[Bohrbild]]=select!$A$755,1,0)</f>
        <v>0</v>
      </c>
      <c r="T240" s="298">
        <f>IF(IF(Scharniere[[#This Row],[Anschrauben]]=1,1,IF(Scharniere[[#This Row],[Einpressen]]=1,2,IF(Scharniere[[#This Row],[Quick]]=1,3,IF(Scharniere[[#This Row],[Werkzeuglos]]=1,4,0))))=select!$A$769,1,0)</f>
        <v>0</v>
      </c>
      <c r="U2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0" s="359">
        <f>IF(AND(Scharniere[[#This Row],[Scharnierart]]=4,Scharniere[[#This Row],[Gruppenschlüssel]]=select!$A$981)=TRUE,1,0)</f>
        <v>0</v>
      </c>
      <c r="W240" s="359">
        <f ca="1">IF(select!$O$1185&lt;6,1,0)</f>
        <v>1</v>
      </c>
      <c r="X240" s="359">
        <f>IF(select!$A$1012=IF(Scharniere[[#This Row],[mit Dämpfung]]=1,1,IF(Scharniere[[#This Row],[ohne Dämpfung]]=1,2,IF(Scharniere[[#This Row],[ohne Feder]]=1,3,0))),1,0)</f>
        <v>0</v>
      </c>
      <c r="Y240" s="359">
        <f>IF(Scharniere[[#This Row],[Bohrbild]]=select!$A$989,1,0)</f>
        <v>0</v>
      </c>
      <c r="Z240" s="359">
        <f>IF(IF(Scharniere[[#This Row],[Anschrauben]]=1,1,IF(Scharniere[[#This Row],[Einpressen]]=1,2,IF(Scharniere[[#This Row],[Quick]]=1,3,IF(Scharniere[[#This Row],[Werkzeuglos]]=1,4,0))))=select!$A$1003,1,0)</f>
        <v>0</v>
      </c>
      <c r="AA2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0" s="359">
        <f ca="1">IF(select!$K$980="*",Scharniere[[#This Row],[AG Ges2]],Scharniere[[#This Row],[AG Ges1]])</f>
        <v>0</v>
      </c>
      <c r="AE240" s="451">
        <f ca="1">IF(AND(Scharniere[[#This Row],[Scharnierart]]=select!$A$1485,Scharniere[[#This Row],[Gruppenschlüssel]]=select!$B$1485)=TRUE,1,0)</f>
        <v>0</v>
      </c>
      <c r="AF240" s="451">
        <f ca="1">IF(AND(Scharniere[[#This Row],[Scharnierart]]=select!$A$1486,Scharniere[[#This Row],[Gruppenschlüssel]]=select!$B$1486)=TRUE,1,0)</f>
        <v>0</v>
      </c>
      <c r="AG240" s="451">
        <f ca="1">IF(AND(Scharniere[[#This Row],[Scharnierart]]=select!$A$1487,Scharniere[[#This Row],[Gruppenschlüssel]]=select!$B$1487)=TRUE,1,0)</f>
        <v>0</v>
      </c>
      <c r="AH240" s="451">
        <f ca="1">IF(AND(Scharniere[[#This Row],[Scharnierart]]=select!$A$1488,Scharniere[[#This Row],[Gruppenschlüssel]]=select!$B$1488)=TRUE,1,0)</f>
        <v>0</v>
      </c>
      <c r="AI240" s="451">
        <f ca="1">IF(SUM(Scharniere[[#This Row],[konf Scharnier 1]:[konf Scharnier 4]])&gt;0,1,0)</f>
        <v>0</v>
      </c>
      <c r="AJ240" s="451"/>
      <c r="AK240" s="451"/>
      <c r="AL240" s="451"/>
      <c r="AM240" s="451"/>
      <c r="AN240" s="451"/>
      <c r="AO240" s="146">
        <v>1</v>
      </c>
      <c r="AP240" s="146">
        <v>2</v>
      </c>
      <c r="AQ240" s="10" t="str">
        <f ca="1">Sprache!$A$113</f>
        <v>Tiomos Scharnier TS Impresso</v>
      </c>
      <c r="AR240" t="s">
        <v>72</v>
      </c>
      <c r="AS240" t="str">
        <f ca="1">Sprache!$A$116</f>
        <v>Tiomos Impresso Scharniere</v>
      </c>
      <c r="AT240">
        <v>19</v>
      </c>
      <c r="AU240" t="s">
        <v>3</v>
      </c>
      <c r="AV240">
        <v>120</v>
      </c>
      <c r="AW240" s="10">
        <v>1</v>
      </c>
      <c r="AX240">
        <v>0</v>
      </c>
      <c r="AY240">
        <v>0</v>
      </c>
      <c r="AZ240" s="10">
        <v>0</v>
      </c>
      <c r="BA240">
        <v>0</v>
      </c>
      <c r="BB240">
        <v>0</v>
      </c>
      <c r="BC240">
        <v>1</v>
      </c>
      <c r="BD240" s="143" t="s">
        <v>71</v>
      </c>
      <c r="BG240"/>
    </row>
    <row r="241" spans="1:59" ht="14.25" customHeight="1" x14ac:dyDescent="0.25">
      <c r="A241" s="37" t="str">
        <f>LEFT(Scharniere[[#This Row],[ArtikelNR]],4)</f>
        <v>F035</v>
      </c>
      <c r="B241" s="35" t="str">
        <f>MID(Scharniere[[#This Row],[ArtikelNR]],5,3)</f>
        <v>139</v>
      </c>
      <c r="C241" s="37" t="str">
        <f>RIGHT(Scharniere[[#This Row],[ArtikelNR]],3)</f>
        <v>374</v>
      </c>
      <c r="D241" s="35">
        <f>IF(AND(Scharniere[[#This Row],[Gruppenschlüssel]]=select!$A$44,Scharniere[[#This Row],[Scharnierart]]=1)=TRUE,1,0)</f>
        <v>0</v>
      </c>
      <c r="E2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1" s="35">
        <f>IF(select!$F$57=IF(Scharniere[[#This Row],[mit Dämpfung]]=1,1,IF(Scharniere[[#This Row],[ohne Dämpfung]]=1,2,IF(Scharniere[[#This Row],[ohne Feder]]=1,3,0))),1,0)</f>
        <v>1</v>
      </c>
      <c r="G241" s="35">
        <f>IF(Scharniere[[#This Row],[Bohrbild]]=select!$V$43,1,0)</f>
        <v>1</v>
      </c>
      <c r="H241" s="35">
        <f>IF(IF(Scharniere[[#This Row],[Anschrauben]]=1,1,IF(Scharniere[[#This Row],[Einpressen]]=1,2,IF(Scharniere[[#This Row],[Quick]]=1,3,IF(Scharniere[[#This Row],[Werkzeuglos]]=1,4,0))))=select!$F$48,1,0)</f>
        <v>0</v>
      </c>
      <c r="I2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1" s="149">
        <f>IF(AND(Scharniere[[#This Row],[Scharnierart]]=2,Scharniere[[#This Row],[Gruppenschlüssel]]=select!$A$318)=TRUE,1,0)</f>
        <v>0</v>
      </c>
      <c r="K241" s="221">
        <f ca="1">IF(select!$O$424&lt;6,1,0)</f>
        <v>1</v>
      </c>
      <c r="L241" s="139">
        <f>IF(select!$A$362=IF(Scharniere[[#This Row],[mit Dämpfung]]=1,1,IF(Scharniere[[#This Row],[ohne Dämpfung]]=1,2,IF(Scharniere[[#This Row],[ohne Feder]]=1,3,0))),1,0)</f>
        <v>0</v>
      </c>
      <c r="M241" s="135">
        <f>IF(Scharniere[[#This Row],[Bohrbild]]=select!$O$334,1,0)</f>
        <v>1</v>
      </c>
      <c r="N241" s="135">
        <f>IF(IF(Scharniere[[#This Row],[Anschrauben]]=1,1,IF(Scharniere[[#This Row],[Einpressen]]=1,2,IF(Scharniere[[#This Row],[Quick]]=1,3,IF(Scharniere[[#This Row],[Werkzeuglos]]=1,4,0))))=select!$E$362,1,0)</f>
        <v>0</v>
      </c>
      <c r="O2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1" s="298">
        <f>IF(AND(Scharniere[[#This Row],[Scharnierart]]=3,Scharniere[[#This Row],[Gruppenschlüssel]]=select!$A$747)=TRUE,1,0)</f>
        <v>0</v>
      </c>
      <c r="Q241" s="298">
        <f ca="1">IF(select!$O$945&lt;6,1,0)</f>
        <v>1</v>
      </c>
      <c r="R241" s="298">
        <f>IF(select!$A$778=IF(Scharniere[[#This Row],[mit Dämpfung]]=1,1,IF(Scharniere[[#This Row],[ohne Dämpfung]]=1,2,IF(Scharniere[[#This Row],[ohne Feder]]=1,3,0))),1,0)</f>
        <v>0</v>
      </c>
      <c r="S241" s="298">
        <f>IF(Scharniere[[#This Row],[Bohrbild]]=select!$A$755,1,0)</f>
        <v>0</v>
      </c>
      <c r="T241" s="298">
        <f>IF(IF(Scharniere[[#This Row],[Anschrauben]]=1,1,IF(Scharniere[[#This Row],[Einpressen]]=1,2,IF(Scharniere[[#This Row],[Quick]]=1,3,IF(Scharniere[[#This Row],[Werkzeuglos]]=1,4,0))))=select!$A$769,1,0)</f>
        <v>0</v>
      </c>
      <c r="U2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1" s="359">
        <f>IF(AND(Scharniere[[#This Row],[Scharnierart]]=4,Scharniere[[#This Row],[Gruppenschlüssel]]=select!$A$981)=TRUE,1,0)</f>
        <v>0</v>
      </c>
      <c r="W241" s="359">
        <f ca="1">IF(select!$O$1185&lt;6,1,0)</f>
        <v>1</v>
      </c>
      <c r="X241" s="359">
        <f>IF(select!$A$1012=IF(Scharniere[[#This Row],[mit Dämpfung]]=1,1,IF(Scharniere[[#This Row],[ohne Dämpfung]]=1,2,IF(Scharniere[[#This Row],[ohne Feder]]=1,3,0))),1,0)</f>
        <v>0</v>
      </c>
      <c r="Y241" s="359">
        <f>IF(Scharniere[[#This Row],[Bohrbild]]=select!$A$989,1,0)</f>
        <v>0</v>
      </c>
      <c r="Z241" s="359">
        <f>IF(IF(Scharniere[[#This Row],[Anschrauben]]=1,1,IF(Scharniere[[#This Row],[Einpressen]]=1,2,IF(Scharniere[[#This Row],[Quick]]=1,3,IF(Scharniere[[#This Row],[Werkzeuglos]]=1,4,0))))=select!$A$1003,1,0)</f>
        <v>0</v>
      </c>
      <c r="AA2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1" s="359">
        <f ca="1">IF(select!$K$980="*",Scharniere[[#This Row],[AG Ges2]],Scharniere[[#This Row],[AG Ges1]])</f>
        <v>0</v>
      </c>
      <c r="AE241" s="451">
        <f ca="1">IF(AND(Scharniere[[#This Row],[Scharnierart]]=select!$A$1485,Scharniere[[#This Row],[Gruppenschlüssel]]=select!$B$1485)=TRUE,1,0)</f>
        <v>0</v>
      </c>
      <c r="AF241" s="451">
        <f ca="1">IF(AND(Scharniere[[#This Row],[Scharnierart]]=select!$A$1486,Scharniere[[#This Row],[Gruppenschlüssel]]=select!$B$1486)=TRUE,1,0)</f>
        <v>0</v>
      </c>
      <c r="AG241" s="451">
        <f ca="1">IF(AND(Scharniere[[#This Row],[Scharnierart]]=select!$A$1487,Scharniere[[#This Row],[Gruppenschlüssel]]=select!$B$1487)=TRUE,1,0)</f>
        <v>0</v>
      </c>
      <c r="AH241" s="451">
        <f ca="1">IF(AND(Scharniere[[#This Row],[Scharnierart]]=select!$A$1488,Scharniere[[#This Row],[Gruppenschlüssel]]=select!$B$1488)=TRUE,1,0)</f>
        <v>0</v>
      </c>
      <c r="AI241" s="451">
        <f ca="1">IF(SUM(Scharniere[[#This Row],[konf Scharnier 1]:[konf Scharnier 4]])&gt;0,1,0)</f>
        <v>0</v>
      </c>
      <c r="AJ241" s="451"/>
      <c r="AK241" s="451"/>
      <c r="AL241" s="451"/>
      <c r="AM241" s="451"/>
      <c r="AN241" s="451"/>
      <c r="AO241" s="146">
        <v>1</v>
      </c>
      <c r="AP241" s="146">
        <v>2</v>
      </c>
      <c r="AQ241" s="10" t="str">
        <f ca="1">Sprache!$A$115</f>
        <v>Tiomos Scharnier TT Impresso</v>
      </c>
      <c r="AR241" t="s">
        <v>72</v>
      </c>
      <c r="AS241" t="str">
        <f ca="1">Sprache!$A$116</f>
        <v>Tiomos Impresso Scharniere</v>
      </c>
      <c r="AT241">
        <v>19</v>
      </c>
      <c r="AU241" t="s">
        <v>8</v>
      </c>
      <c r="AV241">
        <v>120</v>
      </c>
      <c r="AW241" s="10">
        <v>0</v>
      </c>
      <c r="AX241">
        <v>0</v>
      </c>
      <c r="AY241">
        <v>1</v>
      </c>
      <c r="AZ241" s="10">
        <v>0</v>
      </c>
      <c r="BA241">
        <v>0</v>
      </c>
      <c r="BB241">
        <v>0</v>
      </c>
      <c r="BC241">
        <v>1</v>
      </c>
      <c r="BD241" s="143" t="s">
        <v>187</v>
      </c>
      <c r="BG241"/>
    </row>
    <row r="242" spans="1:59" ht="14.25" customHeight="1" x14ac:dyDescent="0.25">
      <c r="A242" s="37" t="str">
        <f>LEFT(Scharniere[[#This Row],[ArtikelNR]],4)</f>
        <v>F035</v>
      </c>
      <c r="B242" s="35" t="str">
        <f>MID(Scharniere[[#This Row],[ArtikelNR]],5,3)</f>
        <v>139</v>
      </c>
      <c r="C242" s="37" t="str">
        <f>RIGHT(Scharniere[[#This Row],[ArtikelNR]],3)</f>
        <v>374</v>
      </c>
      <c r="D242" s="35">
        <f>IF(AND(Scharniere[[#This Row],[Gruppenschlüssel]]=select!$A$44,Scharniere[[#This Row],[Scharnierart]]=1)=TRUE,1,0)</f>
        <v>0</v>
      </c>
      <c r="E2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2" s="35">
        <f>IF(select!$F$57=IF(Scharniere[[#This Row],[mit Dämpfung]]=1,1,IF(Scharniere[[#This Row],[ohne Dämpfung]]=1,2,IF(Scharniere[[#This Row],[ohne Feder]]=1,3,0))),1,0)</f>
        <v>1</v>
      </c>
      <c r="G242" s="35">
        <f>IF(Scharniere[[#This Row],[Bohrbild]]=select!$V$43,1,0)</f>
        <v>0</v>
      </c>
      <c r="H242" s="35">
        <f>IF(IF(Scharniere[[#This Row],[Anschrauben]]=1,1,IF(Scharniere[[#This Row],[Einpressen]]=1,2,IF(Scharniere[[#This Row],[Quick]]=1,3,IF(Scharniere[[#This Row],[Werkzeuglos]]=1,4,0))))=select!$F$48,1,0)</f>
        <v>0</v>
      </c>
      <c r="I2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2" s="149">
        <f>IF(AND(Scharniere[[#This Row],[Scharnierart]]=2,Scharniere[[#This Row],[Gruppenschlüssel]]=select!$A$318)=TRUE,1,0)</f>
        <v>0</v>
      </c>
      <c r="K242" s="221">
        <f ca="1">IF(select!$O$424&lt;6,1,0)</f>
        <v>1</v>
      </c>
      <c r="L242" s="139">
        <f>IF(select!$A$362=IF(Scharniere[[#This Row],[mit Dämpfung]]=1,1,IF(Scharniere[[#This Row],[ohne Dämpfung]]=1,2,IF(Scharniere[[#This Row],[ohne Feder]]=1,3,0))),1,0)</f>
        <v>0</v>
      </c>
      <c r="M242" s="135">
        <f>IF(Scharniere[[#This Row],[Bohrbild]]=select!$O$334,1,0)</f>
        <v>0</v>
      </c>
      <c r="N242" s="135">
        <f>IF(IF(Scharniere[[#This Row],[Anschrauben]]=1,1,IF(Scharniere[[#This Row],[Einpressen]]=1,2,IF(Scharniere[[#This Row],[Quick]]=1,3,IF(Scharniere[[#This Row],[Werkzeuglos]]=1,4,0))))=select!$E$362,1,0)</f>
        <v>0</v>
      </c>
      <c r="O2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2" s="298">
        <f>IF(AND(Scharniere[[#This Row],[Scharnierart]]=3,Scharniere[[#This Row],[Gruppenschlüssel]]=select!$A$747)=TRUE,1,0)</f>
        <v>0</v>
      </c>
      <c r="Q242" s="298">
        <f ca="1">IF(select!$O$945&lt;6,1,0)</f>
        <v>1</v>
      </c>
      <c r="R242" s="298">
        <f>IF(select!$A$778=IF(Scharniere[[#This Row],[mit Dämpfung]]=1,1,IF(Scharniere[[#This Row],[ohne Dämpfung]]=1,2,IF(Scharniere[[#This Row],[ohne Feder]]=1,3,0))),1,0)</f>
        <v>0</v>
      </c>
      <c r="S242" s="298">
        <f>IF(Scharniere[[#This Row],[Bohrbild]]=select!$A$755,1,0)</f>
        <v>0</v>
      </c>
      <c r="T242" s="298">
        <f>IF(IF(Scharniere[[#This Row],[Anschrauben]]=1,1,IF(Scharniere[[#This Row],[Einpressen]]=1,2,IF(Scharniere[[#This Row],[Quick]]=1,3,IF(Scharniere[[#This Row],[Werkzeuglos]]=1,4,0))))=select!$A$769,1,0)</f>
        <v>0</v>
      </c>
      <c r="U2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2" s="359">
        <f>IF(AND(Scharniere[[#This Row],[Scharnierart]]=4,Scharniere[[#This Row],[Gruppenschlüssel]]=select!$A$981)=TRUE,1,0)</f>
        <v>0</v>
      </c>
      <c r="W242" s="359">
        <f ca="1">IF(select!$O$1185&lt;6,1,0)</f>
        <v>1</v>
      </c>
      <c r="X242" s="359">
        <f>IF(select!$A$1012=IF(Scharniere[[#This Row],[mit Dämpfung]]=1,1,IF(Scharniere[[#This Row],[ohne Dämpfung]]=1,2,IF(Scharniere[[#This Row],[ohne Feder]]=1,3,0))),1,0)</f>
        <v>0</v>
      </c>
      <c r="Y242" s="359">
        <f>IF(Scharniere[[#This Row],[Bohrbild]]=select!$A$989,1,0)</f>
        <v>0</v>
      </c>
      <c r="Z242" s="359">
        <f>IF(IF(Scharniere[[#This Row],[Anschrauben]]=1,1,IF(Scharniere[[#This Row],[Einpressen]]=1,2,IF(Scharniere[[#This Row],[Quick]]=1,3,IF(Scharniere[[#This Row],[Werkzeuglos]]=1,4,0))))=select!$A$1003,1,0)</f>
        <v>0</v>
      </c>
      <c r="AA2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2" s="359">
        <f ca="1">IF(select!$K$980="*",Scharniere[[#This Row],[AG Ges2]],Scharniere[[#This Row],[AG Ges1]])</f>
        <v>0</v>
      </c>
      <c r="AE242" s="451">
        <f ca="1">IF(AND(Scharniere[[#This Row],[Scharnierart]]=select!$A$1485,Scharniere[[#This Row],[Gruppenschlüssel]]=select!$B$1485)=TRUE,1,0)</f>
        <v>0</v>
      </c>
      <c r="AF242" s="451">
        <f ca="1">IF(AND(Scharniere[[#This Row],[Scharnierart]]=select!$A$1486,Scharniere[[#This Row],[Gruppenschlüssel]]=select!$B$1486)=TRUE,1,0)</f>
        <v>0</v>
      </c>
      <c r="AG242" s="451">
        <f ca="1">IF(AND(Scharniere[[#This Row],[Scharnierart]]=select!$A$1487,Scharniere[[#This Row],[Gruppenschlüssel]]=select!$B$1487)=TRUE,1,0)</f>
        <v>0</v>
      </c>
      <c r="AH242" s="451">
        <f ca="1">IF(AND(Scharniere[[#This Row],[Scharnierart]]=select!$A$1488,Scharniere[[#This Row],[Gruppenschlüssel]]=select!$B$1488)=TRUE,1,0)</f>
        <v>0</v>
      </c>
      <c r="AI242" s="451">
        <f ca="1">IF(SUM(Scharniere[[#This Row],[konf Scharnier 1]:[konf Scharnier 4]])&gt;0,1,0)</f>
        <v>0</v>
      </c>
      <c r="AJ242" s="451"/>
      <c r="AK242" s="451"/>
      <c r="AL242" s="451"/>
      <c r="AM242" s="451"/>
      <c r="AN242" s="451"/>
      <c r="AO242" s="146">
        <v>1</v>
      </c>
      <c r="AP242" s="146">
        <v>2</v>
      </c>
      <c r="AQ242" s="10" t="str">
        <f ca="1">Sprache!$A$115</f>
        <v>Tiomos Scharnier TT Impresso</v>
      </c>
      <c r="AR242" t="s">
        <v>72</v>
      </c>
      <c r="AS242" t="str">
        <f ca="1">Sprache!$A$116</f>
        <v>Tiomos Impresso Scharniere</v>
      </c>
      <c r="AT242">
        <v>19</v>
      </c>
      <c r="AU242" t="s">
        <v>3</v>
      </c>
      <c r="AV242">
        <v>120</v>
      </c>
      <c r="AW242" s="10">
        <v>0</v>
      </c>
      <c r="AX242">
        <v>0</v>
      </c>
      <c r="AY242">
        <v>1</v>
      </c>
      <c r="AZ242" s="10">
        <v>0</v>
      </c>
      <c r="BA242">
        <v>0</v>
      </c>
      <c r="BB242">
        <v>0</v>
      </c>
      <c r="BC242">
        <v>1</v>
      </c>
      <c r="BD242" s="143" t="s">
        <v>187</v>
      </c>
      <c r="BG242"/>
    </row>
    <row r="243" spans="1:59" ht="14.25" customHeight="1" x14ac:dyDescent="0.25">
      <c r="A243" s="37" t="str">
        <f>LEFT(Scharniere[[#This Row],[ArtikelNR]],4)</f>
        <v>F045</v>
      </c>
      <c r="B243" s="35" t="str">
        <f>MID(Scharniere[[#This Row],[ArtikelNR]],5,3)</f>
        <v>139</v>
      </c>
      <c r="C243" s="37" t="str">
        <f>RIGHT(Scharniere[[#This Row],[ArtikelNR]],3)</f>
        <v>035</v>
      </c>
      <c r="D243" s="35">
        <f>IF(AND(Scharniere[[#This Row],[Gruppenschlüssel]]=select!$A$44,Scharniere[[#This Row],[Scharnierart]]=1)=TRUE,1,0)</f>
        <v>0</v>
      </c>
      <c r="E2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3" s="35">
        <f>IF(select!$F$57=IF(Scharniere[[#This Row],[mit Dämpfung]]=1,1,IF(Scharniere[[#This Row],[ohne Dämpfung]]=1,2,IF(Scharniere[[#This Row],[ohne Feder]]=1,3,0))),1,0)</f>
        <v>0</v>
      </c>
      <c r="G243" s="35">
        <f>IF(Scharniere[[#This Row],[Bohrbild]]=select!$V$43,1,0)</f>
        <v>0</v>
      </c>
      <c r="H243" s="35">
        <f>IF(IF(Scharniere[[#This Row],[Anschrauben]]=1,1,IF(Scharniere[[#This Row],[Einpressen]]=1,2,IF(Scharniere[[#This Row],[Quick]]=1,3,IF(Scharniere[[#This Row],[Werkzeuglos]]=1,4,0))))=select!$F$48,1,0)</f>
        <v>1</v>
      </c>
      <c r="I2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3" s="149">
        <f>IF(AND(Scharniere[[#This Row],[Scharnierart]]=2,Scharniere[[#This Row],[Gruppenschlüssel]]=select!$A$318)=TRUE,1,0)</f>
        <v>0</v>
      </c>
      <c r="K243" s="221">
        <f ca="1">IF(select!$O$424&lt;6,1,0)</f>
        <v>1</v>
      </c>
      <c r="L243" s="139">
        <f>IF(select!$A$362=IF(Scharniere[[#This Row],[mit Dämpfung]]=1,1,IF(Scharniere[[#This Row],[ohne Dämpfung]]=1,2,IF(Scharniere[[#This Row],[ohne Feder]]=1,3,0))),1,0)</f>
        <v>0</v>
      </c>
      <c r="M243" s="135">
        <f>IF(Scharniere[[#This Row],[Bohrbild]]=select!$O$334,1,0)</f>
        <v>0</v>
      </c>
      <c r="N243" s="135">
        <f>IF(IF(Scharniere[[#This Row],[Anschrauben]]=1,1,IF(Scharniere[[#This Row],[Einpressen]]=1,2,IF(Scharniere[[#This Row],[Quick]]=1,3,IF(Scharniere[[#This Row],[Werkzeuglos]]=1,4,0))))=select!$E$362,1,0)</f>
        <v>0</v>
      </c>
      <c r="O2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3" s="298">
        <f>IF(AND(Scharniere[[#This Row],[Scharnierart]]=3,Scharniere[[#This Row],[Gruppenschlüssel]]=select!$A$747)=TRUE,1,0)</f>
        <v>0</v>
      </c>
      <c r="Q243" s="298">
        <f ca="1">IF(select!$O$945&lt;6,1,0)</f>
        <v>1</v>
      </c>
      <c r="R243" s="298">
        <f>IF(select!$A$778=IF(Scharniere[[#This Row],[mit Dämpfung]]=1,1,IF(Scharniere[[#This Row],[ohne Dämpfung]]=1,2,IF(Scharniere[[#This Row],[ohne Feder]]=1,3,0))),1,0)</f>
        <v>1</v>
      </c>
      <c r="S243" s="298">
        <f>IF(Scharniere[[#This Row],[Bohrbild]]=select!$A$755,1,0)</f>
        <v>0</v>
      </c>
      <c r="T243" s="298">
        <f>IF(IF(Scharniere[[#This Row],[Anschrauben]]=1,1,IF(Scharniere[[#This Row],[Einpressen]]=1,2,IF(Scharniere[[#This Row],[Quick]]=1,3,IF(Scharniere[[#This Row],[Werkzeuglos]]=1,4,0))))=select!$A$769,1,0)</f>
        <v>0</v>
      </c>
      <c r="U2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3" s="359">
        <f>IF(AND(Scharniere[[#This Row],[Scharnierart]]=4,Scharniere[[#This Row],[Gruppenschlüssel]]=select!$A$981)=TRUE,1,0)</f>
        <v>0</v>
      </c>
      <c r="W243" s="359">
        <f ca="1">IF(select!$O$1185&lt;6,1,0)</f>
        <v>1</v>
      </c>
      <c r="X243" s="359">
        <f>IF(select!$A$1012=IF(Scharniere[[#This Row],[mit Dämpfung]]=1,1,IF(Scharniere[[#This Row],[ohne Dämpfung]]=1,2,IF(Scharniere[[#This Row],[ohne Feder]]=1,3,0))),1,0)</f>
        <v>1</v>
      </c>
      <c r="Y243" s="359">
        <f>IF(Scharniere[[#This Row],[Bohrbild]]=select!$A$989,1,0)</f>
        <v>0</v>
      </c>
      <c r="Z243" s="359">
        <f>IF(IF(Scharniere[[#This Row],[Anschrauben]]=1,1,IF(Scharniere[[#This Row],[Einpressen]]=1,2,IF(Scharniere[[#This Row],[Quick]]=1,3,IF(Scharniere[[#This Row],[Werkzeuglos]]=1,4,0))))=select!$A$1003,1,0)</f>
        <v>0</v>
      </c>
      <c r="AA2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3" s="359">
        <f ca="1">IF(select!$K$980="*",Scharniere[[#This Row],[AG Ges2]],Scharniere[[#This Row],[AG Ges1]])</f>
        <v>0</v>
      </c>
      <c r="AE243" s="451">
        <f ca="1">IF(AND(Scharniere[[#This Row],[Scharnierart]]=select!$A$1485,Scharniere[[#This Row],[Gruppenschlüssel]]=select!$B$1485)=TRUE,1,0)</f>
        <v>0</v>
      </c>
      <c r="AF243" s="451">
        <f ca="1">IF(AND(Scharniere[[#This Row],[Scharnierart]]=select!$A$1486,Scharniere[[#This Row],[Gruppenschlüssel]]=select!$B$1486)=TRUE,1,0)</f>
        <v>0</v>
      </c>
      <c r="AG243" s="451">
        <f ca="1">IF(AND(Scharniere[[#This Row],[Scharnierart]]=select!$A$1487,Scharniere[[#This Row],[Gruppenschlüssel]]=select!$B$1487)=TRUE,1,0)</f>
        <v>0</v>
      </c>
      <c r="AH243" s="451">
        <f ca="1">IF(AND(Scharniere[[#This Row],[Scharnierart]]=select!$A$1488,Scharniere[[#This Row],[Gruppenschlüssel]]=select!$B$1488)=TRUE,1,0)</f>
        <v>0</v>
      </c>
      <c r="AI243" s="451">
        <f ca="1">IF(SUM(Scharniere[[#This Row],[konf Scharnier 1]:[konf Scharnier 4]])&gt;0,1,0)</f>
        <v>0</v>
      </c>
      <c r="AJ243" s="451"/>
      <c r="AK243" s="451"/>
      <c r="AL243" s="451"/>
      <c r="AM243" s="451"/>
      <c r="AN243" s="451"/>
      <c r="AO243" s="146">
        <v>1</v>
      </c>
      <c r="AP243" s="146">
        <v>2</v>
      </c>
      <c r="AQ243" s="10" t="str">
        <f ca="1">Sprache!$A$110</f>
        <v>Tiomos Scharnier T Click-on</v>
      </c>
      <c r="AR243" t="str">
        <f ca="1">"120°, S-BB, K19, "&amp;Sprache!A181&amp;", ni"</f>
        <v>120°, S-BB, K19, Dübel, ni</v>
      </c>
      <c r="AS243" t="str">
        <f ca="1">Sprache!$A$103</f>
        <v>Tiomos Click-On Scharniere</v>
      </c>
      <c r="AT243">
        <v>19</v>
      </c>
      <c r="AU243" s="34" t="s">
        <v>11</v>
      </c>
      <c r="AV243">
        <v>120</v>
      </c>
      <c r="AW243" s="10">
        <v>0</v>
      </c>
      <c r="AX243">
        <v>1</v>
      </c>
      <c r="AY243">
        <v>0</v>
      </c>
      <c r="AZ243" s="10">
        <v>0</v>
      </c>
      <c r="BA243">
        <v>1</v>
      </c>
      <c r="BB243">
        <v>0</v>
      </c>
      <c r="BC243">
        <v>0</v>
      </c>
      <c r="BD243" s="143" t="s">
        <v>577</v>
      </c>
      <c r="BG243"/>
    </row>
    <row r="244" spans="1:59" ht="14.25" customHeight="1" x14ac:dyDescent="0.25">
      <c r="A244" s="37" t="str">
        <f>LEFT(Scharniere[[#This Row],[ArtikelNR]],4)</f>
        <v>F028</v>
      </c>
      <c r="B244" s="35" t="str">
        <f>MID(Scharniere[[#This Row],[ArtikelNR]],5,3)</f>
        <v>139</v>
      </c>
      <c r="C244" s="37" t="str">
        <f>RIGHT(Scharniere[[#This Row],[ArtikelNR]],3)</f>
        <v>033</v>
      </c>
      <c r="D244" s="35">
        <f>IF(AND(Scharniere[[#This Row],[Gruppenschlüssel]]=select!$A$44,Scharniere[[#This Row],[Scharnierart]]=1)=TRUE,1,0)</f>
        <v>0</v>
      </c>
      <c r="E2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4" s="35">
        <f>IF(select!$F$57=IF(Scharniere[[#This Row],[mit Dämpfung]]=1,1,IF(Scharniere[[#This Row],[ohne Dämpfung]]=1,2,IF(Scharniere[[#This Row],[ohne Feder]]=1,3,0))),1,0)</f>
        <v>0</v>
      </c>
      <c r="G244" s="35">
        <f>IF(Scharniere[[#This Row],[Bohrbild]]=select!$V$43,1,0)</f>
        <v>0</v>
      </c>
      <c r="H244" s="35">
        <f>IF(IF(Scharniere[[#This Row],[Anschrauben]]=1,1,IF(Scharniere[[#This Row],[Einpressen]]=1,2,IF(Scharniere[[#This Row],[Quick]]=1,3,IF(Scharniere[[#This Row],[Werkzeuglos]]=1,4,0))))=select!$F$48,1,0)</f>
        <v>1</v>
      </c>
      <c r="I2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4" s="149">
        <f>IF(AND(Scharniere[[#This Row],[Scharnierart]]=2,Scharniere[[#This Row],[Gruppenschlüssel]]=select!$A$318)=TRUE,1,0)</f>
        <v>0</v>
      </c>
      <c r="K244" s="221">
        <f ca="1">IF(select!$O$424&lt;6,1,0)</f>
        <v>1</v>
      </c>
      <c r="L244" s="139">
        <f>IF(select!$A$362=IF(Scharniere[[#This Row],[mit Dämpfung]]=1,1,IF(Scharniere[[#This Row],[ohne Dämpfung]]=1,2,IF(Scharniere[[#This Row],[ohne Feder]]=1,3,0))),1,0)</f>
        <v>1</v>
      </c>
      <c r="M244" s="135">
        <f>IF(Scharniere[[#This Row],[Bohrbild]]=select!$O$334,1,0)</f>
        <v>0</v>
      </c>
      <c r="N244" s="135">
        <f>IF(IF(Scharniere[[#This Row],[Anschrauben]]=1,1,IF(Scharniere[[#This Row],[Einpressen]]=1,2,IF(Scharniere[[#This Row],[Quick]]=1,3,IF(Scharniere[[#This Row],[Werkzeuglos]]=1,4,0))))=select!$E$362,1,0)</f>
        <v>0</v>
      </c>
      <c r="O2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4" s="298">
        <f>IF(AND(Scharniere[[#This Row],[Scharnierart]]=3,Scharniere[[#This Row],[Gruppenschlüssel]]=select!$A$747)=TRUE,1,0)</f>
        <v>0</v>
      </c>
      <c r="Q244" s="298">
        <f ca="1">IF(select!$O$945&lt;6,1,0)</f>
        <v>1</v>
      </c>
      <c r="R244" s="298">
        <f>IF(select!$A$778=IF(Scharniere[[#This Row],[mit Dämpfung]]=1,1,IF(Scharniere[[#This Row],[ohne Dämpfung]]=1,2,IF(Scharniere[[#This Row],[ohne Feder]]=1,3,0))),1,0)</f>
        <v>0</v>
      </c>
      <c r="S244" s="298">
        <f>IF(Scharniere[[#This Row],[Bohrbild]]=select!$A$755,1,0)</f>
        <v>0</v>
      </c>
      <c r="T244" s="298">
        <f>IF(IF(Scharniere[[#This Row],[Anschrauben]]=1,1,IF(Scharniere[[#This Row],[Einpressen]]=1,2,IF(Scharniere[[#This Row],[Quick]]=1,3,IF(Scharniere[[#This Row],[Werkzeuglos]]=1,4,0))))=select!$A$769,1,0)</f>
        <v>0</v>
      </c>
      <c r="U2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4" s="359">
        <f>IF(AND(Scharniere[[#This Row],[Scharnierart]]=4,Scharniere[[#This Row],[Gruppenschlüssel]]=select!$A$981)=TRUE,1,0)</f>
        <v>0</v>
      </c>
      <c r="W244" s="359">
        <f ca="1">IF(select!$O$1185&lt;6,1,0)</f>
        <v>1</v>
      </c>
      <c r="X244" s="359">
        <f>IF(select!$A$1012=IF(Scharniere[[#This Row],[mit Dämpfung]]=1,1,IF(Scharniere[[#This Row],[ohne Dämpfung]]=1,2,IF(Scharniere[[#This Row],[ohne Feder]]=1,3,0))),1,0)</f>
        <v>0</v>
      </c>
      <c r="Y244" s="359">
        <f>IF(Scharniere[[#This Row],[Bohrbild]]=select!$A$989,1,0)</f>
        <v>0</v>
      </c>
      <c r="Z244" s="359">
        <f>IF(IF(Scharniere[[#This Row],[Anschrauben]]=1,1,IF(Scharniere[[#This Row],[Einpressen]]=1,2,IF(Scharniere[[#This Row],[Quick]]=1,3,IF(Scharniere[[#This Row],[Werkzeuglos]]=1,4,0))))=select!$A$1003,1,0)</f>
        <v>0</v>
      </c>
      <c r="AA2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4" s="359">
        <f ca="1">IF(select!$K$980="*",Scharniere[[#This Row],[AG Ges2]],Scharniere[[#This Row],[AG Ges1]])</f>
        <v>0</v>
      </c>
      <c r="AE244" s="451">
        <f ca="1">IF(AND(Scharniere[[#This Row],[Scharnierart]]=select!$A$1485,Scharniere[[#This Row],[Gruppenschlüssel]]=select!$B$1485)=TRUE,1,0)</f>
        <v>0</v>
      </c>
      <c r="AF244" s="451">
        <f ca="1">IF(AND(Scharniere[[#This Row],[Scharnierart]]=select!$A$1486,Scharniere[[#This Row],[Gruppenschlüssel]]=select!$B$1486)=TRUE,1,0)</f>
        <v>0</v>
      </c>
      <c r="AG244" s="451">
        <f ca="1">IF(AND(Scharniere[[#This Row],[Scharnierart]]=select!$A$1487,Scharniere[[#This Row],[Gruppenschlüssel]]=select!$B$1487)=TRUE,1,0)</f>
        <v>0</v>
      </c>
      <c r="AH244" s="451">
        <f ca="1">IF(AND(Scharniere[[#This Row],[Scharnierart]]=select!$A$1488,Scharniere[[#This Row],[Gruppenschlüssel]]=select!$B$1488)=TRUE,1,0)</f>
        <v>0</v>
      </c>
      <c r="AI244" s="451">
        <f ca="1">IF(SUM(Scharniere[[#This Row],[konf Scharnier 1]:[konf Scharnier 4]])&gt;0,1,0)</f>
        <v>0</v>
      </c>
      <c r="AJ244" s="451"/>
      <c r="AK244" s="451"/>
      <c r="AL244" s="451"/>
      <c r="AM244" s="451"/>
      <c r="AN244" s="451"/>
      <c r="AO244" s="146">
        <v>1</v>
      </c>
      <c r="AP244" s="146">
        <v>2</v>
      </c>
      <c r="AQ244" s="10" t="str">
        <f ca="1">Sprache!$A$112</f>
        <v>Tiomos Scharnier TS Click-on</v>
      </c>
      <c r="AR244" t="str">
        <f ca="1">"120°, S-BB, K19, "&amp;Sprache!A181&amp;", ni"</f>
        <v>120°, S-BB, K19, Dübel, ni</v>
      </c>
      <c r="AS244" t="str">
        <f ca="1">Sprache!$A$103</f>
        <v>Tiomos Click-On Scharniere</v>
      </c>
      <c r="AT244">
        <v>19</v>
      </c>
      <c r="AU244" t="s">
        <v>11</v>
      </c>
      <c r="AV244">
        <v>120</v>
      </c>
      <c r="AW244" s="10">
        <v>1</v>
      </c>
      <c r="AX244">
        <v>0</v>
      </c>
      <c r="AY244">
        <v>0</v>
      </c>
      <c r="AZ244" s="10">
        <v>0</v>
      </c>
      <c r="BA244">
        <v>1</v>
      </c>
      <c r="BB244">
        <v>0</v>
      </c>
      <c r="BC244">
        <v>0</v>
      </c>
      <c r="BD244" s="143" t="s">
        <v>428</v>
      </c>
      <c r="BG244"/>
    </row>
    <row r="245" spans="1:59" ht="14.25" customHeight="1" x14ac:dyDescent="0.25">
      <c r="A245" s="37" t="str">
        <f>LEFT(Scharniere[[#This Row],[ArtikelNR]],4)</f>
        <v>F045</v>
      </c>
      <c r="B245" s="35" t="str">
        <f>MID(Scharniere[[#This Row],[ArtikelNR]],5,3)</f>
        <v>139</v>
      </c>
      <c r="C245" s="37" t="str">
        <f>RIGHT(Scharniere[[#This Row],[ArtikelNR]],3)</f>
        <v>034</v>
      </c>
      <c r="D245" s="35">
        <f>IF(AND(Scharniere[[#This Row],[Gruppenschlüssel]]=select!$A$44,Scharniere[[#This Row],[Scharnierart]]=1)=TRUE,1,0)</f>
        <v>0</v>
      </c>
      <c r="E2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5" s="35">
        <f>IF(select!$F$57=IF(Scharniere[[#This Row],[mit Dämpfung]]=1,1,IF(Scharniere[[#This Row],[ohne Dämpfung]]=1,2,IF(Scharniere[[#This Row],[ohne Feder]]=1,3,0))),1,0)</f>
        <v>0</v>
      </c>
      <c r="G245" s="35">
        <f>IF(Scharniere[[#This Row],[Bohrbild]]=select!$V$43,1,0)</f>
        <v>0</v>
      </c>
      <c r="H245" s="35">
        <f>IF(IF(Scharniere[[#This Row],[Anschrauben]]=1,1,IF(Scharniere[[#This Row],[Einpressen]]=1,2,IF(Scharniere[[#This Row],[Quick]]=1,3,IF(Scharniere[[#This Row],[Werkzeuglos]]=1,4,0))))=select!$F$48,1,0)</f>
        <v>0</v>
      </c>
      <c r="I2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5" s="149">
        <f>IF(AND(Scharniere[[#This Row],[Scharnierart]]=2,Scharniere[[#This Row],[Gruppenschlüssel]]=select!$A$318)=TRUE,1,0)</f>
        <v>0</v>
      </c>
      <c r="K245" s="221">
        <f ca="1">IF(select!$O$424&lt;6,1,0)</f>
        <v>1</v>
      </c>
      <c r="L245" s="139">
        <f>IF(select!$A$362=IF(Scharniere[[#This Row],[mit Dämpfung]]=1,1,IF(Scharniere[[#This Row],[ohne Dämpfung]]=1,2,IF(Scharniere[[#This Row],[ohne Feder]]=1,3,0))),1,0)</f>
        <v>0</v>
      </c>
      <c r="M245" s="135">
        <f>IF(Scharniere[[#This Row],[Bohrbild]]=select!$O$334,1,0)</f>
        <v>0</v>
      </c>
      <c r="N245" s="135">
        <f>IF(IF(Scharniere[[#This Row],[Anschrauben]]=1,1,IF(Scharniere[[#This Row],[Einpressen]]=1,2,IF(Scharniere[[#This Row],[Quick]]=1,3,IF(Scharniere[[#This Row],[Werkzeuglos]]=1,4,0))))=select!$E$362,1,0)</f>
        <v>1</v>
      </c>
      <c r="O2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5" s="298">
        <f>IF(AND(Scharniere[[#This Row],[Scharnierart]]=3,Scharniere[[#This Row],[Gruppenschlüssel]]=select!$A$747)=TRUE,1,0)</f>
        <v>0</v>
      </c>
      <c r="Q245" s="298">
        <f ca="1">IF(select!$O$945&lt;6,1,0)</f>
        <v>1</v>
      </c>
      <c r="R245" s="298">
        <f>IF(select!$A$778=IF(Scharniere[[#This Row],[mit Dämpfung]]=1,1,IF(Scharniere[[#This Row],[ohne Dämpfung]]=1,2,IF(Scharniere[[#This Row],[ohne Feder]]=1,3,0))),1,0)</f>
        <v>1</v>
      </c>
      <c r="S245" s="298">
        <f>IF(Scharniere[[#This Row],[Bohrbild]]=select!$A$755,1,0)</f>
        <v>0</v>
      </c>
      <c r="T245" s="298">
        <f>IF(IF(Scharniere[[#This Row],[Anschrauben]]=1,1,IF(Scharniere[[#This Row],[Einpressen]]=1,2,IF(Scharniere[[#This Row],[Quick]]=1,3,IF(Scharniere[[#This Row],[Werkzeuglos]]=1,4,0))))=select!$A$769,1,0)</f>
        <v>1</v>
      </c>
      <c r="U2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5" s="359">
        <f>IF(AND(Scharniere[[#This Row],[Scharnierart]]=4,Scharniere[[#This Row],[Gruppenschlüssel]]=select!$A$981)=TRUE,1,0)</f>
        <v>0</v>
      </c>
      <c r="W245" s="359">
        <f ca="1">IF(select!$O$1185&lt;6,1,0)</f>
        <v>1</v>
      </c>
      <c r="X245" s="359">
        <f>IF(select!$A$1012=IF(Scharniere[[#This Row],[mit Dämpfung]]=1,1,IF(Scharniere[[#This Row],[ohne Dämpfung]]=1,2,IF(Scharniere[[#This Row],[ohne Feder]]=1,3,0))),1,0)</f>
        <v>1</v>
      </c>
      <c r="Y245" s="359">
        <f>IF(Scharniere[[#This Row],[Bohrbild]]=select!$A$989,1,0)</f>
        <v>0</v>
      </c>
      <c r="Z245" s="359">
        <f>IF(IF(Scharniere[[#This Row],[Anschrauben]]=1,1,IF(Scharniere[[#This Row],[Einpressen]]=1,2,IF(Scharniere[[#This Row],[Quick]]=1,3,IF(Scharniere[[#This Row],[Werkzeuglos]]=1,4,0))))=select!$A$1003,1,0)</f>
        <v>1</v>
      </c>
      <c r="AA2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5" s="359">
        <f ca="1">IF(select!$K$980="*",Scharniere[[#This Row],[AG Ges2]],Scharniere[[#This Row],[AG Ges1]])</f>
        <v>0</v>
      </c>
      <c r="AE245" s="451">
        <f ca="1">IF(AND(Scharniere[[#This Row],[Scharnierart]]=select!$A$1485,Scharniere[[#This Row],[Gruppenschlüssel]]=select!$B$1485)=TRUE,1,0)</f>
        <v>0</v>
      </c>
      <c r="AF245" s="451">
        <f ca="1">IF(AND(Scharniere[[#This Row],[Scharnierart]]=select!$A$1486,Scharniere[[#This Row],[Gruppenschlüssel]]=select!$B$1486)=TRUE,1,0)</f>
        <v>0</v>
      </c>
      <c r="AG245" s="451">
        <f ca="1">IF(AND(Scharniere[[#This Row],[Scharnierart]]=select!$A$1487,Scharniere[[#This Row],[Gruppenschlüssel]]=select!$B$1487)=TRUE,1,0)</f>
        <v>0</v>
      </c>
      <c r="AH245" s="451">
        <f ca="1">IF(AND(Scharniere[[#This Row],[Scharnierart]]=select!$A$1488,Scharniere[[#This Row],[Gruppenschlüssel]]=select!$B$1488)=TRUE,1,0)</f>
        <v>0</v>
      </c>
      <c r="AI245" s="451">
        <f ca="1">IF(SUM(Scharniere[[#This Row],[konf Scharnier 1]:[konf Scharnier 4]])&gt;0,1,0)</f>
        <v>0</v>
      </c>
      <c r="AJ245" s="451"/>
      <c r="AK245" s="451"/>
      <c r="AL245" s="451"/>
      <c r="AM245" s="451"/>
      <c r="AN245" s="451"/>
      <c r="AO245" s="146">
        <v>1</v>
      </c>
      <c r="AP245" s="146">
        <v>2</v>
      </c>
      <c r="AQ245" s="10" t="str">
        <f ca="1">Sprache!$A$110</f>
        <v>Tiomos Scharnier T Click-on</v>
      </c>
      <c r="AR245" t="s">
        <v>427</v>
      </c>
      <c r="AS245" t="str">
        <f ca="1">Sprache!$A$103</f>
        <v>Tiomos Click-On Scharniere</v>
      </c>
      <c r="AT245">
        <v>19</v>
      </c>
      <c r="AU245" s="34" t="s">
        <v>11</v>
      </c>
      <c r="AV245">
        <v>120</v>
      </c>
      <c r="AW245" s="10">
        <v>0</v>
      </c>
      <c r="AX245">
        <v>1</v>
      </c>
      <c r="AY245">
        <v>0</v>
      </c>
      <c r="AZ245" s="10">
        <v>1</v>
      </c>
      <c r="BA245">
        <v>0</v>
      </c>
      <c r="BB245">
        <v>0</v>
      </c>
      <c r="BC245">
        <v>0</v>
      </c>
      <c r="BD245" s="143" t="s">
        <v>576</v>
      </c>
      <c r="BG245"/>
    </row>
    <row r="246" spans="1:59" ht="14.25" customHeight="1" x14ac:dyDescent="0.25">
      <c r="A246" s="37" t="str">
        <f>LEFT(Scharniere[[#This Row],[ArtikelNR]],4)</f>
        <v>F028</v>
      </c>
      <c r="B246" s="35" t="str">
        <f>MID(Scharniere[[#This Row],[ArtikelNR]],5,3)</f>
        <v>139</v>
      </c>
      <c r="C246" s="37" t="str">
        <f>RIGHT(Scharniere[[#This Row],[ArtikelNR]],3)</f>
        <v>032</v>
      </c>
      <c r="D246" s="35">
        <f>IF(AND(Scharniere[[#This Row],[Gruppenschlüssel]]=select!$A$44,Scharniere[[#This Row],[Scharnierart]]=1)=TRUE,1,0)</f>
        <v>0</v>
      </c>
      <c r="E2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6" s="35">
        <f>IF(select!$F$57=IF(Scharniere[[#This Row],[mit Dämpfung]]=1,1,IF(Scharniere[[#This Row],[ohne Dämpfung]]=1,2,IF(Scharniere[[#This Row],[ohne Feder]]=1,3,0))),1,0)</f>
        <v>0</v>
      </c>
      <c r="G246" s="35">
        <f>IF(Scharniere[[#This Row],[Bohrbild]]=select!$V$43,1,0)</f>
        <v>0</v>
      </c>
      <c r="H246" s="35">
        <f>IF(IF(Scharniere[[#This Row],[Anschrauben]]=1,1,IF(Scharniere[[#This Row],[Einpressen]]=1,2,IF(Scharniere[[#This Row],[Quick]]=1,3,IF(Scharniere[[#This Row],[Werkzeuglos]]=1,4,0))))=select!$F$48,1,0)</f>
        <v>0</v>
      </c>
      <c r="I2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6" s="149">
        <f>IF(AND(Scharniere[[#This Row],[Scharnierart]]=2,Scharniere[[#This Row],[Gruppenschlüssel]]=select!$A$318)=TRUE,1,0)</f>
        <v>0</v>
      </c>
      <c r="K246" s="221">
        <f ca="1">IF(select!$O$424&lt;6,1,0)</f>
        <v>1</v>
      </c>
      <c r="L246" s="139">
        <f>IF(select!$A$362=IF(Scharniere[[#This Row],[mit Dämpfung]]=1,1,IF(Scharniere[[#This Row],[ohne Dämpfung]]=1,2,IF(Scharniere[[#This Row],[ohne Feder]]=1,3,0))),1,0)</f>
        <v>1</v>
      </c>
      <c r="M246" s="135">
        <f>IF(Scharniere[[#This Row],[Bohrbild]]=select!$O$334,1,0)</f>
        <v>0</v>
      </c>
      <c r="N246" s="135">
        <f>IF(IF(Scharniere[[#This Row],[Anschrauben]]=1,1,IF(Scharniere[[#This Row],[Einpressen]]=1,2,IF(Scharniere[[#This Row],[Quick]]=1,3,IF(Scharniere[[#This Row],[Werkzeuglos]]=1,4,0))))=select!$E$362,1,0)</f>
        <v>1</v>
      </c>
      <c r="O2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6" s="298">
        <f>IF(AND(Scharniere[[#This Row],[Scharnierart]]=3,Scharniere[[#This Row],[Gruppenschlüssel]]=select!$A$747)=TRUE,1,0)</f>
        <v>0</v>
      </c>
      <c r="Q246" s="298">
        <f ca="1">IF(select!$O$945&lt;6,1,0)</f>
        <v>1</v>
      </c>
      <c r="R246" s="298">
        <f>IF(select!$A$778=IF(Scharniere[[#This Row],[mit Dämpfung]]=1,1,IF(Scharniere[[#This Row],[ohne Dämpfung]]=1,2,IF(Scharniere[[#This Row],[ohne Feder]]=1,3,0))),1,0)</f>
        <v>0</v>
      </c>
      <c r="S246" s="298">
        <f>IF(Scharniere[[#This Row],[Bohrbild]]=select!$A$755,1,0)</f>
        <v>0</v>
      </c>
      <c r="T246" s="298">
        <f>IF(IF(Scharniere[[#This Row],[Anschrauben]]=1,1,IF(Scharniere[[#This Row],[Einpressen]]=1,2,IF(Scharniere[[#This Row],[Quick]]=1,3,IF(Scharniere[[#This Row],[Werkzeuglos]]=1,4,0))))=select!$A$769,1,0)</f>
        <v>1</v>
      </c>
      <c r="U2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6" s="359">
        <f>IF(AND(Scharniere[[#This Row],[Scharnierart]]=4,Scharniere[[#This Row],[Gruppenschlüssel]]=select!$A$981)=TRUE,1,0)</f>
        <v>0</v>
      </c>
      <c r="W246" s="359">
        <f ca="1">IF(select!$O$1185&lt;6,1,0)</f>
        <v>1</v>
      </c>
      <c r="X246" s="359">
        <f>IF(select!$A$1012=IF(Scharniere[[#This Row],[mit Dämpfung]]=1,1,IF(Scharniere[[#This Row],[ohne Dämpfung]]=1,2,IF(Scharniere[[#This Row],[ohne Feder]]=1,3,0))),1,0)</f>
        <v>0</v>
      </c>
      <c r="Y246" s="359">
        <f>IF(Scharniere[[#This Row],[Bohrbild]]=select!$A$989,1,0)</f>
        <v>0</v>
      </c>
      <c r="Z246" s="359">
        <f>IF(IF(Scharniere[[#This Row],[Anschrauben]]=1,1,IF(Scharniere[[#This Row],[Einpressen]]=1,2,IF(Scharniere[[#This Row],[Quick]]=1,3,IF(Scharniere[[#This Row],[Werkzeuglos]]=1,4,0))))=select!$A$1003,1,0)</f>
        <v>1</v>
      </c>
      <c r="AA2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6" s="359">
        <f ca="1">IF(select!$K$980="*",Scharniere[[#This Row],[AG Ges2]],Scharniere[[#This Row],[AG Ges1]])</f>
        <v>0</v>
      </c>
      <c r="AE246" s="451">
        <f ca="1">IF(AND(Scharniere[[#This Row],[Scharnierart]]=select!$A$1485,Scharniere[[#This Row],[Gruppenschlüssel]]=select!$B$1485)=TRUE,1,0)</f>
        <v>0</v>
      </c>
      <c r="AF246" s="451">
        <f ca="1">IF(AND(Scharniere[[#This Row],[Scharnierart]]=select!$A$1486,Scharniere[[#This Row],[Gruppenschlüssel]]=select!$B$1486)=TRUE,1,0)</f>
        <v>0</v>
      </c>
      <c r="AG246" s="451">
        <f ca="1">IF(AND(Scharniere[[#This Row],[Scharnierart]]=select!$A$1487,Scharniere[[#This Row],[Gruppenschlüssel]]=select!$B$1487)=TRUE,1,0)</f>
        <v>0</v>
      </c>
      <c r="AH246" s="451">
        <f ca="1">IF(AND(Scharniere[[#This Row],[Scharnierart]]=select!$A$1488,Scharniere[[#This Row],[Gruppenschlüssel]]=select!$B$1488)=TRUE,1,0)</f>
        <v>0</v>
      </c>
      <c r="AI246" s="451">
        <f ca="1">IF(SUM(Scharniere[[#This Row],[konf Scharnier 1]:[konf Scharnier 4]])&gt;0,1,0)</f>
        <v>0</v>
      </c>
      <c r="AJ246" s="451"/>
      <c r="AK246" s="451"/>
      <c r="AL246" s="451"/>
      <c r="AM246" s="451"/>
      <c r="AN246" s="451"/>
      <c r="AO246" s="146">
        <v>1</v>
      </c>
      <c r="AP246" s="146">
        <v>2</v>
      </c>
      <c r="AQ246" s="10" t="str">
        <f ca="1">Sprache!$A$112</f>
        <v>Tiomos Scharnier TS Click-on</v>
      </c>
      <c r="AR246" t="s">
        <v>427</v>
      </c>
      <c r="AS246" t="str">
        <f ca="1">Sprache!$A$103</f>
        <v>Tiomos Click-On Scharniere</v>
      </c>
      <c r="AT246">
        <v>19</v>
      </c>
      <c r="AU246" s="34" t="s">
        <v>11</v>
      </c>
      <c r="AV246">
        <v>120</v>
      </c>
      <c r="AW246" s="10">
        <v>1</v>
      </c>
      <c r="AX246">
        <v>0</v>
      </c>
      <c r="AY246">
        <v>0</v>
      </c>
      <c r="AZ246" s="10">
        <v>1</v>
      </c>
      <c r="BA246">
        <v>0</v>
      </c>
      <c r="BB246">
        <v>0</v>
      </c>
      <c r="BC246">
        <v>0</v>
      </c>
      <c r="BD246" s="143" t="s">
        <v>426</v>
      </c>
      <c r="BG246"/>
    </row>
    <row r="247" spans="1:59" ht="14.25" customHeight="1" x14ac:dyDescent="0.25">
      <c r="A247" s="37" t="str">
        <f>LEFT(Scharniere[[#This Row],[ArtikelNR]],4)</f>
        <v>F046</v>
      </c>
      <c r="B247" s="35" t="str">
        <f>MID(Scharniere[[#This Row],[ArtikelNR]],5,3)</f>
        <v>139</v>
      </c>
      <c r="C247" s="37" t="str">
        <f>RIGHT(Scharniere[[#This Row],[ArtikelNR]],3)</f>
        <v>036</v>
      </c>
      <c r="D247" s="35">
        <f>IF(AND(Scharniere[[#This Row],[Gruppenschlüssel]]=select!$A$44,Scharniere[[#This Row],[Scharnierart]]=1)=TRUE,1,0)</f>
        <v>0</v>
      </c>
      <c r="E2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7" s="35">
        <f>IF(select!$F$57=IF(Scharniere[[#This Row],[mit Dämpfung]]=1,1,IF(Scharniere[[#This Row],[ohne Dämpfung]]=1,2,IF(Scharniere[[#This Row],[ohne Feder]]=1,3,0))),1,0)</f>
        <v>1</v>
      </c>
      <c r="G247" s="35">
        <f>IF(Scharniere[[#This Row],[Bohrbild]]=select!$V$43,1,0)</f>
        <v>0</v>
      </c>
      <c r="H247" s="35">
        <f>IF(IF(Scharniere[[#This Row],[Anschrauben]]=1,1,IF(Scharniere[[#This Row],[Einpressen]]=1,2,IF(Scharniere[[#This Row],[Quick]]=1,3,IF(Scharniere[[#This Row],[Werkzeuglos]]=1,4,0))))=select!$F$48,1,0)</f>
        <v>0</v>
      </c>
      <c r="I2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7" s="149">
        <f>IF(AND(Scharniere[[#This Row],[Scharnierart]]=2,Scharniere[[#This Row],[Gruppenschlüssel]]=select!$A$318)=TRUE,1,0)</f>
        <v>0</v>
      </c>
      <c r="K247" s="221">
        <f ca="1">IF(select!$O$424&lt;6,1,0)</f>
        <v>1</v>
      </c>
      <c r="L247" s="139">
        <f>IF(select!$A$362=IF(Scharniere[[#This Row],[mit Dämpfung]]=1,1,IF(Scharniere[[#This Row],[ohne Dämpfung]]=1,2,IF(Scharniere[[#This Row],[ohne Feder]]=1,3,0))),1,0)</f>
        <v>0</v>
      </c>
      <c r="M247" s="135">
        <f>IF(Scharniere[[#This Row],[Bohrbild]]=select!$O$334,1,0)</f>
        <v>0</v>
      </c>
      <c r="N247" s="135">
        <f>IF(IF(Scharniere[[#This Row],[Anschrauben]]=1,1,IF(Scharniere[[#This Row],[Einpressen]]=1,2,IF(Scharniere[[#This Row],[Quick]]=1,3,IF(Scharniere[[#This Row],[Werkzeuglos]]=1,4,0))))=select!$E$362,1,0)</f>
        <v>1</v>
      </c>
      <c r="O2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7" s="298">
        <f>IF(AND(Scharniere[[#This Row],[Scharnierart]]=3,Scharniere[[#This Row],[Gruppenschlüssel]]=select!$A$747)=TRUE,1,0)</f>
        <v>0</v>
      </c>
      <c r="Q247" s="298">
        <f ca="1">IF(select!$O$945&lt;6,1,0)</f>
        <v>1</v>
      </c>
      <c r="R247" s="298">
        <f>IF(select!$A$778=IF(Scharniere[[#This Row],[mit Dämpfung]]=1,1,IF(Scharniere[[#This Row],[ohne Dämpfung]]=1,2,IF(Scharniere[[#This Row],[ohne Feder]]=1,3,0))),1,0)</f>
        <v>0</v>
      </c>
      <c r="S247" s="298">
        <f>IF(Scharniere[[#This Row],[Bohrbild]]=select!$A$755,1,0)</f>
        <v>0</v>
      </c>
      <c r="T247" s="298">
        <f>IF(IF(Scharniere[[#This Row],[Anschrauben]]=1,1,IF(Scharniere[[#This Row],[Einpressen]]=1,2,IF(Scharniere[[#This Row],[Quick]]=1,3,IF(Scharniere[[#This Row],[Werkzeuglos]]=1,4,0))))=select!$A$769,1,0)</f>
        <v>1</v>
      </c>
      <c r="U2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7" s="359">
        <f>IF(AND(Scharniere[[#This Row],[Scharnierart]]=4,Scharniere[[#This Row],[Gruppenschlüssel]]=select!$A$981)=TRUE,1,0)</f>
        <v>0</v>
      </c>
      <c r="W247" s="359">
        <f ca="1">IF(select!$O$1185&lt;6,1,0)</f>
        <v>1</v>
      </c>
      <c r="X247" s="359">
        <f>IF(select!$A$1012=IF(Scharniere[[#This Row],[mit Dämpfung]]=1,1,IF(Scharniere[[#This Row],[ohne Dämpfung]]=1,2,IF(Scharniere[[#This Row],[ohne Feder]]=1,3,0))),1,0)</f>
        <v>0</v>
      </c>
      <c r="Y247" s="359">
        <f>IF(Scharniere[[#This Row],[Bohrbild]]=select!$A$989,1,0)</f>
        <v>0</v>
      </c>
      <c r="Z247" s="359">
        <f>IF(IF(Scharniere[[#This Row],[Anschrauben]]=1,1,IF(Scharniere[[#This Row],[Einpressen]]=1,2,IF(Scharniere[[#This Row],[Quick]]=1,3,IF(Scharniere[[#This Row],[Werkzeuglos]]=1,4,0))))=select!$A$1003,1,0)</f>
        <v>1</v>
      </c>
      <c r="AA2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7" s="359">
        <f ca="1">IF(select!$K$980="*",Scharniere[[#This Row],[AG Ges2]],Scharniere[[#This Row],[AG Ges1]])</f>
        <v>0</v>
      </c>
      <c r="AE247" s="451">
        <f ca="1">IF(AND(Scharniere[[#This Row],[Scharnierart]]=select!$A$1485,Scharniere[[#This Row],[Gruppenschlüssel]]=select!$B$1485)=TRUE,1,0)</f>
        <v>0</v>
      </c>
      <c r="AF247" s="451">
        <f ca="1">IF(AND(Scharniere[[#This Row],[Scharnierart]]=select!$A$1486,Scharniere[[#This Row],[Gruppenschlüssel]]=select!$B$1486)=TRUE,1,0)</f>
        <v>0</v>
      </c>
      <c r="AG247" s="451">
        <f ca="1">IF(AND(Scharniere[[#This Row],[Scharnierart]]=select!$A$1487,Scharniere[[#This Row],[Gruppenschlüssel]]=select!$B$1487)=TRUE,1,0)</f>
        <v>0</v>
      </c>
      <c r="AH247" s="451">
        <f ca="1">IF(AND(Scharniere[[#This Row],[Scharnierart]]=select!$A$1488,Scharniere[[#This Row],[Gruppenschlüssel]]=select!$B$1488)=TRUE,1,0)</f>
        <v>0</v>
      </c>
      <c r="AI247" s="451">
        <f ca="1">IF(SUM(Scharniere[[#This Row],[konf Scharnier 1]:[konf Scharnier 4]])&gt;0,1,0)</f>
        <v>0</v>
      </c>
      <c r="AJ247" s="451"/>
      <c r="AK247" s="451"/>
      <c r="AL247" s="451"/>
      <c r="AM247" s="451"/>
      <c r="AN247" s="451"/>
      <c r="AO247" s="146">
        <v>1</v>
      </c>
      <c r="AP247" s="146">
        <v>2</v>
      </c>
      <c r="AQ247" s="10" t="str">
        <f ca="1">Sprache!$A$114</f>
        <v>Tiomos Scharnier TT Click-on</v>
      </c>
      <c r="AR247" t="s">
        <v>427</v>
      </c>
      <c r="AS247" t="str">
        <f ca="1">Sprache!$A$103</f>
        <v>Tiomos Click-On Scharniere</v>
      </c>
      <c r="AT247">
        <v>19</v>
      </c>
      <c r="AU247" t="s">
        <v>11</v>
      </c>
      <c r="AV247">
        <v>120</v>
      </c>
      <c r="AW247" s="10">
        <v>0</v>
      </c>
      <c r="AX247">
        <v>0</v>
      </c>
      <c r="AY247">
        <v>1</v>
      </c>
      <c r="AZ247" s="10">
        <v>1</v>
      </c>
      <c r="BA247">
        <v>0</v>
      </c>
      <c r="BB247">
        <v>0</v>
      </c>
      <c r="BC247">
        <v>0</v>
      </c>
      <c r="BD247" s="143" t="s">
        <v>725</v>
      </c>
      <c r="BG247"/>
    </row>
    <row r="248" spans="1:59" ht="14.25" customHeight="1" x14ac:dyDescent="0.25">
      <c r="A248" s="37" t="str">
        <f>LEFT(Scharniere[[#This Row],[ArtikelNR]],4)</f>
        <v>F045</v>
      </c>
      <c r="B248" s="35" t="str">
        <f>MID(Scharniere[[#This Row],[ArtikelNR]],5,3)</f>
        <v>138</v>
      </c>
      <c r="C248" s="37" t="str">
        <f>RIGHT(Scharniere[[#This Row],[ArtikelNR]],3)</f>
        <v>491</v>
      </c>
      <c r="D248" s="35">
        <f>IF(AND(Scharniere[[#This Row],[Gruppenschlüssel]]=select!$A$44,Scharniere[[#This Row],[Scharnierart]]=1)=TRUE,1,0)</f>
        <v>0</v>
      </c>
      <c r="E2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8" s="35">
        <f>IF(select!$F$57=IF(Scharniere[[#This Row],[mit Dämpfung]]=1,1,IF(Scharniere[[#This Row],[ohne Dämpfung]]=1,2,IF(Scharniere[[#This Row],[ohne Feder]]=1,3,0))),1,0)</f>
        <v>0</v>
      </c>
      <c r="G248" s="35">
        <f>IF(Scharniere[[#This Row],[Bohrbild]]=select!$V$43,1,0)</f>
        <v>0</v>
      </c>
      <c r="H248" s="35">
        <f>IF(IF(Scharniere[[#This Row],[Anschrauben]]=1,1,IF(Scharniere[[#This Row],[Einpressen]]=1,2,IF(Scharniere[[#This Row],[Quick]]=1,3,IF(Scharniere[[#This Row],[Werkzeuglos]]=1,4,0))))=select!$F$48,1,0)</f>
        <v>1</v>
      </c>
      <c r="I2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8" s="149">
        <f>IF(AND(Scharniere[[#This Row],[Scharnierart]]=2,Scharniere[[#This Row],[Gruppenschlüssel]]=select!$A$318)=TRUE,1,0)</f>
        <v>0</v>
      </c>
      <c r="K248" s="221">
        <f ca="1">IF(select!$O$424&lt;6,1,0)</f>
        <v>1</v>
      </c>
      <c r="L248" s="139">
        <f>IF(select!$A$362=IF(Scharniere[[#This Row],[mit Dämpfung]]=1,1,IF(Scharniere[[#This Row],[ohne Dämpfung]]=1,2,IF(Scharniere[[#This Row],[ohne Feder]]=1,3,0))),1,0)</f>
        <v>0</v>
      </c>
      <c r="M248" s="135">
        <f>IF(Scharniere[[#This Row],[Bohrbild]]=select!$O$334,1,0)</f>
        <v>0</v>
      </c>
      <c r="N248" s="135">
        <f>IF(IF(Scharniere[[#This Row],[Anschrauben]]=1,1,IF(Scharniere[[#This Row],[Einpressen]]=1,2,IF(Scharniere[[#This Row],[Quick]]=1,3,IF(Scharniere[[#This Row],[Werkzeuglos]]=1,4,0))))=select!$E$362,1,0)</f>
        <v>0</v>
      </c>
      <c r="O2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8" s="298">
        <f>IF(AND(Scharniere[[#This Row],[Scharnierart]]=3,Scharniere[[#This Row],[Gruppenschlüssel]]=select!$A$747)=TRUE,1,0)</f>
        <v>0</v>
      </c>
      <c r="Q248" s="298">
        <f ca="1">IF(select!$O$945&lt;6,1,0)</f>
        <v>1</v>
      </c>
      <c r="R248" s="298">
        <f>IF(select!$A$778=IF(Scharniere[[#This Row],[mit Dämpfung]]=1,1,IF(Scharniere[[#This Row],[ohne Dämpfung]]=1,2,IF(Scharniere[[#This Row],[ohne Feder]]=1,3,0))),1,0)</f>
        <v>1</v>
      </c>
      <c r="S248" s="298">
        <f>IF(Scharniere[[#This Row],[Bohrbild]]=select!$A$755,1,0)</f>
        <v>0</v>
      </c>
      <c r="T248" s="298">
        <f>IF(IF(Scharniere[[#This Row],[Anschrauben]]=1,1,IF(Scharniere[[#This Row],[Einpressen]]=1,2,IF(Scharniere[[#This Row],[Quick]]=1,3,IF(Scharniere[[#This Row],[Werkzeuglos]]=1,4,0))))=select!$A$769,1,0)</f>
        <v>0</v>
      </c>
      <c r="U2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8" s="359">
        <f>IF(AND(Scharniere[[#This Row],[Scharnierart]]=4,Scharniere[[#This Row],[Gruppenschlüssel]]=select!$A$981)=TRUE,1,0)</f>
        <v>0</v>
      </c>
      <c r="W248" s="359">
        <f ca="1">IF(select!$O$1185&lt;6,1,0)</f>
        <v>1</v>
      </c>
      <c r="X248" s="359">
        <f>IF(select!$A$1012=IF(Scharniere[[#This Row],[mit Dämpfung]]=1,1,IF(Scharniere[[#This Row],[ohne Dämpfung]]=1,2,IF(Scharniere[[#This Row],[ohne Feder]]=1,3,0))),1,0)</f>
        <v>1</v>
      </c>
      <c r="Y248" s="359">
        <f>IF(Scharniere[[#This Row],[Bohrbild]]=select!$A$989,1,0)</f>
        <v>0</v>
      </c>
      <c r="Z248" s="359">
        <f>IF(IF(Scharniere[[#This Row],[Anschrauben]]=1,1,IF(Scharniere[[#This Row],[Einpressen]]=1,2,IF(Scharniere[[#This Row],[Quick]]=1,3,IF(Scharniere[[#This Row],[Werkzeuglos]]=1,4,0))))=select!$A$1003,1,0)</f>
        <v>0</v>
      </c>
      <c r="AA2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8" s="359">
        <f ca="1">IF(select!$K$980="*",Scharniere[[#This Row],[AG Ges2]],Scharniere[[#This Row],[AG Ges1]])</f>
        <v>0</v>
      </c>
      <c r="AE248" s="451">
        <f ca="1">IF(AND(Scharniere[[#This Row],[Scharnierart]]=select!$A$1485,Scharniere[[#This Row],[Gruppenschlüssel]]=select!$B$1485)=TRUE,1,0)</f>
        <v>0</v>
      </c>
      <c r="AF248" s="451">
        <f ca="1">IF(AND(Scharniere[[#This Row],[Scharnierart]]=select!$A$1486,Scharniere[[#This Row],[Gruppenschlüssel]]=select!$B$1486)=TRUE,1,0)</f>
        <v>0</v>
      </c>
      <c r="AG248" s="451">
        <f ca="1">IF(AND(Scharniere[[#This Row],[Scharnierart]]=select!$A$1487,Scharniere[[#This Row],[Gruppenschlüssel]]=select!$B$1487)=TRUE,1,0)</f>
        <v>0</v>
      </c>
      <c r="AH248" s="451">
        <f ca="1">IF(AND(Scharniere[[#This Row],[Scharnierart]]=select!$A$1488,Scharniere[[#This Row],[Gruppenschlüssel]]=select!$B$1488)=TRUE,1,0)</f>
        <v>0</v>
      </c>
      <c r="AI248" s="451">
        <f ca="1">IF(SUM(Scharniere[[#This Row],[konf Scharnier 1]:[konf Scharnier 4]])&gt;0,1,0)</f>
        <v>0</v>
      </c>
      <c r="AJ248" s="451"/>
      <c r="AK248" s="451"/>
      <c r="AL248" s="451"/>
      <c r="AM248" s="451"/>
      <c r="AN248" s="451"/>
      <c r="AO248" s="146">
        <v>1</v>
      </c>
      <c r="AP248" s="146">
        <v>2</v>
      </c>
      <c r="AQ248" s="10" t="str">
        <f ca="1">Sprache!$A$110</f>
        <v>Tiomos Scharnier T Click-on</v>
      </c>
      <c r="AR248" t="str">
        <f ca="1">"120°, B-BB, K9.5, "&amp;Sprache!A181&amp;", ni"</f>
        <v>120°, B-BB, K9.5, Dübel, ni</v>
      </c>
      <c r="AS248" t="str">
        <f ca="1">Sprache!$A$103</f>
        <v>Tiomos Click-On Scharniere</v>
      </c>
      <c r="AT248">
        <v>9.5</v>
      </c>
      <c r="AU248" t="s">
        <v>3</v>
      </c>
      <c r="AV248">
        <v>120</v>
      </c>
      <c r="AW248" s="10">
        <v>0</v>
      </c>
      <c r="AX248">
        <v>1</v>
      </c>
      <c r="AY248">
        <v>0</v>
      </c>
      <c r="AZ248" s="10">
        <v>0</v>
      </c>
      <c r="BA248">
        <v>1</v>
      </c>
      <c r="BB248">
        <v>0</v>
      </c>
      <c r="BC248">
        <v>0</v>
      </c>
      <c r="BD248" s="143" t="s">
        <v>498</v>
      </c>
      <c r="BG248"/>
    </row>
    <row r="249" spans="1:59" ht="14.25" customHeight="1" x14ac:dyDescent="0.25">
      <c r="A249" s="37" t="str">
        <f>LEFT(Scharniere[[#This Row],[ArtikelNR]],4)</f>
        <v>F028</v>
      </c>
      <c r="B249" s="35" t="str">
        <f>MID(Scharniere[[#This Row],[ArtikelNR]],5,3)</f>
        <v>138</v>
      </c>
      <c r="C249" s="37" t="str">
        <f>RIGHT(Scharniere[[#This Row],[ArtikelNR]],3)</f>
        <v>553</v>
      </c>
      <c r="D249" s="35">
        <f>IF(AND(Scharniere[[#This Row],[Gruppenschlüssel]]=select!$A$44,Scharniere[[#This Row],[Scharnierart]]=1)=TRUE,1,0)</f>
        <v>0</v>
      </c>
      <c r="E2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49" s="35">
        <f>IF(select!$F$57=IF(Scharniere[[#This Row],[mit Dämpfung]]=1,1,IF(Scharniere[[#This Row],[ohne Dämpfung]]=1,2,IF(Scharniere[[#This Row],[ohne Feder]]=1,3,0))),1,0)</f>
        <v>0</v>
      </c>
      <c r="G249" s="35">
        <f>IF(Scharniere[[#This Row],[Bohrbild]]=select!$V$43,1,0)</f>
        <v>0</v>
      </c>
      <c r="H249" s="35">
        <f>IF(IF(Scharniere[[#This Row],[Anschrauben]]=1,1,IF(Scharniere[[#This Row],[Einpressen]]=1,2,IF(Scharniere[[#This Row],[Quick]]=1,3,IF(Scharniere[[#This Row],[Werkzeuglos]]=1,4,0))))=select!$F$48,1,0)</f>
        <v>1</v>
      </c>
      <c r="I2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49" s="149">
        <f>IF(AND(Scharniere[[#This Row],[Scharnierart]]=2,Scharniere[[#This Row],[Gruppenschlüssel]]=select!$A$318)=TRUE,1,0)</f>
        <v>0</v>
      </c>
      <c r="K249" s="221">
        <f ca="1">IF(select!$O$424&lt;6,1,0)</f>
        <v>1</v>
      </c>
      <c r="L249" s="139">
        <f>IF(select!$A$362=IF(Scharniere[[#This Row],[mit Dämpfung]]=1,1,IF(Scharniere[[#This Row],[ohne Dämpfung]]=1,2,IF(Scharniere[[#This Row],[ohne Feder]]=1,3,0))),1,0)</f>
        <v>1</v>
      </c>
      <c r="M249" s="135">
        <f>IF(Scharniere[[#This Row],[Bohrbild]]=select!$O$334,1,0)</f>
        <v>0</v>
      </c>
      <c r="N249" s="135">
        <f>IF(IF(Scharniere[[#This Row],[Anschrauben]]=1,1,IF(Scharniere[[#This Row],[Einpressen]]=1,2,IF(Scharniere[[#This Row],[Quick]]=1,3,IF(Scharniere[[#This Row],[Werkzeuglos]]=1,4,0))))=select!$E$362,1,0)</f>
        <v>0</v>
      </c>
      <c r="O2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49" s="298">
        <f>IF(AND(Scharniere[[#This Row],[Scharnierart]]=3,Scharniere[[#This Row],[Gruppenschlüssel]]=select!$A$747)=TRUE,1,0)</f>
        <v>0</v>
      </c>
      <c r="Q249" s="298">
        <f ca="1">IF(select!$O$945&lt;6,1,0)</f>
        <v>1</v>
      </c>
      <c r="R249" s="298">
        <f>IF(select!$A$778=IF(Scharniere[[#This Row],[mit Dämpfung]]=1,1,IF(Scharniere[[#This Row],[ohne Dämpfung]]=1,2,IF(Scharniere[[#This Row],[ohne Feder]]=1,3,0))),1,0)</f>
        <v>0</v>
      </c>
      <c r="S249" s="298">
        <f>IF(Scharniere[[#This Row],[Bohrbild]]=select!$A$755,1,0)</f>
        <v>0</v>
      </c>
      <c r="T249" s="298">
        <f>IF(IF(Scharniere[[#This Row],[Anschrauben]]=1,1,IF(Scharniere[[#This Row],[Einpressen]]=1,2,IF(Scharniere[[#This Row],[Quick]]=1,3,IF(Scharniere[[#This Row],[Werkzeuglos]]=1,4,0))))=select!$A$769,1,0)</f>
        <v>0</v>
      </c>
      <c r="U2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49" s="359">
        <f>IF(AND(Scharniere[[#This Row],[Scharnierart]]=4,Scharniere[[#This Row],[Gruppenschlüssel]]=select!$A$981)=TRUE,1,0)</f>
        <v>0</v>
      </c>
      <c r="W249" s="359">
        <f ca="1">IF(select!$O$1185&lt;6,1,0)</f>
        <v>1</v>
      </c>
      <c r="X249" s="359">
        <f>IF(select!$A$1012=IF(Scharniere[[#This Row],[mit Dämpfung]]=1,1,IF(Scharniere[[#This Row],[ohne Dämpfung]]=1,2,IF(Scharniere[[#This Row],[ohne Feder]]=1,3,0))),1,0)</f>
        <v>0</v>
      </c>
      <c r="Y249" s="359">
        <f>IF(Scharniere[[#This Row],[Bohrbild]]=select!$A$989,1,0)</f>
        <v>0</v>
      </c>
      <c r="Z249" s="359">
        <f>IF(IF(Scharniere[[#This Row],[Anschrauben]]=1,1,IF(Scharniere[[#This Row],[Einpressen]]=1,2,IF(Scharniere[[#This Row],[Quick]]=1,3,IF(Scharniere[[#This Row],[Werkzeuglos]]=1,4,0))))=select!$A$1003,1,0)</f>
        <v>0</v>
      </c>
      <c r="AA2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49" s="359">
        <f ca="1">IF(select!$K$980="*",Scharniere[[#This Row],[AG Ges2]],Scharniere[[#This Row],[AG Ges1]])</f>
        <v>0</v>
      </c>
      <c r="AE249" s="451">
        <f ca="1">IF(AND(Scharniere[[#This Row],[Scharnierart]]=select!$A$1485,Scharniere[[#This Row],[Gruppenschlüssel]]=select!$B$1485)=TRUE,1,0)</f>
        <v>0</v>
      </c>
      <c r="AF249" s="451">
        <f ca="1">IF(AND(Scharniere[[#This Row],[Scharnierart]]=select!$A$1486,Scharniere[[#This Row],[Gruppenschlüssel]]=select!$B$1486)=TRUE,1,0)</f>
        <v>0</v>
      </c>
      <c r="AG249" s="451">
        <f ca="1">IF(AND(Scharniere[[#This Row],[Scharnierart]]=select!$A$1487,Scharniere[[#This Row],[Gruppenschlüssel]]=select!$B$1487)=TRUE,1,0)</f>
        <v>0</v>
      </c>
      <c r="AH249" s="451">
        <f ca="1">IF(AND(Scharniere[[#This Row],[Scharnierart]]=select!$A$1488,Scharniere[[#This Row],[Gruppenschlüssel]]=select!$B$1488)=TRUE,1,0)</f>
        <v>0</v>
      </c>
      <c r="AI249" s="451">
        <f ca="1">IF(SUM(Scharniere[[#This Row],[konf Scharnier 1]:[konf Scharnier 4]])&gt;0,1,0)</f>
        <v>0</v>
      </c>
      <c r="AJ249" s="451"/>
      <c r="AK249" s="451"/>
      <c r="AL249" s="451"/>
      <c r="AM249" s="451"/>
      <c r="AN249" s="451"/>
      <c r="AO249" s="146">
        <v>1</v>
      </c>
      <c r="AP249" s="146">
        <v>2</v>
      </c>
      <c r="AQ249" s="10" t="str">
        <f ca="1">Sprache!$A$112</f>
        <v>Tiomos Scharnier TS Click-on</v>
      </c>
      <c r="AR249" t="str">
        <f ca="1">"120°, B-BB, K9.5, "&amp;Sprache!A181&amp;", ni"</f>
        <v>120°, B-BB, K9.5, Dübel, ni</v>
      </c>
      <c r="AS249" t="str">
        <f ca="1">Sprache!$A$103</f>
        <v>Tiomos Click-On Scharniere</v>
      </c>
      <c r="AT249">
        <v>9.5</v>
      </c>
      <c r="AU249" t="s">
        <v>3</v>
      </c>
      <c r="AV249">
        <v>120</v>
      </c>
      <c r="AW249" s="10">
        <v>1</v>
      </c>
      <c r="AX249">
        <v>0</v>
      </c>
      <c r="AY249">
        <v>0</v>
      </c>
      <c r="AZ249" s="10">
        <v>0</v>
      </c>
      <c r="BA249">
        <v>1</v>
      </c>
      <c r="BB249">
        <v>0</v>
      </c>
      <c r="BC249">
        <v>0</v>
      </c>
      <c r="BD249" s="143" t="s">
        <v>320</v>
      </c>
      <c r="BG249"/>
    </row>
    <row r="250" spans="1:59" ht="14.25" customHeight="1" x14ac:dyDescent="0.25">
      <c r="A250" s="37" t="str">
        <f>LEFT(Scharniere[[#This Row],[ArtikelNR]],4)</f>
        <v>F046</v>
      </c>
      <c r="B250" s="35" t="str">
        <f>MID(Scharniere[[#This Row],[ArtikelNR]],5,3)</f>
        <v>138</v>
      </c>
      <c r="C250" s="37" t="str">
        <f>RIGHT(Scharniere[[#This Row],[ArtikelNR]],3)</f>
        <v>613</v>
      </c>
      <c r="D250" s="35">
        <f>IF(AND(Scharniere[[#This Row],[Gruppenschlüssel]]=select!$A$44,Scharniere[[#This Row],[Scharnierart]]=1)=TRUE,1,0)</f>
        <v>0</v>
      </c>
      <c r="E2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0" s="35">
        <f>IF(select!$F$57=IF(Scharniere[[#This Row],[mit Dämpfung]]=1,1,IF(Scharniere[[#This Row],[ohne Dämpfung]]=1,2,IF(Scharniere[[#This Row],[ohne Feder]]=1,3,0))),1,0)</f>
        <v>1</v>
      </c>
      <c r="G250" s="35">
        <f>IF(Scharniere[[#This Row],[Bohrbild]]=select!$V$43,1,0)</f>
        <v>0</v>
      </c>
      <c r="H250" s="35">
        <f>IF(IF(Scharniere[[#This Row],[Anschrauben]]=1,1,IF(Scharniere[[#This Row],[Einpressen]]=1,2,IF(Scharniere[[#This Row],[Quick]]=1,3,IF(Scharniere[[#This Row],[Werkzeuglos]]=1,4,0))))=select!$F$48,1,0)</f>
        <v>1</v>
      </c>
      <c r="I2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0" s="149">
        <f>IF(AND(Scharniere[[#This Row],[Scharnierart]]=2,Scharniere[[#This Row],[Gruppenschlüssel]]=select!$A$318)=TRUE,1,0)</f>
        <v>0</v>
      </c>
      <c r="K250" s="221">
        <f ca="1">IF(select!$O$424&lt;6,1,0)</f>
        <v>1</v>
      </c>
      <c r="L250" s="139">
        <f>IF(select!$A$362=IF(Scharniere[[#This Row],[mit Dämpfung]]=1,1,IF(Scharniere[[#This Row],[ohne Dämpfung]]=1,2,IF(Scharniere[[#This Row],[ohne Feder]]=1,3,0))),1,0)</f>
        <v>0</v>
      </c>
      <c r="M250" s="135">
        <f>IF(Scharniere[[#This Row],[Bohrbild]]=select!$O$334,1,0)</f>
        <v>0</v>
      </c>
      <c r="N250" s="135">
        <f>IF(IF(Scharniere[[#This Row],[Anschrauben]]=1,1,IF(Scharniere[[#This Row],[Einpressen]]=1,2,IF(Scharniere[[#This Row],[Quick]]=1,3,IF(Scharniere[[#This Row],[Werkzeuglos]]=1,4,0))))=select!$E$362,1,0)</f>
        <v>0</v>
      </c>
      <c r="O2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0" s="298">
        <f>IF(AND(Scharniere[[#This Row],[Scharnierart]]=3,Scharniere[[#This Row],[Gruppenschlüssel]]=select!$A$747)=TRUE,1,0)</f>
        <v>0</v>
      </c>
      <c r="Q250" s="298">
        <f ca="1">IF(select!$O$945&lt;6,1,0)</f>
        <v>1</v>
      </c>
      <c r="R250" s="298">
        <f>IF(select!$A$778=IF(Scharniere[[#This Row],[mit Dämpfung]]=1,1,IF(Scharniere[[#This Row],[ohne Dämpfung]]=1,2,IF(Scharniere[[#This Row],[ohne Feder]]=1,3,0))),1,0)</f>
        <v>0</v>
      </c>
      <c r="S250" s="298">
        <f>IF(Scharniere[[#This Row],[Bohrbild]]=select!$A$755,1,0)</f>
        <v>0</v>
      </c>
      <c r="T250" s="298">
        <f>IF(IF(Scharniere[[#This Row],[Anschrauben]]=1,1,IF(Scharniere[[#This Row],[Einpressen]]=1,2,IF(Scharniere[[#This Row],[Quick]]=1,3,IF(Scharniere[[#This Row],[Werkzeuglos]]=1,4,0))))=select!$A$769,1,0)</f>
        <v>0</v>
      </c>
      <c r="U2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0" s="359">
        <f>IF(AND(Scharniere[[#This Row],[Scharnierart]]=4,Scharniere[[#This Row],[Gruppenschlüssel]]=select!$A$981)=TRUE,1,0)</f>
        <v>0</v>
      </c>
      <c r="W250" s="359">
        <f ca="1">IF(select!$O$1185&lt;6,1,0)</f>
        <v>1</v>
      </c>
      <c r="X250" s="359">
        <f>IF(select!$A$1012=IF(Scharniere[[#This Row],[mit Dämpfung]]=1,1,IF(Scharniere[[#This Row],[ohne Dämpfung]]=1,2,IF(Scharniere[[#This Row],[ohne Feder]]=1,3,0))),1,0)</f>
        <v>0</v>
      </c>
      <c r="Y250" s="359">
        <f>IF(Scharniere[[#This Row],[Bohrbild]]=select!$A$989,1,0)</f>
        <v>0</v>
      </c>
      <c r="Z250" s="359">
        <f>IF(IF(Scharniere[[#This Row],[Anschrauben]]=1,1,IF(Scharniere[[#This Row],[Einpressen]]=1,2,IF(Scharniere[[#This Row],[Quick]]=1,3,IF(Scharniere[[#This Row],[Werkzeuglos]]=1,4,0))))=select!$A$1003,1,0)</f>
        <v>0</v>
      </c>
      <c r="AA2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0" s="359">
        <f ca="1">IF(select!$K$980="*",Scharniere[[#This Row],[AG Ges2]],Scharniere[[#This Row],[AG Ges1]])</f>
        <v>0</v>
      </c>
      <c r="AE250" s="451">
        <f ca="1">IF(AND(Scharniere[[#This Row],[Scharnierart]]=select!$A$1485,Scharniere[[#This Row],[Gruppenschlüssel]]=select!$B$1485)=TRUE,1,0)</f>
        <v>0</v>
      </c>
      <c r="AF250" s="451">
        <f ca="1">IF(AND(Scharniere[[#This Row],[Scharnierart]]=select!$A$1486,Scharniere[[#This Row],[Gruppenschlüssel]]=select!$B$1486)=TRUE,1,0)</f>
        <v>0</v>
      </c>
      <c r="AG250" s="451">
        <f ca="1">IF(AND(Scharniere[[#This Row],[Scharnierart]]=select!$A$1487,Scharniere[[#This Row],[Gruppenschlüssel]]=select!$B$1487)=TRUE,1,0)</f>
        <v>0</v>
      </c>
      <c r="AH250" s="451">
        <f ca="1">IF(AND(Scharniere[[#This Row],[Scharnierart]]=select!$A$1488,Scharniere[[#This Row],[Gruppenschlüssel]]=select!$B$1488)=TRUE,1,0)</f>
        <v>0</v>
      </c>
      <c r="AI250" s="451">
        <f ca="1">IF(SUM(Scharniere[[#This Row],[konf Scharnier 1]:[konf Scharnier 4]])&gt;0,1,0)</f>
        <v>0</v>
      </c>
      <c r="AJ250" s="451"/>
      <c r="AK250" s="451"/>
      <c r="AL250" s="451"/>
      <c r="AM250" s="451"/>
      <c r="AN250" s="451"/>
      <c r="AO250" s="146">
        <v>1</v>
      </c>
      <c r="AP250" s="146">
        <v>2</v>
      </c>
      <c r="AQ250" s="10" t="str">
        <f ca="1">Sprache!$A$114</f>
        <v>Tiomos Scharnier TT Click-on</v>
      </c>
      <c r="AR250" t="str">
        <f ca="1">"120°, B-BB, K9.5, "&amp;Sprache!A181&amp;", ni"</f>
        <v>120°, B-BB, K9.5, Dübel, ni</v>
      </c>
      <c r="AS250" t="str">
        <f ca="1">Sprache!$A$103</f>
        <v>Tiomos Click-On Scharniere</v>
      </c>
      <c r="AT250">
        <v>9.5</v>
      </c>
      <c r="AU250" t="s">
        <v>3</v>
      </c>
      <c r="AV250">
        <v>120</v>
      </c>
      <c r="AW250" s="10">
        <v>0</v>
      </c>
      <c r="AX250">
        <v>0</v>
      </c>
      <c r="AY250">
        <v>1</v>
      </c>
      <c r="AZ250" s="10">
        <v>0</v>
      </c>
      <c r="BA250">
        <v>1</v>
      </c>
      <c r="BB250">
        <v>0</v>
      </c>
      <c r="BC250">
        <v>0</v>
      </c>
      <c r="BD250" s="143" t="s">
        <v>650</v>
      </c>
      <c r="BG250"/>
    </row>
    <row r="251" spans="1:59" ht="14.25" customHeight="1" x14ac:dyDescent="0.25">
      <c r="A251" s="37" t="str">
        <f>LEFT(Scharniere[[#This Row],[ArtikelNR]],4)</f>
        <v>F045</v>
      </c>
      <c r="B251" s="35" t="str">
        <f>MID(Scharniere[[#This Row],[ArtikelNR]],5,3)</f>
        <v>138</v>
      </c>
      <c r="C251" s="37" t="str">
        <f>RIGHT(Scharniere[[#This Row],[ArtikelNR]],3)</f>
        <v>487</v>
      </c>
      <c r="D251" s="35">
        <f>IF(AND(Scharniere[[#This Row],[Gruppenschlüssel]]=select!$A$44,Scharniere[[#This Row],[Scharnierart]]=1)=TRUE,1,0)</f>
        <v>0</v>
      </c>
      <c r="E2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1" s="35">
        <f>IF(select!$F$57=IF(Scharniere[[#This Row],[mit Dämpfung]]=1,1,IF(Scharniere[[#This Row],[ohne Dämpfung]]=1,2,IF(Scharniere[[#This Row],[ohne Feder]]=1,3,0))),1,0)</f>
        <v>0</v>
      </c>
      <c r="G251" s="35">
        <f>IF(Scharniere[[#This Row],[Bohrbild]]=select!$V$43,1,0)</f>
        <v>0</v>
      </c>
      <c r="H251" s="35">
        <f>IF(IF(Scharniere[[#This Row],[Anschrauben]]=1,1,IF(Scharniere[[#This Row],[Einpressen]]=1,2,IF(Scharniere[[#This Row],[Quick]]=1,3,IF(Scharniere[[#This Row],[Werkzeuglos]]=1,4,0))))=select!$F$48,1,0)</f>
        <v>0</v>
      </c>
      <c r="I2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1" s="149">
        <f>IF(AND(Scharniere[[#This Row],[Scharnierart]]=2,Scharniere[[#This Row],[Gruppenschlüssel]]=select!$A$318)=TRUE,1,0)</f>
        <v>0</v>
      </c>
      <c r="K251" s="221">
        <f ca="1">IF(select!$O$424&lt;6,1,0)</f>
        <v>1</v>
      </c>
      <c r="L251" s="139">
        <f>IF(select!$A$362=IF(Scharniere[[#This Row],[mit Dämpfung]]=1,1,IF(Scharniere[[#This Row],[ohne Dämpfung]]=1,2,IF(Scharniere[[#This Row],[ohne Feder]]=1,3,0))),1,0)</f>
        <v>0</v>
      </c>
      <c r="M251" s="135">
        <f>IF(Scharniere[[#This Row],[Bohrbild]]=select!$O$334,1,0)</f>
        <v>0</v>
      </c>
      <c r="N251" s="135">
        <f>IF(IF(Scharniere[[#This Row],[Anschrauben]]=1,1,IF(Scharniere[[#This Row],[Einpressen]]=1,2,IF(Scharniere[[#This Row],[Quick]]=1,3,IF(Scharniere[[#This Row],[Werkzeuglos]]=1,4,0))))=select!$E$362,1,0)</f>
        <v>1</v>
      </c>
      <c r="O2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1" s="298">
        <f>IF(AND(Scharniere[[#This Row],[Scharnierart]]=3,Scharniere[[#This Row],[Gruppenschlüssel]]=select!$A$747)=TRUE,1,0)</f>
        <v>0</v>
      </c>
      <c r="Q251" s="298">
        <f ca="1">IF(select!$O$945&lt;6,1,0)</f>
        <v>1</v>
      </c>
      <c r="R251" s="298">
        <f>IF(select!$A$778=IF(Scharniere[[#This Row],[mit Dämpfung]]=1,1,IF(Scharniere[[#This Row],[ohne Dämpfung]]=1,2,IF(Scharniere[[#This Row],[ohne Feder]]=1,3,0))),1,0)</f>
        <v>1</v>
      </c>
      <c r="S251" s="298">
        <f>IF(Scharniere[[#This Row],[Bohrbild]]=select!$A$755,1,0)</f>
        <v>0</v>
      </c>
      <c r="T251" s="298">
        <f>IF(IF(Scharniere[[#This Row],[Anschrauben]]=1,1,IF(Scharniere[[#This Row],[Einpressen]]=1,2,IF(Scharniere[[#This Row],[Quick]]=1,3,IF(Scharniere[[#This Row],[Werkzeuglos]]=1,4,0))))=select!$A$769,1,0)</f>
        <v>1</v>
      </c>
      <c r="U2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1" s="359">
        <f>IF(AND(Scharniere[[#This Row],[Scharnierart]]=4,Scharniere[[#This Row],[Gruppenschlüssel]]=select!$A$981)=TRUE,1,0)</f>
        <v>0</v>
      </c>
      <c r="W251" s="359">
        <f ca="1">IF(select!$O$1185&lt;6,1,0)</f>
        <v>1</v>
      </c>
      <c r="X251" s="359">
        <f>IF(select!$A$1012=IF(Scharniere[[#This Row],[mit Dämpfung]]=1,1,IF(Scharniere[[#This Row],[ohne Dämpfung]]=1,2,IF(Scharniere[[#This Row],[ohne Feder]]=1,3,0))),1,0)</f>
        <v>1</v>
      </c>
      <c r="Y251" s="359">
        <f>IF(Scharniere[[#This Row],[Bohrbild]]=select!$A$989,1,0)</f>
        <v>0</v>
      </c>
      <c r="Z251" s="359">
        <f>IF(IF(Scharniere[[#This Row],[Anschrauben]]=1,1,IF(Scharniere[[#This Row],[Einpressen]]=1,2,IF(Scharniere[[#This Row],[Quick]]=1,3,IF(Scharniere[[#This Row],[Werkzeuglos]]=1,4,0))))=select!$A$1003,1,0)</f>
        <v>1</v>
      </c>
      <c r="AA2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1" s="359">
        <f ca="1">IF(select!$K$980="*",Scharniere[[#This Row],[AG Ges2]],Scharniere[[#This Row],[AG Ges1]])</f>
        <v>0</v>
      </c>
      <c r="AE251" s="451">
        <f ca="1">IF(AND(Scharniere[[#This Row],[Scharnierart]]=select!$A$1485,Scharniere[[#This Row],[Gruppenschlüssel]]=select!$B$1485)=TRUE,1,0)</f>
        <v>0</v>
      </c>
      <c r="AF251" s="451">
        <f ca="1">IF(AND(Scharniere[[#This Row],[Scharnierart]]=select!$A$1486,Scharniere[[#This Row],[Gruppenschlüssel]]=select!$B$1486)=TRUE,1,0)</f>
        <v>0</v>
      </c>
      <c r="AG251" s="451">
        <f ca="1">IF(AND(Scharniere[[#This Row],[Scharnierart]]=select!$A$1487,Scharniere[[#This Row],[Gruppenschlüssel]]=select!$B$1487)=TRUE,1,0)</f>
        <v>0</v>
      </c>
      <c r="AH251" s="451">
        <f ca="1">IF(AND(Scharniere[[#This Row],[Scharnierart]]=select!$A$1488,Scharniere[[#This Row],[Gruppenschlüssel]]=select!$B$1488)=TRUE,1,0)</f>
        <v>0</v>
      </c>
      <c r="AI251" s="451">
        <f ca="1">IF(SUM(Scharniere[[#This Row],[konf Scharnier 1]:[konf Scharnier 4]])&gt;0,1,0)</f>
        <v>0</v>
      </c>
      <c r="AJ251" s="451"/>
      <c r="AK251" s="451"/>
      <c r="AL251" s="451"/>
      <c r="AM251" s="451"/>
      <c r="AN251" s="451"/>
      <c r="AO251" s="146">
        <v>1</v>
      </c>
      <c r="AP251" s="146">
        <v>2</v>
      </c>
      <c r="AQ251" s="10" t="str">
        <f ca="1">Sprache!$A$110</f>
        <v>Tiomos Scharnier T Click-on</v>
      </c>
      <c r="AR251" t="s">
        <v>1931</v>
      </c>
      <c r="AS251" t="str">
        <f ca="1">Sprache!$A$103</f>
        <v>Tiomos Click-On Scharniere</v>
      </c>
      <c r="AT251">
        <v>9.5</v>
      </c>
      <c r="AU251" t="s">
        <v>3</v>
      </c>
      <c r="AV251">
        <v>120</v>
      </c>
      <c r="AW251" s="10">
        <v>0</v>
      </c>
      <c r="AX251">
        <v>1</v>
      </c>
      <c r="AY251">
        <v>0</v>
      </c>
      <c r="AZ251" s="10">
        <v>1</v>
      </c>
      <c r="BA251">
        <v>0</v>
      </c>
      <c r="BB251">
        <v>0</v>
      </c>
      <c r="BC251">
        <v>0</v>
      </c>
      <c r="BD251" s="143" t="s">
        <v>494</v>
      </c>
      <c r="BG251"/>
    </row>
    <row r="252" spans="1:59" ht="14.25" customHeight="1" x14ac:dyDescent="0.25">
      <c r="A252" s="37" t="str">
        <f>LEFT(Scharniere[[#This Row],[ArtikelNR]],4)</f>
        <v>F028</v>
      </c>
      <c r="B252" s="35" t="str">
        <f>MID(Scharniere[[#This Row],[ArtikelNR]],5,3)</f>
        <v>138</v>
      </c>
      <c r="C252" s="37" t="str">
        <f>RIGHT(Scharniere[[#This Row],[ArtikelNR]],3)</f>
        <v>549</v>
      </c>
      <c r="D252" s="35">
        <f>IF(AND(Scharniere[[#This Row],[Gruppenschlüssel]]=select!$A$44,Scharniere[[#This Row],[Scharnierart]]=1)=TRUE,1,0)</f>
        <v>0</v>
      </c>
      <c r="E2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2" s="35">
        <f>IF(select!$F$57=IF(Scharniere[[#This Row],[mit Dämpfung]]=1,1,IF(Scharniere[[#This Row],[ohne Dämpfung]]=1,2,IF(Scharniere[[#This Row],[ohne Feder]]=1,3,0))),1,0)</f>
        <v>0</v>
      </c>
      <c r="G252" s="35">
        <f>IF(Scharniere[[#This Row],[Bohrbild]]=select!$V$43,1,0)</f>
        <v>0</v>
      </c>
      <c r="H252" s="35">
        <f>IF(IF(Scharniere[[#This Row],[Anschrauben]]=1,1,IF(Scharniere[[#This Row],[Einpressen]]=1,2,IF(Scharniere[[#This Row],[Quick]]=1,3,IF(Scharniere[[#This Row],[Werkzeuglos]]=1,4,0))))=select!$F$48,1,0)</f>
        <v>0</v>
      </c>
      <c r="I2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2" s="149">
        <f>IF(AND(Scharniere[[#This Row],[Scharnierart]]=2,Scharniere[[#This Row],[Gruppenschlüssel]]=select!$A$318)=TRUE,1,0)</f>
        <v>0</v>
      </c>
      <c r="K252" s="221">
        <f ca="1">IF(select!$O$424&lt;6,1,0)</f>
        <v>1</v>
      </c>
      <c r="L252" s="139">
        <f>IF(select!$A$362=IF(Scharniere[[#This Row],[mit Dämpfung]]=1,1,IF(Scharniere[[#This Row],[ohne Dämpfung]]=1,2,IF(Scharniere[[#This Row],[ohne Feder]]=1,3,0))),1,0)</f>
        <v>1</v>
      </c>
      <c r="M252" s="135">
        <f>IF(Scharniere[[#This Row],[Bohrbild]]=select!$O$334,1,0)</f>
        <v>0</v>
      </c>
      <c r="N252" s="135">
        <f>IF(IF(Scharniere[[#This Row],[Anschrauben]]=1,1,IF(Scharniere[[#This Row],[Einpressen]]=1,2,IF(Scharniere[[#This Row],[Quick]]=1,3,IF(Scharniere[[#This Row],[Werkzeuglos]]=1,4,0))))=select!$E$362,1,0)</f>
        <v>1</v>
      </c>
      <c r="O2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2" s="298">
        <f>IF(AND(Scharniere[[#This Row],[Scharnierart]]=3,Scharniere[[#This Row],[Gruppenschlüssel]]=select!$A$747)=TRUE,1,0)</f>
        <v>0</v>
      </c>
      <c r="Q252" s="298">
        <f ca="1">IF(select!$O$945&lt;6,1,0)</f>
        <v>1</v>
      </c>
      <c r="R252" s="298">
        <f>IF(select!$A$778=IF(Scharniere[[#This Row],[mit Dämpfung]]=1,1,IF(Scharniere[[#This Row],[ohne Dämpfung]]=1,2,IF(Scharniere[[#This Row],[ohne Feder]]=1,3,0))),1,0)</f>
        <v>0</v>
      </c>
      <c r="S252" s="298">
        <f>IF(Scharniere[[#This Row],[Bohrbild]]=select!$A$755,1,0)</f>
        <v>0</v>
      </c>
      <c r="T252" s="298">
        <f>IF(IF(Scharniere[[#This Row],[Anschrauben]]=1,1,IF(Scharniere[[#This Row],[Einpressen]]=1,2,IF(Scharniere[[#This Row],[Quick]]=1,3,IF(Scharniere[[#This Row],[Werkzeuglos]]=1,4,0))))=select!$A$769,1,0)</f>
        <v>1</v>
      </c>
      <c r="U2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2" s="359">
        <f>IF(AND(Scharniere[[#This Row],[Scharnierart]]=4,Scharniere[[#This Row],[Gruppenschlüssel]]=select!$A$981)=TRUE,1,0)</f>
        <v>0</v>
      </c>
      <c r="W252" s="359">
        <f ca="1">IF(select!$O$1185&lt;6,1,0)</f>
        <v>1</v>
      </c>
      <c r="X252" s="359">
        <f>IF(select!$A$1012=IF(Scharniere[[#This Row],[mit Dämpfung]]=1,1,IF(Scharniere[[#This Row],[ohne Dämpfung]]=1,2,IF(Scharniere[[#This Row],[ohne Feder]]=1,3,0))),1,0)</f>
        <v>0</v>
      </c>
      <c r="Y252" s="359">
        <f>IF(Scharniere[[#This Row],[Bohrbild]]=select!$A$989,1,0)</f>
        <v>0</v>
      </c>
      <c r="Z252" s="359">
        <f>IF(IF(Scharniere[[#This Row],[Anschrauben]]=1,1,IF(Scharniere[[#This Row],[Einpressen]]=1,2,IF(Scharniere[[#This Row],[Quick]]=1,3,IF(Scharniere[[#This Row],[Werkzeuglos]]=1,4,0))))=select!$A$1003,1,0)</f>
        <v>1</v>
      </c>
      <c r="AA2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2" s="359">
        <f ca="1">IF(select!$K$980="*",Scharniere[[#This Row],[AG Ges2]],Scharniere[[#This Row],[AG Ges1]])</f>
        <v>0</v>
      </c>
      <c r="AE252" s="451">
        <f ca="1">IF(AND(Scharniere[[#This Row],[Scharnierart]]=select!$A$1485,Scharniere[[#This Row],[Gruppenschlüssel]]=select!$B$1485)=TRUE,1,0)</f>
        <v>0</v>
      </c>
      <c r="AF252" s="451">
        <f ca="1">IF(AND(Scharniere[[#This Row],[Scharnierart]]=select!$A$1486,Scharniere[[#This Row],[Gruppenschlüssel]]=select!$B$1486)=TRUE,1,0)</f>
        <v>0</v>
      </c>
      <c r="AG252" s="451">
        <f ca="1">IF(AND(Scharniere[[#This Row],[Scharnierart]]=select!$A$1487,Scharniere[[#This Row],[Gruppenschlüssel]]=select!$B$1487)=TRUE,1,0)</f>
        <v>0</v>
      </c>
      <c r="AH252" s="451">
        <f ca="1">IF(AND(Scharniere[[#This Row],[Scharnierart]]=select!$A$1488,Scharniere[[#This Row],[Gruppenschlüssel]]=select!$B$1488)=TRUE,1,0)</f>
        <v>0</v>
      </c>
      <c r="AI252" s="451">
        <f ca="1">IF(SUM(Scharniere[[#This Row],[konf Scharnier 1]:[konf Scharnier 4]])&gt;0,1,0)</f>
        <v>0</v>
      </c>
      <c r="AJ252" s="451"/>
      <c r="AK252" s="451"/>
      <c r="AL252" s="451"/>
      <c r="AM252" s="451"/>
      <c r="AN252" s="451"/>
      <c r="AO252" s="146">
        <v>1</v>
      </c>
      <c r="AP252" s="146">
        <v>2</v>
      </c>
      <c r="AQ252" s="10" t="str">
        <f ca="1">Sprache!$A$112</f>
        <v>Tiomos Scharnier TS Click-on</v>
      </c>
      <c r="AR252" t="s">
        <v>1931</v>
      </c>
      <c r="AS252" t="str">
        <f ca="1">Sprache!$A$103</f>
        <v>Tiomos Click-On Scharniere</v>
      </c>
      <c r="AT252">
        <v>9.5</v>
      </c>
      <c r="AU252" s="34" t="s">
        <v>3</v>
      </c>
      <c r="AV252">
        <v>120</v>
      </c>
      <c r="AW252" s="10">
        <v>1</v>
      </c>
      <c r="AX252">
        <v>0</v>
      </c>
      <c r="AY252">
        <v>0</v>
      </c>
      <c r="AZ252" s="10">
        <v>1</v>
      </c>
      <c r="BA252">
        <v>0</v>
      </c>
      <c r="BB252">
        <v>0</v>
      </c>
      <c r="BC252">
        <v>0</v>
      </c>
      <c r="BD252" s="143" t="s">
        <v>315</v>
      </c>
      <c r="BG252"/>
    </row>
    <row r="253" spans="1:59" ht="14.25" customHeight="1" x14ac:dyDescent="0.25">
      <c r="A253" s="37" t="str">
        <f>LEFT(Scharniere[[#This Row],[ArtikelNR]],4)</f>
        <v>F046</v>
      </c>
      <c r="B253" s="35" t="str">
        <f>MID(Scharniere[[#This Row],[ArtikelNR]],5,3)</f>
        <v>138</v>
      </c>
      <c r="C253" s="37" t="str">
        <f>RIGHT(Scharniere[[#This Row],[ArtikelNR]],3)</f>
        <v>609</v>
      </c>
      <c r="D253" s="35">
        <f>IF(AND(Scharniere[[#This Row],[Gruppenschlüssel]]=select!$A$44,Scharniere[[#This Row],[Scharnierart]]=1)=TRUE,1,0)</f>
        <v>0</v>
      </c>
      <c r="E2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3" s="35">
        <f>IF(select!$F$57=IF(Scharniere[[#This Row],[mit Dämpfung]]=1,1,IF(Scharniere[[#This Row],[ohne Dämpfung]]=1,2,IF(Scharniere[[#This Row],[ohne Feder]]=1,3,0))),1,0)</f>
        <v>1</v>
      </c>
      <c r="G253" s="35">
        <f>IF(Scharniere[[#This Row],[Bohrbild]]=select!$V$43,1,0)</f>
        <v>0</v>
      </c>
      <c r="H253" s="35">
        <f>IF(IF(Scharniere[[#This Row],[Anschrauben]]=1,1,IF(Scharniere[[#This Row],[Einpressen]]=1,2,IF(Scharniere[[#This Row],[Quick]]=1,3,IF(Scharniere[[#This Row],[Werkzeuglos]]=1,4,0))))=select!$F$48,1,0)</f>
        <v>0</v>
      </c>
      <c r="I2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3" s="149">
        <f>IF(AND(Scharniere[[#This Row],[Scharnierart]]=2,Scharniere[[#This Row],[Gruppenschlüssel]]=select!$A$318)=TRUE,1,0)</f>
        <v>0</v>
      </c>
      <c r="K253" s="221">
        <f ca="1">IF(select!$O$424&lt;6,1,0)</f>
        <v>1</v>
      </c>
      <c r="L253" s="139">
        <f>IF(select!$A$362=IF(Scharniere[[#This Row],[mit Dämpfung]]=1,1,IF(Scharniere[[#This Row],[ohne Dämpfung]]=1,2,IF(Scharniere[[#This Row],[ohne Feder]]=1,3,0))),1,0)</f>
        <v>0</v>
      </c>
      <c r="M253" s="135">
        <f>IF(Scharniere[[#This Row],[Bohrbild]]=select!$O$334,1,0)</f>
        <v>0</v>
      </c>
      <c r="N253" s="135">
        <f>IF(IF(Scharniere[[#This Row],[Anschrauben]]=1,1,IF(Scharniere[[#This Row],[Einpressen]]=1,2,IF(Scharniere[[#This Row],[Quick]]=1,3,IF(Scharniere[[#This Row],[Werkzeuglos]]=1,4,0))))=select!$E$362,1,0)</f>
        <v>1</v>
      </c>
      <c r="O2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3" s="298">
        <f>IF(AND(Scharniere[[#This Row],[Scharnierart]]=3,Scharniere[[#This Row],[Gruppenschlüssel]]=select!$A$747)=TRUE,1,0)</f>
        <v>0</v>
      </c>
      <c r="Q253" s="298">
        <f ca="1">IF(select!$O$945&lt;6,1,0)</f>
        <v>1</v>
      </c>
      <c r="R253" s="298">
        <f>IF(select!$A$778=IF(Scharniere[[#This Row],[mit Dämpfung]]=1,1,IF(Scharniere[[#This Row],[ohne Dämpfung]]=1,2,IF(Scharniere[[#This Row],[ohne Feder]]=1,3,0))),1,0)</f>
        <v>0</v>
      </c>
      <c r="S253" s="298">
        <f>IF(Scharniere[[#This Row],[Bohrbild]]=select!$A$755,1,0)</f>
        <v>0</v>
      </c>
      <c r="T253" s="298">
        <f>IF(IF(Scharniere[[#This Row],[Anschrauben]]=1,1,IF(Scharniere[[#This Row],[Einpressen]]=1,2,IF(Scharniere[[#This Row],[Quick]]=1,3,IF(Scharniere[[#This Row],[Werkzeuglos]]=1,4,0))))=select!$A$769,1,0)</f>
        <v>1</v>
      </c>
      <c r="U2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3" s="359">
        <f>IF(AND(Scharniere[[#This Row],[Scharnierart]]=4,Scharniere[[#This Row],[Gruppenschlüssel]]=select!$A$981)=TRUE,1,0)</f>
        <v>0</v>
      </c>
      <c r="W253" s="359">
        <f ca="1">IF(select!$O$1185&lt;6,1,0)</f>
        <v>1</v>
      </c>
      <c r="X253" s="359">
        <f>IF(select!$A$1012=IF(Scharniere[[#This Row],[mit Dämpfung]]=1,1,IF(Scharniere[[#This Row],[ohne Dämpfung]]=1,2,IF(Scharniere[[#This Row],[ohne Feder]]=1,3,0))),1,0)</f>
        <v>0</v>
      </c>
      <c r="Y253" s="359">
        <f>IF(Scharniere[[#This Row],[Bohrbild]]=select!$A$989,1,0)</f>
        <v>0</v>
      </c>
      <c r="Z253" s="359">
        <f>IF(IF(Scharniere[[#This Row],[Anschrauben]]=1,1,IF(Scharniere[[#This Row],[Einpressen]]=1,2,IF(Scharniere[[#This Row],[Quick]]=1,3,IF(Scharniere[[#This Row],[Werkzeuglos]]=1,4,0))))=select!$A$1003,1,0)</f>
        <v>1</v>
      </c>
      <c r="AA2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3" s="359">
        <f ca="1">IF(select!$K$980="*",Scharniere[[#This Row],[AG Ges2]],Scharniere[[#This Row],[AG Ges1]])</f>
        <v>0</v>
      </c>
      <c r="AE253" s="451">
        <f ca="1">IF(AND(Scharniere[[#This Row],[Scharnierart]]=select!$A$1485,Scharniere[[#This Row],[Gruppenschlüssel]]=select!$B$1485)=TRUE,1,0)</f>
        <v>0</v>
      </c>
      <c r="AF253" s="451">
        <f ca="1">IF(AND(Scharniere[[#This Row],[Scharnierart]]=select!$A$1486,Scharniere[[#This Row],[Gruppenschlüssel]]=select!$B$1486)=TRUE,1,0)</f>
        <v>0</v>
      </c>
      <c r="AG253" s="451">
        <f ca="1">IF(AND(Scharniere[[#This Row],[Scharnierart]]=select!$A$1487,Scharniere[[#This Row],[Gruppenschlüssel]]=select!$B$1487)=TRUE,1,0)</f>
        <v>0</v>
      </c>
      <c r="AH253" s="451">
        <f ca="1">IF(AND(Scharniere[[#This Row],[Scharnierart]]=select!$A$1488,Scharniere[[#This Row],[Gruppenschlüssel]]=select!$B$1488)=TRUE,1,0)</f>
        <v>0</v>
      </c>
      <c r="AI253" s="451">
        <f ca="1">IF(SUM(Scharniere[[#This Row],[konf Scharnier 1]:[konf Scharnier 4]])&gt;0,1,0)</f>
        <v>0</v>
      </c>
      <c r="AJ253" s="451"/>
      <c r="AK253" s="451"/>
      <c r="AL253" s="451"/>
      <c r="AM253" s="451"/>
      <c r="AN253" s="451"/>
      <c r="AO253" s="146">
        <v>1</v>
      </c>
      <c r="AP253" s="146">
        <v>2</v>
      </c>
      <c r="AQ253" s="10" t="str">
        <f ca="1">Sprache!$A$114</f>
        <v>Tiomos Scharnier TT Click-on</v>
      </c>
      <c r="AR253" t="s">
        <v>1931</v>
      </c>
      <c r="AS253" t="str">
        <f ca="1">Sprache!$A$103</f>
        <v>Tiomos Click-On Scharniere</v>
      </c>
      <c r="AT253">
        <v>9.5</v>
      </c>
      <c r="AU253" t="s">
        <v>3</v>
      </c>
      <c r="AV253">
        <v>120</v>
      </c>
      <c r="AW253" s="10">
        <v>0</v>
      </c>
      <c r="AX253">
        <v>0</v>
      </c>
      <c r="AY253">
        <v>1</v>
      </c>
      <c r="AZ253" s="10">
        <v>1</v>
      </c>
      <c r="BA253">
        <v>0</v>
      </c>
      <c r="BB253">
        <v>0</v>
      </c>
      <c r="BC253">
        <v>0</v>
      </c>
      <c r="BD253" s="143" t="s">
        <v>646</v>
      </c>
      <c r="BG253"/>
    </row>
    <row r="254" spans="1:59" ht="14.25" customHeight="1" x14ac:dyDescent="0.25">
      <c r="A254" s="37" t="str">
        <f>LEFT(Scharniere[[#This Row],[ArtikelNR]],4)</f>
        <v>F045</v>
      </c>
      <c r="B254" s="35" t="str">
        <f>MID(Scharniere[[#This Row],[ArtikelNR]],5,3)</f>
        <v>138</v>
      </c>
      <c r="C254" s="37" t="str">
        <f>RIGHT(Scharniere[[#This Row],[ArtikelNR]],3)</f>
        <v>309</v>
      </c>
      <c r="D254" s="35">
        <f>IF(AND(Scharniere[[#This Row],[Gruppenschlüssel]]=select!$A$44,Scharniere[[#This Row],[Scharnierart]]=1)=TRUE,1,0)</f>
        <v>0</v>
      </c>
      <c r="E2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4" s="35">
        <f>IF(select!$F$57=IF(Scharniere[[#This Row],[mit Dämpfung]]=1,1,IF(Scharniere[[#This Row],[ohne Dämpfung]]=1,2,IF(Scharniere[[#This Row],[ohne Feder]]=1,3,0))),1,0)</f>
        <v>0</v>
      </c>
      <c r="G254" s="35">
        <f>IF(Scharniere[[#This Row],[Bohrbild]]=select!$V$43,1,0)</f>
        <v>0</v>
      </c>
      <c r="H254" s="35">
        <f>IF(IF(Scharniere[[#This Row],[Anschrauben]]=1,1,IF(Scharniere[[#This Row],[Einpressen]]=1,2,IF(Scharniere[[#This Row],[Quick]]=1,3,IF(Scharniere[[#This Row],[Werkzeuglos]]=1,4,0))))=select!$F$48,1,0)</f>
        <v>1</v>
      </c>
      <c r="I2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4" s="149">
        <f>IF(AND(Scharniere[[#This Row],[Scharnierart]]=2,Scharniere[[#This Row],[Gruppenschlüssel]]=select!$A$318)=TRUE,1,0)</f>
        <v>0</v>
      </c>
      <c r="K254" s="221">
        <f ca="1">IF(select!$O$424&lt;6,1,0)</f>
        <v>1</v>
      </c>
      <c r="L254" s="139">
        <f>IF(select!$A$362=IF(Scharniere[[#This Row],[mit Dämpfung]]=1,1,IF(Scharniere[[#This Row],[ohne Dämpfung]]=1,2,IF(Scharniere[[#This Row],[ohne Feder]]=1,3,0))),1,0)</f>
        <v>0</v>
      </c>
      <c r="M254" s="135">
        <f>IF(Scharniere[[#This Row],[Bohrbild]]=select!$O$334,1,0)</f>
        <v>0</v>
      </c>
      <c r="N254" s="135">
        <f>IF(IF(Scharniere[[#This Row],[Anschrauben]]=1,1,IF(Scharniere[[#This Row],[Einpressen]]=1,2,IF(Scharniere[[#This Row],[Quick]]=1,3,IF(Scharniere[[#This Row],[Werkzeuglos]]=1,4,0))))=select!$E$362,1,0)</f>
        <v>0</v>
      </c>
      <c r="O2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4" s="298">
        <f>IF(AND(Scharniere[[#This Row],[Scharnierart]]=3,Scharniere[[#This Row],[Gruppenschlüssel]]=select!$A$747)=TRUE,1,0)</f>
        <v>0</v>
      </c>
      <c r="Q254" s="298">
        <f ca="1">IF(select!$O$945&lt;6,1,0)</f>
        <v>1</v>
      </c>
      <c r="R254" s="298">
        <f>IF(select!$A$778=IF(Scharniere[[#This Row],[mit Dämpfung]]=1,1,IF(Scharniere[[#This Row],[ohne Dämpfung]]=1,2,IF(Scharniere[[#This Row],[ohne Feder]]=1,3,0))),1,0)</f>
        <v>1</v>
      </c>
      <c r="S254" s="298">
        <f>IF(Scharniere[[#This Row],[Bohrbild]]=select!$A$755,1,0)</f>
        <v>0</v>
      </c>
      <c r="T254" s="298">
        <f>IF(IF(Scharniere[[#This Row],[Anschrauben]]=1,1,IF(Scharniere[[#This Row],[Einpressen]]=1,2,IF(Scharniere[[#This Row],[Quick]]=1,3,IF(Scharniere[[#This Row],[Werkzeuglos]]=1,4,0))))=select!$A$769,1,0)</f>
        <v>0</v>
      </c>
      <c r="U2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4" s="359">
        <f>IF(AND(Scharniere[[#This Row],[Scharnierart]]=4,Scharniere[[#This Row],[Gruppenschlüssel]]=select!$A$981)=TRUE,1,0)</f>
        <v>0</v>
      </c>
      <c r="W254" s="359">
        <f ca="1">IF(select!$O$1185&lt;6,1,0)</f>
        <v>1</v>
      </c>
      <c r="X254" s="359">
        <f>IF(select!$A$1012=IF(Scharniere[[#This Row],[mit Dämpfung]]=1,1,IF(Scharniere[[#This Row],[ohne Dämpfung]]=1,2,IF(Scharniere[[#This Row],[ohne Feder]]=1,3,0))),1,0)</f>
        <v>1</v>
      </c>
      <c r="Y254" s="359">
        <f>IF(Scharniere[[#This Row],[Bohrbild]]=select!$A$989,1,0)</f>
        <v>0</v>
      </c>
      <c r="Z254" s="359">
        <f>IF(IF(Scharniere[[#This Row],[Anschrauben]]=1,1,IF(Scharniere[[#This Row],[Einpressen]]=1,2,IF(Scharniere[[#This Row],[Quick]]=1,3,IF(Scharniere[[#This Row],[Werkzeuglos]]=1,4,0))))=select!$A$1003,1,0)</f>
        <v>0</v>
      </c>
      <c r="AA2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4" s="359">
        <f ca="1">IF(select!$K$980="*",Scharniere[[#This Row],[AG Ges2]],Scharniere[[#This Row],[AG Ges1]])</f>
        <v>0</v>
      </c>
      <c r="AE254" s="451">
        <f ca="1">IF(AND(Scharniere[[#This Row],[Scharnierart]]=select!$A$1485,Scharniere[[#This Row],[Gruppenschlüssel]]=select!$B$1485)=TRUE,1,0)</f>
        <v>0</v>
      </c>
      <c r="AF254" s="451">
        <f ca="1">IF(AND(Scharniere[[#This Row],[Scharnierart]]=select!$A$1486,Scharniere[[#This Row],[Gruppenschlüssel]]=select!$B$1486)=TRUE,1,0)</f>
        <v>0</v>
      </c>
      <c r="AG254" s="451">
        <f ca="1">IF(AND(Scharniere[[#This Row],[Scharnierart]]=select!$A$1487,Scharniere[[#This Row],[Gruppenschlüssel]]=select!$B$1487)=TRUE,1,0)</f>
        <v>0</v>
      </c>
      <c r="AH254" s="451">
        <f ca="1">IF(AND(Scharniere[[#This Row],[Scharnierart]]=select!$A$1488,Scharniere[[#This Row],[Gruppenschlüssel]]=select!$B$1488)=TRUE,1,0)</f>
        <v>0</v>
      </c>
      <c r="AI254" s="451">
        <f ca="1">IF(SUM(Scharniere[[#This Row],[konf Scharnier 1]:[konf Scharnier 4]])&gt;0,1,0)</f>
        <v>0</v>
      </c>
      <c r="AJ254" s="451"/>
      <c r="AK254" s="451"/>
      <c r="AL254" s="451"/>
      <c r="AM254" s="451"/>
      <c r="AN254" s="451"/>
      <c r="AO254" s="146">
        <v>1</v>
      </c>
      <c r="AP254" s="146">
        <v>2</v>
      </c>
      <c r="AQ254" s="10" t="str">
        <f ca="1">Sprache!$A$110</f>
        <v>Tiomos Scharnier T Click-on</v>
      </c>
      <c r="AR254" t="str">
        <f ca="1">"120°, G-BB, K9.5, "&amp;Sprache!A181&amp;", ni"</f>
        <v>120°, G-BB, K9.5, Dübel, ni</v>
      </c>
      <c r="AS254" t="str">
        <f ca="1">Sprache!$A$103</f>
        <v>Tiomos Click-On Scharniere</v>
      </c>
      <c r="AT254">
        <v>9.5</v>
      </c>
      <c r="AU254" s="10" t="s">
        <v>9</v>
      </c>
      <c r="AV254">
        <v>120</v>
      </c>
      <c r="AW254" s="10">
        <v>0</v>
      </c>
      <c r="AX254">
        <v>1</v>
      </c>
      <c r="AY254">
        <v>0</v>
      </c>
      <c r="AZ254" s="10">
        <v>0</v>
      </c>
      <c r="BA254">
        <v>1</v>
      </c>
      <c r="BB254">
        <v>0</v>
      </c>
      <c r="BC254">
        <v>0</v>
      </c>
      <c r="BD254" s="143" t="s">
        <v>470</v>
      </c>
      <c r="BG254"/>
    </row>
    <row r="255" spans="1:59" ht="14.25" customHeight="1" x14ac:dyDescent="0.25">
      <c r="A255" s="37" t="str">
        <f>LEFT(Scharniere[[#This Row],[ArtikelNR]],4)</f>
        <v>F028</v>
      </c>
      <c r="B255" s="35" t="str">
        <f>MID(Scharniere[[#This Row],[ArtikelNR]],5,3)</f>
        <v>138</v>
      </c>
      <c r="C255" s="37" t="str">
        <f>RIGHT(Scharniere[[#This Row],[ArtikelNR]],3)</f>
        <v>371</v>
      </c>
      <c r="D255" s="35">
        <f>IF(AND(Scharniere[[#This Row],[Gruppenschlüssel]]=select!$A$44,Scharniere[[#This Row],[Scharnierart]]=1)=TRUE,1,0)</f>
        <v>0</v>
      </c>
      <c r="E2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5" s="35">
        <f>IF(select!$F$57=IF(Scharniere[[#This Row],[mit Dämpfung]]=1,1,IF(Scharniere[[#This Row],[ohne Dämpfung]]=1,2,IF(Scharniere[[#This Row],[ohne Feder]]=1,3,0))),1,0)</f>
        <v>0</v>
      </c>
      <c r="G255" s="35">
        <f>IF(Scharniere[[#This Row],[Bohrbild]]=select!$V$43,1,0)</f>
        <v>0</v>
      </c>
      <c r="H255" s="35">
        <f>IF(IF(Scharniere[[#This Row],[Anschrauben]]=1,1,IF(Scharniere[[#This Row],[Einpressen]]=1,2,IF(Scharniere[[#This Row],[Quick]]=1,3,IF(Scharniere[[#This Row],[Werkzeuglos]]=1,4,0))))=select!$F$48,1,0)</f>
        <v>1</v>
      </c>
      <c r="I2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5" s="149">
        <f>IF(AND(Scharniere[[#This Row],[Scharnierart]]=2,Scharniere[[#This Row],[Gruppenschlüssel]]=select!$A$318)=TRUE,1,0)</f>
        <v>0</v>
      </c>
      <c r="K255" s="221">
        <f ca="1">IF(select!$O$424&lt;6,1,0)</f>
        <v>1</v>
      </c>
      <c r="L255" s="139">
        <f>IF(select!$A$362=IF(Scharniere[[#This Row],[mit Dämpfung]]=1,1,IF(Scharniere[[#This Row],[ohne Dämpfung]]=1,2,IF(Scharniere[[#This Row],[ohne Feder]]=1,3,0))),1,0)</f>
        <v>1</v>
      </c>
      <c r="M255" s="135">
        <f>IF(Scharniere[[#This Row],[Bohrbild]]=select!$O$334,1,0)</f>
        <v>0</v>
      </c>
      <c r="N255" s="135">
        <f>IF(IF(Scharniere[[#This Row],[Anschrauben]]=1,1,IF(Scharniere[[#This Row],[Einpressen]]=1,2,IF(Scharniere[[#This Row],[Quick]]=1,3,IF(Scharniere[[#This Row],[Werkzeuglos]]=1,4,0))))=select!$E$362,1,0)</f>
        <v>0</v>
      </c>
      <c r="O2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5" s="298">
        <f>IF(AND(Scharniere[[#This Row],[Scharnierart]]=3,Scharniere[[#This Row],[Gruppenschlüssel]]=select!$A$747)=TRUE,1,0)</f>
        <v>0</v>
      </c>
      <c r="Q255" s="298">
        <f ca="1">IF(select!$O$945&lt;6,1,0)</f>
        <v>1</v>
      </c>
      <c r="R255" s="298">
        <f>IF(select!$A$778=IF(Scharniere[[#This Row],[mit Dämpfung]]=1,1,IF(Scharniere[[#This Row],[ohne Dämpfung]]=1,2,IF(Scharniere[[#This Row],[ohne Feder]]=1,3,0))),1,0)</f>
        <v>0</v>
      </c>
      <c r="S255" s="298">
        <f>IF(Scharniere[[#This Row],[Bohrbild]]=select!$A$755,1,0)</f>
        <v>0</v>
      </c>
      <c r="T255" s="298">
        <f>IF(IF(Scharniere[[#This Row],[Anschrauben]]=1,1,IF(Scharniere[[#This Row],[Einpressen]]=1,2,IF(Scharniere[[#This Row],[Quick]]=1,3,IF(Scharniere[[#This Row],[Werkzeuglos]]=1,4,0))))=select!$A$769,1,0)</f>
        <v>0</v>
      </c>
      <c r="U2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5" s="359">
        <f>IF(AND(Scharniere[[#This Row],[Scharnierart]]=4,Scharniere[[#This Row],[Gruppenschlüssel]]=select!$A$981)=TRUE,1,0)</f>
        <v>0</v>
      </c>
      <c r="W255" s="359">
        <f ca="1">IF(select!$O$1185&lt;6,1,0)</f>
        <v>1</v>
      </c>
      <c r="X255" s="359">
        <f>IF(select!$A$1012=IF(Scharniere[[#This Row],[mit Dämpfung]]=1,1,IF(Scharniere[[#This Row],[ohne Dämpfung]]=1,2,IF(Scharniere[[#This Row],[ohne Feder]]=1,3,0))),1,0)</f>
        <v>0</v>
      </c>
      <c r="Y255" s="359">
        <f>IF(Scharniere[[#This Row],[Bohrbild]]=select!$A$989,1,0)</f>
        <v>0</v>
      </c>
      <c r="Z255" s="359">
        <f>IF(IF(Scharniere[[#This Row],[Anschrauben]]=1,1,IF(Scharniere[[#This Row],[Einpressen]]=1,2,IF(Scharniere[[#This Row],[Quick]]=1,3,IF(Scharniere[[#This Row],[Werkzeuglos]]=1,4,0))))=select!$A$1003,1,0)</f>
        <v>0</v>
      </c>
      <c r="AA2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5" s="359">
        <f ca="1">IF(select!$K$980="*",Scharniere[[#This Row],[AG Ges2]],Scharniere[[#This Row],[AG Ges1]])</f>
        <v>0</v>
      </c>
      <c r="AE255" s="451">
        <f ca="1">IF(AND(Scharniere[[#This Row],[Scharnierart]]=select!$A$1485,Scharniere[[#This Row],[Gruppenschlüssel]]=select!$B$1485)=TRUE,1,0)</f>
        <v>0</v>
      </c>
      <c r="AF255" s="451">
        <f ca="1">IF(AND(Scharniere[[#This Row],[Scharnierart]]=select!$A$1486,Scharniere[[#This Row],[Gruppenschlüssel]]=select!$B$1486)=TRUE,1,0)</f>
        <v>0</v>
      </c>
      <c r="AG255" s="451">
        <f ca="1">IF(AND(Scharniere[[#This Row],[Scharnierart]]=select!$A$1487,Scharniere[[#This Row],[Gruppenschlüssel]]=select!$B$1487)=TRUE,1,0)</f>
        <v>0</v>
      </c>
      <c r="AH255" s="451">
        <f ca="1">IF(AND(Scharniere[[#This Row],[Scharnierart]]=select!$A$1488,Scharniere[[#This Row],[Gruppenschlüssel]]=select!$B$1488)=TRUE,1,0)</f>
        <v>0</v>
      </c>
      <c r="AI255" s="451">
        <f ca="1">IF(SUM(Scharniere[[#This Row],[konf Scharnier 1]:[konf Scharnier 4]])&gt;0,1,0)</f>
        <v>0</v>
      </c>
      <c r="AJ255" s="451"/>
      <c r="AK255" s="451"/>
      <c r="AL255" s="451"/>
      <c r="AM255" s="451"/>
      <c r="AN255" s="451"/>
      <c r="AO255" s="146">
        <v>1</v>
      </c>
      <c r="AP255" s="146">
        <v>2</v>
      </c>
      <c r="AQ255" s="10" t="str">
        <f ca="1">Sprache!$A$112</f>
        <v>Tiomos Scharnier TS Click-on</v>
      </c>
      <c r="AR255" t="str">
        <f ca="1">"120°, G-BB, K9.5, "&amp;Sprache!A181&amp;", ni"</f>
        <v>120°, G-BB, K9.5, Dübel, ni</v>
      </c>
      <c r="AS255" t="str">
        <f ca="1">Sprache!$A$103</f>
        <v>Tiomos Click-On Scharniere</v>
      </c>
      <c r="AT255">
        <v>9.5</v>
      </c>
      <c r="AU255" s="10" t="s">
        <v>9</v>
      </c>
      <c r="AV255">
        <v>120</v>
      </c>
      <c r="AW255" s="10">
        <v>1</v>
      </c>
      <c r="AX255">
        <v>0</v>
      </c>
      <c r="AY255">
        <v>0</v>
      </c>
      <c r="AZ255" s="10">
        <v>0</v>
      </c>
      <c r="BA255">
        <v>1</v>
      </c>
      <c r="BB255">
        <v>0</v>
      </c>
      <c r="BC255">
        <v>0</v>
      </c>
      <c r="BD255" s="143" t="s">
        <v>282</v>
      </c>
      <c r="BG255"/>
    </row>
    <row r="256" spans="1:59" ht="14.25" customHeight="1" x14ac:dyDescent="0.25">
      <c r="A256" s="37" t="str">
        <f>LEFT(Scharniere[[#This Row],[ArtikelNR]],4)</f>
        <v>F046</v>
      </c>
      <c r="B256" s="35" t="str">
        <f>MID(Scharniere[[#This Row],[ArtikelNR]],5,3)</f>
        <v>138</v>
      </c>
      <c r="C256" s="37" t="str">
        <f>RIGHT(Scharniere[[#This Row],[ArtikelNR]],3)</f>
        <v>431</v>
      </c>
      <c r="D256" s="35">
        <f>IF(AND(Scharniere[[#This Row],[Gruppenschlüssel]]=select!$A$44,Scharniere[[#This Row],[Scharnierart]]=1)=TRUE,1,0)</f>
        <v>0</v>
      </c>
      <c r="E2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6" s="35">
        <f>IF(select!$F$57=IF(Scharniere[[#This Row],[mit Dämpfung]]=1,1,IF(Scharniere[[#This Row],[ohne Dämpfung]]=1,2,IF(Scharniere[[#This Row],[ohne Feder]]=1,3,0))),1,0)</f>
        <v>1</v>
      </c>
      <c r="G256" s="35">
        <f>IF(Scharniere[[#This Row],[Bohrbild]]=select!$V$43,1,0)</f>
        <v>0</v>
      </c>
      <c r="H256" s="35">
        <f>IF(IF(Scharniere[[#This Row],[Anschrauben]]=1,1,IF(Scharniere[[#This Row],[Einpressen]]=1,2,IF(Scharniere[[#This Row],[Quick]]=1,3,IF(Scharniere[[#This Row],[Werkzeuglos]]=1,4,0))))=select!$F$48,1,0)</f>
        <v>1</v>
      </c>
      <c r="I2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6" s="149">
        <f>IF(AND(Scharniere[[#This Row],[Scharnierart]]=2,Scharniere[[#This Row],[Gruppenschlüssel]]=select!$A$318)=TRUE,1,0)</f>
        <v>0</v>
      </c>
      <c r="K256" s="221">
        <f ca="1">IF(select!$O$424&lt;6,1,0)</f>
        <v>1</v>
      </c>
      <c r="L256" s="139">
        <f>IF(select!$A$362=IF(Scharniere[[#This Row],[mit Dämpfung]]=1,1,IF(Scharniere[[#This Row],[ohne Dämpfung]]=1,2,IF(Scharniere[[#This Row],[ohne Feder]]=1,3,0))),1,0)</f>
        <v>0</v>
      </c>
      <c r="M256" s="135">
        <f>IF(Scharniere[[#This Row],[Bohrbild]]=select!$O$334,1,0)</f>
        <v>0</v>
      </c>
      <c r="N256" s="135">
        <f>IF(IF(Scharniere[[#This Row],[Anschrauben]]=1,1,IF(Scharniere[[#This Row],[Einpressen]]=1,2,IF(Scharniere[[#This Row],[Quick]]=1,3,IF(Scharniere[[#This Row],[Werkzeuglos]]=1,4,0))))=select!$E$362,1,0)</f>
        <v>0</v>
      </c>
      <c r="O2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6" s="298">
        <f>IF(AND(Scharniere[[#This Row],[Scharnierart]]=3,Scharniere[[#This Row],[Gruppenschlüssel]]=select!$A$747)=TRUE,1,0)</f>
        <v>0</v>
      </c>
      <c r="Q256" s="298">
        <f ca="1">IF(select!$O$945&lt;6,1,0)</f>
        <v>1</v>
      </c>
      <c r="R256" s="298">
        <f>IF(select!$A$778=IF(Scharniere[[#This Row],[mit Dämpfung]]=1,1,IF(Scharniere[[#This Row],[ohne Dämpfung]]=1,2,IF(Scharniere[[#This Row],[ohne Feder]]=1,3,0))),1,0)</f>
        <v>0</v>
      </c>
      <c r="S256" s="298">
        <f>IF(Scharniere[[#This Row],[Bohrbild]]=select!$A$755,1,0)</f>
        <v>0</v>
      </c>
      <c r="T256" s="298">
        <f>IF(IF(Scharniere[[#This Row],[Anschrauben]]=1,1,IF(Scharniere[[#This Row],[Einpressen]]=1,2,IF(Scharniere[[#This Row],[Quick]]=1,3,IF(Scharniere[[#This Row],[Werkzeuglos]]=1,4,0))))=select!$A$769,1,0)</f>
        <v>0</v>
      </c>
      <c r="U2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6" s="359">
        <f>IF(AND(Scharniere[[#This Row],[Scharnierart]]=4,Scharniere[[#This Row],[Gruppenschlüssel]]=select!$A$981)=TRUE,1,0)</f>
        <v>0</v>
      </c>
      <c r="W256" s="359">
        <f ca="1">IF(select!$O$1185&lt;6,1,0)</f>
        <v>1</v>
      </c>
      <c r="X256" s="359">
        <f>IF(select!$A$1012=IF(Scharniere[[#This Row],[mit Dämpfung]]=1,1,IF(Scharniere[[#This Row],[ohne Dämpfung]]=1,2,IF(Scharniere[[#This Row],[ohne Feder]]=1,3,0))),1,0)</f>
        <v>0</v>
      </c>
      <c r="Y256" s="359">
        <f>IF(Scharniere[[#This Row],[Bohrbild]]=select!$A$989,1,0)</f>
        <v>0</v>
      </c>
      <c r="Z256" s="359">
        <f>IF(IF(Scharniere[[#This Row],[Anschrauben]]=1,1,IF(Scharniere[[#This Row],[Einpressen]]=1,2,IF(Scharniere[[#This Row],[Quick]]=1,3,IF(Scharniere[[#This Row],[Werkzeuglos]]=1,4,0))))=select!$A$1003,1,0)</f>
        <v>0</v>
      </c>
      <c r="AA2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6" s="359">
        <f ca="1">IF(select!$K$980="*",Scharniere[[#This Row],[AG Ges2]],Scharniere[[#This Row],[AG Ges1]])</f>
        <v>0</v>
      </c>
      <c r="AE256" s="451">
        <f ca="1">IF(AND(Scharniere[[#This Row],[Scharnierart]]=select!$A$1485,Scharniere[[#This Row],[Gruppenschlüssel]]=select!$B$1485)=TRUE,1,0)</f>
        <v>0</v>
      </c>
      <c r="AF256" s="451">
        <f ca="1">IF(AND(Scharniere[[#This Row],[Scharnierart]]=select!$A$1486,Scharniere[[#This Row],[Gruppenschlüssel]]=select!$B$1486)=TRUE,1,0)</f>
        <v>0</v>
      </c>
      <c r="AG256" s="451">
        <f ca="1">IF(AND(Scharniere[[#This Row],[Scharnierart]]=select!$A$1487,Scharniere[[#This Row],[Gruppenschlüssel]]=select!$B$1487)=TRUE,1,0)</f>
        <v>0</v>
      </c>
      <c r="AH256" s="451">
        <f ca="1">IF(AND(Scharniere[[#This Row],[Scharnierart]]=select!$A$1488,Scharniere[[#This Row],[Gruppenschlüssel]]=select!$B$1488)=TRUE,1,0)</f>
        <v>0</v>
      </c>
      <c r="AI256" s="451">
        <f ca="1">IF(SUM(Scharniere[[#This Row],[konf Scharnier 1]:[konf Scharnier 4]])&gt;0,1,0)</f>
        <v>0</v>
      </c>
      <c r="AJ256" s="451"/>
      <c r="AK256" s="451"/>
      <c r="AL256" s="451"/>
      <c r="AM256" s="451"/>
      <c r="AN256" s="451"/>
      <c r="AO256" s="146">
        <v>1</v>
      </c>
      <c r="AP256" s="146">
        <v>2</v>
      </c>
      <c r="AQ256" s="10" t="str">
        <f ca="1">Sprache!$A$114</f>
        <v>Tiomos Scharnier TT Click-on</v>
      </c>
      <c r="AR256" t="str">
        <f ca="1">"120°, G-BB, K9.5, "&amp;Sprache!A181&amp;", ni"</f>
        <v>120°, G-BB, K9.5, Dübel, ni</v>
      </c>
      <c r="AS256" t="str">
        <f ca="1">Sprache!$A$103</f>
        <v>Tiomos Click-On Scharniere</v>
      </c>
      <c r="AT256">
        <v>9.5</v>
      </c>
      <c r="AU256" s="34" t="s">
        <v>9</v>
      </c>
      <c r="AV256">
        <v>120</v>
      </c>
      <c r="AW256" s="10">
        <v>0</v>
      </c>
      <c r="AX256">
        <v>0</v>
      </c>
      <c r="AY256">
        <v>1</v>
      </c>
      <c r="AZ256" s="10">
        <v>0</v>
      </c>
      <c r="BA256">
        <v>1</v>
      </c>
      <c r="BB256">
        <v>0</v>
      </c>
      <c r="BC256">
        <v>0</v>
      </c>
      <c r="BD256" s="143" t="s">
        <v>622</v>
      </c>
      <c r="BG256"/>
    </row>
    <row r="257" spans="1:59" ht="14.25" customHeight="1" x14ac:dyDescent="0.25">
      <c r="A257" s="37" t="str">
        <f>LEFT(Scharniere[[#This Row],[ArtikelNR]],4)</f>
        <v>F045</v>
      </c>
      <c r="B257" s="35" t="str">
        <f>MID(Scharniere[[#This Row],[ArtikelNR]],5,3)</f>
        <v>138</v>
      </c>
      <c r="C257" s="37" t="str">
        <f>RIGHT(Scharniere[[#This Row],[ArtikelNR]],3)</f>
        <v>305</v>
      </c>
      <c r="D257" s="35">
        <f>IF(AND(Scharniere[[#This Row],[Gruppenschlüssel]]=select!$A$44,Scharniere[[#This Row],[Scharnierart]]=1)=TRUE,1,0)</f>
        <v>0</v>
      </c>
      <c r="E2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7" s="35">
        <f>IF(select!$F$57=IF(Scharniere[[#This Row],[mit Dämpfung]]=1,1,IF(Scharniere[[#This Row],[ohne Dämpfung]]=1,2,IF(Scharniere[[#This Row],[ohne Feder]]=1,3,0))),1,0)</f>
        <v>0</v>
      </c>
      <c r="G257" s="35">
        <f>IF(Scharniere[[#This Row],[Bohrbild]]=select!$V$43,1,0)</f>
        <v>0</v>
      </c>
      <c r="H257" s="35">
        <f>IF(IF(Scharniere[[#This Row],[Anschrauben]]=1,1,IF(Scharniere[[#This Row],[Einpressen]]=1,2,IF(Scharniere[[#This Row],[Quick]]=1,3,IF(Scharniere[[#This Row],[Werkzeuglos]]=1,4,0))))=select!$F$48,1,0)</f>
        <v>0</v>
      </c>
      <c r="I2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7" s="149">
        <f>IF(AND(Scharniere[[#This Row],[Scharnierart]]=2,Scharniere[[#This Row],[Gruppenschlüssel]]=select!$A$318)=TRUE,1,0)</f>
        <v>0</v>
      </c>
      <c r="K257" s="221">
        <f ca="1">IF(select!$O$424&lt;6,1,0)</f>
        <v>1</v>
      </c>
      <c r="L257" s="139">
        <f>IF(select!$A$362=IF(Scharniere[[#This Row],[mit Dämpfung]]=1,1,IF(Scharniere[[#This Row],[ohne Dämpfung]]=1,2,IF(Scharniere[[#This Row],[ohne Feder]]=1,3,0))),1,0)</f>
        <v>0</v>
      </c>
      <c r="M257" s="135">
        <f>IF(Scharniere[[#This Row],[Bohrbild]]=select!$O$334,1,0)</f>
        <v>0</v>
      </c>
      <c r="N257" s="135">
        <f>IF(IF(Scharniere[[#This Row],[Anschrauben]]=1,1,IF(Scharniere[[#This Row],[Einpressen]]=1,2,IF(Scharniere[[#This Row],[Quick]]=1,3,IF(Scharniere[[#This Row],[Werkzeuglos]]=1,4,0))))=select!$E$362,1,0)</f>
        <v>1</v>
      </c>
      <c r="O2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7" s="298">
        <f>IF(AND(Scharniere[[#This Row],[Scharnierart]]=3,Scharniere[[#This Row],[Gruppenschlüssel]]=select!$A$747)=TRUE,1,0)</f>
        <v>0</v>
      </c>
      <c r="Q257" s="298">
        <f ca="1">IF(select!$O$945&lt;6,1,0)</f>
        <v>1</v>
      </c>
      <c r="R257" s="298">
        <f>IF(select!$A$778=IF(Scharniere[[#This Row],[mit Dämpfung]]=1,1,IF(Scharniere[[#This Row],[ohne Dämpfung]]=1,2,IF(Scharniere[[#This Row],[ohne Feder]]=1,3,0))),1,0)</f>
        <v>1</v>
      </c>
      <c r="S257" s="298">
        <f>IF(Scharniere[[#This Row],[Bohrbild]]=select!$A$755,1,0)</f>
        <v>0</v>
      </c>
      <c r="T257" s="298">
        <f>IF(IF(Scharniere[[#This Row],[Anschrauben]]=1,1,IF(Scharniere[[#This Row],[Einpressen]]=1,2,IF(Scharniere[[#This Row],[Quick]]=1,3,IF(Scharniere[[#This Row],[Werkzeuglos]]=1,4,0))))=select!$A$769,1,0)</f>
        <v>1</v>
      </c>
      <c r="U2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7" s="359">
        <f>IF(AND(Scharniere[[#This Row],[Scharnierart]]=4,Scharniere[[#This Row],[Gruppenschlüssel]]=select!$A$981)=TRUE,1,0)</f>
        <v>0</v>
      </c>
      <c r="W257" s="359">
        <f ca="1">IF(select!$O$1185&lt;6,1,0)</f>
        <v>1</v>
      </c>
      <c r="X257" s="359">
        <f>IF(select!$A$1012=IF(Scharniere[[#This Row],[mit Dämpfung]]=1,1,IF(Scharniere[[#This Row],[ohne Dämpfung]]=1,2,IF(Scharniere[[#This Row],[ohne Feder]]=1,3,0))),1,0)</f>
        <v>1</v>
      </c>
      <c r="Y257" s="359">
        <f>IF(Scharniere[[#This Row],[Bohrbild]]=select!$A$989,1,0)</f>
        <v>0</v>
      </c>
      <c r="Z257" s="359">
        <f>IF(IF(Scharniere[[#This Row],[Anschrauben]]=1,1,IF(Scharniere[[#This Row],[Einpressen]]=1,2,IF(Scharniere[[#This Row],[Quick]]=1,3,IF(Scharniere[[#This Row],[Werkzeuglos]]=1,4,0))))=select!$A$1003,1,0)</f>
        <v>1</v>
      </c>
      <c r="AA2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7" s="359">
        <f ca="1">IF(select!$K$980="*",Scharniere[[#This Row],[AG Ges2]],Scharniere[[#This Row],[AG Ges1]])</f>
        <v>0</v>
      </c>
      <c r="AE257" s="451">
        <f ca="1">IF(AND(Scharniere[[#This Row],[Scharnierart]]=select!$A$1485,Scharniere[[#This Row],[Gruppenschlüssel]]=select!$B$1485)=TRUE,1,0)</f>
        <v>0</v>
      </c>
      <c r="AF257" s="451">
        <f ca="1">IF(AND(Scharniere[[#This Row],[Scharnierart]]=select!$A$1486,Scharniere[[#This Row],[Gruppenschlüssel]]=select!$B$1486)=TRUE,1,0)</f>
        <v>0</v>
      </c>
      <c r="AG257" s="451">
        <f ca="1">IF(AND(Scharniere[[#This Row],[Scharnierart]]=select!$A$1487,Scharniere[[#This Row],[Gruppenschlüssel]]=select!$B$1487)=TRUE,1,0)</f>
        <v>0</v>
      </c>
      <c r="AH257" s="451">
        <f ca="1">IF(AND(Scharniere[[#This Row],[Scharnierart]]=select!$A$1488,Scharniere[[#This Row],[Gruppenschlüssel]]=select!$B$1488)=TRUE,1,0)</f>
        <v>0</v>
      </c>
      <c r="AI257" s="451">
        <f ca="1">IF(SUM(Scharniere[[#This Row],[konf Scharnier 1]:[konf Scharnier 4]])&gt;0,1,0)</f>
        <v>0</v>
      </c>
      <c r="AJ257" s="451"/>
      <c r="AK257" s="451"/>
      <c r="AL257" s="451"/>
      <c r="AM257" s="451"/>
      <c r="AN257" s="451"/>
      <c r="AO257" s="146">
        <v>1</v>
      </c>
      <c r="AP257" s="146">
        <v>2</v>
      </c>
      <c r="AQ257" s="10" t="str">
        <f ca="1">Sprache!$A$110</f>
        <v>Tiomos Scharnier T Click-on</v>
      </c>
      <c r="AR257" t="s">
        <v>1932</v>
      </c>
      <c r="AS257" t="str">
        <f ca="1">Sprache!$A$103</f>
        <v>Tiomos Click-On Scharniere</v>
      </c>
      <c r="AT257">
        <v>9.5</v>
      </c>
      <c r="AU257" s="34" t="s">
        <v>9</v>
      </c>
      <c r="AV257">
        <v>120</v>
      </c>
      <c r="AW257" s="10">
        <v>0</v>
      </c>
      <c r="AX257">
        <v>1</v>
      </c>
      <c r="AY257">
        <v>0</v>
      </c>
      <c r="AZ257" s="10">
        <v>1</v>
      </c>
      <c r="BA257">
        <v>0</v>
      </c>
      <c r="BB257">
        <v>0</v>
      </c>
      <c r="BC257">
        <v>0</v>
      </c>
      <c r="BD257" s="143" t="s">
        <v>467</v>
      </c>
      <c r="BG257"/>
    </row>
    <row r="258" spans="1:59" ht="14.25" customHeight="1" x14ac:dyDescent="0.25">
      <c r="A258" s="37" t="str">
        <f>LEFT(Scharniere[[#This Row],[ArtikelNR]],4)</f>
        <v>F028</v>
      </c>
      <c r="B258" s="35" t="str">
        <f>MID(Scharniere[[#This Row],[ArtikelNR]],5,3)</f>
        <v>138</v>
      </c>
      <c r="C258" s="37" t="str">
        <f>RIGHT(Scharniere[[#This Row],[ArtikelNR]],3)</f>
        <v>367</v>
      </c>
      <c r="D258" s="35">
        <f>IF(AND(Scharniere[[#This Row],[Gruppenschlüssel]]=select!$A$44,Scharniere[[#This Row],[Scharnierart]]=1)=TRUE,1,0)</f>
        <v>0</v>
      </c>
      <c r="E2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8" s="35">
        <f>IF(select!$F$57=IF(Scharniere[[#This Row],[mit Dämpfung]]=1,1,IF(Scharniere[[#This Row],[ohne Dämpfung]]=1,2,IF(Scharniere[[#This Row],[ohne Feder]]=1,3,0))),1,0)</f>
        <v>0</v>
      </c>
      <c r="G258" s="35">
        <f>IF(Scharniere[[#This Row],[Bohrbild]]=select!$V$43,1,0)</f>
        <v>0</v>
      </c>
      <c r="H258" s="35">
        <f>IF(IF(Scharniere[[#This Row],[Anschrauben]]=1,1,IF(Scharniere[[#This Row],[Einpressen]]=1,2,IF(Scharniere[[#This Row],[Quick]]=1,3,IF(Scharniere[[#This Row],[Werkzeuglos]]=1,4,0))))=select!$F$48,1,0)</f>
        <v>0</v>
      </c>
      <c r="I2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8" s="149">
        <f>IF(AND(Scharniere[[#This Row],[Scharnierart]]=2,Scharniere[[#This Row],[Gruppenschlüssel]]=select!$A$318)=TRUE,1,0)</f>
        <v>0</v>
      </c>
      <c r="K258" s="221">
        <f ca="1">IF(select!$O$424&lt;6,1,0)</f>
        <v>1</v>
      </c>
      <c r="L258" s="139">
        <f>IF(select!$A$362=IF(Scharniere[[#This Row],[mit Dämpfung]]=1,1,IF(Scharniere[[#This Row],[ohne Dämpfung]]=1,2,IF(Scharniere[[#This Row],[ohne Feder]]=1,3,0))),1,0)</f>
        <v>1</v>
      </c>
      <c r="M258" s="135">
        <f>IF(Scharniere[[#This Row],[Bohrbild]]=select!$O$334,1,0)</f>
        <v>0</v>
      </c>
      <c r="N258" s="135">
        <f>IF(IF(Scharniere[[#This Row],[Anschrauben]]=1,1,IF(Scharniere[[#This Row],[Einpressen]]=1,2,IF(Scharniere[[#This Row],[Quick]]=1,3,IF(Scharniere[[#This Row],[Werkzeuglos]]=1,4,0))))=select!$E$362,1,0)</f>
        <v>1</v>
      </c>
      <c r="O2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8" s="298">
        <f>IF(AND(Scharniere[[#This Row],[Scharnierart]]=3,Scharniere[[#This Row],[Gruppenschlüssel]]=select!$A$747)=TRUE,1,0)</f>
        <v>0</v>
      </c>
      <c r="Q258" s="298">
        <f ca="1">IF(select!$O$945&lt;6,1,0)</f>
        <v>1</v>
      </c>
      <c r="R258" s="298">
        <f>IF(select!$A$778=IF(Scharniere[[#This Row],[mit Dämpfung]]=1,1,IF(Scharniere[[#This Row],[ohne Dämpfung]]=1,2,IF(Scharniere[[#This Row],[ohne Feder]]=1,3,0))),1,0)</f>
        <v>0</v>
      </c>
      <c r="S258" s="298">
        <f>IF(Scharniere[[#This Row],[Bohrbild]]=select!$A$755,1,0)</f>
        <v>0</v>
      </c>
      <c r="T258" s="298">
        <f>IF(IF(Scharniere[[#This Row],[Anschrauben]]=1,1,IF(Scharniere[[#This Row],[Einpressen]]=1,2,IF(Scharniere[[#This Row],[Quick]]=1,3,IF(Scharniere[[#This Row],[Werkzeuglos]]=1,4,0))))=select!$A$769,1,0)</f>
        <v>1</v>
      </c>
      <c r="U2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8" s="359">
        <f>IF(AND(Scharniere[[#This Row],[Scharnierart]]=4,Scharniere[[#This Row],[Gruppenschlüssel]]=select!$A$981)=TRUE,1,0)</f>
        <v>0</v>
      </c>
      <c r="W258" s="359">
        <f ca="1">IF(select!$O$1185&lt;6,1,0)</f>
        <v>1</v>
      </c>
      <c r="X258" s="359">
        <f>IF(select!$A$1012=IF(Scharniere[[#This Row],[mit Dämpfung]]=1,1,IF(Scharniere[[#This Row],[ohne Dämpfung]]=1,2,IF(Scharniere[[#This Row],[ohne Feder]]=1,3,0))),1,0)</f>
        <v>0</v>
      </c>
      <c r="Y258" s="359">
        <f>IF(Scharniere[[#This Row],[Bohrbild]]=select!$A$989,1,0)</f>
        <v>0</v>
      </c>
      <c r="Z258" s="359">
        <f>IF(IF(Scharniere[[#This Row],[Anschrauben]]=1,1,IF(Scharniere[[#This Row],[Einpressen]]=1,2,IF(Scharniere[[#This Row],[Quick]]=1,3,IF(Scharniere[[#This Row],[Werkzeuglos]]=1,4,0))))=select!$A$1003,1,0)</f>
        <v>1</v>
      </c>
      <c r="AA2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8" s="359">
        <f ca="1">IF(select!$K$980="*",Scharniere[[#This Row],[AG Ges2]],Scharniere[[#This Row],[AG Ges1]])</f>
        <v>0</v>
      </c>
      <c r="AE258" s="451">
        <f ca="1">IF(AND(Scharniere[[#This Row],[Scharnierart]]=select!$A$1485,Scharniere[[#This Row],[Gruppenschlüssel]]=select!$B$1485)=TRUE,1,0)</f>
        <v>0</v>
      </c>
      <c r="AF258" s="451">
        <f ca="1">IF(AND(Scharniere[[#This Row],[Scharnierart]]=select!$A$1486,Scharniere[[#This Row],[Gruppenschlüssel]]=select!$B$1486)=TRUE,1,0)</f>
        <v>0</v>
      </c>
      <c r="AG258" s="451">
        <f ca="1">IF(AND(Scharniere[[#This Row],[Scharnierart]]=select!$A$1487,Scharniere[[#This Row],[Gruppenschlüssel]]=select!$B$1487)=TRUE,1,0)</f>
        <v>0</v>
      </c>
      <c r="AH258" s="451">
        <f ca="1">IF(AND(Scharniere[[#This Row],[Scharnierart]]=select!$A$1488,Scharniere[[#This Row],[Gruppenschlüssel]]=select!$B$1488)=TRUE,1,0)</f>
        <v>0</v>
      </c>
      <c r="AI258" s="451">
        <f ca="1">IF(SUM(Scharniere[[#This Row],[konf Scharnier 1]:[konf Scharnier 4]])&gt;0,1,0)</f>
        <v>0</v>
      </c>
      <c r="AJ258" s="451"/>
      <c r="AK258" s="451"/>
      <c r="AL258" s="451"/>
      <c r="AM258" s="451"/>
      <c r="AN258" s="451"/>
      <c r="AO258" s="146">
        <v>1</v>
      </c>
      <c r="AP258" s="146">
        <v>2</v>
      </c>
      <c r="AQ258" s="10" t="str">
        <f ca="1">Sprache!$A$112</f>
        <v>Tiomos Scharnier TS Click-on</v>
      </c>
      <c r="AR258" t="s">
        <v>1932</v>
      </c>
      <c r="AS258" t="str">
        <f ca="1">Sprache!$A$103</f>
        <v>Tiomos Click-On Scharniere</v>
      </c>
      <c r="AT258">
        <v>9.5</v>
      </c>
      <c r="AU258" t="s">
        <v>9</v>
      </c>
      <c r="AV258">
        <v>120</v>
      </c>
      <c r="AW258" s="10">
        <v>1</v>
      </c>
      <c r="AX258">
        <v>0</v>
      </c>
      <c r="AY258">
        <v>0</v>
      </c>
      <c r="AZ258" s="10">
        <v>1</v>
      </c>
      <c r="BA258">
        <v>0</v>
      </c>
      <c r="BB258">
        <v>0</v>
      </c>
      <c r="BC258">
        <v>0</v>
      </c>
      <c r="BD258" s="143" t="s">
        <v>279</v>
      </c>
      <c r="BG258"/>
    </row>
    <row r="259" spans="1:59" ht="14.25" customHeight="1" x14ac:dyDescent="0.25">
      <c r="A259" s="37" t="str">
        <f>LEFT(Scharniere[[#This Row],[ArtikelNR]],4)</f>
        <v>F046</v>
      </c>
      <c r="B259" s="35" t="str">
        <f>MID(Scharniere[[#This Row],[ArtikelNR]],5,3)</f>
        <v>138</v>
      </c>
      <c r="C259" s="37" t="str">
        <f>RIGHT(Scharniere[[#This Row],[ArtikelNR]],3)</f>
        <v>427</v>
      </c>
      <c r="D259" s="35">
        <f>IF(AND(Scharniere[[#This Row],[Gruppenschlüssel]]=select!$A$44,Scharniere[[#This Row],[Scharnierart]]=1)=TRUE,1,0)</f>
        <v>0</v>
      </c>
      <c r="E2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59" s="35">
        <f>IF(select!$F$57=IF(Scharniere[[#This Row],[mit Dämpfung]]=1,1,IF(Scharniere[[#This Row],[ohne Dämpfung]]=1,2,IF(Scharniere[[#This Row],[ohne Feder]]=1,3,0))),1,0)</f>
        <v>1</v>
      </c>
      <c r="G259" s="35">
        <f>IF(Scharniere[[#This Row],[Bohrbild]]=select!$V$43,1,0)</f>
        <v>0</v>
      </c>
      <c r="H259" s="35">
        <f>IF(IF(Scharniere[[#This Row],[Anschrauben]]=1,1,IF(Scharniere[[#This Row],[Einpressen]]=1,2,IF(Scharniere[[#This Row],[Quick]]=1,3,IF(Scharniere[[#This Row],[Werkzeuglos]]=1,4,0))))=select!$F$48,1,0)</f>
        <v>0</v>
      </c>
      <c r="I2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59" s="149">
        <f>IF(AND(Scharniere[[#This Row],[Scharnierart]]=2,Scharniere[[#This Row],[Gruppenschlüssel]]=select!$A$318)=TRUE,1,0)</f>
        <v>0</v>
      </c>
      <c r="K259" s="221">
        <f ca="1">IF(select!$O$424&lt;6,1,0)</f>
        <v>1</v>
      </c>
      <c r="L259" s="139">
        <f>IF(select!$A$362=IF(Scharniere[[#This Row],[mit Dämpfung]]=1,1,IF(Scharniere[[#This Row],[ohne Dämpfung]]=1,2,IF(Scharniere[[#This Row],[ohne Feder]]=1,3,0))),1,0)</f>
        <v>0</v>
      </c>
      <c r="M259" s="135">
        <f>IF(Scharniere[[#This Row],[Bohrbild]]=select!$O$334,1,0)</f>
        <v>0</v>
      </c>
      <c r="N259" s="135">
        <f>IF(IF(Scharniere[[#This Row],[Anschrauben]]=1,1,IF(Scharniere[[#This Row],[Einpressen]]=1,2,IF(Scharniere[[#This Row],[Quick]]=1,3,IF(Scharniere[[#This Row],[Werkzeuglos]]=1,4,0))))=select!$E$362,1,0)</f>
        <v>1</v>
      </c>
      <c r="O2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59" s="298">
        <f>IF(AND(Scharniere[[#This Row],[Scharnierart]]=3,Scharniere[[#This Row],[Gruppenschlüssel]]=select!$A$747)=TRUE,1,0)</f>
        <v>0</v>
      </c>
      <c r="Q259" s="298">
        <f ca="1">IF(select!$O$945&lt;6,1,0)</f>
        <v>1</v>
      </c>
      <c r="R259" s="298">
        <f>IF(select!$A$778=IF(Scharniere[[#This Row],[mit Dämpfung]]=1,1,IF(Scharniere[[#This Row],[ohne Dämpfung]]=1,2,IF(Scharniere[[#This Row],[ohne Feder]]=1,3,0))),1,0)</f>
        <v>0</v>
      </c>
      <c r="S259" s="298">
        <f>IF(Scharniere[[#This Row],[Bohrbild]]=select!$A$755,1,0)</f>
        <v>0</v>
      </c>
      <c r="T259" s="298">
        <f>IF(IF(Scharniere[[#This Row],[Anschrauben]]=1,1,IF(Scharniere[[#This Row],[Einpressen]]=1,2,IF(Scharniere[[#This Row],[Quick]]=1,3,IF(Scharniere[[#This Row],[Werkzeuglos]]=1,4,0))))=select!$A$769,1,0)</f>
        <v>1</v>
      </c>
      <c r="U2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59" s="359">
        <f>IF(AND(Scharniere[[#This Row],[Scharnierart]]=4,Scharniere[[#This Row],[Gruppenschlüssel]]=select!$A$981)=TRUE,1,0)</f>
        <v>0</v>
      </c>
      <c r="W259" s="359">
        <f ca="1">IF(select!$O$1185&lt;6,1,0)</f>
        <v>1</v>
      </c>
      <c r="X259" s="359">
        <f>IF(select!$A$1012=IF(Scharniere[[#This Row],[mit Dämpfung]]=1,1,IF(Scharniere[[#This Row],[ohne Dämpfung]]=1,2,IF(Scharniere[[#This Row],[ohne Feder]]=1,3,0))),1,0)</f>
        <v>0</v>
      </c>
      <c r="Y259" s="359">
        <f>IF(Scharniere[[#This Row],[Bohrbild]]=select!$A$989,1,0)</f>
        <v>0</v>
      </c>
      <c r="Z259" s="359">
        <f>IF(IF(Scharniere[[#This Row],[Anschrauben]]=1,1,IF(Scharniere[[#This Row],[Einpressen]]=1,2,IF(Scharniere[[#This Row],[Quick]]=1,3,IF(Scharniere[[#This Row],[Werkzeuglos]]=1,4,0))))=select!$A$1003,1,0)</f>
        <v>1</v>
      </c>
      <c r="AA2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59" s="359">
        <f ca="1">IF(select!$K$980="*",Scharniere[[#This Row],[AG Ges2]],Scharniere[[#This Row],[AG Ges1]])</f>
        <v>0</v>
      </c>
      <c r="AE259" s="451">
        <f ca="1">IF(AND(Scharniere[[#This Row],[Scharnierart]]=select!$A$1485,Scharniere[[#This Row],[Gruppenschlüssel]]=select!$B$1485)=TRUE,1,0)</f>
        <v>0</v>
      </c>
      <c r="AF259" s="451">
        <f ca="1">IF(AND(Scharniere[[#This Row],[Scharnierart]]=select!$A$1486,Scharniere[[#This Row],[Gruppenschlüssel]]=select!$B$1486)=TRUE,1,0)</f>
        <v>0</v>
      </c>
      <c r="AG259" s="451">
        <f ca="1">IF(AND(Scharniere[[#This Row],[Scharnierart]]=select!$A$1487,Scharniere[[#This Row],[Gruppenschlüssel]]=select!$B$1487)=TRUE,1,0)</f>
        <v>0</v>
      </c>
      <c r="AH259" s="451">
        <f ca="1">IF(AND(Scharniere[[#This Row],[Scharnierart]]=select!$A$1488,Scharniere[[#This Row],[Gruppenschlüssel]]=select!$B$1488)=TRUE,1,0)</f>
        <v>0</v>
      </c>
      <c r="AI259" s="451">
        <f ca="1">IF(SUM(Scharniere[[#This Row],[konf Scharnier 1]:[konf Scharnier 4]])&gt;0,1,0)</f>
        <v>0</v>
      </c>
      <c r="AJ259" s="451"/>
      <c r="AK259" s="451"/>
      <c r="AL259" s="451"/>
      <c r="AM259" s="451"/>
      <c r="AN259" s="451"/>
      <c r="AO259" s="146">
        <v>1</v>
      </c>
      <c r="AP259" s="146">
        <v>2</v>
      </c>
      <c r="AQ259" s="10" t="str">
        <f ca="1">Sprache!$A$114</f>
        <v>Tiomos Scharnier TT Click-on</v>
      </c>
      <c r="AR259" t="s">
        <v>1932</v>
      </c>
      <c r="AS259" t="str">
        <f ca="1">Sprache!$A$103</f>
        <v>Tiomos Click-On Scharniere</v>
      </c>
      <c r="AT259">
        <v>9.5</v>
      </c>
      <c r="AU259" t="s">
        <v>9</v>
      </c>
      <c r="AV259">
        <v>120</v>
      </c>
      <c r="AW259" s="10">
        <v>0</v>
      </c>
      <c r="AX259">
        <v>0</v>
      </c>
      <c r="AY259">
        <v>1</v>
      </c>
      <c r="AZ259" s="10">
        <v>1</v>
      </c>
      <c r="BA259">
        <v>0</v>
      </c>
      <c r="BB259">
        <v>0</v>
      </c>
      <c r="BC259">
        <v>0</v>
      </c>
      <c r="BD259" s="143" t="s">
        <v>619</v>
      </c>
      <c r="BG259"/>
    </row>
    <row r="260" spans="1:59" ht="14.25" customHeight="1" x14ac:dyDescent="0.25">
      <c r="A260" s="37" t="str">
        <f>LEFT(Scharniere[[#This Row],[ArtikelNR]],4)</f>
        <v>F034</v>
      </c>
      <c r="B260" s="35" t="str">
        <f>MID(Scharniere[[#This Row],[ArtikelNR]],5,3)</f>
        <v>139</v>
      </c>
      <c r="C260" s="37" t="str">
        <f>RIGHT(Scharniere[[#This Row],[ArtikelNR]],3)</f>
        <v>401</v>
      </c>
      <c r="D260" s="35">
        <f>IF(AND(Scharniere[[#This Row],[Gruppenschlüssel]]=select!$A$44,Scharniere[[#This Row],[Scharnierart]]=1)=TRUE,1,0)</f>
        <v>0</v>
      </c>
      <c r="E2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0" s="35">
        <f>IF(select!$F$57=IF(Scharniere[[#This Row],[mit Dämpfung]]=1,1,IF(Scharniere[[#This Row],[ohne Dämpfung]]=1,2,IF(Scharniere[[#This Row],[ohne Feder]]=1,3,0))),1,0)</f>
        <v>0</v>
      </c>
      <c r="G260" s="35">
        <f>IF(Scharniere[[#This Row],[Bohrbild]]=select!$V$43,1,0)</f>
        <v>0</v>
      </c>
      <c r="H260" s="35">
        <f>IF(IF(Scharniere[[#This Row],[Anschrauben]]=1,1,IF(Scharniere[[#This Row],[Einpressen]]=1,2,IF(Scharniere[[#This Row],[Quick]]=1,3,IF(Scharniere[[#This Row],[Werkzeuglos]]=1,4,0))))=select!$F$48,1,0)</f>
        <v>0</v>
      </c>
      <c r="I2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0" s="149">
        <f>IF(AND(Scharniere[[#This Row],[Scharnierart]]=2,Scharniere[[#This Row],[Gruppenschlüssel]]=select!$A$318)=TRUE,1,0)</f>
        <v>0</v>
      </c>
      <c r="K260" s="221">
        <f ca="1">IF(select!$O$424&lt;6,1,0)</f>
        <v>1</v>
      </c>
      <c r="L260" s="139">
        <f>IF(select!$A$362=IF(Scharniere[[#This Row],[mit Dämpfung]]=1,1,IF(Scharniere[[#This Row],[ohne Dämpfung]]=1,2,IF(Scharniere[[#This Row],[ohne Feder]]=1,3,0))),1,0)</f>
        <v>0</v>
      </c>
      <c r="M260" s="135">
        <f>IF(Scharniere[[#This Row],[Bohrbild]]=select!$O$334,1,0)</f>
        <v>0</v>
      </c>
      <c r="N260" s="135">
        <f>IF(IF(Scharniere[[#This Row],[Anschrauben]]=1,1,IF(Scharniere[[#This Row],[Einpressen]]=1,2,IF(Scharniere[[#This Row],[Quick]]=1,3,IF(Scharniere[[#This Row],[Werkzeuglos]]=1,4,0))))=select!$E$362,1,0)</f>
        <v>0</v>
      </c>
      <c r="O2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0" s="298">
        <f>IF(AND(Scharniere[[#This Row],[Scharnierart]]=3,Scharniere[[#This Row],[Gruppenschlüssel]]=select!$A$747)=TRUE,1,0)</f>
        <v>0</v>
      </c>
      <c r="Q260" s="298">
        <f ca="1">IF(select!$O$945&lt;6,1,0)</f>
        <v>1</v>
      </c>
      <c r="R260" s="298">
        <f>IF(select!$A$778=IF(Scharniere[[#This Row],[mit Dämpfung]]=1,1,IF(Scharniere[[#This Row],[ohne Dämpfung]]=1,2,IF(Scharniere[[#This Row],[ohne Feder]]=1,3,0))),1,0)</f>
        <v>1</v>
      </c>
      <c r="S260" s="298">
        <f>IF(Scharniere[[#This Row],[Bohrbild]]=select!$A$755,1,0)</f>
        <v>0</v>
      </c>
      <c r="T260" s="298">
        <f>IF(IF(Scharniere[[#This Row],[Anschrauben]]=1,1,IF(Scharniere[[#This Row],[Einpressen]]=1,2,IF(Scharniere[[#This Row],[Quick]]=1,3,IF(Scharniere[[#This Row],[Werkzeuglos]]=1,4,0))))=select!$A$769,1,0)</f>
        <v>0</v>
      </c>
      <c r="U2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0" s="359">
        <f>IF(AND(Scharniere[[#This Row],[Scharnierart]]=4,Scharniere[[#This Row],[Gruppenschlüssel]]=select!$A$981)=TRUE,1,0)</f>
        <v>0</v>
      </c>
      <c r="W260" s="359">
        <f ca="1">IF(select!$O$1185&lt;6,1,0)</f>
        <v>1</v>
      </c>
      <c r="X260" s="359">
        <f>IF(select!$A$1012=IF(Scharniere[[#This Row],[mit Dämpfung]]=1,1,IF(Scharniere[[#This Row],[ohne Dämpfung]]=1,2,IF(Scharniere[[#This Row],[ohne Feder]]=1,3,0))),1,0)</f>
        <v>1</v>
      </c>
      <c r="Y260" s="359">
        <f>IF(Scharniere[[#This Row],[Bohrbild]]=select!$A$989,1,0)</f>
        <v>0</v>
      </c>
      <c r="Z260" s="359">
        <f>IF(IF(Scharniere[[#This Row],[Anschrauben]]=1,1,IF(Scharniere[[#This Row],[Einpressen]]=1,2,IF(Scharniere[[#This Row],[Quick]]=1,3,IF(Scharniere[[#This Row],[Werkzeuglos]]=1,4,0))))=select!$A$1003,1,0)</f>
        <v>0</v>
      </c>
      <c r="AA2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0" s="359">
        <f ca="1">IF(select!$K$980="*",Scharniere[[#This Row],[AG Ges2]],Scharniere[[#This Row],[AG Ges1]])</f>
        <v>0</v>
      </c>
      <c r="AE260" s="451">
        <f ca="1">IF(AND(Scharniere[[#This Row],[Scharnierart]]=select!$A$1485,Scharniere[[#This Row],[Gruppenschlüssel]]=select!$B$1485)=TRUE,1,0)</f>
        <v>0</v>
      </c>
      <c r="AF260" s="451">
        <f ca="1">IF(AND(Scharniere[[#This Row],[Scharnierart]]=select!$A$1486,Scharniere[[#This Row],[Gruppenschlüssel]]=select!$B$1486)=TRUE,1,0)</f>
        <v>0</v>
      </c>
      <c r="AG260" s="451">
        <f ca="1">IF(AND(Scharniere[[#This Row],[Scharnierart]]=select!$A$1487,Scharniere[[#This Row],[Gruppenschlüssel]]=select!$B$1487)=TRUE,1,0)</f>
        <v>0</v>
      </c>
      <c r="AH260" s="451">
        <f ca="1">IF(AND(Scharniere[[#This Row],[Scharnierart]]=select!$A$1488,Scharniere[[#This Row],[Gruppenschlüssel]]=select!$B$1488)=TRUE,1,0)</f>
        <v>0</v>
      </c>
      <c r="AI260" s="451">
        <f ca="1">IF(SUM(Scharniere[[#This Row],[konf Scharnier 1]:[konf Scharnier 4]])&gt;0,1,0)</f>
        <v>0</v>
      </c>
      <c r="AJ260" s="451"/>
      <c r="AK260" s="451"/>
      <c r="AL260" s="451"/>
      <c r="AM260" s="451"/>
      <c r="AN260" s="451"/>
      <c r="AO260" s="146">
        <v>1</v>
      </c>
      <c r="AP260" s="146">
        <v>2</v>
      </c>
      <c r="AQ260" s="10" t="str">
        <f ca="1">Sprache!$A$111</f>
        <v>Tiomos Scharnier T Impresso</v>
      </c>
      <c r="AR260" t="s">
        <v>1933</v>
      </c>
      <c r="AS260" t="str">
        <f ca="1">Sprache!$A$116</f>
        <v>Tiomos Impresso Scharniere</v>
      </c>
      <c r="AT260">
        <v>9.5</v>
      </c>
      <c r="AU260" t="s">
        <v>9</v>
      </c>
      <c r="AV260">
        <v>120</v>
      </c>
      <c r="AW260" s="10">
        <v>0</v>
      </c>
      <c r="AX260">
        <v>1</v>
      </c>
      <c r="AY260">
        <v>0</v>
      </c>
      <c r="AZ260" s="10">
        <v>0</v>
      </c>
      <c r="BA260">
        <v>0</v>
      </c>
      <c r="BB260">
        <v>0</v>
      </c>
      <c r="BC260">
        <v>1</v>
      </c>
      <c r="BD260" s="143" t="s">
        <v>157</v>
      </c>
      <c r="BG260"/>
    </row>
    <row r="261" spans="1:59" ht="14.25" customHeight="1" x14ac:dyDescent="0.25">
      <c r="A261" s="37" t="str">
        <f>LEFT(Scharniere[[#This Row],[ArtikelNR]],4)</f>
        <v>F034</v>
      </c>
      <c r="B261" s="35" t="str">
        <f>MID(Scharniere[[#This Row],[ArtikelNR]],5,3)</f>
        <v>139</v>
      </c>
      <c r="C261" s="37" t="str">
        <f>RIGHT(Scharniere[[#This Row],[ArtikelNR]],3)</f>
        <v>401</v>
      </c>
      <c r="D261" s="35">
        <f>IF(AND(Scharniere[[#This Row],[Gruppenschlüssel]]=select!$A$44,Scharniere[[#This Row],[Scharnierart]]=1)=TRUE,1,0)</f>
        <v>0</v>
      </c>
      <c r="E2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1" s="35">
        <f>IF(select!$F$57=IF(Scharniere[[#This Row],[mit Dämpfung]]=1,1,IF(Scharniere[[#This Row],[ohne Dämpfung]]=1,2,IF(Scharniere[[#This Row],[ohne Feder]]=1,3,0))),1,0)</f>
        <v>0</v>
      </c>
      <c r="G261" s="35">
        <f>IF(Scharniere[[#This Row],[Bohrbild]]=select!$V$43,1,0)</f>
        <v>0</v>
      </c>
      <c r="H261" s="35">
        <f>IF(IF(Scharniere[[#This Row],[Anschrauben]]=1,1,IF(Scharniere[[#This Row],[Einpressen]]=1,2,IF(Scharniere[[#This Row],[Quick]]=1,3,IF(Scharniere[[#This Row],[Werkzeuglos]]=1,4,0))))=select!$F$48,1,0)</f>
        <v>0</v>
      </c>
      <c r="I2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1" s="149">
        <f>IF(AND(Scharniere[[#This Row],[Scharnierart]]=2,Scharniere[[#This Row],[Gruppenschlüssel]]=select!$A$318)=TRUE,1,0)</f>
        <v>0</v>
      </c>
      <c r="K261" s="221">
        <f ca="1">IF(select!$O$424&lt;6,1,0)</f>
        <v>1</v>
      </c>
      <c r="L261" s="139">
        <f>IF(select!$A$362=IF(Scharniere[[#This Row],[mit Dämpfung]]=1,1,IF(Scharniere[[#This Row],[ohne Dämpfung]]=1,2,IF(Scharniere[[#This Row],[ohne Feder]]=1,3,0))),1,0)</f>
        <v>0</v>
      </c>
      <c r="M261" s="135">
        <f>IF(Scharniere[[#This Row],[Bohrbild]]=select!$O$334,1,0)</f>
        <v>0</v>
      </c>
      <c r="N261" s="135">
        <f>IF(IF(Scharniere[[#This Row],[Anschrauben]]=1,1,IF(Scharniere[[#This Row],[Einpressen]]=1,2,IF(Scharniere[[#This Row],[Quick]]=1,3,IF(Scharniere[[#This Row],[Werkzeuglos]]=1,4,0))))=select!$E$362,1,0)</f>
        <v>0</v>
      </c>
      <c r="O2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1" s="298">
        <f>IF(AND(Scharniere[[#This Row],[Scharnierart]]=3,Scharniere[[#This Row],[Gruppenschlüssel]]=select!$A$747)=TRUE,1,0)</f>
        <v>0</v>
      </c>
      <c r="Q261" s="298">
        <f ca="1">IF(select!$O$945&lt;6,1,0)</f>
        <v>1</v>
      </c>
      <c r="R261" s="298">
        <f>IF(select!$A$778=IF(Scharniere[[#This Row],[mit Dämpfung]]=1,1,IF(Scharniere[[#This Row],[ohne Dämpfung]]=1,2,IF(Scharniere[[#This Row],[ohne Feder]]=1,3,0))),1,0)</f>
        <v>1</v>
      </c>
      <c r="S261" s="298">
        <f>IF(Scharniere[[#This Row],[Bohrbild]]=select!$A$755,1,0)</f>
        <v>0</v>
      </c>
      <c r="T261" s="298">
        <f>IF(IF(Scharniere[[#This Row],[Anschrauben]]=1,1,IF(Scharniere[[#This Row],[Einpressen]]=1,2,IF(Scharniere[[#This Row],[Quick]]=1,3,IF(Scharniere[[#This Row],[Werkzeuglos]]=1,4,0))))=select!$A$769,1,0)</f>
        <v>0</v>
      </c>
      <c r="U2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1" s="359">
        <f>IF(AND(Scharniere[[#This Row],[Scharnierart]]=4,Scharniere[[#This Row],[Gruppenschlüssel]]=select!$A$981)=TRUE,1,0)</f>
        <v>0</v>
      </c>
      <c r="W261" s="359">
        <f ca="1">IF(select!$O$1185&lt;6,1,0)</f>
        <v>1</v>
      </c>
      <c r="X261" s="359">
        <f>IF(select!$A$1012=IF(Scharniere[[#This Row],[mit Dämpfung]]=1,1,IF(Scharniere[[#This Row],[ohne Dämpfung]]=1,2,IF(Scharniere[[#This Row],[ohne Feder]]=1,3,0))),1,0)</f>
        <v>1</v>
      </c>
      <c r="Y261" s="359">
        <f>IF(Scharniere[[#This Row],[Bohrbild]]=select!$A$989,1,0)</f>
        <v>0</v>
      </c>
      <c r="Z261" s="359">
        <f>IF(IF(Scharniere[[#This Row],[Anschrauben]]=1,1,IF(Scharniere[[#This Row],[Einpressen]]=1,2,IF(Scharniere[[#This Row],[Quick]]=1,3,IF(Scharniere[[#This Row],[Werkzeuglos]]=1,4,0))))=select!$A$1003,1,0)</f>
        <v>0</v>
      </c>
      <c r="AA2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1" s="359">
        <f ca="1">IF(select!$K$980="*",Scharniere[[#This Row],[AG Ges2]],Scharniere[[#This Row],[AG Ges1]])</f>
        <v>0</v>
      </c>
      <c r="AE261" s="451">
        <f ca="1">IF(AND(Scharniere[[#This Row],[Scharnierart]]=select!$A$1485,Scharniere[[#This Row],[Gruppenschlüssel]]=select!$B$1485)=TRUE,1,0)</f>
        <v>0</v>
      </c>
      <c r="AF261" s="451">
        <f ca="1">IF(AND(Scharniere[[#This Row],[Scharnierart]]=select!$A$1486,Scharniere[[#This Row],[Gruppenschlüssel]]=select!$B$1486)=TRUE,1,0)</f>
        <v>0</v>
      </c>
      <c r="AG261" s="451">
        <f ca="1">IF(AND(Scharniere[[#This Row],[Scharnierart]]=select!$A$1487,Scharniere[[#This Row],[Gruppenschlüssel]]=select!$B$1487)=TRUE,1,0)</f>
        <v>0</v>
      </c>
      <c r="AH261" s="451">
        <f ca="1">IF(AND(Scharniere[[#This Row],[Scharnierart]]=select!$A$1488,Scharniere[[#This Row],[Gruppenschlüssel]]=select!$B$1488)=TRUE,1,0)</f>
        <v>0</v>
      </c>
      <c r="AI261" s="451">
        <f ca="1">IF(SUM(Scharniere[[#This Row],[konf Scharnier 1]:[konf Scharnier 4]])&gt;0,1,0)</f>
        <v>0</v>
      </c>
      <c r="AJ261" s="451"/>
      <c r="AK261" s="451"/>
      <c r="AL261" s="451"/>
      <c r="AM261" s="451"/>
      <c r="AN261" s="451"/>
      <c r="AO261" s="146">
        <v>1</v>
      </c>
      <c r="AP261" s="146">
        <v>2</v>
      </c>
      <c r="AQ261" s="10" t="str">
        <f ca="1">Sprache!$A$111</f>
        <v>Tiomos Scharnier T Impresso</v>
      </c>
      <c r="AR261" t="s">
        <v>1933</v>
      </c>
      <c r="AS261" t="str">
        <f ca="1">Sprache!$A$116</f>
        <v>Tiomos Impresso Scharniere</v>
      </c>
      <c r="AT261">
        <v>9.5</v>
      </c>
      <c r="AU261" t="s">
        <v>3</v>
      </c>
      <c r="AV261">
        <v>120</v>
      </c>
      <c r="AW261" s="10">
        <v>0</v>
      </c>
      <c r="AX261">
        <v>1</v>
      </c>
      <c r="AY261">
        <v>0</v>
      </c>
      <c r="AZ261" s="10">
        <v>0</v>
      </c>
      <c r="BA261">
        <v>0</v>
      </c>
      <c r="BB261">
        <v>0</v>
      </c>
      <c r="BC261">
        <v>1</v>
      </c>
      <c r="BD261" s="143" t="s">
        <v>157</v>
      </c>
      <c r="BG261"/>
    </row>
    <row r="262" spans="1:59" ht="14.25" customHeight="1" x14ac:dyDescent="0.25">
      <c r="A262" s="37" t="str">
        <f>LEFT(Scharniere[[#This Row],[ArtikelNR]],4)</f>
        <v>F017</v>
      </c>
      <c r="B262" s="35" t="str">
        <f>MID(Scharniere[[#This Row],[ArtikelNR]],5,3)</f>
        <v>139</v>
      </c>
      <c r="C262" s="37" t="str">
        <f>RIGHT(Scharniere[[#This Row],[ArtikelNR]],3)</f>
        <v>430</v>
      </c>
      <c r="D262" s="35">
        <f>IF(AND(Scharniere[[#This Row],[Gruppenschlüssel]]=select!$A$44,Scharniere[[#This Row],[Scharnierart]]=1)=TRUE,1,0)</f>
        <v>0</v>
      </c>
      <c r="E2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2" s="35">
        <f>IF(select!$F$57=IF(Scharniere[[#This Row],[mit Dämpfung]]=1,1,IF(Scharniere[[#This Row],[ohne Dämpfung]]=1,2,IF(Scharniere[[#This Row],[ohne Feder]]=1,3,0))),1,0)</f>
        <v>0</v>
      </c>
      <c r="G262" s="35">
        <f>IF(Scharniere[[#This Row],[Bohrbild]]=select!$V$43,1,0)</f>
        <v>0</v>
      </c>
      <c r="H262" s="35">
        <f>IF(IF(Scharniere[[#This Row],[Anschrauben]]=1,1,IF(Scharniere[[#This Row],[Einpressen]]=1,2,IF(Scharniere[[#This Row],[Quick]]=1,3,IF(Scharniere[[#This Row],[Werkzeuglos]]=1,4,0))))=select!$F$48,1,0)</f>
        <v>0</v>
      </c>
      <c r="I2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2" s="149">
        <f>IF(AND(Scharniere[[#This Row],[Scharnierart]]=2,Scharniere[[#This Row],[Gruppenschlüssel]]=select!$A$318)=TRUE,1,0)</f>
        <v>0</v>
      </c>
      <c r="K262" s="221">
        <f ca="1">IF(select!$O$424&lt;6,1,0)</f>
        <v>1</v>
      </c>
      <c r="L262" s="139">
        <f>IF(select!$A$362=IF(Scharniere[[#This Row],[mit Dämpfung]]=1,1,IF(Scharniere[[#This Row],[ohne Dämpfung]]=1,2,IF(Scharniere[[#This Row],[ohne Feder]]=1,3,0))),1,0)</f>
        <v>1</v>
      </c>
      <c r="M262" s="135">
        <f>IF(Scharniere[[#This Row],[Bohrbild]]=select!$O$334,1,0)</f>
        <v>0</v>
      </c>
      <c r="N262" s="135">
        <f>IF(IF(Scharniere[[#This Row],[Anschrauben]]=1,1,IF(Scharniere[[#This Row],[Einpressen]]=1,2,IF(Scharniere[[#This Row],[Quick]]=1,3,IF(Scharniere[[#This Row],[Werkzeuglos]]=1,4,0))))=select!$E$362,1,0)</f>
        <v>0</v>
      </c>
      <c r="O2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2" s="298">
        <f>IF(AND(Scharniere[[#This Row],[Scharnierart]]=3,Scharniere[[#This Row],[Gruppenschlüssel]]=select!$A$747)=TRUE,1,0)</f>
        <v>0</v>
      </c>
      <c r="Q262" s="298">
        <f ca="1">IF(select!$O$945&lt;6,1,0)</f>
        <v>1</v>
      </c>
      <c r="R262" s="298">
        <f>IF(select!$A$778=IF(Scharniere[[#This Row],[mit Dämpfung]]=1,1,IF(Scharniere[[#This Row],[ohne Dämpfung]]=1,2,IF(Scharniere[[#This Row],[ohne Feder]]=1,3,0))),1,0)</f>
        <v>0</v>
      </c>
      <c r="S262" s="298">
        <f>IF(Scharniere[[#This Row],[Bohrbild]]=select!$A$755,1,0)</f>
        <v>0</v>
      </c>
      <c r="T262" s="298">
        <f>IF(IF(Scharniere[[#This Row],[Anschrauben]]=1,1,IF(Scharniere[[#This Row],[Einpressen]]=1,2,IF(Scharniere[[#This Row],[Quick]]=1,3,IF(Scharniere[[#This Row],[Werkzeuglos]]=1,4,0))))=select!$A$769,1,0)</f>
        <v>0</v>
      </c>
      <c r="U2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2" s="359">
        <f>IF(AND(Scharniere[[#This Row],[Scharnierart]]=4,Scharniere[[#This Row],[Gruppenschlüssel]]=select!$A$981)=TRUE,1,0)</f>
        <v>0</v>
      </c>
      <c r="W262" s="359">
        <f ca="1">IF(select!$O$1185&lt;6,1,0)</f>
        <v>1</v>
      </c>
      <c r="X262" s="359">
        <f>IF(select!$A$1012=IF(Scharniere[[#This Row],[mit Dämpfung]]=1,1,IF(Scharniere[[#This Row],[ohne Dämpfung]]=1,2,IF(Scharniere[[#This Row],[ohne Feder]]=1,3,0))),1,0)</f>
        <v>0</v>
      </c>
      <c r="Y262" s="359">
        <f>IF(Scharniere[[#This Row],[Bohrbild]]=select!$A$989,1,0)</f>
        <v>0</v>
      </c>
      <c r="Z262" s="359">
        <f>IF(IF(Scharniere[[#This Row],[Anschrauben]]=1,1,IF(Scharniere[[#This Row],[Einpressen]]=1,2,IF(Scharniere[[#This Row],[Quick]]=1,3,IF(Scharniere[[#This Row],[Werkzeuglos]]=1,4,0))))=select!$A$1003,1,0)</f>
        <v>0</v>
      </c>
      <c r="AA2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2" s="359">
        <f ca="1">IF(select!$K$980="*",Scharniere[[#This Row],[AG Ges2]],Scharniere[[#This Row],[AG Ges1]])</f>
        <v>0</v>
      </c>
      <c r="AE262" s="451">
        <f ca="1">IF(AND(Scharniere[[#This Row],[Scharnierart]]=select!$A$1485,Scharniere[[#This Row],[Gruppenschlüssel]]=select!$B$1485)=TRUE,1,0)</f>
        <v>0</v>
      </c>
      <c r="AF262" s="451">
        <f ca="1">IF(AND(Scharniere[[#This Row],[Scharnierart]]=select!$A$1486,Scharniere[[#This Row],[Gruppenschlüssel]]=select!$B$1486)=TRUE,1,0)</f>
        <v>0</v>
      </c>
      <c r="AG262" s="451">
        <f ca="1">IF(AND(Scharniere[[#This Row],[Scharnierart]]=select!$A$1487,Scharniere[[#This Row],[Gruppenschlüssel]]=select!$B$1487)=TRUE,1,0)</f>
        <v>0</v>
      </c>
      <c r="AH262" s="451">
        <f ca="1">IF(AND(Scharniere[[#This Row],[Scharnierart]]=select!$A$1488,Scharniere[[#This Row],[Gruppenschlüssel]]=select!$B$1488)=TRUE,1,0)</f>
        <v>0</v>
      </c>
      <c r="AI262" s="451">
        <f ca="1">IF(SUM(Scharniere[[#This Row],[konf Scharnier 1]:[konf Scharnier 4]])&gt;0,1,0)</f>
        <v>0</v>
      </c>
      <c r="AJ262" s="451"/>
      <c r="AK262" s="451"/>
      <c r="AL262" s="451"/>
      <c r="AM262" s="451"/>
      <c r="AN262" s="451"/>
      <c r="AO262" s="146">
        <v>1</v>
      </c>
      <c r="AP262" s="146">
        <v>2</v>
      </c>
      <c r="AQ262" s="10" t="str">
        <f ca="1">Sprache!$A$113</f>
        <v>Tiomos Scharnier TS Impresso</v>
      </c>
      <c r="AR262" t="s">
        <v>1933</v>
      </c>
      <c r="AS262" t="str">
        <f ca="1">Sprache!$A$116</f>
        <v>Tiomos Impresso Scharniere</v>
      </c>
      <c r="AT262">
        <v>9.5</v>
      </c>
      <c r="AU262" s="34" t="s">
        <v>9</v>
      </c>
      <c r="AV262">
        <v>120</v>
      </c>
      <c r="AW262" s="10">
        <v>1</v>
      </c>
      <c r="AX262">
        <v>0</v>
      </c>
      <c r="AY262">
        <v>0</v>
      </c>
      <c r="AZ262" s="10">
        <v>0</v>
      </c>
      <c r="BA262">
        <v>0</v>
      </c>
      <c r="BB262">
        <v>0</v>
      </c>
      <c r="BC262">
        <v>1</v>
      </c>
      <c r="BD262" s="143" t="s">
        <v>96</v>
      </c>
      <c r="BG262"/>
    </row>
    <row r="263" spans="1:59" ht="14.25" customHeight="1" x14ac:dyDescent="0.25">
      <c r="A263" s="37" t="str">
        <f>LEFT(Scharniere[[#This Row],[ArtikelNR]],4)</f>
        <v>F017</v>
      </c>
      <c r="B263" s="35" t="str">
        <f>MID(Scharniere[[#This Row],[ArtikelNR]],5,3)</f>
        <v>139</v>
      </c>
      <c r="C263" s="37" t="str">
        <f>RIGHT(Scharniere[[#This Row],[ArtikelNR]],3)</f>
        <v>430</v>
      </c>
      <c r="D263" s="35">
        <f>IF(AND(Scharniere[[#This Row],[Gruppenschlüssel]]=select!$A$44,Scharniere[[#This Row],[Scharnierart]]=1)=TRUE,1,0)</f>
        <v>0</v>
      </c>
      <c r="E2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3" s="35">
        <f>IF(select!$F$57=IF(Scharniere[[#This Row],[mit Dämpfung]]=1,1,IF(Scharniere[[#This Row],[ohne Dämpfung]]=1,2,IF(Scharniere[[#This Row],[ohne Feder]]=1,3,0))),1,0)</f>
        <v>0</v>
      </c>
      <c r="G263" s="35">
        <f>IF(Scharniere[[#This Row],[Bohrbild]]=select!$V$43,1,0)</f>
        <v>0</v>
      </c>
      <c r="H263" s="35">
        <f>IF(IF(Scharniere[[#This Row],[Anschrauben]]=1,1,IF(Scharniere[[#This Row],[Einpressen]]=1,2,IF(Scharniere[[#This Row],[Quick]]=1,3,IF(Scharniere[[#This Row],[Werkzeuglos]]=1,4,0))))=select!$F$48,1,0)</f>
        <v>0</v>
      </c>
      <c r="I2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3" s="149">
        <f>IF(AND(Scharniere[[#This Row],[Scharnierart]]=2,Scharniere[[#This Row],[Gruppenschlüssel]]=select!$A$318)=TRUE,1,0)</f>
        <v>0</v>
      </c>
      <c r="K263" s="221">
        <f ca="1">IF(select!$O$424&lt;6,1,0)</f>
        <v>1</v>
      </c>
      <c r="L263" s="139">
        <f>IF(select!$A$362=IF(Scharniere[[#This Row],[mit Dämpfung]]=1,1,IF(Scharniere[[#This Row],[ohne Dämpfung]]=1,2,IF(Scharniere[[#This Row],[ohne Feder]]=1,3,0))),1,0)</f>
        <v>1</v>
      </c>
      <c r="M263" s="135">
        <f>IF(Scharniere[[#This Row],[Bohrbild]]=select!$O$334,1,0)</f>
        <v>0</v>
      </c>
      <c r="N263" s="135">
        <f>IF(IF(Scharniere[[#This Row],[Anschrauben]]=1,1,IF(Scharniere[[#This Row],[Einpressen]]=1,2,IF(Scharniere[[#This Row],[Quick]]=1,3,IF(Scharniere[[#This Row],[Werkzeuglos]]=1,4,0))))=select!$E$362,1,0)</f>
        <v>0</v>
      </c>
      <c r="O2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3" s="298">
        <f>IF(AND(Scharniere[[#This Row],[Scharnierart]]=3,Scharniere[[#This Row],[Gruppenschlüssel]]=select!$A$747)=TRUE,1,0)</f>
        <v>0</v>
      </c>
      <c r="Q263" s="298">
        <f ca="1">IF(select!$O$945&lt;6,1,0)</f>
        <v>1</v>
      </c>
      <c r="R263" s="298">
        <f>IF(select!$A$778=IF(Scharniere[[#This Row],[mit Dämpfung]]=1,1,IF(Scharniere[[#This Row],[ohne Dämpfung]]=1,2,IF(Scharniere[[#This Row],[ohne Feder]]=1,3,0))),1,0)</f>
        <v>0</v>
      </c>
      <c r="S263" s="298">
        <f>IF(Scharniere[[#This Row],[Bohrbild]]=select!$A$755,1,0)</f>
        <v>0</v>
      </c>
      <c r="T263" s="298">
        <f>IF(IF(Scharniere[[#This Row],[Anschrauben]]=1,1,IF(Scharniere[[#This Row],[Einpressen]]=1,2,IF(Scharniere[[#This Row],[Quick]]=1,3,IF(Scharniere[[#This Row],[Werkzeuglos]]=1,4,0))))=select!$A$769,1,0)</f>
        <v>0</v>
      </c>
      <c r="U2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3" s="359">
        <f>IF(AND(Scharniere[[#This Row],[Scharnierart]]=4,Scharniere[[#This Row],[Gruppenschlüssel]]=select!$A$981)=TRUE,1,0)</f>
        <v>0</v>
      </c>
      <c r="W263" s="359">
        <f ca="1">IF(select!$O$1185&lt;6,1,0)</f>
        <v>1</v>
      </c>
      <c r="X263" s="359">
        <f>IF(select!$A$1012=IF(Scharniere[[#This Row],[mit Dämpfung]]=1,1,IF(Scharniere[[#This Row],[ohne Dämpfung]]=1,2,IF(Scharniere[[#This Row],[ohne Feder]]=1,3,0))),1,0)</f>
        <v>0</v>
      </c>
      <c r="Y263" s="359">
        <f>IF(Scharniere[[#This Row],[Bohrbild]]=select!$A$989,1,0)</f>
        <v>0</v>
      </c>
      <c r="Z263" s="359">
        <f>IF(IF(Scharniere[[#This Row],[Anschrauben]]=1,1,IF(Scharniere[[#This Row],[Einpressen]]=1,2,IF(Scharniere[[#This Row],[Quick]]=1,3,IF(Scharniere[[#This Row],[Werkzeuglos]]=1,4,0))))=select!$A$1003,1,0)</f>
        <v>0</v>
      </c>
      <c r="AA2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3" s="359">
        <f ca="1">IF(select!$K$980="*",Scharniere[[#This Row],[AG Ges2]],Scharniere[[#This Row],[AG Ges1]])</f>
        <v>0</v>
      </c>
      <c r="AE263" s="451">
        <f ca="1">IF(AND(Scharniere[[#This Row],[Scharnierart]]=select!$A$1485,Scharniere[[#This Row],[Gruppenschlüssel]]=select!$B$1485)=TRUE,1,0)</f>
        <v>0</v>
      </c>
      <c r="AF263" s="451">
        <f ca="1">IF(AND(Scharniere[[#This Row],[Scharnierart]]=select!$A$1486,Scharniere[[#This Row],[Gruppenschlüssel]]=select!$B$1486)=TRUE,1,0)</f>
        <v>0</v>
      </c>
      <c r="AG263" s="451">
        <f ca="1">IF(AND(Scharniere[[#This Row],[Scharnierart]]=select!$A$1487,Scharniere[[#This Row],[Gruppenschlüssel]]=select!$B$1487)=TRUE,1,0)</f>
        <v>0</v>
      </c>
      <c r="AH263" s="451">
        <f ca="1">IF(AND(Scharniere[[#This Row],[Scharnierart]]=select!$A$1488,Scharniere[[#This Row],[Gruppenschlüssel]]=select!$B$1488)=TRUE,1,0)</f>
        <v>0</v>
      </c>
      <c r="AI263" s="451">
        <f ca="1">IF(SUM(Scharniere[[#This Row],[konf Scharnier 1]:[konf Scharnier 4]])&gt;0,1,0)</f>
        <v>0</v>
      </c>
      <c r="AJ263" s="451"/>
      <c r="AK263" s="451"/>
      <c r="AL263" s="451"/>
      <c r="AM263" s="451"/>
      <c r="AN263" s="451"/>
      <c r="AO263" s="146">
        <v>1</v>
      </c>
      <c r="AP263" s="146">
        <v>2</v>
      </c>
      <c r="AQ263" s="10" t="str">
        <f ca="1">Sprache!$A$113</f>
        <v>Tiomos Scharnier TS Impresso</v>
      </c>
      <c r="AR263" t="s">
        <v>1933</v>
      </c>
      <c r="AS263" t="str">
        <f ca="1">Sprache!$A$116</f>
        <v>Tiomos Impresso Scharniere</v>
      </c>
      <c r="AT263">
        <v>9.5</v>
      </c>
      <c r="AU263" t="s">
        <v>3</v>
      </c>
      <c r="AV263">
        <v>120</v>
      </c>
      <c r="AW263" s="10">
        <v>1</v>
      </c>
      <c r="AX263">
        <v>0</v>
      </c>
      <c r="AY263">
        <v>0</v>
      </c>
      <c r="AZ263" s="10">
        <v>0</v>
      </c>
      <c r="BA263">
        <v>0</v>
      </c>
      <c r="BB263">
        <v>0</v>
      </c>
      <c r="BC263">
        <v>1</v>
      </c>
      <c r="BD263" s="143" t="s">
        <v>96</v>
      </c>
      <c r="BG263"/>
    </row>
    <row r="264" spans="1:59" ht="14.25" customHeight="1" x14ac:dyDescent="0.25">
      <c r="A264" s="37" t="str">
        <f>LEFT(Scharniere[[#This Row],[ArtikelNR]],4)</f>
        <v>F035</v>
      </c>
      <c r="B264" s="35" t="str">
        <f>MID(Scharniere[[#This Row],[ArtikelNR]],5,3)</f>
        <v>139</v>
      </c>
      <c r="C264" s="37" t="str">
        <f>RIGHT(Scharniere[[#This Row],[ArtikelNR]],3)</f>
        <v>458</v>
      </c>
      <c r="D264" s="35">
        <f>IF(AND(Scharniere[[#This Row],[Gruppenschlüssel]]=select!$A$44,Scharniere[[#This Row],[Scharnierart]]=1)=TRUE,1,0)</f>
        <v>0</v>
      </c>
      <c r="E2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4" s="35">
        <f>IF(select!$F$57=IF(Scharniere[[#This Row],[mit Dämpfung]]=1,1,IF(Scharniere[[#This Row],[ohne Dämpfung]]=1,2,IF(Scharniere[[#This Row],[ohne Feder]]=1,3,0))),1,0)</f>
        <v>1</v>
      </c>
      <c r="G264" s="35">
        <f>IF(Scharniere[[#This Row],[Bohrbild]]=select!$V$43,1,0)</f>
        <v>0</v>
      </c>
      <c r="H264" s="35">
        <f>IF(IF(Scharniere[[#This Row],[Anschrauben]]=1,1,IF(Scharniere[[#This Row],[Einpressen]]=1,2,IF(Scharniere[[#This Row],[Quick]]=1,3,IF(Scharniere[[#This Row],[Werkzeuglos]]=1,4,0))))=select!$F$48,1,0)</f>
        <v>0</v>
      </c>
      <c r="I2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4" s="149">
        <f>IF(AND(Scharniere[[#This Row],[Scharnierart]]=2,Scharniere[[#This Row],[Gruppenschlüssel]]=select!$A$318)=TRUE,1,0)</f>
        <v>0</v>
      </c>
      <c r="K264" s="221">
        <f ca="1">IF(select!$O$424&lt;6,1,0)</f>
        <v>1</v>
      </c>
      <c r="L264" s="139">
        <f>IF(select!$A$362=IF(Scharniere[[#This Row],[mit Dämpfung]]=1,1,IF(Scharniere[[#This Row],[ohne Dämpfung]]=1,2,IF(Scharniere[[#This Row],[ohne Feder]]=1,3,0))),1,0)</f>
        <v>0</v>
      </c>
      <c r="M264" s="135">
        <f>IF(Scharniere[[#This Row],[Bohrbild]]=select!$O$334,1,0)</f>
        <v>0</v>
      </c>
      <c r="N264" s="135">
        <f>IF(IF(Scharniere[[#This Row],[Anschrauben]]=1,1,IF(Scharniere[[#This Row],[Einpressen]]=1,2,IF(Scharniere[[#This Row],[Quick]]=1,3,IF(Scharniere[[#This Row],[Werkzeuglos]]=1,4,0))))=select!$E$362,1,0)</f>
        <v>0</v>
      </c>
      <c r="O2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4" s="298">
        <f>IF(AND(Scharniere[[#This Row],[Scharnierart]]=3,Scharniere[[#This Row],[Gruppenschlüssel]]=select!$A$747)=TRUE,1,0)</f>
        <v>0</v>
      </c>
      <c r="Q264" s="298">
        <f ca="1">IF(select!$O$945&lt;6,1,0)</f>
        <v>1</v>
      </c>
      <c r="R264" s="298">
        <f>IF(select!$A$778=IF(Scharniere[[#This Row],[mit Dämpfung]]=1,1,IF(Scharniere[[#This Row],[ohne Dämpfung]]=1,2,IF(Scharniere[[#This Row],[ohne Feder]]=1,3,0))),1,0)</f>
        <v>0</v>
      </c>
      <c r="S264" s="298">
        <f>IF(Scharniere[[#This Row],[Bohrbild]]=select!$A$755,1,0)</f>
        <v>0</v>
      </c>
      <c r="T264" s="298">
        <f>IF(IF(Scharniere[[#This Row],[Anschrauben]]=1,1,IF(Scharniere[[#This Row],[Einpressen]]=1,2,IF(Scharniere[[#This Row],[Quick]]=1,3,IF(Scharniere[[#This Row],[Werkzeuglos]]=1,4,0))))=select!$A$769,1,0)</f>
        <v>0</v>
      </c>
      <c r="U2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4" s="359">
        <f>IF(AND(Scharniere[[#This Row],[Scharnierart]]=4,Scharniere[[#This Row],[Gruppenschlüssel]]=select!$A$981)=TRUE,1,0)</f>
        <v>0</v>
      </c>
      <c r="W264" s="359">
        <f ca="1">IF(select!$O$1185&lt;6,1,0)</f>
        <v>1</v>
      </c>
      <c r="X264" s="359">
        <f>IF(select!$A$1012=IF(Scharniere[[#This Row],[mit Dämpfung]]=1,1,IF(Scharniere[[#This Row],[ohne Dämpfung]]=1,2,IF(Scharniere[[#This Row],[ohne Feder]]=1,3,0))),1,0)</f>
        <v>0</v>
      </c>
      <c r="Y264" s="359">
        <f>IF(Scharniere[[#This Row],[Bohrbild]]=select!$A$989,1,0)</f>
        <v>0</v>
      </c>
      <c r="Z264" s="359">
        <f>IF(IF(Scharniere[[#This Row],[Anschrauben]]=1,1,IF(Scharniere[[#This Row],[Einpressen]]=1,2,IF(Scharniere[[#This Row],[Quick]]=1,3,IF(Scharniere[[#This Row],[Werkzeuglos]]=1,4,0))))=select!$A$1003,1,0)</f>
        <v>0</v>
      </c>
      <c r="AA2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4" s="359">
        <f ca="1">IF(select!$K$980="*",Scharniere[[#This Row],[AG Ges2]],Scharniere[[#This Row],[AG Ges1]])</f>
        <v>0</v>
      </c>
      <c r="AE264" s="451">
        <f ca="1">IF(AND(Scharniere[[#This Row],[Scharnierart]]=select!$A$1485,Scharniere[[#This Row],[Gruppenschlüssel]]=select!$B$1485)=TRUE,1,0)</f>
        <v>0</v>
      </c>
      <c r="AF264" s="451">
        <f ca="1">IF(AND(Scharniere[[#This Row],[Scharnierart]]=select!$A$1486,Scharniere[[#This Row],[Gruppenschlüssel]]=select!$B$1486)=TRUE,1,0)</f>
        <v>0</v>
      </c>
      <c r="AG264" s="451">
        <f ca="1">IF(AND(Scharniere[[#This Row],[Scharnierart]]=select!$A$1487,Scharniere[[#This Row],[Gruppenschlüssel]]=select!$B$1487)=TRUE,1,0)</f>
        <v>0</v>
      </c>
      <c r="AH264" s="451">
        <f ca="1">IF(AND(Scharniere[[#This Row],[Scharnierart]]=select!$A$1488,Scharniere[[#This Row],[Gruppenschlüssel]]=select!$B$1488)=TRUE,1,0)</f>
        <v>0</v>
      </c>
      <c r="AI264" s="451">
        <f ca="1">IF(SUM(Scharniere[[#This Row],[konf Scharnier 1]:[konf Scharnier 4]])&gt;0,1,0)</f>
        <v>0</v>
      </c>
      <c r="AJ264" s="451"/>
      <c r="AK264" s="451"/>
      <c r="AL264" s="451"/>
      <c r="AM264" s="451"/>
      <c r="AN264" s="451"/>
      <c r="AO264" s="146">
        <v>1</v>
      </c>
      <c r="AP264" s="146">
        <v>2</v>
      </c>
      <c r="AQ264" s="10" t="str">
        <f ca="1">Sprache!$A$115</f>
        <v>Tiomos Scharnier TT Impresso</v>
      </c>
      <c r="AR264" t="s">
        <v>1933</v>
      </c>
      <c r="AS264" t="str">
        <f ca="1">Sprache!$A$116</f>
        <v>Tiomos Impresso Scharniere</v>
      </c>
      <c r="AT264">
        <v>9.5</v>
      </c>
      <c r="AU264" t="s">
        <v>9</v>
      </c>
      <c r="AV264">
        <v>120</v>
      </c>
      <c r="AW264" s="10">
        <v>0</v>
      </c>
      <c r="AX264">
        <v>0</v>
      </c>
      <c r="AY264">
        <v>1</v>
      </c>
      <c r="AZ264" s="10">
        <v>0</v>
      </c>
      <c r="BA264">
        <v>0</v>
      </c>
      <c r="BB264">
        <v>0</v>
      </c>
      <c r="BC264">
        <v>1</v>
      </c>
      <c r="BD264" s="143" t="s">
        <v>201</v>
      </c>
      <c r="BG264"/>
    </row>
    <row r="265" spans="1:59" ht="14.25" customHeight="1" x14ac:dyDescent="0.25">
      <c r="A265" s="37" t="str">
        <f>LEFT(Scharniere[[#This Row],[ArtikelNR]],4)</f>
        <v>F035</v>
      </c>
      <c r="B265" s="35" t="str">
        <f>MID(Scharniere[[#This Row],[ArtikelNR]],5,3)</f>
        <v>139</v>
      </c>
      <c r="C265" s="37" t="str">
        <f>RIGHT(Scharniere[[#This Row],[ArtikelNR]],3)</f>
        <v>458</v>
      </c>
      <c r="D265" s="35">
        <f>IF(AND(Scharniere[[#This Row],[Gruppenschlüssel]]=select!$A$44,Scharniere[[#This Row],[Scharnierart]]=1)=TRUE,1,0)</f>
        <v>0</v>
      </c>
      <c r="E2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5" s="35">
        <f>IF(select!$F$57=IF(Scharniere[[#This Row],[mit Dämpfung]]=1,1,IF(Scharniere[[#This Row],[ohne Dämpfung]]=1,2,IF(Scharniere[[#This Row],[ohne Feder]]=1,3,0))),1,0)</f>
        <v>1</v>
      </c>
      <c r="G265" s="35">
        <f>IF(Scharniere[[#This Row],[Bohrbild]]=select!$V$43,1,0)</f>
        <v>0</v>
      </c>
      <c r="H265" s="35">
        <f>IF(IF(Scharniere[[#This Row],[Anschrauben]]=1,1,IF(Scharniere[[#This Row],[Einpressen]]=1,2,IF(Scharniere[[#This Row],[Quick]]=1,3,IF(Scharniere[[#This Row],[Werkzeuglos]]=1,4,0))))=select!$F$48,1,0)</f>
        <v>0</v>
      </c>
      <c r="I2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5" s="149">
        <f>IF(AND(Scharniere[[#This Row],[Scharnierart]]=2,Scharniere[[#This Row],[Gruppenschlüssel]]=select!$A$318)=TRUE,1,0)</f>
        <v>0</v>
      </c>
      <c r="K265" s="221">
        <f ca="1">IF(select!$O$424&lt;6,1,0)</f>
        <v>1</v>
      </c>
      <c r="L265" s="139">
        <f>IF(select!$A$362=IF(Scharniere[[#This Row],[mit Dämpfung]]=1,1,IF(Scharniere[[#This Row],[ohne Dämpfung]]=1,2,IF(Scharniere[[#This Row],[ohne Feder]]=1,3,0))),1,0)</f>
        <v>0</v>
      </c>
      <c r="M265" s="135">
        <f>IF(Scharniere[[#This Row],[Bohrbild]]=select!$O$334,1,0)</f>
        <v>0</v>
      </c>
      <c r="N265" s="135">
        <f>IF(IF(Scharniere[[#This Row],[Anschrauben]]=1,1,IF(Scharniere[[#This Row],[Einpressen]]=1,2,IF(Scharniere[[#This Row],[Quick]]=1,3,IF(Scharniere[[#This Row],[Werkzeuglos]]=1,4,0))))=select!$E$362,1,0)</f>
        <v>0</v>
      </c>
      <c r="O2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5" s="298">
        <f>IF(AND(Scharniere[[#This Row],[Scharnierart]]=3,Scharniere[[#This Row],[Gruppenschlüssel]]=select!$A$747)=TRUE,1,0)</f>
        <v>0</v>
      </c>
      <c r="Q265" s="298">
        <f ca="1">IF(select!$O$945&lt;6,1,0)</f>
        <v>1</v>
      </c>
      <c r="R265" s="298">
        <f>IF(select!$A$778=IF(Scharniere[[#This Row],[mit Dämpfung]]=1,1,IF(Scharniere[[#This Row],[ohne Dämpfung]]=1,2,IF(Scharniere[[#This Row],[ohne Feder]]=1,3,0))),1,0)</f>
        <v>0</v>
      </c>
      <c r="S265" s="298">
        <f>IF(Scharniere[[#This Row],[Bohrbild]]=select!$A$755,1,0)</f>
        <v>0</v>
      </c>
      <c r="T265" s="298">
        <f>IF(IF(Scharniere[[#This Row],[Anschrauben]]=1,1,IF(Scharniere[[#This Row],[Einpressen]]=1,2,IF(Scharniere[[#This Row],[Quick]]=1,3,IF(Scharniere[[#This Row],[Werkzeuglos]]=1,4,0))))=select!$A$769,1,0)</f>
        <v>0</v>
      </c>
      <c r="U2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5" s="359">
        <f>IF(AND(Scharniere[[#This Row],[Scharnierart]]=4,Scharniere[[#This Row],[Gruppenschlüssel]]=select!$A$981)=TRUE,1,0)</f>
        <v>0</v>
      </c>
      <c r="W265" s="359">
        <f ca="1">IF(select!$O$1185&lt;6,1,0)</f>
        <v>1</v>
      </c>
      <c r="X265" s="359">
        <f>IF(select!$A$1012=IF(Scharniere[[#This Row],[mit Dämpfung]]=1,1,IF(Scharniere[[#This Row],[ohne Dämpfung]]=1,2,IF(Scharniere[[#This Row],[ohne Feder]]=1,3,0))),1,0)</f>
        <v>0</v>
      </c>
      <c r="Y265" s="359">
        <f>IF(Scharniere[[#This Row],[Bohrbild]]=select!$A$989,1,0)</f>
        <v>0</v>
      </c>
      <c r="Z265" s="359">
        <f>IF(IF(Scharniere[[#This Row],[Anschrauben]]=1,1,IF(Scharniere[[#This Row],[Einpressen]]=1,2,IF(Scharniere[[#This Row],[Quick]]=1,3,IF(Scharniere[[#This Row],[Werkzeuglos]]=1,4,0))))=select!$A$1003,1,0)</f>
        <v>0</v>
      </c>
      <c r="AA2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5" s="359">
        <f ca="1">IF(select!$K$980="*",Scharniere[[#This Row],[AG Ges2]],Scharniere[[#This Row],[AG Ges1]])</f>
        <v>0</v>
      </c>
      <c r="AE265" s="451">
        <f ca="1">IF(AND(Scharniere[[#This Row],[Scharnierart]]=select!$A$1485,Scharniere[[#This Row],[Gruppenschlüssel]]=select!$B$1485)=TRUE,1,0)</f>
        <v>0</v>
      </c>
      <c r="AF265" s="451">
        <f ca="1">IF(AND(Scharniere[[#This Row],[Scharnierart]]=select!$A$1486,Scharniere[[#This Row],[Gruppenschlüssel]]=select!$B$1486)=TRUE,1,0)</f>
        <v>0</v>
      </c>
      <c r="AG265" s="451">
        <f ca="1">IF(AND(Scharniere[[#This Row],[Scharnierart]]=select!$A$1487,Scharniere[[#This Row],[Gruppenschlüssel]]=select!$B$1487)=TRUE,1,0)</f>
        <v>0</v>
      </c>
      <c r="AH265" s="451">
        <f ca="1">IF(AND(Scharniere[[#This Row],[Scharnierart]]=select!$A$1488,Scharniere[[#This Row],[Gruppenschlüssel]]=select!$B$1488)=TRUE,1,0)</f>
        <v>0</v>
      </c>
      <c r="AI265" s="451">
        <f ca="1">IF(SUM(Scharniere[[#This Row],[konf Scharnier 1]:[konf Scharnier 4]])&gt;0,1,0)</f>
        <v>0</v>
      </c>
      <c r="AJ265" s="451"/>
      <c r="AK265" s="451"/>
      <c r="AL265" s="451"/>
      <c r="AM265" s="451"/>
      <c r="AN265" s="451"/>
      <c r="AO265" s="146">
        <v>1</v>
      </c>
      <c r="AP265" s="146">
        <v>2</v>
      </c>
      <c r="AQ265" s="10" t="str">
        <f ca="1">Sprache!$A$115</f>
        <v>Tiomos Scharnier TT Impresso</v>
      </c>
      <c r="AR265" t="s">
        <v>1933</v>
      </c>
      <c r="AS265" t="str">
        <f ca="1">Sprache!$A$116</f>
        <v>Tiomos Impresso Scharniere</v>
      </c>
      <c r="AT265">
        <v>9.5</v>
      </c>
      <c r="AU265" s="34" t="s">
        <v>3</v>
      </c>
      <c r="AV265">
        <v>120</v>
      </c>
      <c r="AW265" s="10">
        <v>0</v>
      </c>
      <c r="AX265">
        <v>0</v>
      </c>
      <c r="AY265">
        <v>1</v>
      </c>
      <c r="AZ265" s="10">
        <v>0</v>
      </c>
      <c r="BA265">
        <v>0</v>
      </c>
      <c r="BB265">
        <v>0</v>
      </c>
      <c r="BC265">
        <v>1</v>
      </c>
      <c r="BD265" s="143" t="s">
        <v>201</v>
      </c>
      <c r="BG265"/>
    </row>
    <row r="266" spans="1:59" ht="14.25" customHeight="1" x14ac:dyDescent="0.25">
      <c r="A266" s="37" t="str">
        <f>LEFT(Scharniere[[#This Row],[ArtikelNR]],4)</f>
        <v>F045</v>
      </c>
      <c r="B266" s="35" t="str">
        <f>MID(Scharniere[[#This Row],[ArtikelNR]],5,3)</f>
        <v>138</v>
      </c>
      <c r="C266" s="37" t="str">
        <f>RIGHT(Scharniere[[#This Row],[ArtikelNR]],3)</f>
        <v>673</v>
      </c>
      <c r="D266" s="35">
        <f>IF(AND(Scharniere[[#This Row],[Gruppenschlüssel]]=select!$A$44,Scharniere[[#This Row],[Scharnierart]]=1)=TRUE,1,0)</f>
        <v>0</v>
      </c>
      <c r="E2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6" s="35">
        <f>IF(select!$F$57=IF(Scharniere[[#This Row],[mit Dämpfung]]=1,1,IF(Scharniere[[#This Row],[ohne Dämpfung]]=1,2,IF(Scharniere[[#This Row],[ohne Feder]]=1,3,0))),1,0)</f>
        <v>0</v>
      </c>
      <c r="G266" s="35">
        <f>IF(Scharniere[[#This Row],[Bohrbild]]=select!$V$43,1,0)</f>
        <v>0</v>
      </c>
      <c r="H266" s="35">
        <f>IF(IF(Scharniere[[#This Row],[Anschrauben]]=1,1,IF(Scharniere[[#This Row],[Einpressen]]=1,2,IF(Scharniere[[#This Row],[Quick]]=1,3,IF(Scharniere[[#This Row],[Werkzeuglos]]=1,4,0))))=select!$F$48,1,0)</f>
        <v>1</v>
      </c>
      <c r="I2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6" s="149">
        <f>IF(AND(Scharniere[[#This Row],[Scharnierart]]=2,Scharniere[[#This Row],[Gruppenschlüssel]]=select!$A$318)=TRUE,1,0)</f>
        <v>0</v>
      </c>
      <c r="K266" s="221">
        <f ca="1">IF(select!$O$424&lt;6,1,0)</f>
        <v>1</v>
      </c>
      <c r="L266" s="139">
        <f>IF(select!$A$362=IF(Scharniere[[#This Row],[mit Dämpfung]]=1,1,IF(Scharniere[[#This Row],[ohne Dämpfung]]=1,2,IF(Scharniere[[#This Row],[ohne Feder]]=1,3,0))),1,0)</f>
        <v>0</v>
      </c>
      <c r="M266" s="135">
        <f>IF(Scharniere[[#This Row],[Bohrbild]]=select!$O$334,1,0)</f>
        <v>0</v>
      </c>
      <c r="N266" s="135">
        <f>IF(IF(Scharniere[[#This Row],[Anschrauben]]=1,1,IF(Scharniere[[#This Row],[Einpressen]]=1,2,IF(Scharniere[[#This Row],[Quick]]=1,3,IF(Scharniere[[#This Row],[Werkzeuglos]]=1,4,0))))=select!$E$362,1,0)</f>
        <v>0</v>
      </c>
      <c r="O2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6" s="298">
        <f>IF(AND(Scharniere[[#This Row],[Scharnierart]]=3,Scharniere[[#This Row],[Gruppenschlüssel]]=select!$A$747)=TRUE,1,0)</f>
        <v>0</v>
      </c>
      <c r="Q266" s="298">
        <f ca="1">IF(select!$O$945&lt;6,1,0)</f>
        <v>1</v>
      </c>
      <c r="R266" s="298">
        <f>IF(select!$A$778=IF(Scharniere[[#This Row],[mit Dämpfung]]=1,1,IF(Scharniere[[#This Row],[ohne Dämpfung]]=1,2,IF(Scharniere[[#This Row],[ohne Feder]]=1,3,0))),1,0)</f>
        <v>1</v>
      </c>
      <c r="S266" s="298">
        <f>IF(Scharniere[[#This Row],[Bohrbild]]=select!$A$755,1,0)</f>
        <v>0</v>
      </c>
      <c r="T266" s="298">
        <f>IF(IF(Scharniere[[#This Row],[Anschrauben]]=1,1,IF(Scharniere[[#This Row],[Einpressen]]=1,2,IF(Scharniere[[#This Row],[Quick]]=1,3,IF(Scharniere[[#This Row],[Werkzeuglos]]=1,4,0))))=select!$A$769,1,0)</f>
        <v>0</v>
      </c>
      <c r="U2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6" s="359">
        <f>IF(AND(Scharniere[[#This Row],[Scharnierart]]=4,Scharniere[[#This Row],[Gruppenschlüssel]]=select!$A$981)=TRUE,1,0)</f>
        <v>0</v>
      </c>
      <c r="W266" s="359">
        <f ca="1">IF(select!$O$1185&lt;6,1,0)</f>
        <v>1</v>
      </c>
      <c r="X266" s="359">
        <f>IF(select!$A$1012=IF(Scharniere[[#This Row],[mit Dämpfung]]=1,1,IF(Scharniere[[#This Row],[ohne Dämpfung]]=1,2,IF(Scharniere[[#This Row],[ohne Feder]]=1,3,0))),1,0)</f>
        <v>1</v>
      </c>
      <c r="Y266" s="359">
        <f>IF(Scharniere[[#This Row],[Bohrbild]]=select!$A$989,1,0)</f>
        <v>0</v>
      </c>
      <c r="Z266" s="359">
        <f>IF(IF(Scharniere[[#This Row],[Anschrauben]]=1,1,IF(Scharniere[[#This Row],[Einpressen]]=1,2,IF(Scharniere[[#This Row],[Quick]]=1,3,IF(Scharniere[[#This Row],[Werkzeuglos]]=1,4,0))))=select!$A$1003,1,0)</f>
        <v>0</v>
      </c>
      <c r="AA2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6" s="359">
        <f ca="1">IF(select!$K$980="*",Scharniere[[#This Row],[AG Ges2]],Scharniere[[#This Row],[AG Ges1]])</f>
        <v>0</v>
      </c>
      <c r="AE266" s="451">
        <f ca="1">IF(AND(Scharniere[[#This Row],[Scharnierart]]=select!$A$1485,Scharniere[[#This Row],[Gruppenschlüssel]]=select!$B$1485)=TRUE,1,0)</f>
        <v>0</v>
      </c>
      <c r="AF266" s="451">
        <f ca="1">IF(AND(Scharniere[[#This Row],[Scharnierart]]=select!$A$1486,Scharniere[[#This Row],[Gruppenschlüssel]]=select!$B$1486)=TRUE,1,0)</f>
        <v>0</v>
      </c>
      <c r="AG266" s="451">
        <f ca="1">IF(AND(Scharniere[[#This Row],[Scharnierart]]=select!$A$1487,Scharniere[[#This Row],[Gruppenschlüssel]]=select!$B$1487)=TRUE,1,0)</f>
        <v>0</v>
      </c>
      <c r="AH266" s="451">
        <f ca="1">IF(AND(Scharniere[[#This Row],[Scharnierart]]=select!$A$1488,Scharniere[[#This Row],[Gruppenschlüssel]]=select!$B$1488)=TRUE,1,0)</f>
        <v>0</v>
      </c>
      <c r="AI266" s="451">
        <f ca="1">IF(SUM(Scharniere[[#This Row],[konf Scharnier 1]:[konf Scharnier 4]])&gt;0,1,0)</f>
        <v>0</v>
      </c>
      <c r="AJ266" s="451"/>
      <c r="AK266" s="451"/>
      <c r="AL266" s="451"/>
      <c r="AM266" s="451"/>
      <c r="AN266" s="451"/>
      <c r="AO266" s="146">
        <v>1</v>
      </c>
      <c r="AP266" s="146">
        <v>2</v>
      </c>
      <c r="AQ266" s="10" t="str">
        <f ca="1">Sprache!$A$110</f>
        <v>Tiomos Scharnier T Click-on</v>
      </c>
      <c r="AR266" t="str">
        <f ca="1">"120°, H-BB, K9.5, "&amp;Sprache!A181&amp;", ni"</f>
        <v>120°, H-BB, K9.5, Dübel, ni</v>
      </c>
      <c r="AS266" t="str">
        <f ca="1">Sprache!$A$103</f>
        <v>Tiomos Click-On Scharniere</v>
      </c>
      <c r="AT266">
        <v>9.5</v>
      </c>
      <c r="AU266" t="s">
        <v>10</v>
      </c>
      <c r="AV266">
        <v>120</v>
      </c>
      <c r="AW266" s="10">
        <v>0</v>
      </c>
      <c r="AX266">
        <v>1</v>
      </c>
      <c r="AY266">
        <v>0</v>
      </c>
      <c r="AZ266" s="10">
        <v>0</v>
      </c>
      <c r="BA266">
        <v>1</v>
      </c>
      <c r="BB266">
        <v>0</v>
      </c>
      <c r="BC266">
        <v>0</v>
      </c>
      <c r="BD266" s="143" t="s">
        <v>527</v>
      </c>
      <c r="BG266"/>
    </row>
    <row r="267" spans="1:59" ht="14.25" customHeight="1" x14ac:dyDescent="0.25">
      <c r="A267" s="37" t="str">
        <f>LEFT(Scharniere[[#This Row],[ArtikelNR]],4)</f>
        <v>F028</v>
      </c>
      <c r="B267" s="35" t="str">
        <f>MID(Scharniere[[#This Row],[ArtikelNR]],5,3)</f>
        <v>138</v>
      </c>
      <c r="C267" s="37" t="str">
        <f>RIGHT(Scharniere[[#This Row],[ArtikelNR]],3)</f>
        <v>735</v>
      </c>
      <c r="D267" s="35">
        <f>IF(AND(Scharniere[[#This Row],[Gruppenschlüssel]]=select!$A$44,Scharniere[[#This Row],[Scharnierart]]=1)=TRUE,1,0)</f>
        <v>0</v>
      </c>
      <c r="E2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7" s="35">
        <f>IF(select!$F$57=IF(Scharniere[[#This Row],[mit Dämpfung]]=1,1,IF(Scharniere[[#This Row],[ohne Dämpfung]]=1,2,IF(Scharniere[[#This Row],[ohne Feder]]=1,3,0))),1,0)</f>
        <v>0</v>
      </c>
      <c r="G267" s="35">
        <f>IF(Scharniere[[#This Row],[Bohrbild]]=select!$V$43,1,0)</f>
        <v>0</v>
      </c>
      <c r="H267" s="35">
        <f>IF(IF(Scharniere[[#This Row],[Anschrauben]]=1,1,IF(Scharniere[[#This Row],[Einpressen]]=1,2,IF(Scharniere[[#This Row],[Quick]]=1,3,IF(Scharniere[[#This Row],[Werkzeuglos]]=1,4,0))))=select!$F$48,1,0)</f>
        <v>1</v>
      </c>
      <c r="I2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7" s="149">
        <f>IF(AND(Scharniere[[#This Row],[Scharnierart]]=2,Scharniere[[#This Row],[Gruppenschlüssel]]=select!$A$318)=TRUE,1,0)</f>
        <v>0</v>
      </c>
      <c r="K267" s="221">
        <f ca="1">IF(select!$O$424&lt;6,1,0)</f>
        <v>1</v>
      </c>
      <c r="L267" s="139">
        <f>IF(select!$A$362=IF(Scharniere[[#This Row],[mit Dämpfung]]=1,1,IF(Scharniere[[#This Row],[ohne Dämpfung]]=1,2,IF(Scharniere[[#This Row],[ohne Feder]]=1,3,0))),1,0)</f>
        <v>1</v>
      </c>
      <c r="M267" s="135">
        <f>IF(Scharniere[[#This Row],[Bohrbild]]=select!$O$334,1,0)</f>
        <v>0</v>
      </c>
      <c r="N267" s="135">
        <f>IF(IF(Scharniere[[#This Row],[Anschrauben]]=1,1,IF(Scharniere[[#This Row],[Einpressen]]=1,2,IF(Scharniere[[#This Row],[Quick]]=1,3,IF(Scharniere[[#This Row],[Werkzeuglos]]=1,4,0))))=select!$E$362,1,0)</f>
        <v>0</v>
      </c>
      <c r="O2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7" s="298">
        <f>IF(AND(Scharniere[[#This Row],[Scharnierart]]=3,Scharniere[[#This Row],[Gruppenschlüssel]]=select!$A$747)=TRUE,1,0)</f>
        <v>0</v>
      </c>
      <c r="Q267" s="298">
        <f ca="1">IF(select!$O$945&lt;6,1,0)</f>
        <v>1</v>
      </c>
      <c r="R267" s="298">
        <f>IF(select!$A$778=IF(Scharniere[[#This Row],[mit Dämpfung]]=1,1,IF(Scharniere[[#This Row],[ohne Dämpfung]]=1,2,IF(Scharniere[[#This Row],[ohne Feder]]=1,3,0))),1,0)</f>
        <v>0</v>
      </c>
      <c r="S267" s="298">
        <f>IF(Scharniere[[#This Row],[Bohrbild]]=select!$A$755,1,0)</f>
        <v>0</v>
      </c>
      <c r="T267" s="298">
        <f>IF(IF(Scharniere[[#This Row],[Anschrauben]]=1,1,IF(Scharniere[[#This Row],[Einpressen]]=1,2,IF(Scharniere[[#This Row],[Quick]]=1,3,IF(Scharniere[[#This Row],[Werkzeuglos]]=1,4,0))))=select!$A$769,1,0)</f>
        <v>0</v>
      </c>
      <c r="U2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7" s="359">
        <f>IF(AND(Scharniere[[#This Row],[Scharnierart]]=4,Scharniere[[#This Row],[Gruppenschlüssel]]=select!$A$981)=TRUE,1,0)</f>
        <v>0</v>
      </c>
      <c r="W267" s="359">
        <f ca="1">IF(select!$O$1185&lt;6,1,0)</f>
        <v>1</v>
      </c>
      <c r="X267" s="359">
        <f>IF(select!$A$1012=IF(Scharniere[[#This Row],[mit Dämpfung]]=1,1,IF(Scharniere[[#This Row],[ohne Dämpfung]]=1,2,IF(Scharniere[[#This Row],[ohne Feder]]=1,3,0))),1,0)</f>
        <v>0</v>
      </c>
      <c r="Y267" s="359">
        <f>IF(Scharniere[[#This Row],[Bohrbild]]=select!$A$989,1,0)</f>
        <v>0</v>
      </c>
      <c r="Z267" s="359">
        <f>IF(IF(Scharniere[[#This Row],[Anschrauben]]=1,1,IF(Scharniere[[#This Row],[Einpressen]]=1,2,IF(Scharniere[[#This Row],[Quick]]=1,3,IF(Scharniere[[#This Row],[Werkzeuglos]]=1,4,0))))=select!$A$1003,1,0)</f>
        <v>0</v>
      </c>
      <c r="AA2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7" s="359">
        <f ca="1">IF(select!$K$980="*",Scharniere[[#This Row],[AG Ges2]],Scharniere[[#This Row],[AG Ges1]])</f>
        <v>0</v>
      </c>
      <c r="AE267" s="451">
        <f ca="1">IF(AND(Scharniere[[#This Row],[Scharnierart]]=select!$A$1485,Scharniere[[#This Row],[Gruppenschlüssel]]=select!$B$1485)=TRUE,1,0)</f>
        <v>0</v>
      </c>
      <c r="AF267" s="451">
        <f ca="1">IF(AND(Scharniere[[#This Row],[Scharnierart]]=select!$A$1486,Scharniere[[#This Row],[Gruppenschlüssel]]=select!$B$1486)=TRUE,1,0)</f>
        <v>0</v>
      </c>
      <c r="AG267" s="451">
        <f ca="1">IF(AND(Scharniere[[#This Row],[Scharnierart]]=select!$A$1487,Scharniere[[#This Row],[Gruppenschlüssel]]=select!$B$1487)=TRUE,1,0)</f>
        <v>0</v>
      </c>
      <c r="AH267" s="451">
        <f ca="1">IF(AND(Scharniere[[#This Row],[Scharnierart]]=select!$A$1488,Scharniere[[#This Row],[Gruppenschlüssel]]=select!$B$1488)=TRUE,1,0)</f>
        <v>0</v>
      </c>
      <c r="AI267" s="451">
        <f ca="1">IF(SUM(Scharniere[[#This Row],[konf Scharnier 1]:[konf Scharnier 4]])&gt;0,1,0)</f>
        <v>0</v>
      </c>
      <c r="AJ267" s="451"/>
      <c r="AK267" s="451"/>
      <c r="AL267" s="451"/>
      <c r="AM267" s="451"/>
      <c r="AN267" s="451"/>
      <c r="AO267" s="146">
        <v>1</v>
      </c>
      <c r="AP267" s="146">
        <v>2</v>
      </c>
      <c r="AQ267" s="10" t="str">
        <f ca="1">Sprache!$A$112</f>
        <v>Tiomos Scharnier TS Click-on</v>
      </c>
      <c r="AR267" t="str">
        <f ca="1">"120°, H-BB, K9.5, "&amp;Sprache!A181&amp;", ni"</f>
        <v>120°, H-BB, K9.5, Dübel, ni</v>
      </c>
      <c r="AS267" t="str">
        <f ca="1">Sprache!$A$103</f>
        <v>Tiomos Click-On Scharniere</v>
      </c>
      <c r="AT267">
        <v>9.5</v>
      </c>
      <c r="AU267" t="s">
        <v>10</v>
      </c>
      <c r="AV267">
        <v>120</v>
      </c>
      <c r="AW267" s="10">
        <v>1</v>
      </c>
      <c r="AX267">
        <v>0</v>
      </c>
      <c r="AY267">
        <v>0</v>
      </c>
      <c r="AZ267" s="10">
        <v>0</v>
      </c>
      <c r="BA267">
        <v>1</v>
      </c>
      <c r="BB267">
        <v>0</v>
      </c>
      <c r="BC267">
        <v>0</v>
      </c>
      <c r="BD267" s="143" t="s">
        <v>359</v>
      </c>
      <c r="BG267"/>
    </row>
    <row r="268" spans="1:59" ht="14.25" customHeight="1" x14ac:dyDescent="0.25">
      <c r="A268" s="37" t="str">
        <f>LEFT(Scharniere[[#This Row],[ArtikelNR]],4)</f>
        <v>F046</v>
      </c>
      <c r="B268" s="35" t="str">
        <f>MID(Scharniere[[#This Row],[ArtikelNR]],5,3)</f>
        <v>138</v>
      </c>
      <c r="C268" s="37" t="str">
        <f>RIGHT(Scharniere[[#This Row],[ArtikelNR]],3)</f>
        <v>795</v>
      </c>
      <c r="D268" s="35">
        <f>IF(AND(Scharniere[[#This Row],[Gruppenschlüssel]]=select!$A$44,Scharniere[[#This Row],[Scharnierart]]=1)=TRUE,1,0)</f>
        <v>0</v>
      </c>
      <c r="E2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8" s="35">
        <f>IF(select!$F$57=IF(Scharniere[[#This Row],[mit Dämpfung]]=1,1,IF(Scharniere[[#This Row],[ohne Dämpfung]]=1,2,IF(Scharniere[[#This Row],[ohne Feder]]=1,3,0))),1,0)</f>
        <v>1</v>
      </c>
      <c r="G268" s="35">
        <f>IF(Scharniere[[#This Row],[Bohrbild]]=select!$V$43,1,0)</f>
        <v>0</v>
      </c>
      <c r="H268" s="35">
        <f>IF(IF(Scharniere[[#This Row],[Anschrauben]]=1,1,IF(Scharniere[[#This Row],[Einpressen]]=1,2,IF(Scharniere[[#This Row],[Quick]]=1,3,IF(Scharniere[[#This Row],[Werkzeuglos]]=1,4,0))))=select!$F$48,1,0)</f>
        <v>1</v>
      </c>
      <c r="I2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8" s="149">
        <f>IF(AND(Scharniere[[#This Row],[Scharnierart]]=2,Scharniere[[#This Row],[Gruppenschlüssel]]=select!$A$318)=TRUE,1,0)</f>
        <v>0</v>
      </c>
      <c r="K268" s="221">
        <f ca="1">IF(select!$O$424&lt;6,1,0)</f>
        <v>1</v>
      </c>
      <c r="L268" s="139">
        <f>IF(select!$A$362=IF(Scharniere[[#This Row],[mit Dämpfung]]=1,1,IF(Scharniere[[#This Row],[ohne Dämpfung]]=1,2,IF(Scharniere[[#This Row],[ohne Feder]]=1,3,0))),1,0)</f>
        <v>0</v>
      </c>
      <c r="M268" s="135">
        <f>IF(Scharniere[[#This Row],[Bohrbild]]=select!$O$334,1,0)</f>
        <v>0</v>
      </c>
      <c r="N268" s="135">
        <f>IF(IF(Scharniere[[#This Row],[Anschrauben]]=1,1,IF(Scharniere[[#This Row],[Einpressen]]=1,2,IF(Scharniere[[#This Row],[Quick]]=1,3,IF(Scharniere[[#This Row],[Werkzeuglos]]=1,4,0))))=select!$E$362,1,0)</f>
        <v>0</v>
      </c>
      <c r="O2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8" s="298">
        <f>IF(AND(Scharniere[[#This Row],[Scharnierart]]=3,Scharniere[[#This Row],[Gruppenschlüssel]]=select!$A$747)=TRUE,1,0)</f>
        <v>0</v>
      </c>
      <c r="Q268" s="298">
        <f ca="1">IF(select!$O$945&lt;6,1,0)</f>
        <v>1</v>
      </c>
      <c r="R268" s="298">
        <f>IF(select!$A$778=IF(Scharniere[[#This Row],[mit Dämpfung]]=1,1,IF(Scharniere[[#This Row],[ohne Dämpfung]]=1,2,IF(Scharniere[[#This Row],[ohne Feder]]=1,3,0))),1,0)</f>
        <v>0</v>
      </c>
      <c r="S268" s="298">
        <f>IF(Scharniere[[#This Row],[Bohrbild]]=select!$A$755,1,0)</f>
        <v>0</v>
      </c>
      <c r="T268" s="298">
        <f>IF(IF(Scharniere[[#This Row],[Anschrauben]]=1,1,IF(Scharniere[[#This Row],[Einpressen]]=1,2,IF(Scharniere[[#This Row],[Quick]]=1,3,IF(Scharniere[[#This Row],[Werkzeuglos]]=1,4,0))))=select!$A$769,1,0)</f>
        <v>0</v>
      </c>
      <c r="U2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8" s="359">
        <f>IF(AND(Scharniere[[#This Row],[Scharnierart]]=4,Scharniere[[#This Row],[Gruppenschlüssel]]=select!$A$981)=TRUE,1,0)</f>
        <v>0</v>
      </c>
      <c r="W268" s="359">
        <f ca="1">IF(select!$O$1185&lt;6,1,0)</f>
        <v>1</v>
      </c>
      <c r="X268" s="359">
        <f>IF(select!$A$1012=IF(Scharniere[[#This Row],[mit Dämpfung]]=1,1,IF(Scharniere[[#This Row],[ohne Dämpfung]]=1,2,IF(Scharniere[[#This Row],[ohne Feder]]=1,3,0))),1,0)</f>
        <v>0</v>
      </c>
      <c r="Y268" s="359">
        <f>IF(Scharniere[[#This Row],[Bohrbild]]=select!$A$989,1,0)</f>
        <v>0</v>
      </c>
      <c r="Z268" s="359">
        <f>IF(IF(Scharniere[[#This Row],[Anschrauben]]=1,1,IF(Scharniere[[#This Row],[Einpressen]]=1,2,IF(Scharniere[[#This Row],[Quick]]=1,3,IF(Scharniere[[#This Row],[Werkzeuglos]]=1,4,0))))=select!$A$1003,1,0)</f>
        <v>0</v>
      </c>
      <c r="AA2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8" s="359">
        <f ca="1">IF(select!$K$980="*",Scharniere[[#This Row],[AG Ges2]],Scharniere[[#This Row],[AG Ges1]])</f>
        <v>0</v>
      </c>
      <c r="AE268" s="451">
        <f ca="1">IF(AND(Scharniere[[#This Row],[Scharnierart]]=select!$A$1485,Scharniere[[#This Row],[Gruppenschlüssel]]=select!$B$1485)=TRUE,1,0)</f>
        <v>0</v>
      </c>
      <c r="AF268" s="451">
        <f ca="1">IF(AND(Scharniere[[#This Row],[Scharnierart]]=select!$A$1486,Scharniere[[#This Row],[Gruppenschlüssel]]=select!$B$1486)=TRUE,1,0)</f>
        <v>0</v>
      </c>
      <c r="AG268" s="451">
        <f ca="1">IF(AND(Scharniere[[#This Row],[Scharnierart]]=select!$A$1487,Scharniere[[#This Row],[Gruppenschlüssel]]=select!$B$1487)=TRUE,1,0)</f>
        <v>0</v>
      </c>
      <c r="AH268" s="451">
        <f ca="1">IF(AND(Scharniere[[#This Row],[Scharnierart]]=select!$A$1488,Scharniere[[#This Row],[Gruppenschlüssel]]=select!$B$1488)=TRUE,1,0)</f>
        <v>0</v>
      </c>
      <c r="AI268" s="451">
        <f ca="1">IF(SUM(Scharniere[[#This Row],[konf Scharnier 1]:[konf Scharnier 4]])&gt;0,1,0)</f>
        <v>0</v>
      </c>
      <c r="AJ268" s="451"/>
      <c r="AK268" s="451"/>
      <c r="AL268" s="451"/>
      <c r="AM268" s="451"/>
      <c r="AN268" s="451"/>
      <c r="AO268" s="146">
        <v>1</v>
      </c>
      <c r="AP268" s="146">
        <v>2</v>
      </c>
      <c r="AQ268" s="10" t="str">
        <f ca="1">Sprache!$A$114</f>
        <v>Tiomos Scharnier TT Click-on</v>
      </c>
      <c r="AR268" t="str">
        <f ca="1">"120°, H-BB, K9.5, "&amp;Sprache!A181&amp;", ni"</f>
        <v>120°, H-BB, K9.5, Dübel, ni</v>
      </c>
      <c r="AS268" t="str">
        <f ca="1">Sprache!$A$103</f>
        <v>Tiomos Click-On Scharniere</v>
      </c>
      <c r="AT268">
        <v>9.5</v>
      </c>
      <c r="AU268" s="34" t="s">
        <v>10</v>
      </c>
      <c r="AV268">
        <v>120</v>
      </c>
      <c r="AW268" s="10">
        <v>0</v>
      </c>
      <c r="AX268">
        <v>0</v>
      </c>
      <c r="AY268">
        <v>1</v>
      </c>
      <c r="AZ268" s="10">
        <v>0</v>
      </c>
      <c r="BA268">
        <v>1</v>
      </c>
      <c r="BB268">
        <v>0</v>
      </c>
      <c r="BC268">
        <v>0</v>
      </c>
      <c r="BD268" s="143" t="s">
        <v>679</v>
      </c>
      <c r="BG268"/>
    </row>
    <row r="269" spans="1:59" ht="14.25" customHeight="1" x14ac:dyDescent="0.25">
      <c r="A269" s="37" t="str">
        <f>LEFT(Scharniere[[#This Row],[ArtikelNR]],4)</f>
        <v>F045</v>
      </c>
      <c r="B269" s="35" t="str">
        <f>MID(Scharniere[[#This Row],[ArtikelNR]],5,3)</f>
        <v>138</v>
      </c>
      <c r="C269" s="37" t="str">
        <f>RIGHT(Scharniere[[#This Row],[ArtikelNR]],3)</f>
        <v>669</v>
      </c>
      <c r="D269" s="35">
        <f>IF(AND(Scharniere[[#This Row],[Gruppenschlüssel]]=select!$A$44,Scharniere[[#This Row],[Scharnierart]]=1)=TRUE,1,0)</f>
        <v>0</v>
      </c>
      <c r="E2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69" s="35">
        <f>IF(select!$F$57=IF(Scharniere[[#This Row],[mit Dämpfung]]=1,1,IF(Scharniere[[#This Row],[ohne Dämpfung]]=1,2,IF(Scharniere[[#This Row],[ohne Feder]]=1,3,0))),1,0)</f>
        <v>0</v>
      </c>
      <c r="G269" s="35">
        <f>IF(Scharniere[[#This Row],[Bohrbild]]=select!$V$43,1,0)</f>
        <v>0</v>
      </c>
      <c r="H269" s="35">
        <f>IF(IF(Scharniere[[#This Row],[Anschrauben]]=1,1,IF(Scharniere[[#This Row],[Einpressen]]=1,2,IF(Scharniere[[#This Row],[Quick]]=1,3,IF(Scharniere[[#This Row],[Werkzeuglos]]=1,4,0))))=select!$F$48,1,0)</f>
        <v>0</v>
      </c>
      <c r="I2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69" s="149">
        <f>IF(AND(Scharniere[[#This Row],[Scharnierart]]=2,Scharniere[[#This Row],[Gruppenschlüssel]]=select!$A$318)=TRUE,1,0)</f>
        <v>0</v>
      </c>
      <c r="K269" s="221">
        <f ca="1">IF(select!$O$424&lt;6,1,0)</f>
        <v>1</v>
      </c>
      <c r="L269" s="139">
        <f>IF(select!$A$362=IF(Scharniere[[#This Row],[mit Dämpfung]]=1,1,IF(Scharniere[[#This Row],[ohne Dämpfung]]=1,2,IF(Scharniere[[#This Row],[ohne Feder]]=1,3,0))),1,0)</f>
        <v>0</v>
      </c>
      <c r="M269" s="135">
        <f>IF(Scharniere[[#This Row],[Bohrbild]]=select!$O$334,1,0)</f>
        <v>0</v>
      </c>
      <c r="N269" s="135">
        <f>IF(IF(Scharniere[[#This Row],[Anschrauben]]=1,1,IF(Scharniere[[#This Row],[Einpressen]]=1,2,IF(Scharniere[[#This Row],[Quick]]=1,3,IF(Scharniere[[#This Row],[Werkzeuglos]]=1,4,0))))=select!$E$362,1,0)</f>
        <v>1</v>
      </c>
      <c r="O2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69" s="298">
        <f>IF(AND(Scharniere[[#This Row],[Scharnierart]]=3,Scharniere[[#This Row],[Gruppenschlüssel]]=select!$A$747)=TRUE,1,0)</f>
        <v>0</v>
      </c>
      <c r="Q269" s="298">
        <f ca="1">IF(select!$O$945&lt;6,1,0)</f>
        <v>1</v>
      </c>
      <c r="R269" s="298">
        <f>IF(select!$A$778=IF(Scharniere[[#This Row],[mit Dämpfung]]=1,1,IF(Scharniere[[#This Row],[ohne Dämpfung]]=1,2,IF(Scharniere[[#This Row],[ohne Feder]]=1,3,0))),1,0)</f>
        <v>1</v>
      </c>
      <c r="S269" s="298">
        <f>IF(Scharniere[[#This Row],[Bohrbild]]=select!$A$755,1,0)</f>
        <v>0</v>
      </c>
      <c r="T269" s="298">
        <f>IF(IF(Scharniere[[#This Row],[Anschrauben]]=1,1,IF(Scharniere[[#This Row],[Einpressen]]=1,2,IF(Scharniere[[#This Row],[Quick]]=1,3,IF(Scharniere[[#This Row],[Werkzeuglos]]=1,4,0))))=select!$A$769,1,0)</f>
        <v>1</v>
      </c>
      <c r="U2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69" s="359">
        <f>IF(AND(Scharniere[[#This Row],[Scharnierart]]=4,Scharniere[[#This Row],[Gruppenschlüssel]]=select!$A$981)=TRUE,1,0)</f>
        <v>0</v>
      </c>
      <c r="W269" s="359">
        <f ca="1">IF(select!$O$1185&lt;6,1,0)</f>
        <v>1</v>
      </c>
      <c r="X269" s="359">
        <f>IF(select!$A$1012=IF(Scharniere[[#This Row],[mit Dämpfung]]=1,1,IF(Scharniere[[#This Row],[ohne Dämpfung]]=1,2,IF(Scharniere[[#This Row],[ohne Feder]]=1,3,0))),1,0)</f>
        <v>1</v>
      </c>
      <c r="Y269" s="359">
        <f>IF(Scharniere[[#This Row],[Bohrbild]]=select!$A$989,1,0)</f>
        <v>0</v>
      </c>
      <c r="Z269" s="359">
        <f>IF(IF(Scharniere[[#This Row],[Anschrauben]]=1,1,IF(Scharniere[[#This Row],[Einpressen]]=1,2,IF(Scharniere[[#This Row],[Quick]]=1,3,IF(Scharniere[[#This Row],[Werkzeuglos]]=1,4,0))))=select!$A$1003,1,0)</f>
        <v>1</v>
      </c>
      <c r="AA2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69" s="359">
        <f ca="1">IF(select!$K$980="*",Scharniere[[#This Row],[AG Ges2]],Scharniere[[#This Row],[AG Ges1]])</f>
        <v>0</v>
      </c>
      <c r="AE269" s="451">
        <f ca="1">IF(AND(Scharniere[[#This Row],[Scharnierart]]=select!$A$1485,Scharniere[[#This Row],[Gruppenschlüssel]]=select!$B$1485)=TRUE,1,0)</f>
        <v>0</v>
      </c>
      <c r="AF269" s="451">
        <f ca="1">IF(AND(Scharniere[[#This Row],[Scharnierart]]=select!$A$1486,Scharniere[[#This Row],[Gruppenschlüssel]]=select!$B$1486)=TRUE,1,0)</f>
        <v>0</v>
      </c>
      <c r="AG269" s="451">
        <f ca="1">IF(AND(Scharniere[[#This Row],[Scharnierart]]=select!$A$1487,Scharniere[[#This Row],[Gruppenschlüssel]]=select!$B$1487)=TRUE,1,0)</f>
        <v>0</v>
      </c>
      <c r="AH269" s="451">
        <f ca="1">IF(AND(Scharniere[[#This Row],[Scharnierart]]=select!$A$1488,Scharniere[[#This Row],[Gruppenschlüssel]]=select!$B$1488)=TRUE,1,0)</f>
        <v>0</v>
      </c>
      <c r="AI269" s="451">
        <f ca="1">IF(SUM(Scharniere[[#This Row],[konf Scharnier 1]:[konf Scharnier 4]])&gt;0,1,0)</f>
        <v>0</v>
      </c>
      <c r="AJ269" s="451"/>
      <c r="AK269" s="451"/>
      <c r="AL269" s="451"/>
      <c r="AM269" s="451"/>
      <c r="AN269" s="451"/>
      <c r="AO269" s="146">
        <v>1</v>
      </c>
      <c r="AP269" s="146">
        <v>2</v>
      </c>
      <c r="AQ269" s="10" t="str">
        <f ca="1">Sprache!$A$110</f>
        <v>Tiomos Scharnier T Click-on</v>
      </c>
      <c r="AR269" t="s">
        <v>1934</v>
      </c>
      <c r="AS269" t="str">
        <f ca="1">Sprache!$A$103</f>
        <v>Tiomos Click-On Scharniere</v>
      </c>
      <c r="AT269">
        <v>9.5</v>
      </c>
      <c r="AU269" t="s">
        <v>10</v>
      </c>
      <c r="AV269">
        <v>120</v>
      </c>
      <c r="AW269" s="10">
        <v>0</v>
      </c>
      <c r="AX269">
        <v>1</v>
      </c>
      <c r="AY269">
        <v>0</v>
      </c>
      <c r="AZ269" s="10">
        <v>1</v>
      </c>
      <c r="BA269">
        <v>0</v>
      </c>
      <c r="BB269">
        <v>0</v>
      </c>
      <c r="BC269">
        <v>0</v>
      </c>
      <c r="BD269" s="143" t="s">
        <v>524</v>
      </c>
      <c r="BG269"/>
    </row>
    <row r="270" spans="1:59" ht="14.25" customHeight="1" x14ac:dyDescent="0.25">
      <c r="A270" s="37" t="str">
        <f>LEFT(Scharniere[[#This Row],[ArtikelNR]],4)</f>
        <v>F028</v>
      </c>
      <c r="B270" s="35" t="str">
        <f>MID(Scharniere[[#This Row],[ArtikelNR]],5,3)</f>
        <v>138</v>
      </c>
      <c r="C270" s="37" t="str">
        <f>RIGHT(Scharniere[[#This Row],[ArtikelNR]],3)</f>
        <v>731</v>
      </c>
      <c r="D270" s="35">
        <f>IF(AND(Scharniere[[#This Row],[Gruppenschlüssel]]=select!$A$44,Scharniere[[#This Row],[Scharnierart]]=1)=TRUE,1,0)</f>
        <v>0</v>
      </c>
      <c r="E2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0" s="35">
        <f>IF(select!$F$57=IF(Scharniere[[#This Row],[mit Dämpfung]]=1,1,IF(Scharniere[[#This Row],[ohne Dämpfung]]=1,2,IF(Scharniere[[#This Row],[ohne Feder]]=1,3,0))),1,0)</f>
        <v>0</v>
      </c>
      <c r="G270" s="35">
        <f>IF(Scharniere[[#This Row],[Bohrbild]]=select!$V$43,1,0)</f>
        <v>0</v>
      </c>
      <c r="H270" s="35">
        <f>IF(IF(Scharniere[[#This Row],[Anschrauben]]=1,1,IF(Scharniere[[#This Row],[Einpressen]]=1,2,IF(Scharniere[[#This Row],[Quick]]=1,3,IF(Scharniere[[#This Row],[Werkzeuglos]]=1,4,0))))=select!$F$48,1,0)</f>
        <v>0</v>
      </c>
      <c r="I2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0" s="149">
        <f>IF(AND(Scharniere[[#This Row],[Scharnierart]]=2,Scharniere[[#This Row],[Gruppenschlüssel]]=select!$A$318)=TRUE,1,0)</f>
        <v>0</v>
      </c>
      <c r="K270" s="221">
        <f ca="1">IF(select!$O$424&lt;6,1,0)</f>
        <v>1</v>
      </c>
      <c r="L270" s="139">
        <f>IF(select!$A$362=IF(Scharniere[[#This Row],[mit Dämpfung]]=1,1,IF(Scharniere[[#This Row],[ohne Dämpfung]]=1,2,IF(Scharniere[[#This Row],[ohne Feder]]=1,3,0))),1,0)</f>
        <v>1</v>
      </c>
      <c r="M270" s="135">
        <f>IF(Scharniere[[#This Row],[Bohrbild]]=select!$O$334,1,0)</f>
        <v>0</v>
      </c>
      <c r="N270" s="135">
        <f>IF(IF(Scharniere[[#This Row],[Anschrauben]]=1,1,IF(Scharniere[[#This Row],[Einpressen]]=1,2,IF(Scharniere[[#This Row],[Quick]]=1,3,IF(Scharniere[[#This Row],[Werkzeuglos]]=1,4,0))))=select!$E$362,1,0)</f>
        <v>1</v>
      </c>
      <c r="O2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0" s="298">
        <f>IF(AND(Scharniere[[#This Row],[Scharnierart]]=3,Scharniere[[#This Row],[Gruppenschlüssel]]=select!$A$747)=TRUE,1,0)</f>
        <v>0</v>
      </c>
      <c r="Q270" s="298">
        <f ca="1">IF(select!$O$945&lt;6,1,0)</f>
        <v>1</v>
      </c>
      <c r="R270" s="298">
        <f>IF(select!$A$778=IF(Scharniere[[#This Row],[mit Dämpfung]]=1,1,IF(Scharniere[[#This Row],[ohne Dämpfung]]=1,2,IF(Scharniere[[#This Row],[ohne Feder]]=1,3,0))),1,0)</f>
        <v>0</v>
      </c>
      <c r="S270" s="298">
        <f>IF(Scharniere[[#This Row],[Bohrbild]]=select!$A$755,1,0)</f>
        <v>0</v>
      </c>
      <c r="T270" s="298">
        <f>IF(IF(Scharniere[[#This Row],[Anschrauben]]=1,1,IF(Scharniere[[#This Row],[Einpressen]]=1,2,IF(Scharniere[[#This Row],[Quick]]=1,3,IF(Scharniere[[#This Row],[Werkzeuglos]]=1,4,0))))=select!$A$769,1,0)</f>
        <v>1</v>
      </c>
      <c r="U2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0" s="359">
        <f>IF(AND(Scharniere[[#This Row],[Scharnierart]]=4,Scharniere[[#This Row],[Gruppenschlüssel]]=select!$A$981)=TRUE,1,0)</f>
        <v>0</v>
      </c>
      <c r="W270" s="359">
        <f ca="1">IF(select!$O$1185&lt;6,1,0)</f>
        <v>1</v>
      </c>
      <c r="X270" s="359">
        <f>IF(select!$A$1012=IF(Scharniere[[#This Row],[mit Dämpfung]]=1,1,IF(Scharniere[[#This Row],[ohne Dämpfung]]=1,2,IF(Scharniere[[#This Row],[ohne Feder]]=1,3,0))),1,0)</f>
        <v>0</v>
      </c>
      <c r="Y270" s="359">
        <f>IF(Scharniere[[#This Row],[Bohrbild]]=select!$A$989,1,0)</f>
        <v>0</v>
      </c>
      <c r="Z270" s="359">
        <f>IF(IF(Scharniere[[#This Row],[Anschrauben]]=1,1,IF(Scharniere[[#This Row],[Einpressen]]=1,2,IF(Scharniere[[#This Row],[Quick]]=1,3,IF(Scharniere[[#This Row],[Werkzeuglos]]=1,4,0))))=select!$A$1003,1,0)</f>
        <v>1</v>
      </c>
      <c r="AA2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0" s="359">
        <f ca="1">IF(select!$K$980="*",Scharniere[[#This Row],[AG Ges2]],Scharniere[[#This Row],[AG Ges1]])</f>
        <v>0</v>
      </c>
      <c r="AE270" s="451">
        <f ca="1">IF(AND(Scharniere[[#This Row],[Scharnierart]]=select!$A$1485,Scharniere[[#This Row],[Gruppenschlüssel]]=select!$B$1485)=TRUE,1,0)</f>
        <v>0</v>
      </c>
      <c r="AF270" s="451">
        <f ca="1">IF(AND(Scharniere[[#This Row],[Scharnierart]]=select!$A$1486,Scharniere[[#This Row],[Gruppenschlüssel]]=select!$B$1486)=TRUE,1,0)</f>
        <v>0</v>
      </c>
      <c r="AG270" s="451">
        <f ca="1">IF(AND(Scharniere[[#This Row],[Scharnierart]]=select!$A$1487,Scharniere[[#This Row],[Gruppenschlüssel]]=select!$B$1487)=TRUE,1,0)</f>
        <v>0</v>
      </c>
      <c r="AH270" s="451">
        <f ca="1">IF(AND(Scharniere[[#This Row],[Scharnierart]]=select!$A$1488,Scharniere[[#This Row],[Gruppenschlüssel]]=select!$B$1488)=TRUE,1,0)</f>
        <v>0</v>
      </c>
      <c r="AI270" s="451">
        <f ca="1">IF(SUM(Scharniere[[#This Row],[konf Scharnier 1]:[konf Scharnier 4]])&gt;0,1,0)</f>
        <v>0</v>
      </c>
      <c r="AJ270" s="451"/>
      <c r="AK270" s="451"/>
      <c r="AL270" s="451"/>
      <c r="AM270" s="451"/>
      <c r="AN270" s="451"/>
      <c r="AO270" s="146">
        <v>1</v>
      </c>
      <c r="AP270" s="146">
        <v>2</v>
      </c>
      <c r="AQ270" s="10" t="str">
        <f ca="1">Sprache!$A$112</f>
        <v>Tiomos Scharnier TS Click-on</v>
      </c>
      <c r="AR270" t="s">
        <v>1934</v>
      </c>
      <c r="AS270" t="str">
        <f ca="1">Sprache!$A$103</f>
        <v>Tiomos Click-On Scharniere</v>
      </c>
      <c r="AT270">
        <v>9.5</v>
      </c>
      <c r="AU270" s="34" t="s">
        <v>10</v>
      </c>
      <c r="AV270">
        <v>120</v>
      </c>
      <c r="AW270" s="10">
        <v>1</v>
      </c>
      <c r="AX270">
        <v>0</v>
      </c>
      <c r="AY270">
        <v>0</v>
      </c>
      <c r="AZ270" s="10">
        <v>1</v>
      </c>
      <c r="BA270">
        <v>0</v>
      </c>
      <c r="BB270">
        <v>0</v>
      </c>
      <c r="BC270">
        <v>0</v>
      </c>
      <c r="BD270" s="143" t="s">
        <v>356</v>
      </c>
      <c r="BG270"/>
    </row>
    <row r="271" spans="1:59" ht="14.25" customHeight="1" x14ac:dyDescent="0.25">
      <c r="A271" s="37" t="str">
        <f>LEFT(Scharniere[[#This Row],[ArtikelNR]],4)</f>
        <v>F046</v>
      </c>
      <c r="B271" s="35" t="str">
        <f>MID(Scharniere[[#This Row],[ArtikelNR]],5,3)</f>
        <v>138</v>
      </c>
      <c r="C271" s="37" t="str">
        <f>RIGHT(Scharniere[[#This Row],[ArtikelNR]],3)</f>
        <v>791</v>
      </c>
      <c r="D271" s="35">
        <f>IF(AND(Scharniere[[#This Row],[Gruppenschlüssel]]=select!$A$44,Scharniere[[#This Row],[Scharnierart]]=1)=TRUE,1,0)</f>
        <v>0</v>
      </c>
      <c r="E2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1" s="35">
        <f>IF(select!$F$57=IF(Scharniere[[#This Row],[mit Dämpfung]]=1,1,IF(Scharniere[[#This Row],[ohne Dämpfung]]=1,2,IF(Scharniere[[#This Row],[ohne Feder]]=1,3,0))),1,0)</f>
        <v>1</v>
      </c>
      <c r="G271" s="35">
        <f>IF(Scharniere[[#This Row],[Bohrbild]]=select!$V$43,1,0)</f>
        <v>0</v>
      </c>
      <c r="H271" s="35">
        <f>IF(IF(Scharniere[[#This Row],[Anschrauben]]=1,1,IF(Scharniere[[#This Row],[Einpressen]]=1,2,IF(Scharniere[[#This Row],[Quick]]=1,3,IF(Scharniere[[#This Row],[Werkzeuglos]]=1,4,0))))=select!$F$48,1,0)</f>
        <v>0</v>
      </c>
      <c r="I2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1" s="149">
        <f>IF(AND(Scharniere[[#This Row],[Scharnierart]]=2,Scharniere[[#This Row],[Gruppenschlüssel]]=select!$A$318)=TRUE,1,0)</f>
        <v>0</v>
      </c>
      <c r="K271" s="221">
        <f ca="1">IF(select!$O$424&lt;6,1,0)</f>
        <v>1</v>
      </c>
      <c r="L271" s="139">
        <f>IF(select!$A$362=IF(Scharniere[[#This Row],[mit Dämpfung]]=1,1,IF(Scharniere[[#This Row],[ohne Dämpfung]]=1,2,IF(Scharniere[[#This Row],[ohne Feder]]=1,3,0))),1,0)</f>
        <v>0</v>
      </c>
      <c r="M271" s="135">
        <f>IF(Scharniere[[#This Row],[Bohrbild]]=select!$O$334,1,0)</f>
        <v>0</v>
      </c>
      <c r="N271" s="135">
        <f>IF(IF(Scharniere[[#This Row],[Anschrauben]]=1,1,IF(Scharniere[[#This Row],[Einpressen]]=1,2,IF(Scharniere[[#This Row],[Quick]]=1,3,IF(Scharniere[[#This Row],[Werkzeuglos]]=1,4,0))))=select!$E$362,1,0)</f>
        <v>1</v>
      </c>
      <c r="O2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1" s="298">
        <f>IF(AND(Scharniere[[#This Row],[Scharnierart]]=3,Scharniere[[#This Row],[Gruppenschlüssel]]=select!$A$747)=TRUE,1,0)</f>
        <v>0</v>
      </c>
      <c r="Q271" s="298">
        <f ca="1">IF(select!$O$945&lt;6,1,0)</f>
        <v>1</v>
      </c>
      <c r="R271" s="298">
        <f>IF(select!$A$778=IF(Scharniere[[#This Row],[mit Dämpfung]]=1,1,IF(Scharniere[[#This Row],[ohne Dämpfung]]=1,2,IF(Scharniere[[#This Row],[ohne Feder]]=1,3,0))),1,0)</f>
        <v>0</v>
      </c>
      <c r="S271" s="298">
        <f>IF(Scharniere[[#This Row],[Bohrbild]]=select!$A$755,1,0)</f>
        <v>0</v>
      </c>
      <c r="T271" s="298">
        <f>IF(IF(Scharniere[[#This Row],[Anschrauben]]=1,1,IF(Scharniere[[#This Row],[Einpressen]]=1,2,IF(Scharniere[[#This Row],[Quick]]=1,3,IF(Scharniere[[#This Row],[Werkzeuglos]]=1,4,0))))=select!$A$769,1,0)</f>
        <v>1</v>
      </c>
      <c r="U2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1" s="359">
        <f>IF(AND(Scharniere[[#This Row],[Scharnierart]]=4,Scharniere[[#This Row],[Gruppenschlüssel]]=select!$A$981)=TRUE,1,0)</f>
        <v>0</v>
      </c>
      <c r="W271" s="359">
        <f ca="1">IF(select!$O$1185&lt;6,1,0)</f>
        <v>1</v>
      </c>
      <c r="X271" s="359">
        <f>IF(select!$A$1012=IF(Scharniere[[#This Row],[mit Dämpfung]]=1,1,IF(Scharniere[[#This Row],[ohne Dämpfung]]=1,2,IF(Scharniere[[#This Row],[ohne Feder]]=1,3,0))),1,0)</f>
        <v>0</v>
      </c>
      <c r="Y271" s="359">
        <f>IF(Scharniere[[#This Row],[Bohrbild]]=select!$A$989,1,0)</f>
        <v>0</v>
      </c>
      <c r="Z271" s="359">
        <f>IF(IF(Scharniere[[#This Row],[Anschrauben]]=1,1,IF(Scharniere[[#This Row],[Einpressen]]=1,2,IF(Scharniere[[#This Row],[Quick]]=1,3,IF(Scharniere[[#This Row],[Werkzeuglos]]=1,4,0))))=select!$A$1003,1,0)</f>
        <v>1</v>
      </c>
      <c r="AA2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1" s="359">
        <f ca="1">IF(select!$K$980="*",Scharniere[[#This Row],[AG Ges2]],Scharniere[[#This Row],[AG Ges1]])</f>
        <v>0</v>
      </c>
      <c r="AE271" s="451">
        <f ca="1">IF(AND(Scharniere[[#This Row],[Scharnierart]]=select!$A$1485,Scharniere[[#This Row],[Gruppenschlüssel]]=select!$B$1485)=TRUE,1,0)</f>
        <v>0</v>
      </c>
      <c r="AF271" s="451">
        <f ca="1">IF(AND(Scharniere[[#This Row],[Scharnierart]]=select!$A$1486,Scharniere[[#This Row],[Gruppenschlüssel]]=select!$B$1486)=TRUE,1,0)</f>
        <v>0</v>
      </c>
      <c r="AG271" s="451">
        <f ca="1">IF(AND(Scharniere[[#This Row],[Scharnierart]]=select!$A$1487,Scharniere[[#This Row],[Gruppenschlüssel]]=select!$B$1487)=TRUE,1,0)</f>
        <v>0</v>
      </c>
      <c r="AH271" s="451">
        <f ca="1">IF(AND(Scharniere[[#This Row],[Scharnierart]]=select!$A$1488,Scharniere[[#This Row],[Gruppenschlüssel]]=select!$B$1488)=TRUE,1,0)</f>
        <v>0</v>
      </c>
      <c r="AI271" s="451">
        <f ca="1">IF(SUM(Scharniere[[#This Row],[konf Scharnier 1]:[konf Scharnier 4]])&gt;0,1,0)</f>
        <v>0</v>
      </c>
      <c r="AJ271" s="451"/>
      <c r="AK271" s="451"/>
      <c r="AL271" s="451"/>
      <c r="AM271" s="451"/>
      <c r="AN271" s="451"/>
      <c r="AO271" s="146">
        <v>1</v>
      </c>
      <c r="AP271" s="146">
        <v>2</v>
      </c>
      <c r="AQ271" s="10" t="str">
        <f ca="1">Sprache!$A$114</f>
        <v>Tiomos Scharnier TT Click-on</v>
      </c>
      <c r="AR271" t="s">
        <v>1934</v>
      </c>
      <c r="AS271" t="str">
        <f ca="1">Sprache!$A$103</f>
        <v>Tiomos Click-On Scharniere</v>
      </c>
      <c r="AT271">
        <v>9.5</v>
      </c>
      <c r="AU271" s="34" t="s">
        <v>10</v>
      </c>
      <c r="AV271">
        <v>120</v>
      </c>
      <c r="AW271" s="10">
        <v>0</v>
      </c>
      <c r="AX271">
        <v>0</v>
      </c>
      <c r="AY271">
        <v>1</v>
      </c>
      <c r="AZ271" s="10">
        <v>1</v>
      </c>
      <c r="BA271">
        <v>0</v>
      </c>
      <c r="BB271">
        <v>0</v>
      </c>
      <c r="BC271">
        <v>0</v>
      </c>
      <c r="BD271" s="143" t="s">
        <v>676</v>
      </c>
      <c r="BG271"/>
    </row>
    <row r="272" spans="1:59" ht="14.25" customHeight="1" x14ac:dyDescent="0.25">
      <c r="A272" s="37" t="str">
        <f>LEFT(Scharniere[[#This Row],[ArtikelNR]],4)</f>
        <v>F034</v>
      </c>
      <c r="B272" s="35" t="str">
        <f>MID(Scharniere[[#This Row],[ArtikelNR]],5,3)</f>
        <v>139</v>
      </c>
      <c r="C272" s="37" t="str">
        <f>RIGHT(Scharniere[[#This Row],[ArtikelNR]],3)</f>
        <v>486</v>
      </c>
      <c r="D272" s="35">
        <f>IF(AND(Scharniere[[#This Row],[Gruppenschlüssel]]=select!$A$44,Scharniere[[#This Row],[Scharnierart]]=1)=TRUE,1,0)</f>
        <v>0</v>
      </c>
      <c r="E2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2" s="35">
        <f>IF(select!$F$57=IF(Scharniere[[#This Row],[mit Dämpfung]]=1,1,IF(Scharniere[[#This Row],[ohne Dämpfung]]=1,2,IF(Scharniere[[#This Row],[ohne Feder]]=1,3,0))),1,0)</f>
        <v>0</v>
      </c>
      <c r="G272" s="35">
        <f>IF(Scharniere[[#This Row],[Bohrbild]]=select!$V$43,1,0)</f>
        <v>0</v>
      </c>
      <c r="H272" s="35">
        <f>IF(IF(Scharniere[[#This Row],[Anschrauben]]=1,1,IF(Scharniere[[#This Row],[Einpressen]]=1,2,IF(Scharniere[[#This Row],[Quick]]=1,3,IF(Scharniere[[#This Row],[Werkzeuglos]]=1,4,0))))=select!$F$48,1,0)</f>
        <v>0</v>
      </c>
      <c r="I2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2" s="149">
        <f>IF(AND(Scharniere[[#This Row],[Scharnierart]]=2,Scharniere[[#This Row],[Gruppenschlüssel]]=select!$A$318)=TRUE,1,0)</f>
        <v>0</v>
      </c>
      <c r="K272" s="221">
        <f ca="1">IF(select!$O$424&lt;6,1,0)</f>
        <v>1</v>
      </c>
      <c r="L272" s="139">
        <f>IF(select!$A$362=IF(Scharniere[[#This Row],[mit Dämpfung]]=1,1,IF(Scharniere[[#This Row],[ohne Dämpfung]]=1,2,IF(Scharniere[[#This Row],[ohne Feder]]=1,3,0))),1,0)</f>
        <v>0</v>
      </c>
      <c r="M272" s="135">
        <f>IF(Scharniere[[#This Row],[Bohrbild]]=select!$O$334,1,0)</f>
        <v>0</v>
      </c>
      <c r="N272" s="135">
        <f>IF(IF(Scharniere[[#This Row],[Anschrauben]]=1,1,IF(Scharniere[[#This Row],[Einpressen]]=1,2,IF(Scharniere[[#This Row],[Quick]]=1,3,IF(Scharniere[[#This Row],[Werkzeuglos]]=1,4,0))))=select!$E$362,1,0)</f>
        <v>0</v>
      </c>
      <c r="O2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2" s="298">
        <f>IF(AND(Scharniere[[#This Row],[Scharnierart]]=3,Scharniere[[#This Row],[Gruppenschlüssel]]=select!$A$747)=TRUE,1,0)</f>
        <v>0</v>
      </c>
      <c r="Q272" s="298">
        <f ca="1">IF(select!$O$945&lt;6,1,0)</f>
        <v>1</v>
      </c>
      <c r="R272" s="298">
        <f>IF(select!$A$778=IF(Scharniere[[#This Row],[mit Dämpfung]]=1,1,IF(Scharniere[[#This Row],[ohne Dämpfung]]=1,2,IF(Scharniere[[#This Row],[ohne Feder]]=1,3,0))),1,0)</f>
        <v>1</v>
      </c>
      <c r="S272" s="298">
        <f>IF(Scharniere[[#This Row],[Bohrbild]]=select!$A$755,1,0)</f>
        <v>0</v>
      </c>
      <c r="T272" s="298">
        <f>IF(IF(Scharniere[[#This Row],[Anschrauben]]=1,1,IF(Scharniere[[#This Row],[Einpressen]]=1,2,IF(Scharniere[[#This Row],[Quick]]=1,3,IF(Scharniere[[#This Row],[Werkzeuglos]]=1,4,0))))=select!$A$769,1,0)</f>
        <v>0</v>
      </c>
      <c r="U2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2" s="359">
        <f>IF(AND(Scharniere[[#This Row],[Scharnierart]]=4,Scharniere[[#This Row],[Gruppenschlüssel]]=select!$A$981)=TRUE,1,0)</f>
        <v>0</v>
      </c>
      <c r="W272" s="359">
        <f ca="1">IF(select!$O$1185&lt;6,1,0)</f>
        <v>1</v>
      </c>
      <c r="X272" s="359">
        <f>IF(select!$A$1012=IF(Scharniere[[#This Row],[mit Dämpfung]]=1,1,IF(Scharniere[[#This Row],[ohne Dämpfung]]=1,2,IF(Scharniere[[#This Row],[ohne Feder]]=1,3,0))),1,0)</f>
        <v>1</v>
      </c>
      <c r="Y272" s="359">
        <f>IF(Scharniere[[#This Row],[Bohrbild]]=select!$A$989,1,0)</f>
        <v>0</v>
      </c>
      <c r="Z272" s="359">
        <f>IF(IF(Scharniere[[#This Row],[Anschrauben]]=1,1,IF(Scharniere[[#This Row],[Einpressen]]=1,2,IF(Scharniere[[#This Row],[Quick]]=1,3,IF(Scharniere[[#This Row],[Werkzeuglos]]=1,4,0))))=select!$A$1003,1,0)</f>
        <v>0</v>
      </c>
      <c r="AA2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2" s="359">
        <f ca="1">IF(select!$K$980="*",Scharniere[[#This Row],[AG Ges2]],Scharniere[[#This Row],[AG Ges1]])</f>
        <v>0</v>
      </c>
      <c r="AE272" s="451">
        <f ca="1">IF(AND(Scharniere[[#This Row],[Scharnierart]]=select!$A$1485,Scharniere[[#This Row],[Gruppenschlüssel]]=select!$B$1485)=TRUE,1,0)</f>
        <v>0</v>
      </c>
      <c r="AF272" s="451">
        <f ca="1">IF(AND(Scharniere[[#This Row],[Scharnierart]]=select!$A$1486,Scharniere[[#This Row],[Gruppenschlüssel]]=select!$B$1486)=TRUE,1,0)</f>
        <v>0</v>
      </c>
      <c r="AG272" s="451">
        <f ca="1">IF(AND(Scharniere[[#This Row],[Scharnierart]]=select!$A$1487,Scharniere[[#This Row],[Gruppenschlüssel]]=select!$B$1487)=TRUE,1,0)</f>
        <v>0</v>
      </c>
      <c r="AH272" s="451">
        <f ca="1">IF(AND(Scharniere[[#This Row],[Scharnierart]]=select!$A$1488,Scharniere[[#This Row],[Gruppenschlüssel]]=select!$B$1488)=TRUE,1,0)</f>
        <v>0</v>
      </c>
      <c r="AI272" s="451">
        <f ca="1">IF(SUM(Scharniere[[#This Row],[konf Scharnier 1]:[konf Scharnier 4]])&gt;0,1,0)</f>
        <v>0</v>
      </c>
      <c r="AJ272" s="451"/>
      <c r="AK272" s="451"/>
      <c r="AL272" s="451"/>
      <c r="AM272" s="451"/>
      <c r="AN272" s="451"/>
      <c r="AO272" s="146">
        <v>1</v>
      </c>
      <c r="AP272" s="146">
        <v>2</v>
      </c>
      <c r="AQ272" s="10" t="str">
        <f ca="1">Sprache!$A$111</f>
        <v>Tiomos Scharnier T Impresso</v>
      </c>
      <c r="AR272" t="s">
        <v>1935</v>
      </c>
      <c r="AS272" t="str">
        <f ca="1">Sprache!$A$116</f>
        <v>Tiomos Impresso Scharniere</v>
      </c>
      <c r="AT272">
        <v>9.5</v>
      </c>
      <c r="AU272" t="s">
        <v>10</v>
      </c>
      <c r="AV272">
        <v>120</v>
      </c>
      <c r="AW272" s="10">
        <v>0</v>
      </c>
      <c r="AX272">
        <v>1</v>
      </c>
      <c r="AY272">
        <v>0</v>
      </c>
      <c r="AZ272" s="10">
        <v>0</v>
      </c>
      <c r="BA272">
        <v>0</v>
      </c>
      <c r="BB272">
        <v>0</v>
      </c>
      <c r="BC272">
        <v>1</v>
      </c>
      <c r="BD272" s="143" t="s">
        <v>171</v>
      </c>
      <c r="BG272"/>
    </row>
    <row r="273" spans="1:59" ht="14.25" customHeight="1" x14ac:dyDescent="0.25">
      <c r="A273" s="37" t="str">
        <f>LEFT(Scharniere[[#This Row],[ArtikelNR]],4)</f>
        <v>F034</v>
      </c>
      <c r="B273" s="35" t="str">
        <f>MID(Scharniere[[#This Row],[ArtikelNR]],5,3)</f>
        <v>139</v>
      </c>
      <c r="C273" s="37" t="str">
        <f>RIGHT(Scharniere[[#This Row],[ArtikelNR]],3)</f>
        <v>486</v>
      </c>
      <c r="D273" s="35">
        <f>IF(AND(Scharniere[[#This Row],[Gruppenschlüssel]]=select!$A$44,Scharniere[[#This Row],[Scharnierart]]=1)=TRUE,1,0)</f>
        <v>0</v>
      </c>
      <c r="E2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3" s="35">
        <f>IF(select!$F$57=IF(Scharniere[[#This Row],[mit Dämpfung]]=1,1,IF(Scharniere[[#This Row],[ohne Dämpfung]]=1,2,IF(Scharniere[[#This Row],[ohne Feder]]=1,3,0))),1,0)</f>
        <v>0</v>
      </c>
      <c r="G273" s="35">
        <f>IF(Scharniere[[#This Row],[Bohrbild]]=select!$V$43,1,0)</f>
        <v>0</v>
      </c>
      <c r="H273" s="35">
        <f>IF(IF(Scharniere[[#This Row],[Anschrauben]]=1,1,IF(Scharniere[[#This Row],[Einpressen]]=1,2,IF(Scharniere[[#This Row],[Quick]]=1,3,IF(Scharniere[[#This Row],[Werkzeuglos]]=1,4,0))))=select!$F$48,1,0)</f>
        <v>0</v>
      </c>
      <c r="I2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3" s="149">
        <f>IF(AND(Scharniere[[#This Row],[Scharnierart]]=2,Scharniere[[#This Row],[Gruppenschlüssel]]=select!$A$318)=TRUE,1,0)</f>
        <v>0</v>
      </c>
      <c r="K273" s="221">
        <f ca="1">IF(select!$O$424&lt;6,1,0)</f>
        <v>1</v>
      </c>
      <c r="L273" s="139">
        <f>IF(select!$A$362=IF(Scharniere[[#This Row],[mit Dämpfung]]=1,1,IF(Scharniere[[#This Row],[ohne Dämpfung]]=1,2,IF(Scharniere[[#This Row],[ohne Feder]]=1,3,0))),1,0)</f>
        <v>0</v>
      </c>
      <c r="M273" s="135">
        <f>IF(Scharniere[[#This Row],[Bohrbild]]=select!$O$334,1,0)</f>
        <v>0</v>
      </c>
      <c r="N273" s="135">
        <f>IF(IF(Scharniere[[#This Row],[Anschrauben]]=1,1,IF(Scharniere[[#This Row],[Einpressen]]=1,2,IF(Scharniere[[#This Row],[Quick]]=1,3,IF(Scharniere[[#This Row],[Werkzeuglos]]=1,4,0))))=select!$E$362,1,0)</f>
        <v>0</v>
      </c>
      <c r="O2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3" s="298">
        <f>IF(AND(Scharniere[[#This Row],[Scharnierart]]=3,Scharniere[[#This Row],[Gruppenschlüssel]]=select!$A$747)=TRUE,1,0)</f>
        <v>0</v>
      </c>
      <c r="Q273" s="298">
        <f ca="1">IF(select!$O$945&lt;6,1,0)</f>
        <v>1</v>
      </c>
      <c r="R273" s="298">
        <f>IF(select!$A$778=IF(Scharniere[[#This Row],[mit Dämpfung]]=1,1,IF(Scharniere[[#This Row],[ohne Dämpfung]]=1,2,IF(Scharniere[[#This Row],[ohne Feder]]=1,3,0))),1,0)</f>
        <v>1</v>
      </c>
      <c r="S273" s="298">
        <f>IF(Scharniere[[#This Row],[Bohrbild]]=select!$A$755,1,0)</f>
        <v>0</v>
      </c>
      <c r="T273" s="298">
        <f>IF(IF(Scharniere[[#This Row],[Anschrauben]]=1,1,IF(Scharniere[[#This Row],[Einpressen]]=1,2,IF(Scharniere[[#This Row],[Quick]]=1,3,IF(Scharniere[[#This Row],[Werkzeuglos]]=1,4,0))))=select!$A$769,1,0)</f>
        <v>0</v>
      </c>
      <c r="U2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3" s="359">
        <f>IF(AND(Scharniere[[#This Row],[Scharnierart]]=4,Scharniere[[#This Row],[Gruppenschlüssel]]=select!$A$981)=TRUE,1,0)</f>
        <v>0</v>
      </c>
      <c r="W273" s="359">
        <f ca="1">IF(select!$O$1185&lt;6,1,0)</f>
        <v>1</v>
      </c>
      <c r="X273" s="359">
        <f>IF(select!$A$1012=IF(Scharniere[[#This Row],[mit Dämpfung]]=1,1,IF(Scharniere[[#This Row],[ohne Dämpfung]]=1,2,IF(Scharniere[[#This Row],[ohne Feder]]=1,3,0))),1,0)</f>
        <v>1</v>
      </c>
      <c r="Y273" s="359">
        <f>IF(Scharniere[[#This Row],[Bohrbild]]=select!$A$989,1,0)</f>
        <v>0</v>
      </c>
      <c r="Z273" s="359">
        <f>IF(IF(Scharniere[[#This Row],[Anschrauben]]=1,1,IF(Scharniere[[#This Row],[Einpressen]]=1,2,IF(Scharniere[[#This Row],[Quick]]=1,3,IF(Scharniere[[#This Row],[Werkzeuglos]]=1,4,0))))=select!$A$1003,1,0)</f>
        <v>0</v>
      </c>
      <c r="AA2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3" s="359">
        <f ca="1">IF(select!$K$980="*",Scharniere[[#This Row],[AG Ges2]],Scharniere[[#This Row],[AG Ges1]])</f>
        <v>0</v>
      </c>
      <c r="AE273" s="451">
        <f ca="1">IF(AND(Scharniere[[#This Row],[Scharnierart]]=select!$A$1485,Scharniere[[#This Row],[Gruppenschlüssel]]=select!$B$1485)=TRUE,1,0)</f>
        <v>0</v>
      </c>
      <c r="AF273" s="451">
        <f ca="1">IF(AND(Scharniere[[#This Row],[Scharnierart]]=select!$A$1486,Scharniere[[#This Row],[Gruppenschlüssel]]=select!$B$1486)=TRUE,1,0)</f>
        <v>0</v>
      </c>
      <c r="AG273" s="451">
        <f ca="1">IF(AND(Scharniere[[#This Row],[Scharnierart]]=select!$A$1487,Scharniere[[#This Row],[Gruppenschlüssel]]=select!$B$1487)=TRUE,1,0)</f>
        <v>0</v>
      </c>
      <c r="AH273" s="451">
        <f ca="1">IF(AND(Scharniere[[#This Row],[Scharnierart]]=select!$A$1488,Scharniere[[#This Row],[Gruppenschlüssel]]=select!$B$1488)=TRUE,1,0)</f>
        <v>0</v>
      </c>
      <c r="AI273" s="451">
        <f ca="1">IF(SUM(Scharniere[[#This Row],[konf Scharnier 1]:[konf Scharnier 4]])&gt;0,1,0)</f>
        <v>0</v>
      </c>
      <c r="AJ273" s="451"/>
      <c r="AK273" s="451"/>
      <c r="AL273" s="451"/>
      <c r="AM273" s="451"/>
      <c r="AN273" s="451"/>
      <c r="AO273" s="146">
        <v>1</v>
      </c>
      <c r="AP273" s="146">
        <v>2</v>
      </c>
      <c r="AQ273" s="10" t="str">
        <f ca="1">Sprache!$A$111</f>
        <v>Tiomos Scharnier T Impresso</v>
      </c>
      <c r="AR273" t="s">
        <v>1935</v>
      </c>
      <c r="AS273" t="str">
        <f ca="1">Sprache!$A$116</f>
        <v>Tiomos Impresso Scharniere</v>
      </c>
      <c r="AT273">
        <v>9.5</v>
      </c>
      <c r="AU273" s="34" t="s">
        <v>11</v>
      </c>
      <c r="AV273">
        <v>120</v>
      </c>
      <c r="AW273" s="10">
        <v>0</v>
      </c>
      <c r="AX273">
        <v>1</v>
      </c>
      <c r="AY273">
        <v>0</v>
      </c>
      <c r="AZ273" s="10">
        <v>0</v>
      </c>
      <c r="BA273">
        <v>0</v>
      </c>
      <c r="BB273">
        <v>0</v>
      </c>
      <c r="BC273">
        <v>1</v>
      </c>
      <c r="BD273" s="143" t="s">
        <v>171</v>
      </c>
      <c r="BG273"/>
    </row>
    <row r="274" spans="1:59" ht="14.25" customHeight="1" x14ac:dyDescent="0.25">
      <c r="A274" s="37" t="str">
        <f>LEFT(Scharniere[[#This Row],[ArtikelNR]],4)</f>
        <v>F017</v>
      </c>
      <c r="B274" s="35" t="str">
        <f>MID(Scharniere[[#This Row],[ArtikelNR]],5,3)</f>
        <v>139</v>
      </c>
      <c r="C274" s="37" t="str">
        <f>RIGHT(Scharniere[[#This Row],[ArtikelNR]],3)</f>
        <v>515</v>
      </c>
      <c r="D274" s="35">
        <f>IF(AND(Scharniere[[#This Row],[Gruppenschlüssel]]=select!$A$44,Scharniere[[#This Row],[Scharnierart]]=1)=TRUE,1,0)</f>
        <v>0</v>
      </c>
      <c r="E2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4" s="35">
        <f>IF(select!$F$57=IF(Scharniere[[#This Row],[mit Dämpfung]]=1,1,IF(Scharniere[[#This Row],[ohne Dämpfung]]=1,2,IF(Scharniere[[#This Row],[ohne Feder]]=1,3,0))),1,0)</f>
        <v>0</v>
      </c>
      <c r="G274" s="35">
        <f>IF(Scharniere[[#This Row],[Bohrbild]]=select!$V$43,1,0)</f>
        <v>0</v>
      </c>
      <c r="H274" s="35">
        <f>IF(IF(Scharniere[[#This Row],[Anschrauben]]=1,1,IF(Scharniere[[#This Row],[Einpressen]]=1,2,IF(Scharniere[[#This Row],[Quick]]=1,3,IF(Scharniere[[#This Row],[Werkzeuglos]]=1,4,0))))=select!$F$48,1,0)</f>
        <v>0</v>
      </c>
      <c r="I2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4" s="149">
        <f>IF(AND(Scharniere[[#This Row],[Scharnierart]]=2,Scharniere[[#This Row],[Gruppenschlüssel]]=select!$A$318)=TRUE,1,0)</f>
        <v>0</v>
      </c>
      <c r="K274" s="221">
        <f ca="1">IF(select!$O$424&lt;6,1,0)</f>
        <v>1</v>
      </c>
      <c r="L274" s="139">
        <f>IF(select!$A$362=IF(Scharniere[[#This Row],[mit Dämpfung]]=1,1,IF(Scharniere[[#This Row],[ohne Dämpfung]]=1,2,IF(Scharniere[[#This Row],[ohne Feder]]=1,3,0))),1,0)</f>
        <v>1</v>
      </c>
      <c r="M274" s="135">
        <f>IF(Scharniere[[#This Row],[Bohrbild]]=select!$O$334,1,0)</f>
        <v>0</v>
      </c>
      <c r="N274" s="135">
        <f>IF(IF(Scharniere[[#This Row],[Anschrauben]]=1,1,IF(Scharniere[[#This Row],[Einpressen]]=1,2,IF(Scharniere[[#This Row],[Quick]]=1,3,IF(Scharniere[[#This Row],[Werkzeuglos]]=1,4,0))))=select!$E$362,1,0)</f>
        <v>0</v>
      </c>
      <c r="O2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4" s="298">
        <f>IF(AND(Scharniere[[#This Row],[Scharnierart]]=3,Scharniere[[#This Row],[Gruppenschlüssel]]=select!$A$747)=TRUE,1,0)</f>
        <v>0</v>
      </c>
      <c r="Q274" s="298">
        <f ca="1">IF(select!$O$945&lt;6,1,0)</f>
        <v>1</v>
      </c>
      <c r="R274" s="298">
        <f>IF(select!$A$778=IF(Scharniere[[#This Row],[mit Dämpfung]]=1,1,IF(Scharniere[[#This Row],[ohne Dämpfung]]=1,2,IF(Scharniere[[#This Row],[ohne Feder]]=1,3,0))),1,0)</f>
        <v>0</v>
      </c>
      <c r="S274" s="298">
        <f>IF(Scharniere[[#This Row],[Bohrbild]]=select!$A$755,1,0)</f>
        <v>0</v>
      </c>
      <c r="T274" s="298">
        <f>IF(IF(Scharniere[[#This Row],[Anschrauben]]=1,1,IF(Scharniere[[#This Row],[Einpressen]]=1,2,IF(Scharniere[[#This Row],[Quick]]=1,3,IF(Scharniere[[#This Row],[Werkzeuglos]]=1,4,0))))=select!$A$769,1,0)</f>
        <v>0</v>
      </c>
      <c r="U2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4" s="359">
        <f>IF(AND(Scharniere[[#This Row],[Scharnierart]]=4,Scharniere[[#This Row],[Gruppenschlüssel]]=select!$A$981)=TRUE,1,0)</f>
        <v>0</v>
      </c>
      <c r="W274" s="359">
        <f ca="1">IF(select!$O$1185&lt;6,1,0)</f>
        <v>1</v>
      </c>
      <c r="X274" s="359">
        <f>IF(select!$A$1012=IF(Scharniere[[#This Row],[mit Dämpfung]]=1,1,IF(Scharniere[[#This Row],[ohne Dämpfung]]=1,2,IF(Scharniere[[#This Row],[ohne Feder]]=1,3,0))),1,0)</f>
        <v>0</v>
      </c>
      <c r="Y274" s="359">
        <f>IF(Scharniere[[#This Row],[Bohrbild]]=select!$A$989,1,0)</f>
        <v>0</v>
      </c>
      <c r="Z274" s="359">
        <f>IF(IF(Scharniere[[#This Row],[Anschrauben]]=1,1,IF(Scharniere[[#This Row],[Einpressen]]=1,2,IF(Scharniere[[#This Row],[Quick]]=1,3,IF(Scharniere[[#This Row],[Werkzeuglos]]=1,4,0))))=select!$A$1003,1,0)</f>
        <v>0</v>
      </c>
      <c r="AA2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4" s="359">
        <f ca="1">IF(select!$K$980="*",Scharniere[[#This Row],[AG Ges2]],Scharniere[[#This Row],[AG Ges1]])</f>
        <v>0</v>
      </c>
      <c r="AE274" s="451">
        <f ca="1">IF(AND(Scharniere[[#This Row],[Scharnierart]]=select!$A$1485,Scharniere[[#This Row],[Gruppenschlüssel]]=select!$B$1485)=TRUE,1,0)</f>
        <v>0</v>
      </c>
      <c r="AF274" s="451">
        <f ca="1">IF(AND(Scharniere[[#This Row],[Scharnierart]]=select!$A$1486,Scharniere[[#This Row],[Gruppenschlüssel]]=select!$B$1486)=TRUE,1,0)</f>
        <v>0</v>
      </c>
      <c r="AG274" s="451">
        <f ca="1">IF(AND(Scharniere[[#This Row],[Scharnierart]]=select!$A$1487,Scharniere[[#This Row],[Gruppenschlüssel]]=select!$B$1487)=TRUE,1,0)</f>
        <v>0</v>
      </c>
      <c r="AH274" s="451">
        <f ca="1">IF(AND(Scharniere[[#This Row],[Scharnierart]]=select!$A$1488,Scharniere[[#This Row],[Gruppenschlüssel]]=select!$B$1488)=TRUE,1,0)</f>
        <v>0</v>
      </c>
      <c r="AI274" s="451">
        <f ca="1">IF(SUM(Scharniere[[#This Row],[konf Scharnier 1]:[konf Scharnier 4]])&gt;0,1,0)</f>
        <v>0</v>
      </c>
      <c r="AJ274" s="451"/>
      <c r="AK274" s="451"/>
      <c r="AL274" s="451"/>
      <c r="AM274" s="451"/>
      <c r="AN274" s="451"/>
      <c r="AO274" s="146">
        <v>1</v>
      </c>
      <c r="AP274" s="146">
        <v>2</v>
      </c>
      <c r="AQ274" s="10" t="str">
        <f ca="1">Sprache!$A$113</f>
        <v>Tiomos Scharnier TS Impresso</v>
      </c>
      <c r="AR274" t="s">
        <v>1935</v>
      </c>
      <c r="AS274" t="str">
        <f ca="1">Sprache!$A$116</f>
        <v>Tiomos Impresso Scharniere</v>
      </c>
      <c r="AT274">
        <v>9.5</v>
      </c>
      <c r="AU274" s="34" t="s">
        <v>10</v>
      </c>
      <c r="AV274">
        <v>120</v>
      </c>
      <c r="AW274" s="10">
        <v>1</v>
      </c>
      <c r="AX274">
        <v>0</v>
      </c>
      <c r="AY274">
        <v>0</v>
      </c>
      <c r="AZ274" s="10">
        <v>0</v>
      </c>
      <c r="BA274">
        <v>0</v>
      </c>
      <c r="BB274">
        <v>0</v>
      </c>
      <c r="BC274">
        <v>1</v>
      </c>
      <c r="BD274" s="143" t="s">
        <v>120</v>
      </c>
      <c r="BG274"/>
    </row>
    <row r="275" spans="1:59" ht="14.25" customHeight="1" x14ac:dyDescent="0.25">
      <c r="A275" s="37" t="str">
        <f>LEFT(Scharniere[[#This Row],[ArtikelNR]],4)</f>
        <v>F017</v>
      </c>
      <c r="B275" s="35" t="str">
        <f>MID(Scharniere[[#This Row],[ArtikelNR]],5,3)</f>
        <v>139</v>
      </c>
      <c r="C275" s="37" t="str">
        <f>RIGHT(Scharniere[[#This Row],[ArtikelNR]],3)</f>
        <v>515</v>
      </c>
      <c r="D275" s="35">
        <f>IF(AND(Scharniere[[#This Row],[Gruppenschlüssel]]=select!$A$44,Scharniere[[#This Row],[Scharnierart]]=1)=TRUE,1,0)</f>
        <v>0</v>
      </c>
      <c r="E2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5" s="35">
        <f>IF(select!$F$57=IF(Scharniere[[#This Row],[mit Dämpfung]]=1,1,IF(Scharniere[[#This Row],[ohne Dämpfung]]=1,2,IF(Scharniere[[#This Row],[ohne Feder]]=1,3,0))),1,0)</f>
        <v>0</v>
      </c>
      <c r="G275" s="35">
        <f>IF(Scharniere[[#This Row],[Bohrbild]]=select!$V$43,1,0)</f>
        <v>0</v>
      </c>
      <c r="H275" s="35">
        <f>IF(IF(Scharniere[[#This Row],[Anschrauben]]=1,1,IF(Scharniere[[#This Row],[Einpressen]]=1,2,IF(Scharniere[[#This Row],[Quick]]=1,3,IF(Scharniere[[#This Row],[Werkzeuglos]]=1,4,0))))=select!$F$48,1,0)</f>
        <v>0</v>
      </c>
      <c r="I2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5" s="149">
        <f>IF(AND(Scharniere[[#This Row],[Scharnierart]]=2,Scharniere[[#This Row],[Gruppenschlüssel]]=select!$A$318)=TRUE,1,0)</f>
        <v>0</v>
      </c>
      <c r="K275" s="221">
        <f ca="1">IF(select!$O$424&lt;6,1,0)</f>
        <v>1</v>
      </c>
      <c r="L275" s="139">
        <f>IF(select!$A$362=IF(Scharniere[[#This Row],[mit Dämpfung]]=1,1,IF(Scharniere[[#This Row],[ohne Dämpfung]]=1,2,IF(Scharniere[[#This Row],[ohne Feder]]=1,3,0))),1,0)</f>
        <v>1</v>
      </c>
      <c r="M275" s="135">
        <f>IF(Scharniere[[#This Row],[Bohrbild]]=select!$O$334,1,0)</f>
        <v>0</v>
      </c>
      <c r="N275" s="135">
        <f>IF(IF(Scharniere[[#This Row],[Anschrauben]]=1,1,IF(Scharniere[[#This Row],[Einpressen]]=1,2,IF(Scharniere[[#This Row],[Quick]]=1,3,IF(Scharniere[[#This Row],[Werkzeuglos]]=1,4,0))))=select!$E$362,1,0)</f>
        <v>0</v>
      </c>
      <c r="O2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5" s="298">
        <f>IF(AND(Scharniere[[#This Row],[Scharnierart]]=3,Scharniere[[#This Row],[Gruppenschlüssel]]=select!$A$747)=TRUE,1,0)</f>
        <v>0</v>
      </c>
      <c r="Q275" s="298">
        <f ca="1">IF(select!$O$945&lt;6,1,0)</f>
        <v>1</v>
      </c>
      <c r="R275" s="298">
        <f>IF(select!$A$778=IF(Scharniere[[#This Row],[mit Dämpfung]]=1,1,IF(Scharniere[[#This Row],[ohne Dämpfung]]=1,2,IF(Scharniere[[#This Row],[ohne Feder]]=1,3,0))),1,0)</f>
        <v>0</v>
      </c>
      <c r="S275" s="298">
        <f>IF(Scharniere[[#This Row],[Bohrbild]]=select!$A$755,1,0)</f>
        <v>0</v>
      </c>
      <c r="T275" s="298">
        <f>IF(IF(Scharniere[[#This Row],[Anschrauben]]=1,1,IF(Scharniere[[#This Row],[Einpressen]]=1,2,IF(Scharniere[[#This Row],[Quick]]=1,3,IF(Scharniere[[#This Row],[Werkzeuglos]]=1,4,0))))=select!$A$769,1,0)</f>
        <v>0</v>
      </c>
      <c r="U2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5" s="359">
        <f>IF(AND(Scharniere[[#This Row],[Scharnierart]]=4,Scharniere[[#This Row],[Gruppenschlüssel]]=select!$A$981)=TRUE,1,0)</f>
        <v>0</v>
      </c>
      <c r="W275" s="359">
        <f ca="1">IF(select!$O$1185&lt;6,1,0)</f>
        <v>1</v>
      </c>
      <c r="X275" s="359">
        <f>IF(select!$A$1012=IF(Scharniere[[#This Row],[mit Dämpfung]]=1,1,IF(Scharniere[[#This Row],[ohne Dämpfung]]=1,2,IF(Scharniere[[#This Row],[ohne Feder]]=1,3,0))),1,0)</f>
        <v>0</v>
      </c>
      <c r="Y275" s="359">
        <f>IF(Scharniere[[#This Row],[Bohrbild]]=select!$A$989,1,0)</f>
        <v>0</v>
      </c>
      <c r="Z275" s="359">
        <f>IF(IF(Scharniere[[#This Row],[Anschrauben]]=1,1,IF(Scharniere[[#This Row],[Einpressen]]=1,2,IF(Scharniere[[#This Row],[Quick]]=1,3,IF(Scharniere[[#This Row],[Werkzeuglos]]=1,4,0))))=select!$A$1003,1,0)</f>
        <v>0</v>
      </c>
      <c r="AA2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5" s="359">
        <f ca="1">IF(select!$K$980="*",Scharniere[[#This Row],[AG Ges2]],Scharniere[[#This Row],[AG Ges1]])</f>
        <v>0</v>
      </c>
      <c r="AE275" s="451">
        <f ca="1">IF(AND(Scharniere[[#This Row],[Scharnierart]]=select!$A$1485,Scharniere[[#This Row],[Gruppenschlüssel]]=select!$B$1485)=TRUE,1,0)</f>
        <v>0</v>
      </c>
      <c r="AF275" s="451">
        <f ca="1">IF(AND(Scharniere[[#This Row],[Scharnierart]]=select!$A$1486,Scharniere[[#This Row],[Gruppenschlüssel]]=select!$B$1486)=TRUE,1,0)</f>
        <v>0</v>
      </c>
      <c r="AG275" s="451">
        <f ca="1">IF(AND(Scharniere[[#This Row],[Scharnierart]]=select!$A$1487,Scharniere[[#This Row],[Gruppenschlüssel]]=select!$B$1487)=TRUE,1,0)</f>
        <v>0</v>
      </c>
      <c r="AH275" s="451">
        <f ca="1">IF(AND(Scharniere[[#This Row],[Scharnierart]]=select!$A$1488,Scharniere[[#This Row],[Gruppenschlüssel]]=select!$B$1488)=TRUE,1,0)</f>
        <v>0</v>
      </c>
      <c r="AI275" s="451">
        <f ca="1">IF(SUM(Scharniere[[#This Row],[konf Scharnier 1]:[konf Scharnier 4]])&gt;0,1,0)</f>
        <v>0</v>
      </c>
      <c r="AJ275" s="451"/>
      <c r="AK275" s="451"/>
      <c r="AL275" s="451"/>
      <c r="AM275" s="451"/>
      <c r="AN275" s="451"/>
      <c r="AO275" s="146">
        <v>1</v>
      </c>
      <c r="AP275" s="146">
        <v>2</v>
      </c>
      <c r="AQ275" s="10" t="str">
        <f ca="1">Sprache!$A$113</f>
        <v>Tiomos Scharnier TS Impresso</v>
      </c>
      <c r="AR275" t="s">
        <v>1935</v>
      </c>
      <c r="AS275" t="str">
        <f ca="1">Sprache!$A$116</f>
        <v>Tiomos Impresso Scharniere</v>
      </c>
      <c r="AT275">
        <v>9.5</v>
      </c>
      <c r="AU275" t="s">
        <v>11</v>
      </c>
      <c r="AV275">
        <v>120</v>
      </c>
      <c r="AW275" s="10">
        <v>1</v>
      </c>
      <c r="AX275">
        <v>0</v>
      </c>
      <c r="AY275">
        <v>0</v>
      </c>
      <c r="AZ275" s="10">
        <v>0</v>
      </c>
      <c r="BA275">
        <v>0</v>
      </c>
      <c r="BB275">
        <v>0</v>
      </c>
      <c r="BC275">
        <v>1</v>
      </c>
      <c r="BD275" s="143" t="s">
        <v>120</v>
      </c>
      <c r="BG275"/>
    </row>
    <row r="276" spans="1:59" ht="14.25" customHeight="1" x14ac:dyDescent="0.25">
      <c r="A276" s="37" t="str">
        <f>LEFT(Scharniere[[#This Row],[ArtikelNR]],4)</f>
        <v>F035</v>
      </c>
      <c r="B276" s="35" t="str">
        <f>MID(Scharniere[[#This Row],[ArtikelNR]],5,3)</f>
        <v>139</v>
      </c>
      <c r="C276" s="37" t="str">
        <f>RIGHT(Scharniere[[#This Row],[ArtikelNR]],3)</f>
        <v>543</v>
      </c>
      <c r="D276" s="35">
        <f>IF(AND(Scharniere[[#This Row],[Gruppenschlüssel]]=select!$A$44,Scharniere[[#This Row],[Scharnierart]]=1)=TRUE,1,0)</f>
        <v>0</v>
      </c>
      <c r="E2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6" s="35">
        <f>IF(select!$F$57=IF(Scharniere[[#This Row],[mit Dämpfung]]=1,1,IF(Scharniere[[#This Row],[ohne Dämpfung]]=1,2,IF(Scharniere[[#This Row],[ohne Feder]]=1,3,0))),1,0)</f>
        <v>1</v>
      </c>
      <c r="G276" s="35">
        <f>IF(Scharniere[[#This Row],[Bohrbild]]=select!$V$43,1,0)</f>
        <v>0</v>
      </c>
      <c r="H276" s="35">
        <f>IF(IF(Scharniere[[#This Row],[Anschrauben]]=1,1,IF(Scharniere[[#This Row],[Einpressen]]=1,2,IF(Scharniere[[#This Row],[Quick]]=1,3,IF(Scharniere[[#This Row],[Werkzeuglos]]=1,4,0))))=select!$F$48,1,0)</f>
        <v>0</v>
      </c>
      <c r="I2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6" s="149">
        <f>IF(AND(Scharniere[[#This Row],[Scharnierart]]=2,Scharniere[[#This Row],[Gruppenschlüssel]]=select!$A$318)=TRUE,1,0)</f>
        <v>0</v>
      </c>
      <c r="K276" s="221">
        <f ca="1">IF(select!$O$424&lt;6,1,0)</f>
        <v>1</v>
      </c>
      <c r="L276" s="139">
        <f>IF(select!$A$362=IF(Scharniere[[#This Row],[mit Dämpfung]]=1,1,IF(Scharniere[[#This Row],[ohne Dämpfung]]=1,2,IF(Scharniere[[#This Row],[ohne Feder]]=1,3,0))),1,0)</f>
        <v>0</v>
      </c>
      <c r="M276" s="135">
        <f>IF(Scharniere[[#This Row],[Bohrbild]]=select!$O$334,1,0)</f>
        <v>0</v>
      </c>
      <c r="N276" s="135">
        <f>IF(IF(Scharniere[[#This Row],[Anschrauben]]=1,1,IF(Scharniere[[#This Row],[Einpressen]]=1,2,IF(Scharniere[[#This Row],[Quick]]=1,3,IF(Scharniere[[#This Row],[Werkzeuglos]]=1,4,0))))=select!$E$362,1,0)</f>
        <v>0</v>
      </c>
      <c r="O2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6" s="298">
        <f>IF(AND(Scharniere[[#This Row],[Scharnierart]]=3,Scharniere[[#This Row],[Gruppenschlüssel]]=select!$A$747)=TRUE,1,0)</f>
        <v>0</v>
      </c>
      <c r="Q276" s="298">
        <f ca="1">IF(select!$O$945&lt;6,1,0)</f>
        <v>1</v>
      </c>
      <c r="R276" s="298">
        <f>IF(select!$A$778=IF(Scharniere[[#This Row],[mit Dämpfung]]=1,1,IF(Scharniere[[#This Row],[ohne Dämpfung]]=1,2,IF(Scharniere[[#This Row],[ohne Feder]]=1,3,0))),1,0)</f>
        <v>0</v>
      </c>
      <c r="S276" s="298">
        <f>IF(Scharniere[[#This Row],[Bohrbild]]=select!$A$755,1,0)</f>
        <v>0</v>
      </c>
      <c r="T276" s="298">
        <f>IF(IF(Scharniere[[#This Row],[Anschrauben]]=1,1,IF(Scharniere[[#This Row],[Einpressen]]=1,2,IF(Scharniere[[#This Row],[Quick]]=1,3,IF(Scharniere[[#This Row],[Werkzeuglos]]=1,4,0))))=select!$A$769,1,0)</f>
        <v>0</v>
      </c>
      <c r="U2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6" s="359">
        <f>IF(AND(Scharniere[[#This Row],[Scharnierart]]=4,Scharniere[[#This Row],[Gruppenschlüssel]]=select!$A$981)=TRUE,1,0)</f>
        <v>0</v>
      </c>
      <c r="W276" s="359">
        <f ca="1">IF(select!$O$1185&lt;6,1,0)</f>
        <v>1</v>
      </c>
      <c r="X276" s="359">
        <f>IF(select!$A$1012=IF(Scharniere[[#This Row],[mit Dämpfung]]=1,1,IF(Scharniere[[#This Row],[ohne Dämpfung]]=1,2,IF(Scharniere[[#This Row],[ohne Feder]]=1,3,0))),1,0)</f>
        <v>0</v>
      </c>
      <c r="Y276" s="359">
        <f>IF(Scharniere[[#This Row],[Bohrbild]]=select!$A$989,1,0)</f>
        <v>0</v>
      </c>
      <c r="Z276" s="359">
        <f>IF(IF(Scharniere[[#This Row],[Anschrauben]]=1,1,IF(Scharniere[[#This Row],[Einpressen]]=1,2,IF(Scharniere[[#This Row],[Quick]]=1,3,IF(Scharniere[[#This Row],[Werkzeuglos]]=1,4,0))))=select!$A$1003,1,0)</f>
        <v>0</v>
      </c>
      <c r="AA2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6" s="359">
        <f ca="1">IF(select!$K$980="*",Scharniere[[#This Row],[AG Ges2]],Scharniere[[#This Row],[AG Ges1]])</f>
        <v>0</v>
      </c>
      <c r="AE276" s="451">
        <f ca="1">IF(AND(Scharniere[[#This Row],[Scharnierart]]=select!$A$1485,Scharniere[[#This Row],[Gruppenschlüssel]]=select!$B$1485)=TRUE,1,0)</f>
        <v>0</v>
      </c>
      <c r="AF276" s="451">
        <f ca="1">IF(AND(Scharniere[[#This Row],[Scharnierart]]=select!$A$1486,Scharniere[[#This Row],[Gruppenschlüssel]]=select!$B$1486)=TRUE,1,0)</f>
        <v>0</v>
      </c>
      <c r="AG276" s="451">
        <f ca="1">IF(AND(Scharniere[[#This Row],[Scharnierart]]=select!$A$1487,Scharniere[[#This Row],[Gruppenschlüssel]]=select!$B$1487)=TRUE,1,0)</f>
        <v>0</v>
      </c>
      <c r="AH276" s="451">
        <f ca="1">IF(AND(Scharniere[[#This Row],[Scharnierart]]=select!$A$1488,Scharniere[[#This Row],[Gruppenschlüssel]]=select!$B$1488)=TRUE,1,0)</f>
        <v>0</v>
      </c>
      <c r="AI276" s="451">
        <f ca="1">IF(SUM(Scharniere[[#This Row],[konf Scharnier 1]:[konf Scharnier 4]])&gt;0,1,0)</f>
        <v>0</v>
      </c>
      <c r="AJ276" s="451"/>
      <c r="AK276" s="451"/>
      <c r="AL276" s="451"/>
      <c r="AM276" s="451"/>
      <c r="AN276" s="451"/>
      <c r="AO276" s="146">
        <v>1</v>
      </c>
      <c r="AP276" s="146">
        <v>2</v>
      </c>
      <c r="AQ276" s="10" t="str">
        <f ca="1">Sprache!$A$115</f>
        <v>Tiomos Scharnier TT Impresso</v>
      </c>
      <c r="AR276" t="s">
        <v>1935</v>
      </c>
      <c r="AS276" t="str">
        <f ca="1">Sprache!$A$116</f>
        <v>Tiomos Impresso Scharniere</v>
      </c>
      <c r="AT276">
        <v>9.5</v>
      </c>
      <c r="AU276" t="s">
        <v>10</v>
      </c>
      <c r="AV276">
        <v>120</v>
      </c>
      <c r="AW276" s="10">
        <v>0</v>
      </c>
      <c r="AX276">
        <v>0</v>
      </c>
      <c r="AY276">
        <v>1</v>
      </c>
      <c r="AZ276" s="10">
        <v>0</v>
      </c>
      <c r="BA276">
        <v>0</v>
      </c>
      <c r="BB276">
        <v>0</v>
      </c>
      <c r="BC276">
        <v>1</v>
      </c>
      <c r="BD276" s="143" t="s">
        <v>215</v>
      </c>
      <c r="BG276"/>
    </row>
    <row r="277" spans="1:59" ht="14.25" customHeight="1" x14ac:dyDescent="0.25">
      <c r="A277" s="37" t="str">
        <f>LEFT(Scharniere[[#This Row],[ArtikelNR]],4)</f>
        <v>F035</v>
      </c>
      <c r="B277" s="35" t="str">
        <f>MID(Scharniere[[#This Row],[ArtikelNR]],5,3)</f>
        <v>139</v>
      </c>
      <c r="C277" s="37" t="str">
        <f>RIGHT(Scharniere[[#This Row],[ArtikelNR]],3)</f>
        <v>543</v>
      </c>
      <c r="D277" s="35">
        <f>IF(AND(Scharniere[[#This Row],[Gruppenschlüssel]]=select!$A$44,Scharniere[[#This Row],[Scharnierart]]=1)=TRUE,1,0)</f>
        <v>0</v>
      </c>
      <c r="E2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7" s="35">
        <f>IF(select!$F$57=IF(Scharniere[[#This Row],[mit Dämpfung]]=1,1,IF(Scharniere[[#This Row],[ohne Dämpfung]]=1,2,IF(Scharniere[[#This Row],[ohne Feder]]=1,3,0))),1,0)</f>
        <v>1</v>
      </c>
      <c r="G277" s="35">
        <f>IF(Scharniere[[#This Row],[Bohrbild]]=select!$V$43,1,0)</f>
        <v>0</v>
      </c>
      <c r="H277" s="35">
        <f>IF(IF(Scharniere[[#This Row],[Anschrauben]]=1,1,IF(Scharniere[[#This Row],[Einpressen]]=1,2,IF(Scharniere[[#This Row],[Quick]]=1,3,IF(Scharniere[[#This Row],[Werkzeuglos]]=1,4,0))))=select!$F$48,1,0)</f>
        <v>0</v>
      </c>
      <c r="I2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7" s="149">
        <f>IF(AND(Scharniere[[#This Row],[Scharnierart]]=2,Scharniere[[#This Row],[Gruppenschlüssel]]=select!$A$318)=TRUE,1,0)</f>
        <v>0</v>
      </c>
      <c r="K277" s="221">
        <f ca="1">IF(select!$O$424&lt;6,1,0)</f>
        <v>1</v>
      </c>
      <c r="L277" s="139">
        <f>IF(select!$A$362=IF(Scharniere[[#This Row],[mit Dämpfung]]=1,1,IF(Scharniere[[#This Row],[ohne Dämpfung]]=1,2,IF(Scharniere[[#This Row],[ohne Feder]]=1,3,0))),1,0)</f>
        <v>0</v>
      </c>
      <c r="M277" s="135">
        <f>IF(Scharniere[[#This Row],[Bohrbild]]=select!$O$334,1,0)</f>
        <v>0</v>
      </c>
      <c r="N277" s="135">
        <f>IF(IF(Scharniere[[#This Row],[Anschrauben]]=1,1,IF(Scharniere[[#This Row],[Einpressen]]=1,2,IF(Scharniere[[#This Row],[Quick]]=1,3,IF(Scharniere[[#This Row],[Werkzeuglos]]=1,4,0))))=select!$E$362,1,0)</f>
        <v>0</v>
      </c>
      <c r="O2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7" s="298">
        <f>IF(AND(Scharniere[[#This Row],[Scharnierart]]=3,Scharniere[[#This Row],[Gruppenschlüssel]]=select!$A$747)=TRUE,1,0)</f>
        <v>0</v>
      </c>
      <c r="Q277" s="298">
        <f ca="1">IF(select!$O$945&lt;6,1,0)</f>
        <v>1</v>
      </c>
      <c r="R277" s="298">
        <f>IF(select!$A$778=IF(Scharniere[[#This Row],[mit Dämpfung]]=1,1,IF(Scharniere[[#This Row],[ohne Dämpfung]]=1,2,IF(Scharniere[[#This Row],[ohne Feder]]=1,3,0))),1,0)</f>
        <v>0</v>
      </c>
      <c r="S277" s="298">
        <f>IF(Scharniere[[#This Row],[Bohrbild]]=select!$A$755,1,0)</f>
        <v>0</v>
      </c>
      <c r="T277" s="298">
        <f>IF(IF(Scharniere[[#This Row],[Anschrauben]]=1,1,IF(Scharniere[[#This Row],[Einpressen]]=1,2,IF(Scharniere[[#This Row],[Quick]]=1,3,IF(Scharniere[[#This Row],[Werkzeuglos]]=1,4,0))))=select!$A$769,1,0)</f>
        <v>0</v>
      </c>
      <c r="U2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7" s="359">
        <f>IF(AND(Scharniere[[#This Row],[Scharnierart]]=4,Scharniere[[#This Row],[Gruppenschlüssel]]=select!$A$981)=TRUE,1,0)</f>
        <v>0</v>
      </c>
      <c r="W277" s="359">
        <f ca="1">IF(select!$O$1185&lt;6,1,0)</f>
        <v>1</v>
      </c>
      <c r="X277" s="359">
        <f>IF(select!$A$1012=IF(Scharniere[[#This Row],[mit Dämpfung]]=1,1,IF(Scharniere[[#This Row],[ohne Dämpfung]]=1,2,IF(Scharniere[[#This Row],[ohne Feder]]=1,3,0))),1,0)</f>
        <v>0</v>
      </c>
      <c r="Y277" s="359">
        <f>IF(Scharniere[[#This Row],[Bohrbild]]=select!$A$989,1,0)</f>
        <v>0</v>
      </c>
      <c r="Z277" s="359">
        <f>IF(IF(Scharniere[[#This Row],[Anschrauben]]=1,1,IF(Scharniere[[#This Row],[Einpressen]]=1,2,IF(Scharniere[[#This Row],[Quick]]=1,3,IF(Scharniere[[#This Row],[Werkzeuglos]]=1,4,0))))=select!$A$1003,1,0)</f>
        <v>0</v>
      </c>
      <c r="AA2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7" s="359">
        <f ca="1">IF(select!$K$980="*",Scharniere[[#This Row],[AG Ges2]],Scharniere[[#This Row],[AG Ges1]])</f>
        <v>0</v>
      </c>
      <c r="AE277" s="451">
        <f ca="1">IF(AND(Scharniere[[#This Row],[Scharnierart]]=select!$A$1485,Scharniere[[#This Row],[Gruppenschlüssel]]=select!$B$1485)=TRUE,1,0)</f>
        <v>0</v>
      </c>
      <c r="AF277" s="451">
        <f ca="1">IF(AND(Scharniere[[#This Row],[Scharnierart]]=select!$A$1486,Scharniere[[#This Row],[Gruppenschlüssel]]=select!$B$1486)=TRUE,1,0)</f>
        <v>0</v>
      </c>
      <c r="AG277" s="451">
        <f ca="1">IF(AND(Scharniere[[#This Row],[Scharnierart]]=select!$A$1487,Scharniere[[#This Row],[Gruppenschlüssel]]=select!$B$1487)=TRUE,1,0)</f>
        <v>0</v>
      </c>
      <c r="AH277" s="451">
        <f ca="1">IF(AND(Scharniere[[#This Row],[Scharnierart]]=select!$A$1488,Scharniere[[#This Row],[Gruppenschlüssel]]=select!$B$1488)=TRUE,1,0)</f>
        <v>0</v>
      </c>
      <c r="AI277" s="451">
        <f ca="1">IF(SUM(Scharniere[[#This Row],[konf Scharnier 1]:[konf Scharnier 4]])&gt;0,1,0)</f>
        <v>0</v>
      </c>
      <c r="AJ277" s="451"/>
      <c r="AK277" s="451"/>
      <c r="AL277" s="451"/>
      <c r="AM277" s="451"/>
      <c r="AN277" s="451"/>
      <c r="AO277" s="146">
        <v>1</v>
      </c>
      <c r="AP277" s="146">
        <v>2</v>
      </c>
      <c r="AQ277" s="10" t="str">
        <f ca="1">Sprache!$A$115</f>
        <v>Tiomos Scharnier TT Impresso</v>
      </c>
      <c r="AR277" t="s">
        <v>1935</v>
      </c>
      <c r="AS277" t="str">
        <f ca="1">Sprache!$A$116</f>
        <v>Tiomos Impresso Scharniere</v>
      </c>
      <c r="AT277">
        <v>9.5</v>
      </c>
      <c r="AU277" s="34" t="s">
        <v>11</v>
      </c>
      <c r="AV277">
        <v>120</v>
      </c>
      <c r="AW277" s="10">
        <v>0</v>
      </c>
      <c r="AX277">
        <v>0</v>
      </c>
      <c r="AY277">
        <v>1</v>
      </c>
      <c r="AZ277" s="10">
        <v>0</v>
      </c>
      <c r="BA277">
        <v>0</v>
      </c>
      <c r="BB277">
        <v>0</v>
      </c>
      <c r="BC277">
        <v>1</v>
      </c>
      <c r="BD277" s="143" t="s">
        <v>215</v>
      </c>
      <c r="BG277"/>
    </row>
    <row r="278" spans="1:59" ht="14.25" customHeight="1" x14ac:dyDescent="0.25">
      <c r="A278" s="37" t="str">
        <f>LEFT(Scharniere[[#This Row],[ArtikelNR]],4)</f>
        <v>F045</v>
      </c>
      <c r="B278" s="35" t="str">
        <f>MID(Scharniere[[#This Row],[ArtikelNR]],5,3)</f>
        <v>138</v>
      </c>
      <c r="C278" s="37" t="str">
        <f>RIGHT(Scharniere[[#This Row],[ArtikelNR]],3)</f>
        <v>034</v>
      </c>
      <c r="D278" s="35">
        <f>IF(AND(Scharniere[[#This Row],[Gruppenschlüssel]]=select!$A$44,Scharniere[[#This Row],[Scharnierart]]=1)=TRUE,1,0)</f>
        <v>0</v>
      </c>
      <c r="E2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8" s="35">
        <f>IF(select!$F$57=IF(Scharniere[[#This Row],[mit Dämpfung]]=1,1,IF(Scharniere[[#This Row],[ohne Dämpfung]]=1,2,IF(Scharniere[[#This Row],[ohne Feder]]=1,3,0))),1,0)</f>
        <v>0</v>
      </c>
      <c r="G278" s="35">
        <f>IF(Scharniere[[#This Row],[Bohrbild]]=select!$V$43,1,0)</f>
        <v>1</v>
      </c>
      <c r="H278" s="35">
        <f>IF(IF(Scharniere[[#This Row],[Anschrauben]]=1,1,IF(Scharniere[[#This Row],[Einpressen]]=1,2,IF(Scharniere[[#This Row],[Quick]]=1,3,IF(Scharniere[[#This Row],[Werkzeuglos]]=1,4,0))))=select!$F$48,1,0)</f>
        <v>1</v>
      </c>
      <c r="I2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8" s="149">
        <f>IF(AND(Scharniere[[#This Row],[Scharnierart]]=2,Scharniere[[#This Row],[Gruppenschlüssel]]=select!$A$318)=TRUE,1,0)</f>
        <v>0</v>
      </c>
      <c r="K278" s="221">
        <f ca="1">IF(select!$O$424&lt;6,1,0)</f>
        <v>1</v>
      </c>
      <c r="L278" s="139">
        <f>IF(select!$A$362=IF(Scharniere[[#This Row],[mit Dämpfung]]=1,1,IF(Scharniere[[#This Row],[ohne Dämpfung]]=1,2,IF(Scharniere[[#This Row],[ohne Feder]]=1,3,0))),1,0)</f>
        <v>0</v>
      </c>
      <c r="M278" s="135">
        <f>IF(Scharniere[[#This Row],[Bohrbild]]=select!$O$334,1,0)</f>
        <v>1</v>
      </c>
      <c r="N278" s="135">
        <f>IF(IF(Scharniere[[#This Row],[Anschrauben]]=1,1,IF(Scharniere[[#This Row],[Einpressen]]=1,2,IF(Scharniere[[#This Row],[Quick]]=1,3,IF(Scharniere[[#This Row],[Werkzeuglos]]=1,4,0))))=select!$E$362,1,0)</f>
        <v>0</v>
      </c>
      <c r="O2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8" s="298">
        <f>IF(AND(Scharniere[[#This Row],[Scharnierart]]=3,Scharniere[[#This Row],[Gruppenschlüssel]]=select!$A$747)=TRUE,1,0)</f>
        <v>0</v>
      </c>
      <c r="Q278" s="298">
        <f ca="1">IF(select!$O$945&lt;6,1,0)</f>
        <v>1</v>
      </c>
      <c r="R278" s="298">
        <f>IF(select!$A$778=IF(Scharniere[[#This Row],[mit Dämpfung]]=1,1,IF(Scharniere[[#This Row],[ohne Dämpfung]]=1,2,IF(Scharniere[[#This Row],[ohne Feder]]=1,3,0))),1,0)</f>
        <v>1</v>
      </c>
      <c r="S278" s="298">
        <f>IF(Scharniere[[#This Row],[Bohrbild]]=select!$A$755,1,0)</f>
        <v>0</v>
      </c>
      <c r="T278" s="298">
        <f>IF(IF(Scharniere[[#This Row],[Anschrauben]]=1,1,IF(Scharniere[[#This Row],[Einpressen]]=1,2,IF(Scharniere[[#This Row],[Quick]]=1,3,IF(Scharniere[[#This Row],[Werkzeuglos]]=1,4,0))))=select!$A$769,1,0)</f>
        <v>0</v>
      </c>
      <c r="U2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8" s="359">
        <f>IF(AND(Scharniere[[#This Row],[Scharnierart]]=4,Scharniere[[#This Row],[Gruppenschlüssel]]=select!$A$981)=TRUE,1,0)</f>
        <v>0</v>
      </c>
      <c r="W278" s="359">
        <f ca="1">IF(select!$O$1185&lt;6,1,0)</f>
        <v>1</v>
      </c>
      <c r="X278" s="359">
        <f>IF(select!$A$1012=IF(Scharniere[[#This Row],[mit Dämpfung]]=1,1,IF(Scharniere[[#This Row],[ohne Dämpfung]]=1,2,IF(Scharniere[[#This Row],[ohne Feder]]=1,3,0))),1,0)</f>
        <v>1</v>
      </c>
      <c r="Y278" s="359">
        <f>IF(Scharniere[[#This Row],[Bohrbild]]=select!$A$989,1,0)</f>
        <v>0</v>
      </c>
      <c r="Z278" s="359">
        <f>IF(IF(Scharniere[[#This Row],[Anschrauben]]=1,1,IF(Scharniere[[#This Row],[Einpressen]]=1,2,IF(Scharniere[[#This Row],[Quick]]=1,3,IF(Scharniere[[#This Row],[Werkzeuglos]]=1,4,0))))=select!$A$1003,1,0)</f>
        <v>0</v>
      </c>
      <c r="AA2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8" s="359">
        <f ca="1">IF(select!$K$980="*",Scharniere[[#This Row],[AG Ges2]],Scharniere[[#This Row],[AG Ges1]])</f>
        <v>0</v>
      </c>
      <c r="AE278" s="451">
        <f ca="1">IF(AND(Scharniere[[#This Row],[Scharnierart]]=select!$A$1485,Scharniere[[#This Row],[Gruppenschlüssel]]=select!$B$1485)=TRUE,1,0)</f>
        <v>0</v>
      </c>
      <c r="AF278" s="451">
        <f ca="1">IF(AND(Scharniere[[#This Row],[Scharnierart]]=select!$A$1486,Scharniere[[#This Row],[Gruppenschlüssel]]=select!$B$1486)=TRUE,1,0)</f>
        <v>0</v>
      </c>
      <c r="AG278" s="451">
        <f ca="1">IF(AND(Scharniere[[#This Row],[Scharnierart]]=select!$A$1487,Scharniere[[#This Row],[Gruppenschlüssel]]=select!$B$1487)=TRUE,1,0)</f>
        <v>0</v>
      </c>
      <c r="AH278" s="451">
        <f ca="1">IF(AND(Scharniere[[#This Row],[Scharnierart]]=select!$A$1488,Scharniere[[#This Row],[Gruppenschlüssel]]=select!$B$1488)=TRUE,1,0)</f>
        <v>0</v>
      </c>
      <c r="AI278" s="451">
        <f ca="1">IF(SUM(Scharniere[[#This Row],[konf Scharnier 1]:[konf Scharnier 4]])&gt;0,1,0)</f>
        <v>0</v>
      </c>
      <c r="AJ278" s="451"/>
      <c r="AK278" s="451"/>
      <c r="AL278" s="451"/>
      <c r="AM278" s="451"/>
      <c r="AN278" s="451"/>
      <c r="AO278" s="146">
        <v>1</v>
      </c>
      <c r="AP278" s="146">
        <v>2</v>
      </c>
      <c r="AQ278" s="10" t="str">
        <f ca="1">Sprache!$A$110</f>
        <v>Tiomos Scharnier T Click-on</v>
      </c>
      <c r="AR278" t="str">
        <f ca="1">"120°, M-BB, K9.5, "&amp;Sprache!A181&amp;", ni"</f>
        <v>120°, M-BB, K9.5, Dübel, ni</v>
      </c>
      <c r="AS278" t="str">
        <f ca="1">Sprache!$A$103</f>
        <v>Tiomos Click-On Scharniere</v>
      </c>
      <c r="AT278">
        <v>9.5</v>
      </c>
      <c r="AU278" s="34" t="s">
        <v>8</v>
      </c>
      <c r="AV278">
        <v>120</v>
      </c>
      <c r="AW278" s="10">
        <v>0</v>
      </c>
      <c r="AX278">
        <v>1</v>
      </c>
      <c r="AY278">
        <v>0</v>
      </c>
      <c r="AZ278" s="10">
        <v>0</v>
      </c>
      <c r="BA278">
        <v>1</v>
      </c>
      <c r="BB278">
        <v>0</v>
      </c>
      <c r="BC278">
        <v>0</v>
      </c>
      <c r="BD278" s="143" t="s">
        <v>442</v>
      </c>
      <c r="BG278"/>
    </row>
    <row r="279" spans="1:59" ht="14.25" customHeight="1" x14ac:dyDescent="0.25">
      <c r="A279" s="37" t="str">
        <f>LEFT(Scharniere[[#This Row],[ArtikelNR]],4)</f>
        <v>F028</v>
      </c>
      <c r="B279" s="35" t="str">
        <f>MID(Scharniere[[#This Row],[ArtikelNR]],5,3)</f>
        <v>138</v>
      </c>
      <c r="C279" s="37" t="str">
        <f>RIGHT(Scharniere[[#This Row],[ArtikelNR]],3)</f>
        <v>127</v>
      </c>
      <c r="D279" s="35">
        <f>IF(AND(Scharniere[[#This Row],[Gruppenschlüssel]]=select!$A$44,Scharniere[[#This Row],[Scharnierart]]=1)=TRUE,1,0)</f>
        <v>0</v>
      </c>
      <c r="E2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79" s="35">
        <f>IF(select!$F$57=IF(Scharniere[[#This Row],[mit Dämpfung]]=1,1,IF(Scharniere[[#This Row],[ohne Dämpfung]]=1,2,IF(Scharniere[[#This Row],[ohne Feder]]=1,3,0))),1,0)</f>
        <v>0</v>
      </c>
      <c r="G279" s="35">
        <f>IF(Scharniere[[#This Row],[Bohrbild]]=select!$V$43,1,0)</f>
        <v>1</v>
      </c>
      <c r="H279" s="35">
        <f>IF(IF(Scharniere[[#This Row],[Anschrauben]]=1,1,IF(Scharniere[[#This Row],[Einpressen]]=1,2,IF(Scharniere[[#This Row],[Quick]]=1,3,IF(Scharniere[[#This Row],[Werkzeuglos]]=1,4,0))))=select!$F$48,1,0)</f>
        <v>1</v>
      </c>
      <c r="I2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79" s="149">
        <f>IF(AND(Scharniere[[#This Row],[Scharnierart]]=2,Scharniere[[#This Row],[Gruppenschlüssel]]=select!$A$318)=TRUE,1,0)</f>
        <v>0</v>
      </c>
      <c r="K279" s="221">
        <f ca="1">IF(select!$O$424&lt;6,1,0)</f>
        <v>1</v>
      </c>
      <c r="L279" s="139">
        <f>IF(select!$A$362=IF(Scharniere[[#This Row],[mit Dämpfung]]=1,1,IF(Scharniere[[#This Row],[ohne Dämpfung]]=1,2,IF(Scharniere[[#This Row],[ohne Feder]]=1,3,0))),1,0)</f>
        <v>1</v>
      </c>
      <c r="M279" s="135">
        <f>IF(Scharniere[[#This Row],[Bohrbild]]=select!$O$334,1,0)</f>
        <v>1</v>
      </c>
      <c r="N279" s="135">
        <f>IF(IF(Scharniere[[#This Row],[Anschrauben]]=1,1,IF(Scharniere[[#This Row],[Einpressen]]=1,2,IF(Scharniere[[#This Row],[Quick]]=1,3,IF(Scharniere[[#This Row],[Werkzeuglos]]=1,4,0))))=select!$E$362,1,0)</f>
        <v>0</v>
      </c>
      <c r="O2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79" s="298">
        <f>IF(AND(Scharniere[[#This Row],[Scharnierart]]=3,Scharniere[[#This Row],[Gruppenschlüssel]]=select!$A$747)=TRUE,1,0)</f>
        <v>0</v>
      </c>
      <c r="Q279" s="298">
        <f ca="1">IF(select!$O$945&lt;6,1,0)</f>
        <v>1</v>
      </c>
      <c r="R279" s="298">
        <f>IF(select!$A$778=IF(Scharniere[[#This Row],[mit Dämpfung]]=1,1,IF(Scharniere[[#This Row],[ohne Dämpfung]]=1,2,IF(Scharniere[[#This Row],[ohne Feder]]=1,3,0))),1,0)</f>
        <v>0</v>
      </c>
      <c r="S279" s="298">
        <f>IF(Scharniere[[#This Row],[Bohrbild]]=select!$A$755,1,0)</f>
        <v>0</v>
      </c>
      <c r="T279" s="298">
        <f>IF(IF(Scharniere[[#This Row],[Anschrauben]]=1,1,IF(Scharniere[[#This Row],[Einpressen]]=1,2,IF(Scharniere[[#This Row],[Quick]]=1,3,IF(Scharniere[[#This Row],[Werkzeuglos]]=1,4,0))))=select!$A$769,1,0)</f>
        <v>0</v>
      </c>
      <c r="U2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79" s="359">
        <f>IF(AND(Scharniere[[#This Row],[Scharnierart]]=4,Scharniere[[#This Row],[Gruppenschlüssel]]=select!$A$981)=TRUE,1,0)</f>
        <v>0</v>
      </c>
      <c r="W279" s="359">
        <f ca="1">IF(select!$O$1185&lt;6,1,0)</f>
        <v>1</v>
      </c>
      <c r="X279" s="359">
        <f>IF(select!$A$1012=IF(Scharniere[[#This Row],[mit Dämpfung]]=1,1,IF(Scharniere[[#This Row],[ohne Dämpfung]]=1,2,IF(Scharniere[[#This Row],[ohne Feder]]=1,3,0))),1,0)</f>
        <v>0</v>
      </c>
      <c r="Y279" s="359">
        <f>IF(Scharniere[[#This Row],[Bohrbild]]=select!$A$989,1,0)</f>
        <v>0</v>
      </c>
      <c r="Z279" s="359">
        <f>IF(IF(Scharniere[[#This Row],[Anschrauben]]=1,1,IF(Scharniere[[#This Row],[Einpressen]]=1,2,IF(Scharniere[[#This Row],[Quick]]=1,3,IF(Scharniere[[#This Row],[Werkzeuglos]]=1,4,0))))=select!$A$1003,1,0)</f>
        <v>0</v>
      </c>
      <c r="AA2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79" s="359">
        <f ca="1">IF(select!$K$980="*",Scharniere[[#This Row],[AG Ges2]],Scharniere[[#This Row],[AG Ges1]])</f>
        <v>0</v>
      </c>
      <c r="AE279" s="451">
        <f ca="1">IF(AND(Scharniere[[#This Row],[Scharnierart]]=select!$A$1485,Scharniere[[#This Row],[Gruppenschlüssel]]=select!$B$1485)=TRUE,1,0)</f>
        <v>0</v>
      </c>
      <c r="AF279" s="451">
        <f ca="1">IF(AND(Scharniere[[#This Row],[Scharnierart]]=select!$A$1486,Scharniere[[#This Row],[Gruppenschlüssel]]=select!$B$1486)=TRUE,1,0)</f>
        <v>0</v>
      </c>
      <c r="AG279" s="451">
        <f ca="1">IF(AND(Scharniere[[#This Row],[Scharnierart]]=select!$A$1487,Scharniere[[#This Row],[Gruppenschlüssel]]=select!$B$1487)=TRUE,1,0)</f>
        <v>0</v>
      </c>
      <c r="AH279" s="451">
        <f ca="1">IF(AND(Scharniere[[#This Row],[Scharnierart]]=select!$A$1488,Scharniere[[#This Row],[Gruppenschlüssel]]=select!$B$1488)=TRUE,1,0)</f>
        <v>0</v>
      </c>
      <c r="AI279" s="451">
        <f ca="1">IF(SUM(Scharniere[[#This Row],[konf Scharnier 1]:[konf Scharnier 4]])&gt;0,1,0)</f>
        <v>0</v>
      </c>
      <c r="AJ279" s="451"/>
      <c r="AK279" s="451"/>
      <c r="AL279" s="451"/>
      <c r="AM279" s="451"/>
      <c r="AN279" s="451"/>
      <c r="AO279" s="146">
        <v>1</v>
      </c>
      <c r="AP279" s="146">
        <v>2</v>
      </c>
      <c r="AQ279" s="10" t="str">
        <f ca="1">Sprache!$A$112</f>
        <v>Tiomos Scharnier TS Click-on</v>
      </c>
      <c r="AR279" t="str">
        <f ca="1">"120°, M-BB, K9.5, "&amp;Sprache!A181&amp;", ni"</f>
        <v>120°, M-BB, K9.5, Dübel, ni</v>
      </c>
      <c r="AS279" t="str">
        <f ca="1">Sprache!$A$103</f>
        <v>Tiomos Click-On Scharniere</v>
      </c>
      <c r="AT279">
        <v>9.5</v>
      </c>
      <c r="AU279" s="34" t="s">
        <v>8</v>
      </c>
      <c r="AV279">
        <v>120</v>
      </c>
      <c r="AW279" s="10">
        <v>1</v>
      </c>
      <c r="AX279">
        <v>0</v>
      </c>
      <c r="AY279">
        <v>0</v>
      </c>
      <c r="AZ279" s="10">
        <v>0</v>
      </c>
      <c r="BA279">
        <v>1</v>
      </c>
      <c r="BB279">
        <v>0</v>
      </c>
      <c r="BC279">
        <v>0</v>
      </c>
      <c r="BD279" s="143" t="s">
        <v>244</v>
      </c>
      <c r="BG279"/>
    </row>
    <row r="280" spans="1:59" ht="14.25" customHeight="1" x14ac:dyDescent="0.25">
      <c r="A280" s="37" t="str">
        <f>LEFT(Scharniere[[#This Row],[ArtikelNR]],4)</f>
        <v>F046</v>
      </c>
      <c r="B280" s="35" t="str">
        <f>MID(Scharniere[[#This Row],[ArtikelNR]],5,3)</f>
        <v>138</v>
      </c>
      <c r="C280" s="37" t="str">
        <f>RIGHT(Scharniere[[#This Row],[ArtikelNR]],3)</f>
        <v>218</v>
      </c>
      <c r="D280" s="35">
        <f>IF(AND(Scharniere[[#This Row],[Gruppenschlüssel]]=select!$A$44,Scharniere[[#This Row],[Scharnierart]]=1)=TRUE,1,0)</f>
        <v>0</v>
      </c>
      <c r="E2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0" s="35">
        <f>IF(select!$F$57=IF(Scharniere[[#This Row],[mit Dämpfung]]=1,1,IF(Scharniere[[#This Row],[ohne Dämpfung]]=1,2,IF(Scharniere[[#This Row],[ohne Feder]]=1,3,0))),1,0)</f>
        <v>1</v>
      </c>
      <c r="G280" s="35">
        <f>IF(Scharniere[[#This Row],[Bohrbild]]=select!$V$43,1,0)</f>
        <v>1</v>
      </c>
      <c r="H280" s="35">
        <f>IF(IF(Scharniere[[#This Row],[Anschrauben]]=1,1,IF(Scharniere[[#This Row],[Einpressen]]=1,2,IF(Scharniere[[#This Row],[Quick]]=1,3,IF(Scharniere[[#This Row],[Werkzeuglos]]=1,4,0))))=select!$F$48,1,0)</f>
        <v>1</v>
      </c>
      <c r="I2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0" s="149">
        <f>IF(AND(Scharniere[[#This Row],[Scharnierart]]=2,Scharniere[[#This Row],[Gruppenschlüssel]]=select!$A$318)=TRUE,1,0)</f>
        <v>0</v>
      </c>
      <c r="K280" s="221">
        <f ca="1">IF(select!$O$424&lt;6,1,0)</f>
        <v>1</v>
      </c>
      <c r="L280" s="139">
        <f>IF(select!$A$362=IF(Scharniere[[#This Row],[mit Dämpfung]]=1,1,IF(Scharniere[[#This Row],[ohne Dämpfung]]=1,2,IF(Scharniere[[#This Row],[ohne Feder]]=1,3,0))),1,0)</f>
        <v>0</v>
      </c>
      <c r="M280" s="135">
        <f>IF(Scharniere[[#This Row],[Bohrbild]]=select!$O$334,1,0)</f>
        <v>1</v>
      </c>
      <c r="N280" s="135">
        <f>IF(IF(Scharniere[[#This Row],[Anschrauben]]=1,1,IF(Scharniere[[#This Row],[Einpressen]]=1,2,IF(Scharniere[[#This Row],[Quick]]=1,3,IF(Scharniere[[#This Row],[Werkzeuglos]]=1,4,0))))=select!$E$362,1,0)</f>
        <v>0</v>
      </c>
      <c r="O2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0" s="298">
        <f>IF(AND(Scharniere[[#This Row],[Scharnierart]]=3,Scharniere[[#This Row],[Gruppenschlüssel]]=select!$A$747)=TRUE,1,0)</f>
        <v>0</v>
      </c>
      <c r="Q280" s="298">
        <f ca="1">IF(select!$O$945&lt;6,1,0)</f>
        <v>1</v>
      </c>
      <c r="R280" s="298">
        <f>IF(select!$A$778=IF(Scharniere[[#This Row],[mit Dämpfung]]=1,1,IF(Scharniere[[#This Row],[ohne Dämpfung]]=1,2,IF(Scharniere[[#This Row],[ohne Feder]]=1,3,0))),1,0)</f>
        <v>0</v>
      </c>
      <c r="S280" s="298">
        <f>IF(Scharniere[[#This Row],[Bohrbild]]=select!$A$755,1,0)</f>
        <v>0</v>
      </c>
      <c r="T280" s="298">
        <f>IF(IF(Scharniere[[#This Row],[Anschrauben]]=1,1,IF(Scharniere[[#This Row],[Einpressen]]=1,2,IF(Scharniere[[#This Row],[Quick]]=1,3,IF(Scharniere[[#This Row],[Werkzeuglos]]=1,4,0))))=select!$A$769,1,0)</f>
        <v>0</v>
      </c>
      <c r="U2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0" s="359">
        <f>IF(AND(Scharniere[[#This Row],[Scharnierart]]=4,Scharniere[[#This Row],[Gruppenschlüssel]]=select!$A$981)=TRUE,1,0)</f>
        <v>0</v>
      </c>
      <c r="W280" s="359">
        <f ca="1">IF(select!$O$1185&lt;6,1,0)</f>
        <v>1</v>
      </c>
      <c r="X280" s="359">
        <f>IF(select!$A$1012=IF(Scharniere[[#This Row],[mit Dämpfung]]=1,1,IF(Scharniere[[#This Row],[ohne Dämpfung]]=1,2,IF(Scharniere[[#This Row],[ohne Feder]]=1,3,0))),1,0)</f>
        <v>0</v>
      </c>
      <c r="Y280" s="359">
        <f>IF(Scharniere[[#This Row],[Bohrbild]]=select!$A$989,1,0)</f>
        <v>0</v>
      </c>
      <c r="Z280" s="359">
        <f>IF(IF(Scharniere[[#This Row],[Anschrauben]]=1,1,IF(Scharniere[[#This Row],[Einpressen]]=1,2,IF(Scharniere[[#This Row],[Quick]]=1,3,IF(Scharniere[[#This Row],[Werkzeuglos]]=1,4,0))))=select!$A$1003,1,0)</f>
        <v>0</v>
      </c>
      <c r="AA2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0" s="359">
        <f ca="1">IF(select!$K$980="*",Scharniere[[#This Row],[AG Ges2]],Scharniere[[#This Row],[AG Ges1]])</f>
        <v>0</v>
      </c>
      <c r="AE280" s="451">
        <f ca="1">IF(AND(Scharniere[[#This Row],[Scharnierart]]=select!$A$1485,Scharniere[[#This Row],[Gruppenschlüssel]]=select!$B$1485)=TRUE,1,0)</f>
        <v>0</v>
      </c>
      <c r="AF280" s="451">
        <f ca="1">IF(AND(Scharniere[[#This Row],[Scharnierart]]=select!$A$1486,Scharniere[[#This Row],[Gruppenschlüssel]]=select!$B$1486)=TRUE,1,0)</f>
        <v>0</v>
      </c>
      <c r="AG280" s="451">
        <f ca="1">IF(AND(Scharniere[[#This Row],[Scharnierart]]=select!$A$1487,Scharniere[[#This Row],[Gruppenschlüssel]]=select!$B$1487)=TRUE,1,0)</f>
        <v>0</v>
      </c>
      <c r="AH280" s="451">
        <f ca="1">IF(AND(Scharniere[[#This Row],[Scharnierart]]=select!$A$1488,Scharniere[[#This Row],[Gruppenschlüssel]]=select!$B$1488)=TRUE,1,0)</f>
        <v>0</v>
      </c>
      <c r="AI280" s="451">
        <f ca="1">IF(SUM(Scharniere[[#This Row],[konf Scharnier 1]:[konf Scharnier 4]])&gt;0,1,0)</f>
        <v>0</v>
      </c>
      <c r="AJ280" s="451"/>
      <c r="AK280" s="451"/>
      <c r="AL280" s="451"/>
      <c r="AM280" s="451"/>
      <c r="AN280" s="451"/>
      <c r="AO280" s="146">
        <v>1</v>
      </c>
      <c r="AP280" s="146">
        <v>2</v>
      </c>
      <c r="AQ280" s="10" t="str">
        <f ca="1">Sprache!$A$114</f>
        <v>Tiomos Scharnier TT Click-on</v>
      </c>
      <c r="AR280" t="str">
        <f ca="1">"120°, M-BB, K9.5, "&amp;Sprache!A181&amp;", ni"</f>
        <v>120°, M-BB, K9.5, Dübel, ni</v>
      </c>
      <c r="AS280" t="str">
        <f ca="1">Sprache!$A$103</f>
        <v>Tiomos Click-On Scharniere</v>
      </c>
      <c r="AT280">
        <v>9.5</v>
      </c>
      <c r="AU280" s="34" t="s">
        <v>8</v>
      </c>
      <c r="AV280">
        <v>120</v>
      </c>
      <c r="AW280" s="10">
        <v>0</v>
      </c>
      <c r="AX280">
        <v>0</v>
      </c>
      <c r="AY280">
        <v>1</v>
      </c>
      <c r="AZ280" s="10">
        <v>0</v>
      </c>
      <c r="BA280">
        <v>1</v>
      </c>
      <c r="BB280">
        <v>0</v>
      </c>
      <c r="BC280">
        <v>0</v>
      </c>
      <c r="BD280" s="143" t="s">
        <v>594</v>
      </c>
      <c r="BG280"/>
    </row>
    <row r="281" spans="1:59" ht="14.25" customHeight="1" x14ac:dyDescent="0.25">
      <c r="A281" s="37" t="str">
        <f>LEFT(Scharniere[[#This Row],[ArtikelNR]],4)</f>
        <v>F045</v>
      </c>
      <c r="B281" s="35" t="str">
        <f>MID(Scharniere[[#This Row],[ArtikelNR]],5,3)</f>
        <v>138</v>
      </c>
      <c r="C281" s="37" t="str">
        <f>RIGHT(Scharniere[[#This Row],[ArtikelNR]],3)</f>
        <v>030</v>
      </c>
      <c r="D281" s="35">
        <f>IF(AND(Scharniere[[#This Row],[Gruppenschlüssel]]=select!$A$44,Scharniere[[#This Row],[Scharnierart]]=1)=TRUE,1,0)</f>
        <v>0</v>
      </c>
      <c r="E2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1" s="35">
        <f>IF(select!$F$57=IF(Scharniere[[#This Row],[mit Dämpfung]]=1,1,IF(Scharniere[[#This Row],[ohne Dämpfung]]=1,2,IF(Scharniere[[#This Row],[ohne Feder]]=1,3,0))),1,0)</f>
        <v>0</v>
      </c>
      <c r="G281" s="35">
        <f>IF(Scharniere[[#This Row],[Bohrbild]]=select!$V$43,1,0)</f>
        <v>1</v>
      </c>
      <c r="H281" s="35">
        <f>IF(IF(Scharniere[[#This Row],[Anschrauben]]=1,1,IF(Scharniere[[#This Row],[Einpressen]]=1,2,IF(Scharniere[[#This Row],[Quick]]=1,3,IF(Scharniere[[#This Row],[Werkzeuglos]]=1,4,0))))=select!$F$48,1,0)</f>
        <v>0</v>
      </c>
      <c r="I2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1" s="149">
        <f>IF(AND(Scharniere[[#This Row],[Scharnierart]]=2,Scharniere[[#This Row],[Gruppenschlüssel]]=select!$A$318)=TRUE,1,0)</f>
        <v>0</v>
      </c>
      <c r="K281" s="221">
        <f ca="1">IF(select!$O$424&lt;6,1,0)</f>
        <v>1</v>
      </c>
      <c r="L281" s="139">
        <f>IF(select!$A$362=IF(Scharniere[[#This Row],[mit Dämpfung]]=1,1,IF(Scharniere[[#This Row],[ohne Dämpfung]]=1,2,IF(Scharniere[[#This Row],[ohne Feder]]=1,3,0))),1,0)</f>
        <v>0</v>
      </c>
      <c r="M281" s="135">
        <f>IF(Scharniere[[#This Row],[Bohrbild]]=select!$O$334,1,0)</f>
        <v>1</v>
      </c>
      <c r="N281" s="135">
        <f>IF(IF(Scharniere[[#This Row],[Anschrauben]]=1,1,IF(Scharniere[[#This Row],[Einpressen]]=1,2,IF(Scharniere[[#This Row],[Quick]]=1,3,IF(Scharniere[[#This Row],[Werkzeuglos]]=1,4,0))))=select!$E$362,1,0)</f>
        <v>1</v>
      </c>
      <c r="O2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1" s="298">
        <f>IF(AND(Scharniere[[#This Row],[Scharnierart]]=3,Scharniere[[#This Row],[Gruppenschlüssel]]=select!$A$747)=TRUE,1,0)</f>
        <v>0</v>
      </c>
      <c r="Q281" s="298">
        <f ca="1">IF(select!$O$945&lt;6,1,0)</f>
        <v>1</v>
      </c>
      <c r="R281" s="298">
        <f>IF(select!$A$778=IF(Scharniere[[#This Row],[mit Dämpfung]]=1,1,IF(Scharniere[[#This Row],[ohne Dämpfung]]=1,2,IF(Scharniere[[#This Row],[ohne Feder]]=1,3,0))),1,0)</f>
        <v>1</v>
      </c>
      <c r="S281" s="298">
        <f>IF(Scharniere[[#This Row],[Bohrbild]]=select!$A$755,1,0)</f>
        <v>0</v>
      </c>
      <c r="T281" s="298">
        <f>IF(IF(Scharniere[[#This Row],[Anschrauben]]=1,1,IF(Scharniere[[#This Row],[Einpressen]]=1,2,IF(Scharniere[[#This Row],[Quick]]=1,3,IF(Scharniere[[#This Row],[Werkzeuglos]]=1,4,0))))=select!$A$769,1,0)</f>
        <v>1</v>
      </c>
      <c r="U2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1" s="359">
        <f>IF(AND(Scharniere[[#This Row],[Scharnierart]]=4,Scharniere[[#This Row],[Gruppenschlüssel]]=select!$A$981)=TRUE,1,0)</f>
        <v>0</v>
      </c>
      <c r="W281" s="359">
        <f ca="1">IF(select!$O$1185&lt;6,1,0)</f>
        <v>1</v>
      </c>
      <c r="X281" s="359">
        <f>IF(select!$A$1012=IF(Scharniere[[#This Row],[mit Dämpfung]]=1,1,IF(Scharniere[[#This Row],[ohne Dämpfung]]=1,2,IF(Scharniere[[#This Row],[ohne Feder]]=1,3,0))),1,0)</f>
        <v>1</v>
      </c>
      <c r="Y281" s="359">
        <f>IF(Scharniere[[#This Row],[Bohrbild]]=select!$A$989,1,0)</f>
        <v>0</v>
      </c>
      <c r="Z281" s="359">
        <f>IF(IF(Scharniere[[#This Row],[Anschrauben]]=1,1,IF(Scharniere[[#This Row],[Einpressen]]=1,2,IF(Scharniere[[#This Row],[Quick]]=1,3,IF(Scharniere[[#This Row],[Werkzeuglos]]=1,4,0))))=select!$A$1003,1,0)</f>
        <v>1</v>
      </c>
      <c r="AA2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1" s="359">
        <f ca="1">IF(select!$K$980="*",Scharniere[[#This Row],[AG Ges2]],Scharniere[[#This Row],[AG Ges1]])</f>
        <v>0</v>
      </c>
      <c r="AE281" s="451">
        <f ca="1">IF(AND(Scharniere[[#This Row],[Scharnierart]]=select!$A$1485,Scharniere[[#This Row],[Gruppenschlüssel]]=select!$B$1485)=TRUE,1,0)</f>
        <v>0</v>
      </c>
      <c r="AF281" s="451">
        <f ca="1">IF(AND(Scharniere[[#This Row],[Scharnierart]]=select!$A$1486,Scharniere[[#This Row],[Gruppenschlüssel]]=select!$B$1486)=TRUE,1,0)</f>
        <v>0</v>
      </c>
      <c r="AG281" s="451">
        <f ca="1">IF(AND(Scharniere[[#This Row],[Scharnierart]]=select!$A$1487,Scharniere[[#This Row],[Gruppenschlüssel]]=select!$B$1487)=TRUE,1,0)</f>
        <v>0</v>
      </c>
      <c r="AH281" s="451">
        <f ca="1">IF(AND(Scharniere[[#This Row],[Scharnierart]]=select!$A$1488,Scharniere[[#This Row],[Gruppenschlüssel]]=select!$B$1488)=TRUE,1,0)</f>
        <v>0</v>
      </c>
      <c r="AI281" s="451">
        <f ca="1">IF(SUM(Scharniere[[#This Row],[konf Scharnier 1]:[konf Scharnier 4]])&gt;0,1,0)</f>
        <v>0</v>
      </c>
      <c r="AJ281" s="451"/>
      <c r="AK281" s="451"/>
      <c r="AL281" s="451"/>
      <c r="AM281" s="451"/>
      <c r="AN281" s="451"/>
      <c r="AO281" s="146">
        <v>1</v>
      </c>
      <c r="AP281" s="146">
        <v>2</v>
      </c>
      <c r="AQ281" s="10" t="str">
        <f ca="1">Sprache!$A$110</f>
        <v>Tiomos Scharnier T Click-on</v>
      </c>
      <c r="AR281" t="s">
        <v>1936</v>
      </c>
      <c r="AS281" t="str">
        <f ca="1">Sprache!$A$103</f>
        <v>Tiomos Click-On Scharniere</v>
      </c>
      <c r="AT281">
        <v>9.5</v>
      </c>
      <c r="AU281" s="34" t="s">
        <v>8</v>
      </c>
      <c r="AV281">
        <v>120</v>
      </c>
      <c r="AW281" s="10">
        <v>0</v>
      </c>
      <c r="AX281">
        <v>1</v>
      </c>
      <c r="AY281">
        <v>0</v>
      </c>
      <c r="AZ281" s="10">
        <v>1</v>
      </c>
      <c r="BA281">
        <v>0</v>
      </c>
      <c r="BB281">
        <v>0</v>
      </c>
      <c r="BC281">
        <v>0</v>
      </c>
      <c r="BD281" s="143" t="s">
        <v>439</v>
      </c>
      <c r="BG281"/>
    </row>
    <row r="282" spans="1:59" ht="14.25" customHeight="1" x14ac:dyDescent="0.25">
      <c r="A282" s="37" t="str">
        <f>LEFT(Scharniere[[#This Row],[ArtikelNR]],4)</f>
        <v>F028</v>
      </c>
      <c r="B282" s="35" t="str">
        <f>MID(Scharniere[[#This Row],[ArtikelNR]],5,3)</f>
        <v>138</v>
      </c>
      <c r="C282" s="37" t="str">
        <f>RIGHT(Scharniere[[#This Row],[ArtikelNR]],3)</f>
        <v>123</v>
      </c>
      <c r="D282" s="35">
        <f>IF(AND(Scharniere[[#This Row],[Gruppenschlüssel]]=select!$A$44,Scharniere[[#This Row],[Scharnierart]]=1)=TRUE,1,0)</f>
        <v>0</v>
      </c>
      <c r="E2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2" s="35">
        <f>IF(select!$F$57=IF(Scharniere[[#This Row],[mit Dämpfung]]=1,1,IF(Scharniere[[#This Row],[ohne Dämpfung]]=1,2,IF(Scharniere[[#This Row],[ohne Feder]]=1,3,0))),1,0)</f>
        <v>0</v>
      </c>
      <c r="G282" s="35">
        <f>IF(Scharniere[[#This Row],[Bohrbild]]=select!$V$43,1,0)</f>
        <v>1</v>
      </c>
      <c r="H282" s="35">
        <f>IF(IF(Scharniere[[#This Row],[Anschrauben]]=1,1,IF(Scharniere[[#This Row],[Einpressen]]=1,2,IF(Scharniere[[#This Row],[Quick]]=1,3,IF(Scharniere[[#This Row],[Werkzeuglos]]=1,4,0))))=select!$F$48,1,0)</f>
        <v>0</v>
      </c>
      <c r="I2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2" s="149">
        <f>IF(AND(Scharniere[[#This Row],[Scharnierart]]=2,Scharniere[[#This Row],[Gruppenschlüssel]]=select!$A$318)=TRUE,1,0)</f>
        <v>0</v>
      </c>
      <c r="K282" s="221">
        <f ca="1">IF(select!$O$424&lt;6,1,0)</f>
        <v>1</v>
      </c>
      <c r="L282" s="139">
        <f>IF(select!$A$362=IF(Scharniere[[#This Row],[mit Dämpfung]]=1,1,IF(Scharniere[[#This Row],[ohne Dämpfung]]=1,2,IF(Scharniere[[#This Row],[ohne Feder]]=1,3,0))),1,0)</f>
        <v>1</v>
      </c>
      <c r="M282" s="135">
        <f>IF(Scharniere[[#This Row],[Bohrbild]]=select!$O$334,1,0)</f>
        <v>1</v>
      </c>
      <c r="N282" s="135">
        <f>IF(IF(Scharniere[[#This Row],[Anschrauben]]=1,1,IF(Scharniere[[#This Row],[Einpressen]]=1,2,IF(Scharniere[[#This Row],[Quick]]=1,3,IF(Scharniere[[#This Row],[Werkzeuglos]]=1,4,0))))=select!$E$362,1,0)</f>
        <v>1</v>
      </c>
      <c r="O2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2" s="298">
        <f>IF(AND(Scharniere[[#This Row],[Scharnierart]]=3,Scharniere[[#This Row],[Gruppenschlüssel]]=select!$A$747)=TRUE,1,0)</f>
        <v>0</v>
      </c>
      <c r="Q282" s="298">
        <f ca="1">IF(select!$O$945&lt;6,1,0)</f>
        <v>1</v>
      </c>
      <c r="R282" s="298">
        <f>IF(select!$A$778=IF(Scharniere[[#This Row],[mit Dämpfung]]=1,1,IF(Scharniere[[#This Row],[ohne Dämpfung]]=1,2,IF(Scharniere[[#This Row],[ohne Feder]]=1,3,0))),1,0)</f>
        <v>0</v>
      </c>
      <c r="S282" s="298">
        <f>IF(Scharniere[[#This Row],[Bohrbild]]=select!$A$755,1,0)</f>
        <v>0</v>
      </c>
      <c r="T282" s="298">
        <f>IF(IF(Scharniere[[#This Row],[Anschrauben]]=1,1,IF(Scharniere[[#This Row],[Einpressen]]=1,2,IF(Scharniere[[#This Row],[Quick]]=1,3,IF(Scharniere[[#This Row],[Werkzeuglos]]=1,4,0))))=select!$A$769,1,0)</f>
        <v>1</v>
      </c>
      <c r="U2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2" s="359">
        <f>IF(AND(Scharniere[[#This Row],[Scharnierart]]=4,Scharniere[[#This Row],[Gruppenschlüssel]]=select!$A$981)=TRUE,1,0)</f>
        <v>0</v>
      </c>
      <c r="W282" s="359">
        <f ca="1">IF(select!$O$1185&lt;6,1,0)</f>
        <v>1</v>
      </c>
      <c r="X282" s="359">
        <f>IF(select!$A$1012=IF(Scharniere[[#This Row],[mit Dämpfung]]=1,1,IF(Scharniere[[#This Row],[ohne Dämpfung]]=1,2,IF(Scharniere[[#This Row],[ohne Feder]]=1,3,0))),1,0)</f>
        <v>0</v>
      </c>
      <c r="Y282" s="359">
        <f>IF(Scharniere[[#This Row],[Bohrbild]]=select!$A$989,1,0)</f>
        <v>0</v>
      </c>
      <c r="Z282" s="359">
        <f>IF(IF(Scharniere[[#This Row],[Anschrauben]]=1,1,IF(Scharniere[[#This Row],[Einpressen]]=1,2,IF(Scharniere[[#This Row],[Quick]]=1,3,IF(Scharniere[[#This Row],[Werkzeuglos]]=1,4,0))))=select!$A$1003,1,0)</f>
        <v>1</v>
      </c>
      <c r="AA2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2" s="359">
        <f ca="1">IF(select!$K$980="*",Scharniere[[#This Row],[AG Ges2]],Scharniere[[#This Row],[AG Ges1]])</f>
        <v>0</v>
      </c>
      <c r="AE282" s="451">
        <f ca="1">IF(AND(Scharniere[[#This Row],[Scharnierart]]=select!$A$1485,Scharniere[[#This Row],[Gruppenschlüssel]]=select!$B$1485)=TRUE,1,0)</f>
        <v>0</v>
      </c>
      <c r="AF282" s="451">
        <f ca="1">IF(AND(Scharniere[[#This Row],[Scharnierart]]=select!$A$1486,Scharniere[[#This Row],[Gruppenschlüssel]]=select!$B$1486)=TRUE,1,0)</f>
        <v>0</v>
      </c>
      <c r="AG282" s="451">
        <f ca="1">IF(AND(Scharniere[[#This Row],[Scharnierart]]=select!$A$1487,Scharniere[[#This Row],[Gruppenschlüssel]]=select!$B$1487)=TRUE,1,0)</f>
        <v>0</v>
      </c>
      <c r="AH282" s="451">
        <f ca="1">IF(AND(Scharniere[[#This Row],[Scharnierart]]=select!$A$1488,Scharniere[[#This Row],[Gruppenschlüssel]]=select!$B$1488)=TRUE,1,0)</f>
        <v>0</v>
      </c>
      <c r="AI282" s="451">
        <f ca="1">IF(SUM(Scharniere[[#This Row],[konf Scharnier 1]:[konf Scharnier 4]])&gt;0,1,0)</f>
        <v>0</v>
      </c>
      <c r="AJ282" s="451"/>
      <c r="AK282" s="451"/>
      <c r="AL282" s="451"/>
      <c r="AM282" s="451"/>
      <c r="AN282" s="451"/>
      <c r="AO282" s="146">
        <v>1</v>
      </c>
      <c r="AP282" s="146">
        <v>2</v>
      </c>
      <c r="AQ282" s="10" t="str">
        <f ca="1">Sprache!$A$112</f>
        <v>Tiomos Scharnier TS Click-on</v>
      </c>
      <c r="AR282" t="s">
        <v>1936</v>
      </c>
      <c r="AS282" t="str">
        <f ca="1">Sprache!$A$103</f>
        <v>Tiomos Click-On Scharniere</v>
      </c>
      <c r="AT282">
        <v>9.5</v>
      </c>
      <c r="AU282" t="s">
        <v>8</v>
      </c>
      <c r="AV282">
        <v>120</v>
      </c>
      <c r="AW282" s="10">
        <v>1</v>
      </c>
      <c r="AX282">
        <v>0</v>
      </c>
      <c r="AY282">
        <v>0</v>
      </c>
      <c r="AZ282" s="10">
        <v>1</v>
      </c>
      <c r="BA282">
        <v>0</v>
      </c>
      <c r="BB282">
        <v>0</v>
      </c>
      <c r="BC282">
        <v>0</v>
      </c>
      <c r="BD282" s="143" t="s">
        <v>241</v>
      </c>
      <c r="BG282"/>
    </row>
    <row r="283" spans="1:59" ht="14.25" customHeight="1" x14ac:dyDescent="0.25">
      <c r="A283" s="37" t="str">
        <f>LEFT(Scharniere[[#This Row],[ArtikelNR]],4)</f>
        <v>F046</v>
      </c>
      <c r="B283" s="35" t="str">
        <f>MID(Scharniere[[#This Row],[ArtikelNR]],5,3)</f>
        <v>138</v>
      </c>
      <c r="C283" s="37" t="str">
        <f>RIGHT(Scharniere[[#This Row],[ArtikelNR]],3)</f>
        <v>214</v>
      </c>
      <c r="D283" s="35">
        <f>IF(AND(Scharniere[[#This Row],[Gruppenschlüssel]]=select!$A$44,Scharniere[[#This Row],[Scharnierart]]=1)=TRUE,1,0)</f>
        <v>0</v>
      </c>
      <c r="E2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3" s="35">
        <f>IF(select!$F$57=IF(Scharniere[[#This Row],[mit Dämpfung]]=1,1,IF(Scharniere[[#This Row],[ohne Dämpfung]]=1,2,IF(Scharniere[[#This Row],[ohne Feder]]=1,3,0))),1,0)</f>
        <v>1</v>
      </c>
      <c r="G283" s="35">
        <f>IF(Scharniere[[#This Row],[Bohrbild]]=select!$V$43,1,0)</f>
        <v>1</v>
      </c>
      <c r="H283" s="35">
        <f>IF(IF(Scharniere[[#This Row],[Anschrauben]]=1,1,IF(Scharniere[[#This Row],[Einpressen]]=1,2,IF(Scharniere[[#This Row],[Quick]]=1,3,IF(Scharniere[[#This Row],[Werkzeuglos]]=1,4,0))))=select!$F$48,1,0)</f>
        <v>0</v>
      </c>
      <c r="I2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3" s="149">
        <f>IF(AND(Scharniere[[#This Row],[Scharnierart]]=2,Scharniere[[#This Row],[Gruppenschlüssel]]=select!$A$318)=TRUE,1,0)</f>
        <v>0</v>
      </c>
      <c r="K283" s="221">
        <f ca="1">IF(select!$O$424&lt;6,1,0)</f>
        <v>1</v>
      </c>
      <c r="L283" s="139">
        <f>IF(select!$A$362=IF(Scharniere[[#This Row],[mit Dämpfung]]=1,1,IF(Scharniere[[#This Row],[ohne Dämpfung]]=1,2,IF(Scharniere[[#This Row],[ohne Feder]]=1,3,0))),1,0)</f>
        <v>0</v>
      </c>
      <c r="M283" s="135">
        <f>IF(Scharniere[[#This Row],[Bohrbild]]=select!$O$334,1,0)</f>
        <v>1</v>
      </c>
      <c r="N283" s="135">
        <f>IF(IF(Scharniere[[#This Row],[Anschrauben]]=1,1,IF(Scharniere[[#This Row],[Einpressen]]=1,2,IF(Scharniere[[#This Row],[Quick]]=1,3,IF(Scharniere[[#This Row],[Werkzeuglos]]=1,4,0))))=select!$E$362,1,0)</f>
        <v>1</v>
      </c>
      <c r="O2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3" s="298">
        <f>IF(AND(Scharniere[[#This Row],[Scharnierart]]=3,Scharniere[[#This Row],[Gruppenschlüssel]]=select!$A$747)=TRUE,1,0)</f>
        <v>0</v>
      </c>
      <c r="Q283" s="298">
        <f ca="1">IF(select!$O$945&lt;6,1,0)</f>
        <v>1</v>
      </c>
      <c r="R283" s="298">
        <f>IF(select!$A$778=IF(Scharniere[[#This Row],[mit Dämpfung]]=1,1,IF(Scharniere[[#This Row],[ohne Dämpfung]]=1,2,IF(Scharniere[[#This Row],[ohne Feder]]=1,3,0))),1,0)</f>
        <v>0</v>
      </c>
      <c r="S283" s="298">
        <f>IF(Scharniere[[#This Row],[Bohrbild]]=select!$A$755,1,0)</f>
        <v>0</v>
      </c>
      <c r="T283" s="298">
        <f>IF(IF(Scharniere[[#This Row],[Anschrauben]]=1,1,IF(Scharniere[[#This Row],[Einpressen]]=1,2,IF(Scharniere[[#This Row],[Quick]]=1,3,IF(Scharniere[[#This Row],[Werkzeuglos]]=1,4,0))))=select!$A$769,1,0)</f>
        <v>1</v>
      </c>
      <c r="U2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3" s="359">
        <f>IF(AND(Scharniere[[#This Row],[Scharnierart]]=4,Scharniere[[#This Row],[Gruppenschlüssel]]=select!$A$981)=TRUE,1,0)</f>
        <v>0</v>
      </c>
      <c r="W283" s="359">
        <f ca="1">IF(select!$O$1185&lt;6,1,0)</f>
        <v>1</v>
      </c>
      <c r="X283" s="359">
        <f>IF(select!$A$1012=IF(Scharniere[[#This Row],[mit Dämpfung]]=1,1,IF(Scharniere[[#This Row],[ohne Dämpfung]]=1,2,IF(Scharniere[[#This Row],[ohne Feder]]=1,3,0))),1,0)</f>
        <v>0</v>
      </c>
      <c r="Y283" s="359">
        <f>IF(Scharniere[[#This Row],[Bohrbild]]=select!$A$989,1,0)</f>
        <v>0</v>
      </c>
      <c r="Z283" s="359">
        <f>IF(IF(Scharniere[[#This Row],[Anschrauben]]=1,1,IF(Scharniere[[#This Row],[Einpressen]]=1,2,IF(Scharniere[[#This Row],[Quick]]=1,3,IF(Scharniere[[#This Row],[Werkzeuglos]]=1,4,0))))=select!$A$1003,1,0)</f>
        <v>1</v>
      </c>
      <c r="AA2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3" s="359">
        <f ca="1">IF(select!$K$980="*",Scharniere[[#This Row],[AG Ges2]],Scharniere[[#This Row],[AG Ges1]])</f>
        <v>0</v>
      </c>
      <c r="AE283" s="451">
        <f ca="1">IF(AND(Scharniere[[#This Row],[Scharnierart]]=select!$A$1485,Scharniere[[#This Row],[Gruppenschlüssel]]=select!$B$1485)=TRUE,1,0)</f>
        <v>0</v>
      </c>
      <c r="AF283" s="451">
        <f ca="1">IF(AND(Scharniere[[#This Row],[Scharnierart]]=select!$A$1486,Scharniere[[#This Row],[Gruppenschlüssel]]=select!$B$1486)=TRUE,1,0)</f>
        <v>0</v>
      </c>
      <c r="AG283" s="451">
        <f ca="1">IF(AND(Scharniere[[#This Row],[Scharnierart]]=select!$A$1487,Scharniere[[#This Row],[Gruppenschlüssel]]=select!$B$1487)=TRUE,1,0)</f>
        <v>0</v>
      </c>
      <c r="AH283" s="451">
        <f ca="1">IF(AND(Scharniere[[#This Row],[Scharnierart]]=select!$A$1488,Scharniere[[#This Row],[Gruppenschlüssel]]=select!$B$1488)=TRUE,1,0)</f>
        <v>0</v>
      </c>
      <c r="AI283" s="451">
        <f ca="1">IF(SUM(Scharniere[[#This Row],[konf Scharnier 1]:[konf Scharnier 4]])&gt;0,1,0)</f>
        <v>0</v>
      </c>
      <c r="AJ283" s="451"/>
      <c r="AK283" s="451"/>
      <c r="AL283" s="451"/>
      <c r="AM283" s="451"/>
      <c r="AN283" s="451"/>
      <c r="AO283" s="146">
        <v>1</v>
      </c>
      <c r="AP283" s="146">
        <v>2</v>
      </c>
      <c r="AQ283" s="10" t="str">
        <f ca="1">Sprache!$A$114</f>
        <v>Tiomos Scharnier TT Click-on</v>
      </c>
      <c r="AR283" t="s">
        <v>1936</v>
      </c>
      <c r="AS283" t="str">
        <f ca="1">Sprache!$A$103</f>
        <v>Tiomos Click-On Scharniere</v>
      </c>
      <c r="AT283">
        <v>9.5</v>
      </c>
      <c r="AU283" s="34" t="s">
        <v>8</v>
      </c>
      <c r="AV283">
        <v>120</v>
      </c>
      <c r="AW283" s="10">
        <v>0</v>
      </c>
      <c r="AX283">
        <v>0</v>
      </c>
      <c r="AY283">
        <v>1</v>
      </c>
      <c r="AZ283" s="10">
        <v>1</v>
      </c>
      <c r="BA283">
        <v>0</v>
      </c>
      <c r="BB283">
        <v>0</v>
      </c>
      <c r="BC283">
        <v>0</v>
      </c>
      <c r="BD283" s="143" t="s">
        <v>591</v>
      </c>
      <c r="BG283"/>
    </row>
    <row r="284" spans="1:59" ht="14.25" customHeight="1" x14ac:dyDescent="0.25">
      <c r="A284" s="37" t="str">
        <f>LEFT(Scharniere[[#This Row],[ArtikelNR]],4)</f>
        <v>F034</v>
      </c>
      <c r="B284" s="35" t="str">
        <f>MID(Scharniere[[#This Row],[ArtikelNR]],5,3)</f>
        <v>139</v>
      </c>
      <c r="C284" s="37" t="str">
        <f>RIGHT(Scharniere[[#This Row],[ArtikelNR]],3)</f>
        <v>316</v>
      </c>
      <c r="D284" s="35">
        <f>IF(AND(Scharniere[[#This Row],[Gruppenschlüssel]]=select!$A$44,Scharniere[[#This Row],[Scharnierart]]=1)=TRUE,1,0)</f>
        <v>0</v>
      </c>
      <c r="E2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4" s="35">
        <f>IF(select!$F$57=IF(Scharniere[[#This Row],[mit Dämpfung]]=1,1,IF(Scharniere[[#This Row],[ohne Dämpfung]]=1,2,IF(Scharniere[[#This Row],[ohne Feder]]=1,3,0))),1,0)</f>
        <v>0</v>
      </c>
      <c r="G284" s="35">
        <f>IF(Scharniere[[#This Row],[Bohrbild]]=select!$V$43,1,0)</f>
        <v>1</v>
      </c>
      <c r="H284" s="35">
        <f>IF(IF(Scharniere[[#This Row],[Anschrauben]]=1,1,IF(Scharniere[[#This Row],[Einpressen]]=1,2,IF(Scharniere[[#This Row],[Quick]]=1,3,IF(Scharniere[[#This Row],[Werkzeuglos]]=1,4,0))))=select!$F$48,1,0)</f>
        <v>0</v>
      </c>
      <c r="I2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4" s="149">
        <f>IF(AND(Scharniere[[#This Row],[Scharnierart]]=2,Scharniere[[#This Row],[Gruppenschlüssel]]=select!$A$318)=TRUE,1,0)</f>
        <v>0</v>
      </c>
      <c r="K284" s="221">
        <f ca="1">IF(select!$O$424&lt;6,1,0)</f>
        <v>1</v>
      </c>
      <c r="L284" s="139">
        <f>IF(select!$A$362=IF(Scharniere[[#This Row],[mit Dämpfung]]=1,1,IF(Scharniere[[#This Row],[ohne Dämpfung]]=1,2,IF(Scharniere[[#This Row],[ohne Feder]]=1,3,0))),1,0)</f>
        <v>0</v>
      </c>
      <c r="M284" s="135">
        <f>IF(Scharniere[[#This Row],[Bohrbild]]=select!$O$334,1,0)</f>
        <v>1</v>
      </c>
      <c r="N284" s="135">
        <f>IF(IF(Scharniere[[#This Row],[Anschrauben]]=1,1,IF(Scharniere[[#This Row],[Einpressen]]=1,2,IF(Scharniere[[#This Row],[Quick]]=1,3,IF(Scharniere[[#This Row],[Werkzeuglos]]=1,4,0))))=select!$E$362,1,0)</f>
        <v>0</v>
      </c>
      <c r="O2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4" s="298">
        <f>IF(AND(Scharniere[[#This Row],[Scharnierart]]=3,Scharniere[[#This Row],[Gruppenschlüssel]]=select!$A$747)=TRUE,1,0)</f>
        <v>0</v>
      </c>
      <c r="Q284" s="298">
        <f ca="1">IF(select!$O$945&lt;6,1,0)</f>
        <v>1</v>
      </c>
      <c r="R284" s="298">
        <f>IF(select!$A$778=IF(Scharniere[[#This Row],[mit Dämpfung]]=1,1,IF(Scharniere[[#This Row],[ohne Dämpfung]]=1,2,IF(Scharniere[[#This Row],[ohne Feder]]=1,3,0))),1,0)</f>
        <v>1</v>
      </c>
      <c r="S284" s="298">
        <f>IF(Scharniere[[#This Row],[Bohrbild]]=select!$A$755,1,0)</f>
        <v>0</v>
      </c>
      <c r="T284" s="298">
        <f>IF(IF(Scharniere[[#This Row],[Anschrauben]]=1,1,IF(Scharniere[[#This Row],[Einpressen]]=1,2,IF(Scharniere[[#This Row],[Quick]]=1,3,IF(Scharniere[[#This Row],[Werkzeuglos]]=1,4,0))))=select!$A$769,1,0)</f>
        <v>0</v>
      </c>
      <c r="U2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4" s="359">
        <f>IF(AND(Scharniere[[#This Row],[Scharnierart]]=4,Scharniere[[#This Row],[Gruppenschlüssel]]=select!$A$981)=TRUE,1,0)</f>
        <v>0</v>
      </c>
      <c r="W284" s="359">
        <f ca="1">IF(select!$O$1185&lt;6,1,0)</f>
        <v>1</v>
      </c>
      <c r="X284" s="359">
        <f>IF(select!$A$1012=IF(Scharniere[[#This Row],[mit Dämpfung]]=1,1,IF(Scharniere[[#This Row],[ohne Dämpfung]]=1,2,IF(Scharniere[[#This Row],[ohne Feder]]=1,3,0))),1,0)</f>
        <v>1</v>
      </c>
      <c r="Y284" s="359">
        <f>IF(Scharniere[[#This Row],[Bohrbild]]=select!$A$989,1,0)</f>
        <v>0</v>
      </c>
      <c r="Z284" s="359">
        <f>IF(IF(Scharniere[[#This Row],[Anschrauben]]=1,1,IF(Scharniere[[#This Row],[Einpressen]]=1,2,IF(Scharniere[[#This Row],[Quick]]=1,3,IF(Scharniere[[#This Row],[Werkzeuglos]]=1,4,0))))=select!$A$1003,1,0)</f>
        <v>0</v>
      </c>
      <c r="AA2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4" s="359">
        <f ca="1">IF(select!$K$980="*",Scharniere[[#This Row],[AG Ges2]],Scharniere[[#This Row],[AG Ges1]])</f>
        <v>0</v>
      </c>
      <c r="AE284" s="451">
        <f ca="1">IF(AND(Scharniere[[#This Row],[Scharnierart]]=select!$A$1485,Scharniere[[#This Row],[Gruppenschlüssel]]=select!$B$1485)=TRUE,1,0)</f>
        <v>0</v>
      </c>
      <c r="AF284" s="451">
        <f ca="1">IF(AND(Scharniere[[#This Row],[Scharnierart]]=select!$A$1486,Scharniere[[#This Row],[Gruppenschlüssel]]=select!$B$1486)=TRUE,1,0)</f>
        <v>0</v>
      </c>
      <c r="AG284" s="451">
        <f ca="1">IF(AND(Scharniere[[#This Row],[Scharnierart]]=select!$A$1487,Scharniere[[#This Row],[Gruppenschlüssel]]=select!$B$1487)=TRUE,1,0)</f>
        <v>0</v>
      </c>
      <c r="AH284" s="451">
        <f ca="1">IF(AND(Scharniere[[#This Row],[Scharnierart]]=select!$A$1488,Scharniere[[#This Row],[Gruppenschlüssel]]=select!$B$1488)=TRUE,1,0)</f>
        <v>0</v>
      </c>
      <c r="AI284" s="451">
        <f ca="1">IF(SUM(Scharniere[[#This Row],[konf Scharnier 1]:[konf Scharnier 4]])&gt;0,1,0)</f>
        <v>0</v>
      </c>
      <c r="AJ284" s="451"/>
      <c r="AK284" s="451"/>
      <c r="AL284" s="451"/>
      <c r="AM284" s="451"/>
      <c r="AN284" s="451"/>
      <c r="AO284" s="146">
        <v>1</v>
      </c>
      <c r="AP284" s="146">
        <v>2</v>
      </c>
      <c r="AQ284" s="10" t="str">
        <f ca="1">Sprache!$A$111</f>
        <v>Tiomos Scharnier T Impresso</v>
      </c>
      <c r="AR284" t="s">
        <v>1937</v>
      </c>
      <c r="AS284" t="str">
        <f ca="1">Sprache!$A$116</f>
        <v>Tiomos Impresso Scharniere</v>
      </c>
      <c r="AT284">
        <v>9.5</v>
      </c>
      <c r="AU284" s="34" t="s">
        <v>8</v>
      </c>
      <c r="AV284">
        <v>120</v>
      </c>
      <c r="AW284" s="10">
        <v>0</v>
      </c>
      <c r="AX284">
        <v>1</v>
      </c>
      <c r="AY284">
        <v>0</v>
      </c>
      <c r="AZ284" s="10">
        <v>0</v>
      </c>
      <c r="BA284">
        <v>0</v>
      </c>
      <c r="BB284">
        <v>0</v>
      </c>
      <c r="BC284">
        <v>1</v>
      </c>
      <c r="BD284" s="143" t="s">
        <v>142</v>
      </c>
      <c r="BG284"/>
    </row>
    <row r="285" spans="1:59" ht="14.25" customHeight="1" x14ac:dyDescent="0.25">
      <c r="A285" s="37" t="str">
        <f>LEFT(Scharniere[[#This Row],[ArtikelNR]],4)</f>
        <v>F034</v>
      </c>
      <c r="B285" s="35" t="str">
        <f>MID(Scharniere[[#This Row],[ArtikelNR]],5,3)</f>
        <v>139</v>
      </c>
      <c r="C285" s="37" t="str">
        <f>RIGHT(Scharniere[[#This Row],[ArtikelNR]],3)</f>
        <v>316</v>
      </c>
      <c r="D285" s="35">
        <f>IF(AND(Scharniere[[#This Row],[Gruppenschlüssel]]=select!$A$44,Scharniere[[#This Row],[Scharnierart]]=1)=TRUE,1,0)</f>
        <v>0</v>
      </c>
      <c r="E2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5" s="35">
        <f>IF(select!$F$57=IF(Scharniere[[#This Row],[mit Dämpfung]]=1,1,IF(Scharniere[[#This Row],[ohne Dämpfung]]=1,2,IF(Scharniere[[#This Row],[ohne Feder]]=1,3,0))),1,0)</f>
        <v>0</v>
      </c>
      <c r="G285" s="35">
        <f>IF(Scharniere[[#This Row],[Bohrbild]]=select!$V$43,1,0)</f>
        <v>0</v>
      </c>
      <c r="H285" s="35">
        <f>IF(IF(Scharniere[[#This Row],[Anschrauben]]=1,1,IF(Scharniere[[#This Row],[Einpressen]]=1,2,IF(Scharniere[[#This Row],[Quick]]=1,3,IF(Scharniere[[#This Row],[Werkzeuglos]]=1,4,0))))=select!$F$48,1,0)</f>
        <v>0</v>
      </c>
      <c r="I2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5" s="149">
        <f>IF(AND(Scharniere[[#This Row],[Scharnierart]]=2,Scharniere[[#This Row],[Gruppenschlüssel]]=select!$A$318)=TRUE,1,0)</f>
        <v>0</v>
      </c>
      <c r="K285" s="221">
        <f ca="1">IF(select!$O$424&lt;6,1,0)</f>
        <v>1</v>
      </c>
      <c r="L285" s="139">
        <f>IF(select!$A$362=IF(Scharniere[[#This Row],[mit Dämpfung]]=1,1,IF(Scharniere[[#This Row],[ohne Dämpfung]]=1,2,IF(Scharniere[[#This Row],[ohne Feder]]=1,3,0))),1,0)</f>
        <v>0</v>
      </c>
      <c r="M285" s="135">
        <f>IF(Scharniere[[#This Row],[Bohrbild]]=select!$O$334,1,0)</f>
        <v>0</v>
      </c>
      <c r="N285" s="135">
        <f>IF(IF(Scharniere[[#This Row],[Anschrauben]]=1,1,IF(Scharniere[[#This Row],[Einpressen]]=1,2,IF(Scharniere[[#This Row],[Quick]]=1,3,IF(Scharniere[[#This Row],[Werkzeuglos]]=1,4,0))))=select!$E$362,1,0)</f>
        <v>0</v>
      </c>
      <c r="O2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5" s="298">
        <f>IF(AND(Scharniere[[#This Row],[Scharnierart]]=3,Scharniere[[#This Row],[Gruppenschlüssel]]=select!$A$747)=TRUE,1,0)</f>
        <v>0</v>
      </c>
      <c r="Q285" s="298">
        <f ca="1">IF(select!$O$945&lt;6,1,0)</f>
        <v>1</v>
      </c>
      <c r="R285" s="298">
        <f>IF(select!$A$778=IF(Scharniere[[#This Row],[mit Dämpfung]]=1,1,IF(Scharniere[[#This Row],[ohne Dämpfung]]=1,2,IF(Scharniere[[#This Row],[ohne Feder]]=1,3,0))),1,0)</f>
        <v>1</v>
      </c>
      <c r="S285" s="298">
        <f>IF(Scharniere[[#This Row],[Bohrbild]]=select!$A$755,1,0)</f>
        <v>0</v>
      </c>
      <c r="T285" s="298">
        <f>IF(IF(Scharniere[[#This Row],[Anschrauben]]=1,1,IF(Scharniere[[#This Row],[Einpressen]]=1,2,IF(Scharniere[[#This Row],[Quick]]=1,3,IF(Scharniere[[#This Row],[Werkzeuglos]]=1,4,0))))=select!$A$769,1,0)</f>
        <v>0</v>
      </c>
      <c r="U2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5" s="359">
        <f>IF(AND(Scharniere[[#This Row],[Scharnierart]]=4,Scharniere[[#This Row],[Gruppenschlüssel]]=select!$A$981)=TRUE,1,0)</f>
        <v>0</v>
      </c>
      <c r="W285" s="359">
        <f ca="1">IF(select!$O$1185&lt;6,1,0)</f>
        <v>1</v>
      </c>
      <c r="X285" s="359">
        <f>IF(select!$A$1012=IF(Scharniere[[#This Row],[mit Dämpfung]]=1,1,IF(Scharniere[[#This Row],[ohne Dämpfung]]=1,2,IF(Scharniere[[#This Row],[ohne Feder]]=1,3,0))),1,0)</f>
        <v>1</v>
      </c>
      <c r="Y285" s="359">
        <f>IF(Scharniere[[#This Row],[Bohrbild]]=select!$A$989,1,0)</f>
        <v>0</v>
      </c>
      <c r="Z285" s="359">
        <f>IF(IF(Scharniere[[#This Row],[Anschrauben]]=1,1,IF(Scharniere[[#This Row],[Einpressen]]=1,2,IF(Scharniere[[#This Row],[Quick]]=1,3,IF(Scharniere[[#This Row],[Werkzeuglos]]=1,4,0))))=select!$A$1003,1,0)</f>
        <v>0</v>
      </c>
      <c r="AA2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5" s="359">
        <f ca="1">IF(select!$K$980="*",Scharniere[[#This Row],[AG Ges2]],Scharniere[[#This Row],[AG Ges1]])</f>
        <v>0</v>
      </c>
      <c r="AE285" s="451">
        <f ca="1">IF(AND(Scharniere[[#This Row],[Scharnierart]]=select!$A$1485,Scharniere[[#This Row],[Gruppenschlüssel]]=select!$B$1485)=TRUE,1,0)</f>
        <v>0</v>
      </c>
      <c r="AF285" s="451">
        <f ca="1">IF(AND(Scharniere[[#This Row],[Scharnierart]]=select!$A$1486,Scharniere[[#This Row],[Gruppenschlüssel]]=select!$B$1486)=TRUE,1,0)</f>
        <v>0</v>
      </c>
      <c r="AG285" s="451">
        <f ca="1">IF(AND(Scharniere[[#This Row],[Scharnierart]]=select!$A$1487,Scharniere[[#This Row],[Gruppenschlüssel]]=select!$B$1487)=TRUE,1,0)</f>
        <v>0</v>
      </c>
      <c r="AH285" s="451">
        <f ca="1">IF(AND(Scharniere[[#This Row],[Scharnierart]]=select!$A$1488,Scharniere[[#This Row],[Gruppenschlüssel]]=select!$B$1488)=TRUE,1,0)</f>
        <v>0</v>
      </c>
      <c r="AI285" s="451">
        <f ca="1">IF(SUM(Scharniere[[#This Row],[konf Scharnier 1]:[konf Scharnier 4]])&gt;0,1,0)</f>
        <v>0</v>
      </c>
      <c r="AJ285" s="451"/>
      <c r="AK285" s="451"/>
      <c r="AL285" s="451"/>
      <c r="AM285" s="451"/>
      <c r="AN285" s="451"/>
      <c r="AO285" s="146">
        <v>1</v>
      </c>
      <c r="AP285" s="146">
        <v>2</v>
      </c>
      <c r="AQ285" s="10" t="str">
        <f ca="1">Sprache!$A$111</f>
        <v>Tiomos Scharnier T Impresso</v>
      </c>
      <c r="AR285" t="s">
        <v>1937</v>
      </c>
      <c r="AS285" t="str">
        <f ca="1">Sprache!$A$116</f>
        <v>Tiomos Impresso Scharniere</v>
      </c>
      <c r="AT285">
        <v>9.5</v>
      </c>
      <c r="AU285" s="34" t="s">
        <v>3</v>
      </c>
      <c r="AV285">
        <v>120</v>
      </c>
      <c r="AW285" s="10">
        <v>0</v>
      </c>
      <c r="AX285">
        <v>1</v>
      </c>
      <c r="AY285">
        <v>0</v>
      </c>
      <c r="AZ285" s="10">
        <v>0</v>
      </c>
      <c r="BA285">
        <v>0</v>
      </c>
      <c r="BB285">
        <v>0</v>
      </c>
      <c r="BC285">
        <v>1</v>
      </c>
      <c r="BD285" s="143" t="s">
        <v>142</v>
      </c>
      <c r="BG285"/>
    </row>
    <row r="286" spans="1:59" ht="14.25" customHeight="1" x14ac:dyDescent="0.25">
      <c r="A286" s="37" t="str">
        <f>LEFT(Scharniere[[#This Row],[ArtikelNR]],4)</f>
        <v>F017</v>
      </c>
      <c r="B286" s="35" t="str">
        <f>MID(Scharniere[[#This Row],[ArtikelNR]],5,3)</f>
        <v>139</v>
      </c>
      <c r="C286" s="37" t="str">
        <f>RIGHT(Scharniere[[#This Row],[ArtikelNR]],3)</f>
        <v>345</v>
      </c>
      <c r="D286" s="35">
        <f>IF(AND(Scharniere[[#This Row],[Gruppenschlüssel]]=select!$A$44,Scharniere[[#This Row],[Scharnierart]]=1)=TRUE,1,0)</f>
        <v>0</v>
      </c>
      <c r="E2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6" s="35">
        <f>IF(select!$F$57=IF(Scharniere[[#This Row],[mit Dämpfung]]=1,1,IF(Scharniere[[#This Row],[ohne Dämpfung]]=1,2,IF(Scharniere[[#This Row],[ohne Feder]]=1,3,0))),1,0)</f>
        <v>0</v>
      </c>
      <c r="G286" s="35">
        <f>IF(Scharniere[[#This Row],[Bohrbild]]=select!$V$43,1,0)</f>
        <v>1</v>
      </c>
      <c r="H286" s="35">
        <f>IF(IF(Scharniere[[#This Row],[Anschrauben]]=1,1,IF(Scharniere[[#This Row],[Einpressen]]=1,2,IF(Scharniere[[#This Row],[Quick]]=1,3,IF(Scharniere[[#This Row],[Werkzeuglos]]=1,4,0))))=select!$F$48,1,0)</f>
        <v>0</v>
      </c>
      <c r="I2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6" s="149">
        <f>IF(AND(Scharniere[[#This Row],[Scharnierart]]=2,Scharniere[[#This Row],[Gruppenschlüssel]]=select!$A$318)=TRUE,1,0)</f>
        <v>0</v>
      </c>
      <c r="K286" s="221">
        <f ca="1">IF(select!$O$424&lt;6,1,0)</f>
        <v>1</v>
      </c>
      <c r="L286" s="139">
        <f>IF(select!$A$362=IF(Scharniere[[#This Row],[mit Dämpfung]]=1,1,IF(Scharniere[[#This Row],[ohne Dämpfung]]=1,2,IF(Scharniere[[#This Row],[ohne Feder]]=1,3,0))),1,0)</f>
        <v>1</v>
      </c>
      <c r="M286" s="135">
        <f>IF(Scharniere[[#This Row],[Bohrbild]]=select!$O$334,1,0)</f>
        <v>1</v>
      </c>
      <c r="N286" s="135">
        <f>IF(IF(Scharniere[[#This Row],[Anschrauben]]=1,1,IF(Scharniere[[#This Row],[Einpressen]]=1,2,IF(Scharniere[[#This Row],[Quick]]=1,3,IF(Scharniere[[#This Row],[Werkzeuglos]]=1,4,0))))=select!$E$362,1,0)</f>
        <v>0</v>
      </c>
      <c r="O2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6" s="298">
        <f>IF(AND(Scharniere[[#This Row],[Scharnierart]]=3,Scharniere[[#This Row],[Gruppenschlüssel]]=select!$A$747)=TRUE,1,0)</f>
        <v>0</v>
      </c>
      <c r="Q286" s="298">
        <f ca="1">IF(select!$O$945&lt;6,1,0)</f>
        <v>1</v>
      </c>
      <c r="R286" s="298">
        <f>IF(select!$A$778=IF(Scharniere[[#This Row],[mit Dämpfung]]=1,1,IF(Scharniere[[#This Row],[ohne Dämpfung]]=1,2,IF(Scharniere[[#This Row],[ohne Feder]]=1,3,0))),1,0)</f>
        <v>0</v>
      </c>
      <c r="S286" s="298">
        <f>IF(Scharniere[[#This Row],[Bohrbild]]=select!$A$755,1,0)</f>
        <v>0</v>
      </c>
      <c r="T286" s="298">
        <f>IF(IF(Scharniere[[#This Row],[Anschrauben]]=1,1,IF(Scharniere[[#This Row],[Einpressen]]=1,2,IF(Scharniere[[#This Row],[Quick]]=1,3,IF(Scharniere[[#This Row],[Werkzeuglos]]=1,4,0))))=select!$A$769,1,0)</f>
        <v>0</v>
      </c>
      <c r="U2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6" s="359">
        <f>IF(AND(Scharniere[[#This Row],[Scharnierart]]=4,Scharniere[[#This Row],[Gruppenschlüssel]]=select!$A$981)=TRUE,1,0)</f>
        <v>0</v>
      </c>
      <c r="W286" s="359">
        <f ca="1">IF(select!$O$1185&lt;6,1,0)</f>
        <v>1</v>
      </c>
      <c r="X286" s="359">
        <f>IF(select!$A$1012=IF(Scharniere[[#This Row],[mit Dämpfung]]=1,1,IF(Scharniere[[#This Row],[ohne Dämpfung]]=1,2,IF(Scharniere[[#This Row],[ohne Feder]]=1,3,0))),1,0)</f>
        <v>0</v>
      </c>
      <c r="Y286" s="359">
        <f>IF(Scharniere[[#This Row],[Bohrbild]]=select!$A$989,1,0)</f>
        <v>0</v>
      </c>
      <c r="Z286" s="359">
        <f>IF(IF(Scharniere[[#This Row],[Anschrauben]]=1,1,IF(Scharniere[[#This Row],[Einpressen]]=1,2,IF(Scharniere[[#This Row],[Quick]]=1,3,IF(Scharniere[[#This Row],[Werkzeuglos]]=1,4,0))))=select!$A$1003,1,0)</f>
        <v>0</v>
      </c>
      <c r="AA2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6" s="359">
        <f ca="1">IF(select!$K$980="*",Scharniere[[#This Row],[AG Ges2]],Scharniere[[#This Row],[AG Ges1]])</f>
        <v>0</v>
      </c>
      <c r="AE286" s="451">
        <f ca="1">IF(AND(Scharniere[[#This Row],[Scharnierart]]=select!$A$1485,Scharniere[[#This Row],[Gruppenschlüssel]]=select!$B$1485)=TRUE,1,0)</f>
        <v>0</v>
      </c>
      <c r="AF286" s="451">
        <f ca="1">IF(AND(Scharniere[[#This Row],[Scharnierart]]=select!$A$1486,Scharniere[[#This Row],[Gruppenschlüssel]]=select!$B$1486)=TRUE,1,0)</f>
        <v>0</v>
      </c>
      <c r="AG286" s="451">
        <f ca="1">IF(AND(Scharniere[[#This Row],[Scharnierart]]=select!$A$1487,Scharniere[[#This Row],[Gruppenschlüssel]]=select!$B$1487)=TRUE,1,0)</f>
        <v>0</v>
      </c>
      <c r="AH286" s="451">
        <f ca="1">IF(AND(Scharniere[[#This Row],[Scharnierart]]=select!$A$1488,Scharniere[[#This Row],[Gruppenschlüssel]]=select!$B$1488)=TRUE,1,0)</f>
        <v>0</v>
      </c>
      <c r="AI286" s="451">
        <f ca="1">IF(SUM(Scharniere[[#This Row],[konf Scharnier 1]:[konf Scharnier 4]])&gt;0,1,0)</f>
        <v>0</v>
      </c>
      <c r="AJ286" s="451"/>
      <c r="AK286" s="451"/>
      <c r="AL286" s="451"/>
      <c r="AM286" s="451"/>
      <c r="AN286" s="451"/>
      <c r="AO286" s="146">
        <v>1</v>
      </c>
      <c r="AP286" s="146">
        <v>2</v>
      </c>
      <c r="AQ286" s="10" t="str">
        <f ca="1">Sprache!$A$113</f>
        <v>Tiomos Scharnier TS Impresso</v>
      </c>
      <c r="AR286" t="s">
        <v>1937</v>
      </c>
      <c r="AS286" t="str">
        <f ca="1">Sprache!$A$116</f>
        <v>Tiomos Impresso Scharniere</v>
      </c>
      <c r="AT286">
        <v>9.5</v>
      </c>
      <c r="AU286" s="10" t="s">
        <v>8</v>
      </c>
      <c r="AV286">
        <v>120</v>
      </c>
      <c r="AW286" s="10">
        <v>1</v>
      </c>
      <c r="AX286">
        <v>0</v>
      </c>
      <c r="AY286">
        <v>0</v>
      </c>
      <c r="AZ286" s="10">
        <v>0</v>
      </c>
      <c r="BA286">
        <v>0</v>
      </c>
      <c r="BB286">
        <v>0</v>
      </c>
      <c r="BC286">
        <v>1</v>
      </c>
      <c r="BD286" s="143" t="s">
        <v>70</v>
      </c>
      <c r="BG286"/>
    </row>
    <row r="287" spans="1:59" ht="14.25" customHeight="1" x14ac:dyDescent="0.25">
      <c r="A287" s="37" t="str">
        <f>LEFT(Scharniere[[#This Row],[ArtikelNR]],4)</f>
        <v>F017</v>
      </c>
      <c r="B287" s="35" t="str">
        <f>MID(Scharniere[[#This Row],[ArtikelNR]],5,3)</f>
        <v>139</v>
      </c>
      <c r="C287" s="37" t="str">
        <f>RIGHT(Scharniere[[#This Row],[ArtikelNR]],3)</f>
        <v>345</v>
      </c>
      <c r="D287" s="35">
        <f>IF(AND(Scharniere[[#This Row],[Gruppenschlüssel]]=select!$A$44,Scharniere[[#This Row],[Scharnierart]]=1)=TRUE,1,0)</f>
        <v>0</v>
      </c>
      <c r="E2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7" s="35">
        <f>IF(select!$F$57=IF(Scharniere[[#This Row],[mit Dämpfung]]=1,1,IF(Scharniere[[#This Row],[ohne Dämpfung]]=1,2,IF(Scharniere[[#This Row],[ohne Feder]]=1,3,0))),1,0)</f>
        <v>0</v>
      </c>
      <c r="G287" s="35">
        <f>IF(Scharniere[[#This Row],[Bohrbild]]=select!$V$43,1,0)</f>
        <v>0</v>
      </c>
      <c r="H287" s="35">
        <f>IF(IF(Scharniere[[#This Row],[Anschrauben]]=1,1,IF(Scharniere[[#This Row],[Einpressen]]=1,2,IF(Scharniere[[#This Row],[Quick]]=1,3,IF(Scharniere[[#This Row],[Werkzeuglos]]=1,4,0))))=select!$F$48,1,0)</f>
        <v>0</v>
      </c>
      <c r="I2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7" s="149">
        <f>IF(AND(Scharniere[[#This Row],[Scharnierart]]=2,Scharniere[[#This Row],[Gruppenschlüssel]]=select!$A$318)=TRUE,1,0)</f>
        <v>0</v>
      </c>
      <c r="K287" s="221">
        <f ca="1">IF(select!$O$424&lt;6,1,0)</f>
        <v>1</v>
      </c>
      <c r="L287" s="139">
        <f>IF(select!$A$362=IF(Scharniere[[#This Row],[mit Dämpfung]]=1,1,IF(Scharniere[[#This Row],[ohne Dämpfung]]=1,2,IF(Scharniere[[#This Row],[ohne Feder]]=1,3,0))),1,0)</f>
        <v>1</v>
      </c>
      <c r="M287" s="135">
        <f>IF(Scharniere[[#This Row],[Bohrbild]]=select!$O$334,1,0)</f>
        <v>0</v>
      </c>
      <c r="N287" s="135">
        <f>IF(IF(Scharniere[[#This Row],[Anschrauben]]=1,1,IF(Scharniere[[#This Row],[Einpressen]]=1,2,IF(Scharniere[[#This Row],[Quick]]=1,3,IF(Scharniere[[#This Row],[Werkzeuglos]]=1,4,0))))=select!$E$362,1,0)</f>
        <v>0</v>
      </c>
      <c r="O2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7" s="298">
        <f>IF(AND(Scharniere[[#This Row],[Scharnierart]]=3,Scharniere[[#This Row],[Gruppenschlüssel]]=select!$A$747)=TRUE,1,0)</f>
        <v>0</v>
      </c>
      <c r="Q287" s="298">
        <f ca="1">IF(select!$O$945&lt;6,1,0)</f>
        <v>1</v>
      </c>
      <c r="R287" s="298">
        <f>IF(select!$A$778=IF(Scharniere[[#This Row],[mit Dämpfung]]=1,1,IF(Scharniere[[#This Row],[ohne Dämpfung]]=1,2,IF(Scharniere[[#This Row],[ohne Feder]]=1,3,0))),1,0)</f>
        <v>0</v>
      </c>
      <c r="S287" s="298">
        <f>IF(Scharniere[[#This Row],[Bohrbild]]=select!$A$755,1,0)</f>
        <v>0</v>
      </c>
      <c r="T287" s="298">
        <f>IF(IF(Scharniere[[#This Row],[Anschrauben]]=1,1,IF(Scharniere[[#This Row],[Einpressen]]=1,2,IF(Scharniere[[#This Row],[Quick]]=1,3,IF(Scharniere[[#This Row],[Werkzeuglos]]=1,4,0))))=select!$A$769,1,0)</f>
        <v>0</v>
      </c>
      <c r="U2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7" s="359">
        <f>IF(AND(Scharniere[[#This Row],[Scharnierart]]=4,Scharniere[[#This Row],[Gruppenschlüssel]]=select!$A$981)=TRUE,1,0)</f>
        <v>0</v>
      </c>
      <c r="W287" s="359">
        <f ca="1">IF(select!$O$1185&lt;6,1,0)</f>
        <v>1</v>
      </c>
      <c r="X287" s="359">
        <f>IF(select!$A$1012=IF(Scharniere[[#This Row],[mit Dämpfung]]=1,1,IF(Scharniere[[#This Row],[ohne Dämpfung]]=1,2,IF(Scharniere[[#This Row],[ohne Feder]]=1,3,0))),1,0)</f>
        <v>0</v>
      </c>
      <c r="Y287" s="359">
        <f>IF(Scharniere[[#This Row],[Bohrbild]]=select!$A$989,1,0)</f>
        <v>0</v>
      </c>
      <c r="Z287" s="359">
        <f>IF(IF(Scharniere[[#This Row],[Anschrauben]]=1,1,IF(Scharniere[[#This Row],[Einpressen]]=1,2,IF(Scharniere[[#This Row],[Quick]]=1,3,IF(Scharniere[[#This Row],[Werkzeuglos]]=1,4,0))))=select!$A$1003,1,0)</f>
        <v>0</v>
      </c>
      <c r="AA2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7" s="359">
        <f ca="1">IF(select!$K$980="*",Scharniere[[#This Row],[AG Ges2]],Scharniere[[#This Row],[AG Ges1]])</f>
        <v>0</v>
      </c>
      <c r="AE287" s="451">
        <f ca="1">IF(AND(Scharniere[[#This Row],[Scharnierart]]=select!$A$1485,Scharniere[[#This Row],[Gruppenschlüssel]]=select!$B$1485)=TRUE,1,0)</f>
        <v>0</v>
      </c>
      <c r="AF287" s="451">
        <f ca="1">IF(AND(Scharniere[[#This Row],[Scharnierart]]=select!$A$1486,Scharniere[[#This Row],[Gruppenschlüssel]]=select!$B$1486)=TRUE,1,0)</f>
        <v>0</v>
      </c>
      <c r="AG287" s="451">
        <f ca="1">IF(AND(Scharniere[[#This Row],[Scharnierart]]=select!$A$1487,Scharniere[[#This Row],[Gruppenschlüssel]]=select!$B$1487)=TRUE,1,0)</f>
        <v>0</v>
      </c>
      <c r="AH287" s="451">
        <f ca="1">IF(AND(Scharniere[[#This Row],[Scharnierart]]=select!$A$1488,Scharniere[[#This Row],[Gruppenschlüssel]]=select!$B$1488)=TRUE,1,0)</f>
        <v>0</v>
      </c>
      <c r="AI287" s="451">
        <f ca="1">IF(SUM(Scharniere[[#This Row],[konf Scharnier 1]:[konf Scharnier 4]])&gt;0,1,0)</f>
        <v>0</v>
      </c>
      <c r="AJ287" s="451"/>
      <c r="AK287" s="451"/>
      <c r="AL287" s="451"/>
      <c r="AM287" s="451"/>
      <c r="AN287" s="451"/>
      <c r="AO287" s="146">
        <v>1</v>
      </c>
      <c r="AP287" s="146">
        <v>2</v>
      </c>
      <c r="AQ287" s="10" t="str">
        <f ca="1">Sprache!$A$113</f>
        <v>Tiomos Scharnier TS Impresso</v>
      </c>
      <c r="AR287" t="s">
        <v>1937</v>
      </c>
      <c r="AS287" t="str">
        <f ca="1">Sprache!$A$116</f>
        <v>Tiomos Impresso Scharniere</v>
      </c>
      <c r="AT287">
        <v>9.5</v>
      </c>
      <c r="AU287" s="34" t="s">
        <v>3</v>
      </c>
      <c r="AV287">
        <v>120</v>
      </c>
      <c r="AW287" s="10">
        <v>1</v>
      </c>
      <c r="AX287">
        <v>0</v>
      </c>
      <c r="AY287">
        <v>0</v>
      </c>
      <c r="AZ287" s="10">
        <v>0</v>
      </c>
      <c r="BA287">
        <v>0</v>
      </c>
      <c r="BB287">
        <v>0</v>
      </c>
      <c r="BC287">
        <v>1</v>
      </c>
      <c r="BD287" s="143" t="s">
        <v>70</v>
      </c>
      <c r="BG287"/>
    </row>
    <row r="288" spans="1:59" ht="14.25" customHeight="1" x14ac:dyDescent="0.25">
      <c r="A288" s="37" t="str">
        <f>LEFT(Scharniere[[#This Row],[ArtikelNR]],4)</f>
        <v>F035</v>
      </c>
      <c r="B288" s="35" t="str">
        <f>MID(Scharniere[[#This Row],[ArtikelNR]],5,3)</f>
        <v>139</v>
      </c>
      <c r="C288" s="37" t="str">
        <f>RIGHT(Scharniere[[#This Row],[ArtikelNR]],3)</f>
        <v>373</v>
      </c>
      <c r="D288" s="35">
        <f>IF(AND(Scharniere[[#This Row],[Gruppenschlüssel]]=select!$A$44,Scharniere[[#This Row],[Scharnierart]]=1)=TRUE,1,0)</f>
        <v>0</v>
      </c>
      <c r="E2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8" s="35">
        <f>IF(select!$F$57=IF(Scharniere[[#This Row],[mit Dämpfung]]=1,1,IF(Scharniere[[#This Row],[ohne Dämpfung]]=1,2,IF(Scharniere[[#This Row],[ohne Feder]]=1,3,0))),1,0)</f>
        <v>1</v>
      </c>
      <c r="G288" s="35">
        <f>IF(Scharniere[[#This Row],[Bohrbild]]=select!$V$43,1,0)</f>
        <v>1</v>
      </c>
      <c r="H288" s="35">
        <f>IF(IF(Scharniere[[#This Row],[Anschrauben]]=1,1,IF(Scharniere[[#This Row],[Einpressen]]=1,2,IF(Scharniere[[#This Row],[Quick]]=1,3,IF(Scharniere[[#This Row],[Werkzeuglos]]=1,4,0))))=select!$F$48,1,0)</f>
        <v>0</v>
      </c>
      <c r="I2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8" s="149">
        <f>IF(AND(Scharniere[[#This Row],[Scharnierart]]=2,Scharniere[[#This Row],[Gruppenschlüssel]]=select!$A$318)=TRUE,1,0)</f>
        <v>0</v>
      </c>
      <c r="K288" s="221">
        <f ca="1">IF(select!$O$424&lt;6,1,0)</f>
        <v>1</v>
      </c>
      <c r="L288" s="139">
        <f>IF(select!$A$362=IF(Scharniere[[#This Row],[mit Dämpfung]]=1,1,IF(Scharniere[[#This Row],[ohne Dämpfung]]=1,2,IF(Scharniere[[#This Row],[ohne Feder]]=1,3,0))),1,0)</f>
        <v>0</v>
      </c>
      <c r="M288" s="135">
        <f>IF(Scharniere[[#This Row],[Bohrbild]]=select!$O$334,1,0)</f>
        <v>1</v>
      </c>
      <c r="N288" s="135">
        <f>IF(IF(Scharniere[[#This Row],[Anschrauben]]=1,1,IF(Scharniere[[#This Row],[Einpressen]]=1,2,IF(Scharniere[[#This Row],[Quick]]=1,3,IF(Scharniere[[#This Row],[Werkzeuglos]]=1,4,0))))=select!$E$362,1,0)</f>
        <v>0</v>
      </c>
      <c r="O2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8" s="298">
        <f>IF(AND(Scharniere[[#This Row],[Scharnierart]]=3,Scharniere[[#This Row],[Gruppenschlüssel]]=select!$A$747)=TRUE,1,0)</f>
        <v>0</v>
      </c>
      <c r="Q288" s="298">
        <f ca="1">IF(select!$O$945&lt;6,1,0)</f>
        <v>1</v>
      </c>
      <c r="R288" s="298">
        <f>IF(select!$A$778=IF(Scharniere[[#This Row],[mit Dämpfung]]=1,1,IF(Scharniere[[#This Row],[ohne Dämpfung]]=1,2,IF(Scharniere[[#This Row],[ohne Feder]]=1,3,0))),1,0)</f>
        <v>0</v>
      </c>
      <c r="S288" s="298">
        <f>IF(Scharniere[[#This Row],[Bohrbild]]=select!$A$755,1,0)</f>
        <v>0</v>
      </c>
      <c r="T288" s="298">
        <f>IF(IF(Scharniere[[#This Row],[Anschrauben]]=1,1,IF(Scharniere[[#This Row],[Einpressen]]=1,2,IF(Scharniere[[#This Row],[Quick]]=1,3,IF(Scharniere[[#This Row],[Werkzeuglos]]=1,4,0))))=select!$A$769,1,0)</f>
        <v>0</v>
      </c>
      <c r="U2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8" s="359">
        <f>IF(AND(Scharniere[[#This Row],[Scharnierart]]=4,Scharniere[[#This Row],[Gruppenschlüssel]]=select!$A$981)=TRUE,1,0)</f>
        <v>0</v>
      </c>
      <c r="W288" s="359">
        <f ca="1">IF(select!$O$1185&lt;6,1,0)</f>
        <v>1</v>
      </c>
      <c r="X288" s="359">
        <f>IF(select!$A$1012=IF(Scharniere[[#This Row],[mit Dämpfung]]=1,1,IF(Scharniere[[#This Row],[ohne Dämpfung]]=1,2,IF(Scharniere[[#This Row],[ohne Feder]]=1,3,0))),1,0)</f>
        <v>0</v>
      </c>
      <c r="Y288" s="359">
        <f>IF(Scharniere[[#This Row],[Bohrbild]]=select!$A$989,1,0)</f>
        <v>0</v>
      </c>
      <c r="Z288" s="359">
        <f>IF(IF(Scharniere[[#This Row],[Anschrauben]]=1,1,IF(Scharniere[[#This Row],[Einpressen]]=1,2,IF(Scharniere[[#This Row],[Quick]]=1,3,IF(Scharniere[[#This Row],[Werkzeuglos]]=1,4,0))))=select!$A$1003,1,0)</f>
        <v>0</v>
      </c>
      <c r="AA2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8" s="359">
        <f ca="1">IF(select!$K$980="*",Scharniere[[#This Row],[AG Ges2]],Scharniere[[#This Row],[AG Ges1]])</f>
        <v>0</v>
      </c>
      <c r="AE288" s="451">
        <f ca="1">IF(AND(Scharniere[[#This Row],[Scharnierart]]=select!$A$1485,Scharniere[[#This Row],[Gruppenschlüssel]]=select!$B$1485)=TRUE,1,0)</f>
        <v>0</v>
      </c>
      <c r="AF288" s="451">
        <f ca="1">IF(AND(Scharniere[[#This Row],[Scharnierart]]=select!$A$1486,Scharniere[[#This Row],[Gruppenschlüssel]]=select!$B$1486)=TRUE,1,0)</f>
        <v>0</v>
      </c>
      <c r="AG288" s="451">
        <f ca="1">IF(AND(Scharniere[[#This Row],[Scharnierart]]=select!$A$1487,Scharniere[[#This Row],[Gruppenschlüssel]]=select!$B$1487)=TRUE,1,0)</f>
        <v>0</v>
      </c>
      <c r="AH288" s="451">
        <f ca="1">IF(AND(Scharniere[[#This Row],[Scharnierart]]=select!$A$1488,Scharniere[[#This Row],[Gruppenschlüssel]]=select!$B$1488)=TRUE,1,0)</f>
        <v>0</v>
      </c>
      <c r="AI288" s="451">
        <f ca="1">IF(SUM(Scharniere[[#This Row],[konf Scharnier 1]:[konf Scharnier 4]])&gt;0,1,0)</f>
        <v>0</v>
      </c>
      <c r="AJ288" s="451"/>
      <c r="AK288" s="451"/>
      <c r="AL288" s="451"/>
      <c r="AM288" s="451"/>
      <c r="AN288" s="451"/>
      <c r="AO288" s="146">
        <v>1</v>
      </c>
      <c r="AP288" s="146">
        <v>2</v>
      </c>
      <c r="AQ288" s="10" t="str">
        <f ca="1">Sprache!$A$115</f>
        <v>Tiomos Scharnier TT Impresso</v>
      </c>
      <c r="AR288" t="s">
        <v>1937</v>
      </c>
      <c r="AS288" t="str">
        <f ca="1">Sprache!$A$116</f>
        <v>Tiomos Impresso Scharniere</v>
      </c>
      <c r="AT288">
        <v>9.5</v>
      </c>
      <c r="AU288" t="s">
        <v>8</v>
      </c>
      <c r="AV288">
        <v>120</v>
      </c>
      <c r="AW288" s="10">
        <v>0</v>
      </c>
      <c r="AX288">
        <v>0</v>
      </c>
      <c r="AY288">
        <v>1</v>
      </c>
      <c r="AZ288" s="10">
        <v>0</v>
      </c>
      <c r="BA288">
        <v>0</v>
      </c>
      <c r="BB288">
        <v>0</v>
      </c>
      <c r="BC288">
        <v>1</v>
      </c>
      <c r="BD288" s="143" t="s">
        <v>186</v>
      </c>
      <c r="BG288"/>
    </row>
    <row r="289" spans="1:59" ht="14.25" customHeight="1" x14ac:dyDescent="0.25">
      <c r="A289" s="37" t="str">
        <f>LEFT(Scharniere[[#This Row],[ArtikelNR]],4)</f>
        <v>F035</v>
      </c>
      <c r="B289" s="35" t="str">
        <f>MID(Scharniere[[#This Row],[ArtikelNR]],5,3)</f>
        <v>139</v>
      </c>
      <c r="C289" s="37" t="str">
        <f>RIGHT(Scharniere[[#This Row],[ArtikelNR]],3)</f>
        <v>373</v>
      </c>
      <c r="D289" s="35">
        <f>IF(AND(Scharniere[[#This Row],[Gruppenschlüssel]]=select!$A$44,Scharniere[[#This Row],[Scharnierart]]=1)=TRUE,1,0)</f>
        <v>0</v>
      </c>
      <c r="E2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89" s="35">
        <f>IF(select!$F$57=IF(Scharniere[[#This Row],[mit Dämpfung]]=1,1,IF(Scharniere[[#This Row],[ohne Dämpfung]]=1,2,IF(Scharniere[[#This Row],[ohne Feder]]=1,3,0))),1,0)</f>
        <v>1</v>
      </c>
      <c r="G289" s="35">
        <f>IF(Scharniere[[#This Row],[Bohrbild]]=select!$V$43,1,0)</f>
        <v>0</v>
      </c>
      <c r="H289" s="35">
        <f>IF(IF(Scharniere[[#This Row],[Anschrauben]]=1,1,IF(Scharniere[[#This Row],[Einpressen]]=1,2,IF(Scharniere[[#This Row],[Quick]]=1,3,IF(Scharniere[[#This Row],[Werkzeuglos]]=1,4,0))))=select!$F$48,1,0)</f>
        <v>0</v>
      </c>
      <c r="I2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89" s="149">
        <f>IF(AND(Scharniere[[#This Row],[Scharnierart]]=2,Scharniere[[#This Row],[Gruppenschlüssel]]=select!$A$318)=TRUE,1,0)</f>
        <v>0</v>
      </c>
      <c r="K289" s="221">
        <f ca="1">IF(select!$O$424&lt;6,1,0)</f>
        <v>1</v>
      </c>
      <c r="L289" s="139">
        <f>IF(select!$A$362=IF(Scharniere[[#This Row],[mit Dämpfung]]=1,1,IF(Scharniere[[#This Row],[ohne Dämpfung]]=1,2,IF(Scharniere[[#This Row],[ohne Feder]]=1,3,0))),1,0)</f>
        <v>0</v>
      </c>
      <c r="M289" s="135">
        <f>IF(Scharniere[[#This Row],[Bohrbild]]=select!$O$334,1,0)</f>
        <v>0</v>
      </c>
      <c r="N289" s="135">
        <f>IF(IF(Scharniere[[#This Row],[Anschrauben]]=1,1,IF(Scharniere[[#This Row],[Einpressen]]=1,2,IF(Scharniere[[#This Row],[Quick]]=1,3,IF(Scharniere[[#This Row],[Werkzeuglos]]=1,4,0))))=select!$E$362,1,0)</f>
        <v>0</v>
      </c>
      <c r="O2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89" s="298">
        <f>IF(AND(Scharniere[[#This Row],[Scharnierart]]=3,Scharniere[[#This Row],[Gruppenschlüssel]]=select!$A$747)=TRUE,1,0)</f>
        <v>0</v>
      </c>
      <c r="Q289" s="298">
        <f ca="1">IF(select!$O$945&lt;6,1,0)</f>
        <v>1</v>
      </c>
      <c r="R289" s="298">
        <f>IF(select!$A$778=IF(Scharniere[[#This Row],[mit Dämpfung]]=1,1,IF(Scharniere[[#This Row],[ohne Dämpfung]]=1,2,IF(Scharniere[[#This Row],[ohne Feder]]=1,3,0))),1,0)</f>
        <v>0</v>
      </c>
      <c r="S289" s="298">
        <f>IF(Scharniere[[#This Row],[Bohrbild]]=select!$A$755,1,0)</f>
        <v>0</v>
      </c>
      <c r="T289" s="298">
        <f>IF(IF(Scharniere[[#This Row],[Anschrauben]]=1,1,IF(Scharniere[[#This Row],[Einpressen]]=1,2,IF(Scharniere[[#This Row],[Quick]]=1,3,IF(Scharniere[[#This Row],[Werkzeuglos]]=1,4,0))))=select!$A$769,1,0)</f>
        <v>0</v>
      </c>
      <c r="U2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89" s="359">
        <f>IF(AND(Scharniere[[#This Row],[Scharnierart]]=4,Scharniere[[#This Row],[Gruppenschlüssel]]=select!$A$981)=TRUE,1,0)</f>
        <v>0</v>
      </c>
      <c r="W289" s="359">
        <f ca="1">IF(select!$O$1185&lt;6,1,0)</f>
        <v>1</v>
      </c>
      <c r="X289" s="359">
        <f>IF(select!$A$1012=IF(Scharniere[[#This Row],[mit Dämpfung]]=1,1,IF(Scharniere[[#This Row],[ohne Dämpfung]]=1,2,IF(Scharniere[[#This Row],[ohne Feder]]=1,3,0))),1,0)</f>
        <v>0</v>
      </c>
      <c r="Y289" s="359">
        <f>IF(Scharniere[[#This Row],[Bohrbild]]=select!$A$989,1,0)</f>
        <v>0</v>
      </c>
      <c r="Z289" s="359">
        <f>IF(IF(Scharniere[[#This Row],[Anschrauben]]=1,1,IF(Scharniere[[#This Row],[Einpressen]]=1,2,IF(Scharniere[[#This Row],[Quick]]=1,3,IF(Scharniere[[#This Row],[Werkzeuglos]]=1,4,0))))=select!$A$1003,1,0)</f>
        <v>0</v>
      </c>
      <c r="AA2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89" s="359">
        <f ca="1">IF(select!$K$980="*",Scharniere[[#This Row],[AG Ges2]],Scharniere[[#This Row],[AG Ges1]])</f>
        <v>0</v>
      </c>
      <c r="AE289" s="451">
        <f ca="1">IF(AND(Scharniere[[#This Row],[Scharnierart]]=select!$A$1485,Scharniere[[#This Row],[Gruppenschlüssel]]=select!$B$1485)=TRUE,1,0)</f>
        <v>0</v>
      </c>
      <c r="AF289" s="451">
        <f ca="1">IF(AND(Scharniere[[#This Row],[Scharnierart]]=select!$A$1486,Scharniere[[#This Row],[Gruppenschlüssel]]=select!$B$1486)=TRUE,1,0)</f>
        <v>0</v>
      </c>
      <c r="AG289" s="451">
        <f ca="1">IF(AND(Scharniere[[#This Row],[Scharnierart]]=select!$A$1487,Scharniere[[#This Row],[Gruppenschlüssel]]=select!$B$1487)=TRUE,1,0)</f>
        <v>0</v>
      </c>
      <c r="AH289" s="451">
        <f ca="1">IF(AND(Scharniere[[#This Row],[Scharnierart]]=select!$A$1488,Scharniere[[#This Row],[Gruppenschlüssel]]=select!$B$1488)=TRUE,1,0)</f>
        <v>0</v>
      </c>
      <c r="AI289" s="451">
        <f ca="1">IF(SUM(Scharniere[[#This Row],[konf Scharnier 1]:[konf Scharnier 4]])&gt;0,1,0)</f>
        <v>0</v>
      </c>
      <c r="AJ289" s="451"/>
      <c r="AK289" s="451"/>
      <c r="AL289" s="451"/>
      <c r="AM289" s="451"/>
      <c r="AN289" s="451"/>
      <c r="AO289" s="146">
        <v>1</v>
      </c>
      <c r="AP289" s="146">
        <v>2</v>
      </c>
      <c r="AQ289" s="10" t="str">
        <f ca="1">Sprache!$A$115</f>
        <v>Tiomos Scharnier TT Impresso</v>
      </c>
      <c r="AR289" t="s">
        <v>1937</v>
      </c>
      <c r="AS289" t="str">
        <f ca="1">Sprache!$A$116</f>
        <v>Tiomos Impresso Scharniere</v>
      </c>
      <c r="AT289">
        <v>9.5</v>
      </c>
      <c r="AU289" s="10" t="s">
        <v>3</v>
      </c>
      <c r="AV289">
        <v>120</v>
      </c>
      <c r="AW289" s="10">
        <v>0</v>
      </c>
      <c r="AX289">
        <v>0</v>
      </c>
      <c r="AY289">
        <v>1</v>
      </c>
      <c r="AZ289" s="10">
        <v>0</v>
      </c>
      <c r="BA289">
        <v>0</v>
      </c>
      <c r="BB289">
        <v>0</v>
      </c>
      <c r="BC289">
        <v>1</v>
      </c>
      <c r="BD289" s="143" t="s">
        <v>186</v>
      </c>
      <c r="BG289"/>
    </row>
    <row r="290" spans="1:59" ht="14.25" customHeight="1" x14ac:dyDescent="0.25">
      <c r="A290" s="37" t="str">
        <f>LEFT(Scharniere[[#This Row],[ArtikelNR]],4)</f>
        <v>F045</v>
      </c>
      <c r="B290" s="35" t="str">
        <f>MID(Scharniere[[#This Row],[ArtikelNR]],5,3)</f>
        <v>138</v>
      </c>
      <c r="C290" s="37" t="str">
        <f>RIGHT(Scharniere[[#This Row],[ArtikelNR]],3)</f>
        <v>855</v>
      </c>
      <c r="D290" s="35">
        <f>IF(AND(Scharniere[[#This Row],[Gruppenschlüssel]]=select!$A$44,Scharniere[[#This Row],[Scharnierart]]=1)=TRUE,1,0)</f>
        <v>0</v>
      </c>
      <c r="E2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0" s="35">
        <f>IF(select!$F$57=IF(Scharniere[[#This Row],[mit Dämpfung]]=1,1,IF(Scharniere[[#This Row],[ohne Dämpfung]]=1,2,IF(Scharniere[[#This Row],[ohne Feder]]=1,3,0))),1,0)</f>
        <v>0</v>
      </c>
      <c r="G290" s="35">
        <f>IF(Scharniere[[#This Row],[Bohrbild]]=select!$V$43,1,0)</f>
        <v>0</v>
      </c>
      <c r="H290" s="35">
        <f>IF(IF(Scharniere[[#This Row],[Anschrauben]]=1,1,IF(Scharniere[[#This Row],[Einpressen]]=1,2,IF(Scharniere[[#This Row],[Quick]]=1,3,IF(Scharniere[[#This Row],[Werkzeuglos]]=1,4,0))))=select!$F$48,1,0)</f>
        <v>1</v>
      </c>
      <c r="I2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0" s="149">
        <f>IF(AND(Scharniere[[#This Row],[Scharnierart]]=2,Scharniere[[#This Row],[Gruppenschlüssel]]=select!$A$318)=TRUE,1,0)</f>
        <v>0</v>
      </c>
      <c r="K290" s="221">
        <f ca="1">IF(select!$O$424&lt;6,1,0)</f>
        <v>1</v>
      </c>
      <c r="L290" s="139">
        <f>IF(select!$A$362=IF(Scharniere[[#This Row],[mit Dämpfung]]=1,1,IF(Scharniere[[#This Row],[ohne Dämpfung]]=1,2,IF(Scharniere[[#This Row],[ohne Feder]]=1,3,0))),1,0)</f>
        <v>0</v>
      </c>
      <c r="M290" s="135">
        <f>IF(Scharniere[[#This Row],[Bohrbild]]=select!$O$334,1,0)</f>
        <v>0</v>
      </c>
      <c r="N290" s="135">
        <f>IF(IF(Scharniere[[#This Row],[Anschrauben]]=1,1,IF(Scharniere[[#This Row],[Einpressen]]=1,2,IF(Scharniere[[#This Row],[Quick]]=1,3,IF(Scharniere[[#This Row],[Werkzeuglos]]=1,4,0))))=select!$E$362,1,0)</f>
        <v>0</v>
      </c>
      <c r="O2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0" s="298">
        <f>IF(AND(Scharniere[[#This Row],[Scharnierart]]=3,Scharniere[[#This Row],[Gruppenschlüssel]]=select!$A$747)=TRUE,1,0)</f>
        <v>0</v>
      </c>
      <c r="Q290" s="298">
        <f ca="1">IF(select!$O$945&lt;6,1,0)</f>
        <v>1</v>
      </c>
      <c r="R290" s="298">
        <f>IF(select!$A$778=IF(Scharniere[[#This Row],[mit Dämpfung]]=1,1,IF(Scharniere[[#This Row],[ohne Dämpfung]]=1,2,IF(Scharniere[[#This Row],[ohne Feder]]=1,3,0))),1,0)</f>
        <v>1</v>
      </c>
      <c r="S290" s="298">
        <f>IF(Scharniere[[#This Row],[Bohrbild]]=select!$A$755,1,0)</f>
        <v>0</v>
      </c>
      <c r="T290" s="298">
        <f>IF(IF(Scharniere[[#This Row],[Anschrauben]]=1,1,IF(Scharniere[[#This Row],[Einpressen]]=1,2,IF(Scharniere[[#This Row],[Quick]]=1,3,IF(Scharniere[[#This Row],[Werkzeuglos]]=1,4,0))))=select!$A$769,1,0)</f>
        <v>0</v>
      </c>
      <c r="U2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0" s="359">
        <f>IF(AND(Scharniere[[#This Row],[Scharnierart]]=4,Scharniere[[#This Row],[Gruppenschlüssel]]=select!$A$981)=TRUE,1,0)</f>
        <v>0</v>
      </c>
      <c r="W290" s="359">
        <f ca="1">IF(select!$O$1185&lt;6,1,0)</f>
        <v>1</v>
      </c>
      <c r="X290" s="359">
        <f>IF(select!$A$1012=IF(Scharniere[[#This Row],[mit Dämpfung]]=1,1,IF(Scharniere[[#This Row],[ohne Dämpfung]]=1,2,IF(Scharniere[[#This Row],[ohne Feder]]=1,3,0))),1,0)</f>
        <v>1</v>
      </c>
      <c r="Y290" s="359">
        <f>IF(Scharniere[[#This Row],[Bohrbild]]=select!$A$989,1,0)</f>
        <v>0</v>
      </c>
      <c r="Z290" s="359">
        <f>IF(IF(Scharniere[[#This Row],[Anschrauben]]=1,1,IF(Scharniere[[#This Row],[Einpressen]]=1,2,IF(Scharniere[[#This Row],[Quick]]=1,3,IF(Scharniere[[#This Row],[Werkzeuglos]]=1,4,0))))=select!$A$1003,1,0)</f>
        <v>0</v>
      </c>
      <c r="AA2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0" s="359">
        <f ca="1">IF(select!$K$980="*",Scharniere[[#This Row],[AG Ges2]],Scharniere[[#This Row],[AG Ges1]])</f>
        <v>0</v>
      </c>
      <c r="AE290" s="451">
        <f ca="1">IF(AND(Scharniere[[#This Row],[Scharnierart]]=select!$A$1485,Scharniere[[#This Row],[Gruppenschlüssel]]=select!$B$1485)=TRUE,1,0)</f>
        <v>0</v>
      </c>
      <c r="AF290" s="451">
        <f ca="1">IF(AND(Scharniere[[#This Row],[Scharnierart]]=select!$A$1486,Scharniere[[#This Row],[Gruppenschlüssel]]=select!$B$1486)=TRUE,1,0)</f>
        <v>0</v>
      </c>
      <c r="AG290" s="451">
        <f ca="1">IF(AND(Scharniere[[#This Row],[Scharnierart]]=select!$A$1487,Scharniere[[#This Row],[Gruppenschlüssel]]=select!$B$1487)=TRUE,1,0)</f>
        <v>0</v>
      </c>
      <c r="AH290" s="451">
        <f ca="1">IF(AND(Scharniere[[#This Row],[Scharnierart]]=select!$A$1488,Scharniere[[#This Row],[Gruppenschlüssel]]=select!$B$1488)=TRUE,1,0)</f>
        <v>0</v>
      </c>
      <c r="AI290" s="451">
        <f ca="1">IF(SUM(Scharniere[[#This Row],[konf Scharnier 1]:[konf Scharnier 4]])&gt;0,1,0)</f>
        <v>0</v>
      </c>
      <c r="AJ290" s="451"/>
      <c r="AK290" s="451"/>
      <c r="AL290" s="451"/>
      <c r="AM290" s="451"/>
      <c r="AN290" s="451"/>
      <c r="AO290" s="146">
        <v>1</v>
      </c>
      <c r="AP290" s="146">
        <v>2</v>
      </c>
      <c r="AQ290" s="10" t="str">
        <f ca="1">Sprache!$A$110</f>
        <v>Tiomos Scharnier T Click-on</v>
      </c>
      <c r="AR290" t="str">
        <f ca="1">"120°, S-BB, K9.5, "&amp;Sprache!A181&amp;", ni"</f>
        <v>120°, S-BB, K9.5, Dübel, ni</v>
      </c>
      <c r="AS290" t="str">
        <f ca="1">Sprache!$A$103</f>
        <v>Tiomos Click-On Scharniere</v>
      </c>
      <c r="AT290">
        <v>9.5</v>
      </c>
      <c r="AU290" t="s">
        <v>11</v>
      </c>
      <c r="AV290">
        <v>120</v>
      </c>
      <c r="AW290" s="10">
        <v>0</v>
      </c>
      <c r="AX290">
        <v>1</v>
      </c>
      <c r="AY290">
        <v>0</v>
      </c>
      <c r="AZ290" s="10">
        <v>0</v>
      </c>
      <c r="BA290">
        <v>1</v>
      </c>
      <c r="BB290">
        <v>0</v>
      </c>
      <c r="BC290">
        <v>0</v>
      </c>
      <c r="BD290" s="143" t="s">
        <v>555</v>
      </c>
      <c r="BG290"/>
    </row>
    <row r="291" spans="1:59" ht="14.25" customHeight="1" x14ac:dyDescent="0.25">
      <c r="A291" s="37" t="str">
        <f>LEFT(Scharniere[[#This Row],[ArtikelNR]],4)</f>
        <v>F028</v>
      </c>
      <c r="B291" s="35" t="str">
        <f>MID(Scharniere[[#This Row],[ArtikelNR]],5,3)</f>
        <v>138</v>
      </c>
      <c r="C291" s="37" t="str">
        <f>RIGHT(Scharniere[[#This Row],[ArtikelNR]],3)</f>
        <v>917</v>
      </c>
      <c r="D291" s="35">
        <f>IF(AND(Scharniere[[#This Row],[Gruppenschlüssel]]=select!$A$44,Scharniere[[#This Row],[Scharnierart]]=1)=TRUE,1,0)</f>
        <v>0</v>
      </c>
      <c r="E2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1" s="35">
        <f>IF(select!$F$57=IF(Scharniere[[#This Row],[mit Dämpfung]]=1,1,IF(Scharniere[[#This Row],[ohne Dämpfung]]=1,2,IF(Scharniere[[#This Row],[ohne Feder]]=1,3,0))),1,0)</f>
        <v>0</v>
      </c>
      <c r="G291" s="35">
        <f>IF(Scharniere[[#This Row],[Bohrbild]]=select!$V$43,1,0)</f>
        <v>0</v>
      </c>
      <c r="H291" s="35">
        <f>IF(IF(Scharniere[[#This Row],[Anschrauben]]=1,1,IF(Scharniere[[#This Row],[Einpressen]]=1,2,IF(Scharniere[[#This Row],[Quick]]=1,3,IF(Scharniere[[#This Row],[Werkzeuglos]]=1,4,0))))=select!$F$48,1,0)</f>
        <v>1</v>
      </c>
      <c r="I2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1" s="149">
        <f>IF(AND(Scharniere[[#This Row],[Scharnierart]]=2,Scharniere[[#This Row],[Gruppenschlüssel]]=select!$A$318)=TRUE,1,0)</f>
        <v>0</v>
      </c>
      <c r="K291" s="221">
        <f ca="1">IF(select!$O$424&lt;6,1,0)</f>
        <v>1</v>
      </c>
      <c r="L291" s="139">
        <f>IF(select!$A$362=IF(Scharniere[[#This Row],[mit Dämpfung]]=1,1,IF(Scharniere[[#This Row],[ohne Dämpfung]]=1,2,IF(Scharniere[[#This Row],[ohne Feder]]=1,3,0))),1,0)</f>
        <v>1</v>
      </c>
      <c r="M291" s="135">
        <f>IF(Scharniere[[#This Row],[Bohrbild]]=select!$O$334,1,0)</f>
        <v>0</v>
      </c>
      <c r="N291" s="135">
        <f>IF(IF(Scharniere[[#This Row],[Anschrauben]]=1,1,IF(Scharniere[[#This Row],[Einpressen]]=1,2,IF(Scharniere[[#This Row],[Quick]]=1,3,IF(Scharniere[[#This Row],[Werkzeuglos]]=1,4,0))))=select!$E$362,1,0)</f>
        <v>0</v>
      </c>
      <c r="O2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1" s="298">
        <f>IF(AND(Scharniere[[#This Row],[Scharnierart]]=3,Scharniere[[#This Row],[Gruppenschlüssel]]=select!$A$747)=TRUE,1,0)</f>
        <v>0</v>
      </c>
      <c r="Q291" s="298">
        <f ca="1">IF(select!$O$945&lt;6,1,0)</f>
        <v>1</v>
      </c>
      <c r="R291" s="298">
        <f>IF(select!$A$778=IF(Scharniere[[#This Row],[mit Dämpfung]]=1,1,IF(Scharniere[[#This Row],[ohne Dämpfung]]=1,2,IF(Scharniere[[#This Row],[ohne Feder]]=1,3,0))),1,0)</f>
        <v>0</v>
      </c>
      <c r="S291" s="298">
        <f>IF(Scharniere[[#This Row],[Bohrbild]]=select!$A$755,1,0)</f>
        <v>0</v>
      </c>
      <c r="T291" s="298">
        <f>IF(IF(Scharniere[[#This Row],[Anschrauben]]=1,1,IF(Scharniere[[#This Row],[Einpressen]]=1,2,IF(Scharniere[[#This Row],[Quick]]=1,3,IF(Scharniere[[#This Row],[Werkzeuglos]]=1,4,0))))=select!$A$769,1,0)</f>
        <v>0</v>
      </c>
      <c r="U2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1" s="359">
        <f>IF(AND(Scharniere[[#This Row],[Scharnierart]]=4,Scharniere[[#This Row],[Gruppenschlüssel]]=select!$A$981)=TRUE,1,0)</f>
        <v>0</v>
      </c>
      <c r="W291" s="359">
        <f ca="1">IF(select!$O$1185&lt;6,1,0)</f>
        <v>1</v>
      </c>
      <c r="X291" s="359">
        <f>IF(select!$A$1012=IF(Scharniere[[#This Row],[mit Dämpfung]]=1,1,IF(Scharniere[[#This Row],[ohne Dämpfung]]=1,2,IF(Scharniere[[#This Row],[ohne Feder]]=1,3,0))),1,0)</f>
        <v>0</v>
      </c>
      <c r="Y291" s="359">
        <f>IF(Scharniere[[#This Row],[Bohrbild]]=select!$A$989,1,0)</f>
        <v>0</v>
      </c>
      <c r="Z291" s="359">
        <f>IF(IF(Scharniere[[#This Row],[Anschrauben]]=1,1,IF(Scharniere[[#This Row],[Einpressen]]=1,2,IF(Scharniere[[#This Row],[Quick]]=1,3,IF(Scharniere[[#This Row],[Werkzeuglos]]=1,4,0))))=select!$A$1003,1,0)</f>
        <v>0</v>
      </c>
      <c r="AA2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1" s="359">
        <f ca="1">IF(select!$K$980="*",Scharniere[[#This Row],[AG Ges2]],Scharniere[[#This Row],[AG Ges1]])</f>
        <v>0</v>
      </c>
      <c r="AE291" s="451">
        <f ca="1">IF(AND(Scharniere[[#This Row],[Scharnierart]]=select!$A$1485,Scharniere[[#This Row],[Gruppenschlüssel]]=select!$B$1485)=TRUE,1,0)</f>
        <v>0</v>
      </c>
      <c r="AF291" s="451">
        <f ca="1">IF(AND(Scharniere[[#This Row],[Scharnierart]]=select!$A$1486,Scharniere[[#This Row],[Gruppenschlüssel]]=select!$B$1486)=TRUE,1,0)</f>
        <v>0</v>
      </c>
      <c r="AG291" s="451">
        <f ca="1">IF(AND(Scharniere[[#This Row],[Scharnierart]]=select!$A$1487,Scharniere[[#This Row],[Gruppenschlüssel]]=select!$B$1487)=TRUE,1,0)</f>
        <v>0</v>
      </c>
      <c r="AH291" s="451">
        <f ca="1">IF(AND(Scharniere[[#This Row],[Scharnierart]]=select!$A$1488,Scharniere[[#This Row],[Gruppenschlüssel]]=select!$B$1488)=TRUE,1,0)</f>
        <v>0</v>
      </c>
      <c r="AI291" s="451">
        <f ca="1">IF(SUM(Scharniere[[#This Row],[konf Scharnier 1]:[konf Scharnier 4]])&gt;0,1,0)</f>
        <v>0</v>
      </c>
      <c r="AJ291" s="451"/>
      <c r="AK291" s="451"/>
      <c r="AL291" s="451"/>
      <c r="AM291" s="451"/>
      <c r="AN291" s="451"/>
      <c r="AO291" s="146">
        <v>1</v>
      </c>
      <c r="AP291" s="146">
        <v>2</v>
      </c>
      <c r="AQ291" s="10" t="str">
        <f ca="1">Sprache!$A$112</f>
        <v>Tiomos Scharnier TS Click-on</v>
      </c>
      <c r="AR291" t="str">
        <f ca="1">"120°, S-BB, K9.5, "&amp;Sprache!A181&amp;", ni"</f>
        <v>120°, S-BB, K9.5, Dübel, ni</v>
      </c>
      <c r="AS291" t="str">
        <f ca="1">Sprache!$A$103</f>
        <v>Tiomos Click-On Scharniere</v>
      </c>
      <c r="AT291">
        <v>9.5</v>
      </c>
      <c r="AU291" t="s">
        <v>11</v>
      </c>
      <c r="AV291">
        <v>120</v>
      </c>
      <c r="AW291" s="10">
        <v>1</v>
      </c>
      <c r="AX291">
        <v>0</v>
      </c>
      <c r="AY291">
        <v>0</v>
      </c>
      <c r="AZ291" s="10">
        <v>0</v>
      </c>
      <c r="BA291">
        <v>1</v>
      </c>
      <c r="BB291">
        <v>0</v>
      </c>
      <c r="BC291">
        <v>0</v>
      </c>
      <c r="BD291" s="143" t="s">
        <v>397</v>
      </c>
      <c r="BG291"/>
    </row>
    <row r="292" spans="1:59" ht="14.25" customHeight="1" x14ac:dyDescent="0.25">
      <c r="A292" s="37" t="str">
        <f>LEFT(Scharniere[[#This Row],[ArtikelNR]],4)</f>
        <v>F046</v>
      </c>
      <c r="B292" s="35" t="str">
        <f>MID(Scharniere[[#This Row],[ArtikelNR]],5,3)</f>
        <v>138</v>
      </c>
      <c r="C292" s="37" t="str">
        <f>RIGHT(Scharniere[[#This Row],[ArtikelNR]],3)</f>
        <v>977</v>
      </c>
      <c r="D292" s="35">
        <f>IF(AND(Scharniere[[#This Row],[Gruppenschlüssel]]=select!$A$44,Scharniere[[#This Row],[Scharnierart]]=1)=TRUE,1,0)</f>
        <v>0</v>
      </c>
      <c r="E2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2" s="35">
        <f>IF(select!$F$57=IF(Scharniere[[#This Row],[mit Dämpfung]]=1,1,IF(Scharniere[[#This Row],[ohne Dämpfung]]=1,2,IF(Scharniere[[#This Row],[ohne Feder]]=1,3,0))),1,0)</f>
        <v>1</v>
      </c>
      <c r="G292" s="35">
        <f>IF(Scharniere[[#This Row],[Bohrbild]]=select!$V$43,1,0)</f>
        <v>0</v>
      </c>
      <c r="H292" s="35">
        <f>IF(IF(Scharniere[[#This Row],[Anschrauben]]=1,1,IF(Scharniere[[#This Row],[Einpressen]]=1,2,IF(Scharniere[[#This Row],[Quick]]=1,3,IF(Scharniere[[#This Row],[Werkzeuglos]]=1,4,0))))=select!$F$48,1,0)</f>
        <v>1</v>
      </c>
      <c r="I2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2" s="149">
        <f>IF(AND(Scharniere[[#This Row],[Scharnierart]]=2,Scharniere[[#This Row],[Gruppenschlüssel]]=select!$A$318)=TRUE,1,0)</f>
        <v>0</v>
      </c>
      <c r="K292" s="221">
        <f ca="1">IF(select!$O$424&lt;6,1,0)</f>
        <v>1</v>
      </c>
      <c r="L292" s="139">
        <f>IF(select!$A$362=IF(Scharniere[[#This Row],[mit Dämpfung]]=1,1,IF(Scharniere[[#This Row],[ohne Dämpfung]]=1,2,IF(Scharniere[[#This Row],[ohne Feder]]=1,3,0))),1,0)</f>
        <v>0</v>
      </c>
      <c r="M292" s="135">
        <f>IF(Scharniere[[#This Row],[Bohrbild]]=select!$O$334,1,0)</f>
        <v>0</v>
      </c>
      <c r="N292" s="135">
        <f>IF(IF(Scharniere[[#This Row],[Anschrauben]]=1,1,IF(Scharniere[[#This Row],[Einpressen]]=1,2,IF(Scharniere[[#This Row],[Quick]]=1,3,IF(Scharniere[[#This Row],[Werkzeuglos]]=1,4,0))))=select!$E$362,1,0)</f>
        <v>0</v>
      </c>
      <c r="O2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2" s="298">
        <f>IF(AND(Scharniere[[#This Row],[Scharnierart]]=3,Scharniere[[#This Row],[Gruppenschlüssel]]=select!$A$747)=TRUE,1,0)</f>
        <v>0</v>
      </c>
      <c r="Q292" s="298">
        <f ca="1">IF(select!$O$945&lt;6,1,0)</f>
        <v>1</v>
      </c>
      <c r="R292" s="298">
        <f>IF(select!$A$778=IF(Scharniere[[#This Row],[mit Dämpfung]]=1,1,IF(Scharniere[[#This Row],[ohne Dämpfung]]=1,2,IF(Scharniere[[#This Row],[ohne Feder]]=1,3,0))),1,0)</f>
        <v>0</v>
      </c>
      <c r="S292" s="298">
        <f>IF(Scharniere[[#This Row],[Bohrbild]]=select!$A$755,1,0)</f>
        <v>0</v>
      </c>
      <c r="T292" s="298">
        <f>IF(IF(Scharniere[[#This Row],[Anschrauben]]=1,1,IF(Scharniere[[#This Row],[Einpressen]]=1,2,IF(Scharniere[[#This Row],[Quick]]=1,3,IF(Scharniere[[#This Row],[Werkzeuglos]]=1,4,0))))=select!$A$769,1,0)</f>
        <v>0</v>
      </c>
      <c r="U2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2" s="359">
        <f>IF(AND(Scharniere[[#This Row],[Scharnierart]]=4,Scharniere[[#This Row],[Gruppenschlüssel]]=select!$A$981)=TRUE,1,0)</f>
        <v>0</v>
      </c>
      <c r="W292" s="359">
        <f ca="1">IF(select!$O$1185&lt;6,1,0)</f>
        <v>1</v>
      </c>
      <c r="X292" s="359">
        <f>IF(select!$A$1012=IF(Scharniere[[#This Row],[mit Dämpfung]]=1,1,IF(Scharniere[[#This Row],[ohne Dämpfung]]=1,2,IF(Scharniere[[#This Row],[ohne Feder]]=1,3,0))),1,0)</f>
        <v>0</v>
      </c>
      <c r="Y292" s="359">
        <f>IF(Scharniere[[#This Row],[Bohrbild]]=select!$A$989,1,0)</f>
        <v>0</v>
      </c>
      <c r="Z292" s="359">
        <f>IF(IF(Scharniere[[#This Row],[Anschrauben]]=1,1,IF(Scharniere[[#This Row],[Einpressen]]=1,2,IF(Scharniere[[#This Row],[Quick]]=1,3,IF(Scharniere[[#This Row],[Werkzeuglos]]=1,4,0))))=select!$A$1003,1,0)</f>
        <v>0</v>
      </c>
      <c r="AA2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2" s="359">
        <f ca="1">IF(select!$K$980="*",Scharniere[[#This Row],[AG Ges2]],Scharniere[[#This Row],[AG Ges1]])</f>
        <v>0</v>
      </c>
      <c r="AE292" s="451">
        <f ca="1">IF(AND(Scharniere[[#This Row],[Scharnierart]]=select!$A$1485,Scharniere[[#This Row],[Gruppenschlüssel]]=select!$B$1485)=TRUE,1,0)</f>
        <v>0</v>
      </c>
      <c r="AF292" s="451">
        <f ca="1">IF(AND(Scharniere[[#This Row],[Scharnierart]]=select!$A$1486,Scharniere[[#This Row],[Gruppenschlüssel]]=select!$B$1486)=TRUE,1,0)</f>
        <v>0</v>
      </c>
      <c r="AG292" s="451">
        <f ca="1">IF(AND(Scharniere[[#This Row],[Scharnierart]]=select!$A$1487,Scharniere[[#This Row],[Gruppenschlüssel]]=select!$B$1487)=TRUE,1,0)</f>
        <v>0</v>
      </c>
      <c r="AH292" s="451">
        <f ca="1">IF(AND(Scharniere[[#This Row],[Scharnierart]]=select!$A$1488,Scharniere[[#This Row],[Gruppenschlüssel]]=select!$B$1488)=TRUE,1,0)</f>
        <v>0</v>
      </c>
      <c r="AI292" s="451">
        <f ca="1">IF(SUM(Scharniere[[#This Row],[konf Scharnier 1]:[konf Scharnier 4]])&gt;0,1,0)</f>
        <v>0</v>
      </c>
      <c r="AJ292" s="451"/>
      <c r="AK292" s="451"/>
      <c r="AL292" s="451"/>
      <c r="AM292" s="451"/>
      <c r="AN292" s="451"/>
      <c r="AO292" s="146">
        <v>1</v>
      </c>
      <c r="AP292" s="146">
        <v>2</v>
      </c>
      <c r="AQ292" s="10" t="str">
        <f ca="1">Sprache!$A$114</f>
        <v>Tiomos Scharnier TT Click-on</v>
      </c>
      <c r="AR292" t="str">
        <f ca="1">"120°, S-BB, K9.5, "&amp;Sprache!A181&amp;", ni"</f>
        <v>120°, S-BB, K9.5, Dübel, ni</v>
      </c>
      <c r="AS292" t="str">
        <f ca="1">Sprache!$A$103</f>
        <v>Tiomos Click-On Scharniere</v>
      </c>
      <c r="AT292">
        <v>9.5</v>
      </c>
      <c r="AU292" s="34" t="s">
        <v>11</v>
      </c>
      <c r="AV292">
        <v>120</v>
      </c>
      <c r="AW292" s="10">
        <v>0</v>
      </c>
      <c r="AX292">
        <v>0</v>
      </c>
      <c r="AY292">
        <v>1</v>
      </c>
      <c r="AZ292" s="10">
        <v>0</v>
      </c>
      <c r="BA292">
        <v>1</v>
      </c>
      <c r="BB292">
        <v>0</v>
      </c>
      <c r="BC292">
        <v>0</v>
      </c>
      <c r="BD292" s="143" t="s">
        <v>707</v>
      </c>
      <c r="BG292"/>
    </row>
    <row r="293" spans="1:59" ht="14.25" customHeight="1" x14ac:dyDescent="0.25">
      <c r="A293" s="37" t="str">
        <f>LEFT(Scharniere[[#This Row],[ArtikelNR]],4)</f>
        <v>F045</v>
      </c>
      <c r="B293" s="35" t="str">
        <f>MID(Scharniere[[#This Row],[ArtikelNR]],5,3)</f>
        <v>138</v>
      </c>
      <c r="C293" s="37" t="str">
        <f>RIGHT(Scharniere[[#This Row],[ArtikelNR]],3)</f>
        <v>851</v>
      </c>
      <c r="D293" s="35">
        <f>IF(AND(Scharniere[[#This Row],[Gruppenschlüssel]]=select!$A$44,Scharniere[[#This Row],[Scharnierart]]=1)=TRUE,1,0)</f>
        <v>0</v>
      </c>
      <c r="E2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3" s="35">
        <f>IF(select!$F$57=IF(Scharniere[[#This Row],[mit Dämpfung]]=1,1,IF(Scharniere[[#This Row],[ohne Dämpfung]]=1,2,IF(Scharniere[[#This Row],[ohne Feder]]=1,3,0))),1,0)</f>
        <v>0</v>
      </c>
      <c r="G293" s="35">
        <f>IF(Scharniere[[#This Row],[Bohrbild]]=select!$V$43,1,0)</f>
        <v>0</v>
      </c>
      <c r="H293" s="35">
        <f>IF(IF(Scharniere[[#This Row],[Anschrauben]]=1,1,IF(Scharniere[[#This Row],[Einpressen]]=1,2,IF(Scharniere[[#This Row],[Quick]]=1,3,IF(Scharniere[[#This Row],[Werkzeuglos]]=1,4,0))))=select!$F$48,1,0)</f>
        <v>0</v>
      </c>
      <c r="I2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3" s="149">
        <f>IF(AND(Scharniere[[#This Row],[Scharnierart]]=2,Scharniere[[#This Row],[Gruppenschlüssel]]=select!$A$318)=TRUE,1,0)</f>
        <v>0</v>
      </c>
      <c r="K293" s="221">
        <f ca="1">IF(select!$O$424&lt;6,1,0)</f>
        <v>1</v>
      </c>
      <c r="L293" s="139">
        <f>IF(select!$A$362=IF(Scharniere[[#This Row],[mit Dämpfung]]=1,1,IF(Scharniere[[#This Row],[ohne Dämpfung]]=1,2,IF(Scharniere[[#This Row],[ohne Feder]]=1,3,0))),1,0)</f>
        <v>0</v>
      </c>
      <c r="M293" s="135">
        <f>IF(Scharniere[[#This Row],[Bohrbild]]=select!$O$334,1,0)</f>
        <v>0</v>
      </c>
      <c r="N293" s="135">
        <f>IF(IF(Scharniere[[#This Row],[Anschrauben]]=1,1,IF(Scharniere[[#This Row],[Einpressen]]=1,2,IF(Scharniere[[#This Row],[Quick]]=1,3,IF(Scharniere[[#This Row],[Werkzeuglos]]=1,4,0))))=select!$E$362,1,0)</f>
        <v>1</v>
      </c>
      <c r="O2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3" s="298">
        <f>IF(AND(Scharniere[[#This Row],[Scharnierart]]=3,Scharniere[[#This Row],[Gruppenschlüssel]]=select!$A$747)=TRUE,1,0)</f>
        <v>0</v>
      </c>
      <c r="Q293" s="298">
        <f ca="1">IF(select!$O$945&lt;6,1,0)</f>
        <v>1</v>
      </c>
      <c r="R293" s="298">
        <f>IF(select!$A$778=IF(Scharniere[[#This Row],[mit Dämpfung]]=1,1,IF(Scharniere[[#This Row],[ohne Dämpfung]]=1,2,IF(Scharniere[[#This Row],[ohne Feder]]=1,3,0))),1,0)</f>
        <v>1</v>
      </c>
      <c r="S293" s="298">
        <f>IF(Scharniere[[#This Row],[Bohrbild]]=select!$A$755,1,0)</f>
        <v>0</v>
      </c>
      <c r="T293" s="298">
        <f>IF(IF(Scharniere[[#This Row],[Anschrauben]]=1,1,IF(Scharniere[[#This Row],[Einpressen]]=1,2,IF(Scharniere[[#This Row],[Quick]]=1,3,IF(Scharniere[[#This Row],[Werkzeuglos]]=1,4,0))))=select!$A$769,1,0)</f>
        <v>1</v>
      </c>
      <c r="U2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3" s="359">
        <f>IF(AND(Scharniere[[#This Row],[Scharnierart]]=4,Scharniere[[#This Row],[Gruppenschlüssel]]=select!$A$981)=TRUE,1,0)</f>
        <v>0</v>
      </c>
      <c r="W293" s="359">
        <f ca="1">IF(select!$O$1185&lt;6,1,0)</f>
        <v>1</v>
      </c>
      <c r="X293" s="359">
        <f>IF(select!$A$1012=IF(Scharniere[[#This Row],[mit Dämpfung]]=1,1,IF(Scharniere[[#This Row],[ohne Dämpfung]]=1,2,IF(Scharniere[[#This Row],[ohne Feder]]=1,3,0))),1,0)</f>
        <v>1</v>
      </c>
      <c r="Y293" s="359">
        <f>IF(Scharniere[[#This Row],[Bohrbild]]=select!$A$989,1,0)</f>
        <v>0</v>
      </c>
      <c r="Z293" s="359">
        <f>IF(IF(Scharniere[[#This Row],[Anschrauben]]=1,1,IF(Scharniere[[#This Row],[Einpressen]]=1,2,IF(Scharniere[[#This Row],[Quick]]=1,3,IF(Scharniere[[#This Row],[Werkzeuglos]]=1,4,0))))=select!$A$1003,1,0)</f>
        <v>1</v>
      </c>
      <c r="AA2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3" s="359">
        <f ca="1">IF(select!$K$980="*",Scharniere[[#This Row],[AG Ges2]],Scharniere[[#This Row],[AG Ges1]])</f>
        <v>0</v>
      </c>
      <c r="AE293" s="451">
        <f ca="1">IF(AND(Scharniere[[#This Row],[Scharnierart]]=select!$A$1485,Scharniere[[#This Row],[Gruppenschlüssel]]=select!$B$1485)=TRUE,1,0)</f>
        <v>0</v>
      </c>
      <c r="AF293" s="451">
        <f ca="1">IF(AND(Scharniere[[#This Row],[Scharnierart]]=select!$A$1486,Scharniere[[#This Row],[Gruppenschlüssel]]=select!$B$1486)=TRUE,1,0)</f>
        <v>0</v>
      </c>
      <c r="AG293" s="451">
        <f ca="1">IF(AND(Scharniere[[#This Row],[Scharnierart]]=select!$A$1487,Scharniere[[#This Row],[Gruppenschlüssel]]=select!$B$1487)=TRUE,1,0)</f>
        <v>0</v>
      </c>
      <c r="AH293" s="451">
        <f ca="1">IF(AND(Scharniere[[#This Row],[Scharnierart]]=select!$A$1488,Scharniere[[#This Row],[Gruppenschlüssel]]=select!$B$1488)=TRUE,1,0)</f>
        <v>0</v>
      </c>
      <c r="AI293" s="451">
        <f ca="1">IF(SUM(Scharniere[[#This Row],[konf Scharnier 1]:[konf Scharnier 4]])&gt;0,1,0)</f>
        <v>0</v>
      </c>
      <c r="AJ293" s="451"/>
      <c r="AK293" s="451"/>
      <c r="AL293" s="451"/>
      <c r="AM293" s="451"/>
      <c r="AN293" s="451"/>
      <c r="AO293" s="146">
        <v>1</v>
      </c>
      <c r="AP293" s="146">
        <v>2</v>
      </c>
      <c r="AQ293" s="10" t="str">
        <f ca="1">Sprache!$A$110</f>
        <v>Tiomos Scharnier T Click-on</v>
      </c>
      <c r="AR293" t="s">
        <v>1938</v>
      </c>
      <c r="AS293" t="str">
        <f ca="1">Sprache!$A$103</f>
        <v>Tiomos Click-On Scharniere</v>
      </c>
      <c r="AT293">
        <v>9.5</v>
      </c>
      <c r="AU293" t="s">
        <v>11</v>
      </c>
      <c r="AV293">
        <v>120</v>
      </c>
      <c r="AW293" s="10">
        <v>0</v>
      </c>
      <c r="AX293">
        <v>1</v>
      </c>
      <c r="AY293">
        <v>0</v>
      </c>
      <c r="AZ293" s="10">
        <v>1</v>
      </c>
      <c r="BA293">
        <v>0</v>
      </c>
      <c r="BB293">
        <v>0</v>
      </c>
      <c r="BC293">
        <v>0</v>
      </c>
      <c r="BD293" s="143" t="s">
        <v>552</v>
      </c>
      <c r="BG293"/>
    </row>
    <row r="294" spans="1:59" ht="14.25" customHeight="1" x14ac:dyDescent="0.25">
      <c r="A294" s="37" t="str">
        <f>LEFT(Scharniere[[#This Row],[ArtikelNR]],4)</f>
        <v>F028</v>
      </c>
      <c r="B294" s="35" t="str">
        <f>MID(Scharniere[[#This Row],[ArtikelNR]],5,3)</f>
        <v>138</v>
      </c>
      <c r="C294" s="37" t="str">
        <f>RIGHT(Scharniere[[#This Row],[ArtikelNR]],3)</f>
        <v>913</v>
      </c>
      <c r="D294" s="35">
        <f>IF(AND(Scharniere[[#This Row],[Gruppenschlüssel]]=select!$A$44,Scharniere[[#This Row],[Scharnierart]]=1)=TRUE,1,0)</f>
        <v>0</v>
      </c>
      <c r="E2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4" s="35">
        <f>IF(select!$F$57=IF(Scharniere[[#This Row],[mit Dämpfung]]=1,1,IF(Scharniere[[#This Row],[ohne Dämpfung]]=1,2,IF(Scharniere[[#This Row],[ohne Feder]]=1,3,0))),1,0)</f>
        <v>0</v>
      </c>
      <c r="G294" s="35">
        <f>IF(Scharniere[[#This Row],[Bohrbild]]=select!$V$43,1,0)</f>
        <v>0</v>
      </c>
      <c r="H294" s="35">
        <f>IF(IF(Scharniere[[#This Row],[Anschrauben]]=1,1,IF(Scharniere[[#This Row],[Einpressen]]=1,2,IF(Scharniere[[#This Row],[Quick]]=1,3,IF(Scharniere[[#This Row],[Werkzeuglos]]=1,4,0))))=select!$F$48,1,0)</f>
        <v>0</v>
      </c>
      <c r="I2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4" s="149">
        <f>IF(AND(Scharniere[[#This Row],[Scharnierart]]=2,Scharniere[[#This Row],[Gruppenschlüssel]]=select!$A$318)=TRUE,1,0)</f>
        <v>0</v>
      </c>
      <c r="K294" s="221">
        <f ca="1">IF(select!$O$424&lt;6,1,0)</f>
        <v>1</v>
      </c>
      <c r="L294" s="139">
        <f>IF(select!$A$362=IF(Scharniere[[#This Row],[mit Dämpfung]]=1,1,IF(Scharniere[[#This Row],[ohne Dämpfung]]=1,2,IF(Scharniere[[#This Row],[ohne Feder]]=1,3,0))),1,0)</f>
        <v>1</v>
      </c>
      <c r="M294" s="135">
        <f>IF(Scharniere[[#This Row],[Bohrbild]]=select!$O$334,1,0)</f>
        <v>0</v>
      </c>
      <c r="N294" s="135">
        <f>IF(IF(Scharniere[[#This Row],[Anschrauben]]=1,1,IF(Scharniere[[#This Row],[Einpressen]]=1,2,IF(Scharniere[[#This Row],[Quick]]=1,3,IF(Scharniere[[#This Row],[Werkzeuglos]]=1,4,0))))=select!$E$362,1,0)</f>
        <v>1</v>
      </c>
      <c r="O2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4" s="298">
        <f>IF(AND(Scharniere[[#This Row],[Scharnierart]]=3,Scharniere[[#This Row],[Gruppenschlüssel]]=select!$A$747)=TRUE,1,0)</f>
        <v>0</v>
      </c>
      <c r="Q294" s="298">
        <f ca="1">IF(select!$O$945&lt;6,1,0)</f>
        <v>1</v>
      </c>
      <c r="R294" s="298">
        <f>IF(select!$A$778=IF(Scharniere[[#This Row],[mit Dämpfung]]=1,1,IF(Scharniere[[#This Row],[ohne Dämpfung]]=1,2,IF(Scharniere[[#This Row],[ohne Feder]]=1,3,0))),1,0)</f>
        <v>0</v>
      </c>
      <c r="S294" s="298">
        <f>IF(Scharniere[[#This Row],[Bohrbild]]=select!$A$755,1,0)</f>
        <v>0</v>
      </c>
      <c r="T294" s="298">
        <f>IF(IF(Scharniere[[#This Row],[Anschrauben]]=1,1,IF(Scharniere[[#This Row],[Einpressen]]=1,2,IF(Scharniere[[#This Row],[Quick]]=1,3,IF(Scharniere[[#This Row],[Werkzeuglos]]=1,4,0))))=select!$A$769,1,0)</f>
        <v>1</v>
      </c>
      <c r="U2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4" s="359">
        <f>IF(AND(Scharniere[[#This Row],[Scharnierart]]=4,Scharniere[[#This Row],[Gruppenschlüssel]]=select!$A$981)=TRUE,1,0)</f>
        <v>0</v>
      </c>
      <c r="W294" s="359">
        <f ca="1">IF(select!$O$1185&lt;6,1,0)</f>
        <v>1</v>
      </c>
      <c r="X294" s="359">
        <f>IF(select!$A$1012=IF(Scharniere[[#This Row],[mit Dämpfung]]=1,1,IF(Scharniere[[#This Row],[ohne Dämpfung]]=1,2,IF(Scharniere[[#This Row],[ohne Feder]]=1,3,0))),1,0)</f>
        <v>0</v>
      </c>
      <c r="Y294" s="359">
        <f>IF(Scharniere[[#This Row],[Bohrbild]]=select!$A$989,1,0)</f>
        <v>0</v>
      </c>
      <c r="Z294" s="359">
        <f>IF(IF(Scharniere[[#This Row],[Anschrauben]]=1,1,IF(Scharniere[[#This Row],[Einpressen]]=1,2,IF(Scharniere[[#This Row],[Quick]]=1,3,IF(Scharniere[[#This Row],[Werkzeuglos]]=1,4,0))))=select!$A$1003,1,0)</f>
        <v>1</v>
      </c>
      <c r="AA2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4" s="359">
        <f ca="1">IF(select!$K$980="*",Scharniere[[#This Row],[AG Ges2]],Scharniere[[#This Row],[AG Ges1]])</f>
        <v>0</v>
      </c>
      <c r="AE294" s="451">
        <f ca="1">IF(AND(Scharniere[[#This Row],[Scharnierart]]=select!$A$1485,Scharniere[[#This Row],[Gruppenschlüssel]]=select!$B$1485)=TRUE,1,0)</f>
        <v>0</v>
      </c>
      <c r="AF294" s="451">
        <f ca="1">IF(AND(Scharniere[[#This Row],[Scharnierart]]=select!$A$1486,Scharniere[[#This Row],[Gruppenschlüssel]]=select!$B$1486)=TRUE,1,0)</f>
        <v>0</v>
      </c>
      <c r="AG294" s="451">
        <f ca="1">IF(AND(Scharniere[[#This Row],[Scharnierart]]=select!$A$1487,Scharniere[[#This Row],[Gruppenschlüssel]]=select!$B$1487)=TRUE,1,0)</f>
        <v>0</v>
      </c>
      <c r="AH294" s="451">
        <f ca="1">IF(AND(Scharniere[[#This Row],[Scharnierart]]=select!$A$1488,Scharniere[[#This Row],[Gruppenschlüssel]]=select!$B$1488)=TRUE,1,0)</f>
        <v>0</v>
      </c>
      <c r="AI294" s="451">
        <f ca="1">IF(SUM(Scharniere[[#This Row],[konf Scharnier 1]:[konf Scharnier 4]])&gt;0,1,0)</f>
        <v>0</v>
      </c>
      <c r="AJ294" s="451"/>
      <c r="AK294" s="451"/>
      <c r="AL294" s="451"/>
      <c r="AM294" s="451"/>
      <c r="AN294" s="451"/>
      <c r="AO294" s="146">
        <v>1</v>
      </c>
      <c r="AP294" s="146">
        <v>2</v>
      </c>
      <c r="AQ294" s="10" t="str">
        <f ca="1">Sprache!$A$112</f>
        <v>Tiomos Scharnier TS Click-on</v>
      </c>
      <c r="AR294" t="s">
        <v>1938</v>
      </c>
      <c r="AS294" t="str">
        <f ca="1">Sprache!$A$103</f>
        <v>Tiomos Click-On Scharniere</v>
      </c>
      <c r="AT294">
        <v>9.5</v>
      </c>
      <c r="AU294" t="s">
        <v>11</v>
      </c>
      <c r="AV294">
        <v>120</v>
      </c>
      <c r="AW294" s="10">
        <v>1</v>
      </c>
      <c r="AX294">
        <v>0</v>
      </c>
      <c r="AY294">
        <v>0</v>
      </c>
      <c r="AZ294" s="10">
        <v>1</v>
      </c>
      <c r="BA294">
        <v>0</v>
      </c>
      <c r="BB294">
        <v>0</v>
      </c>
      <c r="BC294">
        <v>0</v>
      </c>
      <c r="BD294" s="143" t="s">
        <v>394</v>
      </c>
      <c r="BG294"/>
    </row>
    <row r="295" spans="1:59" ht="14.25" customHeight="1" x14ac:dyDescent="0.25">
      <c r="A295" s="37" t="str">
        <f>LEFT(Scharniere[[#This Row],[ArtikelNR]],4)</f>
        <v>F046</v>
      </c>
      <c r="B295" s="35" t="str">
        <f>MID(Scharniere[[#This Row],[ArtikelNR]],5,3)</f>
        <v>138</v>
      </c>
      <c r="C295" s="37" t="str">
        <f>RIGHT(Scharniere[[#This Row],[ArtikelNR]],3)</f>
        <v>973</v>
      </c>
      <c r="D295" s="35">
        <f>IF(AND(Scharniere[[#This Row],[Gruppenschlüssel]]=select!$A$44,Scharniere[[#This Row],[Scharnierart]]=1)=TRUE,1,0)</f>
        <v>0</v>
      </c>
      <c r="E2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295" s="35">
        <f>IF(select!$F$57=IF(Scharniere[[#This Row],[mit Dämpfung]]=1,1,IF(Scharniere[[#This Row],[ohne Dämpfung]]=1,2,IF(Scharniere[[#This Row],[ohne Feder]]=1,3,0))),1,0)</f>
        <v>1</v>
      </c>
      <c r="G295" s="35">
        <f>IF(Scharniere[[#This Row],[Bohrbild]]=select!$V$43,1,0)</f>
        <v>0</v>
      </c>
      <c r="H295" s="35">
        <f>IF(IF(Scharniere[[#This Row],[Anschrauben]]=1,1,IF(Scharniere[[#This Row],[Einpressen]]=1,2,IF(Scharniere[[#This Row],[Quick]]=1,3,IF(Scharniere[[#This Row],[Werkzeuglos]]=1,4,0))))=select!$F$48,1,0)</f>
        <v>0</v>
      </c>
      <c r="I2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5" s="149">
        <f>IF(AND(Scharniere[[#This Row],[Scharnierart]]=2,Scharniere[[#This Row],[Gruppenschlüssel]]=select!$A$318)=TRUE,1,0)</f>
        <v>0</v>
      </c>
      <c r="K295" s="221">
        <f ca="1">IF(select!$O$424&lt;6,1,0)</f>
        <v>1</v>
      </c>
      <c r="L295" s="139">
        <f>IF(select!$A$362=IF(Scharniere[[#This Row],[mit Dämpfung]]=1,1,IF(Scharniere[[#This Row],[ohne Dämpfung]]=1,2,IF(Scharniere[[#This Row],[ohne Feder]]=1,3,0))),1,0)</f>
        <v>0</v>
      </c>
      <c r="M295" s="135">
        <f>IF(Scharniere[[#This Row],[Bohrbild]]=select!$O$334,1,0)</f>
        <v>0</v>
      </c>
      <c r="N295" s="135">
        <f>IF(IF(Scharniere[[#This Row],[Anschrauben]]=1,1,IF(Scharniere[[#This Row],[Einpressen]]=1,2,IF(Scharniere[[#This Row],[Quick]]=1,3,IF(Scharniere[[#This Row],[Werkzeuglos]]=1,4,0))))=select!$E$362,1,0)</f>
        <v>1</v>
      </c>
      <c r="O2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5" s="298">
        <f>IF(AND(Scharniere[[#This Row],[Scharnierart]]=3,Scharniere[[#This Row],[Gruppenschlüssel]]=select!$A$747)=TRUE,1,0)</f>
        <v>0</v>
      </c>
      <c r="Q295" s="298">
        <f ca="1">IF(select!$O$945&lt;6,1,0)</f>
        <v>1</v>
      </c>
      <c r="R295" s="298">
        <f>IF(select!$A$778=IF(Scharniere[[#This Row],[mit Dämpfung]]=1,1,IF(Scharniere[[#This Row],[ohne Dämpfung]]=1,2,IF(Scharniere[[#This Row],[ohne Feder]]=1,3,0))),1,0)</f>
        <v>0</v>
      </c>
      <c r="S295" s="298">
        <f>IF(Scharniere[[#This Row],[Bohrbild]]=select!$A$755,1,0)</f>
        <v>0</v>
      </c>
      <c r="T295" s="298">
        <f>IF(IF(Scharniere[[#This Row],[Anschrauben]]=1,1,IF(Scharniere[[#This Row],[Einpressen]]=1,2,IF(Scharniere[[#This Row],[Quick]]=1,3,IF(Scharniere[[#This Row],[Werkzeuglos]]=1,4,0))))=select!$A$769,1,0)</f>
        <v>1</v>
      </c>
      <c r="U2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5" s="359">
        <f>IF(AND(Scharniere[[#This Row],[Scharnierart]]=4,Scharniere[[#This Row],[Gruppenschlüssel]]=select!$A$981)=TRUE,1,0)</f>
        <v>0</v>
      </c>
      <c r="W295" s="359">
        <f ca="1">IF(select!$O$1185&lt;6,1,0)</f>
        <v>1</v>
      </c>
      <c r="X295" s="359">
        <f>IF(select!$A$1012=IF(Scharniere[[#This Row],[mit Dämpfung]]=1,1,IF(Scharniere[[#This Row],[ohne Dämpfung]]=1,2,IF(Scharniere[[#This Row],[ohne Feder]]=1,3,0))),1,0)</f>
        <v>0</v>
      </c>
      <c r="Y295" s="359">
        <f>IF(Scharniere[[#This Row],[Bohrbild]]=select!$A$989,1,0)</f>
        <v>0</v>
      </c>
      <c r="Z295" s="359">
        <f>IF(IF(Scharniere[[#This Row],[Anschrauben]]=1,1,IF(Scharniere[[#This Row],[Einpressen]]=1,2,IF(Scharniere[[#This Row],[Quick]]=1,3,IF(Scharniere[[#This Row],[Werkzeuglos]]=1,4,0))))=select!$A$1003,1,0)</f>
        <v>1</v>
      </c>
      <c r="AA2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5" s="359">
        <f ca="1">IF(select!$K$980="*",Scharniere[[#This Row],[AG Ges2]],Scharniere[[#This Row],[AG Ges1]])</f>
        <v>0</v>
      </c>
      <c r="AE295" s="451">
        <f ca="1">IF(AND(Scharniere[[#This Row],[Scharnierart]]=select!$A$1485,Scharniere[[#This Row],[Gruppenschlüssel]]=select!$B$1485)=TRUE,1,0)</f>
        <v>0</v>
      </c>
      <c r="AF295" s="451">
        <f ca="1">IF(AND(Scharniere[[#This Row],[Scharnierart]]=select!$A$1486,Scharniere[[#This Row],[Gruppenschlüssel]]=select!$B$1486)=TRUE,1,0)</f>
        <v>0</v>
      </c>
      <c r="AG295" s="451">
        <f ca="1">IF(AND(Scharniere[[#This Row],[Scharnierart]]=select!$A$1487,Scharniere[[#This Row],[Gruppenschlüssel]]=select!$B$1487)=TRUE,1,0)</f>
        <v>0</v>
      </c>
      <c r="AH295" s="451">
        <f ca="1">IF(AND(Scharniere[[#This Row],[Scharnierart]]=select!$A$1488,Scharniere[[#This Row],[Gruppenschlüssel]]=select!$B$1488)=TRUE,1,0)</f>
        <v>0</v>
      </c>
      <c r="AI295" s="451">
        <f ca="1">IF(SUM(Scharniere[[#This Row],[konf Scharnier 1]:[konf Scharnier 4]])&gt;0,1,0)</f>
        <v>0</v>
      </c>
      <c r="AJ295" s="451"/>
      <c r="AK295" s="451"/>
      <c r="AL295" s="451"/>
      <c r="AM295" s="451"/>
      <c r="AN295" s="451"/>
      <c r="AO295" s="146">
        <v>1</v>
      </c>
      <c r="AP295" s="146">
        <v>2</v>
      </c>
      <c r="AQ295" s="10" t="str">
        <f ca="1">Sprache!$A$114</f>
        <v>Tiomos Scharnier TT Click-on</v>
      </c>
      <c r="AR295" t="s">
        <v>1938</v>
      </c>
      <c r="AS295" t="str">
        <f ca="1">Sprache!$A$103</f>
        <v>Tiomos Click-On Scharniere</v>
      </c>
      <c r="AT295">
        <v>9.5</v>
      </c>
      <c r="AU295" s="34" t="s">
        <v>11</v>
      </c>
      <c r="AV295">
        <v>120</v>
      </c>
      <c r="AW295" s="10">
        <v>0</v>
      </c>
      <c r="AX295">
        <v>0</v>
      </c>
      <c r="AY295">
        <v>1</v>
      </c>
      <c r="AZ295" s="10">
        <v>1</v>
      </c>
      <c r="BA295">
        <v>0</v>
      </c>
      <c r="BB295">
        <v>0</v>
      </c>
      <c r="BC295">
        <v>0</v>
      </c>
      <c r="BD295" s="143" t="s">
        <v>704</v>
      </c>
      <c r="BG295"/>
    </row>
    <row r="296" spans="1:59" ht="14.25" customHeight="1" x14ac:dyDescent="0.25">
      <c r="A296" s="37" t="str">
        <f>LEFT(Scharniere[[#This Row],[ArtikelNR]],4)</f>
        <v>F045</v>
      </c>
      <c r="B296" s="35" t="str">
        <f>MID(Scharniere[[#This Row],[ArtikelNR]],5,3)</f>
        <v>138</v>
      </c>
      <c r="C296" s="37" t="str">
        <f>RIGHT(Scharniere[[#This Row],[ArtikelNR]],3)</f>
        <v>490</v>
      </c>
      <c r="D296" s="35">
        <f>IF(AND(Scharniere[[#This Row],[Gruppenschlüssel]]=select!$A$44,Scharniere[[#This Row],[Scharnierart]]=1)=TRUE,1,0)</f>
        <v>0</v>
      </c>
      <c r="E2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296" s="35">
        <f>IF(select!$F$57=IF(Scharniere[[#This Row],[mit Dämpfung]]=1,1,IF(Scharniere[[#This Row],[ohne Dämpfung]]=1,2,IF(Scharniere[[#This Row],[ohne Feder]]=1,3,0))),1,0)</f>
        <v>0</v>
      </c>
      <c r="G296" s="35">
        <f>IF(Scharniere[[#This Row],[Bohrbild]]=select!$V$43,1,0)</f>
        <v>0</v>
      </c>
      <c r="H296" s="35">
        <f>IF(IF(Scharniere[[#This Row],[Anschrauben]]=1,1,IF(Scharniere[[#This Row],[Einpressen]]=1,2,IF(Scharniere[[#This Row],[Quick]]=1,3,IF(Scharniere[[#This Row],[Werkzeuglos]]=1,4,0))))=select!$F$48,1,0)</f>
        <v>1</v>
      </c>
      <c r="I2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6" s="149">
        <f>IF(AND(Scharniere[[#This Row],[Scharnierart]]=2,Scharniere[[#This Row],[Gruppenschlüssel]]=select!$A$318)=TRUE,1,0)</f>
        <v>0</v>
      </c>
      <c r="K296" s="221">
        <f ca="1">IF(select!$O$424&lt;6,1,0)</f>
        <v>1</v>
      </c>
      <c r="L296" s="139">
        <f>IF(select!$A$362=IF(Scharniere[[#This Row],[mit Dämpfung]]=1,1,IF(Scharniere[[#This Row],[ohne Dämpfung]]=1,2,IF(Scharniere[[#This Row],[ohne Feder]]=1,3,0))),1,0)</f>
        <v>0</v>
      </c>
      <c r="M296" s="135">
        <f>IF(Scharniere[[#This Row],[Bohrbild]]=select!$O$334,1,0)</f>
        <v>0</v>
      </c>
      <c r="N296" s="135">
        <f>IF(IF(Scharniere[[#This Row],[Anschrauben]]=1,1,IF(Scharniere[[#This Row],[Einpressen]]=1,2,IF(Scharniere[[#This Row],[Quick]]=1,3,IF(Scharniere[[#This Row],[Werkzeuglos]]=1,4,0))))=select!$E$362,1,0)</f>
        <v>0</v>
      </c>
      <c r="O2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6" s="298">
        <f>IF(AND(Scharniere[[#This Row],[Scharnierart]]=3,Scharniere[[#This Row],[Gruppenschlüssel]]=select!$A$747)=TRUE,1,0)</f>
        <v>0</v>
      </c>
      <c r="Q296" s="298">
        <f ca="1">IF(select!$O$945&lt;6,1,0)</f>
        <v>1</v>
      </c>
      <c r="R296" s="298">
        <f>IF(select!$A$778=IF(Scharniere[[#This Row],[mit Dämpfung]]=1,1,IF(Scharniere[[#This Row],[ohne Dämpfung]]=1,2,IF(Scharniere[[#This Row],[ohne Feder]]=1,3,0))),1,0)</f>
        <v>1</v>
      </c>
      <c r="S296" s="298">
        <f>IF(Scharniere[[#This Row],[Bohrbild]]=select!$A$755,1,0)</f>
        <v>0</v>
      </c>
      <c r="T296" s="298">
        <f>IF(IF(Scharniere[[#This Row],[Anschrauben]]=1,1,IF(Scharniere[[#This Row],[Einpressen]]=1,2,IF(Scharniere[[#This Row],[Quick]]=1,3,IF(Scharniere[[#This Row],[Werkzeuglos]]=1,4,0))))=select!$A$769,1,0)</f>
        <v>0</v>
      </c>
      <c r="U2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6" s="359">
        <f>IF(AND(Scharniere[[#This Row],[Scharnierart]]=4,Scharniere[[#This Row],[Gruppenschlüssel]]=select!$A$981)=TRUE,1,0)</f>
        <v>0</v>
      </c>
      <c r="W296" s="359">
        <f ca="1">IF(select!$O$1185&lt;6,1,0)</f>
        <v>1</v>
      </c>
      <c r="X296" s="359">
        <f>IF(select!$A$1012=IF(Scharniere[[#This Row],[mit Dämpfung]]=1,1,IF(Scharniere[[#This Row],[ohne Dämpfung]]=1,2,IF(Scharniere[[#This Row],[ohne Feder]]=1,3,0))),1,0)</f>
        <v>1</v>
      </c>
      <c r="Y296" s="359">
        <f>IF(Scharniere[[#This Row],[Bohrbild]]=select!$A$989,1,0)</f>
        <v>0</v>
      </c>
      <c r="Z296" s="359">
        <f>IF(IF(Scharniere[[#This Row],[Anschrauben]]=1,1,IF(Scharniere[[#This Row],[Einpressen]]=1,2,IF(Scharniere[[#This Row],[Quick]]=1,3,IF(Scharniere[[#This Row],[Werkzeuglos]]=1,4,0))))=select!$A$1003,1,0)</f>
        <v>0</v>
      </c>
      <c r="AA2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6" s="359">
        <f ca="1">IF(select!$K$980="*",Scharniere[[#This Row],[AG Ges2]],Scharniere[[#This Row],[AG Ges1]])</f>
        <v>0</v>
      </c>
      <c r="AE296" s="451">
        <f ca="1">IF(AND(Scharniere[[#This Row],[Scharnierart]]=select!$A$1485,Scharniere[[#This Row],[Gruppenschlüssel]]=select!$B$1485)=TRUE,1,0)</f>
        <v>0</v>
      </c>
      <c r="AF296" s="451">
        <f ca="1">IF(AND(Scharniere[[#This Row],[Scharnierart]]=select!$A$1486,Scharniere[[#This Row],[Gruppenschlüssel]]=select!$B$1486)=TRUE,1,0)</f>
        <v>0</v>
      </c>
      <c r="AG296" s="451">
        <f ca="1">IF(AND(Scharniere[[#This Row],[Scharnierart]]=select!$A$1487,Scharniere[[#This Row],[Gruppenschlüssel]]=select!$B$1487)=TRUE,1,0)</f>
        <v>0</v>
      </c>
      <c r="AH296" s="451">
        <f ca="1">IF(AND(Scharniere[[#This Row],[Scharnierart]]=select!$A$1488,Scharniere[[#This Row],[Gruppenschlüssel]]=select!$B$1488)=TRUE,1,0)</f>
        <v>0</v>
      </c>
      <c r="AI296" s="451">
        <f ca="1">IF(SUM(Scharniere[[#This Row],[konf Scharnier 1]:[konf Scharnier 4]])&gt;0,1,0)</f>
        <v>0</v>
      </c>
      <c r="AJ296" s="451"/>
      <c r="AK296" s="451"/>
      <c r="AL296" s="451"/>
      <c r="AM296" s="451"/>
      <c r="AN296" s="451"/>
      <c r="AO296" s="146">
        <v>1</v>
      </c>
      <c r="AP296" s="146">
        <v>2</v>
      </c>
      <c r="AQ296" s="10" t="str">
        <f ca="1">Sprache!$A$110</f>
        <v>Tiomos Scharnier T Click-on</v>
      </c>
      <c r="AR296" t="str">
        <f ca="1">"120°, B-BB, K03, "&amp;Sprache!A181&amp;", ni"</f>
        <v>120°, B-BB, K03, Dübel, ni</v>
      </c>
      <c r="AS296" t="str">
        <f ca="1">Sprache!$A$103</f>
        <v>Tiomos Click-On Scharniere</v>
      </c>
      <c r="AT296">
        <v>3</v>
      </c>
      <c r="AU296" s="34" t="s">
        <v>3</v>
      </c>
      <c r="AV296">
        <v>120</v>
      </c>
      <c r="AW296" s="10">
        <v>0</v>
      </c>
      <c r="AX296">
        <v>1</v>
      </c>
      <c r="AY296">
        <v>0</v>
      </c>
      <c r="AZ296" s="10">
        <v>0</v>
      </c>
      <c r="BA296">
        <v>1</v>
      </c>
      <c r="BB296">
        <v>0</v>
      </c>
      <c r="BC296">
        <v>0</v>
      </c>
      <c r="BD296" s="143" t="s">
        <v>497</v>
      </c>
      <c r="BG296"/>
    </row>
    <row r="297" spans="1:59" ht="14.25" customHeight="1" x14ac:dyDescent="0.25">
      <c r="A297" s="37" t="str">
        <f>LEFT(Scharniere[[#This Row],[ArtikelNR]],4)</f>
        <v>F028</v>
      </c>
      <c r="B297" s="35" t="str">
        <f>MID(Scharniere[[#This Row],[ArtikelNR]],5,3)</f>
        <v>138</v>
      </c>
      <c r="C297" s="37" t="str">
        <f>RIGHT(Scharniere[[#This Row],[ArtikelNR]],3)</f>
        <v>552</v>
      </c>
      <c r="D297" s="35">
        <f>IF(AND(Scharniere[[#This Row],[Gruppenschlüssel]]=select!$A$44,Scharniere[[#This Row],[Scharnierart]]=1)=TRUE,1,0)</f>
        <v>0</v>
      </c>
      <c r="E2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297" s="35">
        <f>IF(select!$F$57=IF(Scharniere[[#This Row],[mit Dämpfung]]=1,1,IF(Scharniere[[#This Row],[ohne Dämpfung]]=1,2,IF(Scharniere[[#This Row],[ohne Feder]]=1,3,0))),1,0)</f>
        <v>0</v>
      </c>
      <c r="G297" s="35">
        <f>IF(Scharniere[[#This Row],[Bohrbild]]=select!$V$43,1,0)</f>
        <v>0</v>
      </c>
      <c r="H297" s="35">
        <f>IF(IF(Scharniere[[#This Row],[Anschrauben]]=1,1,IF(Scharniere[[#This Row],[Einpressen]]=1,2,IF(Scharniere[[#This Row],[Quick]]=1,3,IF(Scharniere[[#This Row],[Werkzeuglos]]=1,4,0))))=select!$F$48,1,0)</f>
        <v>1</v>
      </c>
      <c r="I2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7" s="149">
        <f>IF(AND(Scharniere[[#This Row],[Scharnierart]]=2,Scharniere[[#This Row],[Gruppenschlüssel]]=select!$A$318)=TRUE,1,0)</f>
        <v>0</v>
      </c>
      <c r="K297" s="221">
        <f ca="1">IF(select!$O$424&lt;6,1,0)</f>
        <v>1</v>
      </c>
      <c r="L297" s="139">
        <f>IF(select!$A$362=IF(Scharniere[[#This Row],[mit Dämpfung]]=1,1,IF(Scharniere[[#This Row],[ohne Dämpfung]]=1,2,IF(Scharniere[[#This Row],[ohne Feder]]=1,3,0))),1,0)</f>
        <v>1</v>
      </c>
      <c r="M297" s="135">
        <f>IF(Scharniere[[#This Row],[Bohrbild]]=select!$O$334,1,0)</f>
        <v>0</v>
      </c>
      <c r="N297" s="135">
        <f>IF(IF(Scharniere[[#This Row],[Anschrauben]]=1,1,IF(Scharniere[[#This Row],[Einpressen]]=1,2,IF(Scharniere[[#This Row],[Quick]]=1,3,IF(Scharniere[[#This Row],[Werkzeuglos]]=1,4,0))))=select!$E$362,1,0)</f>
        <v>0</v>
      </c>
      <c r="O2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7" s="298">
        <f>IF(AND(Scharniere[[#This Row],[Scharnierart]]=3,Scharniere[[#This Row],[Gruppenschlüssel]]=select!$A$747)=TRUE,1,0)</f>
        <v>0</v>
      </c>
      <c r="Q297" s="298">
        <f ca="1">IF(select!$O$945&lt;6,1,0)</f>
        <v>1</v>
      </c>
      <c r="R297" s="298">
        <f>IF(select!$A$778=IF(Scharniere[[#This Row],[mit Dämpfung]]=1,1,IF(Scharniere[[#This Row],[ohne Dämpfung]]=1,2,IF(Scharniere[[#This Row],[ohne Feder]]=1,3,0))),1,0)</f>
        <v>0</v>
      </c>
      <c r="S297" s="298">
        <f>IF(Scharniere[[#This Row],[Bohrbild]]=select!$A$755,1,0)</f>
        <v>0</v>
      </c>
      <c r="T297" s="298">
        <f>IF(IF(Scharniere[[#This Row],[Anschrauben]]=1,1,IF(Scharniere[[#This Row],[Einpressen]]=1,2,IF(Scharniere[[#This Row],[Quick]]=1,3,IF(Scharniere[[#This Row],[Werkzeuglos]]=1,4,0))))=select!$A$769,1,0)</f>
        <v>0</v>
      </c>
      <c r="U2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7" s="359">
        <f>IF(AND(Scharniere[[#This Row],[Scharnierart]]=4,Scharniere[[#This Row],[Gruppenschlüssel]]=select!$A$981)=TRUE,1,0)</f>
        <v>0</v>
      </c>
      <c r="W297" s="359">
        <f ca="1">IF(select!$O$1185&lt;6,1,0)</f>
        <v>1</v>
      </c>
      <c r="X297" s="359">
        <f>IF(select!$A$1012=IF(Scharniere[[#This Row],[mit Dämpfung]]=1,1,IF(Scharniere[[#This Row],[ohne Dämpfung]]=1,2,IF(Scharniere[[#This Row],[ohne Feder]]=1,3,0))),1,0)</f>
        <v>0</v>
      </c>
      <c r="Y297" s="359">
        <f>IF(Scharniere[[#This Row],[Bohrbild]]=select!$A$989,1,0)</f>
        <v>0</v>
      </c>
      <c r="Z297" s="359">
        <f>IF(IF(Scharniere[[#This Row],[Anschrauben]]=1,1,IF(Scharniere[[#This Row],[Einpressen]]=1,2,IF(Scharniere[[#This Row],[Quick]]=1,3,IF(Scharniere[[#This Row],[Werkzeuglos]]=1,4,0))))=select!$A$1003,1,0)</f>
        <v>0</v>
      </c>
      <c r="AA2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7" s="359">
        <f ca="1">IF(select!$K$980="*",Scharniere[[#This Row],[AG Ges2]],Scharniere[[#This Row],[AG Ges1]])</f>
        <v>0</v>
      </c>
      <c r="AE297" s="451">
        <f ca="1">IF(AND(Scharniere[[#This Row],[Scharnierart]]=select!$A$1485,Scharniere[[#This Row],[Gruppenschlüssel]]=select!$B$1485)=TRUE,1,0)</f>
        <v>0</v>
      </c>
      <c r="AF297" s="451">
        <f ca="1">IF(AND(Scharniere[[#This Row],[Scharnierart]]=select!$A$1486,Scharniere[[#This Row],[Gruppenschlüssel]]=select!$B$1486)=TRUE,1,0)</f>
        <v>0</v>
      </c>
      <c r="AG297" s="451">
        <f ca="1">IF(AND(Scharniere[[#This Row],[Scharnierart]]=select!$A$1487,Scharniere[[#This Row],[Gruppenschlüssel]]=select!$B$1487)=TRUE,1,0)</f>
        <v>0</v>
      </c>
      <c r="AH297" s="451">
        <f ca="1">IF(AND(Scharniere[[#This Row],[Scharnierart]]=select!$A$1488,Scharniere[[#This Row],[Gruppenschlüssel]]=select!$B$1488)=TRUE,1,0)</f>
        <v>0</v>
      </c>
      <c r="AI297" s="451">
        <f ca="1">IF(SUM(Scharniere[[#This Row],[konf Scharnier 1]:[konf Scharnier 4]])&gt;0,1,0)</f>
        <v>0</v>
      </c>
      <c r="AJ297" s="451"/>
      <c r="AK297" s="451"/>
      <c r="AL297" s="451"/>
      <c r="AM297" s="451"/>
      <c r="AN297" s="451"/>
      <c r="AO297" s="146">
        <v>1</v>
      </c>
      <c r="AP297" s="146">
        <v>2</v>
      </c>
      <c r="AQ297" s="10" t="str">
        <f ca="1">Sprache!$A$112</f>
        <v>Tiomos Scharnier TS Click-on</v>
      </c>
      <c r="AR297" t="str">
        <f ca="1">"120°, B-BB, K03, "&amp;Sprache!A181&amp;", ni"</f>
        <v>120°, B-BB, K03, Dübel, ni</v>
      </c>
      <c r="AS297" t="str">
        <f ca="1">Sprache!$A$103</f>
        <v>Tiomos Click-On Scharniere</v>
      </c>
      <c r="AT297">
        <v>3</v>
      </c>
      <c r="AU297" s="34" t="s">
        <v>3</v>
      </c>
      <c r="AV297">
        <v>120</v>
      </c>
      <c r="AW297" s="10">
        <v>1</v>
      </c>
      <c r="AX297">
        <v>0</v>
      </c>
      <c r="AY297">
        <v>0</v>
      </c>
      <c r="AZ297" s="10">
        <v>0</v>
      </c>
      <c r="BA297">
        <v>1</v>
      </c>
      <c r="BB297">
        <v>0</v>
      </c>
      <c r="BC297">
        <v>0</v>
      </c>
      <c r="BD297" s="143" t="s">
        <v>319</v>
      </c>
      <c r="BG297"/>
    </row>
    <row r="298" spans="1:59" ht="14.25" customHeight="1" x14ac:dyDescent="0.25">
      <c r="A298" s="37" t="str">
        <f>LEFT(Scharniere[[#This Row],[ArtikelNR]],4)</f>
        <v>F046</v>
      </c>
      <c r="B298" s="35" t="str">
        <f>MID(Scharniere[[#This Row],[ArtikelNR]],5,3)</f>
        <v>138</v>
      </c>
      <c r="C298" s="37" t="str">
        <f>RIGHT(Scharniere[[#This Row],[ArtikelNR]],3)</f>
        <v>612</v>
      </c>
      <c r="D298" s="35">
        <f>IF(AND(Scharniere[[#This Row],[Gruppenschlüssel]]=select!$A$44,Scharniere[[#This Row],[Scharnierart]]=1)=TRUE,1,0)</f>
        <v>0</v>
      </c>
      <c r="E2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298" s="35">
        <f>IF(select!$F$57=IF(Scharniere[[#This Row],[mit Dämpfung]]=1,1,IF(Scharniere[[#This Row],[ohne Dämpfung]]=1,2,IF(Scharniere[[#This Row],[ohne Feder]]=1,3,0))),1,0)</f>
        <v>1</v>
      </c>
      <c r="G298" s="35">
        <f>IF(Scharniere[[#This Row],[Bohrbild]]=select!$V$43,1,0)</f>
        <v>0</v>
      </c>
      <c r="H298" s="35">
        <f>IF(IF(Scharniere[[#This Row],[Anschrauben]]=1,1,IF(Scharniere[[#This Row],[Einpressen]]=1,2,IF(Scharniere[[#This Row],[Quick]]=1,3,IF(Scharniere[[#This Row],[Werkzeuglos]]=1,4,0))))=select!$F$48,1,0)</f>
        <v>1</v>
      </c>
      <c r="I2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8" s="149">
        <f>IF(AND(Scharniere[[#This Row],[Scharnierart]]=2,Scharniere[[#This Row],[Gruppenschlüssel]]=select!$A$318)=TRUE,1,0)</f>
        <v>0</v>
      </c>
      <c r="K298" s="221">
        <f ca="1">IF(select!$O$424&lt;6,1,0)</f>
        <v>1</v>
      </c>
      <c r="L298" s="139">
        <f>IF(select!$A$362=IF(Scharniere[[#This Row],[mit Dämpfung]]=1,1,IF(Scharniere[[#This Row],[ohne Dämpfung]]=1,2,IF(Scharniere[[#This Row],[ohne Feder]]=1,3,0))),1,0)</f>
        <v>0</v>
      </c>
      <c r="M298" s="135">
        <f>IF(Scharniere[[#This Row],[Bohrbild]]=select!$O$334,1,0)</f>
        <v>0</v>
      </c>
      <c r="N298" s="135">
        <f>IF(IF(Scharniere[[#This Row],[Anschrauben]]=1,1,IF(Scharniere[[#This Row],[Einpressen]]=1,2,IF(Scharniere[[#This Row],[Quick]]=1,3,IF(Scharniere[[#This Row],[Werkzeuglos]]=1,4,0))))=select!$E$362,1,0)</f>
        <v>0</v>
      </c>
      <c r="O2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8" s="298">
        <f>IF(AND(Scharniere[[#This Row],[Scharnierart]]=3,Scharniere[[#This Row],[Gruppenschlüssel]]=select!$A$747)=TRUE,1,0)</f>
        <v>0</v>
      </c>
      <c r="Q298" s="298">
        <f ca="1">IF(select!$O$945&lt;6,1,0)</f>
        <v>1</v>
      </c>
      <c r="R298" s="298">
        <f>IF(select!$A$778=IF(Scharniere[[#This Row],[mit Dämpfung]]=1,1,IF(Scharniere[[#This Row],[ohne Dämpfung]]=1,2,IF(Scharniere[[#This Row],[ohne Feder]]=1,3,0))),1,0)</f>
        <v>0</v>
      </c>
      <c r="S298" s="298">
        <f>IF(Scharniere[[#This Row],[Bohrbild]]=select!$A$755,1,0)</f>
        <v>0</v>
      </c>
      <c r="T298" s="298">
        <f>IF(IF(Scharniere[[#This Row],[Anschrauben]]=1,1,IF(Scharniere[[#This Row],[Einpressen]]=1,2,IF(Scharniere[[#This Row],[Quick]]=1,3,IF(Scharniere[[#This Row],[Werkzeuglos]]=1,4,0))))=select!$A$769,1,0)</f>
        <v>0</v>
      </c>
      <c r="U2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8" s="359">
        <f>IF(AND(Scharniere[[#This Row],[Scharnierart]]=4,Scharniere[[#This Row],[Gruppenschlüssel]]=select!$A$981)=TRUE,1,0)</f>
        <v>0</v>
      </c>
      <c r="W298" s="359">
        <f ca="1">IF(select!$O$1185&lt;6,1,0)</f>
        <v>1</v>
      </c>
      <c r="X298" s="359">
        <f>IF(select!$A$1012=IF(Scharniere[[#This Row],[mit Dämpfung]]=1,1,IF(Scharniere[[#This Row],[ohne Dämpfung]]=1,2,IF(Scharniere[[#This Row],[ohne Feder]]=1,3,0))),1,0)</f>
        <v>0</v>
      </c>
      <c r="Y298" s="359">
        <f>IF(Scharniere[[#This Row],[Bohrbild]]=select!$A$989,1,0)</f>
        <v>0</v>
      </c>
      <c r="Z298" s="359">
        <f>IF(IF(Scharniere[[#This Row],[Anschrauben]]=1,1,IF(Scharniere[[#This Row],[Einpressen]]=1,2,IF(Scharniere[[#This Row],[Quick]]=1,3,IF(Scharniere[[#This Row],[Werkzeuglos]]=1,4,0))))=select!$A$1003,1,0)</f>
        <v>0</v>
      </c>
      <c r="AA2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8" s="359">
        <f ca="1">IF(select!$K$980="*",Scharniere[[#This Row],[AG Ges2]],Scharniere[[#This Row],[AG Ges1]])</f>
        <v>0</v>
      </c>
      <c r="AE298" s="451">
        <f ca="1">IF(AND(Scharniere[[#This Row],[Scharnierart]]=select!$A$1485,Scharniere[[#This Row],[Gruppenschlüssel]]=select!$B$1485)=TRUE,1,0)</f>
        <v>0</v>
      </c>
      <c r="AF298" s="451">
        <f ca="1">IF(AND(Scharniere[[#This Row],[Scharnierart]]=select!$A$1486,Scharniere[[#This Row],[Gruppenschlüssel]]=select!$B$1486)=TRUE,1,0)</f>
        <v>0</v>
      </c>
      <c r="AG298" s="451">
        <f ca="1">IF(AND(Scharniere[[#This Row],[Scharnierart]]=select!$A$1487,Scharniere[[#This Row],[Gruppenschlüssel]]=select!$B$1487)=TRUE,1,0)</f>
        <v>0</v>
      </c>
      <c r="AH298" s="451">
        <f ca="1">IF(AND(Scharniere[[#This Row],[Scharnierart]]=select!$A$1488,Scharniere[[#This Row],[Gruppenschlüssel]]=select!$B$1488)=TRUE,1,0)</f>
        <v>0</v>
      </c>
      <c r="AI298" s="451">
        <f ca="1">IF(SUM(Scharniere[[#This Row],[konf Scharnier 1]:[konf Scharnier 4]])&gt;0,1,0)</f>
        <v>0</v>
      </c>
      <c r="AJ298" s="451"/>
      <c r="AK298" s="451"/>
      <c r="AL298" s="451"/>
      <c r="AM298" s="451"/>
      <c r="AN298" s="451"/>
      <c r="AO298" s="146">
        <v>1</v>
      </c>
      <c r="AP298" s="146">
        <v>2</v>
      </c>
      <c r="AQ298" s="10" t="str">
        <f ca="1">Sprache!$A$114</f>
        <v>Tiomos Scharnier TT Click-on</v>
      </c>
      <c r="AR298" t="str">
        <f ca="1">"120°, B-BB, K03, "&amp;Sprache!A181&amp;", ni"</f>
        <v>120°, B-BB, K03, Dübel, ni</v>
      </c>
      <c r="AS298" t="str">
        <f ca="1">Sprache!$A$103</f>
        <v>Tiomos Click-On Scharniere</v>
      </c>
      <c r="AT298">
        <v>3</v>
      </c>
      <c r="AU298" s="34" t="s">
        <v>3</v>
      </c>
      <c r="AV298">
        <v>120</v>
      </c>
      <c r="AW298" s="10">
        <v>0</v>
      </c>
      <c r="AX298">
        <v>0</v>
      </c>
      <c r="AY298">
        <v>1</v>
      </c>
      <c r="AZ298" s="10">
        <v>0</v>
      </c>
      <c r="BA298">
        <v>1</v>
      </c>
      <c r="BB298">
        <v>0</v>
      </c>
      <c r="BC298">
        <v>0</v>
      </c>
      <c r="BD298" s="143" t="s">
        <v>649</v>
      </c>
      <c r="BG298"/>
    </row>
    <row r="299" spans="1:59" ht="14.25" customHeight="1" x14ac:dyDescent="0.25">
      <c r="A299" s="37" t="str">
        <f>LEFT(Scharniere[[#This Row],[ArtikelNR]],4)</f>
        <v>F045</v>
      </c>
      <c r="B299" s="35" t="str">
        <f>MID(Scharniere[[#This Row],[ArtikelNR]],5,3)</f>
        <v>138</v>
      </c>
      <c r="C299" s="37" t="str">
        <f>RIGHT(Scharniere[[#This Row],[ArtikelNR]],3)</f>
        <v>486</v>
      </c>
      <c r="D299" s="35">
        <f>IF(AND(Scharniere[[#This Row],[Gruppenschlüssel]]=select!$A$44,Scharniere[[#This Row],[Scharnierart]]=1)=TRUE,1,0)</f>
        <v>0</v>
      </c>
      <c r="E2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299" s="35">
        <f>IF(select!$F$57=IF(Scharniere[[#This Row],[mit Dämpfung]]=1,1,IF(Scharniere[[#This Row],[ohne Dämpfung]]=1,2,IF(Scharniere[[#This Row],[ohne Feder]]=1,3,0))),1,0)</f>
        <v>0</v>
      </c>
      <c r="G299" s="35">
        <f>IF(Scharniere[[#This Row],[Bohrbild]]=select!$V$43,1,0)</f>
        <v>0</v>
      </c>
      <c r="H299" s="35">
        <f>IF(IF(Scharniere[[#This Row],[Anschrauben]]=1,1,IF(Scharniere[[#This Row],[Einpressen]]=1,2,IF(Scharniere[[#This Row],[Quick]]=1,3,IF(Scharniere[[#This Row],[Werkzeuglos]]=1,4,0))))=select!$F$48,1,0)</f>
        <v>0</v>
      </c>
      <c r="I2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299" s="149">
        <f>IF(AND(Scharniere[[#This Row],[Scharnierart]]=2,Scharniere[[#This Row],[Gruppenschlüssel]]=select!$A$318)=TRUE,1,0)</f>
        <v>0</v>
      </c>
      <c r="K299" s="221">
        <f ca="1">IF(select!$O$424&lt;6,1,0)</f>
        <v>1</v>
      </c>
      <c r="L299" s="139">
        <f>IF(select!$A$362=IF(Scharniere[[#This Row],[mit Dämpfung]]=1,1,IF(Scharniere[[#This Row],[ohne Dämpfung]]=1,2,IF(Scharniere[[#This Row],[ohne Feder]]=1,3,0))),1,0)</f>
        <v>0</v>
      </c>
      <c r="M299" s="135">
        <f>IF(Scharniere[[#This Row],[Bohrbild]]=select!$O$334,1,0)</f>
        <v>0</v>
      </c>
      <c r="N299" s="135">
        <f>IF(IF(Scharniere[[#This Row],[Anschrauben]]=1,1,IF(Scharniere[[#This Row],[Einpressen]]=1,2,IF(Scharniere[[#This Row],[Quick]]=1,3,IF(Scharniere[[#This Row],[Werkzeuglos]]=1,4,0))))=select!$E$362,1,0)</f>
        <v>1</v>
      </c>
      <c r="O2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299" s="298">
        <f>IF(AND(Scharniere[[#This Row],[Scharnierart]]=3,Scharniere[[#This Row],[Gruppenschlüssel]]=select!$A$747)=TRUE,1,0)</f>
        <v>0</v>
      </c>
      <c r="Q299" s="298">
        <f ca="1">IF(select!$O$945&lt;6,1,0)</f>
        <v>1</v>
      </c>
      <c r="R299" s="298">
        <f>IF(select!$A$778=IF(Scharniere[[#This Row],[mit Dämpfung]]=1,1,IF(Scharniere[[#This Row],[ohne Dämpfung]]=1,2,IF(Scharniere[[#This Row],[ohne Feder]]=1,3,0))),1,0)</f>
        <v>1</v>
      </c>
      <c r="S299" s="298">
        <f>IF(Scharniere[[#This Row],[Bohrbild]]=select!$A$755,1,0)</f>
        <v>0</v>
      </c>
      <c r="T299" s="298">
        <f>IF(IF(Scharniere[[#This Row],[Anschrauben]]=1,1,IF(Scharniere[[#This Row],[Einpressen]]=1,2,IF(Scharniere[[#This Row],[Quick]]=1,3,IF(Scharniere[[#This Row],[Werkzeuglos]]=1,4,0))))=select!$A$769,1,0)</f>
        <v>1</v>
      </c>
      <c r="U2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299" s="359">
        <f>IF(AND(Scharniere[[#This Row],[Scharnierart]]=4,Scharniere[[#This Row],[Gruppenschlüssel]]=select!$A$981)=TRUE,1,0)</f>
        <v>0</v>
      </c>
      <c r="W299" s="359">
        <f ca="1">IF(select!$O$1185&lt;6,1,0)</f>
        <v>1</v>
      </c>
      <c r="X299" s="359">
        <f>IF(select!$A$1012=IF(Scharniere[[#This Row],[mit Dämpfung]]=1,1,IF(Scharniere[[#This Row],[ohne Dämpfung]]=1,2,IF(Scharniere[[#This Row],[ohne Feder]]=1,3,0))),1,0)</f>
        <v>1</v>
      </c>
      <c r="Y299" s="359">
        <f>IF(Scharniere[[#This Row],[Bohrbild]]=select!$A$989,1,0)</f>
        <v>0</v>
      </c>
      <c r="Z299" s="359">
        <f>IF(IF(Scharniere[[#This Row],[Anschrauben]]=1,1,IF(Scharniere[[#This Row],[Einpressen]]=1,2,IF(Scharniere[[#This Row],[Quick]]=1,3,IF(Scharniere[[#This Row],[Werkzeuglos]]=1,4,0))))=select!$A$1003,1,0)</f>
        <v>1</v>
      </c>
      <c r="AA2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2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2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299" s="359">
        <f ca="1">IF(select!$K$980="*",Scharniere[[#This Row],[AG Ges2]],Scharniere[[#This Row],[AG Ges1]])</f>
        <v>0</v>
      </c>
      <c r="AE299" s="451">
        <f ca="1">IF(AND(Scharniere[[#This Row],[Scharnierart]]=select!$A$1485,Scharniere[[#This Row],[Gruppenschlüssel]]=select!$B$1485)=TRUE,1,0)</f>
        <v>0</v>
      </c>
      <c r="AF299" s="451">
        <f ca="1">IF(AND(Scharniere[[#This Row],[Scharnierart]]=select!$A$1486,Scharniere[[#This Row],[Gruppenschlüssel]]=select!$B$1486)=TRUE,1,0)</f>
        <v>0</v>
      </c>
      <c r="AG299" s="451">
        <f ca="1">IF(AND(Scharniere[[#This Row],[Scharnierart]]=select!$A$1487,Scharniere[[#This Row],[Gruppenschlüssel]]=select!$B$1487)=TRUE,1,0)</f>
        <v>0</v>
      </c>
      <c r="AH299" s="451">
        <f ca="1">IF(AND(Scharniere[[#This Row],[Scharnierart]]=select!$A$1488,Scharniere[[#This Row],[Gruppenschlüssel]]=select!$B$1488)=TRUE,1,0)</f>
        <v>0</v>
      </c>
      <c r="AI299" s="451">
        <f ca="1">IF(SUM(Scharniere[[#This Row],[konf Scharnier 1]:[konf Scharnier 4]])&gt;0,1,0)</f>
        <v>0</v>
      </c>
      <c r="AJ299" s="451"/>
      <c r="AK299" s="451"/>
      <c r="AL299" s="451"/>
      <c r="AM299" s="451"/>
      <c r="AN299" s="451"/>
      <c r="AO299" s="146">
        <v>1</v>
      </c>
      <c r="AP299" s="146">
        <v>2</v>
      </c>
      <c r="AQ299" s="10" t="str">
        <f ca="1">Sprache!$A$110</f>
        <v>Tiomos Scharnier T Click-on</v>
      </c>
      <c r="AR299" t="s">
        <v>314</v>
      </c>
      <c r="AS299" t="str">
        <f ca="1">Sprache!$A$103</f>
        <v>Tiomos Click-On Scharniere</v>
      </c>
      <c r="AT299">
        <v>3</v>
      </c>
      <c r="AU299" s="34" t="s">
        <v>3</v>
      </c>
      <c r="AV299">
        <v>120</v>
      </c>
      <c r="AW299" s="10">
        <v>0</v>
      </c>
      <c r="AX299">
        <v>1</v>
      </c>
      <c r="AY299">
        <v>0</v>
      </c>
      <c r="AZ299" s="10">
        <v>1</v>
      </c>
      <c r="BA299">
        <v>0</v>
      </c>
      <c r="BB299">
        <v>0</v>
      </c>
      <c r="BC299">
        <v>0</v>
      </c>
      <c r="BD299" s="143" t="s">
        <v>493</v>
      </c>
      <c r="BG299"/>
    </row>
    <row r="300" spans="1:59" ht="14.25" customHeight="1" x14ac:dyDescent="0.25">
      <c r="A300" s="37" t="str">
        <f>LEFT(Scharniere[[#This Row],[ArtikelNR]],4)</f>
        <v>F028</v>
      </c>
      <c r="B300" s="35" t="str">
        <f>MID(Scharniere[[#This Row],[ArtikelNR]],5,3)</f>
        <v>138</v>
      </c>
      <c r="C300" s="37" t="str">
        <f>RIGHT(Scharniere[[#This Row],[ArtikelNR]],3)</f>
        <v>548</v>
      </c>
      <c r="D300" s="35">
        <f>IF(AND(Scharniere[[#This Row],[Gruppenschlüssel]]=select!$A$44,Scharniere[[#This Row],[Scharnierart]]=1)=TRUE,1,0)</f>
        <v>0</v>
      </c>
      <c r="E3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0" s="35">
        <f>IF(select!$F$57=IF(Scharniere[[#This Row],[mit Dämpfung]]=1,1,IF(Scharniere[[#This Row],[ohne Dämpfung]]=1,2,IF(Scharniere[[#This Row],[ohne Feder]]=1,3,0))),1,0)</f>
        <v>0</v>
      </c>
      <c r="G300" s="35">
        <f>IF(Scharniere[[#This Row],[Bohrbild]]=select!$V$43,1,0)</f>
        <v>0</v>
      </c>
      <c r="H300" s="35">
        <f>IF(IF(Scharniere[[#This Row],[Anschrauben]]=1,1,IF(Scharniere[[#This Row],[Einpressen]]=1,2,IF(Scharniere[[#This Row],[Quick]]=1,3,IF(Scharniere[[#This Row],[Werkzeuglos]]=1,4,0))))=select!$F$48,1,0)</f>
        <v>0</v>
      </c>
      <c r="I3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0" s="149">
        <f>IF(AND(Scharniere[[#This Row],[Scharnierart]]=2,Scharniere[[#This Row],[Gruppenschlüssel]]=select!$A$318)=TRUE,1,0)</f>
        <v>0</v>
      </c>
      <c r="K300" s="221">
        <f ca="1">IF(select!$O$424&lt;6,1,0)</f>
        <v>1</v>
      </c>
      <c r="L300" s="139">
        <f>IF(select!$A$362=IF(Scharniere[[#This Row],[mit Dämpfung]]=1,1,IF(Scharniere[[#This Row],[ohne Dämpfung]]=1,2,IF(Scharniere[[#This Row],[ohne Feder]]=1,3,0))),1,0)</f>
        <v>1</v>
      </c>
      <c r="M300" s="135">
        <f>IF(Scharniere[[#This Row],[Bohrbild]]=select!$O$334,1,0)</f>
        <v>0</v>
      </c>
      <c r="N300" s="135">
        <f>IF(IF(Scharniere[[#This Row],[Anschrauben]]=1,1,IF(Scharniere[[#This Row],[Einpressen]]=1,2,IF(Scharniere[[#This Row],[Quick]]=1,3,IF(Scharniere[[#This Row],[Werkzeuglos]]=1,4,0))))=select!$E$362,1,0)</f>
        <v>1</v>
      </c>
      <c r="O3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0" s="298">
        <f>IF(AND(Scharniere[[#This Row],[Scharnierart]]=3,Scharniere[[#This Row],[Gruppenschlüssel]]=select!$A$747)=TRUE,1,0)</f>
        <v>0</v>
      </c>
      <c r="Q300" s="298">
        <f ca="1">IF(select!$O$945&lt;6,1,0)</f>
        <v>1</v>
      </c>
      <c r="R300" s="298">
        <f>IF(select!$A$778=IF(Scharniere[[#This Row],[mit Dämpfung]]=1,1,IF(Scharniere[[#This Row],[ohne Dämpfung]]=1,2,IF(Scharniere[[#This Row],[ohne Feder]]=1,3,0))),1,0)</f>
        <v>0</v>
      </c>
      <c r="S300" s="298">
        <f>IF(Scharniere[[#This Row],[Bohrbild]]=select!$A$755,1,0)</f>
        <v>0</v>
      </c>
      <c r="T300" s="298">
        <f>IF(IF(Scharniere[[#This Row],[Anschrauben]]=1,1,IF(Scharniere[[#This Row],[Einpressen]]=1,2,IF(Scharniere[[#This Row],[Quick]]=1,3,IF(Scharniere[[#This Row],[Werkzeuglos]]=1,4,0))))=select!$A$769,1,0)</f>
        <v>1</v>
      </c>
      <c r="U3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0" s="359">
        <f>IF(AND(Scharniere[[#This Row],[Scharnierart]]=4,Scharniere[[#This Row],[Gruppenschlüssel]]=select!$A$981)=TRUE,1,0)</f>
        <v>0</v>
      </c>
      <c r="W300" s="359">
        <f ca="1">IF(select!$O$1185&lt;6,1,0)</f>
        <v>1</v>
      </c>
      <c r="X300" s="359">
        <f>IF(select!$A$1012=IF(Scharniere[[#This Row],[mit Dämpfung]]=1,1,IF(Scharniere[[#This Row],[ohne Dämpfung]]=1,2,IF(Scharniere[[#This Row],[ohne Feder]]=1,3,0))),1,0)</f>
        <v>0</v>
      </c>
      <c r="Y300" s="359">
        <f>IF(Scharniere[[#This Row],[Bohrbild]]=select!$A$989,1,0)</f>
        <v>0</v>
      </c>
      <c r="Z300" s="359">
        <f>IF(IF(Scharniere[[#This Row],[Anschrauben]]=1,1,IF(Scharniere[[#This Row],[Einpressen]]=1,2,IF(Scharniere[[#This Row],[Quick]]=1,3,IF(Scharniere[[#This Row],[Werkzeuglos]]=1,4,0))))=select!$A$1003,1,0)</f>
        <v>1</v>
      </c>
      <c r="AA3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0" s="359">
        <f ca="1">IF(select!$K$980="*",Scharniere[[#This Row],[AG Ges2]],Scharniere[[#This Row],[AG Ges1]])</f>
        <v>0</v>
      </c>
      <c r="AE300" s="451">
        <f ca="1">IF(AND(Scharniere[[#This Row],[Scharnierart]]=select!$A$1485,Scharniere[[#This Row],[Gruppenschlüssel]]=select!$B$1485)=TRUE,1,0)</f>
        <v>0</v>
      </c>
      <c r="AF300" s="451">
        <f ca="1">IF(AND(Scharniere[[#This Row],[Scharnierart]]=select!$A$1486,Scharniere[[#This Row],[Gruppenschlüssel]]=select!$B$1486)=TRUE,1,0)</f>
        <v>0</v>
      </c>
      <c r="AG300" s="451">
        <f ca="1">IF(AND(Scharniere[[#This Row],[Scharnierart]]=select!$A$1487,Scharniere[[#This Row],[Gruppenschlüssel]]=select!$B$1487)=TRUE,1,0)</f>
        <v>0</v>
      </c>
      <c r="AH300" s="451">
        <f ca="1">IF(AND(Scharniere[[#This Row],[Scharnierart]]=select!$A$1488,Scharniere[[#This Row],[Gruppenschlüssel]]=select!$B$1488)=TRUE,1,0)</f>
        <v>0</v>
      </c>
      <c r="AI300" s="451">
        <f ca="1">IF(SUM(Scharniere[[#This Row],[konf Scharnier 1]:[konf Scharnier 4]])&gt;0,1,0)</f>
        <v>0</v>
      </c>
      <c r="AJ300" s="451"/>
      <c r="AK300" s="451"/>
      <c r="AL300" s="451"/>
      <c r="AM300" s="451"/>
      <c r="AN300" s="451"/>
      <c r="AO300" s="146">
        <v>1</v>
      </c>
      <c r="AP300" s="146">
        <v>2</v>
      </c>
      <c r="AQ300" s="10" t="str">
        <f ca="1">Sprache!$A$112</f>
        <v>Tiomos Scharnier TS Click-on</v>
      </c>
      <c r="AR300" t="s">
        <v>314</v>
      </c>
      <c r="AS300" t="str">
        <f ca="1">Sprache!$A$103</f>
        <v>Tiomos Click-On Scharniere</v>
      </c>
      <c r="AT300">
        <v>3</v>
      </c>
      <c r="AU300" s="34" t="s">
        <v>3</v>
      </c>
      <c r="AV300">
        <v>120</v>
      </c>
      <c r="AW300" s="10">
        <v>1</v>
      </c>
      <c r="AX300">
        <v>0</v>
      </c>
      <c r="AY300">
        <v>0</v>
      </c>
      <c r="AZ300" s="10">
        <v>1</v>
      </c>
      <c r="BA300">
        <v>0</v>
      </c>
      <c r="BB300">
        <v>0</v>
      </c>
      <c r="BC300">
        <v>0</v>
      </c>
      <c r="BD300" s="143" t="s">
        <v>313</v>
      </c>
      <c r="BG300"/>
    </row>
    <row r="301" spans="1:59" ht="14.25" customHeight="1" x14ac:dyDescent="0.25">
      <c r="A301" s="37" t="str">
        <f>LEFT(Scharniere[[#This Row],[ArtikelNR]],4)</f>
        <v>F046</v>
      </c>
      <c r="B301" s="35" t="str">
        <f>MID(Scharniere[[#This Row],[ArtikelNR]],5,3)</f>
        <v>138</v>
      </c>
      <c r="C301" s="37" t="str">
        <f>RIGHT(Scharniere[[#This Row],[ArtikelNR]],3)</f>
        <v>608</v>
      </c>
      <c r="D301" s="35">
        <f>IF(AND(Scharniere[[#This Row],[Gruppenschlüssel]]=select!$A$44,Scharniere[[#This Row],[Scharnierart]]=1)=TRUE,1,0)</f>
        <v>0</v>
      </c>
      <c r="E3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1" s="35">
        <f>IF(select!$F$57=IF(Scharniere[[#This Row],[mit Dämpfung]]=1,1,IF(Scharniere[[#This Row],[ohne Dämpfung]]=1,2,IF(Scharniere[[#This Row],[ohne Feder]]=1,3,0))),1,0)</f>
        <v>1</v>
      </c>
      <c r="G301" s="35">
        <f>IF(Scharniere[[#This Row],[Bohrbild]]=select!$V$43,1,0)</f>
        <v>0</v>
      </c>
      <c r="H301" s="35">
        <f>IF(IF(Scharniere[[#This Row],[Anschrauben]]=1,1,IF(Scharniere[[#This Row],[Einpressen]]=1,2,IF(Scharniere[[#This Row],[Quick]]=1,3,IF(Scharniere[[#This Row],[Werkzeuglos]]=1,4,0))))=select!$F$48,1,0)</f>
        <v>0</v>
      </c>
      <c r="I3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1" s="149">
        <f>IF(AND(Scharniere[[#This Row],[Scharnierart]]=2,Scharniere[[#This Row],[Gruppenschlüssel]]=select!$A$318)=TRUE,1,0)</f>
        <v>0</v>
      </c>
      <c r="K301" s="221">
        <f ca="1">IF(select!$O$424&lt;6,1,0)</f>
        <v>1</v>
      </c>
      <c r="L301" s="139">
        <f>IF(select!$A$362=IF(Scharniere[[#This Row],[mit Dämpfung]]=1,1,IF(Scharniere[[#This Row],[ohne Dämpfung]]=1,2,IF(Scharniere[[#This Row],[ohne Feder]]=1,3,0))),1,0)</f>
        <v>0</v>
      </c>
      <c r="M301" s="135">
        <f>IF(Scharniere[[#This Row],[Bohrbild]]=select!$O$334,1,0)</f>
        <v>0</v>
      </c>
      <c r="N301" s="135">
        <f>IF(IF(Scharniere[[#This Row],[Anschrauben]]=1,1,IF(Scharniere[[#This Row],[Einpressen]]=1,2,IF(Scharniere[[#This Row],[Quick]]=1,3,IF(Scharniere[[#This Row],[Werkzeuglos]]=1,4,0))))=select!$E$362,1,0)</f>
        <v>1</v>
      </c>
      <c r="O3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1" s="298">
        <f>IF(AND(Scharniere[[#This Row],[Scharnierart]]=3,Scharniere[[#This Row],[Gruppenschlüssel]]=select!$A$747)=TRUE,1,0)</f>
        <v>0</v>
      </c>
      <c r="Q301" s="298">
        <f ca="1">IF(select!$O$945&lt;6,1,0)</f>
        <v>1</v>
      </c>
      <c r="R301" s="298">
        <f>IF(select!$A$778=IF(Scharniere[[#This Row],[mit Dämpfung]]=1,1,IF(Scharniere[[#This Row],[ohne Dämpfung]]=1,2,IF(Scharniere[[#This Row],[ohne Feder]]=1,3,0))),1,0)</f>
        <v>0</v>
      </c>
      <c r="S301" s="298">
        <f>IF(Scharniere[[#This Row],[Bohrbild]]=select!$A$755,1,0)</f>
        <v>0</v>
      </c>
      <c r="T301" s="298">
        <f>IF(IF(Scharniere[[#This Row],[Anschrauben]]=1,1,IF(Scharniere[[#This Row],[Einpressen]]=1,2,IF(Scharniere[[#This Row],[Quick]]=1,3,IF(Scharniere[[#This Row],[Werkzeuglos]]=1,4,0))))=select!$A$769,1,0)</f>
        <v>1</v>
      </c>
      <c r="U3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1" s="359">
        <f>IF(AND(Scharniere[[#This Row],[Scharnierart]]=4,Scharniere[[#This Row],[Gruppenschlüssel]]=select!$A$981)=TRUE,1,0)</f>
        <v>0</v>
      </c>
      <c r="W301" s="359">
        <f ca="1">IF(select!$O$1185&lt;6,1,0)</f>
        <v>1</v>
      </c>
      <c r="X301" s="359">
        <f>IF(select!$A$1012=IF(Scharniere[[#This Row],[mit Dämpfung]]=1,1,IF(Scharniere[[#This Row],[ohne Dämpfung]]=1,2,IF(Scharniere[[#This Row],[ohne Feder]]=1,3,0))),1,0)</f>
        <v>0</v>
      </c>
      <c r="Y301" s="359">
        <f>IF(Scharniere[[#This Row],[Bohrbild]]=select!$A$989,1,0)</f>
        <v>0</v>
      </c>
      <c r="Z301" s="359">
        <f>IF(IF(Scharniere[[#This Row],[Anschrauben]]=1,1,IF(Scharniere[[#This Row],[Einpressen]]=1,2,IF(Scharniere[[#This Row],[Quick]]=1,3,IF(Scharniere[[#This Row],[Werkzeuglos]]=1,4,0))))=select!$A$1003,1,0)</f>
        <v>1</v>
      </c>
      <c r="AA3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1" s="359">
        <f ca="1">IF(select!$K$980="*",Scharniere[[#This Row],[AG Ges2]],Scharniere[[#This Row],[AG Ges1]])</f>
        <v>0</v>
      </c>
      <c r="AE301" s="451">
        <f ca="1">IF(AND(Scharniere[[#This Row],[Scharnierart]]=select!$A$1485,Scharniere[[#This Row],[Gruppenschlüssel]]=select!$B$1485)=TRUE,1,0)</f>
        <v>0</v>
      </c>
      <c r="AF301" s="451">
        <f ca="1">IF(AND(Scharniere[[#This Row],[Scharnierart]]=select!$A$1486,Scharniere[[#This Row],[Gruppenschlüssel]]=select!$B$1486)=TRUE,1,0)</f>
        <v>0</v>
      </c>
      <c r="AG301" s="451">
        <f ca="1">IF(AND(Scharniere[[#This Row],[Scharnierart]]=select!$A$1487,Scharniere[[#This Row],[Gruppenschlüssel]]=select!$B$1487)=TRUE,1,0)</f>
        <v>0</v>
      </c>
      <c r="AH301" s="451">
        <f ca="1">IF(AND(Scharniere[[#This Row],[Scharnierart]]=select!$A$1488,Scharniere[[#This Row],[Gruppenschlüssel]]=select!$B$1488)=TRUE,1,0)</f>
        <v>0</v>
      </c>
      <c r="AI301" s="451">
        <f ca="1">IF(SUM(Scharniere[[#This Row],[konf Scharnier 1]:[konf Scharnier 4]])&gt;0,1,0)</f>
        <v>0</v>
      </c>
      <c r="AJ301" s="451"/>
      <c r="AK301" s="451"/>
      <c r="AL301" s="451"/>
      <c r="AM301" s="451"/>
      <c r="AN301" s="451"/>
      <c r="AO301" s="146">
        <v>1</v>
      </c>
      <c r="AP301" s="146">
        <v>2</v>
      </c>
      <c r="AQ301" s="10" t="str">
        <f ca="1">Sprache!$A$114</f>
        <v>Tiomos Scharnier TT Click-on</v>
      </c>
      <c r="AR301" t="s">
        <v>314</v>
      </c>
      <c r="AS301" t="str">
        <f ca="1">Sprache!$A$103</f>
        <v>Tiomos Click-On Scharniere</v>
      </c>
      <c r="AT301">
        <v>3</v>
      </c>
      <c r="AU301" s="34" t="s">
        <v>3</v>
      </c>
      <c r="AV301">
        <v>120</v>
      </c>
      <c r="AW301" s="10">
        <v>0</v>
      </c>
      <c r="AX301">
        <v>0</v>
      </c>
      <c r="AY301">
        <v>1</v>
      </c>
      <c r="AZ301" s="10">
        <v>1</v>
      </c>
      <c r="BA301">
        <v>0</v>
      </c>
      <c r="BB301">
        <v>0</v>
      </c>
      <c r="BC301">
        <v>0</v>
      </c>
      <c r="BD301" s="143" t="s">
        <v>645</v>
      </c>
      <c r="BG301"/>
    </row>
    <row r="302" spans="1:59" ht="14.25" customHeight="1" x14ac:dyDescent="0.25">
      <c r="A302" s="37" t="str">
        <f>LEFT(Scharniere[[#This Row],[ArtikelNR]],4)</f>
        <v>F045</v>
      </c>
      <c r="B302" s="35" t="str">
        <f>MID(Scharniere[[#This Row],[ArtikelNR]],5,3)</f>
        <v>138</v>
      </c>
      <c r="C302" s="37" t="str">
        <f>RIGHT(Scharniere[[#This Row],[ArtikelNR]],3)</f>
        <v>308</v>
      </c>
      <c r="D302" s="35">
        <f>IF(AND(Scharniere[[#This Row],[Gruppenschlüssel]]=select!$A$44,Scharniere[[#This Row],[Scharnierart]]=1)=TRUE,1,0)</f>
        <v>0</v>
      </c>
      <c r="E3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2" s="35">
        <f>IF(select!$F$57=IF(Scharniere[[#This Row],[mit Dämpfung]]=1,1,IF(Scharniere[[#This Row],[ohne Dämpfung]]=1,2,IF(Scharniere[[#This Row],[ohne Feder]]=1,3,0))),1,0)</f>
        <v>0</v>
      </c>
      <c r="G302" s="35">
        <f>IF(Scharniere[[#This Row],[Bohrbild]]=select!$V$43,1,0)</f>
        <v>0</v>
      </c>
      <c r="H302" s="35">
        <f>IF(IF(Scharniere[[#This Row],[Anschrauben]]=1,1,IF(Scharniere[[#This Row],[Einpressen]]=1,2,IF(Scharniere[[#This Row],[Quick]]=1,3,IF(Scharniere[[#This Row],[Werkzeuglos]]=1,4,0))))=select!$F$48,1,0)</f>
        <v>1</v>
      </c>
      <c r="I3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2" s="149">
        <f>IF(AND(Scharniere[[#This Row],[Scharnierart]]=2,Scharniere[[#This Row],[Gruppenschlüssel]]=select!$A$318)=TRUE,1,0)</f>
        <v>0</v>
      </c>
      <c r="K302" s="221">
        <f ca="1">IF(select!$O$424&lt;6,1,0)</f>
        <v>1</v>
      </c>
      <c r="L302" s="139">
        <f>IF(select!$A$362=IF(Scharniere[[#This Row],[mit Dämpfung]]=1,1,IF(Scharniere[[#This Row],[ohne Dämpfung]]=1,2,IF(Scharniere[[#This Row],[ohne Feder]]=1,3,0))),1,0)</f>
        <v>0</v>
      </c>
      <c r="M302" s="135">
        <f>IF(Scharniere[[#This Row],[Bohrbild]]=select!$O$334,1,0)</f>
        <v>0</v>
      </c>
      <c r="N302" s="135">
        <f>IF(IF(Scharniere[[#This Row],[Anschrauben]]=1,1,IF(Scharniere[[#This Row],[Einpressen]]=1,2,IF(Scharniere[[#This Row],[Quick]]=1,3,IF(Scharniere[[#This Row],[Werkzeuglos]]=1,4,0))))=select!$E$362,1,0)</f>
        <v>0</v>
      </c>
      <c r="O3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2" s="298">
        <f>IF(AND(Scharniere[[#This Row],[Scharnierart]]=3,Scharniere[[#This Row],[Gruppenschlüssel]]=select!$A$747)=TRUE,1,0)</f>
        <v>0</v>
      </c>
      <c r="Q302" s="298">
        <f ca="1">IF(select!$O$945&lt;6,1,0)</f>
        <v>1</v>
      </c>
      <c r="R302" s="298">
        <f>IF(select!$A$778=IF(Scharniere[[#This Row],[mit Dämpfung]]=1,1,IF(Scharniere[[#This Row],[ohne Dämpfung]]=1,2,IF(Scharniere[[#This Row],[ohne Feder]]=1,3,0))),1,0)</f>
        <v>1</v>
      </c>
      <c r="S302" s="298">
        <f>IF(Scharniere[[#This Row],[Bohrbild]]=select!$A$755,1,0)</f>
        <v>0</v>
      </c>
      <c r="T302" s="298">
        <f>IF(IF(Scharniere[[#This Row],[Anschrauben]]=1,1,IF(Scharniere[[#This Row],[Einpressen]]=1,2,IF(Scharniere[[#This Row],[Quick]]=1,3,IF(Scharniere[[#This Row],[Werkzeuglos]]=1,4,0))))=select!$A$769,1,0)</f>
        <v>0</v>
      </c>
      <c r="U3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2" s="359">
        <f>IF(AND(Scharniere[[#This Row],[Scharnierart]]=4,Scharniere[[#This Row],[Gruppenschlüssel]]=select!$A$981)=TRUE,1,0)</f>
        <v>0</v>
      </c>
      <c r="W302" s="359">
        <f ca="1">IF(select!$O$1185&lt;6,1,0)</f>
        <v>1</v>
      </c>
      <c r="X302" s="359">
        <f>IF(select!$A$1012=IF(Scharniere[[#This Row],[mit Dämpfung]]=1,1,IF(Scharniere[[#This Row],[ohne Dämpfung]]=1,2,IF(Scharniere[[#This Row],[ohne Feder]]=1,3,0))),1,0)</f>
        <v>1</v>
      </c>
      <c r="Y302" s="359">
        <f>IF(Scharniere[[#This Row],[Bohrbild]]=select!$A$989,1,0)</f>
        <v>0</v>
      </c>
      <c r="Z302" s="359">
        <f>IF(IF(Scharniere[[#This Row],[Anschrauben]]=1,1,IF(Scharniere[[#This Row],[Einpressen]]=1,2,IF(Scharniere[[#This Row],[Quick]]=1,3,IF(Scharniere[[#This Row],[Werkzeuglos]]=1,4,0))))=select!$A$1003,1,0)</f>
        <v>0</v>
      </c>
      <c r="AA3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2" s="359">
        <f ca="1">IF(select!$K$980="*",Scharniere[[#This Row],[AG Ges2]],Scharniere[[#This Row],[AG Ges1]])</f>
        <v>0</v>
      </c>
      <c r="AE302" s="451">
        <f ca="1">IF(AND(Scharniere[[#This Row],[Scharnierart]]=select!$A$1485,Scharniere[[#This Row],[Gruppenschlüssel]]=select!$B$1485)=TRUE,1,0)</f>
        <v>0</v>
      </c>
      <c r="AF302" s="451">
        <f ca="1">IF(AND(Scharniere[[#This Row],[Scharnierart]]=select!$A$1486,Scharniere[[#This Row],[Gruppenschlüssel]]=select!$B$1486)=TRUE,1,0)</f>
        <v>0</v>
      </c>
      <c r="AG302" s="451">
        <f ca="1">IF(AND(Scharniere[[#This Row],[Scharnierart]]=select!$A$1487,Scharniere[[#This Row],[Gruppenschlüssel]]=select!$B$1487)=TRUE,1,0)</f>
        <v>0</v>
      </c>
      <c r="AH302" s="451">
        <f ca="1">IF(AND(Scharniere[[#This Row],[Scharnierart]]=select!$A$1488,Scharniere[[#This Row],[Gruppenschlüssel]]=select!$B$1488)=TRUE,1,0)</f>
        <v>0</v>
      </c>
      <c r="AI302" s="451">
        <f ca="1">IF(SUM(Scharniere[[#This Row],[konf Scharnier 1]:[konf Scharnier 4]])&gt;0,1,0)</f>
        <v>0</v>
      </c>
      <c r="AJ302" s="451"/>
      <c r="AK302" s="451"/>
      <c r="AL302" s="451"/>
      <c r="AM302" s="451"/>
      <c r="AN302" s="451"/>
      <c r="AO302" s="146">
        <v>1</v>
      </c>
      <c r="AP302" s="146">
        <v>2</v>
      </c>
      <c r="AQ302" s="10" t="str">
        <f ca="1">Sprache!$A$110</f>
        <v>Tiomos Scharnier T Click-on</v>
      </c>
      <c r="AR302" t="str">
        <f ca="1">"120°, G-BB, K03, "&amp;Sprache!A181&amp;", ni"</f>
        <v>120°, G-BB, K03, Dübel, ni</v>
      </c>
      <c r="AS302" t="str">
        <f ca="1">Sprache!$A$103</f>
        <v>Tiomos Click-On Scharniere</v>
      </c>
      <c r="AT302">
        <v>3</v>
      </c>
      <c r="AU302" s="34" t="s">
        <v>9</v>
      </c>
      <c r="AV302">
        <v>120</v>
      </c>
      <c r="AW302" s="10">
        <v>0</v>
      </c>
      <c r="AX302">
        <v>1</v>
      </c>
      <c r="AY302">
        <v>0</v>
      </c>
      <c r="AZ302" s="10">
        <v>0</v>
      </c>
      <c r="BA302">
        <v>1</v>
      </c>
      <c r="BB302">
        <v>0</v>
      </c>
      <c r="BC302">
        <v>0</v>
      </c>
      <c r="BD302" s="143" t="s">
        <v>469</v>
      </c>
      <c r="BG302"/>
    </row>
    <row r="303" spans="1:59" ht="14.25" customHeight="1" x14ac:dyDescent="0.25">
      <c r="A303" s="37" t="str">
        <f>LEFT(Scharniere[[#This Row],[ArtikelNR]],4)</f>
        <v>F028</v>
      </c>
      <c r="B303" s="35" t="str">
        <f>MID(Scharniere[[#This Row],[ArtikelNR]],5,3)</f>
        <v>138</v>
      </c>
      <c r="C303" s="37" t="str">
        <f>RIGHT(Scharniere[[#This Row],[ArtikelNR]],3)</f>
        <v>370</v>
      </c>
      <c r="D303" s="35">
        <f>IF(AND(Scharniere[[#This Row],[Gruppenschlüssel]]=select!$A$44,Scharniere[[#This Row],[Scharnierart]]=1)=TRUE,1,0)</f>
        <v>0</v>
      </c>
      <c r="E3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3" s="35">
        <f>IF(select!$F$57=IF(Scharniere[[#This Row],[mit Dämpfung]]=1,1,IF(Scharniere[[#This Row],[ohne Dämpfung]]=1,2,IF(Scharniere[[#This Row],[ohne Feder]]=1,3,0))),1,0)</f>
        <v>0</v>
      </c>
      <c r="G303" s="35">
        <f>IF(Scharniere[[#This Row],[Bohrbild]]=select!$V$43,1,0)</f>
        <v>0</v>
      </c>
      <c r="H303" s="35">
        <f>IF(IF(Scharniere[[#This Row],[Anschrauben]]=1,1,IF(Scharniere[[#This Row],[Einpressen]]=1,2,IF(Scharniere[[#This Row],[Quick]]=1,3,IF(Scharniere[[#This Row],[Werkzeuglos]]=1,4,0))))=select!$F$48,1,0)</f>
        <v>1</v>
      </c>
      <c r="I3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3" s="149">
        <f>IF(AND(Scharniere[[#This Row],[Scharnierart]]=2,Scharniere[[#This Row],[Gruppenschlüssel]]=select!$A$318)=TRUE,1,0)</f>
        <v>0</v>
      </c>
      <c r="K303" s="221">
        <f ca="1">IF(select!$O$424&lt;6,1,0)</f>
        <v>1</v>
      </c>
      <c r="L303" s="139">
        <f>IF(select!$A$362=IF(Scharniere[[#This Row],[mit Dämpfung]]=1,1,IF(Scharniere[[#This Row],[ohne Dämpfung]]=1,2,IF(Scharniere[[#This Row],[ohne Feder]]=1,3,0))),1,0)</f>
        <v>1</v>
      </c>
      <c r="M303" s="135">
        <f>IF(Scharniere[[#This Row],[Bohrbild]]=select!$O$334,1,0)</f>
        <v>0</v>
      </c>
      <c r="N303" s="135">
        <f>IF(IF(Scharniere[[#This Row],[Anschrauben]]=1,1,IF(Scharniere[[#This Row],[Einpressen]]=1,2,IF(Scharniere[[#This Row],[Quick]]=1,3,IF(Scharniere[[#This Row],[Werkzeuglos]]=1,4,0))))=select!$E$362,1,0)</f>
        <v>0</v>
      </c>
      <c r="O3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3" s="298">
        <f>IF(AND(Scharniere[[#This Row],[Scharnierart]]=3,Scharniere[[#This Row],[Gruppenschlüssel]]=select!$A$747)=TRUE,1,0)</f>
        <v>0</v>
      </c>
      <c r="Q303" s="298">
        <f ca="1">IF(select!$O$945&lt;6,1,0)</f>
        <v>1</v>
      </c>
      <c r="R303" s="298">
        <f>IF(select!$A$778=IF(Scharniere[[#This Row],[mit Dämpfung]]=1,1,IF(Scharniere[[#This Row],[ohne Dämpfung]]=1,2,IF(Scharniere[[#This Row],[ohne Feder]]=1,3,0))),1,0)</f>
        <v>0</v>
      </c>
      <c r="S303" s="298">
        <f>IF(Scharniere[[#This Row],[Bohrbild]]=select!$A$755,1,0)</f>
        <v>0</v>
      </c>
      <c r="T303" s="298">
        <f>IF(IF(Scharniere[[#This Row],[Anschrauben]]=1,1,IF(Scharniere[[#This Row],[Einpressen]]=1,2,IF(Scharniere[[#This Row],[Quick]]=1,3,IF(Scharniere[[#This Row],[Werkzeuglos]]=1,4,0))))=select!$A$769,1,0)</f>
        <v>0</v>
      </c>
      <c r="U3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3" s="359">
        <f>IF(AND(Scharniere[[#This Row],[Scharnierart]]=4,Scharniere[[#This Row],[Gruppenschlüssel]]=select!$A$981)=TRUE,1,0)</f>
        <v>0</v>
      </c>
      <c r="W303" s="359">
        <f ca="1">IF(select!$O$1185&lt;6,1,0)</f>
        <v>1</v>
      </c>
      <c r="X303" s="359">
        <f>IF(select!$A$1012=IF(Scharniere[[#This Row],[mit Dämpfung]]=1,1,IF(Scharniere[[#This Row],[ohne Dämpfung]]=1,2,IF(Scharniere[[#This Row],[ohne Feder]]=1,3,0))),1,0)</f>
        <v>0</v>
      </c>
      <c r="Y303" s="359">
        <f>IF(Scharniere[[#This Row],[Bohrbild]]=select!$A$989,1,0)</f>
        <v>0</v>
      </c>
      <c r="Z303" s="359">
        <f>IF(IF(Scharniere[[#This Row],[Anschrauben]]=1,1,IF(Scharniere[[#This Row],[Einpressen]]=1,2,IF(Scharniere[[#This Row],[Quick]]=1,3,IF(Scharniere[[#This Row],[Werkzeuglos]]=1,4,0))))=select!$A$1003,1,0)</f>
        <v>0</v>
      </c>
      <c r="AA3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3" s="359">
        <f ca="1">IF(select!$K$980="*",Scharniere[[#This Row],[AG Ges2]],Scharniere[[#This Row],[AG Ges1]])</f>
        <v>0</v>
      </c>
      <c r="AE303" s="451">
        <f ca="1">IF(AND(Scharniere[[#This Row],[Scharnierart]]=select!$A$1485,Scharniere[[#This Row],[Gruppenschlüssel]]=select!$B$1485)=TRUE,1,0)</f>
        <v>0</v>
      </c>
      <c r="AF303" s="451">
        <f ca="1">IF(AND(Scharniere[[#This Row],[Scharnierart]]=select!$A$1486,Scharniere[[#This Row],[Gruppenschlüssel]]=select!$B$1486)=TRUE,1,0)</f>
        <v>0</v>
      </c>
      <c r="AG303" s="451">
        <f ca="1">IF(AND(Scharniere[[#This Row],[Scharnierart]]=select!$A$1487,Scharniere[[#This Row],[Gruppenschlüssel]]=select!$B$1487)=TRUE,1,0)</f>
        <v>0</v>
      </c>
      <c r="AH303" s="451">
        <f ca="1">IF(AND(Scharniere[[#This Row],[Scharnierart]]=select!$A$1488,Scharniere[[#This Row],[Gruppenschlüssel]]=select!$B$1488)=TRUE,1,0)</f>
        <v>0</v>
      </c>
      <c r="AI303" s="451">
        <f ca="1">IF(SUM(Scharniere[[#This Row],[konf Scharnier 1]:[konf Scharnier 4]])&gt;0,1,0)</f>
        <v>0</v>
      </c>
      <c r="AJ303" s="451"/>
      <c r="AK303" s="451"/>
      <c r="AL303" s="451"/>
      <c r="AM303" s="451"/>
      <c r="AN303" s="451"/>
      <c r="AO303" s="146">
        <v>1</v>
      </c>
      <c r="AP303" s="146">
        <v>2</v>
      </c>
      <c r="AQ303" s="10" t="str">
        <f ca="1">Sprache!$A$112</f>
        <v>Tiomos Scharnier TS Click-on</v>
      </c>
      <c r="AR303" t="str">
        <f ca="1">"120°, G-BB, K03, "&amp;Sprache!A181&amp;", ni"</f>
        <v>120°, G-BB, K03, Dübel, ni</v>
      </c>
      <c r="AS303" t="str">
        <f ca="1">Sprache!$A$103</f>
        <v>Tiomos Click-On Scharniere</v>
      </c>
      <c r="AT303">
        <v>3</v>
      </c>
      <c r="AU303" s="34" t="s">
        <v>9</v>
      </c>
      <c r="AV303">
        <v>120</v>
      </c>
      <c r="AW303" s="10">
        <v>1</v>
      </c>
      <c r="AX303">
        <v>0</v>
      </c>
      <c r="AY303">
        <v>0</v>
      </c>
      <c r="AZ303" s="10">
        <v>0</v>
      </c>
      <c r="BA303">
        <v>1</v>
      </c>
      <c r="BB303">
        <v>0</v>
      </c>
      <c r="BC303">
        <v>0</v>
      </c>
      <c r="BD303" s="143" t="s">
        <v>281</v>
      </c>
      <c r="BG303"/>
    </row>
    <row r="304" spans="1:59" ht="14.25" customHeight="1" x14ac:dyDescent="0.25">
      <c r="A304" s="37" t="str">
        <f>LEFT(Scharniere[[#This Row],[ArtikelNR]],4)</f>
        <v>F046</v>
      </c>
      <c r="B304" s="35" t="str">
        <f>MID(Scharniere[[#This Row],[ArtikelNR]],5,3)</f>
        <v>138</v>
      </c>
      <c r="C304" s="37" t="str">
        <f>RIGHT(Scharniere[[#This Row],[ArtikelNR]],3)</f>
        <v>430</v>
      </c>
      <c r="D304" s="35">
        <f>IF(AND(Scharniere[[#This Row],[Gruppenschlüssel]]=select!$A$44,Scharniere[[#This Row],[Scharnierart]]=1)=TRUE,1,0)</f>
        <v>0</v>
      </c>
      <c r="E3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4" s="35">
        <f>IF(select!$F$57=IF(Scharniere[[#This Row],[mit Dämpfung]]=1,1,IF(Scharniere[[#This Row],[ohne Dämpfung]]=1,2,IF(Scharniere[[#This Row],[ohne Feder]]=1,3,0))),1,0)</f>
        <v>1</v>
      </c>
      <c r="G304" s="35">
        <f>IF(Scharniere[[#This Row],[Bohrbild]]=select!$V$43,1,0)</f>
        <v>0</v>
      </c>
      <c r="H304" s="35">
        <f>IF(IF(Scharniere[[#This Row],[Anschrauben]]=1,1,IF(Scharniere[[#This Row],[Einpressen]]=1,2,IF(Scharniere[[#This Row],[Quick]]=1,3,IF(Scharniere[[#This Row],[Werkzeuglos]]=1,4,0))))=select!$F$48,1,0)</f>
        <v>1</v>
      </c>
      <c r="I3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4" s="149">
        <f>IF(AND(Scharniere[[#This Row],[Scharnierart]]=2,Scharniere[[#This Row],[Gruppenschlüssel]]=select!$A$318)=TRUE,1,0)</f>
        <v>0</v>
      </c>
      <c r="K304" s="221">
        <f ca="1">IF(select!$O$424&lt;6,1,0)</f>
        <v>1</v>
      </c>
      <c r="L304" s="139">
        <f>IF(select!$A$362=IF(Scharniere[[#This Row],[mit Dämpfung]]=1,1,IF(Scharniere[[#This Row],[ohne Dämpfung]]=1,2,IF(Scharniere[[#This Row],[ohne Feder]]=1,3,0))),1,0)</f>
        <v>0</v>
      </c>
      <c r="M304" s="135">
        <f>IF(Scharniere[[#This Row],[Bohrbild]]=select!$O$334,1,0)</f>
        <v>0</v>
      </c>
      <c r="N304" s="135">
        <f>IF(IF(Scharniere[[#This Row],[Anschrauben]]=1,1,IF(Scharniere[[#This Row],[Einpressen]]=1,2,IF(Scharniere[[#This Row],[Quick]]=1,3,IF(Scharniere[[#This Row],[Werkzeuglos]]=1,4,0))))=select!$E$362,1,0)</f>
        <v>0</v>
      </c>
      <c r="O3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4" s="298">
        <f>IF(AND(Scharniere[[#This Row],[Scharnierart]]=3,Scharniere[[#This Row],[Gruppenschlüssel]]=select!$A$747)=TRUE,1,0)</f>
        <v>0</v>
      </c>
      <c r="Q304" s="298">
        <f ca="1">IF(select!$O$945&lt;6,1,0)</f>
        <v>1</v>
      </c>
      <c r="R304" s="298">
        <f>IF(select!$A$778=IF(Scharniere[[#This Row],[mit Dämpfung]]=1,1,IF(Scharniere[[#This Row],[ohne Dämpfung]]=1,2,IF(Scharniere[[#This Row],[ohne Feder]]=1,3,0))),1,0)</f>
        <v>0</v>
      </c>
      <c r="S304" s="298">
        <f>IF(Scharniere[[#This Row],[Bohrbild]]=select!$A$755,1,0)</f>
        <v>0</v>
      </c>
      <c r="T304" s="298">
        <f>IF(IF(Scharniere[[#This Row],[Anschrauben]]=1,1,IF(Scharniere[[#This Row],[Einpressen]]=1,2,IF(Scharniere[[#This Row],[Quick]]=1,3,IF(Scharniere[[#This Row],[Werkzeuglos]]=1,4,0))))=select!$A$769,1,0)</f>
        <v>0</v>
      </c>
      <c r="U3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4" s="359">
        <f>IF(AND(Scharniere[[#This Row],[Scharnierart]]=4,Scharniere[[#This Row],[Gruppenschlüssel]]=select!$A$981)=TRUE,1,0)</f>
        <v>0</v>
      </c>
      <c r="W304" s="359">
        <f ca="1">IF(select!$O$1185&lt;6,1,0)</f>
        <v>1</v>
      </c>
      <c r="X304" s="359">
        <f>IF(select!$A$1012=IF(Scharniere[[#This Row],[mit Dämpfung]]=1,1,IF(Scharniere[[#This Row],[ohne Dämpfung]]=1,2,IF(Scharniere[[#This Row],[ohne Feder]]=1,3,0))),1,0)</f>
        <v>0</v>
      </c>
      <c r="Y304" s="359">
        <f>IF(Scharniere[[#This Row],[Bohrbild]]=select!$A$989,1,0)</f>
        <v>0</v>
      </c>
      <c r="Z304" s="359">
        <f>IF(IF(Scharniere[[#This Row],[Anschrauben]]=1,1,IF(Scharniere[[#This Row],[Einpressen]]=1,2,IF(Scharniere[[#This Row],[Quick]]=1,3,IF(Scharniere[[#This Row],[Werkzeuglos]]=1,4,0))))=select!$A$1003,1,0)</f>
        <v>0</v>
      </c>
      <c r="AA3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4" s="359">
        <f ca="1">IF(select!$K$980="*",Scharniere[[#This Row],[AG Ges2]],Scharniere[[#This Row],[AG Ges1]])</f>
        <v>0</v>
      </c>
      <c r="AE304" s="451">
        <f ca="1">IF(AND(Scharniere[[#This Row],[Scharnierart]]=select!$A$1485,Scharniere[[#This Row],[Gruppenschlüssel]]=select!$B$1485)=TRUE,1,0)</f>
        <v>0</v>
      </c>
      <c r="AF304" s="451">
        <f ca="1">IF(AND(Scharniere[[#This Row],[Scharnierart]]=select!$A$1486,Scharniere[[#This Row],[Gruppenschlüssel]]=select!$B$1486)=TRUE,1,0)</f>
        <v>0</v>
      </c>
      <c r="AG304" s="451">
        <f ca="1">IF(AND(Scharniere[[#This Row],[Scharnierart]]=select!$A$1487,Scharniere[[#This Row],[Gruppenschlüssel]]=select!$B$1487)=TRUE,1,0)</f>
        <v>0</v>
      </c>
      <c r="AH304" s="451">
        <f ca="1">IF(AND(Scharniere[[#This Row],[Scharnierart]]=select!$A$1488,Scharniere[[#This Row],[Gruppenschlüssel]]=select!$B$1488)=TRUE,1,0)</f>
        <v>0</v>
      </c>
      <c r="AI304" s="451">
        <f ca="1">IF(SUM(Scharniere[[#This Row],[konf Scharnier 1]:[konf Scharnier 4]])&gt;0,1,0)</f>
        <v>0</v>
      </c>
      <c r="AJ304" s="451"/>
      <c r="AK304" s="451"/>
      <c r="AL304" s="451"/>
      <c r="AM304" s="451"/>
      <c r="AN304" s="451"/>
      <c r="AO304" s="146">
        <v>1</v>
      </c>
      <c r="AP304" s="146">
        <v>2</v>
      </c>
      <c r="AQ304" s="10" t="str">
        <f ca="1">Sprache!$A$114</f>
        <v>Tiomos Scharnier TT Click-on</v>
      </c>
      <c r="AR304" t="str">
        <f ca="1">"120°, G-BB, K03, "&amp;Sprache!A181&amp;", ni"</f>
        <v>120°, G-BB, K03, Dübel, ni</v>
      </c>
      <c r="AS304" t="str">
        <f ca="1">Sprache!$A$103</f>
        <v>Tiomos Click-On Scharniere</v>
      </c>
      <c r="AT304">
        <v>3</v>
      </c>
      <c r="AU304" s="34" t="s">
        <v>9</v>
      </c>
      <c r="AV304">
        <v>120</v>
      </c>
      <c r="AW304" s="10">
        <v>0</v>
      </c>
      <c r="AX304">
        <v>0</v>
      </c>
      <c r="AY304">
        <v>1</v>
      </c>
      <c r="AZ304" s="10">
        <v>0</v>
      </c>
      <c r="BA304">
        <v>1</v>
      </c>
      <c r="BB304">
        <v>0</v>
      </c>
      <c r="BC304">
        <v>0</v>
      </c>
      <c r="BD304" s="143" t="s">
        <v>621</v>
      </c>
      <c r="BG304"/>
    </row>
    <row r="305" spans="1:59" ht="14.25" customHeight="1" x14ac:dyDescent="0.25">
      <c r="A305" s="37" t="str">
        <f>LEFT(Scharniere[[#This Row],[ArtikelNR]],4)</f>
        <v>F045</v>
      </c>
      <c r="B305" s="35" t="str">
        <f>MID(Scharniere[[#This Row],[ArtikelNR]],5,3)</f>
        <v>138</v>
      </c>
      <c r="C305" s="37" t="str">
        <f>RIGHT(Scharniere[[#This Row],[ArtikelNR]],3)</f>
        <v>304</v>
      </c>
      <c r="D305" s="35">
        <f>IF(AND(Scharniere[[#This Row],[Gruppenschlüssel]]=select!$A$44,Scharniere[[#This Row],[Scharnierart]]=1)=TRUE,1,0)</f>
        <v>0</v>
      </c>
      <c r="E3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5" s="35">
        <f>IF(select!$F$57=IF(Scharniere[[#This Row],[mit Dämpfung]]=1,1,IF(Scharniere[[#This Row],[ohne Dämpfung]]=1,2,IF(Scharniere[[#This Row],[ohne Feder]]=1,3,0))),1,0)</f>
        <v>0</v>
      </c>
      <c r="G305" s="35">
        <f>IF(Scharniere[[#This Row],[Bohrbild]]=select!$V$43,1,0)</f>
        <v>0</v>
      </c>
      <c r="H305" s="35">
        <f>IF(IF(Scharniere[[#This Row],[Anschrauben]]=1,1,IF(Scharniere[[#This Row],[Einpressen]]=1,2,IF(Scharniere[[#This Row],[Quick]]=1,3,IF(Scharniere[[#This Row],[Werkzeuglos]]=1,4,0))))=select!$F$48,1,0)</f>
        <v>0</v>
      </c>
      <c r="I3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5" s="149">
        <f>IF(AND(Scharniere[[#This Row],[Scharnierart]]=2,Scharniere[[#This Row],[Gruppenschlüssel]]=select!$A$318)=TRUE,1,0)</f>
        <v>0</v>
      </c>
      <c r="K305" s="221">
        <f ca="1">IF(select!$O$424&lt;6,1,0)</f>
        <v>1</v>
      </c>
      <c r="L305" s="139">
        <f>IF(select!$A$362=IF(Scharniere[[#This Row],[mit Dämpfung]]=1,1,IF(Scharniere[[#This Row],[ohne Dämpfung]]=1,2,IF(Scharniere[[#This Row],[ohne Feder]]=1,3,0))),1,0)</f>
        <v>0</v>
      </c>
      <c r="M305" s="135">
        <f>IF(Scharniere[[#This Row],[Bohrbild]]=select!$O$334,1,0)</f>
        <v>0</v>
      </c>
      <c r="N305" s="135">
        <f>IF(IF(Scharniere[[#This Row],[Anschrauben]]=1,1,IF(Scharniere[[#This Row],[Einpressen]]=1,2,IF(Scharniere[[#This Row],[Quick]]=1,3,IF(Scharniere[[#This Row],[Werkzeuglos]]=1,4,0))))=select!$E$362,1,0)</f>
        <v>1</v>
      </c>
      <c r="O3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5" s="298">
        <f>IF(AND(Scharniere[[#This Row],[Scharnierart]]=3,Scharniere[[#This Row],[Gruppenschlüssel]]=select!$A$747)=TRUE,1,0)</f>
        <v>0</v>
      </c>
      <c r="Q305" s="298">
        <f ca="1">IF(select!$O$945&lt;6,1,0)</f>
        <v>1</v>
      </c>
      <c r="R305" s="298">
        <f>IF(select!$A$778=IF(Scharniere[[#This Row],[mit Dämpfung]]=1,1,IF(Scharniere[[#This Row],[ohne Dämpfung]]=1,2,IF(Scharniere[[#This Row],[ohne Feder]]=1,3,0))),1,0)</f>
        <v>1</v>
      </c>
      <c r="S305" s="298">
        <f>IF(Scharniere[[#This Row],[Bohrbild]]=select!$A$755,1,0)</f>
        <v>0</v>
      </c>
      <c r="T305" s="298">
        <f>IF(IF(Scharniere[[#This Row],[Anschrauben]]=1,1,IF(Scharniere[[#This Row],[Einpressen]]=1,2,IF(Scharniere[[#This Row],[Quick]]=1,3,IF(Scharniere[[#This Row],[Werkzeuglos]]=1,4,0))))=select!$A$769,1,0)</f>
        <v>1</v>
      </c>
      <c r="U3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5" s="359">
        <f>IF(AND(Scharniere[[#This Row],[Scharnierart]]=4,Scharniere[[#This Row],[Gruppenschlüssel]]=select!$A$981)=TRUE,1,0)</f>
        <v>0</v>
      </c>
      <c r="W305" s="359">
        <f ca="1">IF(select!$O$1185&lt;6,1,0)</f>
        <v>1</v>
      </c>
      <c r="X305" s="359">
        <f>IF(select!$A$1012=IF(Scharniere[[#This Row],[mit Dämpfung]]=1,1,IF(Scharniere[[#This Row],[ohne Dämpfung]]=1,2,IF(Scharniere[[#This Row],[ohne Feder]]=1,3,0))),1,0)</f>
        <v>1</v>
      </c>
      <c r="Y305" s="359">
        <f>IF(Scharniere[[#This Row],[Bohrbild]]=select!$A$989,1,0)</f>
        <v>0</v>
      </c>
      <c r="Z305" s="359">
        <f>IF(IF(Scharniere[[#This Row],[Anschrauben]]=1,1,IF(Scharniere[[#This Row],[Einpressen]]=1,2,IF(Scharniere[[#This Row],[Quick]]=1,3,IF(Scharniere[[#This Row],[Werkzeuglos]]=1,4,0))))=select!$A$1003,1,0)</f>
        <v>1</v>
      </c>
      <c r="AA3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5" s="359">
        <f ca="1">IF(select!$K$980="*",Scharniere[[#This Row],[AG Ges2]],Scharniere[[#This Row],[AG Ges1]])</f>
        <v>0</v>
      </c>
      <c r="AE305" s="451">
        <f ca="1">IF(AND(Scharniere[[#This Row],[Scharnierart]]=select!$A$1485,Scharniere[[#This Row],[Gruppenschlüssel]]=select!$B$1485)=TRUE,1,0)</f>
        <v>0</v>
      </c>
      <c r="AF305" s="451">
        <f ca="1">IF(AND(Scharniere[[#This Row],[Scharnierart]]=select!$A$1486,Scharniere[[#This Row],[Gruppenschlüssel]]=select!$B$1486)=TRUE,1,0)</f>
        <v>0</v>
      </c>
      <c r="AG305" s="451">
        <f ca="1">IF(AND(Scharniere[[#This Row],[Scharnierart]]=select!$A$1487,Scharniere[[#This Row],[Gruppenschlüssel]]=select!$B$1487)=TRUE,1,0)</f>
        <v>0</v>
      </c>
      <c r="AH305" s="451">
        <f ca="1">IF(AND(Scharniere[[#This Row],[Scharnierart]]=select!$A$1488,Scharniere[[#This Row],[Gruppenschlüssel]]=select!$B$1488)=TRUE,1,0)</f>
        <v>0</v>
      </c>
      <c r="AI305" s="451">
        <f ca="1">IF(SUM(Scharniere[[#This Row],[konf Scharnier 1]:[konf Scharnier 4]])&gt;0,1,0)</f>
        <v>0</v>
      </c>
      <c r="AJ305" s="451"/>
      <c r="AK305" s="451"/>
      <c r="AL305" s="451"/>
      <c r="AM305" s="451"/>
      <c r="AN305" s="451"/>
      <c r="AO305" s="146">
        <v>1</v>
      </c>
      <c r="AP305" s="146">
        <v>2</v>
      </c>
      <c r="AQ305" s="10" t="str">
        <f ca="1">Sprache!$A$110</f>
        <v>Tiomos Scharnier T Click-on</v>
      </c>
      <c r="AR305" t="s">
        <v>278</v>
      </c>
      <c r="AS305" t="str">
        <f ca="1">Sprache!$A$103</f>
        <v>Tiomos Click-On Scharniere</v>
      </c>
      <c r="AT305">
        <v>3</v>
      </c>
      <c r="AU305" t="s">
        <v>9</v>
      </c>
      <c r="AV305">
        <v>120</v>
      </c>
      <c r="AW305" s="10">
        <v>0</v>
      </c>
      <c r="AX305">
        <v>1</v>
      </c>
      <c r="AY305">
        <v>0</v>
      </c>
      <c r="AZ305" s="10">
        <v>1</v>
      </c>
      <c r="BA305">
        <v>0</v>
      </c>
      <c r="BB305">
        <v>0</v>
      </c>
      <c r="BC305">
        <v>0</v>
      </c>
      <c r="BD305" s="143" t="s">
        <v>466</v>
      </c>
      <c r="BG305"/>
    </row>
    <row r="306" spans="1:59" ht="14.25" customHeight="1" x14ac:dyDescent="0.25">
      <c r="A306" s="37" t="str">
        <f>LEFT(Scharniere[[#This Row],[ArtikelNR]],4)</f>
        <v>F028</v>
      </c>
      <c r="B306" s="35" t="str">
        <f>MID(Scharniere[[#This Row],[ArtikelNR]],5,3)</f>
        <v>138</v>
      </c>
      <c r="C306" s="37" t="str">
        <f>RIGHT(Scharniere[[#This Row],[ArtikelNR]],3)</f>
        <v>366</v>
      </c>
      <c r="D306" s="35">
        <f>IF(AND(Scharniere[[#This Row],[Gruppenschlüssel]]=select!$A$44,Scharniere[[#This Row],[Scharnierart]]=1)=TRUE,1,0)</f>
        <v>0</v>
      </c>
      <c r="E3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6" s="35">
        <f>IF(select!$F$57=IF(Scharniere[[#This Row],[mit Dämpfung]]=1,1,IF(Scharniere[[#This Row],[ohne Dämpfung]]=1,2,IF(Scharniere[[#This Row],[ohne Feder]]=1,3,0))),1,0)</f>
        <v>0</v>
      </c>
      <c r="G306" s="35">
        <f>IF(Scharniere[[#This Row],[Bohrbild]]=select!$V$43,1,0)</f>
        <v>0</v>
      </c>
      <c r="H306" s="35">
        <f>IF(IF(Scharniere[[#This Row],[Anschrauben]]=1,1,IF(Scharniere[[#This Row],[Einpressen]]=1,2,IF(Scharniere[[#This Row],[Quick]]=1,3,IF(Scharniere[[#This Row],[Werkzeuglos]]=1,4,0))))=select!$F$48,1,0)</f>
        <v>0</v>
      </c>
      <c r="I3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6" s="149">
        <f>IF(AND(Scharniere[[#This Row],[Scharnierart]]=2,Scharniere[[#This Row],[Gruppenschlüssel]]=select!$A$318)=TRUE,1,0)</f>
        <v>0</v>
      </c>
      <c r="K306" s="221">
        <f ca="1">IF(select!$O$424&lt;6,1,0)</f>
        <v>1</v>
      </c>
      <c r="L306" s="139">
        <f>IF(select!$A$362=IF(Scharniere[[#This Row],[mit Dämpfung]]=1,1,IF(Scharniere[[#This Row],[ohne Dämpfung]]=1,2,IF(Scharniere[[#This Row],[ohne Feder]]=1,3,0))),1,0)</f>
        <v>1</v>
      </c>
      <c r="M306" s="135">
        <f>IF(Scharniere[[#This Row],[Bohrbild]]=select!$O$334,1,0)</f>
        <v>0</v>
      </c>
      <c r="N306" s="135">
        <f>IF(IF(Scharniere[[#This Row],[Anschrauben]]=1,1,IF(Scharniere[[#This Row],[Einpressen]]=1,2,IF(Scharniere[[#This Row],[Quick]]=1,3,IF(Scharniere[[#This Row],[Werkzeuglos]]=1,4,0))))=select!$E$362,1,0)</f>
        <v>1</v>
      </c>
      <c r="O3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6" s="298">
        <f>IF(AND(Scharniere[[#This Row],[Scharnierart]]=3,Scharniere[[#This Row],[Gruppenschlüssel]]=select!$A$747)=TRUE,1,0)</f>
        <v>0</v>
      </c>
      <c r="Q306" s="298">
        <f ca="1">IF(select!$O$945&lt;6,1,0)</f>
        <v>1</v>
      </c>
      <c r="R306" s="298">
        <f>IF(select!$A$778=IF(Scharniere[[#This Row],[mit Dämpfung]]=1,1,IF(Scharniere[[#This Row],[ohne Dämpfung]]=1,2,IF(Scharniere[[#This Row],[ohne Feder]]=1,3,0))),1,0)</f>
        <v>0</v>
      </c>
      <c r="S306" s="298">
        <f>IF(Scharniere[[#This Row],[Bohrbild]]=select!$A$755,1,0)</f>
        <v>0</v>
      </c>
      <c r="T306" s="298">
        <f>IF(IF(Scharniere[[#This Row],[Anschrauben]]=1,1,IF(Scharniere[[#This Row],[Einpressen]]=1,2,IF(Scharniere[[#This Row],[Quick]]=1,3,IF(Scharniere[[#This Row],[Werkzeuglos]]=1,4,0))))=select!$A$769,1,0)</f>
        <v>1</v>
      </c>
      <c r="U3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6" s="359">
        <f>IF(AND(Scharniere[[#This Row],[Scharnierart]]=4,Scharniere[[#This Row],[Gruppenschlüssel]]=select!$A$981)=TRUE,1,0)</f>
        <v>0</v>
      </c>
      <c r="W306" s="359">
        <f ca="1">IF(select!$O$1185&lt;6,1,0)</f>
        <v>1</v>
      </c>
      <c r="X306" s="359">
        <f>IF(select!$A$1012=IF(Scharniere[[#This Row],[mit Dämpfung]]=1,1,IF(Scharniere[[#This Row],[ohne Dämpfung]]=1,2,IF(Scharniere[[#This Row],[ohne Feder]]=1,3,0))),1,0)</f>
        <v>0</v>
      </c>
      <c r="Y306" s="359">
        <f>IF(Scharniere[[#This Row],[Bohrbild]]=select!$A$989,1,0)</f>
        <v>0</v>
      </c>
      <c r="Z306" s="359">
        <f>IF(IF(Scharniere[[#This Row],[Anschrauben]]=1,1,IF(Scharniere[[#This Row],[Einpressen]]=1,2,IF(Scharniere[[#This Row],[Quick]]=1,3,IF(Scharniere[[#This Row],[Werkzeuglos]]=1,4,0))))=select!$A$1003,1,0)</f>
        <v>1</v>
      </c>
      <c r="AA3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6" s="359">
        <f ca="1">IF(select!$K$980="*",Scharniere[[#This Row],[AG Ges2]],Scharniere[[#This Row],[AG Ges1]])</f>
        <v>0</v>
      </c>
      <c r="AE306" s="451">
        <f ca="1">IF(AND(Scharniere[[#This Row],[Scharnierart]]=select!$A$1485,Scharniere[[#This Row],[Gruppenschlüssel]]=select!$B$1485)=TRUE,1,0)</f>
        <v>0</v>
      </c>
      <c r="AF306" s="451">
        <f ca="1">IF(AND(Scharniere[[#This Row],[Scharnierart]]=select!$A$1486,Scharniere[[#This Row],[Gruppenschlüssel]]=select!$B$1486)=TRUE,1,0)</f>
        <v>0</v>
      </c>
      <c r="AG306" s="451">
        <f ca="1">IF(AND(Scharniere[[#This Row],[Scharnierart]]=select!$A$1487,Scharniere[[#This Row],[Gruppenschlüssel]]=select!$B$1487)=TRUE,1,0)</f>
        <v>0</v>
      </c>
      <c r="AH306" s="451">
        <f ca="1">IF(AND(Scharniere[[#This Row],[Scharnierart]]=select!$A$1488,Scharniere[[#This Row],[Gruppenschlüssel]]=select!$B$1488)=TRUE,1,0)</f>
        <v>0</v>
      </c>
      <c r="AI306" s="451">
        <f ca="1">IF(SUM(Scharniere[[#This Row],[konf Scharnier 1]:[konf Scharnier 4]])&gt;0,1,0)</f>
        <v>0</v>
      </c>
      <c r="AJ306" s="451"/>
      <c r="AK306" s="451"/>
      <c r="AL306" s="451"/>
      <c r="AM306" s="451"/>
      <c r="AN306" s="451"/>
      <c r="AO306" s="146">
        <v>1</v>
      </c>
      <c r="AP306" s="146">
        <v>2</v>
      </c>
      <c r="AQ306" s="10" t="str">
        <f ca="1">Sprache!$A$112</f>
        <v>Tiomos Scharnier TS Click-on</v>
      </c>
      <c r="AR306" t="s">
        <v>278</v>
      </c>
      <c r="AS306" t="str">
        <f ca="1">Sprache!$A$103</f>
        <v>Tiomos Click-On Scharniere</v>
      </c>
      <c r="AT306">
        <v>3</v>
      </c>
      <c r="AU306" s="34" t="s">
        <v>9</v>
      </c>
      <c r="AV306">
        <v>120</v>
      </c>
      <c r="AW306" s="10">
        <v>1</v>
      </c>
      <c r="AX306">
        <v>0</v>
      </c>
      <c r="AY306">
        <v>0</v>
      </c>
      <c r="AZ306" s="10">
        <v>1</v>
      </c>
      <c r="BA306">
        <v>0</v>
      </c>
      <c r="BB306">
        <v>0</v>
      </c>
      <c r="BC306">
        <v>0</v>
      </c>
      <c r="BD306" s="143" t="s">
        <v>277</v>
      </c>
      <c r="BG306"/>
    </row>
    <row r="307" spans="1:59" ht="14.25" customHeight="1" x14ac:dyDescent="0.25">
      <c r="A307" s="37" t="str">
        <f>LEFT(Scharniere[[#This Row],[ArtikelNR]],4)</f>
        <v>F046</v>
      </c>
      <c r="B307" s="35" t="str">
        <f>MID(Scharniere[[#This Row],[ArtikelNR]],5,3)</f>
        <v>138</v>
      </c>
      <c r="C307" s="37" t="str">
        <f>RIGHT(Scharniere[[#This Row],[ArtikelNR]],3)</f>
        <v>426</v>
      </c>
      <c r="D307" s="35">
        <f>IF(AND(Scharniere[[#This Row],[Gruppenschlüssel]]=select!$A$44,Scharniere[[#This Row],[Scharnierart]]=1)=TRUE,1,0)</f>
        <v>0</v>
      </c>
      <c r="E3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7" s="35">
        <f>IF(select!$F$57=IF(Scharniere[[#This Row],[mit Dämpfung]]=1,1,IF(Scharniere[[#This Row],[ohne Dämpfung]]=1,2,IF(Scharniere[[#This Row],[ohne Feder]]=1,3,0))),1,0)</f>
        <v>1</v>
      </c>
      <c r="G307" s="35">
        <f>IF(Scharniere[[#This Row],[Bohrbild]]=select!$V$43,1,0)</f>
        <v>0</v>
      </c>
      <c r="H307" s="35">
        <f>IF(IF(Scharniere[[#This Row],[Anschrauben]]=1,1,IF(Scharniere[[#This Row],[Einpressen]]=1,2,IF(Scharniere[[#This Row],[Quick]]=1,3,IF(Scharniere[[#This Row],[Werkzeuglos]]=1,4,0))))=select!$F$48,1,0)</f>
        <v>0</v>
      </c>
      <c r="I3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7" s="149">
        <f>IF(AND(Scharniere[[#This Row],[Scharnierart]]=2,Scharniere[[#This Row],[Gruppenschlüssel]]=select!$A$318)=TRUE,1,0)</f>
        <v>0</v>
      </c>
      <c r="K307" s="221">
        <f ca="1">IF(select!$O$424&lt;6,1,0)</f>
        <v>1</v>
      </c>
      <c r="L307" s="139">
        <f>IF(select!$A$362=IF(Scharniere[[#This Row],[mit Dämpfung]]=1,1,IF(Scharniere[[#This Row],[ohne Dämpfung]]=1,2,IF(Scharniere[[#This Row],[ohne Feder]]=1,3,0))),1,0)</f>
        <v>0</v>
      </c>
      <c r="M307" s="135">
        <f>IF(Scharniere[[#This Row],[Bohrbild]]=select!$O$334,1,0)</f>
        <v>0</v>
      </c>
      <c r="N307" s="135">
        <f>IF(IF(Scharniere[[#This Row],[Anschrauben]]=1,1,IF(Scharniere[[#This Row],[Einpressen]]=1,2,IF(Scharniere[[#This Row],[Quick]]=1,3,IF(Scharniere[[#This Row],[Werkzeuglos]]=1,4,0))))=select!$E$362,1,0)</f>
        <v>1</v>
      </c>
      <c r="O3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7" s="298">
        <f>IF(AND(Scharniere[[#This Row],[Scharnierart]]=3,Scharniere[[#This Row],[Gruppenschlüssel]]=select!$A$747)=TRUE,1,0)</f>
        <v>0</v>
      </c>
      <c r="Q307" s="298">
        <f ca="1">IF(select!$O$945&lt;6,1,0)</f>
        <v>1</v>
      </c>
      <c r="R307" s="298">
        <f>IF(select!$A$778=IF(Scharniere[[#This Row],[mit Dämpfung]]=1,1,IF(Scharniere[[#This Row],[ohne Dämpfung]]=1,2,IF(Scharniere[[#This Row],[ohne Feder]]=1,3,0))),1,0)</f>
        <v>0</v>
      </c>
      <c r="S307" s="298">
        <f>IF(Scharniere[[#This Row],[Bohrbild]]=select!$A$755,1,0)</f>
        <v>0</v>
      </c>
      <c r="T307" s="298">
        <f>IF(IF(Scharniere[[#This Row],[Anschrauben]]=1,1,IF(Scharniere[[#This Row],[Einpressen]]=1,2,IF(Scharniere[[#This Row],[Quick]]=1,3,IF(Scharniere[[#This Row],[Werkzeuglos]]=1,4,0))))=select!$A$769,1,0)</f>
        <v>1</v>
      </c>
      <c r="U3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7" s="359">
        <f>IF(AND(Scharniere[[#This Row],[Scharnierart]]=4,Scharniere[[#This Row],[Gruppenschlüssel]]=select!$A$981)=TRUE,1,0)</f>
        <v>0</v>
      </c>
      <c r="W307" s="359">
        <f ca="1">IF(select!$O$1185&lt;6,1,0)</f>
        <v>1</v>
      </c>
      <c r="X307" s="359">
        <f>IF(select!$A$1012=IF(Scharniere[[#This Row],[mit Dämpfung]]=1,1,IF(Scharniere[[#This Row],[ohne Dämpfung]]=1,2,IF(Scharniere[[#This Row],[ohne Feder]]=1,3,0))),1,0)</f>
        <v>0</v>
      </c>
      <c r="Y307" s="359">
        <f>IF(Scharniere[[#This Row],[Bohrbild]]=select!$A$989,1,0)</f>
        <v>0</v>
      </c>
      <c r="Z307" s="359">
        <f>IF(IF(Scharniere[[#This Row],[Anschrauben]]=1,1,IF(Scharniere[[#This Row],[Einpressen]]=1,2,IF(Scharniere[[#This Row],[Quick]]=1,3,IF(Scharniere[[#This Row],[Werkzeuglos]]=1,4,0))))=select!$A$1003,1,0)</f>
        <v>1</v>
      </c>
      <c r="AA3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7" s="359">
        <f ca="1">IF(select!$K$980="*",Scharniere[[#This Row],[AG Ges2]],Scharniere[[#This Row],[AG Ges1]])</f>
        <v>0</v>
      </c>
      <c r="AE307" s="451">
        <f ca="1">IF(AND(Scharniere[[#This Row],[Scharnierart]]=select!$A$1485,Scharniere[[#This Row],[Gruppenschlüssel]]=select!$B$1485)=TRUE,1,0)</f>
        <v>0</v>
      </c>
      <c r="AF307" s="451">
        <f ca="1">IF(AND(Scharniere[[#This Row],[Scharnierart]]=select!$A$1486,Scharniere[[#This Row],[Gruppenschlüssel]]=select!$B$1486)=TRUE,1,0)</f>
        <v>0</v>
      </c>
      <c r="AG307" s="451">
        <f ca="1">IF(AND(Scharniere[[#This Row],[Scharnierart]]=select!$A$1487,Scharniere[[#This Row],[Gruppenschlüssel]]=select!$B$1487)=TRUE,1,0)</f>
        <v>0</v>
      </c>
      <c r="AH307" s="451">
        <f ca="1">IF(AND(Scharniere[[#This Row],[Scharnierart]]=select!$A$1488,Scharniere[[#This Row],[Gruppenschlüssel]]=select!$B$1488)=TRUE,1,0)</f>
        <v>0</v>
      </c>
      <c r="AI307" s="451">
        <f ca="1">IF(SUM(Scharniere[[#This Row],[konf Scharnier 1]:[konf Scharnier 4]])&gt;0,1,0)</f>
        <v>0</v>
      </c>
      <c r="AJ307" s="451"/>
      <c r="AK307" s="451"/>
      <c r="AL307" s="451"/>
      <c r="AM307" s="451"/>
      <c r="AN307" s="451"/>
      <c r="AO307" s="146">
        <v>1</v>
      </c>
      <c r="AP307" s="146">
        <v>2</v>
      </c>
      <c r="AQ307" s="10" t="str">
        <f ca="1">Sprache!$A$114</f>
        <v>Tiomos Scharnier TT Click-on</v>
      </c>
      <c r="AR307" t="s">
        <v>278</v>
      </c>
      <c r="AS307" t="str">
        <f ca="1">Sprache!$A$103</f>
        <v>Tiomos Click-On Scharniere</v>
      </c>
      <c r="AT307">
        <v>3</v>
      </c>
      <c r="AU307" s="34" t="s">
        <v>9</v>
      </c>
      <c r="AV307">
        <v>120</v>
      </c>
      <c r="AW307" s="10">
        <v>0</v>
      </c>
      <c r="AX307">
        <v>0</v>
      </c>
      <c r="AY307">
        <v>1</v>
      </c>
      <c r="AZ307" s="10">
        <v>1</v>
      </c>
      <c r="BA307">
        <v>0</v>
      </c>
      <c r="BB307">
        <v>0</v>
      </c>
      <c r="BC307">
        <v>0</v>
      </c>
      <c r="BD307" s="143" t="s">
        <v>618</v>
      </c>
      <c r="BG307"/>
    </row>
    <row r="308" spans="1:59" ht="14.25" customHeight="1" x14ac:dyDescent="0.25">
      <c r="A308" s="37" t="str">
        <f>LEFT(Scharniere[[#This Row],[ArtikelNR]],4)</f>
        <v>F034</v>
      </c>
      <c r="B308" s="35" t="str">
        <f>MID(Scharniere[[#This Row],[ArtikelNR]],5,3)</f>
        <v>139</v>
      </c>
      <c r="C308" s="37" t="str">
        <f>RIGHT(Scharniere[[#This Row],[ArtikelNR]],3)</f>
        <v>400</v>
      </c>
      <c r="D308" s="35">
        <f>IF(AND(Scharniere[[#This Row],[Gruppenschlüssel]]=select!$A$44,Scharniere[[#This Row],[Scharnierart]]=1)=TRUE,1,0)</f>
        <v>0</v>
      </c>
      <c r="E3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8" s="35">
        <f>IF(select!$F$57=IF(Scharniere[[#This Row],[mit Dämpfung]]=1,1,IF(Scharniere[[#This Row],[ohne Dämpfung]]=1,2,IF(Scharniere[[#This Row],[ohne Feder]]=1,3,0))),1,0)</f>
        <v>0</v>
      </c>
      <c r="G308" s="35">
        <f>IF(Scharniere[[#This Row],[Bohrbild]]=select!$V$43,1,0)</f>
        <v>0</v>
      </c>
      <c r="H308" s="35">
        <f>IF(IF(Scharniere[[#This Row],[Anschrauben]]=1,1,IF(Scharniere[[#This Row],[Einpressen]]=1,2,IF(Scharniere[[#This Row],[Quick]]=1,3,IF(Scharniere[[#This Row],[Werkzeuglos]]=1,4,0))))=select!$F$48,1,0)</f>
        <v>0</v>
      </c>
      <c r="I3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8" s="149">
        <f>IF(AND(Scharniere[[#This Row],[Scharnierart]]=2,Scharniere[[#This Row],[Gruppenschlüssel]]=select!$A$318)=TRUE,1,0)</f>
        <v>0</v>
      </c>
      <c r="K308" s="221">
        <f ca="1">IF(select!$O$424&lt;6,1,0)</f>
        <v>1</v>
      </c>
      <c r="L308" s="139">
        <f>IF(select!$A$362=IF(Scharniere[[#This Row],[mit Dämpfung]]=1,1,IF(Scharniere[[#This Row],[ohne Dämpfung]]=1,2,IF(Scharniere[[#This Row],[ohne Feder]]=1,3,0))),1,0)</f>
        <v>0</v>
      </c>
      <c r="M308" s="135">
        <f>IF(Scharniere[[#This Row],[Bohrbild]]=select!$O$334,1,0)</f>
        <v>0</v>
      </c>
      <c r="N308" s="135">
        <f>IF(IF(Scharniere[[#This Row],[Anschrauben]]=1,1,IF(Scharniere[[#This Row],[Einpressen]]=1,2,IF(Scharniere[[#This Row],[Quick]]=1,3,IF(Scharniere[[#This Row],[Werkzeuglos]]=1,4,0))))=select!$E$362,1,0)</f>
        <v>0</v>
      </c>
      <c r="O3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8" s="298">
        <f>IF(AND(Scharniere[[#This Row],[Scharnierart]]=3,Scharniere[[#This Row],[Gruppenschlüssel]]=select!$A$747)=TRUE,1,0)</f>
        <v>0</v>
      </c>
      <c r="Q308" s="298">
        <f ca="1">IF(select!$O$945&lt;6,1,0)</f>
        <v>1</v>
      </c>
      <c r="R308" s="298">
        <f>IF(select!$A$778=IF(Scharniere[[#This Row],[mit Dämpfung]]=1,1,IF(Scharniere[[#This Row],[ohne Dämpfung]]=1,2,IF(Scharniere[[#This Row],[ohne Feder]]=1,3,0))),1,0)</f>
        <v>1</v>
      </c>
      <c r="S308" s="298">
        <f>IF(Scharniere[[#This Row],[Bohrbild]]=select!$A$755,1,0)</f>
        <v>0</v>
      </c>
      <c r="T308" s="298">
        <f>IF(IF(Scharniere[[#This Row],[Anschrauben]]=1,1,IF(Scharniere[[#This Row],[Einpressen]]=1,2,IF(Scharniere[[#This Row],[Quick]]=1,3,IF(Scharniere[[#This Row],[Werkzeuglos]]=1,4,0))))=select!$A$769,1,0)</f>
        <v>0</v>
      </c>
      <c r="U3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8" s="359">
        <f>IF(AND(Scharniere[[#This Row],[Scharnierart]]=4,Scharniere[[#This Row],[Gruppenschlüssel]]=select!$A$981)=TRUE,1,0)</f>
        <v>0</v>
      </c>
      <c r="W308" s="359">
        <f ca="1">IF(select!$O$1185&lt;6,1,0)</f>
        <v>1</v>
      </c>
      <c r="X308" s="359">
        <f>IF(select!$A$1012=IF(Scharniere[[#This Row],[mit Dämpfung]]=1,1,IF(Scharniere[[#This Row],[ohne Dämpfung]]=1,2,IF(Scharniere[[#This Row],[ohne Feder]]=1,3,0))),1,0)</f>
        <v>1</v>
      </c>
      <c r="Y308" s="359">
        <f>IF(Scharniere[[#This Row],[Bohrbild]]=select!$A$989,1,0)</f>
        <v>0</v>
      </c>
      <c r="Z308" s="359">
        <f>IF(IF(Scharniere[[#This Row],[Anschrauben]]=1,1,IF(Scharniere[[#This Row],[Einpressen]]=1,2,IF(Scharniere[[#This Row],[Quick]]=1,3,IF(Scharniere[[#This Row],[Werkzeuglos]]=1,4,0))))=select!$A$1003,1,0)</f>
        <v>0</v>
      </c>
      <c r="AA3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8" s="359">
        <f ca="1">IF(select!$K$980="*",Scharniere[[#This Row],[AG Ges2]],Scharniere[[#This Row],[AG Ges1]])</f>
        <v>0</v>
      </c>
      <c r="AE308" s="451">
        <f ca="1">IF(AND(Scharniere[[#This Row],[Scharnierart]]=select!$A$1485,Scharniere[[#This Row],[Gruppenschlüssel]]=select!$B$1485)=TRUE,1,0)</f>
        <v>0</v>
      </c>
      <c r="AF308" s="451">
        <f ca="1">IF(AND(Scharniere[[#This Row],[Scharnierart]]=select!$A$1486,Scharniere[[#This Row],[Gruppenschlüssel]]=select!$B$1486)=TRUE,1,0)</f>
        <v>0</v>
      </c>
      <c r="AG308" s="451">
        <f ca="1">IF(AND(Scharniere[[#This Row],[Scharnierart]]=select!$A$1487,Scharniere[[#This Row],[Gruppenschlüssel]]=select!$B$1487)=TRUE,1,0)</f>
        <v>0</v>
      </c>
      <c r="AH308" s="451">
        <f ca="1">IF(AND(Scharniere[[#This Row],[Scharnierart]]=select!$A$1488,Scharniere[[#This Row],[Gruppenschlüssel]]=select!$B$1488)=TRUE,1,0)</f>
        <v>0</v>
      </c>
      <c r="AI308" s="451">
        <f ca="1">IF(SUM(Scharniere[[#This Row],[konf Scharnier 1]:[konf Scharnier 4]])&gt;0,1,0)</f>
        <v>0</v>
      </c>
      <c r="AJ308" s="451"/>
      <c r="AK308" s="451"/>
      <c r="AL308" s="451"/>
      <c r="AM308" s="451"/>
      <c r="AN308" s="451"/>
      <c r="AO308" s="146">
        <v>1</v>
      </c>
      <c r="AP308" s="146">
        <v>2</v>
      </c>
      <c r="AQ308" s="10" t="str">
        <f ca="1">Sprache!$A$111</f>
        <v>Tiomos Scharnier T Impresso</v>
      </c>
      <c r="AR308" t="s">
        <v>95</v>
      </c>
      <c r="AS308" t="str">
        <f ca="1">Sprache!$A$116</f>
        <v>Tiomos Impresso Scharniere</v>
      </c>
      <c r="AT308">
        <v>3</v>
      </c>
      <c r="AU308" s="34" t="s">
        <v>9</v>
      </c>
      <c r="AV308">
        <v>120</v>
      </c>
      <c r="AW308" s="10">
        <v>0</v>
      </c>
      <c r="AX308">
        <v>1</v>
      </c>
      <c r="AY308">
        <v>0</v>
      </c>
      <c r="AZ308" s="10">
        <v>0</v>
      </c>
      <c r="BA308">
        <v>0</v>
      </c>
      <c r="BB308">
        <v>0</v>
      </c>
      <c r="BC308">
        <v>1</v>
      </c>
      <c r="BD308" s="143" t="s">
        <v>156</v>
      </c>
      <c r="BG308"/>
    </row>
    <row r="309" spans="1:59" ht="14.25" customHeight="1" x14ac:dyDescent="0.25">
      <c r="A309" s="37" t="str">
        <f>LEFT(Scharniere[[#This Row],[ArtikelNR]],4)</f>
        <v>F034</v>
      </c>
      <c r="B309" s="35" t="str">
        <f>MID(Scharniere[[#This Row],[ArtikelNR]],5,3)</f>
        <v>139</v>
      </c>
      <c r="C309" s="37" t="str">
        <f>RIGHT(Scharniere[[#This Row],[ArtikelNR]],3)</f>
        <v>400</v>
      </c>
      <c r="D309" s="35">
        <f>IF(AND(Scharniere[[#This Row],[Gruppenschlüssel]]=select!$A$44,Scharniere[[#This Row],[Scharnierart]]=1)=TRUE,1,0)</f>
        <v>0</v>
      </c>
      <c r="E3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09" s="35">
        <f>IF(select!$F$57=IF(Scharniere[[#This Row],[mit Dämpfung]]=1,1,IF(Scharniere[[#This Row],[ohne Dämpfung]]=1,2,IF(Scharniere[[#This Row],[ohne Feder]]=1,3,0))),1,0)</f>
        <v>0</v>
      </c>
      <c r="G309" s="35">
        <f>IF(Scharniere[[#This Row],[Bohrbild]]=select!$V$43,1,0)</f>
        <v>0</v>
      </c>
      <c r="H309" s="35">
        <f>IF(IF(Scharniere[[#This Row],[Anschrauben]]=1,1,IF(Scharniere[[#This Row],[Einpressen]]=1,2,IF(Scharniere[[#This Row],[Quick]]=1,3,IF(Scharniere[[#This Row],[Werkzeuglos]]=1,4,0))))=select!$F$48,1,0)</f>
        <v>0</v>
      </c>
      <c r="I3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09" s="149">
        <f>IF(AND(Scharniere[[#This Row],[Scharnierart]]=2,Scharniere[[#This Row],[Gruppenschlüssel]]=select!$A$318)=TRUE,1,0)</f>
        <v>0</v>
      </c>
      <c r="K309" s="221">
        <f ca="1">IF(select!$O$424&lt;6,1,0)</f>
        <v>1</v>
      </c>
      <c r="L309" s="139">
        <f>IF(select!$A$362=IF(Scharniere[[#This Row],[mit Dämpfung]]=1,1,IF(Scharniere[[#This Row],[ohne Dämpfung]]=1,2,IF(Scharniere[[#This Row],[ohne Feder]]=1,3,0))),1,0)</f>
        <v>0</v>
      </c>
      <c r="M309" s="135">
        <f>IF(Scharniere[[#This Row],[Bohrbild]]=select!$O$334,1,0)</f>
        <v>0</v>
      </c>
      <c r="N309" s="135">
        <f>IF(IF(Scharniere[[#This Row],[Anschrauben]]=1,1,IF(Scharniere[[#This Row],[Einpressen]]=1,2,IF(Scharniere[[#This Row],[Quick]]=1,3,IF(Scharniere[[#This Row],[Werkzeuglos]]=1,4,0))))=select!$E$362,1,0)</f>
        <v>0</v>
      </c>
      <c r="O3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09" s="298">
        <f>IF(AND(Scharniere[[#This Row],[Scharnierart]]=3,Scharniere[[#This Row],[Gruppenschlüssel]]=select!$A$747)=TRUE,1,0)</f>
        <v>0</v>
      </c>
      <c r="Q309" s="298">
        <f ca="1">IF(select!$O$945&lt;6,1,0)</f>
        <v>1</v>
      </c>
      <c r="R309" s="298">
        <f>IF(select!$A$778=IF(Scharniere[[#This Row],[mit Dämpfung]]=1,1,IF(Scharniere[[#This Row],[ohne Dämpfung]]=1,2,IF(Scharniere[[#This Row],[ohne Feder]]=1,3,0))),1,0)</f>
        <v>1</v>
      </c>
      <c r="S309" s="298">
        <f>IF(Scharniere[[#This Row],[Bohrbild]]=select!$A$755,1,0)</f>
        <v>0</v>
      </c>
      <c r="T309" s="298">
        <f>IF(IF(Scharniere[[#This Row],[Anschrauben]]=1,1,IF(Scharniere[[#This Row],[Einpressen]]=1,2,IF(Scharniere[[#This Row],[Quick]]=1,3,IF(Scharniere[[#This Row],[Werkzeuglos]]=1,4,0))))=select!$A$769,1,0)</f>
        <v>0</v>
      </c>
      <c r="U3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09" s="359">
        <f>IF(AND(Scharniere[[#This Row],[Scharnierart]]=4,Scharniere[[#This Row],[Gruppenschlüssel]]=select!$A$981)=TRUE,1,0)</f>
        <v>0</v>
      </c>
      <c r="W309" s="359">
        <f ca="1">IF(select!$O$1185&lt;6,1,0)</f>
        <v>1</v>
      </c>
      <c r="X309" s="359">
        <f>IF(select!$A$1012=IF(Scharniere[[#This Row],[mit Dämpfung]]=1,1,IF(Scharniere[[#This Row],[ohne Dämpfung]]=1,2,IF(Scharniere[[#This Row],[ohne Feder]]=1,3,0))),1,0)</f>
        <v>1</v>
      </c>
      <c r="Y309" s="359">
        <f>IF(Scharniere[[#This Row],[Bohrbild]]=select!$A$989,1,0)</f>
        <v>0</v>
      </c>
      <c r="Z309" s="359">
        <f>IF(IF(Scharniere[[#This Row],[Anschrauben]]=1,1,IF(Scharniere[[#This Row],[Einpressen]]=1,2,IF(Scharniere[[#This Row],[Quick]]=1,3,IF(Scharniere[[#This Row],[Werkzeuglos]]=1,4,0))))=select!$A$1003,1,0)</f>
        <v>0</v>
      </c>
      <c r="AA3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09" s="359">
        <f ca="1">IF(select!$K$980="*",Scharniere[[#This Row],[AG Ges2]],Scharniere[[#This Row],[AG Ges1]])</f>
        <v>0</v>
      </c>
      <c r="AE309" s="451">
        <f ca="1">IF(AND(Scharniere[[#This Row],[Scharnierart]]=select!$A$1485,Scharniere[[#This Row],[Gruppenschlüssel]]=select!$B$1485)=TRUE,1,0)</f>
        <v>0</v>
      </c>
      <c r="AF309" s="451">
        <f ca="1">IF(AND(Scharniere[[#This Row],[Scharnierart]]=select!$A$1486,Scharniere[[#This Row],[Gruppenschlüssel]]=select!$B$1486)=TRUE,1,0)</f>
        <v>0</v>
      </c>
      <c r="AG309" s="451">
        <f ca="1">IF(AND(Scharniere[[#This Row],[Scharnierart]]=select!$A$1487,Scharniere[[#This Row],[Gruppenschlüssel]]=select!$B$1487)=TRUE,1,0)</f>
        <v>0</v>
      </c>
      <c r="AH309" s="451">
        <f ca="1">IF(AND(Scharniere[[#This Row],[Scharnierart]]=select!$A$1488,Scharniere[[#This Row],[Gruppenschlüssel]]=select!$B$1488)=TRUE,1,0)</f>
        <v>0</v>
      </c>
      <c r="AI309" s="451">
        <f ca="1">IF(SUM(Scharniere[[#This Row],[konf Scharnier 1]:[konf Scharnier 4]])&gt;0,1,0)</f>
        <v>0</v>
      </c>
      <c r="AJ309" s="451"/>
      <c r="AK309" s="451"/>
      <c r="AL309" s="451"/>
      <c r="AM309" s="451"/>
      <c r="AN309" s="451"/>
      <c r="AO309" s="146">
        <v>1</v>
      </c>
      <c r="AP309" s="146">
        <v>2</v>
      </c>
      <c r="AQ309" s="10" t="str">
        <f ca="1">Sprache!$A$111</f>
        <v>Tiomos Scharnier T Impresso</v>
      </c>
      <c r="AR309" t="s">
        <v>95</v>
      </c>
      <c r="AS309" t="str">
        <f ca="1">Sprache!$A$116</f>
        <v>Tiomos Impresso Scharniere</v>
      </c>
      <c r="AT309">
        <v>3</v>
      </c>
      <c r="AU309" t="s">
        <v>3</v>
      </c>
      <c r="AV309">
        <v>120</v>
      </c>
      <c r="AW309" s="10">
        <v>0</v>
      </c>
      <c r="AX309">
        <v>1</v>
      </c>
      <c r="AY309">
        <v>0</v>
      </c>
      <c r="AZ309" s="10">
        <v>0</v>
      </c>
      <c r="BA309">
        <v>0</v>
      </c>
      <c r="BB309">
        <v>0</v>
      </c>
      <c r="BC309">
        <v>1</v>
      </c>
      <c r="BD309" s="143" t="s">
        <v>156</v>
      </c>
      <c r="BG309"/>
    </row>
    <row r="310" spans="1:59" ht="14.25" customHeight="1" x14ac:dyDescent="0.25">
      <c r="A310" s="37" t="str">
        <f>LEFT(Scharniere[[#This Row],[ArtikelNR]],4)</f>
        <v>F017</v>
      </c>
      <c r="B310" s="35" t="str">
        <f>MID(Scharniere[[#This Row],[ArtikelNR]],5,3)</f>
        <v>139</v>
      </c>
      <c r="C310" s="37" t="str">
        <f>RIGHT(Scharniere[[#This Row],[ArtikelNR]],3)</f>
        <v>429</v>
      </c>
      <c r="D310" s="35">
        <f>IF(AND(Scharniere[[#This Row],[Gruppenschlüssel]]=select!$A$44,Scharniere[[#This Row],[Scharnierart]]=1)=TRUE,1,0)</f>
        <v>0</v>
      </c>
      <c r="E3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0" s="35">
        <f>IF(select!$F$57=IF(Scharniere[[#This Row],[mit Dämpfung]]=1,1,IF(Scharniere[[#This Row],[ohne Dämpfung]]=1,2,IF(Scharniere[[#This Row],[ohne Feder]]=1,3,0))),1,0)</f>
        <v>0</v>
      </c>
      <c r="G310" s="35">
        <f>IF(Scharniere[[#This Row],[Bohrbild]]=select!$V$43,1,0)</f>
        <v>0</v>
      </c>
      <c r="H310" s="35">
        <f>IF(IF(Scharniere[[#This Row],[Anschrauben]]=1,1,IF(Scharniere[[#This Row],[Einpressen]]=1,2,IF(Scharniere[[#This Row],[Quick]]=1,3,IF(Scharniere[[#This Row],[Werkzeuglos]]=1,4,0))))=select!$F$48,1,0)</f>
        <v>0</v>
      </c>
      <c r="I3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0" s="149">
        <f>IF(AND(Scharniere[[#This Row],[Scharnierart]]=2,Scharniere[[#This Row],[Gruppenschlüssel]]=select!$A$318)=TRUE,1,0)</f>
        <v>0</v>
      </c>
      <c r="K310" s="221">
        <f ca="1">IF(select!$O$424&lt;6,1,0)</f>
        <v>1</v>
      </c>
      <c r="L310" s="139">
        <f>IF(select!$A$362=IF(Scharniere[[#This Row],[mit Dämpfung]]=1,1,IF(Scharniere[[#This Row],[ohne Dämpfung]]=1,2,IF(Scharniere[[#This Row],[ohne Feder]]=1,3,0))),1,0)</f>
        <v>1</v>
      </c>
      <c r="M310" s="135">
        <f>IF(Scharniere[[#This Row],[Bohrbild]]=select!$O$334,1,0)</f>
        <v>0</v>
      </c>
      <c r="N310" s="135">
        <f>IF(IF(Scharniere[[#This Row],[Anschrauben]]=1,1,IF(Scharniere[[#This Row],[Einpressen]]=1,2,IF(Scharniere[[#This Row],[Quick]]=1,3,IF(Scharniere[[#This Row],[Werkzeuglos]]=1,4,0))))=select!$E$362,1,0)</f>
        <v>0</v>
      </c>
      <c r="O3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0" s="298">
        <f>IF(AND(Scharniere[[#This Row],[Scharnierart]]=3,Scharniere[[#This Row],[Gruppenschlüssel]]=select!$A$747)=TRUE,1,0)</f>
        <v>0</v>
      </c>
      <c r="Q310" s="298">
        <f ca="1">IF(select!$O$945&lt;6,1,0)</f>
        <v>1</v>
      </c>
      <c r="R310" s="298">
        <f>IF(select!$A$778=IF(Scharniere[[#This Row],[mit Dämpfung]]=1,1,IF(Scharniere[[#This Row],[ohne Dämpfung]]=1,2,IF(Scharniere[[#This Row],[ohne Feder]]=1,3,0))),1,0)</f>
        <v>0</v>
      </c>
      <c r="S310" s="298">
        <f>IF(Scharniere[[#This Row],[Bohrbild]]=select!$A$755,1,0)</f>
        <v>0</v>
      </c>
      <c r="T310" s="298">
        <f>IF(IF(Scharniere[[#This Row],[Anschrauben]]=1,1,IF(Scharniere[[#This Row],[Einpressen]]=1,2,IF(Scharniere[[#This Row],[Quick]]=1,3,IF(Scharniere[[#This Row],[Werkzeuglos]]=1,4,0))))=select!$A$769,1,0)</f>
        <v>0</v>
      </c>
      <c r="U3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0" s="359">
        <f>IF(AND(Scharniere[[#This Row],[Scharnierart]]=4,Scharniere[[#This Row],[Gruppenschlüssel]]=select!$A$981)=TRUE,1,0)</f>
        <v>0</v>
      </c>
      <c r="W310" s="359">
        <f ca="1">IF(select!$O$1185&lt;6,1,0)</f>
        <v>1</v>
      </c>
      <c r="X310" s="359">
        <f>IF(select!$A$1012=IF(Scharniere[[#This Row],[mit Dämpfung]]=1,1,IF(Scharniere[[#This Row],[ohne Dämpfung]]=1,2,IF(Scharniere[[#This Row],[ohne Feder]]=1,3,0))),1,0)</f>
        <v>0</v>
      </c>
      <c r="Y310" s="359">
        <f>IF(Scharniere[[#This Row],[Bohrbild]]=select!$A$989,1,0)</f>
        <v>0</v>
      </c>
      <c r="Z310" s="359">
        <f>IF(IF(Scharniere[[#This Row],[Anschrauben]]=1,1,IF(Scharniere[[#This Row],[Einpressen]]=1,2,IF(Scharniere[[#This Row],[Quick]]=1,3,IF(Scharniere[[#This Row],[Werkzeuglos]]=1,4,0))))=select!$A$1003,1,0)</f>
        <v>0</v>
      </c>
      <c r="AA3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0" s="359">
        <f ca="1">IF(select!$K$980="*",Scharniere[[#This Row],[AG Ges2]],Scharniere[[#This Row],[AG Ges1]])</f>
        <v>0</v>
      </c>
      <c r="AE310" s="451">
        <f ca="1">IF(AND(Scharniere[[#This Row],[Scharnierart]]=select!$A$1485,Scharniere[[#This Row],[Gruppenschlüssel]]=select!$B$1485)=TRUE,1,0)</f>
        <v>0</v>
      </c>
      <c r="AF310" s="451">
        <f ca="1">IF(AND(Scharniere[[#This Row],[Scharnierart]]=select!$A$1486,Scharniere[[#This Row],[Gruppenschlüssel]]=select!$B$1486)=TRUE,1,0)</f>
        <v>0</v>
      </c>
      <c r="AG310" s="451">
        <f ca="1">IF(AND(Scharniere[[#This Row],[Scharnierart]]=select!$A$1487,Scharniere[[#This Row],[Gruppenschlüssel]]=select!$B$1487)=TRUE,1,0)</f>
        <v>0</v>
      </c>
      <c r="AH310" s="451">
        <f ca="1">IF(AND(Scharniere[[#This Row],[Scharnierart]]=select!$A$1488,Scharniere[[#This Row],[Gruppenschlüssel]]=select!$B$1488)=TRUE,1,0)</f>
        <v>0</v>
      </c>
      <c r="AI310" s="451">
        <f ca="1">IF(SUM(Scharniere[[#This Row],[konf Scharnier 1]:[konf Scharnier 4]])&gt;0,1,0)</f>
        <v>0</v>
      </c>
      <c r="AJ310" s="451"/>
      <c r="AK310" s="451"/>
      <c r="AL310" s="451"/>
      <c r="AM310" s="451"/>
      <c r="AN310" s="451"/>
      <c r="AO310" s="146">
        <v>1</v>
      </c>
      <c r="AP310" s="146">
        <v>2</v>
      </c>
      <c r="AQ310" s="10" t="str">
        <f ca="1">Sprache!$A$113</f>
        <v>Tiomos Scharnier TS Impresso</v>
      </c>
      <c r="AR310" t="s">
        <v>95</v>
      </c>
      <c r="AS310" t="str">
        <f ca="1">Sprache!$A$116</f>
        <v>Tiomos Impresso Scharniere</v>
      </c>
      <c r="AT310">
        <v>3</v>
      </c>
      <c r="AU310" t="s">
        <v>9</v>
      </c>
      <c r="AV310">
        <v>120</v>
      </c>
      <c r="AW310" s="10">
        <v>1</v>
      </c>
      <c r="AX310">
        <v>0</v>
      </c>
      <c r="AY310">
        <v>0</v>
      </c>
      <c r="AZ310" s="10">
        <v>0</v>
      </c>
      <c r="BA310">
        <v>0</v>
      </c>
      <c r="BB310">
        <v>0</v>
      </c>
      <c r="BC310">
        <v>1</v>
      </c>
      <c r="BD310" s="143" t="s">
        <v>94</v>
      </c>
      <c r="BG310"/>
    </row>
    <row r="311" spans="1:59" ht="14.25" customHeight="1" x14ac:dyDescent="0.25">
      <c r="A311" s="37" t="str">
        <f>LEFT(Scharniere[[#This Row],[ArtikelNR]],4)</f>
        <v>F017</v>
      </c>
      <c r="B311" s="35" t="str">
        <f>MID(Scharniere[[#This Row],[ArtikelNR]],5,3)</f>
        <v>139</v>
      </c>
      <c r="C311" s="37" t="str">
        <f>RIGHT(Scharniere[[#This Row],[ArtikelNR]],3)</f>
        <v>429</v>
      </c>
      <c r="D311" s="35">
        <f>IF(AND(Scharniere[[#This Row],[Gruppenschlüssel]]=select!$A$44,Scharniere[[#This Row],[Scharnierart]]=1)=TRUE,1,0)</f>
        <v>0</v>
      </c>
      <c r="E3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1" s="35">
        <f>IF(select!$F$57=IF(Scharniere[[#This Row],[mit Dämpfung]]=1,1,IF(Scharniere[[#This Row],[ohne Dämpfung]]=1,2,IF(Scharniere[[#This Row],[ohne Feder]]=1,3,0))),1,0)</f>
        <v>0</v>
      </c>
      <c r="G311" s="35">
        <f>IF(Scharniere[[#This Row],[Bohrbild]]=select!$V$43,1,0)</f>
        <v>0</v>
      </c>
      <c r="H311" s="35">
        <f>IF(IF(Scharniere[[#This Row],[Anschrauben]]=1,1,IF(Scharniere[[#This Row],[Einpressen]]=1,2,IF(Scharniere[[#This Row],[Quick]]=1,3,IF(Scharniere[[#This Row],[Werkzeuglos]]=1,4,0))))=select!$F$48,1,0)</f>
        <v>0</v>
      </c>
      <c r="I3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1" s="149">
        <f>IF(AND(Scharniere[[#This Row],[Scharnierart]]=2,Scharniere[[#This Row],[Gruppenschlüssel]]=select!$A$318)=TRUE,1,0)</f>
        <v>0</v>
      </c>
      <c r="K311" s="221">
        <f ca="1">IF(select!$O$424&lt;6,1,0)</f>
        <v>1</v>
      </c>
      <c r="L311" s="139">
        <f>IF(select!$A$362=IF(Scharniere[[#This Row],[mit Dämpfung]]=1,1,IF(Scharniere[[#This Row],[ohne Dämpfung]]=1,2,IF(Scharniere[[#This Row],[ohne Feder]]=1,3,0))),1,0)</f>
        <v>1</v>
      </c>
      <c r="M311" s="135">
        <f>IF(Scharniere[[#This Row],[Bohrbild]]=select!$O$334,1,0)</f>
        <v>0</v>
      </c>
      <c r="N311" s="135">
        <f>IF(IF(Scharniere[[#This Row],[Anschrauben]]=1,1,IF(Scharniere[[#This Row],[Einpressen]]=1,2,IF(Scharniere[[#This Row],[Quick]]=1,3,IF(Scharniere[[#This Row],[Werkzeuglos]]=1,4,0))))=select!$E$362,1,0)</f>
        <v>0</v>
      </c>
      <c r="O3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1" s="298">
        <f>IF(AND(Scharniere[[#This Row],[Scharnierart]]=3,Scharniere[[#This Row],[Gruppenschlüssel]]=select!$A$747)=TRUE,1,0)</f>
        <v>0</v>
      </c>
      <c r="Q311" s="298">
        <f ca="1">IF(select!$O$945&lt;6,1,0)</f>
        <v>1</v>
      </c>
      <c r="R311" s="298">
        <f>IF(select!$A$778=IF(Scharniere[[#This Row],[mit Dämpfung]]=1,1,IF(Scharniere[[#This Row],[ohne Dämpfung]]=1,2,IF(Scharniere[[#This Row],[ohne Feder]]=1,3,0))),1,0)</f>
        <v>0</v>
      </c>
      <c r="S311" s="298">
        <f>IF(Scharniere[[#This Row],[Bohrbild]]=select!$A$755,1,0)</f>
        <v>0</v>
      </c>
      <c r="T311" s="298">
        <f>IF(IF(Scharniere[[#This Row],[Anschrauben]]=1,1,IF(Scharniere[[#This Row],[Einpressen]]=1,2,IF(Scharniere[[#This Row],[Quick]]=1,3,IF(Scharniere[[#This Row],[Werkzeuglos]]=1,4,0))))=select!$A$769,1,0)</f>
        <v>0</v>
      </c>
      <c r="U3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1" s="359">
        <f>IF(AND(Scharniere[[#This Row],[Scharnierart]]=4,Scharniere[[#This Row],[Gruppenschlüssel]]=select!$A$981)=TRUE,1,0)</f>
        <v>0</v>
      </c>
      <c r="W311" s="359">
        <f ca="1">IF(select!$O$1185&lt;6,1,0)</f>
        <v>1</v>
      </c>
      <c r="X311" s="359">
        <f>IF(select!$A$1012=IF(Scharniere[[#This Row],[mit Dämpfung]]=1,1,IF(Scharniere[[#This Row],[ohne Dämpfung]]=1,2,IF(Scharniere[[#This Row],[ohne Feder]]=1,3,0))),1,0)</f>
        <v>0</v>
      </c>
      <c r="Y311" s="359">
        <f>IF(Scharniere[[#This Row],[Bohrbild]]=select!$A$989,1,0)</f>
        <v>0</v>
      </c>
      <c r="Z311" s="359">
        <f>IF(IF(Scharniere[[#This Row],[Anschrauben]]=1,1,IF(Scharniere[[#This Row],[Einpressen]]=1,2,IF(Scharniere[[#This Row],[Quick]]=1,3,IF(Scharniere[[#This Row],[Werkzeuglos]]=1,4,0))))=select!$A$1003,1,0)</f>
        <v>0</v>
      </c>
      <c r="AA3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1" s="359">
        <f ca="1">IF(select!$K$980="*",Scharniere[[#This Row],[AG Ges2]],Scharniere[[#This Row],[AG Ges1]])</f>
        <v>0</v>
      </c>
      <c r="AE311" s="451">
        <f ca="1">IF(AND(Scharniere[[#This Row],[Scharnierart]]=select!$A$1485,Scharniere[[#This Row],[Gruppenschlüssel]]=select!$B$1485)=TRUE,1,0)</f>
        <v>0</v>
      </c>
      <c r="AF311" s="451">
        <f ca="1">IF(AND(Scharniere[[#This Row],[Scharnierart]]=select!$A$1486,Scharniere[[#This Row],[Gruppenschlüssel]]=select!$B$1486)=TRUE,1,0)</f>
        <v>0</v>
      </c>
      <c r="AG311" s="451">
        <f ca="1">IF(AND(Scharniere[[#This Row],[Scharnierart]]=select!$A$1487,Scharniere[[#This Row],[Gruppenschlüssel]]=select!$B$1487)=TRUE,1,0)</f>
        <v>0</v>
      </c>
      <c r="AH311" s="451">
        <f ca="1">IF(AND(Scharniere[[#This Row],[Scharnierart]]=select!$A$1488,Scharniere[[#This Row],[Gruppenschlüssel]]=select!$B$1488)=TRUE,1,0)</f>
        <v>0</v>
      </c>
      <c r="AI311" s="451">
        <f ca="1">IF(SUM(Scharniere[[#This Row],[konf Scharnier 1]:[konf Scharnier 4]])&gt;0,1,0)</f>
        <v>0</v>
      </c>
      <c r="AJ311" s="451"/>
      <c r="AK311" s="451"/>
      <c r="AL311" s="451"/>
      <c r="AM311" s="451"/>
      <c r="AN311" s="451"/>
      <c r="AO311" s="146">
        <v>1</v>
      </c>
      <c r="AP311" s="146">
        <v>2</v>
      </c>
      <c r="AQ311" s="10" t="str">
        <f ca="1">Sprache!$A$113</f>
        <v>Tiomos Scharnier TS Impresso</v>
      </c>
      <c r="AR311" t="s">
        <v>95</v>
      </c>
      <c r="AS311" t="str">
        <f ca="1">Sprache!$A$116</f>
        <v>Tiomos Impresso Scharniere</v>
      </c>
      <c r="AT311">
        <v>3</v>
      </c>
      <c r="AU311" s="34" t="s">
        <v>3</v>
      </c>
      <c r="AV311">
        <v>120</v>
      </c>
      <c r="AW311" s="10">
        <v>1</v>
      </c>
      <c r="AX311">
        <v>0</v>
      </c>
      <c r="AY311">
        <v>0</v>
      </c>
      <c r="AZ311" s="10">
        <v>0</v>
      </c>
      <c r="BA311">
        <v>0</v>
      </c>
      <c r="BB311">
        <v>0</v>
      </c>
      <c r="BC311">
        <v>1</v>
      </c>
      <c r="BD311" s="143" t="s">
        <v>94</v>
      </c>
      <c r="BG311"/>
    </row>
    <row r="312" spans="1:59" ht="14.25" customHeight="1" x14ac:dyDescent="0.25">
      <c r="A312" s="37" t="str">
        <f>LEFT(Scharniere[[#This Row],[ArtikelNR]],4)</f>
        <v>F035</v>
      </c>
      <c r="B312" s="35" t="str">
        <f>MID(Scharniere[[#This Row],[ArtikelNR]],5,3)</f>
        <v>139</v>
      </c>
      <c r="C312" s="37" t="str">
        <f>RIGHT(Scharniere[[#This Row],[ArtikelNR]],3)</f>
        <v>457</v>
      </c>
      <c r="D312" s="35">
        <f>IF(AND(Scharniere[[#This Row],[Gruppenschlüssel]]=select!$A$44,Scharniere[[#This Row],[Scharnierart]]=1)=TRUE,1,0)</f>
        <v>0</v>
      </c>
      <c r="E3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2" s="35">
        <f>IF(select!$F$57=IF(Scharniere[[#This Row],[mit Dämpfung]]=1,1,IF(Scharniere[[#This Row],[ohne Dämpfung]]=1,2,IF(Scharniere[[#This Row],[ohne Feder]]=1,3,0))),1,0)</f>
        <v>1</v>
      </c>
      <c r="G312" s="35">
        <f>IF(Scharniere[[#This Row],[Bohrbild]]=select!$V$43,1,0)</f>
        <v>0</v>
      </c>
      <c r="H312" s="35">
        <f>IF(IF(Scharniere[[#This Row],[Anschrauben]]=1,1,IF(Scharniere[[#This Row],[Einpressen]]=1,2,IF(Scharniere[[#This Row],[Quick]]=1,3,IF(Scharniere[[#This Row],[Werkzeuglos]]=1,4,0))))=select!$F$48,1,0)</f>
        <v>0</v>
      </c>
      <c r="I3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2" s="149">
        <f>IF(AND(Scharniere[[#This Row],[Scharnierart]]=2,Scharniere[[#This Row],[Gruppenschlüssel]]=select!$A$318)=TRUE,1,0)</f>
        <v>0</v>
      </c>
      <c r="K312" s="221">
        <f ca="1">IF(select!$O$424&lt;6,1,0)</f>
        <v>1</v>
      </c>
      <c r="L312" s="139">
        <f>IF(select!$A$362=IF(Scharniere[[#This Row],[mit Dämpfung]]=1,1,IF(Scharniere[[#This Row],[ohne Dämpfung]]=1,2,IF(Scharniere[[#This Row],[ohne Feder]]=1,3,0))),1,0)</f>
        <v>0</v>
      </c>
      <c r="M312" s="135">
        <f>IF(Scharniere[[#This Row],[Bohrbild]]=select!$O$334,1,0)</f>
        <v>0</v>
      </c>
      <c r="N312" s="135">
        <f>IF(IF(Scharniere[[#This Row],[Anschrauben]]=1,1,IF(Scharniere[[#This Row],[Einpressen]]=1,2,IF(Scharniere[[#This Row],[Quick]]=1,3,IF(Scharniere[[#This Row],[Werkzeuglos]]=1,4,0))))=select!$E$362,1,0)</f>
        <v>0</v>
      </c>
      <c r="O3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2" s="298">
        <f>IF(AND(Scharniere[[#This Row],[Scharnierart]]=3,Scharniere[[#This Row],[Gruppenschlüssel]]=select!$A$747)=TRUE,1,0)</f>
        <v>0</v>
      </c>
      <c r="Q312" s="298">
        <f ca="1">IF(select!$O$945&lt;6,1,0)</f>
        <v>1</v>
      </c>
      <c r="R312" s="298">
        <f>IF(select!$A$778=IF(Scharniere[[#This Row],[mit Dämpfung]]=1,1,IF(Scharniere[[#This Row],[ohne Dämpfung]]=1,2,IF(Scharniere[[#This Row],[ohne Feder]]=1,3,0))),1,0)</f>
        <v>0</v>
      </c>
      <c r="S312" s="298">
        <f>IF(Scharniere[[#This Row],[Bohrbild]]=select!$A$755,1,0)</f>
        <v>0</v>
      </c>
      <c r="T312" s="298">
        <f>IF(IF(Scharniere[[#This Row],[Anschrauben]]=1,1,IF(Scharniere[[#This Row],[Einpressen]]=1,2,IF(Scharniere[[#This Row],[Quick]]=1,3,IF(Scharniere[[#This Row],[Werkzeuglos]]=1,4,0))))=select!$A$769,1,0)</f>
        <v>0</v>
      </c>
      <c r="U3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2" s="359">
        <f>IF(AND(Scharniere[[#This Row],[Scharnierart]]=4,Scharniere[[#This Row],[Gruppenschlüssel]]=select!$A$981)=TRUE,1,0)</f>
        <v>0</v>
      </c>
      <c r="W312" s="359">
        <f ca="1">IF(select!$O$1185&lt;6,1,0)</f>
        <v>1</v>
      </c>
      <c r="X312" s="359">
        <f>IF(select!$A$1012=IF(Scharniere[[#This Row],[mit Dämpfung]]=1,1,IF(Scharniere[[#This Row],[ohne Dämpfung]]=1,2,IF(Scharniere[[#This Row],[ohne Feder]]=1,3,0))),1,0)</f>
        <v>0</v>
      </c>
      <c r="Y312" s="359">
        <f>IF(Scharniere[[#This Row],[Bohrbild]]=select!$A$989,1,0)</f>
        <v>0</v>
      </c>
      <c r="Z312" s="359">
        <f>IF(IF(Scharniere[[#This Row],[Anschrauben]]=1,1,IF(Scharniere[[#This Row],[Einpressen]]=1,2,IF(Scharniere[[#This Row],[Quick]]=1,3,IF(Scharniere[[#This Row],[Werkzeuglos]]=1,4,0))))=select!$A$1003,1,0)</f>
        <v>0</v>
      </c>
      <c r="AA3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2" s="359">
        <f ca="1">IF(select!$K$980="*",Scharniere[[#This Row],[AG Ges2]],Scharniere[[#This Row],[AG Ges1]])</f>
        <v>0</v>
      </c>
      <c r="AE312" s="451">
        <f ca="1">IF(AND(Scharniere[[#This Row],[Scharnierart]]=select!$A$1485,Scharniere[[#This Row],[Gruppenschlüssel]]=select!$B$1485)=TRUE,1,0)</f>
        <v>0</v>
      </c>
      <c r="AF312" s="451">
        <f ca="1">IF(AND(Scharniere[[#This Row],[Scharnierart]]=select!$A$1486,Scharniere[[#This Row],[Gruppenschlüssel]]=select!$B$1486)=TRUE,1,0)</f>
        <v>0</v>
      </c>
      <c r="AG312" s="451">
        <f ca="1">IF(AND(Scharniere[[#This Row],[Scharnierart]]=select!$A$1487,Scharniere[[#This Row],[Gruppenschlüssel]]=select!$B$1487)=TRUE,1,0)</f>
        <v>0</v>
      </c>
      <c r="AH312" s="451">
        <f ca="1">IF(AND(Scharniere[[#This Row],[Scharnierart]]=select!$A$1488,Scharniere[[#This Row],[Gruppenschlüssel]]=select!$B$1488)=TRUE,1,0)</f>
        <v>0</v>
      </c>
      <c r="AI312" s="451">
        <f ca="1">IF(SUM(Scharniere[[#This Row],[konf Scharnier 1]:[konf Scharnier 4]])&gt;0,1,0)</f>
        <v>0</v>
      </c>
      <c r="AJ312" s="451"/>
      <c r="AK312" s="451"/>
      <c r="AL312" s="451"/>
      <c r="AM312" s="451"/>
      <c r="AN312" s="451"/>
      <c r="AO312" s="146">
        <v>1</v>
      </c>
      <c r="AP312" s="146">
        <v>2</v>
      </c>
      <c r="AQ312" s="10" t="str">
        <f ca="1">Sprache!$A$115</f>
        <v>Tiomos Scharnier TT Impresso</v>
      </c>
      <c r="AR312" t="s">
        <v>95</v>
      </c>
      <c r="AS312" t="str">
        <f ca="1">Sprache!$A$116</f>
        <v>Tiomos Impresso Scharniere</v>
      </c>
      <c r="AT312">
        <v>3</v>
      </c>
      <c r="AU312" t="s">
        <v>9</v>
      </c>
      <c r="AV312">
        <v>120</v>
      </c>
      <c r="AW312" s="10">
        <v>0</v>
      </c>
      <c r="AX312">
        <v>0</v>
      </c>
      <c r="AY312">
        <v>1</v>
      </c>
      <c r="AZ312" s="10">
        <v>0</v>
      </c>
      <c r="BA312">
        <v>0</v>
      </c>
      <c r="BB312">
        <v>0</v>
      </c>
      <c r="BC312">
        <v>1</v>
      </c>
      <c r="BD312" s="143" t="s">
        <v>200</v>
      </c>
      <c r="BG312"/>
    </row>
    <row r="313" spans="1:59" ht="14.25" customHeight="1" x14ac:dyDescent="0.25">
      <c r="A313" s="37" t="str">
        <f>LEFT(Scharniere[[#This Row],[ArtikelNR]],4)</f>
        <v>F035</v>
      </c>
      <c r="B313" s="35" t="str">
        <f>MID(Scharniere[[#This Row],[ArtikelNR]],5,3)</f>
        <v>139</v>
      </c>
      <c r="C313" s="37" t="str">
        <f>RIGHT(Scharniere[[#This Row],[ArtikelNR]],3)</f>
        <v>457</v>
      </c>
      <c r="D313" s="35">
        <f>IF(AND(Scharniere[[#This Row],[Gruppenschlüssel]]=select!$A$44,Scharniere[[#This Row],[Scharnierart]]=1)=TRUE,1,0)</f>
        <v>0</v>
      </c>
      <c r="E3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3" s="35">
        <f>IF(select!$F$57=IF(Scharniere[[#This Row],[mit Dämpfung]]=1,1,IF(Scharniere[[#This Row],[ohne Dämpfung]]=1,2,IF(Scharniere[[#This Row],[ohne Feder]]=1,3,0))),1,0)</f>
        <v>1</v>
      </c>
      <c r="G313" s="35">
        <f>IF(Scharniere[[#This Row],[Bohrbild]]=select!$V$43,1,0)</f>
        <v>0</v>
      </c>
      <c r="H313" s="35">
        <f>IF(IF(Scharniere[[#This Row],[Anschrauben]]=1,1,IF(Scharniere[[#This Row],[Einpressen]]=1,2,IF(Scharniere[[#This Row],[Quick]]=1,3,IF(Scharniere[[#This Row],[Werkzeuglos]]=1,4,0))))=select!$F$48,1,0)</f>
        <v>0</v>
      </c>
      <c r="I3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3" s="149">
        <f>IF(AND(Scharniere[[#This Row],[Scharnierart]]=2,Scharniere[[#This Row],[Gruppenschlüssel]]=select!$A$318)=TRUE,1,0)</f>
        <v>0</v>
      </c>
      <c r="K313" s="221">
        <f ca="1">IF(select!$O$424&lt;6,1,0)</f>
        <v>1</v>
      </c>
      <c r="L313" s="139">
        <f>IF(select!$A$362=IF(Scharniere[[#This Row],[mit Dämpfung]]=1,1,IF(Scharniere[[#This Row],[ohne Dämpfung]]=1,2,IF(Scharniere[[#This Row],[ohne Feder]]=1,3,0))),1,0)</f>
        <v>0</v>
      </c>
      <c r="M313" s="135">
        <f>IF(Scharniere[[#This Row],[Bohrbild]]=select!$O$334,1,0)</f>
        <v>0</v>
      </c>
      <c r="N313" s="135">
        <f>IF(IF(Scharniere[[#This Row],[Anschrauben]]=1,1,IF(Scharniere[[#This Row],[Einpressen]]=1,2,IF(Scharniere[[#This Row],[Quick]]=1,3,IF(Scharniere[[#This Row],[Werkzeuglos]]=1,4,0))))=select!$E$362,1,0)</f>
        <v>0</v>
      </c>
      <c r="O3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3" s="298">
        <f>IF(AND(Scharniere[[#This Row],[Scharnierart]]=3,Scharniere[[#This Row],[Gruppenschlüssel]]=select!$A$747)=TRUE,1,0)</f>
        <v>0</v>
      </c>
      <c r="Q313" s="298">
        <f ca="1">IF(select!$O$945&lt;6,1,0)</f>
        <v>1</v>
      </c>
      <c r="R313" s="298">
        <f>IF(select!$A$778=IF(Scharniere[[#This Row],[mit Dämpfung]]=1,1,IF(Scharniere[[#This Row],[ohne Dämpfung]]=1,2,IF(Scharniere[[#This Row],[ohne Feder]]=1,3,0))),1,0)</f>
        <v>0</v>
      </c>
      <c r="S313" s="298">
        <f>IF(Scharniere[[#This Row],[Bohrbild]]=select!$A$755,1,0)</f>
        <v>0</v>
      </c>
      <c r="T313" s="298">
        <f>IF(IF(Scharniere[[#This Row],[Anschrauben]]=1,1,IF(Scharniere[[#This Row],[Einpressen]]=1,2,IF(Scharniere[[#This Row],[Quick]]=1,3,IF(Scharniere[[#This Row],[Werkzeuglos]]=1,4,0))))=select!$A$769,1,0)</f>
        <v>0</v>
      </c>
      <c r="U3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3" s="359">
        <f>IF(AND(Scharniere[[#This Row],[Scharnierart]]=4,Scharniere[[#This Row],[Gruppenschlüssel]]=select!$A$981)=TRUE,1,0)</f>
        <v>0</v>
      </c>
      <c r="W313" s="359">
        <f ca="1">IF(select!$O$1185&lt;6,1,0)</f>
        <v>1</v>
      </c>
      <c r="X313" s="359">
        <f>IF(select!$A$1012=IF(Scharniere[[#This Row],[mit Dämpfung]]=1,1,IF(Scharniere[[#This Row],[ohne Dämpfung]]=1,2,IF(Scharniere[[#This Row],[ohne Feder]]=1,3,0))),1,0)</f>
        <v>0</v>
      </c>
      <c r="Y313" s="359">
        <f>IF(Scharniere[[#This Row],[Bohrbild]]=select!$A$989,1,0)</f>
        <v>0</v>
      </c>
      <c r="Z313" s="359">
        <f>IF(IF(Scharniere[[#This Row],[Anschrauben]]=1,1,IF(Scharniere[[#This Row],[Einpressen]]=1,2,IF(Scharniere[[#This Row],[Quick]]=1,3,IF(Scharniere[[#This Row],[Werkzeuglos]]=1,4,0))))=select!$A$1003,1,0)</f>
        <v>0</v>
      </c>
      <c r="AA3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3" s="359">
        <f ca="1">IF(select!$K$980="*",Scharniere[[#This Row],[AG Ges2]],Scharniere[[#This Row],[AG Ges1]])</f>
        <v>0</v>
      </c>
      <c r="AE313" s="451">
        <f ca="1">IF(AND(Scharniere[[#This Row],[Scharnierart]]=select!$A$1485,Scharniere[[#This Row],[Gruppenschlüssel]]=select!$B$1485)=TRUE,1,0)</f>
        <v>0</v>
      </c>
      <c r="AF313" s="451">
        <f ca="1">IF(AND(Scharniere[[#This Row],[Scharnierart]]=select!$A$1486,Scharniere[[#This Row],[Gruppenschlüssel]]=select!$B$1486)=TRUE,1,0)</f>
        <v>0</v>
      </c>
      <c r="AG313" s="451">
        <f ca="1">IF(AND(Scharniere[[#This Row],[Scharnierart]]=select!$A$1487,Scharniere[[#This Row],[Gruppenschlüssel]]=select!$B$1487)=TRUE,1,0)</f>
        <v>0</v>
      </c>
      <c r="AH313" s="451">
        <f ca="1">IF(AND(Scharniere[[#This Row],[Scharnierart]]=select!$A$1488,Scharniere[[#This Row],[Gruppenschlüssel]]=select!$B$1488)=TRUE,1,0)</f>
        <v>0</v>
      </c>
      <c r="AI313" s="451">
        <f ca="1">IF(SUM(Scharniere[[#This Row],[konf Scharnier 1]:[konf Scharnier 4]])&gt;0,1,0)</f>
        <v>0</v>
      </c>
      <c r="AJ313" s="451"/>
      <c r="AK313" s="451"/>
      <c r="AL313" s="451"/>
      <c r="AM313" s="451"/>
      <c r="AN313" s="451"/>
      <c r="AO313" s="146">
        <v>1</v>
      </c>
      <c r="AP313" s="146">
        <v>2</v>
      </c>
      <c r="AQ313" s="10" t="str">
        <f ca="1">Sprache!$A$115</f>
        <v>Tiomos Scharnier TT Impresso</v>
      </c>
      <c r="AR313" t="s">
        <v>95</v>
      </c>
      <c r="AS313" t="str">
        <f ca="1">Sprache!$A$116</f>
        <v>Tiomos Impresso Scharniere</v>
      </c>
      <c r="AT313">
        <v>3</v>
      </c>
      <c r="AU313" s="34" t="s">
        <v>3</v>
      </c>
      <c r="AV313">
        <v>120</v>
      </c>
      <c r="AW313" s="10">
        <v>0</v>
      </c>
      <c r="AX313">
        <v>0</v>
      </c>
      <c r="AY313">
        <v>1</v>
      </c>
      <c r="AZ313" s="10">
        <v>0</v>
      </c>
      <c r="BA313">
        <v>0</v>
      </c>
      <c r="BB313">
        <v>0</v>
      </c>
      <c r="BC313">
        <v>1</v>
      </c>
      <c r="BD313" s="143" t="s">
        <v>200</v>
      </c>
      <c r="BG313"/>
    </row>
    <row r="314" spans="1:59" ht="14.25" customHeight="1" x14ac:dyDescent="0.25">
      <c r="A314" s="37" t="str">
        <f>LEFT(Scharniere[[#This Row],[ArtikelNR]],4)</f>
        <v>F045</v>
      </c>
      <c r="B314" s="35" t="str">
        <f>MID(Scharniere[[#This Row],[ArtikelNR]],5,3)</f>
        <v>138</v>
      </c>
      <c r="C314" s="37" t="str">
        <f>RIGHT(Scharniere[[#This Row],[ArtikelNR]],3)</f>
        <v>672</v>
      </c>
      <c r="D314" s="35">
        <f>IF(AND(Scharniere[[#This Row],[Gruppenschlüssel]]=select!$A$44,Scharniere[[#This Row],[Scharnierart]]=1)=TRUE,1,0)</f>
        <v>0</v>
      </c>
      <c r="E3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4" s="35">
        <f>IF(select!$F$57=IF(Scharniere[[#This Row],[mit Dämpfung]]=1,1,IF(Scharniere[[#This Row],[ohne Dämpfung]]=1,2,IF(Scharniere[[#This Row],[ohne Feder]]=1,3,0))),1,0)</f>
        <v>0</v>
      </c>
      <c r="G314" s="35">
        <f>IF(Scharniere[[#This Row],[Bohrbild]]=select!$V$43,1,0)</f>
        <v>0</v>
      </c>
      <c r="H314" s="35">
        <f>IF(IF(Scharniere[[#This Row],[Anschrauben]]=1,1,IF(Scharniere[[#This Row],[Einpressen]]=1,2,IF(Scharniere[[#This Row],[Quick]]=1,3,IF(Scharniere[[#This Row],[Werkzeuglos]]=1,4,0))))=select!$F$48,1,0)</f>
        <v>1</v>
      </c>
      <c r="I3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4" s="149">
        <f>IF(AND(Scharniere[[#This Row],[Scharnierart]]=2,Scharniere[[#This Row],[Gruppenschlüssel]]=select!$A$318)=TRUE,1,0)</f>
        <v>0</v>
      </c>
      <c r="K314" s="221">
        <f ca="1">IF(select!$O$424&lt;6,1,0)</f>
        <v>1</v>
      </c>
      <c r="L314" s="139">
        <f>IF(select!$A$362=IF(Scharniere[[#This Row],[mit Dämpfung]]=1,1,IF(Scharniere[[#This Row],[ohne Dämpfung]]=1,2,IF(Scharniere[[#This Row],[ohne Feder]]=1,3,0))),1,0)</f>
        <v>0</v>
      </c>
      <c r="M314" s="135">
        <f>IF(Scharniere[[#This Row],[Bohrbild]]=select!$O$334,1,0)</f>
        <v>0</v>
      </c>
      <c r="N314" s="135">
        <f>IF(IF(Scharniere[[#This Row],[Anschrauben]]=1,1,IF(Scharniere[[#This Row],[Einpressen]]=1,2,IF(Scharniere[[#This Row],[Quick]]=1,3,IF(Scharniere[[#This Row],[Werkzeuglos]]=1,4,0))))=select!$E$362,1,0)</f>
        <v>0</v>
      </c>
      <c r="O3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4" s="298">
        <f>IF(AND(Scharniere[[#This Row],[Scharnierart]]=3,Scharniere[[#This Row],[Gruppenschlüssel]]=select!$A$747)=TRUE,1,0)</f>
        <v>0</v>
      </c>
      <c r="Q314" s="298">
        <f ca="1">IF(select!$O$945&lt;6,1,0)</f>
        <v>1</v>
      </c>
      <c r="R314" s="298">
        <f>IF(select!$A$778=IF(Scharniere[[#This Row],[mit Dämpfung]]=1,1,IF(Scharniere[[#This Row],[ohne Dämpfung]]=1,2,IF(Scharniere[[#This Row],[ohne Feder]]=1,3,0))),1,0)</f>
        <v>1</v>
      </c>
      <c r="S314" s="298">
        <f>IF(Scharniere[[#This Row],[Bohrbild]]=select!$A$755,1,0)</f>
        <v>0</v>
      </c>
      <c r="T314" s="298">
        <f>IF(IF(Scharniere[[#This Row],[Anschrauben]]=1,1,IF(Scharniere[[#This Row],[Einpressen]]=1,2,IF(Scharniere[[#This Row],[Quick]]=1,3,IF(Scharniere[[#This Row],[Werkzeuglos]]=1,4,0))))=select!$A$769,1,0)</f>
        <v>0</v>
      </c>
      <c r="U3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4" s="359">
        <f>IF(AND(Scharniere[[#This Row],[Scharnierart]]=4,Scharniere[[#This Row],[Gruppenschlüssel]]=select!$A$981)=TRUE,1,0)</f>
        <v>0</v>
      </c>
      <c r="W314" s="359">
        <f ca="1">IF(select!$O$1185&lt;6,1,0)</f>
        <v>1</v>
      </c>
      <c r="X314" s="359">
        <f>IF(select!$A$1012=IF(Scharniere[[#This Row],[mit Dämpfung]]=1,1,IF(Scharniere[[#This Row],[ohne Dämpfung]]=1,2,IF(Scharniere[[#This Row],[ohne Feder]]=1,3,0))),1,0)</f>
        <v>1</v>
      </c>
      <c r="Y314" s="359">
        <f>IF(Scharniere[[#This Row],[Bohrbild]]=select!$A$989,1,0)</f>
        <v>0</v>
      </c>
      <c r="Z314" s="359">
        <f>IF(IF(Scharniere[[#This Row],[Anschrauben]]=1,1,IF(Scharniere[[#This Row],[Einpressen]]=1,2,IF(Scharniere[[#This Row],[Quick]]=1,3,IF(Scharniere[[#This Row],[Werkzeuglos]]=1,4,0))))=select!$A$1003,1,0)</f>
        <v>0</v>
      </c>
      <c r="AA3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4" s="359">
        <f ca="1">IF(select!$K$980="*",Scharniere[[#This Row],[AG Ges2]],Scharniere[[#This Row],[AG Ges1]])</f>
        <v>0</v>
      </c>
      <c r="AE314" s="451">
        <f ca="1">IF(AND(Scharniere[[#This Row],[Scharnierart]]=select!$A$1485,Scharniere[[#This Row],[Gruppenschlüssel]]=select!$B$1485)=TRUE,1,0)</f>
        <v>0</v>
      </c>
      <c r="AF314" s="451">
        <f ca="1">IF(AND(Scharniere[[#This Row],[Scharnierart]]=select!$A$1486,Scharniere[[#This Row],[Gruppenschlüssel]]=select!$B$1486)=TRUE,1,0)</f>
        <v>0</v>
      </c>
      <c r="AG314" s="451">
        <f ca="1">IF(AND(Scharniere[[#This Row],[Scharnierart]]=select!$A$1487,Scharniere[[#This Row],[Gruppenschlüssel]]=select!$B$1487)=TRUE,1,0)</f>
        <v>0</v>
      </c>
      <c r="AH314" s="451">
        <f ca="1">IF(AND(Scharniere[[#This Row],[Scharnierart]]=select!$A$1488,Scharniere[[#This Row],[Gruppenschlüssel]]=select!$B$1488)=TRUE,1,0)</f>
        <v>0</v>
      </c>
      <c r="AI314" s="451">
        <f ca="1">IF(SUM(Scharniere[[#This Row],[konf Scharnier 1]:[konf Scharnier 4]])&gt;0,1,0)</f>
        <v>0</v>
      </c>
      <c r="AJ314" s="451"/>
      <c r="AK314" s="451"/>
      <c r="AL314" s="451"/>
      <c r="AM314" s="451"/>
      <c r="AN314" s="451"/>
      <c r="AO314" s="146">
        <v>1</v>
      </c>
      <c r="AP314" s="146">
        <v>2</v>
      </c>
      <c r="AQ314" s="10" t="str">
        <f ca="1">Sprache!$A$110</f>
        <v>Tiomos Scharnier T Click-on</v>
      </c>
      <c r="AR314" t="str">
        <f ca="1">"120°, H-BB, K03, "&amp;Sprache!A181&amp;", ni"</f>
        <v>120°, H-BB, K03, Dübel, ni</v>
      </c>
      <c r="AS314" t="str">
        <f ca="1">Sprache!$A$103</f>
        <v>Tiomos Click-On Scharniere</v>
      </c>
      <c r="AT314">
        <v>3</v>
      </c>
      <c r="AU314" s="10" t="s">
        <v>10</v>
      </c>
      <c r="AV314">
        <v>120</v>
      </c>
      <c r="AW314" s="10">
        <v>0</v>
      </c>
      <c r="AX314">
        <v>1</v>
      </c>
      <c r="AY314">
        <v>0</v>
      </c>
      <c r="AZ314" s="10">
        <v>0</v>
      </c>
      <c r="BA314">
        <v>1</v>
      </c>
      <c r="BB314">
        <v>0</v>
      </c>
      <c r="BC314">
        <v>0</v>
      </c>
      <c r="BD314" s="143" t="s">
        <v>526</v>
      </c>
      <c r="BG314"/>
    </row>
    <row r="315" spans="1:59" ht="14.25" customHeight="1" x14ac:dyDescent="0.25">
      <c r="A315" s="37" t="str">
        <f>LEFT(Scharniere[[#This Row],[ArtikelNR]],4)</f>
        <v>F028</v>
      </c>
      <c r="B315" s="35" t="str">
        <f>MID(Scharniere[[#This Row],[ArtikelNR]],5,3)</f>
        <v>138</v>
      </c>
      <c r="C315" s="37" t="str">
        <f>RIGHT(Scharniere[[#This Row],[ArtikelNR]],3)</f>
        <v>734</v>
      </c>
      <c r="D315" s="35">
        <f>IF(AND(Scharniere[[#This Row],[Gruppenschlüssel]]=select!$A$44,Scharniere[[#This Row],[Scharnierart]]=1)=TRUE,1,0)</f>
        <v>0</v>
      </c>
      <c r="E3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5" s="35">
        <f>IF(select!$F$57=IF(Scharniere[[#This Row],[mit Dämpfung]]=1,1,IF(Scharniere[[#This Row],[ohne Dämpfung]]=1,2,IF(Scharniere[[#This Row],[ohne Feder]]=1,3,0))),1,0)</f>
        <v>0</v>
      </c>
      <c r="G315" s="35">
        <f>IF(Scharniere[[#This Row],[Bohrbild]]=select!$V$43,1,0)</f>
        <v>0</v>
      </c>
      <c r="H315" s="35">
        <f>IF(IF(Scharniere[[#This Row],[Anschrauben]]=1,1,IF(Scharniere[[#This Row],[Einpressen]]=1,2,IF(Scharniere[[#This Row],[Quick]]=1,3,IF(Scharniere[[#This Row],[Werkzeuglos]]=1,4,0))))=select!$F$48,1,0)</f>
        <v>1</v>
      </c>
      <c r="I3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5" s="149">
        <f>IF(AND(Scharniere[[#This Row],[Scharnierart]]=2,Scharniere[[#This Row],[Gruppenschlüssel]]=select!$A$318)=TRUE,1,0)</f>
        <v>0</v>
      </c>
      <c r="K315" s="221">
        <f ca="1">IF(select!$O$424&lt;6,1,0)</f>
        <v>1</v>
      </c>
      <c r="L315" s="139">
        <f>IF(select!$A$362=IF(Scharniere[[#This Row],[mit Dämpfung]]=1,1,IF(Scharniere[[#This Row],[ohne Dämpfung]]=1,2,IF(Scharniere[[#This Row],[ohne Feder]]=1,3,0))),1,0)</f>
        <v>1</v>
      </c>
      <c r="M315" s="135">
        <f>IF(Scharniere[[#This Row],[Bohrbild]]=select!$O$334,1,0)</f>
        <v>0</v>
      </c>
      <c r="N315" s="135">
        <f>IF(IF(Scharniere[[#This Row],[Anschrauben]]=1,1,IF(Scharniere[[#This Row],[Einpressen]]=1,2,IF(Scharniere[[#This Row],[Quick]]=1,3,IF(Scharniere[[#This Row],[Werkzeuglos]]=1,4,0))))=select!$E$362,1,0)</f>
        <v>0</v>
      </c>
      <c r="O3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5" s="298">
        <f>IF(AND(Scharniere[[#This Row],[Scharnierart]]=3,Scharniere[[#This Row],[Gruppenschlüssel]]=select!$A$747)=TRUE,1,0)</f>
        <v>0</v>
      </c>
      <c r="Q315" s="298">
        <f ca="1">IF(select!$O$945&lt;6,1,0)</f>
        <v>1</v>
      </c>
      <c r="R315" s="298">
        <f>IF(select!$A$778=IF(Scharniere[[#This Row],[mit Dämpfung]]=1,1,IF(Scharniere[[#This Row],[ohne Dämpfung]]=1,2,IF(Scharniere[[#This Row],[ohne Feder]]=1,3,0))),1,0)</f>
        <v>0</v>
      </c>
      <c r="S315" s="298">
        <f>IF(Scharniere[[#This Row],[Bohrbild]]=select!$A$755,1,0)</f>
        <v>0</v>
      </c>
      <c r="T315" s="298">
        <f>IF(IF(Scharniere[[#This Row],[Anschrauben]]=1,1,IF(Scharniere[[#This Row],[Einpressen]]=1,2,IF(Scharniere[[#This Row],[Quick]]=1,3,IF(Scharniere[[#This Row],[Werkzeuglos]]=1,4,0))))=select!$A$769,1,0)</f>
        <v>0</v>
      </c>
      <c r="U3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5" s="359">
        <f>IF(AND(Scharniere[[#This Row],[Scharnierart]]=4,Scharniere[[#This Row],[Gruppenschlüssel]]=select!$A$981)=TRUE,1,0)</f>
        <v>0</v>
      </c>
      <c r="W315" s="359">
        <f ca="1">IF(select!$O$1185&lt;6,1,0)</f>
        <v>1</v>
      </c>
      <c r="X315" s="359">
        <f>IF(select!$A$1012=IF(Scharniere[[#This Row],[mit Dämpfung]]=1,1,IF(Scharniere[[#This Row],[ohne Dämpfung]]=1,2,IF(Scharniere[[#This Row],[ohne Feder]]=1,3,0))),1,0)</f>
        <v>0</v>
      </c>
      <c r="Y315" s="359">
        <f>IF(Scharniere[[#This Row],[Bohrbild]]=select!$A$989,1,0)</f>
        <v>0</v>
      </c>
      <c r="Z315" s="359">
        <f>IF(IF(Scharniere[[#This Row],[Anschrauben]]=1,1,IF(Scharniere[[#This Row],[Einpressen]]=1,2,IF(Scharniere[[#This Row],[Quick]]=1,3,IF(Scharniere[[#This Row],[Werkzeuglos]]=1,4,0))))=select!$A$1003,1,0)</f>
        <v>0</v>
      </c>
      <c r="AA3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5" s="359">
        <f ca="1">IF(select!$K$980="*",Scharniere[[#This Row],[AG Ges2]],Scharniere[[#This Row],[AG Ges1]])</f>
        <v>0</v>
      </c>
      <c r="AE315" s="451">
        <f ca="1">IF(AND(Scharniere[[#This Row],[Scharnierart]]=select!$A$1485,Scharniere[[#This Row],[Gruppenschlüssel]]=select!$B$1485)=TRUE,1,0)</f>
        <v>0</v>
      </c>
      <c r="AF315" s="451">
        <f ca="1">IF(AND(Scharniere[[#This Row],[Scharnierart]]=select!$A$1486,Scharniere[[#This Row],[Gruppenschlüssel]]=select!$B$1486)=TRUE,1,0)</f>
        <v>0</v>
      </c>
      <c r="AG315" s="451">
        <f ca="1">IF(AND(Scharniere[[#This Row],[Scharnierart]]=select!$A$1487,Scharniere[[#This Row],[Gruppenschlüssel]]=select!$B$1487)=TRUE,1,0)</f>
        <v>0</v>
      </c>
      <c r="AH315" s="451">
        <f ca="1">IF(AND(Scharniere[[#This Row],[Scharnierart]]=select!$A$1488,Scharniere[[#This Row],[Gruppenschlüssel]]=select!$B$1488)=TRUE,1,0)</f>
        <v>0</v>
      </c>
      <c r="AI315" s="451">
        <f ca="1">IF(SUM(Scharniere[[#This Row],[konf Scharnier 1]:[konf Scharnier 4]])&gt;0,1,0)</f>
        <v>0</v>
      </c>
      <c r="AJ315" s="451"/>
      <c r="AK315" s="451"/>
      <c r="AL315" s="451"/>
      <c r="AM315" s="451"/>
      <c r="AN315" s="451"/>
      <c r="AO315" s="146">
        <v>1</v>
      </c>
      <c r="AP315" s="146">
        <v>2</v>
      </c>
      <c r="AQ315" s="10" t="str">
        <f ca="1">Sprache!$A$112</f>
        <v>Tiomos Scharnier TS Click-on</v>
      </c>
      <c r="AR315" t="str">
        <f ca="1">"120°, H-BB, K03, "&amp;Sprache!A181&amp;", ni"</f>
        <v>120°, H-BB, K03, Dübel, ni</v>
      </c>
      <c r="AS315" t="str">
        <f ca="1">Sprache!$A$103</f>
        <v>Tiomos Click-On Scharniere</v>
      </c>
      <c r="AT315">
        <v>3</v>
      </c>
      <c r="AU315" t="s">
        <v>10</v>
      </c>
      <c r="AV315">
        <v>120</v>
      </c>
      <c r="AW315" s="10">
        <v>1</v>
      </c>
      <c r="AX315">
        <v>0</v>
      </c>
      <c r="AY315">
        <v>0</v>
      </c>
      <c r="AZ315" s="10">
        <v>0</v>
      </c>
      <c r="BA315">
        <v>1</v>
      </c>
      <c r="BB315">
        <v>0</v>
      </c>
      <c r="BC315">
        <v>0</v>
      </c>
      <c r="BD315" s="143" t="s">
        <v>358</v>
      </c>
      <c r="BG315"/>
    </row>
    <row r="316" spans="1:59" ht="14.25" customHeight="1" x14ac:dyDescent="0.25">
      <c r="A316" s="37" t="str">
        <f>LEFT(Scharniere[[#This Row],[ArtikelNR]],4)</f>
        <v>F046</v>
      </c>
      <c r="B316" s="35" t="str">
        <f>MID(Scharniere[[#This Row],[ArtikelNR]],5,3)</f>
        <v>138</v>
      </c>
      <c r="C316" s="37" t="str">
        <f>RIGHT(Scharniere[[#This Row],[ArtikelNR]],3)</f>
        <v>794</v>
      </c>
      <c r="D316" s="35">
        <f>IF(AND(Scharniere[[#This Row],[Gruppenschlüssel]]=select!$A$44,Scharniere[[#This Row],[Scharnierart]]=1)=TRUE,1,0)</f>
        <v>0</v>
      </c>
      <c r="E3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6" s="35">
        <f>IF(select!$F$57=IF(Scharniere[[#This Row],[mit Dämpfung]]=1,1,IF(Scharniere[[#This Row],[ohne Dämpfung]]=1,2,IF(Scharniere[[#This Row],[ohne Feder]]=1,3,0))),1,0)</f>
        <v>1</v>
      </c>
      <c r="G316" s="35">
        <f>IF(Scharniere[[#This Row],[Bohrbild]]=select!$V$43,1,0)</f>
        <v>0</v>
      </c>
      <c r="H316" s="35">
        <f>IF(IF(Scharniere[[#This Row],[Anschrauben]]=1,1,IF(Scharniere[[#This Row],[Einpressen]]=1,2,IF(Scharniere[[#This Row],[Quick]]=1,3,IF(Scharniere[[#This Row],[Werkzeuglos]]=1,4,0))))=select!$F$48,1,0)</f>
        <v>1</v>
      </c>
      <c r="I3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6" s="149">
        <f>IF(AND(Scharniere[[#This Row],[Scharnierart]]=2,Scharniere[[#This Row],[Gruppenschlüssel]]=select!$A$318)=TRUE,1,0)</f>
        <v>0</v>
      </c>
      <c r="K316" s="221">
        <f ca="1">IF(select!$O$424&lt;6,1,0)</f>
        <v>1</v>
      </c>
      <c r="L316" s="139">
        <f>IF(select!$A$362=IF(Scharniere[[#This Row],[mit Dämpfung]]=1,1,IF(Scharniere[[#This Row],[ohne Dämpfung]]=1,2,IF(Scharniere[[#This Row],[ohne Feder]]=1,3,0))),1,0)</f>
        <v>0</v>
      </c>
      <c r="M316" s="135">
        <f>IF(Scharniere[[#This Row],[Bohrbild]]=select!$O$334,1,0)</f>
        <v>0</v>
      </c>
      <c r="N316" s="135">
        <f>IF(IF(Scharniere[[#This Row],[Anschrauben]]=1,1,IF(Scharniere[[#This Row],[Einpressen]]=1,2,IF(Scharniere[[#This Row],[Quick]]=1,3,IF(Scharniere[[#This Row],[Werkzeuglos]]=1,4,0))))=select!$E$362,1,0)</f>
        <v>0</v>
      </c>
      <c r="O3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6" s="298">
        <f>IF(AND(Scharniere[[#This Row],[Scharnierart]]=3,Scharniere[[#This Row],[Gruppenschlüssel]]=select!$A$747)=TRUE,1,0)</f>
        <v>0</v>
      </c>
      <c r="Q316" s="298">
        <f ca="1">IF(select!$O$945&lt;6,1,0)</f>
        <v>1</v>
      </c>
      <c r="R316" s="298">
        <f>IF(select!$A$778=IF(Scharniere[[#This Row],[mit Dämpfung]]=1,1,IF(Scharniere[[#This Row],[ohne Dämpfung]]=1,2,IF(Scharniere[[#This Row],[ohne Feder]]=1,3,0))),1,0)</f>
        <v>0</v>
      </c>
      <c r="S316" s="298">
        <f>IF(Scharniere[[#This Row],[Bohrbild]]=select!$A$755,1,0)</f>
        <v>0</v>
      </c>
      <c r="T316" s="298">
        <f>IF(IF(Scharniere[[#This Row],[Anschrauben]]=1,1,IF(Scharniere[[#This Row],[Einpressen]]=1,2,IF(Scharniere[[#This Row],[Quick]]=1,3,IF(Scharniere[[#This Row],[Werkzeuglos]]=1,4,0))))=select!$A$769,1,0)</f>
        <v>0</v>
      </c>
      <c r="U3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6" s="359">
        <f>IF(AND(Scharniere[[#This Row],[Scharnierart]]=4,Scharniere[[#This Row],[Gruppenschlüssel]]=select!$A$981)=TRUE,1,0)</f>
        <v>0</v>
      </c>
      <c r="W316" s="359">
        <f ca="1">IF(select!$O$1185&lt;6,1,0)</f>
        <v>1</v>
      </c>
      <c r="X316" s="359">
        <f>IF(select!$A$1012=IF(Scharniere[[#This Row],[mit Dämpfung]]=1,1,IF(Scharniere[[#This Row],[ohne Dämpfung]]=1,2,IF(Scharniere[[#This Row],[ohne Feder]]=1,3,0))),1,0)</f>
        <v>0</v>
      </c>
      <c r="Y316" s="359">
        <f>IF(Scharniere[[#This Row],[Bohrbild]]=select!$A$989,1,0)</f>
        <v>0</v>
      </c>
      <c r="Z316" s="359">
        <f>IF(IF(Scharniere[[#This Row],[Anschrauben]]=1,1,IF(Scharniere[[#This Row],[Einpressen]]=1,2,IF(Scharniere[[#This Row],[Quick]]=1,3,IF(Scharniere[[#This Row],[Werkzeuglos]]=1,4,0))))=select!$A$1003,1,0)</f>
        <v>0</v>
      </c>
      <c r="AA3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6" s="359">
        <f ca="1">IF(select!$K$980="*",Scharniere[[#This Row],[AG Ges2]],Scharniere[[#This Row],[AG Ges1]])</f>
        <v>0</v>
      </c>
      <c r="AE316" s="451">
        <f ca="1">IF(AND(Scharniere[[#This Row],[Scharnierart]]=select!$A$1485,Scharniere[[#This Row],[Gruppenschlüssel]]=select!$B$1485)=TRUE,1,0)</f>
        <v>0</v>
      </c>
      <c r="AF316" s="451">
        <f ca="1">IF(AND(Scharniere[[#This Row],[Scharnierart]]=select!$A$1486,Scharniere[[#This Row],[Gruppenschlüssel]]=select!$B$1486)=TRUE,1,0)</f>
        <v>0</v>
      </c>
      <c r="AG316" s="451">
        <f ca="1">IF(AND(Scharniere[[#This Row],[Scharnierart]]=select!$A$1487,Scharniere[[#This Row],[Gruppenschlüssel]]=select!$B$1487)=TRUE,1,0)</f>
        <v>0</v>
      </c>
      <c r="AH316" s="451">
        <f ca="1">IF(AND(Scharniere[[#This Row],[Scharnierart]]=select!$A$1488,Scharniere[[#This Row],[Gruppenschlüssel]]=select!$B$1488)=TRUE,1,0)</f>
        <v>0</v>
      </c>
      <c r="AI316" s="451">
        <f ca="1">IF(SUM(Scharniere[[#This Row],[konf Scharnier 1]:[konf Scharnier 4]])&gt;0,1,0)</f>
        <v>0</v>
      </c>
      <c r="AJ316" s="451"/>
      <c r="AK316" s="451"/>
      <c r="AL316" s="451"/>
      <c r="AM316" s="451"/>
      <c r="AN316" s="451"/>
      <c r="AO316" s="146">
        <v>1</v>
      </c>
      <c r="AP316" s="146">
        <v>2</v>
      </c>
      <c r="AQ316" s="10" t="str">
        <f ca="1">Sprache!$A$114</f>
        <v>Tiomos Scharnier TT Click-on</v>
      </c>
      <c r="AR316" t="str">
        <f ca="1">"120°, H-BB, K03, "&amp;Sprache!A181&amp;", ni"</f>
        <v>120°, H-BB, K03, Dübel, ni</v>
      </c>
      <c r="AS316" t="str">
        <f ca="1">Sprache!$A$103</f>
        <v>Tiomos Click-On Scharniere</v>
      </c>
      <c r="AT316">
        <v>3</v>
      </c>
      <c r="AU316" t="s">
        <v>10</v>
      </c>
      <c r="AV316">
        <v>120</v>
      </c>
      <c r="AW316" s="10">
        <v>0</v>
      </c>
      <c r="AX316">
        <v>0</v>
      </c>
      <c r="AY316">
        <v>1</v>
      </c>
      <c r="AZ316" s="10">
        <v>0</v>
      </c>
      <c r="BA316">
        <v>1</v>
      </c>
      <c r="BB316">
        <v>0</v>
      </c>
      <c r="BC316">
        <v>0</v>
      </c>
      <c r="BD316" s="143" t="s">
        <v>678</v>
      </c>
      <c r="BG316"/>
    </row>
    <row r="317" spans="1:59" ht="14.25" customHeight="1" x14ac:dyDescent="0.25">
      <c r="A317" s="37" t="str">
        <f>LEFT(Scharniere[[#This Row],[ArtikelNR]],4)</f>
        <v>F045</v>
      </c>
      <c r="B317" s="35" t="str">
        <f>MID(Scharniere[[#This Row],[ArtikelNR]],5,3)</f>
        <v>138</v>
      </c>
      <c r="C317" s="37" t="str">
        <f>RIGHT(Scharniere[[#This Row],[ArtikelNR]],3)</f>
        <v>668</v>
      </c>
      <c r="D317" s="35">
        <f>IF(AND(Scharniere[[#This Row],[Gruppenschlüssel]]=select!$A$44,Scharniere[[#This Row],[Scharnierart]]=1)=TRUE,1,0)</f>
        <v>0</v>
      </c>
      <c r="E3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7" s="35">
        <f>IF(select!$F$57=IF(Scharniere[[#This Row],[mit Dämpfung]]=1,1,IF(Scharniere[[#This Row],[ohne Dämpfung]]=1,2,IF(Scharniere[[#This Row],[ohne Feder]]=1,3,0))),1,0)</f>
        <v>0</v>
      </c>
      <c r="G317" s="35">
        <f>IF(Scharniere[[#This Row],[Bohrbild]]=select!$V$43,1,0)</f>
        <v>0</v>
      </c>
      <c r="H317" s="35">
        <f>IF(IF(Scharniere[[#This Row],[Anschrauben]]=1,1,IF(Scharniere[[#This Row],[Einpressen]]=1,2,IF(Scharniere[[#This Row],[Quick]]=1,3,IF(Scharniere[[#This Row],[Werkzeuglos]]=1,4,0))))=select!$F$48,1,0)</f>
        <v>0</v>
      </c>
      <c r="I3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7" s="149">
        <f>IF(AND(Scharniere[[#This Row],[Scharnierart]]=2,Scharniere[[#This Row],[Gruppenschlüssel]]=select!$A$318)=TRUE,1,0)</f>
        <v>0</v>
      </c>
      <c r="K317" s="221">
        <f ca="1">IF(select!$O$424&lt;6,1,0)</f>
        <v>1</v>
      </c>
      <c r="L317" s="139">
        <f>IF(select!$A$362=IF(Scharniere[[#This Row],[mit Dämpfung]]=1,1,IF(Scharniere[[#This Row],[ohne Dämpfung]]=1,2,IF(Scharniere[[#This Row],[ohne Feder]]=1,3,0))),1,0)</f>
        <v>0</v>
      </c>
      <c r="M317" s="135">
        <f>IF(Scharniere[[#This Row],[Bohrbild]]=select!$O$334,1,0)</f>
        <v>0</v>
      </c>
      <c r="N317" s="135">
        <f>IF(IF(Scharniere[[#This Row],[Anschrauben]]=1,1,IF(Scharniere[[#This Row],[Einpressen]]=1,2,IF(Scharniere[[#This Row],[Quick]]=1,3,IF(Scharniere[[#This Row],[Werkzeuglos]]=1,4,0))))=select!$E$362,1,0)</f>
        <v>1</v>
      </c>
      <c r="O3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7" s="298">
        <f>IF(AND(Scharniere[[#This Row],[Scharnierart]]=3,Scharniere[[#This Row],[Gruppenschlüssel]]=select!$A$747)=TRUE,1,0)</f>
        <v>0</v>
      </c>
      <c r="Q317" s="298">
        <f ca="1">IF(select!$O$945&lt;6,1,0)</f>
        <v>1</v>
      </c>
      <c r="R317" s="298">
        <f>IF(select!$A$778=IF(Scharniere[[#This Row],[mit Dämpfung]]=1,1,IF(Scharniere[[#This Row],[ohne Dämpfung]]=1,2,IF(Scharniere[[#This Row],[ohne Feder]]=1,3,0))),1,0)</f>
        <v>1</v>
      </c>
      <c r="S317" s="298">
        <f>IF(Scharniere[[#This Row],[Bohrbild]]=select!$A$755,1,0)</f>
        <v>0</v>
      </c>
      <c r="T317" s="298">
        <f>IF(IF(Scharniere[[#This Row],[Anschrauben]]=1,1,IF(Scharniere[[#This Row],[Einpressen]]=1,2,IF(Scharniere[[#This Row],[Quick]]=1,3,IF(Scharniere[[#This Row],[Werkzeuglos]]=1,4,0))))=select!$A$769,1,0)</f>
        <v>1</v>
      </c>
      <c r="U3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7" s="359">
        <f>IF(AND(Scharniere[[#This Row],[Scharnierart]]=4,Scharniere[[#This Row],[Gruppenschlüssel]]=select!$A$981)=TRUE,1,0)</f>
        <v>0</v>
      </c>
      <c r="W317" s="359">
        <f ca="1">IF(select!$O$1185&lt;6,1,0)</f>
        <v>1</v>
      </c>
      <c r="X317" s="359">
        <f>IF(select!$A$1012=IF(Scharniere[[#This Row],[mit Dämpfung]]=1,1,IF(Scharniere[[#This Row],[ohne Dämpfung]]=1,2,IF(Scharniere[[#This Row],[ohne Feder]]=1,3,0))),1,0)</f>
        <v>1</v>
      </c>
      <c r="Y317" s="359">
        <f>IF(Scharniere[[#This Row],[Bohrbild]]=select!$A$989,1,0)</f>
        <v>0</v>
      </c>
      <c r="Z317" s="359">
        <f>IF(IF(Scharniere[[#This Row],[Anschrauben]]=1,1,IF(Scharniere[[#This Row],[Einpressen]]=1,2,IF(Scharniere[[#This Row],[Quick]]=1,3,IF(Scharniere[[#This Row],[Werkzeuglos]]=1,4,0))))=select!$A$1003,1,0)</f>
        <v>1</v>
      </c>
      <c r="AA3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7" s="359">
        <f ca="1">IF(select!$K$980="*",Scharniere[[#This Row],[AG Ges2]],Scharniere[[#This Row],[AG Ges1]])</f>
        <v>0</v>
      </c>
      <c r="AE317" s="451">
        <f ca="1">IF(AND(Scharniere[[#This Row],[Scharnierart]]=select!$A$1485,Scharniere[[#This Row],[Gruppenschlüssel]]=select!$B$1485)=TRUE,1,0)</f>
        <v>0</v>
      </c>
      <c r="AF317" s="451">
        <f ca="1">IF(AND(Scharniere[[#This Row],[Scharnierart]]=select!$A$1486,Scharniere[[#This Row],[Gruppenschlüssel]]=select!$B$1486)=TRUE,1,0)</f>
        <v>0</v>
      </c>
      <c r="AG317" s="451">
        <f ca="1">IF(AND(Scharniere[[#This Row],[Scharnierart]]=select!$A$1487,Scharniere[[#This Row],[Gruppenschlüssel]]=select!$B$1487)=TRUE,1,0)</f>
        <v>0</v>
      </c>
      <c r="AH317" s="451">
        <f ca="1">IF(AND(Scharniere[[#This Row],[Scharnierart]]=select!$A$1488,Scharniere[[#This Row],[Gruppenschlüssel]]=select!$B$1488)=TRUE,1,0)</f>
        <v>0</v>
      </c>
      <c r="AI317" s="451">
        <f ca="1">IF(SUM(Scharniere[[#This Row],[konf Scharnier 1]:[konf Scharnier 4]])&gt;0,1,0)</f>
        <v>0</v>
      </c>
      <c r="AJ317" s="451"/>
      <c r="AK317" s="451"/>
      <c r="AL317" s="451"/>
      <c r="AM317" s="451"/>
      <c r="AN317" s="451"/>
      <c r="AO317" s="146">
        <v>1</v>
      </c>
      <c r="AP317" s="146">
        <v>2</v>
      </c>
      <c r="AQ317" s="10" t="str">
        <f ca="1">Sprache!$A$110</f>
        <v>Tiomos Scharnier T Click-on</v>
      </c>
      <c r="AR317" t="s">
        <v>355</v>
      </c>
      <c r="AS317" t="str">
        <f ca="1">Sprache!$A$103</f>
        <v>Tiomos Click-On Scharniere</v>
      </c>
      <c r="AT317">
        <v>3</v>
      </c>
      <c r="AU317" s="10" t="s">
        <v>10</v>
      </c>
      <c r="AV317">
        <v>120</v>
      </c>
      <c r="AW317" s="10">
        <v>0</v>
      </c>
      <c r="AX317">
        <v>1</v>
      </c>
      <c r="AY317">
        <v>0</v>
      </c>
      <c r="AZ317" s="10">
        <v>1</v>
      </c>
      <c r="BA317">
        <v>0</v>
      </c>
      <c r="BB317">
        <v>0</v>
      </c>
      <c r="BC317">
        <v>0</v>
      </c>
      <c r="BD317" s="143" t="s">
        <v>523</v>
      </c>
      <c r="BG317"/>
    </row>
    <row r="318" spans="1:59" ht="14.25" customHeight="1" x14ac:dyDescent="0.25">
      <c r="A318" s="37" t="str">
        <f>LEFT(Scharniere[[#This Row],[ArtikelNR]],4)</f>
        <v>F028</v>
      </c>
      <c r="B318" s="35" t="str">
        <f>MID(Scharniere[[#This Row],[ArtikelNR]],5,3)</f>
        <v>138</v>
      </c>
      <c r="C318" s="37" t="str">
        <f>RIGHT(Scharniere[[#This Row],[ArtikelNR]],3)</f>
        <v>730</v>
      </c>
      <c r="D318" s="35">
        <f>IF(AND(Scharniere[[#This Row],[Gruppenschlüssel]]=select!$A$44,Scharniere[[#This Row],[Scharnierart]]=1)=TRUE,1,0)</f>
        <v>0</v>
      </c>
      <c r="E3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8" s="35">
        <f>IF(select!$F$57=IF(Scharniere[[#This Row],[mit Dämpfung]]=1,1,IF(Scharniere[[#This Row],[ohne Dämpfung]]=1,2,IF(Scharniere[[#This Row],[ohne Feder]]=1,3,0))),1,0)</f>
        <v>0</v>
      </c>
      <c r="G318" s="35">
        <f>IF(Scharniere[[#This Row],[Bohrbild]]=select!$V$43,1,0)</f>
        <v>0</v>
      </c>
      <c r="H318" s="35">
        <f>IF(IF(Scharniere[[#This Row],[Anschrauben]]=1,1,IF(Scharniere[[#This Row],[Einpressen]]=1,2,IF(Scharniere[[#This Row],[Quick]]=1,3,IF(Scharniere[[#This Row],[Werkzeuglos]]=1,4,0))))=select!$F$48,1,0)</f>
        <v>0</v>
      </c>
      <c r="I3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8" s="149">
        <f>IF(AND(Scharniere[[#This Row],[Scharnierart]]=2,Scharniere[[#This Row],[Gruppenschlüssel]]=select!$A$318)=TRUE,1,0)</f>
        <v>0</v>
      </c>
      <c r="K318" s="221">
        <f ca="1">IF(select!$O$424&lt;6,1,0)</f>
        <v>1</v>
      </c>
      <c r="L318" s="139">
        <f>IF(select!$A$362=IF(Scharniere[[#This Row],[mit Dämpfung]]=1,1,IF(Scharniere[[#This Row],[ohne Dämpfung]]=1,2,IF(Scharniere[[#This Row],[ohne Feder]]=1,3,0))),1,0)</f>
        <v>1</v>
      </c>
      <c r="M318" s="135">
        <f>IF(Scharniere[[#This Row],[Bohrbild]]=select!$O$334,1,0)</f>
        <v>0</v>
      </c>
      <c r="N318" s="135">
        <f>IF(IF(Scharniere[[#This Row],[Anschrauben]]=1,1,IF(Scharniere[[#This Row],[Einpressen]]=1,2,IF(Scharniere[[#This Row],[Quick]]=1,3,IF(Scharniere[[#This Row],[Werkzeuglos]]=1,4,0))))=select!$E$362,1,0)</f>
        <v>1</v>
      </c>
      <c r="O3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8" s="298">
        <f>IF(AND(Scharniere[[#This Row],[Scharnierart]]=3,Scharniere[[#This Row],[Gruppenschlüssel]]=select!$A$747)=TRUE,1,0)</f>
        <v>0</v>
      </c>
      <c r="Q318" s="298">
        <f ca="1">IF(select!$O$945&lt;6,1,0)</f>
        <v>1</v>
      </c>
      <c r="R318" s="298">
        <f>IF(select!$A$778=IF(Scharniere[[#This Row],[mit Dämpfung]]=1,1,IF(Scharniere[[#This Row],[ohne Dämpfung]]=1,2,IF(Scharniere[[#This Row],[ohne Feder]]=1,3,0))),1,0)</f>
        <v>0</v>
      </c>
      <c r="S318" s="298">
        <f>IF(Scharniere[[#This Row],[Bohrbild]]=select!$A$755,1,0)</f>
        <v>0</v>
      </c>
      <c r="T318" s="298">
        <f>IF(IF(Scharniere[[#This Row],[Anschrauben]]=1,1,IF(Scharniere[[#This Row],[Einpressen]]=1,2,IF(Scharniere[[#This Row],[Quick]]=1,3,IF(Scharniere[[#This Row],[Werkzeuglos]]=1,4,0))))=select!$A$769,1,0)</f>
        <v>1</v>
      </c>
      <c r="U3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8" s="359">
        <f>IF(AND(Scharniere[[#This Row],[Scharnierart]]=4,Scharniere[[#This Row],[Gruppenschlüssel]]=select!$A$981)=TRUE,1,0)</f>
        <v>0</v>
      </c>
      <c r="W318" s="359">
        <f ca="1">IF(select!$O$1185&lt;6,1,0)</f>
        <v>1</v>
      </c>
      <c r="X318" s="359">
        <f>IF(select!$A$1012=IF(Scharniere[[#This Row],[mit Dämpfung]]=1,1,IF(Scharniere[[#This Row],[ohne Dämpfung]]=1,2,IF(Scharniere[[#This Row],[ohne Feder]]=1,3,0))),1,0)</f>
        <v>0</v>
      </c>
      <c r="Y318" s="359">
        <f>IF(Scharniere[[#This Row],[Bohrbild]]=select!$A$989,1,0)</f>
        <v>0</v>
      </c>
      <c r="Z318" s="359">
        <f>IF(IF(Scharniere[[#This Row],[Anschrauben]]=1,1,IF(Scharniere[[#This Row],[Einpressen]]=1,2,IF(Scharniere[[#This Row],[Quick]]=1,3,IF(Scharniere[[#This Row],[Werkzeuglos]]=1,4,0))))=select!$A$1003,1,0)</f>
        <v>1</v>
      </c>
      <c r="AA3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8" s="359">
        <f ca="1">IF(select!$K$980="*",Scharniere[[#This Row],[AG Ges2]],Scharniere[[#This Row],[AG Ges1]])</f>
        <v>0</v>
      </c>
      <c r="AE318" s="451">
        <f ca="1">IF(AND(Scharniere[[#This Row],[Scharnierart]]=select!$A$1485,Scharniere[[#This Row],[Gruppenschlüssel]]=select!$B$1485)=TRUE,1,0)</f>
        <v>0</v>
      </c>
      <c r="AF318" s="451">
        <f ca="1">IF(AND(Scharniere[[#This Row],[Scharnierart]]=select!$A$1486,Scharniere[[#This Row],[Gruppenschlüssel]]=select!$B$1486)=TRUE,1,0)</f>
        <v>0</v>
      </c>
      <c r="AG318" s="451">
        <f ca="1">IF(AND(Scharniere[[#This Row],[Scharnierart]]=select!$A$1487,Scharniere[[#This Row],[Gruppenschlüssel]]=select!$B$1487)=TRUE,1,0)</f>
        <v>0</v>
      </c>
      <c r="AH318" s="451">
        <f ca="1">IF(AND(Scharniere[[#This Row],[Scharnierart]]=select!$A$1488,Scharniere[[#This Row],[Gruppenschlüssel]]=select!$B$1488)=TRUE,1,0)</f>
        <v>0</v>
      </c>
      <c r="AI318" s="451">
        <f ca="1">IF(SUM(Scharniere[[#This Row],[konf Scharnier 1]:[konf Scharnier 4]])&gt;0,1,0)</f>
        <v>0</v>
      </c>
      <c r="AJ318" s="451"/>
      <c r="AK318" s="451"/>
      <c r="AL318" s="451"/>
      <c r="AM318" s="451"/>
      <c r="AN318" s="451"/>
      <c r="AO318" s="146">
        <v>1</v>
      </c>
      <c r="AP318" s="146">
        <v>2</v>
      </c>
      <c r="AQ318" s="10" t="str">
        <f ca="1">Sprache!$A$112</f>
        <v>Tiomos Scharnier TS Click-on</v>
      </c>
      <c r="AR318" t="s">
        <v>355</v>
      </c>
      <c r="AS318" t="str">
        <f ca="1">Sprache!$A$103</f>
        <v>Tiomos Click-On Scharniere</v>
      </c>
      <c r="AT318">
        <v>3</v>
      </c>
      <c r="AU318" t="s">
        <v>10</v>
      </c>
      <c r="AV318">
        <v>120</v>
      </c>
      <c r="AW318" s="10">
        <v>1</v>
      </c>
      <c r="AX318">
        <v>0</v>
      </c>
      <c r="AY318">
        <v>0</v>
      </c>
      <c r="AZ318" s="10">
        <v>1</v>
      </c>
      <c r="BA318">
        <v>0</v>
      </c>
      <c r="BB318">
        <v>0</v>
      </c>
      <c r="BC318">
        <v>0</v>
      </c>
      <c r="BD318" s="143" t="s">
        <v>354</v>
      </c>
      <c r="BG318"/>
    </row>
    <row r="319" spans="1:59" ht="14.25" customHeight="1" x14ac:dyDescent="0.25">
      <c r="A319" s="37" t="str">
        <f>LEFT(Scharniere[[#This Row],[ArtikelNR]],4)</f>
        <v>F046</v>
      </c>
      <c r="B319" s="35" t="str">
        <f>MID(Scharniere[[#This Row],[ArtikelNR]],5,3)</f>
        <v>138</v>
      </c>
      <c r="C319" s="37" t="str">
        <f>RIGHT(Scharniere[[#This Row],[ArtikelNR]],3)</f>
        <v>790</v>
      </c>
      <c r="D319" s="35">
        <f>IF(AND(Scharniere[[#This Row],[Gruppenschlüssel]]=select!$A$44,Scharniere[[#This Row],[Scharnierart]]=1)=TRUE,1,0)</f>
        <v>0</v>
      </c>
      <c r="E3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19" s="35">
        <f>IF(select!$F$57=IF(Scharniere[[#This Row],[mit Dämpfung]]=1,1,IF(Scharniere[[#This Row],[ohne Dämpfung]]=1,2,IF(Scharniere[[#This Row],[ohne Feder]]=1,3,0))),1,0)</f>
        <v>1</v>
      </c>
      <c r="G319" s="35">
        <f>IF(Scharniere[[#This Row],[Bohrbild]]=select!$V$43,1,0)</f>
        <v>0</v>
      </c>
      <c r="H319" s="35">
        <f>IF(IF(Scharniere[[#This Row],[Anschrauben]]=1,1,IF(Scharniere[[#This Row],[Einpressen]]=1,2,IF(Scharniere[[#This Row],[Quick]]=1,3,IF(Scharniere[[#This Row],[Werkzeuglos]]=1,4,0))))=select!$F$48,1,0)</f>
        <v>0</v>
      </c>
      <c r="I3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19" s="149">
        <f>IF(AND(Scharniere[[#This Row],[Scharnierart]]=2,Scharniere[[#This Row],[Gruppenschlüssel]]=select!$A$318)=TRUE,1,0)</f>
        <v>0</v>
      </c>
      <c r="K319" s="221">
        <f ca="1">IF(select!$O$424&lt;6,1,0)</f>
        <v>1</v>
      </c>
      <c r="L319" s="139">
        <f>IF(select!$A$362=IF(Scharniere[[#This Row],[mit Dämpfung]]=1,1,IF(Scharniere[[#This Row],[ohne Dämpfung]]=1,2,IF(Scharniere[[#This Row],[ohne Feder]]=1,3,0))),1,0)</f>
        <v>0</v>
      </c>
      <c r="M319" s="135">
        <f>IF(Scharniere[[#This Row],[Bohrbild]]=select!$O$334,1,0)</f>
        <v>0</v>
      </c>
      <c r="N319" s="135">
        <f>IF(IF(Scharniere[[#This Row],[Anschrauben]]=1,1,IF(Scharniere[[#This Row],[Einpressen]]=1,2,IF(Scharniere[[#This Row],[Quick]]=1,3,IF(Scharniere[[#This Row],[Werkzeuglos]]=1,4,0))))=select!$E$362,1,0)</f>
        <v>1</v>
      </c>
      <c r="O3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19" s="298">
        <f>IF(AND(Scharniere[[#This Row],[Scharnierart]]=3,Scharniere[[#This Row],[Gruppenschlüssel]]=select!$A$747)=TRUE,1,0)</f>
        <v>0</v>
      </c>
      <c r="Q319" s="298">
        <f ca="1">IF(select!$O$945&lt;6,1,0)</f>
        <v>1</v>
      </c>
      <c r="R319" s="298">
        <f>IF(select!$A$778=IF(Scharniere[[#This Row],[mit Dämpfung]]=1,1,IF(Scharniere[[#This Row],[ohne Dämpfung]]=1,2,IF(Scharniere[[#This Row],[ohne Feder]]=1,3,0))),1,0)</f>
        <v>0</v>
      </c>
      <c r="S319" s="298">
        <f>IF(Scharniere[[#This Row],[Bohrbild]]=select!$A$755,1,0)</f>
        <v>0</v>
      </c>
      <c r="T319" s="298">
        <f>IF(IF(Scharniere[[#This Row],[Anschrauben]]=1,1,IF(Scharniere[[#This Row],[Einpressen]]=1,2,IF(Scharniere[[#This Row],[Quick]]=1,3,IF(Scharniere[[#This Row],[Werkzeuglos]]=1,4,0))))=select!$A$769,1,0)</f>
        <v>1</v>
      </c>
      <c r="U3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19" s="359">
        <f>IF(AND(Scharniere[[#This Row],[Scharnierart]]=4,Scharniere[[#This Row],[Gruppenschlüssel]]=select!$A$981)=TRUE,1,0)</f>
        <v>0</v>
      </c>
      <c r="W319" s="359">
        <f ca="1">IF(select!$O$1185&lt;6,1,0)</f>
        <v>1</v>
      </c>
      <c r="X319" s="359">
        <f>IF(select!$A$1012=IF(Scharniere[[#This Row],[mit Dämpfung]]=1,1,IF(Scharniere[[#This Row],[ohne Dämpfung]]=1,2,IF(Scharniere[[#This Row],[ohne Feder]]=1,3,0))),1,0)</f>
        <v>0</v>
      </c>
      <c r="Y319" s="359">
        <f>IF(Scharniere[[#This Row],[Bohrbild]]=select!$A$989,1,0)</f>
        <v>0</v>
      </c>
      <c r="Z319" s="359">
        <f>IF(IF(Scharniere[[#This Row],[Anschrauben]]=1,1,IF(Scharniere[[#This Row],[Einpressen]]=1,2,IF(Scharniere[[#This Row],[Quick]]=1,3,IF(Scharniere[[#This Row],[Werkzeuglos]]=1,4,0))))=select!$A$1003,1,0)</f>
        <v>1</v>
      </c>
      <c r="AA3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19" s="359">
        <f ca="1">IF(select!$K$980="*",Scharniere[[#This Row],[AG Ges2]],Scharniere[[#This Row],[AG Ges1]])</f>
        <v>0</v>
      </c>
      <c r="AE319" s="451">
        <f ca="1">IF(AND(Scharniere[[#This Row],[Scharnierart]]=select!$A$1485,Scharniere[[#This Row],[Gruppenschlüssel]]=select!$B$1485)=TRUE,1,0)</f>
        <v>0</v>
      </c>
      <c r="AF319" s="451">
        <f ca="1">IF(AND(Scharniere[[#This Row],[Scharnierart]]=select!$A$1486,Scharniere[[#This Row],[Gruppenschlüssel]]=select!$B$1486)=TRUE,1,0)</f>
        <v>0</v>
      </c>
      <c r="AG319" s="451">
        <f ca="1">IF(AND(Scharniere[[#This Row],[Scharnierart]]=select!$A$1487,Scharniere[[#This Row],[Gruppenschlüssel]]=select!$B$1487)=TRUE,1,0)</f>
        <v>0</v>
      </c>
      <c r="AH319" s="451">
        <f ca="1">IF(AND(Scharniere[[#This Row],[Scharnierart]]=select!$A$1488,Scharniere[[#This Row],[Gruppenschlüssel]]=select!$B$1488)=TRUE,1,0)</f>
        <v>0</v>
      </c>
      <c r="AI319" s="451">
        <f ca="1">IF(SUM(Scharniere[[#This Row],[konf Scharnier 1]:[konf Scharnier 4]])&gt;0,1,0)</f>
        <v>0</v>
      </c>
      <c r="AJ319" s="451"/>
      <c r="AK319" s="451"/>
      <c r="AL319" s="451"/>
      <c r="AM319" s="451"/>
      <c r="AN319" s="451"/>
      <c r="AO319" s="146">
        <v>1</v>
      </c>
      <c r="AP319" s="146">
        <v>2</v>
      </c>
      <c r="AQ319" s="10" t="str">
        <f ca="1">Sprache!$A$114</f>
        <v>Tiomos Scharnier TT Click-on</v>
      </c>
      <c r="AR319" t="s">
        <v>355</v>
      </c>
      <c r="AS319" t="str">
        <f ca="1">Sprache!$A$103</f>
        <v>Tiomos Click-On Scharniere</v>
      </c>
      <c r="AT319">
        <v>3</v>
      </c>
      <c r="AU319" s="34" t="s">
        <v>10</v>
      </c>
      <c r="AV319">
        <v>120</v>
      </c>
      <c r="AW319" s="10">
        <v>0</v>
      </c>
      <c r="AX319">
        <v>0</v>
      </c>
      <c r="AY319">
        <v>1</v>
      </c>
      <c r="AZ319" s="10">
        <v>1</v>
      </c>
      <c r="BA319">
        <v>0</v>
      </c>
      <c r="BB319">
        <v>0</v>
      </c>
      <c r="BC319">
        <v>0</v>
      </c>
      <c r="BD319" s="143" t="s">
        <v>675</v>
      </c>
      <c r="BG319"/>
    </row>
    <row r="320" spans="1:59" ht="14.25" customHeight="1" x14ac:dyDescent="0.25">
      <c r="A320" s="37" t="str">
        <f>LEFT(Scharniere[[#This Row],[ArtikelNR]],4)</f>
        <v>F034</v>
      </c>
      <c r="B320" s="35" t="str">
        <f>MID(Scharniere[[#This Row],[ArtikelNR]],5,3)</f>
        <v>139</v>
      </c>
      <c r="C320" s="37" t="str">
        <f>RIGHT(Scharniere[[#This Row],[ArtikelNR]],3)</f>
        <v>485</v>
      </c>
      <c r="D320" s="35">
        <f>IF(AND(Scharniere[[#This Row],[Gruppenschlüssel]]=select!$A$44,Scharniere[[#This Row],[Scharnierart]]=1)=TRUE,1,0)</f>
        <v>0</v>
      </c>
      <c r="E3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0" s="35">
        <f>IF(select!$F$57=IF(Scharniere[[#This Row],[mit Dämpfung]]=1,1,IF(Scharniere[[#This Row],[ohne Dämpfung]]=1,2,IF(Scharniere[[#This Row],[ohne Feder]]=1,3,0))),1,0)</f>
        <v>0</v>
      </c>
      <c r="G320" s="35">
        <f>IF(Scharniere[[#This Row],[Bohrbild]]=select!$V$43,1,0)</f>
        <v>0</v>
      </c>
      <c r="H320" s="35">
        <f>IF(IF(Scharniere[[#This Row],[Anschrauben]]=1,1,IF(Scharniere[[#This Row],[Einpressen]]=1,2,IF(Scharniere[[#This Row],[Quick]]=1,3,IF(Scharniere[[#This Row],[Werkzeuglos]]=1,4,0))))=select!$F$48,1,0)</f>
        <v>0</v>
      </c>
      <c r="I3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0" s="149">
        <f>IF(AND(Scharniere[[#This Row],[Scharnierart]]=2,Scharniere[[#This Row],[Gruppenschlüssel]]=select!$A$318)=TRUE,1,0)</f>
        <v>0</v>
      </c>
      <c r="K320" s="221">
        <f ca="1">IF(select!$O$424&lt;6,1,0)</f>
        <v>1</v>
      </c>
      <c r="L320" s="139">
        <f>IF(select!$A$362=IF(Scharniere[[#This Row],[mit Dämpfung]]=1,1,IF(Scharniere[[#This Row],[ohne Dämpfung]]=1,2,IF(Scharniere[[#This Row],[ohne Feder]]=1,3,0))),1,0)</f>
        <v>0</v>
      </c>
      <c r="M320" s="135">
        <f>IF(Scharniere[[#This Row],[Bohrbild]]=select!$O$334,1,0)</f>
        <v>0</v>
      </c>
      <c r="N320" s="135">
        <f>IF(IF(Scharniere[[#This Row],[Anschrauben]]=1,1,IF(Scharniere[[#This Row],[Einpressen]]=1,2,IF(Scharniere[[#This Row],[Quick]]=1,3,IF(Scharniere[[#This Row],[Werkzeuglos]]=1,4,0))))=select!$E$362,1,0)</f>
        <v>0</v>
      </c>
      <c r="O3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0" s="298">
        <f>IF(AND(Scharniere[[#This Row],[Scharnierart]]=3,Scharniere[[#This Row],[Gruppenschlüssel]]=select!$A$747)=TRUE,1,0)</f>
        <v>0</v>
      </c>
      <c r="Q320" s="298">
        <f ca="1">IF(select!$O$945&lt;6,1,0)</f>
        <v>1</v>
      </c>
      <c r="R320" s="298">
        <f>IF(select!$A$778=IF(Scharniere[[#This Row],[mit Dämpfung]]=1,1,IF(Scharniere[[#This Row],[ohne Dämpfung]]=1,2,IF(Scharniere[[#This Row],[ohne Feder]]=1,3,0))),1,0)</f>
        <v>1</v>
      </c>
      <c r="S320" s="298">
        <f>IF(Scharniere[[#This Row],[Bohrbild]]=select!$A$755,1,0)</f>
        <v>0</v>
      </c>
      <c r="T320" s="298">
        <f>IF(IF(Scharniere[[#This Row],[Anschrauben]]=1,1,IF(Scharniere[[#This Row],[Einpressen]]=1,2,IF(Scharniere[[#This Row],[Quick]]=1,3,IF(Scharniere[[#This Row],[Werkzeuglos]]=1,4,0))))=select!$A$769,1,0)</f>
        <v>0</v>
      </c>
      <c r="U3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0" s="359">
        <f>IF(AND(Scharniere[[#This Row],[Scharnierart]]=4,Scharniere[[#This Row],[Gruppenschlüssel]]=select!$A$981)=TRUE,1,0)</f>
        <v>0</v>
      </c>
      <c r="W320" s="359">
        <f ca="1">IF(select!$O$1185&lt;6,1,0)</f>
        <v>1</v>
      </c>
      <c r="X320" s="359">
        <f>IF(select!$A$1012=IF(Scharniere[[#This Row],[mit Dämpfung]]=1,1,IF(Scharniere[[#This Row],[ohne Dämpfung]]=1,2,IF(Scharniere[[#This Row],[ohne Feder]]=1,3,0))),1,0)</f>
        <v>1</v>
      </c>
      <c r="Y320" s="359">
        <f>IF(Scharniere[[#This Row],[Bohrbild]]=select!$A$989,1,0)</f>
        <v>0</v>
      </c>
      <c r="Z320" s="359">
        <f>IF(IF(Scharniere[[#This Row],[Anschrauben]]=1,1,IF(Scharniere[[#This Row],[Einpressen]]=1,2,IF(Scharniere[[#This Row],[Quick]]=1,3,IF(Scharniere[[#This Row],[Werkzeuglos]]=1,4,0))))=select!$A$1003,1,0)</f>
        <v>0</v>
      </c>
      <c r="AA3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0" s="359">
        <f ca="1">IF(select!$K$980="*",Scharniere[[#This Row],[AG Ges2]],Scharniere[[#This Row],[AG Ges1]])</f>
        <v>0</v>
      </c>
      <c r="AE320" s="451">
        <f ca="1">IF(AND(Scharniere[[#This Row],[Scharnierart]]=select!$A$1485,Scharniere[[#This Row],[Gruppenschlüssel]]=select!$B$1485)=TRUE,1,0)</f>
        <v>0</v>
      </c>
      <c r="AF320" s="451">
        <f ca="1">IF(AND(Scharniere[[#This Row],[Scharnierart]]=select!$A$1486,Scharniere[[#This Row],[Gruppenschlüssel]]=select!$B$1486)=TRUE,1,0)</f>
        <v>0</v>
      </c>
      <c r="AG320" s="451">
        <f ca="1">IF(AND(Scharniere[[#This Row],[Scharnierart]]=select!$A$1487,Scharniere[[#This Row],[Gruppenschlüssel]]=select!$B$1487)=TRUE,1,0)</f>
        <v>0</v>
      </c>
      <c r="AH320" s="451">
        <f ca="1">IF(AND(Scharniere[[#This Row],[Scharnierart]]=select!$A$1488,Scharniere[[#This Row],[Gruppenschlüssel]]=select!$B$1488)=TRUE,1,0)</f>
        <v>0</v>
      </c>
      <c r="AI320" s="451">
        <f ca="1">IF(SUM(Scharniere[[#This Row],[konf Scharnier 1]:[konf Scharnier 4]])&gt;0,1,0)</f>
        <v>0</v>
      </c>
      <c r="AJ320" s="451"/>
      <c r="AK320" s="451"/>
      <c r="AL320" s="451"/>
      <c r="AM320" s="451"/>
      <c r="AN320" s="451"/>
      <c r="AO320" s="146">
        <v>1</v>
      </c>
      <c r="AP320" s="146">
        <v>2</v>
      </c>
      <c r="AQ320" s="10" t="str">
        <f ca="1">Sprache!$A$111</f>
        <v>Tiomos Scharnier T Impresso</v>
      </c>
      <c r="AR320" t="s">
        <v>119</v>
      </c>
      <c r="AS320" t="str">
        <f ca="1">Sprache!$A$116</f>
        <v>Tiomos Impresso Scharniere</v>
      </c>
      <c r="AT320">
        <v>3</v>
      </c>
      <c r="AU320" t="s">
        <v>10</v>
      </c>
      <c r="AV320">
        <v>120</v>
      </c>
      <c r="AW320" s="10">
        <v>0</v>
      </c>
      <c r="AX320">
        <v>1</v>
      </c>
      <c r="AY320">
        <v>0</v>
      </c>
      <c r="AZ320" s="10">
        <v>0</v>
      </c>
      <c r="BA320">
        <v>0</v>
      </c>
      <c r="BB320">
        <v>0</v>
      </c>
      <c r="BC320">
        <v>1</v>
      </c>
      <c r="BD320" s="143" t="s">
        <v>170</v>
      </c>
      <c r="BG320"/>
    </row>
    <row r="321" spans="1:59" ht="14.25" customHeight="1" x14ac:dyDescent="0.25">
      <c r="A321" s="37" t="str">
        <f>LEFT(Scharniere[[#This Row],[ArtikelNR]],4)</f>
        <v>F034</v>
      </c>
      <c r="B321" s="35" t="str">
        <f>MID(Scharniere[[#This Row],[ArtikelNR]],5,3)</f>
        <v>139</v>
      </c>
      <c r="C321" s="37" t="str">
        <f>RIGHT(Scharniere[[#This Row],[ArtikelNR]],3)</f>
        <v>485</v>
      </c>
      <c r="D321" s="35">
        <f>IF(AND(Scharniere[[#This Row],[Gruppenschlüssel]]=select!$A$44,Scharniere[[#This Row],[Scharnierart]]=1)=TRUE,1,0)</f>
        <v>0</v>
      </c>
      <c r="E3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1" s="35">
        <f>IF(select!$F$57=IF(Scharniere[[#This Row],[mit Dämpfung]]=1,1,IF(Scharniere[[#This Row],[ohne Dämpfung]]=1,2,IF(Scharniere[[#This Row],[ohne Feder]]=1,3,0))),1,0)</f>
        <v>0</v>
      </c>
      <c r="G321" s="35">
        <f>IF(Scharniere[[#This Row],[Bohrbild]]=select!$V$43,1,0)</f>
        <v>0</v>
      </c>
      <c r="H321" s="35">
        <f>IF(IF(Scharniere[[#This Row],[Anschrauben]]=1,1,IF(Scharniere[[#This Row],[Einpressen]]=1,2,IF(Scharniere[[#This Row],[Quick]]=1,3,IF(Scharniere[[#This Row],[Werkzeuglos]]=1,4,0))))=select!$F$48,1,0)</f>
        <v>0</v>
      </c>
      <c r="I3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1" s="149">
        <f>IF(AND(Scharniere[[#This Row],[Scharnierart]]=2,Scharniere[[#This Row],[Gruppenschlüssel]]=select!$A$318)=TRUE,1,0)</f>
        <v>0</v>
      </c>
      <c r="K321" s="221">
        <f ca="1">IF(select!$O$424&lt;6,1,0)</f>
        <v>1</v>
      </c>
      <c r="L321" s="139">
        <f>IF(select!$A$362=IF(Scharniere[[#This Row],[mit Dämpfung]]=1,1,IF(Scharniere[[#This Row],[ohne Dämpfung]]=1,2,IF(Scharniere[[#This Row],[ohne Feder]]=1,3,0))),1,0)</f>
        <v>0</v>
      </c>
      <c r="M321" s="135">
        <f>IF(Scharniere[[#This Row],[Bohrbild]]=select!$O$334,1,0)</f>
        <v>0</v>
      </c>
      <c r="N321" s="135">
        <f>IF(IF(Scharniere[[#This Row],[Anschrauben]]=1,1,IF(Scharniere[[#This Row],[Einpressen]]=1,2,IF(Scharniere[[#This Row],[Quick]]=1,3,IF(Scharniere[[#This Row],[Werkzeuglos]]=1,4,0))))=select!$E$362,1,0)</f>
        <v>0</v>
      </c>
      <c r="O3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1" s="298">
        <f>IF(AND(Scharniere[[#This Row],[Scharnierart]]=3,Scharniere[[#This Row],[Gruppenschlüssel]]=select!$A$747)=TRUE,1,0)</f>
        <v>0</v>
      </c>
      <c r="Q321" s="298">
        <f ca="1">IF(select!$O$945&lt;6,1,0)</f>
        <v>1</v>
      </c>
      <c r="R321" s="298">
        <f>IF(select!$A$778=IF(Scharniere[[#This Row],[mit Dämpfung]]=1,1,IF(Scharniere[[#This Row],[ohne Dämpfung]]=1,2,IF(Scharniere[[#This Row],[ohne Feder]]=1,3,0))),1,0)</f>
        <v>1</v>
      </c>
      <c r="S321" s="298">
        <f>IF(Scharniere[[#This Row],[Bohrbild]]=select!$A$755,1,0)</f>
        <v>0</v>
      </c>
      <c r="T321" s="298">
        <f>IF(IF(Scharniere[[#This Row],[Anschrauben]]=1,1,IF(Scharniere[[#This Row],[Einpressen]]=1,2,IF(Scharniere[[#This Row],[Quick]]=1,3,IF(Scharniere[[#This Row],[Werkzeuglos]]=1,4,0))))=select!$A$769,1,0)</f>
        <v>0</v>
      </c>
      <c r="U3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1" s="359">
        <f>IF(AND(Scharniere[[#This Row],[Scharnierart]]=4,Scharniere[[#This Row],[Gruppenschlüssel]]=select!$A$981)=TRUE,1,0)</f>
        <v>0</v>
      </c>
      <c r="W321" s="359">
        <f ca="1">IF(select!$O$1185&lt;6,1,0)</f>
        <v>1</v>
      </c>
      <c r="X321" s="359">
        <f>IF(select!$A$1012=IF(Scharniere[[#This Row],[mit Dämpfung]]=1,1,IF(Scharniere[[#This Row],[ohne Dämpfung]]=1,2,IF(Scharniere[[#This Row],[ohne Feder]]=1,3,0))),1,0)</f>
        <v>1</v>
      </c>
      <c r="Y321" s="359">
        <f>IF(Scharniere[[#This Row],[Bohrbild]]=select!$A$989,1,0)</f>
        <v>0</v>
      </c>
      <c r="Z321" s="359">
        <f>IF(IF(Scharniere[[#This Row],[Anschrauben]]=1,1,IF(Scharniere[[#This Row],[Einpressen]]=1,2,IF(Scharniere[[#This Row],[Quick]]=1,3,IF(Scharniere[[#This Row],[Werkzeuglos]]=1,4,0))))=select!$A$1003,1,0)</f>
        <v>0</v>
      </c>
      <c r="AA3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1" s="359">
        <f ca="1">IF(select!$K$980="*",Scharniere[[#This Row],[AG Ges2]],Scharniere[[#This Row],[AG Ges1]])</f>
        <v>0</v>
      </c>
      <c r="AE321" s="451">
        <f ca="1">IF(AND(Scharniere[[#This Row],[Scharnierart]]=select!$A$1485,Scharniere[[#This Row],[Gruppenschlüssel]]=select!$B$1485)=TRUE,1,0)</f>
        <v>0</v>
      </c>
      <c r="AF321" s="451">
        <f ca="1">IF(AND(Scharniere[[#This Row],[Scharnierart]]=select!$A$1486,Scharniere[[#This Row],[Gruppenschlüssel]]=select!$B$1486)=TRUE,1,0)</f>
        <v>0</v>
      </c>
      <c r="AG321" s="451">
        <f ca="1">IF(AND(Scharniere[[#This Row],[Scharnierart]]=select!$A$1487,Scharniere[[#This Row],[Gruppenschlüssel]]=select!$B$1487)=TRUE,1,0)</f>
        <v>0</v>
      </c>
      <c r="AH321" s="451">
        <f ca="1">IF(AND(Scharniere[[#This Row],[Scharnierart]]=select!$A$1488,Scharniere[[#This Row],[Gruppenschlüssel]]=select!$B$1488)=TRUE,1,0)</f>
        <v>0</v>
      </c>
      <c r="AI321" s="451">
        <f ca="1">IF(SUM(Scharniere[[#This Row],[konf Scharnier 1]:[konf Scharnier 4]])&gt;0,1,0)</f>
        <v>0</v>
      </c>
      <c r="AJ321" s="451"/>
      <c r="AK321" s="451"/>
      <c r="AL321" s="451"/>
      <c r="AM321" s="451"/>
      <c r="AN321" s="451"/>
      <c r="AO321" s="146">
        <v>1</v>
      </c>
      <c r="AP321" s="146">
        <v>2</v>
      </c>
      <c r="AQ321" s="10" t="str">
        <f ca="1">Sprache!$A$111</f>
        <v>Tiomos Scharnier T Impresso</v>
      </c>
      <c r="AR321" t="s">
        <v>119</v>
      </c>
      <c r="AS321" t="str">
        <f ca="1">Sprache!$A$116</f>
        <v>Tiomos Impresso Scharniere</v>
      </c>
      <c r="AT321">
        <v>3</v>
      </c>
      <c r="AU321" s="34" t="s">
        <v>11</v>
      </c>
      <c r="AV321">
        <v>120</v>
      </c>
      <c r="AW321" s="10">
        <v>0</v>
      </c>
      <c r="AX321">
        <v>1</v>
      </c>
      <c r="AY321">
        <v>0</v>
      </c>
      <c r="AZ321" s="10">
        <v>0</v>
      </c>
      <c r="BA321">
        <v>0</v>
      </c>
      <c r="BB321">
        <v>0</v>
      </c>
      <c r="BC321">
        <v>1</v>
      </c>
      <c r="BD321" s="143" t="s">
        <v>170</v>
      </c>
      <c r="BG321"/>
    </row>
    <row r="322" spans="1:59" ht="14.25" customHeight="1" x14ac:dyDescent="0.25">
      <c r="A322" s="37" t="str">
        <f>LEFT(Scharniere[[#This Row],[ArtikelNR]],4)</f>
        <v>F017</v>
      </c>
      <c r="B322" s="35" t="str">
        <f>MID(Scharniere[[#This Row],[ArtikelNR]],5,3)</f>
        <v>139</v>
      </c>
      <c r="C322" s="37" t="str">
        <f>RIGHT(Scharniere[[#This Row],[ArtikelNR]],3)</f>
        <v>514</v>
      </c>
      <c r="D322" s="35">
        <f>IF(AND(Scharniere[[#This Row],[Gruppenschlüssel]]=select!$A$44,Scharniere[[#This Row],[Scharnierart]]=1)=TRUE,1,0)</f>
        <v>0</v>
      </c>
      <c r="E3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2" s="35">
        <f>IF(select!$F$57=IF(Scharniere[[#This Row],[mit Dämpfung]]=1,1,IF(Scharniere[[#This Row],[ohne Dämpfung]]=1,2,IF(Scharniere[[#This Row],[ohne Feder]]=1,3,0))),1,0)</f>
        <v>0</v>
      </c>
      <c r="G322" s="35">
        <f>IF(Scharniere[[#This Row],[Bohrbild]]=select!$V$43,1,0)</f>
        <v>0</v>
      </c>
      <c r="H322" s="35">
        <f>IF(IF(Scharniere[[#This Row],[Anschrauben]]=1,1,IF(Scharniere[[#This Row],[Einpressen]]=1,2,IF(Scharniere[[#This Row],[Quick]]=1,3,IF(Scharniere[[#This Row],[Werkzeuglos]]=1,4,0))))=select!$F$48,1,0)</f>
        <v>0</v>
      </c>
      <c r="I3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2" s="149">
        <f>IF(AND(Scharniere[[#This Row],[Scharnierart]]=2,Scharniere[[#This Row],[Gruppenschlüssel]]=select!$A$318)=TRUE,1,0)</f>
        <v>0</v>
      </c>
      <c r="K322" s="221">
        <f ca="1">IF(select!$O$424&lt;6,1,0)</f>
        <v>1</v>
      </c>
      <c r="L322" s="139">
        <f>IF(select!$A$362=IF(Scharniere[[#This Row],[mit Dämpfung]]=1,1,IF(Scharniere[[#This Row],[ohne Dämpfung]]=1,2,IF(Scharniere[[#This Row],[ohne Feder]]=1,3,0))),1,0)</f>
        <v>1</v>
      </c>
      <c r="M322" s="135">
        <f>IF(Scharniere[[#This Row],[Bohrbild]]=select!$O$334,1,0)</f>
        <v>0</v>
      </c>
      <c r="N322" s="135">
        <f>IF(IF(Scharniere[[#This Row],[Anschrauben]]=1,1,IF(Scharniere[[#This Row],[Einpressen]]=1,2,IF(Scharniere[[#This Row],[Quick]]=1,3,IF(Scharniere[[#This Row],[Werkzeuglos]]=1,4,0))))=select!$E$362,1,0)</f>
        <v>0</v>
      </c>
      <c r="O3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2" s="298">
        <f>IF(AND(Scharniere[[#This Row],[Scharnierart]]=3,Scharniere[[#This Row],[Gruppenschlüssel]]=select!$A$747)=TRUE,1,0)</f>
        <v>0</v>
      </c>
      <c r="Q322" s="298">
        <f ca="1">IF(select!$O$945&lt;6,1,0)</f>
        <v>1</v>
      </c>
      <c r="R322" s="298">
        <f>IF(select!$A$778=IF(Scharniere[[#This Row],[mit Dämpfung]]=1,1,IF(Scharniere[[#This Row],[ohne Dämpfung]]=1,2,IF(Scharniere[[#This Row],[ohne Feder]]=1,3,0))),1,0)</f>
        <v>0</v>
      </c>
      <c r="S322" s="298">
        <f>IF(Scharniere[[#This Row],[Bohrbild]]=select!$A$755,1,0)</f>
        <v>0</v>
      </c>
      <c r="T322" s="298">
        <f>IF(IF(Scharniere[[#This Row],[Anschrauben]]=1,1,IF(Scharniere[[#This Row],[Einpressen]]=1,2,IF(Scharniere[[#This Row],[Quick]]=1,3,IF(Scharniere[[#This Row],[Werkzeuglos]]=1,4,0))))=select!$A$769,1,0)</f>
        <v>0</v>
      </c>
      <c r="U3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2" s="359">
        <f>IF(AND(Scharniere[[#This Row],[Scharnierart]]=4,Scharniere[[#This Row],[Gruppenschlüssel]]=select!$A$981)=TRUE,1,0)</f>
        <v>0</v>
      </c>
      <c r="W322" s="359">
        <f ca="1">IF(select!$O$1185&lt;6,1,0)</f>
        <v>1</v>
      </c>
      <c r="X322" s="359">
        <f>IF(select!$A$1012=IF(Scharniere[[#This Row],[mit Dämpfung]]=1,1,IF(Scharniere[[#This Row],[ohne Dämpfung]]=1,2,IF(Scharniere[[#This Row],[ohne Feder]]=1,3,0))),1,0)</f>
        <v>0</v>
      </c>
      <c r="Y322" s="359">
        <f>IF(Scharniere[[#This Row],[Bohrbild]]=select!$A$989,1,0)</f>
        <v>0</v>
      </c>
      <c r="Z322" s="359">
        <f>IF(IF(Scharniere[[#This Row],[Anschrauben]]=1,1,IF(Scharniere[[#This Row],[Einpressen]]=1,2,IF(Scharniere[[#This Row],[Quick]]=1,3,IF(Scharniere[[#This Row],[Werkzeuglos]]=1,4,0))))=select!$A$1003,1,0)</f>
        <v>0</v>
      </c>
      <c r="AA3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2" s="359">
        <f ca="1">IF(select!$K$980="*",Scharniere[[#This Row],[AG Ges2]],Scharniere[[#This Row],[AG Ges1]])</f>
        <v>0</v>
      </c>
      <c r="AE322" s="451">
        <f ca="1">IF(AND(Scharniere[[#This Row],[Scharnierart]]=select!$A$1485,Scharniere[[#This Row],[Gruppenschlüssel]]=select!$B$1485)=TRUE,1,0)</f>
        <v>0</v>
      </c>
      <c r="AF322" s="451">
        <f ca="1">IF(AND(Scharniere[[#This Row],[Scharnierart]]=select!$A$1486,Scharniere[[#This Row],[Gruppenschlüssel]]=select!$B$1486)=TRUE,1,0)</f>
        <v>0</v>
      </c>
      <c r="AG322" s="451">
        <f ca="1">IF(AND(Scharniere[[#This Row],[Scharnierart]]=select!$A$1487,Scharniere[[#This Row],[Gruppenschlüssel]]=select!$B$1487)=TRUE,1,0)</f>
        <v>0</v>
      </c>
      <c r="AH322" s="451">
        <f ca="1">IF(AND(Scharniere[[#This Row],[Scharnierart]]=select!$A$1488,Scharniere[[#This Row],[Gruppenschlüssel]]=select!$B$1488)=TRUE,1,0)</f>
        <v>0</v>
      </c>
      <c r="AI322" s="451">
        <f ca="1">IF(SUM(Scharniere[[#This Row],[konf Scharnier 1]:[konf Scharnier 4]])&gt;0,1,0)</f>
        <v>0</v>
      </c>
      <c r="AJ322" s="451"/>
      <c r="AK322" s="451"/>
      <c r="AL322" s="451"/>
      <c r="AM322" s="451"/>
      <c r="AN322" s="451"/>
      <c r="AO322" s="146">
        <v>1</v>
      </c>
      <c r="AP322" s="146">
        <v>2</v>
      </c>
      <c r="AQ322" s="10" t="str">
        <f ca="1">Sprache!$A$113</f>
        <v>Tiomos Scharnier TS Impresso</v>
      </c>
      <c r="AR322" t="s">
        <v>119</v>
      </c>
      <c r="AS322" t="str">
        <f ca="1">Sprache!$A$116</f>
        <v>Tiomos Impresso Scharniere</v>
      </c>
      <c r="AT322">
        <v>3</v>
      </c>
      <c r="AU322" s="34" t="s">
        <v>10</v>
      </c>
      <c r="AV322">
        <v>120</v>
      </c>
      <c r="AW322" s="10">
        <v>1</v>
      </c>
      <c r="AX322">
        <v>0</v>
      </c>
      <c r="AY322">
        <v>0</v>
      </c>
      <c r="AZ322" s="10">
        <v>0</v>
      </c>
      <c r="BA322">
        <v>0</v>
      </c>
      <c r="BB322">
        <v>0</v>
      </c>
      <c r="BC322">
        <v>1</v>
      </c>
      <c r="BD322" s="143" t="s">
        <v>118</v>
      </c>
      <c r="BG322"/>
    </row>
    <row r="323" spans="1:59" ht="14.25" customHeight="1" x14ac:dyDescent="0.25">
      <c r="A323" s="37" t="str">
        <f>LEFT(Scharniere[[#This Row],[ArtikelNR]],4)</f>
        <v>F017</v>
      </c>
      <c r="B323" s="35" t="str">
        <f>MID(Scharniere[[#This Row],[ArtikelNR]],5,3)</f>
        <v>139</v>
      </c>
      <c r="C323" s="37" t="str">
        <f>RIGHT(Scharniere[[#This Row],[ArtikelNR]],3)</f>
        <v>514</v>
      </c>
      <c r="D323" s="35">
        <f>IF(AND(Scharniere[[#This Row],[Gruppenschlüssel]]=select!$A$44,Scharniere[[#This Row],[Scharnierart]]=1)=TRUE,1,0)</f>
        <v>0</v>
      </c>
      <c r="E3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3" s="35">
        <f>IF(select!$F$57=IF(Scharniere[[#This Row],[mit Dämpfung]]=1,1,IF(Scharniere[[#This Row],[ohne Dämpfung]]=1,2,IF(Scharniere[[#This Row],[ohne Feder]]=1,3,0))),1,0)</f>
        <v>0</v>
      </c>
      <c r="G323" s="35">
        <f>IF(Scharniere[[#This Row],[Bohrbild]]=select!$V$43,1,0)</f>
        <v>0</v>
      </c>
      <c r="H323" s="35">
        <f>IF(IF(Scharniere[[#This Row],[Anschrauben]]=1,1,IF(Scharniere[[#This Row],[Einpressen]]=1,2,IF(Scharniere[[#This Row],[Quick]]=1,3,IF(Scharniere[[#This Row],[Werkzeuglos]]=1,4,0))))=select!$F$48,1,0)</f>
        <v>0</v>
      </c>
      <c r="I3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3" s="149">
        <f>IF(AND(Scharniere[[#This Row],[Scharnierart]]=2,Scharniere[[#This Row],[Gruppenschlüssel]]=select!$A$318)=TRUE,1,0)</f>
        <v>0</v>
      </c>
      <c r="K323" s="221">
        <f ca="1">IF(select!$O$424&lt;6,1,0)</f>
        <v>1</v>
      </c>
      <c r="L323" s="139">
        <f>IF(select!$A$362=IF(Scharniere[[#This Row],[mit Dämpfung]]=1,1,IF(Scharniere[[#This Row],[ohne Dämpfung]]=1,2,IF(Scharniere[[#This Row],[ohne Feder]]=1,3,0))),1,0)</f>
        <v>1</v>
      </c>
      <c r="M323" s="135">
        <f>IF(Scharniere[[#This Row],[Bohrbild]]=select!$O$334,1,0)</f>
        <v>0</v>
      </c>
      <c r="N323" s="135">
        <f>IF(IF(Scharniere[[#This Row],[Anschrauben]]=1,1,IF(Scharniere[[#This Row],[Einpressen]]=1,2,IF(Scharniere[[#This Row],[Quick]]=1,3,IF(Scharniere[[#This Row],[Werkzeuglos]]=1,4,0))))=select!$E$362,1,0)</f>
        <v>0</v>
      </c>
      <c r="O3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3" s="298">
        <f>IF(AND(Scharniere[[#This Row],[Scharnierart]]=3,Scharniere[[#This Row],[Gruppenschlüssel]]=select!$A$747)=TRUE,1,0)</f>
        <v>0</v>
      </c>
      <c r="Q323" s="298">
        <f ca="1">IF(select!$O$945&lt;6,1,0)</f>
        <v>1</v>
      </c>
      <c r="R323" s="298">
        <f>IF(select!$A$778=IF(Scharniere[[#This Row],[mit Dämpfung]]=1,1,IF(Scharniere[[#This Row],[ohne Dämpfung]]=1,2,IF(Scharniere[[#This Row],[ohne Feder]]=1,3,0))),1,0)</f>
        <v>0</v>
      </c>
      <c r="S323" s="298">
        <f>IF(Scharniere[[#This Row],[Bohrbild]]=select!$A$755,1,0)</f>
        <v>0</v>
      </c>
      <c r="T323" s="298">
        <f>IF(IF(Scharniere[[#This Row],[Anschrauben]]=1,1,IF(Scharniere[[#This Row],[Einpressen]]=1,2,IF(Scharniere[[#This Row],[Quick]]=1,3,IF(Scharniere[[#This Row],[Werkzeuglos]]=1,4,0))))=select!$A$769,1,0)</f>
        <v>0</v>
      </c>
      <c r="U3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3" s="359">
        <f>IF(AND(Scharniere[[#This Row],[Scharnierart]]=4,Scharniere[[#This Row],[Gruppenschlüssel]]=select!$A$981)=TRUE,1,0)</f>
        <v>0</v>
      </c>
      <c r="W323" s="359">
        <f ca="1">IF(select!$O$1185&lt;6,1,0)</f>
        <v>1</v>
      </c>
      <c r="X323" s="359">
        <f>IF(select!$A$1012=IF(Scharniere[[#This Row],[mit Dämpfung]]=1,1,IF(Scharniere[[#This Row],[ohne Dämpfung]]=1,2,IF(Scharniere[[#This Row],[ohne Feder]]=1,3,0))),1,0)</f>
        <v>0</v>
      </c>
      <c r="Y323" s="359">
        <f>IF(Scharniere[[#This Row],[Bohrbild]]=select!$A$989,1,0)</f>
        <v>0</v>
      </c>
      <c r="Z323" s="359">
        <f>IF(IF(Scharniere[[#This Row],[Anschrauben]]=1,1,IF(Scharniere[[#This Row],[Einpressen]]=1,2,IF(Scharniere[[#This Row],[Quick]]=1,3,IF(Scharniere[[#This Row],[Werkzeuglos]]=1,4,0))))=select!$A$1003,1,0)</f>
        <v>0</v>
      </c>
      <c r="AA3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3" s="359">
        <f ca="1">IF(select!$K$980="*",Scharniere[[#This Row],[AG Ges2]],Scharniere[[#This Row],[AG Ges1]])</f>
        <v>0</v>
      </c>
      <c r="AE323" s="451">
        <f ca="1">IF(AND(Scharniere[[#This Row],[Scharnierart]]=select!$A$1485,Scharniere[[#This Row],[Gruppenschlüssel]]=select!$B$1485)=TRUE,1,0)</f>
        <v>0</v>
      </c>
      <c r="AF323" s="451">
        <f ca="1">IF(AND(Scharniere[[#This Row],[Scharnierart]]=select!$A$1486,Scharniere[[#This Row],[Gruppenschlüssel]]=select!$B$1486)=TRUE,1,0)</f>
        <v>0</v>
      </c>
      <c r="AG323" s="451">
        <f ca="1">IF(AND(Scharniere[[#This Row],[Scharnierart]]=select!$A$1487,Scharniere[[#This Row],[Gruppenschlüssel]]=select!$B$1487)=TRUE,1,0)</f>
        <v>0</v>
      </c>
      <c r="AH323" s="451">
        <f ca="1">IF(AND(Scharniere[[#This Row],[Scharnierart]]=select!$A$1488,Scharniere[[#This Row],[Gruppenschlüssel]]=select!$B$1488)=TRUE,1,0)</f>
        <v>0</v>
      </c>
      <c r="AI323" s="451">
        <f ca="1">IF(SUM(Scharniere[[#This Row],[konf Scharnier 1]:[konf Scharnier 4]])&gt;0,1,0)</f>
        <v>0</v>
      </c>
      <c r="AJ323" s="451"/>
      <c r="AK323" s="451"/>
      <c r="AL323" s="451"/>
      <c r="AM323" s="451"/>
      <c r="AN323" s="451"/>
      <c r="AO323" s="146">
        <v>1</v>
      </c>
      <c r="AP323" s="146">
        <v>2</v>
      </c>
      <c r="AQ323" s="10" t="str">
        <f ca="1">Sprache!$A$113</f>
        <v>Tiomos Scharnier TS Impresso</v>
      </c>
      <c r="AR323" t="s">
        <v>119</v>
      </c>
      <c r="AS323" t="str">
        <f ca="1">Sprache!$A$116</f>
        <v>Tiomos Impresso Scharniere</v>
      </c>
      <c r="AT323">
        <v>3</v>
      </c>
      <c r="AU323" t="s">
        <v>11</v>
      </c>
      <c r="AV323">
        <v>120</v>
      </c>
      <c r="AW323" s="10">
        <v>1</v>
      </c>
      <c r="AX323">
        <v>0</v>
      </c>
      <c r="AY323">
        <v>0</v>
      </c>
      <c r="AZ323" s="10">
        <v>0</v>
      </c>
      <c r="BA323">
        <v>0</v>
      </c>
      <c r="BB323">
        <v>0</v>
      </c>
      <c r="BC323">
        <v>1</v>
      </c>
      <c r="BD323" s="143" t="s">
        <v>118</v>
      </c>
      <c r="BG323"/>
    </row>
    <row r="324" spans="1:59" ht="14.25" customHeight="1" x14ac:dyDescent="0.25">
      <c r="A324" s="37" t="str">
        <f>LEFT(Scharniere[[#This Row],[ArtikelNR]],4)</f>
        <v>F035</v>
      </c>
      <c r="B324" s="35" t="str">
        <f>MID(Scharniere[[#This Row],[ArtikelNR]],5,3)</f>
        <v>139</v>
      </c>
      <c r="C324" s="37" t="str">
        <f>RIGHT(Scharniere[[#This Row],[ArtikelNR]],3)</f>
        <v>542</v>
      </c>
      <c r="D324" s="35">
        <f>IF(AND(Scharniere[[#This Row],[Gruppenschlüssel]]=select!$A$44,Scharniere[[#This Row],[Scharnierart]]=1)=TRUE,1,0)</f>
        <v>0</v>
      </c>
      <c r="E3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4" s="35">
        <f>IF(select!$F$57=IF(Scharniere[[#This Row],[mit Dämpfung]]=1,1,IF(Scharniere[[#This Row],[ohne Dämpfung]]=1,2,IF(Scharniere[[#This Row],[ohne Feder]]=1,3,0))),1,0)</f>
        <v>1</v>
      </c>
      <c r="G324" s="35">
        <f>IF(Scharniere[[#This Row],[Bohrbild]]=select!$V$43,1,0)</f>
        <v>0</v>
      </c>
      <c r="H324" s="35">
        <f>IF(IF(Scharniere[[#This Row],[Anschrauben]]=1,1,IF(Scharniere[[#This Row],[Einpressen]]=1,2,IF(Scharniere[[#This Row],[Quick]]=1,3,IF(Scharniere[[#This Row],[Werkzeuglos]]=1,4,0))))=select!$F$48,1,0)</f>
        <v>0</v>
      </c>
      <c r="I3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4" s="149">
        <f>IF(AND(Scharniere[[#This Row],[Scharnierart]]=2,Scharniere[[#This Row],[Gruppenschlüssel]]=select!$A$318)=TRUE,1,0)</f>
        <v>0</v>
      </c>
      <c r="K324" s="221">
        <f ca="1">IF(select!$O$424&lt;6,1,0)</f>
        <v>1</v>
      </c>
      <c r="L324" s="139">
        <f>IF(select!$A$362=IF(Scharniere[[#This Row],[mit Dämpfung]]=1,1,IF(Scharniere[[#This Row],[ohne Dämpfung]]=1,2,IF(Scharniere[[#This Row],[ohne Feder]]=1,3,0))),1,0)</f>
        <v>0</v>
      </c>
      <c r="M324" s="135">
        <f>IF(Scharniere[[#This Row],[Bohrbild]]=select!$O$334,1,0)</f>
        <v>0</v>
      </c>
      <c r="N324" s="135">
        <f>IF(IF(Scharniere[[#This Row],[Anschrauben]]=1,1,IF(Scharniere[[#This Row],[Einpressen]]=1,2,IF(Scharniere[[#This Row],[Quick]]=1,3,IF(Scharniere[[#This Row],[Werkzeuglos]]=1,4,0))))=select!$E$362,1,0)</f>
        <v>0</v>
      </c>
      <c r="O3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4" s="298">
        <f>IF(AND(Scharniere[[#This Row],[Scharnierart]]=3,Scharniere[[#This Row],[Gruppenschlüssel]]=select!$A$747)=TRUE,1,0)</f>
        <v>0</v>
      </c>
      <c r="Q324" s="298">
        <f ca="1">IF(select!$O$945&lt;6,1,0)</f>
        <v>1</v>
      </c>
      <c r="R324" s="298">
        <f>IF(select!$A$778=IF(Scharniere[[#This Row],[mit Dämpfung]]=1,1,IF(Scharniere[[#This Row],[ohne Dämpfung]]=1,2,IF(Scharniere[[#This Row],[ohne Feder]]=1,3,0))),1,0)</f>
        <v>0</v>
      </c>
      <c r="S324" s="298">
        <f>IF(Scharniere[[#This Row],[Bohrbild]]=select!$A$755,1,0)</f>
        <v>0</v>
      </c>
      <c r="T324" s="298">
        <f>IF(IF(Scharniere[[#This Row],[Anschrauben]]=1,1,IF(Scharniere[[#This Row],[Einpressen]]=1,2,IF(Scharniere[[#This Row],[Quick]]=1,3,IF(Scharniere[[#This Row],[Werkzeuglos]]=1,4,0))))=select!$A$769,1,0)</f>
        <v>0</v>
      </c>
      <c r="U3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4" s="359">
        <f>IF(AND(Scharniere[[#This Row],[Scharnierart]]=4,Scharniere[[#This Row],[Gruppenschlüssel]]=select!$A$981)=TRUE,1,0)</f>
        <v>0</v>
      </c>
      <c r="W324" s="359">
        <f ca="1">IF(select!$O$1185&lt;6,1,0)</f>
        <v>1</v>
      </c>
      <c r="X324" s="359">
        <f>IF(select!$A$1012=IF(Scharniere[[#This Row],[mit Dämpfung]]=1,1,IF(Scharniere[[#This Row],[ohne Dämpfung]]=1,2,IF(Scharniere[[#This Row],[ohne Feder]]=1,3,0))),1,0)</f>
        <v>0</v>
      </c>
      <c r="Y324" s="359">
        <f>IF(Scharniere[[#This Row],[Bohrbild]]=select!$A$989,1,0)</f>
        <v>0</v>
      </c>
      <c r="Z324" s="359">
        <f>IF(IF(Scharniere[[#This Row],[Anschrauben]]=1,1,IF(Scharniere[[#This Row],[Einpressen]]=1,2,IF(Scharniere[[#This Row],[Quick]]=1,3,IF(Scharniere[[#This Row],[Werkzeuglos]]=1,4,0))))=select!$A$1003,1,0)</f>
        <v>0</v>
      </c>
      <c r="AA3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4" s="359">
        <f ca="1">IF(select!$K$980="*",Scharniere[[#This Row],[AG Ges2]],Scharniere[[#This Row],[AG Ges1]])</f>
        <v>0</v>
      </c>
      <c r="AE324" s="451">
        <f ca="1">IF(AND(Scharniere[[#This Row],[Scharnierart]]=select!$A$1485,Scharniere[[#This Row],[Gruppenschlüssel]]=select!$B$1485)=TRUE,1,0)</f>
        <v>0</v>
      </c>
      <c r="AF324" s="451">
        <f ca="1">IF(AND(Scharniere[[#This Row],[Scharnierart]]=select!$A$1486,Scharniere[[#This Row],[Gruppenschlüssel]]=select!$B$1486)=TRUE,1,0)</f>
        <v>0</v>
      </c>
      <c r="AG324" s="451">
        <f ca="1">IF(AND(Scharniere[[#This Row],[Scharnierart]]=select!$A$1487,Scharniere[[#This Row],[Gruppenschlüssel]]=select!$B$1487)=TRUE,1,0)</f>
        <v>0</v>
      </c>
      <c r="AH324" s="451">
        <f ca="1">IF(AND(Scharniere[[#This Row],[Scharnierart]]=select!$A$1488,Scharniere[[#This Row],[Gruppenschlüssel]]=select!$B$1488)=TRUE,1,0)</f>
        <v>0</v>
      </c>
      <c r="AI324" s="451">
        <f ca="1">IF(SUM(Scharniere[[#This Row],[konf Scharnier 1]:[konf Scharnier 4]])&gt;0,1,0)</f>
        <v>0</v>
      </c>
      <c r="AJ324" s="451"/>
      <c r="AK324" s="451"/>
      <c r="AL324" s="451"/>
      <c r="AM324" s="451"/>
      <c r="AN324" s="451"/>
      <c r="AO324" s="146">
        <v>1</v>
      </c>
      <c r="AP324" s="146">
        <v>2</v>
      </c>
      <c r="AQ324" s="10" t="str">
        <f ca="1">Sprache!$A$115</f>
        <v>Tiomos Scharnier TT Impresso</v>
      </c>
      <c r="AR324" t="s">
        <v>119</v>
      </c>
      <c r="AS324" t="str">
        <f ca="1">Sprache!$A$116</f>
        <v>Tiomos Impresso Scharniere</v>
      </c>
      <c r="AT324">
        <v>3</v>
      </c>
      <c r="AU324" s="34" t="s">
        <v>10</v>
      </c>
      <c r="AV324">
        <v>120</v>
      </c>
      <c r="AW324" s="10">
        <v>0</v>
      </c>
      <c r="AX324">
        <v>0</v>
      </c>
      <c r="AY324">
        <v>1</v>
      </c>
      <c r="AZ324" s="10">
        <v>0</v>
      </c>
      <c r="BA324">
        <v>0</v>
      </c>
      <c r="BB324">
        <v>0</v>
      </c>
      <c r="BC324">
        <v>1</v>
      </c>
      <c r="BD324" s="143" t="s">
        <v>214</v>
      </c>
      <c r="BG324"/>
    </row>
    <row r="325" spans="1:59" ht="14.25" customHeight="1" x14ac:dyDescent="0.25">
      <c r="A325" s="37" t="str">
        <f>LEFT(Scharniere[[#This Row],[ArtikelNR]],4)</f>
        <v>F035</v>
      </c>
      <c r="B325" s="35" t="str">
        <f>MID(Scharniere[[#This Row],[ArtikelNR]],5,3)</f>
        <v>139</v>
      </c>
      <c r="C325" s="37" t="str">
        <f>RIGHT(Scharniere[[#This Row],[ArtikelNR]],3)</f>
        <v>542</v>
      </c>
      <c r="D325" s="35">
        <f>IF(AND(Scharniere[[#This Row],[Gruppenschlüssel]]=select!$A$44,Scharniere[[#This Row],[Scharnierart]]=1)=TRUE,1,0)</f>
        <v>0</v>
      </c>
      <c r="E3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5" s="35">
        <f>IF(select!$F$57=IF(Scharniere[[#This Row],[mit Dämpfung]]=1,1,IF(Scharniere[[#This Row],[ohne Dämpfung]]=1,2,IF(Scharniere[[#This Row],[ohne Feder]]=1,3,0))),1,0)</f>
        <v>1</v>
      </c>
      <c r="G325" s="35">
        <f>IF(Scharniere[[#This Row],[Bohrbild]]=select!$V$43,1,0)</f>
        <v>0</v>
      </c>
      <c r="H325" s="35">
        <f>IF(IF(Scharniere[[#This Row],[Anschrauben]]=1,1,IF(Scharniere[[#This Row],[Einpressen]]=1,2,IF(Scharniere[[#This Row],[Quick]]=1,3,IF(Scharniere[[#This Row],[Werkzeuglos]]=1,4,0))))=select!$F$48,1,0)</f>
        <v>0</v>
      </c>
      <c r="I3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5" s="149">
        <f>IF(AND(Scharniere[[#This Row],[Scharnierart]]=2,Scharniere[[#This Row],[Gruppenschlüssel]]=select!$A$318)=TRUE,1,0)</f>
        <v>0</v>
      </c>
      <c r="K325" s="221">
        <f ca="1">IF(select!$O$424&lt;6,1,0)</f>
        <v>1</v>
      </c>
      <c r="L325" s="139">
        <f>IF(select!$A$362=IF(Scharniere[[#This Row],[mit Dämpfung]]=1,1,IF(Scharniere[[#This Row],[ohne Dämpfung]]=1,2,IF(Scharniere[[#This Row],[ohne Feder]]=1,3,0))),1,0)</f>
        <v>0</v>
      </c>
      <c r="M325" s="135">
        <f>IF(Scharniere[[#This Row],[Bohrbild]]=select!$O$334,1,0)</f>
        <v>0</v>
      </c>
      <c r="N325" s="135">
        <f>IF(IF(Scharniere[[#This Row],[Anschrauben]]=1,1,IF(Scharniere[[#This Row],[Einpressen]]=1,2,IF(Scharniere[[#This Row],[Quick]]=1,3,IF(Scharniere[[#This Row],[Werkzeuglos]]=1,4,0))))=select!$E$362,1,0)</f>
        <v>0</v>
      </c>
      <c r="O3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5" s="298">
        <f>IF(AND(Scharniere[[#This Row],[Scharnierart]]=3,Scharniere[[#This Row],[Gruppenschlüssel]]=select!$A$747)=TRUE,1,0)</f>
        <v>0</v>
      </c>
      <c r="Q325" s="298">
        <f ca="1">IF(select!$O$945&lt;6,1,0)</f>
        <v>1</v>
      </c>
      <c r="R325" s="298">
        <f>IF(select!$A$778=IF(Scharniere[[#This Row],[mit Dämpfung]]=1,1,IF(Scharniere[[#This Row],[ohne Dämpfung]]=1,2,IF(Scharniere[[#This Row],[ohne Feder]]=1,3,0))),1,0)</f>
        <v>0</v>
      </c>
      <c r="S325" s="298">
        <f>IF(Scharniere[[#This Row],[Bohrbild]]=select!$A$755,1,0)</f>
        <v>0</v>
      </c>
      <c r="T325" s="298">
        <f>IF(IF(Scharniere[[#This Row],[Anschrauben]]=1,1,IF(Scharniere[[#This Row],[Einpressen]]=1,2,IF(Scharniere[[#This Row],[Quick]]=1,3,IF(Scharniere[[#This Row],[Werkzeuglos]]=1,4,0))))=select!$A$769,1,0)</f>
        <v>0</v>
      </c>
      <c r="U3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5" s="359">
        <f>IF(AND(Scharniere[[#This Row],[Scharnierart]]=4,Scharniere[[#This Row],[Gruppenschlüssel]]=select!$A$981)=TRUE,1,0)</f>
        <v>0</v>
      </c>
      <c r="W325" s="359">
        <f ca="1">IF(select!$O$1185&lt;6,1,0)</f>
        <v>1</v>
      </c>
      <c r="X325" s="359">
        <f>IF(select!$A$1012=IF(Scharniere[[#This Row],[mit Dämpfung]]=1,1,IF(Scharniere[[#This Row],[ohne Dämpfung]]=1,2,IF(Scharniere[[#This Row],[ohne Feder]]=1,3,0))),1,0)</f>
        <v>0</v>
      </c>
      <c r="Y325" s="359">
        <f>IF(Scharniere[[#This Row],[Bohrbild]]=select!$A$989,1,0)</f>
        <v>0</v>
      </c>
      <c r="Z325" s="359">
        <f>IF(IF(Scharniere[[#This Row],[Anschrauben]]=1,1,IF(Scharniere[[#This Row],[Einpressen]]=1,2,IF(Scharniere[[#This Row],[Quick]]=1,3,IF(Scharniere[[#This Row],[Werkzeuglos]]=1,4,0))))=select!$A$1003,1,0)</f>
        <v>0</v>
      </c>
      <c r="AA3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5" s="359">
        <f ca="1">IF(select!$K$980="*",Scharniere[[#This Row],[AG Ges2]],Scharniere[[#This Row],[AG Ges1]])</f>
        <v>0</v>
      </c>
      <c r="AE325" s="451">
        <f ca="1">IF(AND(Scharniere[[#This Row],[Scharnierart]]=select!$A$1485,Scharniere[[#This Row],[Gruppenschlüssel]]=select!$B$1485)=TRUE,1,0)</f>
        <v>0</v>
      </c>
      <c r="AF325" s="451">
        <f ca="1">IF(AND(Scharniere[[#This Row],[Scharnierart]]=select!$A$1486,Scharniere[[#This Row],[Gruppenschlüssel]]=select!$B$1486)=TRUE,1,0)</f>
        <v>0</v>
      </c>
      <c r="AG325" s="451">
        <f ca="1">IF(AND(Scharniere[[#This Row],[Scharnierart]]=select!$A$1487,Scharniere[[#This Row],[Gruppenschlüssel]]=select!$B$1487)=TRUE,1,0)</f>
        <v>0</v>
      </c>
      <c r="AH325" s="451">
        <f ca="1">IF(AND(Scharniere[[#This Row],[Scharnierart]]=select!$A$1488,Scharniere[[#This Row],[Gruppenschlüssel]]=select!$B$1488)=TRUE,1,0)</f>
        <v>0</v>
      </c>
      <c r="AI325" s="451">
        <f ca="1">IF(SUM(Scharniere[[#This Row],[konf Scharnier 1]:[konf Scharnier 4]])&gt;0,1,0)</f>
        <v>0</v>
      </c>
      <c r="AJ325" s="451"/>
      <c r="AK325" s="451"/>
      <c r="AL325" s="451"/>
      <c r="AM325" s="451"/>
      <c r="AN325" s="451"/>
      <c r="AO325" s="146">
        <v>1</v>
      </c>
      <c r="AP325" s="146">
        <v>2</v>
      </c>
      <c r="AQ325" s="10" t="str">
        <f ca="1">Sprache!$A$115</f>
        <v>Tiomos Scharnier TT Impresso</v>
      </c>
      <c r="AR325" t="s">
        <v>119</v>
      </c>
      <c r="AS325" t="str">
        <f ca="1">Sprache!$A$116</f>
        <v>Tiomos Impresso Scharniere</v>
      </c>
      <c r="AT325">
        <v>3</v>
      </c>
      <c r="AU325" t="s">
        <v>11</v>
      </c>
      <c r="AV325">
        <v>120</v>
      </c>
      <c r="AW325" s="10">
        <v>0</v>
      </c>
      <c r="AX325">
        <v>0</v>
      </c>
      <c r="AY325">
        <v>1</v>
      </c>
      <c r="AZ325" s="10">
        <v>0</v>
      </c>
      <c r="BA325">
        <v>0</v>
      </c>
      <c r="BB325">
        <v>0</v>
      </c>
      <c r="BC325">
        <v>1</v>
      </c>
      <c r="BD325" s="143" t="s">
        <v>214</v>
      </c>
      <c r="BG325"/>
    </row>
    <row r="326" spans="1:59" ht="14.25" customHeight="1" x14ac:dyDescent="0.25">
      <c r="A326" s="37" t="str">
        <f>LEFT(Scharniere[[#This Row],[ArtikelNR]],4)</f>
        <v>F045</v>
      </c>
      <c r="B326" s="35" t="str">
        <f>MID(Scharniere[[#This Row],[ArtikelNR]],5,3)</f>
        <v>138</v>
      </c>
      <c r="C326" s="37" t="str">
        <f>RIGHT(Scharniere[[#This Row],[ArtikelNR]],3)</f>
        <v>033</v>
      </c>
      <c r="D326" s="35">
        <f>IF(AND(Scharniere[[#This Row],[Gruppenschlüssel]]=select!$A$44,Scharniere[[#This Row],[Scharnierart]]=1)=TRUE,1,0)</f>
        <v>0</v>
      </c>
      <c r="E3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6" s="35">
        <f>IF(select!$F$57=IF(Scharniere[[#This Row],[mit Dämpfung]]=1,1,IF(Scharniere[[#This Row],[ohne Dämpfung]]=1,2,IF(Scharniere[[#This Row],[ohne Feder]]=1,3,0))),1,0)</f>
        <v>0</v>
      </c>
      <c r="G326" s="35">
        <f>IF(Scharniere[[#This Row],[Bohrbild]]=select!$V$43,1,0)</f>
        <v>1</v>
      </c>
      <c r="H326" s="35">
        <f>IF(IF(Scharniere[[#This Row],[Anschrauben]]=1,1,IF(Scharniere[[#This Row],[Einpressen]]=1,2,IF(Scharniere[[#This Row],[Quick]]=1,3,IF(Scharniere[[#This Row],[Werkzeuglos]]=1,4,0))))=select!$F$48,1,0)</f>
        <v>1</v>
      </c>
      <c r="I3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6" s="149">
        <f>IF(AND(Scharniere[[#This Row],[Scharnierart]]=2,Scharniere[[#This Row],[Gruppenschlüssel]]=select!$A$318)=TRUE,1,0)</f>
        <v>0</v>
      </c>
      <c r="K326" s="221">
        <f ca="1">IF(select!$O$424&lt;6,1,0)</f>
        <v>1</v>
      </c>
      <c r="L326" s="139">
        <f>IF(select!$A$362=IF(Scharniere[[#This Row],[mit Dämpfung]]=1,1,IF(Scharniere[[#This Row],[ohne Dämpfung]]=1,2,IF(Scharniere[[#This Row],[ohne Feder]]=1,3,0))),1,0)</f>
        <v>0</v>
      </c>
      <c r="M326" s="135">
        <f>IF(Scharniere[[#This Row],[Bohrbild]]=select!$O$334,1,0)</f>
        <v>1</v>
      </c>
      <c r="N326" s="135">
        <f>IF(IF(Scharniere[[#This Row],[Anschrauben]]=1,1,IF(Scharniere[[#This Row],[Einpressen]]=1,2,IF(Scharniere[[#This Row],[Quick]]=1,3,IF(Scharniere[[#This Row],[Werkzeuglos]]=1,4,0))))=select!$E$362,1,0)</f>
        <v>0</v>
      </c>
      <c r="O3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6" s="298">
        <f>IF(AND(Scharniere[[#This Row],[Scharnierart]]=3,Scharniere[[#This Row],[Gruppenschlüssel]]=select!$A$747)=TRUE,1,0)</f>
        <v>0</v>
      </c>
      <c r="Q326" s="298">
        <f ca="1">IF(select!$O$945&lt;6,1,0)</f>
        <v>1</v>
      </c>
      <c r="R326" s="298">
        <f>IF(select!$A$778=IF(Scharniere[[#This Row],[mit Dämpfung]]=1,1,IF(Scharniere[[#This Row],[ohne Dämpfung]]=1,2,IF(Scharniere[[#This Row],[ohne Feder]]=1,3,0))),1,0)</f>
        <v>1</v>
      </c>
      <c r="S326" s="298">
        <f>IF(Scharniere[[#This Row],[Bohrbild]]=select!$A$755,1,0)</f>
        <v>0</v>
      </c>
      <c r="T326" s="298">
        <f>IF(IF(Scharniere[[#This Row],[Anschrauben]]=1,1,IF(Scharniere[[#This Row],[Einpressen]]=1,2,IF(Scharniere[[#This Row],[Quick]]=1,3,IF(Scharniere[[#This Row],[Werkzeuglos]]=1,4,0))))=select!$A$769,1,0)</f>
        <v>0</v>
      </c>
      <c r="U3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6" s="359">
        <f>IF(AND(Scharniere[[#This Row],[Scharnierart]]=4,Scharniere[[#This Row],[Gruppenschlüssel]]=select!$A$981)=TRUE,1,0)</f>
        <v>0</v>
      </c>
      <c r="W326" s="359">
        <f ca="1">IF(select!$O$1185&lt;6,1,0)</f>
        <v>1</v>
      </c>
      <c r="X326" s="359">
        <f>IF(select!$A$1012=IF(Scharniere[[#This Row],[mit Dämpfung]]=1,1,IF(Scharniere[[#This Row],[ohne Dämpfung]]=1,2,IF(Scharniere[[#This Row],[ohne Feder]]=1,3,0))),1,0)</f>
        <v>1</v>
      </c>
      <c r="Y326" s="359">
        <f>IF(Scharniere[[#This Row],[Bohrbild]]=select!$A$989,1,0)</f>
        <v>0</v>
      </c>
      <c r="Z326" s="359">
        <f>IF(IF(Scharniere[[#This Row],[Anschrauben]]=1,1,IF(Scharniere[[#This Row],[Einpressen]]=1,2,IF(Scharniere[[#This Row],[Quick]]=1,3,IF(Scharniere[[#This Row],[Werkzeuglos]]=1,4,0))))=select!$A$1003,1,0)</f>
        <v>0</v>
      </c>
      <c r="AA3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6" s="359">
        <f ca="1">IF(select!$K$980="*",Scharniere[[#This Row],[AG Ges2]],Scharniere[[#This Row],[AG Ges1]])</f>
        <v>0</v>
      </c>
      <c r="AE326" s="451">
        <f ca="1">IF(AND(Scharniere[[#This Row],[Scharnierart]]=select!$A$1485,Scharniere[[#This Row],[Gruppenschlüssel]]=select!$B$1485)=TRUE,1,0)</f>
        <v>0</v>
      </c>
      <c r="AF326" s="451">
        <f ca="1">IF(AND(Scharniere[[#This Row],[Scharnierart]]=select!$A$1486,Scharniere[[#This Row],[Gruppenschlüssel]]=select!$B$1486)=TRUE,1,0)</f>
        <v>0</v>
      </c>
      <c r="AG326" s="451">
        <f ca="1">IF(AND(Scharniere[[#This Row],[Scharnierart]]=select!$A$1487,Scharniere[[#This Row],[Gruppenschlüssel]]=select!$B$1487)=TRUE,1,0)</f>
        <v>0</v>
      </c>
      <c r="AH326" s="451">
        <f ca="1">IF(AND(Scharniere[[#This Row],[Scharnierart]]=select!$A$1488,Scharniere[[#This Row],[Gruppenschlüssel]]=select!$B$1488)=TRUE,1,0)</f>
        <v>0</v>
      </c>
      <c r="AI326" s="451">
        <f ca="1">IF(SUM(Scharniere[[#This Row],[konf Scharnier 1]:[konf Scharnier 4]])&gt;0,1,0)</f>
        <v>0</v>
      </c>
      <c r="AJ326" s="451"/>
      <c r="AK326" s="451"/>
      <c r="AL326" s="451"/>
      <c r="AM326" s="451"/>
      <c r="AN326" s="451"/>
      <c r="AO326" s="146">
        <v>1</v>
      </c>
      <c r="AP326" s="146">
        <v>2</v>
      </c>
      <c r="AQ326" s="10" t="str">
        <f ca="1">Sprache!$A$110</f>
        <v>Tiomos Scharnier T Click-on</v>
      </c>
      <c r="AR326" t="str">
        <f ca="1">"120°, M-BB, K03, "&amp;Sprache!A181&amp;", ni"</f>
        <v>120°, M-BB, K03, Dübel, ni</v>
      </c>
      <c r="AS326" t="str">
        <f ca="1">Sprache!$A$103</f>
        <v>Tiomos Click-On Scharniere</v>
      </c>
      <c r="AT326">
        <v>3</v>
      </c>
      <c r="AU326" t="s">
        <v>8</v>
      </c>
      <c r="AV326">
        <v>120</v>
      </c>
      <c r="AW326" s="10">
        <v>0</v>
      </c>
      <c r="AX326">
        <v>1</v>
      </c>
      <c r="AY326">
        <v>0</v>
      </c>
      <c r="AZ326" s="10">
        <v>0</v>
      </c>
      <c r="BA326">
        <v>1</v>
      </c>
      <c r="BB326">
        <v>0</v>
      </c>
      <c r="BC326">
        <v>0</v>
      </c>
      <c r="BD326" s="143" t="s">
        <v>441</v>
      </c>
      <c r="BG326"/>
    </row>
    <row r="327" spans="1:59" ht="14.25" customHeight="1" x14ac:dyDescent="0.25">
      <c r="A327" s="37" t="str">
        <f>LEFT(Scharniere[[#This Row],[ArtikelNR]],4)</f>
        <v>F028</v>
      </c>
      <c r="B327" s="35" t="str">
        <f>MID(Scharniere[[#This Row],[ArtikelNR]],5,3)</f>
        <v>138</v>
      </c>
      <c r="C327" s="37" t="str">
        <f>RIGHT(Scharniere[[#This Row],[ArtikelNR]],3)</f>
        <v>126</v>
      </c>
      <c r="D327" s="35">
        <f>IF(AND(Scharniere[[#This Row],[Gruppenschlüssel]]=select!$A$44,Scharniere[[#This Row],[Scharnierart]]=1)=TRUE,1,0)</f>
        <v>0</v>
      </c>
      <c r="E3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7" s="35">
        <f>IF(select!$F$57=IF(Scharniere[[#This Row],[mit Dämpfung]]=1,1,IF(Scharniere[[#This Row],[ohne Dämpfung]]=1,2,IF(Scharniere[[#This Row],[ohne Feder]]=1,3,0))),1,0)</f>
        <v>0</v>
      </c>
      <c r="G327" s="35">
        <f>IF(Scharniere[[#This Row],[Bohrbild]]=select!$V$43,1,0)</f>
        <v>1</v>
      </c>
      <c r="H327" s="35">
        <f>IF(IF(Scharniere[[#This Row],[Anschrauben]]=1,1,IF(Scharniere[[#This Row],[Einpressen]]=1,2,IF(Scharniere[[#This Row],[Quick]]=1,3,IF(Scharniere[[#This Row],[Werkzeuglos]]=1,4,0))))=select!$F$48,1,0)</f>
        <v>1</v>
      </c>
      <c r="I3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7" s="149">
        <f>IF(AND(Scharniere[[#This Row],[Scharnierart]]=2,Scharniere[[#This Row],[Gruppenschlüssel]]=select!$A$318)=TRUE,1,0)</f>
        <v>0</v>
      </c>
      <c r="K327" s="221">
        <f ca="1">IF(select!$O$424&lt;6,1,0)</f>
        <v>1</v>
      </c>
      <c r="L327" s="139">
        <f>IF(select!$A$362=IF(Scharniere[[#This Row],[mit Dämpfung]]=1,1,IF(Scharniere[[#This Row],[ohne Dämpfung]]=1,2,IF(Scharniere[[#This Row],[ohne Feder]]=1,3,0))),1,0)</f>
        <v>1</v>
      </c>
      <c r="M327" s="135">
        <f>IF(Scharniere[[#This Row],[Bohrbild]]=select!$O$334,1,0)</f>
        <v>1</v>
      </c>
      <c r="N327" s="135">
        <f>IF(IF(Scharniere[[#This Row],[Anschrauben]]=1,1,IF(Scharniere[[#This Row],[Einpressen]]=1,2,IF(Scharniere[[#This Row],[Quick]]=1,3,IF(Scharniere[[#This Row],[Werkzeuglos]]=1,4,0))))=select!$E$362,1,0)</f>
        <v>0</v>
      </c>
      <c r="O3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7" s="298">
        <f>IF(AND(Scharniere[[#This Row],[Scharnierart]]=3,Scharniere[[#This Row],[Gruppenschlüssel]]=select!$A$747)=TRUE,1,0)</f>
        <v>0</v>
      </c>
      <c r="Q327" s="298">
        <f ca="1">IF(select!$O$945&lt;6,1,0)</f>
        <v>1</v>
      </c>
      <c r="R327" s="298">
        <f>IF(select!$A$778=IF(Scharniere[[#This Row],[mit Dämpfung]]=1,1,IF(Scharniere[[#This Row],[ohne Dämpfung]]=1,2,IF(Scharniere[[#This Row],[ohne Feder]]=1,3,0))),1,0)</f>
        <v>0</v>
      </c>
      <c r="S327" s="298">
        <f>IF(Scharniere[[#This Row],[Bohrbild]]=select!$A$755,1,0)</f>
        <v>0</v>
      </c>
      <c r="T327" s="298">
        <f>IF(IF(Scharniere[[#This Row],[Anschrauben]]=1,1,IF(Scharniere[[#This Row],[Einpressen]]=1,2,IF(Scharniere[[#This Row],[Quick]]=1,3,IF(Scharniere[[#This Row],[Werkzeuglos]]=1,4,0))))=select!$A$769,1,0)</f>
        <v>0</v>
      </c>
      <c r="U3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7" s="359">
        <f>IF(AND(Scharniere[[#This Row],[Scharnierart]]=4,Scharniere[[#This Row],[Gruppenschlüssel]]=select!$A$981)=TRUE,1,0)</f>
        <v>0</v>
      </c>
      <c r="W327" s="359">
        <f ca="1">IF(select!$O$1185&lt;6,1,0)</f>
        <v>1</v>
      </c>
      <c r="X327" s="359">
        <f>IF(select!$A$1012=IF(Scharniere[[#This Row],[mit Dämpfung]]=1,1,IF(Scharniere[[#This Row],[ohne Dämpfung]]=1,2,IF(Scharniere[[#This Row],[ohne Feder]]=1,3,0))),1,0)</f>
        <v>0</v>
      </c>
      <c r="Y327" s="359">
        <f>IF(Scharniere[[#This Row],[Bohrbild]]=select!$A$989,1,0)</f>
        <v>0</v>
      </c>
      <c r="Z327" s="359">
        <f>IF(IF(Scharniere[[#This Row],[Anschrauben]]=1,1,IF(Scharniere[[#This Row],[Einpressen]]=1,2,IF(Scharniere[[#This Row],[Quick]]=1,3,IF(Scharniere[[#This Row],[Werkzeuglos]]=1,4,0))))=select!$A$1003,1,0)</f>
        <v>0</v>
      </c>
      <c r="AA3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7" s="359">
        <f ca="1">IF(select!$K$980="*",Scharniere[[#This Row],[AG Ges2]],Scharniere[[#This Row],[AG Ges1]])</f>
        <v>0</v>
      </c>
      <c r="AE327" s="451">
        <f ca="1">IF(AND(Scharniere[[#This Row],[Scharnierart]]=select!$A$1485,Scharniere[[#This Row],[Gruppenschlüssel]]=select!$B$1485)=TRUE,1,0)</f>
        <v>0</v>
      </c>
      <c r="AF327" s="451">
        <f ca="1">IF(AND(Scharniere[[#This Row],[Scharnierart]]=select!$A$1486,Scharniere[[#This Row],[Gruppenschlüssel]]=select!$B$1486)=TRUE,1,0)</f>
        <v>0</v>
      </c>
      <c r="AG327" s="451">
        <f ca="1">IF(AND(Scharniere[[#This Row],[Scharnierart]]=select!$A$1487,Scharniere[[#This Row],[Gruppenschlüssel]]=select!$B$1487)=TRUE,1,0)</f>
        <v>0</v>
      </c>
      <c r="AH327" s="451">
        <f ca="1">IF(AND(Scharniere[[#This Row],[Scharnierart]]=select!$A$1488,Scharniere[[#This Row],[Gruppenschlüssel]]=select!$B$1488)=TRUE,1,0)</f>
        <v>0</v>
      </c>
      <c r="AI327" s="451">
        <f ca="1">IF(SUM(Scharniere[[#This Row],[konf Scharnier 1]:[konf Scharnier 4]])&gt;0,1,0)</f>
        <v>0</v>
      </c>
      <c r="AJ327" s="451"/>
      <c r="AK327" s="451"/>
      <c r="AL327" s="451"/>
      <c r="AM327" s="451"/>
      <c r="AN327" s="451"/>
      <c r="AO327" s="146">
        <v>1</v>
      </c>
      <c r="AP327" s="146">
        <v>2</v>
      </c>
      <c r="AQ327" s="10" t="str">
        <f ca="1">Sprache!$A$112</f>
        <v>Tiomos Scharnier TS Click-on</v>
      </c>
      <c r="AR327" t="str">
        <f ca="1">"120°, M-BB, K03, "&amp;Sprache!A181&amp;", ni"</f>
        <v>120°, M-BB, K03, Dübel, ni</v>
      </c>
      <c r="AS327" t="str">
        <f ca="1">Sprache!$A$103</f>
        <v>Tiomos Click-On Scharniere</v>
      </c>
      <c r="AT327">
        <v>3</v>
      </c>
      <c r="AU327" s="34" t="s">
        <v>8</v>
      </c>
      <c r="AV327">
        <v>120</v>
      </c>
      <c r="AW327" s="10">
        <v>1</v>
      </c>
      <c r="AX327">
        <v>0</v>
      </c>
      <c r="AY327">
        <v>0</v>
      </c>
      <c r="AZ327" s="10">
        <v>0</v>
      </c>
      <c r="BA327">
        <v>1</v>
      </c>
      <c r="BB327">
        <v>0</v>
      </c>
      <c r="BC327">
        <v>0</v>
      </c>
      <c r="BD327" s="143" t="s">
        <v>243</v>
      </c>
      <c r="BG327"/>
    </row>
    <row r="328" spans="1:59" ht="14.25" customHeight="1" x14ac:dyDescent="0.25">
      <c r="A328" s="37" t="str">
        <f>LEFT(Scharniere[[#This Row],[ArtikelNR]],4)</f>
        <v>F046</v>
      </c>
      <c r="B328" s="35" t="str">
        <f>MID(Scharniere[[#This Row],[ArtikelNR]],5,3)</f>
        <v>138</v>
      </c>
      <c r="C328" s="37" t="str">
        <f>RIGHT(Scharniere[[#This Row],[ArtikelNR]],3)</f>
        <v>217</v>
      </c>
      <c r="D328" s="35">
        <f>IF(AND(Scharniere[[#This Row],[Gruppenschlüssel]]=select!$A$44,Scharniere[[#This Row],[Scharnierart]]=1)=TRUE,1,0)</f>
        <v>0</v>
      </c>
      <c r="E3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8" s="35">
        <f>IF(select!$F$57=IF(Scharniere[[#This Row],[mit Dämpfung]]=1,1,IF(Scharniere[[#This Row],[ohne Dämpfung]]=1,2,IF(Scharniere[[#This Row],[ohne Feder]]=1,3,0))),1,0)</f>
        <v>1</v>
      </c>
      <c r="G328" s="35">
        <f>IF(Scharniere[[#This Row],[Bohrbild]]=select!$V$43,1,0)</f>
        <v>1</v>
      </c>
      <c r="H328" s="35">
        <f>IF(IF(Scharniere[[#This Row],[Anschrauben]]=1,1,IF(Scharniere[[#This Row],[Einpressen]]=1,2,IF(Scharniere[[#This Row],[Quick]]=1,3,IF(Scharniere[[#This Row],[Werkzeuglos]]=1,4,0))))=select!$F$48,1,0)</f>
        <v>1</v>
      </c>
      <c r="I3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8" s="149">
        <f>IF(AND(Scharniere[[#This Row],[Scharnierart]]=2,Scharniere[[#This Row],[Gruppenschlüssel]]=select!$A$318)=TRUE,1,0)</f>
        <v>0</v>
      </c>
      <c r="K328" s="221">
        <f ca="1">IF(select!$O$424&lt;6,1,0)</f>
        <v>1</v>
      </c>
      <c r="L328" s="139">
        <f>IF(select!$A$362=IF(Scharniere[[#This Row],[mit Dämpfung]]=1,1,IF(Scharniere[[#This Row],[ohne Dämpfung]]=1,2,IF(Scharniere[[#This Row],[ohne Feder]]=1,3,0))),1,0)</f>
        <v>0</v>
      </c>
      <c r="M328" s="135">
        <f>IF(Scharniere[[#This Row],[Bohrbild]]=select!$O$334,1,0)</f>
        <v>1</v>
      </c>
      <c r="N328" s="135">
        <f>IF(IF(Scharniere[[#This Row],[Anschrauben]]=1,1,IF(Scharniere[[#This Row],[Einpressen]]=1,2,IF(Scharniere[[#This Row],[Quick]]=1,3,IF(Scharniere[[#This Row],[Werkzeuglos]]=1,4,0))))=select!$E$362,1,0)</f>
        <v>0</v>
      </c>
      <c r="O3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8" s="298">
        <f>IF(AND(Scharniere[[#This Row],[Scharnierart]]=3,Scharniere[[#This Row],[Gruppenschlüssel]]=select!$A$747)=TRUE,1,0)</f>
        <v>0</v>
      </c>
      <c r="Q328" s="298">
        <f ca="1">IF(select!$O$945&lt;6,1,0)</f>
        <v>1</v>
      </c>
      <c r="R328" s="298">
        <f>IF(select!$A$778=IF(Scharniere[[#This Row],[mit Dämpfung]]=1,1,IF(Scharniere[[#This Row],[ohne Dämpfung]]=1,2,IF(Scharniere[[#This Row],[ohne Feder]]=1,3,0))),1,0)</f>
        <v>0</v>
      </c>
      <c r="S328" s="298">
        <f>IF(Scharniere[[#This Row],[Bohrbild]]=select!$A$755,1,0)</f>
        <v>0</v>
      </c>
      <c r="T328" s="298">
        <f>IF(IF(Scharniere[[#This Row],[Anschrauben]]=1,1,IF(Scharniere[[#This Row],[Einpressen]]=1,2,IF(Scharniere[[#This Row],[Quick]]=1,3,IF(Scharniere[[#This Row],[Werkzeuglos]]=1,4,0))))=select!$A$769,1,0)</f>
        <v>0</v>
      </c>
      <c r="U3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8" s="359">
        <f>IF(AND(Scharniere[[#This Row],[Scharnierart]]=4,Scharniere[[#This Row],[Gruppenschlüssel]]=select!$A$981)=TRUE,1,0)</f>
        <v>0</v>
      </c>
      <c r="W328" s="359">
        <f ca="1">IF(select!$O$1185&lt;6,1,0)</f>
        <v>1</v>
      </c>
      <c r="X328" s="359">
        <f>IF(select!$A$1012=IF(Scharniere[[#This Row],[mit Dämpfung]]=1,1,IF(Scharniere[[#This Row],[ohne Dämpfung]]=1,2,IF(Scharniere[[#This Row],[ohne Feder]]=1,3,0))),1,0)</f>
        <v>0</v>
      </c>
      <c r="Y328" s="359">
        <f>IF(Scharniere[[#This Row],[Bohrbild]]=select!$A$989,1,0)</f>
        <v>0</v>
      </c>
      <c r="Z328" s="359">
        <f>IF(IF(Scharniere[[#This Row],[Anschrauben]]=1,1,IF(Scharniere[[#This Row],[Einpressen]]=1,2,IF(Scharniere[[#This Row],[Quick]]=1,3,IF(Scharniere[[#This Row],[Werkzeuglos]]=1,4,0))))=select!$A$1003,1,0)</f>
        <v>0</v>
      </c>
      <c r="AA3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8" s="359">
        <f ca="1">IF(select!$K$980="*",Scharniere[[#This Row],[AG Ges2]],Scharniere[[#This Row],[AG Ges1]])</f>
        <v>0</v>
      </c>
      <c r="AE328" s="451">
        <f ca="1">IF(AND(Scharniere[[#This Row],[Scharnierart]]=select!$A$1485,Scharniere[[#This Row],[Gruppenschlüssel]]=select!$B$1485)=TRUE,1,0)</f>
        <v>0</v>
      </c>
      <c r="AF328" s="451">
        <f ca="1">IF(AND(Scharniere[[#This Row],[Scharnierart]]=select!$A$1486,Scharniere[[#This Row],[Gruppenschlüssel]]=select!$B$1486)=TRUE,1,0)</f>
        <v>0</v>
      </c>
      <c r="AG328" s="451">
        <f ca="1">IF(AND(Scharniere[[#This Row],[Scharnierart]]=select!$A$1487,Scharniere[[#This Row],[Gruppenschlüssel]]=select!$B$1487)=TRUE,1,0)</f>
        <v>0</v>
      </c>
      <c r="AH328" s="451">
        <f ca="1">IF(AND(Scharniere[[#This Row],[Scharnierart]]=select!$A$1488,Scharniere[[#This Row],[Gruppenschlüssel]]=select!$B$1488)=TRUE,1,0)</f>
        <v>0</v>
      </c>
      <c r="AI328" s="451">
        <f ca="1">IF(SUM(Scharniere[[#This Row],[konf Scharnier 1]:[konf Scharnier 4]])&gt;0,1,0)</f>
        <v>0</v>
      </c>
      <c r="AJ328" s="451"/>
      <c r="AK328" s="451"/>
      <c r="AL328" s="451"/>
      <c r="AM328" s="451"/>
      <c r="AN328" s="451"/>
      <c r="AO328" s="146">
        <v>1</v>
      </c>
      <c r="AP328" s="146">
        <v>2</v>
      </c>
      <c r="AQ328" s="10" t="str">
        <f ca="1">Sprache!$A$114</f>
        <v>Tiomos Scharnier TT Click-on</v>
      </c>
      <c r="AR328" t="str">
        <f ca="1">"120°, M-BB, K03, "&amp;Sprache!A181&amp;", ni"</f>
        <v>120°, M-BB, K03, Dübel, ni</v>
      </c>
      <c r="AS328" t="str">
        <f ca="1">Sprache!$A$103</f>
        <v>Tiomos Click-On Scharniere</v>
      </c>
      <c r="AT328">
        <v>3</v>
      </c>
      <c r="AU328" t="s">
        <v>8</v>
      </c>
      <c r="AV328">
        <v>120</v>
      </c>
      <c r="AW328" s="10">
        <v>0</v>
      </c>
      <c r="AX328">
        <v>0</v>
      </c>
      <c r="AY328">
        <v>1</v>
      </c>
      <c r="AZ328" s="10">
        <v>0</v>
      </c>
      <c r="BA328">
        <v>1</v>
      </c>
      <c r="BB328">
        <v>0</v>
      </c>
      <c r="BC328">
        <v>0</v>
      </c>
      <c r="BD328" s="143" t="s">
        <v>593</v>
      </c>
      <c r="BG328"/>
    </row>
    <row r="329" spans="1:59" ht="14.25" customHeight="1" x14ac:dyDescent="0.25">
      <c r="A329" s="37" t="str">
        <f>LEFT(Scharniere[[#This Row],[ArtikelNR]],4)</f>
        <v>F045</v>
      </c>
      <c r="B329" s="35" t="str">
        <f>MID(Scharniere[[#This Row],[ArtikelNR]],5,3)</f>
        <v>138</v>
      </c>
      <c r="C329" s="37" t="str">
        <f>RIGHT(Scharniere[[#This Row],[ArtikelNR]],3)</f>
        <v>029</v>
      </c>
      <c r="D329" s="35">
        <f>IF(AND(Scharniere[[#This Row],[Gruppenschlüssel]]=select!$A$44,Scharniere[[#This Row],[Scharnierart]]=1)=TRUE,1,0)</f>
        <v>0</v>
      </c>
      <c r="E3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29" s="35">
        <f>IF(select!$F$57=IF(Scharniere[[#This Row],[mit Dämpfung]]=1,1,IF(Scharniere[[#This Row],[ohne Dämpfung]]=1,2,IF(Scharniere[[#This Row],[ohne Feder]]=1,3,0))),1,0)</f>
        <v>0</v>
      </c>
      <c r="G329" s="35">
        <f>IF(Scharniere[[#This Row],[Bohrbild]]=select!$V$43,1,0)</f>
        <v>1</v>
      </c>
      <c r="H329" s="35">
        <f>IF(IF(Scharniere[[#This Row],[Anschrauben]]=1,1,IF(Scharniere[[#This Row],[Einpressen]]=1,2,IF(Scharniere[[#This Row],[Quick]]=1,3,IF(Scharniere[[#This Row],[Werkzeuglos]]=1,4,0))))=select!$F$48,1,0)</f>
        <v>0</v>
      </c>
      <c r="I3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29" s="149">
        <f>IF(AND(Scharniere[[#This Row],[Scharnierart]]=2,Scharniere[[#This Row],[Gruppenschlüssel]]=select!$A$318)=TRUE,1,0)</f>
        <v>0</v>
      </c>
      <c r="K329" s="221">
        <f ca="1">IF(select!$O$424&lt;6,1,0)</f>
        <v>1</v>
      </c>
      <c r="L329" s="139">
        <f>IF(select!$A$362=IF(Scharniere[[#This Row],[mit Dämpfung]]=1,1,IF(Scharniere[[#This Row],[ohne Dämpfung]]=1,2,IF(Scharniere[[#This Row],[ohne Feder]]=1,3,0))),1,0)</f>
        <v>0</v>
      </c>
      <c r="M329" s="135">
        <f>IF(Scharniere[[#This Row],[Bohrbild]]=select!$O$334,1,0)</f>
        <v>1</v>
      </c>
      <c r="N329" s="135">
        <f>IF(IF(Scharniere[[#This Row],[Anschrauben]]=1,1,IF(Scharniere[[#This Row],[Einpressen]]=1,2,IF(Scharniere[[#This Row],[Quick]]=1,3,IF(Scharniere[[#This Row],[Werkzeuglos]]=1,4,0))))=select!$E$362,1,0)</f>
        <v>1</v>
      </c>
      <c r="O3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29" s="298">
        <f>IF(AND(Scharniere[[#This Row],[Scharnierart]]=3,Scharniere[[#This Row],[Gruppenschlüssel]]=select!$A$747)=TRUE,1,0)</f>
        <v>0</v>
      </c>
      <c r="Q329" s="298">
        <f ca="1">IF(select!$O$945&lt;6,1,0)</f>
        <v>1</v>
      </c>
      <c r="R329" s="298">
        <f>IF(select!$A$778=IF(Scharniere[[#This Row],[mit Dämpfung]]=1,1,IF(Scharniere[[#This Row],[ohne Dämpfung]]=1,2,IF(Scharniere[[#This Row],[ohne Feder]]=1,3,0))),1,0)</f>
        <v>1</v>
      </c>
      <c r="S329" s="298">
        <f>IF(Scharniere[[#This Row],[Bohrbild]]=select!$A$755,1,0)</f>
        <v>0</v>
      </c>
      <c r="T329" s="298">
        <f>IF(IF(Scharniere[[#This Row],[Anschrauben]]=1,1,IF(Scharniere[[#This Row],[Einpressen]]=1,2,IF(Scharniere[[#This Row],[Quick]]=1,3,IF(Scharniere[[#This Row],[Werkzeuglos]]=1,4,0))))=select!$A$769,1,0)</f>
        <v>1</v>
      </c>
      <c r="U3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29" s="359">
        <f>IF(AND(Scharniere[[#This Row],[Scharnierart]]=4,Scharniere[[#This Row],[Gruppenschlüssel]]=select!$A$981)=TRUE,1,0)</f>
        <v>0</v>
      </c>
      <c r="W329" s="359">
        <f ca="1">IF(select!$O$1185&lt;6,1,0)</f>
        <v>1</v>
      </c>
      <c r="X329" s="359">
        <f>IF(select!$A$1012=IF(Scharniere[[#This Row],[mit Dämpfung]]=1,1,IF(Scharniere[[#This Row],[ohne Dämpfung]]=1,2,IF(Scharniere[[#This Row],[ohne Feder]]=1,3,0))),1,0)</f>
        <v>1</v>
      </c>
      <c r="Y329" s="359">
        <f>IF(Scharniere[[#This Row],[Bohrbild]]=select!$A$989,1,0)</f>
        <v>0</v>
      </c>
      <c r="Z329" s="359">
        <f>IF(IF(Scharniere[[#This Row],[Anschrauben]]=1,1,IF(Scharniere[[#This Row],[Einpressen]]=1,2,IF(Scharniere[[#This Row],[Quick]]=1,3,IF(Scharniere[[#This Row],[Werkzeuglos]]=1,4,0))))=select!$A$1003,1,0)</f>
        <v>1</v>
      </c>
      <c r="AA3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29" s="359">
        <f ca="1">IF(select!$K$980="*",Scharniere[[#This Row],[AG Ges2]],Scharniere[[#This Row],[AG Ges1]])</f>
        <v>0</v>
      </c>
      <c r="AE329" s="451">
        <f ca="1">IF(AND(Scharniere[[#This Row],[Scharnierart]]=select!$A$1485,Scharniere[[#This Row],[Gruppenschlüssel]]=select!$B$1485)=TRUE,1,0)</f>
        <v>0</v>
      </c>
      <c r="AF329" s="451">
        <f ca="1">IF(AND(Scharniere[[#This Row],[Scharnierart]]=select!$A$1486,Scharniere[[#This Row],[Gruppenschlüssel]]=select!$B$1486)=TRUE,1,0)</f>
        <v>0</v>
      </c>
      <c r="AG329" s="451">
        <f ca="1">IF(AND(Scharniere[[#This Row],[Scharnierart]]=select!$A$1487,Scharniere[[#This Row],[Gruppenschlüssel]]=select!$B$1487)=TRUE,1,0)</f>
        <v>0</v>
      </c>
      <c r="AH329" s="451">
        <f ca="1">IF(AND(Scharniere[[#This Row],[Scharnierart]]=select!$A$1488,Scharniere[[#This Row],[Gruppenschlüssel]]=select!$B$1488)=TRUE,1,0)</f>
        <v>0</v>
      </c>
      <c r="AI329" s="451">
        <f ca="1">IF(SUM(Scharniere[[#This Row],[konf Scharnier 1]:[konf Scharnier 4]])&gt;0,1,0)</f>
        <v>0</v>
      </c>
      <c r="AJ329" s="451"/>
      <c r="AK329" s="451"/>
      <c r="AL329" s="451"/>
      <c r="AM329" s="451"/>
      <c r="AN329" s="451"/>
      <c r="AO329" s="146">
        <v>1</v>
      </c>
      <c r="AP329" s="146">
        <v>2</v>
      </c>
      <c r="AQ329" s="10" t="str">
        <f ca="1">Sprache!$A$110</f>
        <v>Tiomos Scharnier T Click-on</v>
      </c>
      <c r="AR329" t="s">
        <v>240</v>
      </c>
      <c r="AS329" t="str">
        <f ca="1">Sprache!$A$103</f>
        <v>Tiomos Click-On Scharniere</v>
      </c>
      <c r="AT329">
        <v>3</v>
      </c>
      <c r="AU329" s="34" t="s">
        <v>8</v>
      </c>
      <c r="AV329">
        <v>120</v>
      </c>
      <c r="AW329" s="10">
        <v>0</v>
      </c>
      <c r="AX329">
        <v>1</v>
      </c>
      <c r="AY329">
        <v>0</v>
      </c>
      <c r="AZ329" s="10">
        <v>1</v>
      </c>
      <c r="BA329">
        <v>0</v>
      </c>
      <c r="BB329">
        <v>0</v>
      </c>
      <c r="BC329">
        <v>0</v>
      </c>
      <c r="BD329" s="143" t="s">
        <v>438</v>
      </c>
      <c r="BG329"/>
    </row>
    <row r="330" spans="1:59" ht="14.25" customHeight="1" x14ac:dyDescent="0.25">
      <c r="A330" s="37" t="str">
        <f>LEFT(Scharniere[[#This Row],[ArtikelNR]],4)</f>
        <v>F028</v>
      </c>
      <c r="B330" s="35" t="str">
        <f>MID(Scharniere[[#This Row],[ArtikelNR]],5,3)</f>
        <v>138</v>
      </c>
      <c r="C330" s="37" t="str">
        <f>RIGHT(Scharniere[[#This Row],[ArtikelNR]],3)</f>
        <v>122</v>
      </c>
      <c r="D330" s="35">
        <f>IF(AND(Scharniere[[#This Row],[Gruppenschlüssel]]=select!$A$44,Scharniere[[#This Row],[Scharnierart]]=1)=TRUE,1,0)</f>
        <v>0</v>
      </c>
      <c r="E3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0" s="35">
        <f>IF(select!$F$57=IF(Scharniere[[#This Row],[mit Dämpfung]]=1,1,IF(Scharniere[[#This Row],[ohne Dämpfung]]=1,2,IF(Scharniere[[#This Row],[ohne Feder]]=1,3,0))),1,0)</f>
        <v>0</v>
      </c>
      <c r="G330" s="35">
        <f>IF(Scharniere[[#This Row],[Bohrbild]]=select!$V$43,1,0)</f>
        <v>1</v>
      </c>
      <c r="H330" s="35">
        <f>IF(IF(Scharniere[[#This Row],[Anschrauben]]=1,1,IF(Scharniere[[#This Row],[Einpressen]]=1,2,IF(Scharniere[[#This Row],[Quick]]=1,3,IF(Scharniere[[#This Row],[Werkzeuglos]]=1,4,0))))=select!$F$48,1,0)</f>
        <v>0</v>
      </c>
      <c r="I3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0" s="149">
        <f>IF(AND(Scharniere[[#This Row],[Scharnierart]]=2,Scharniere[[#This Row],[Gruppenschlüssel]]=select!$A$318)=TRUE,1,0)</f>
        <v>0</v>
      </c>
      <c r="K330" s="221">
        <f ca="1">IF(select!$O$424&lt;6,1,0)</f>
        <v>1</v>
      </c>
      <c r="L330" s="139">
        <f>IF(select!$A$362=IF(Scharniere[[#This Row],[mit Dämpfung]]=1,1,IF(Scharniere[[#This Row],[ohne Dämpfung]]=1,2,IF(Scharniere[[#This Row],[ohne Feder]]=1,3,0))),1,0)</f>
        <v>1</v>
      </c>
      <c r="M330" s="135">
        <f>IF(Scharniere[[#This Row],[Bohrbild]]=select!$O$334,1,0)</f>
        <v>1</v>
      </c>
      <c r="N330" s="135">
        <f>IF(IF(Scharniere[[#This Row],[Anschrauben]]=1,1,IF(Scharniere[[#This Row],[Einpressen]]=1,2,IF(Scharniere[[#This Row],[Quick]]=1,3,IF(Scharniere[[#This Row],[Werkzeuglos]]=1,4,0))))=select!$E$362,1,0)</f>
        <v>1</v>
      </c>
      <c r="O3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0" s="298">
        <f>IF(AND(Scharniere[[#This Row],[Scharnierart]]=3,Scharniere[[#This Row],[Gruppenschlüssel]]=select!$A$747)=TRUE,1,0)</f>
        <v>0</v>
      </c>
      <c r="Q330" s="298">
        <f ca="1">IF(select!$O$945&lt;6,1,0)</f>
        <v>1</v>
      </c>
      <c r="R330" s="298">
        <f>IF(select!$A$778=IF(Scharniere[[#This Row],[mit Dämpfung]]=1,1,IF(Scharniere[[#This Row],[ohne Dämpfung]]=1,2,IF(Scharniere[[#This Row],[ohne Feder]]=1,3,0))),1,0)</f>
        <v>0</v>
      </c>
      <c r="S330" s="298">
        <f>IF(Scharniere[[#This Row],[Bohrbild]]=select!$A$755,1,0)</f>
        <v>0</v>
      </c>
      <c r="T330" s="298">
        <f>IF(IF(Scharniere[[#This Row],[Anschrauben]]=1,1,IF(Scharniere[[#This Row],[Einpressen]]=1,2,IF(Scharniere[[#This Row],[Quick]]=1,3,IF(Scharniere[[#This Row],[Werkzeuglos]]=1,4,0))))=select!$A$769,1,0)</f>
        <v>1</v>
      </c>
      <c r="U3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0" s="359">
        <f>IF(AND(Scharniere[[#This Row],[Scharnierart]]=4,Scharniere[[#This Row],[Gruppenschlüssel]]=select!$A$981)=TRUE,1,0)</f>
        <v>0</v>
      </c>
      <c r="W330" s="359">
        <f ca="1">IF(select!$O$1185&lt;6,1,0)</f>
        <v>1</v>
      </c>
      <c r="X330" s="359">
        <f>IF(select!$A$1012=IF(Scharniere[[#This Row],[mit Dämpfung]]=1,1,IF(Scharniere[[#This Row],[ohne Dämpfung]]=1,2,IF(Scharniere[[#This Row],[ohne Feder]]=1,3,0))),1,0)</f>
        <v>0</v>
      </c>
      <c r="Y330" s="359">
        <f>IF(Scharniere[[#This Row],[Bohrbild]]=select!$A$989,1,0)</f>
        <v>0</v>
      </c>
      <c r="Z330" s="359">
        <f>IF(IF(Scharniere[[#This Row],[Anschrauben]]=1,1,IF(Scharniere[[#This Row],[Einpressen]]=1,2,IF(Scharniere[[#This Row],[Quick]]=1,3,IF(Scharniere[[#This Row],[Werkzeuglos]]=1,4,0))))=select!$A$1003,1,0)</f>
        <v>1</v>
      </c>
      <c r="AA3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0" s="359">
        <f ca="1">IF(select!$K$980="*",Scharniere[[#This Row],[AG Ges2]],Scharniere[[#This Row],[AG Ges1]])</f>
        <v>0</v>
      </c>
      <c r="AE330" s="451">
        <f ca="1">IF(AND(Scharniere[[#This Row],[Scharnierart]]=select!$A$1485,Scharniere[[#This Row],[Gruppenschlüssel]]=select!$B$1485)=TRUE,1,0)</f>
        <v>0</v>
      </c>
      <c r="AF330" s="451">
        <f ca="1">IF(AND(Scharniere[[#This Row],[Scharnierart]]=select!$A$1486,Scharniere[[#This Row],[Gruppenschlüssel]]=select!$B$1486)=TRUE,1,0)</f>
        <v>0</v>
      </c>
      <c r="AG330" s="451">
        <f ca="1">IF(AND(Scharniere[[#This Row],[Scharnierart]]=select!$A$1487,Scharniere[[#This Row],[Gruppenschlüssel]]=select!$B$1487)=TRUE,1,0)</f>
        <v>0</v>
      </c>
      <c r="AH330" s="451">
        <f ca="1">IF(AND(Scharniere[[#This Row],[Scharnierart]]=select!$A$1488,Scharniere[[#This Row],[Gruppenschlüssel]]=select!$B$1488)=TRUE,1,0)</f>
        <v>0</v>
      </c>
      <c r="AI330" s="451">
        <f ca="1">IF(SUM(Scharniere[[#This Row],[konf Scharnier 1]:[konf Scharnier 4]])&gt;0,1,0)</f>
        <v>0</v>
      </c>
      <c r="AJ330" s="451"/>
      <c r="AK330" s="451"/>
      <c r="AL330" s="451"/>
      <c r="AM330" s="451"/>
      <c r="AN330" s="451"/>
      <c r="AO330" s="146">
        <v>1</v>
      </c>
      <c r="AP330" s="146">
        <v>2</v>
      </c>
      <c r="AQ330" s="10" t="str">
        <f ca="1">Sprache!$A$112</f>
        <v>Tiomos Scharnier TS Click-on</v>
      </c>
      <c r="AR330" t="s">
        <v>240</v>
      </c>
      <c r="AS330" t="str">
        <f ca="1">Sprache!$A$103</f>
        <v>Tiomos Click-On Scharniere</v>
      </c>
      <c r="AT330">
        <v>3</v>
      </c>
      <c r="AU330" s="34" t="s">
        <v>8</v>
      </c>
      <c r="AV330">
        <v>120</v>
      </c>
      <c r="AW330" s="10">
        <v>1</v>
      </c>
      <c r="AX330">
        <v>0</v>
      </c>
      <c r="AY330">
        <v>0</v>
      </c>
      <c r="AZ330" s="10">
        <v>1</v>
      </c>
      <c r="BA330">
        <v>0</v>
      </c>
      <c r="BB330">
        <v>0</v>
      </c>
      <c r="BC330">
        <v>0</v>
      </c>
      <c r="BD330" s="143" t="s">
        <v>239</v>
      </c>
      <c r="BG330"/>
    </row>
    <row r="331" spans="1:59" ht="14.25" customHeight="1" x14ac:dyDescent="0.25">
      <c r="A331" s="37" t="str">
        <f>LEFT(Scharniere[[#This Row],[ArtikelNR]],4)</f>
        <v>F046</v>
      </c>
      <c r="B331" s="35" t="str">
        <f>MID(Scharniere[[#This Row],[ArtikelNR]],5,3)</f>
        <v>138</v>
      </c>
      <c r="C331" s="37" t="str">
        <f>RIGHT(Scharniere[[#This Row],[ArtikelNR]],3)</f>
        <v>213</v>
      </c>
      <c r="D331" s="35">
        <f>IF(AND(Scharniere[[#This Row],[Gruppenschlüssel]]=select!$A$44,Scharniere[[#This Row],[Scharnierart]]=1)=TRUE,1,0)</f>
        <v>0</v>
      </c>
      <c r="E3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1" s="35">
        <f>IF(select!$F$57=IF(Scharniere[[#This Row],[mit Dämpfung]]=1,1,IF(Scharniere[[#This Row],[ohne Dämpfung]]=1,2,IF(Scharniere[[#This Row],[ohne Feder]]=1,3,0))),1,0)</f>
        <v>1</v>
      </c>
      <c r="G331" s="35">
        <f>IF(Scharniere[[#This Row],[Bohrbild]]=select!$V$43,1,0)</f>
        <v>1</v>
      </c>
      <c r="H331" s="35">
        <f>IF(IF(Scharniere[[#This Row],[Anschrauben]]=1,1,IF(Scharniere[[#This Row],[Einpressen]]=1,2,IF(Scharniere[[#This Row],[Quick]]=1,3,IF(Scharniere[[#This Row],[Werkzeuglos]]=1,4,0))))=select!$F$48,1,0)</f>
        <v>0</v>
      </c>
      <c r="I3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1" s="149">
        <f>IF(AND(Scharniere[[#This Row],[Scharnierart]]=2,Scharniere[[#This Row],[Gruppenschlüssel]]=select!$A$318)=TRUE,1,0)</f>
        <v>0</v>
      </c>
      <c r="K331" s="221">
        <f ca="1">IF(select!$O$424&lt;6,1,0)</f>
        <v>1</v>
      </c>
      <c r="L331" s="139">
        <f>IF(select!$A$362=IF(Scharniere[[#This Row],[mit Dämpfung]]=1,1,IF(Scharniere[[#This Row],[ohne Dämpfung]]=1,2,IF(Scharniere[[#This Row],[ohne Feder]]=1,3,0))),1,0)</f>
        <v>0</v>
      </c>
      <c r="M331" s="135">
        <f>IF(Scharniere[[#This Row],[Bohrbild]]=select!$O$334,1,0)</f>
        <v>1</v>
      </c>
      <c r="N331" s="135">
        <f>IF(IF(Scharniere[[#This Row],[Anschrauben]]=1,1,IF(Scharniere[[#This Row],[Einpressen]]=1,2,IF(Scharniere[[#This Row],[Quick]]=1,3,IF(Scharniere[[#This Row],[Werkzeuglos]]=1,4,0))))=select!$E$362,1,0)</f>
        <v>1</v>
      </c>
      <c r="O3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1" s="298">
        <f>IF(AND(Scharniere[[#This Row],[Scharnierart]]=3,Scharniere[[#This Row],[Gruppenschlüssel]]=select!$A$747)=TRUE,1,0)</f>
        <v>0</v>
      </c>
      <c r="Q331" s="298">
        <f ca="1">IF(select!$O$945&lt;6,1,0)</f>
        <v>1</v>
      </c>
      <c r="R331" s="298">
        <f>IF(select!$A$778=IF(Scharniere[[#This Row],[mit Dämpfung]]=1,1,IF(Scharniere[[#This Row],[ohne Dämpfung]]=1,2,IF(Scharniere[[#This Row],[ohne Feder]]=1,3,0))),1,0)</f>
        <v>0</v>
      </c>
      <c r="S331" s="298">
        <f>IF(Scharniere[[#This Row],[Bohrbild]]=select!$A$755,1,0)</f>
        <v>0</v>
      </c>
      <c r="T331" s="298">
        <f>IF(IF(Scharniere[[#This Row],[Anschrauben]]=1,1,IF(Scharniere[[#This Row],[Einpressen]]=1,2,IF(Scharniere[[#This Row],[Quick]]=1,3,IF(Scharniere[[#This Row],[Werkzeuglos]]=1,4,0))))=select!$A$769,1,0)</f>
        <v>1</v>
      </c>
      <c r="U3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1" s="359">
        <f>IF(AND(Scharniere[[#This Row],[Scharnierart]]=4,Scharniere[[#This Row],[Gruppenschlüssel]]=select!$A$981)=TRUE,1,0)</f>
        <v>0</v>
      </c>
      <c r="W331" s="359">
        <f ca="1">IF(select!$O$1185&lt;6,1,0)</f>
        <v>1</v>
      </c>
      <c r="X331" s="359">
        <f>IF(select!$A$1012=IF(Scharniere[[#This Row],[mit Dämpfung]]=1,1,IF(Scharniere[[#This Row],[ohne Dämpfung]]=1,2,IF(Scharniere[[#This Row],[ohne Feder]]=1,3,0))),1,0)</f>
        <v>0</v>
      </c>
      <c r="Y331" s="359">
        <f>IF(Scharniere[[#This Row],[Bohrbild]]=select!$A$989,1,0)</f>
        <v>0</v>
      </c>
      <c r="Z331" s="359">
        <f>IF(IF(Scharniere[[#This Row],[Anschrauben]]=1,1,IF(Scharniere[[#This Row],[Einpressen]]=1,2,IF(Scharniere[[#This Row],[Quick]]=1,3,IF(Scharniere[[#This Row],[Werkzeuglos]]=1,4,0))))=select!$A$1003,1,0)</f>
        <v>1</v>
      </c>
      <c r="AA3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1" s="359">
        <f ca="1">IF(select!$K$980="*",Scharniere[[#This Row],[AG Ges2]],Scharniere[[#This Row],[AG Ges1]])</f>
        <v>0</v>
      </c>
      <c r="AE331" s="451">
        <f ca="1">IF(AND(Scharniere[[#This Row],[Scharnierart]]=select!$A$1485,Scharniere[[#This Row],[Gruppenschlüssel]]=select!$B$1485)=TRUE,1,0)</f>
        <v>0</v>
      </c>
      <c r="AF331" s="451">
        <f ca="1">IF(AND(Scharniere[[#This Row],[Scharnierart]]=select!$A$1486,Scharniere[[#This Row],[Gruppenschlüssel]]=select!$B$1486)=TRUE,1,0)</f>
        <v>0</v>
      </c>
      <c r="AG331" s="451">
        <f ca="1">IF(AND(Scharniere[[#This Row],[Scharnierart]]=select!$A$1487,Scharniere[[#This Row],[Gruppenschlüssel]]=select!$B$1487)=TRUE,1,0)</f>
        <v>0</v>
      </c>
      <c r="AH331" s="451">
        <f ca="1">IF(AND(Scharniere[[#This Row],[Scharnierart]]=select!$A$1488,Scharniere[[#This Row],[Gruppenschlüssel]]=select!$B$1488)=TRUE,1,0)</f>
        <v>0</v>
      </c>
      <c r="AI331" s="451">
        <f ca="1">IF(SUM(Scharniere[[#This Row],[konf Scharnier 1]:[konf Scharnier 4]])&gt;0,1,0)</f>
        <v>0</v>
      </c>
      <c r="AJ331" s="451"/>
      <c r="AK331" s="451"/>
      <c r="AL331" s="451"/>
      <c r="AM331" s="451"/>
      <c r="AN331" s="451"/>
      <c r="AO331" s="146">
        <v>1</v>
      </c>
      <c r="AP331" s="146">
        <v>2</v>
      </c>
      <c r="AQ331" s="10" t="str">
        <f ca="1">Sprache!$A$114</f>
        <v>Tiomos Scharnier TT Click-on</v>
      </c>
      <c r="AR331" t="s">
        <v>240</v>
      </c>
      <c r="AS331" t="str">
        <f ca="1">Sprache!$A$103</f>
        <v>Tiomos Click-On Scharniere</v>
      </c>
      <c r="AT331">
        <v>3</v>
      </c>
      <c r="AU331" t="s">
        <v>8</v>
      </c>
      <c r="AV331">
        <v>120</v>
      </c>
      <c r="AW331" s="10">
        <v>0</v>
      </c>
      <c r="AX331">
        <v>0</v>
      </c>
      <c r="AY331">
        <v>1</v>
      </c>
      <c r="AZ331" s="10">
        <v>1</v>
      </c>
      <c r="BA331">
        <v>0</v>
      </c>
      <c r="BB331">
        <v>0</v>
      </c>
      <c r="BC331">
        <v>0</v>
      </c>
      <c r="BD331" s="143" t="s">
        <v>590</v>
      </c>
      <c r="BG331"/>
    </row>
    <row r="332" spans="1:59" ht="14.25" customHeight="1" x14ac:dyDescent="0.25">
      <c r="A332" s="37" t="str">
        <f>LEFT(Scharniere[[#This Row],[ArtikelNR]],4)</f>
        <v>F034</v>
      </c>
      <c r="B332" s="35" t="str">
        <f>MID(Scharniere[[#This Row],[ArtikelNR]],5,3)</f>
        <v>139</v>
      </c>
      <c r="C332" s="37" t="str">
        <f>RIGHT(Scharniere[[#This Row],[ArtikelNR]],3)</f>
        <v>315</v>
      </c>
      <c r="D332" s="35">
        <f>IF(AND(Scharniere[[#This Row],[Gruppenschlüssel]]=select!$A$44,Scharniere[[#This Row],[Scharnierart]]=1)=TRUE,1,0)</f>
        <v>0</v>
      </c>
      <c r="E3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2" s="35">
        <f>IF(select!$F$57=IF(Scharniere[[#This Row],[mit Dämpfung]]=1,1,IF(Scharniere[[#This Row],[ohne Dämpfung]]=1,2,IF(Scharniere[[#This Row],[ohne Feder]]=1,3,0))),1,0)</f>
        <v>0</v>
      </c>
      <c r="G332" s="35">
        <f>IF(Scharniere[[#This Row],[Bohrbild]]=select!$V$43,1,0)</f>
        <v>1</v>
      </c>
      <c r="H332" s="35">
        <f>IF(IF(Scharniere[[#This Row],[Anschrauben]]=1,1,IF(Scharniere[[#This Row],[Einpressen]]=1,2,IF(Scharniere[[#This Row],[Quick]]=1,3,IF(Scharniere[[#This Row],[Werkzeuglos]]=1,4,0))))=select!$F$48,1,0)</f>
        <v>0</v>
      </c>
      <c r="I3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2" s="149">
        <f>IF(AND(Scharniere[[#This Row],[Scharnierart]]=2,Scharniere[[#This Row],[Gruppenschlüssel]]=select!$A$318)=TRUE,1,0)</f>
        <v>0</v>
      </c>
      <c r="K332" s="221">
        <f ca="1">IF(select!$O$424&lt;6,1,0)</f>
        <v>1</v>
      </c>
      <c r="L332" s="139">
        <f>IF(select!$A$362=IF(Scharniere[[#This Row],[mit Dämpfung]]=1,1,IF(Scharniere[[#This Row],[ohne Dämpfung]]=1,2,IF(Scharniere[[#This Row],[ohne Feder]]=1,3,0))),1,0)</f>
        <v>0</v>
      </c>
      <c r="M332" s="135">
        <f>IF(Scharniere[[#This Row],[Bohrbild]]=select!$O$334,1,0)</f>
        <v>1</v>
      </c>
      <c r="N332" s="135">
        <f>IF(IF(Scharniere[[#This Row],[Anschrauben]]=1,1,IF(Scharniere[[#This Row],[Einpressen]]=1,2,IF(Scharniere[[#This Row],[Quick]]=1,3,IF(Scharniere[[#This Row],[Werkzeuglos]]=1,4,0))))=select!$E$362,1,0)</f>
        <v>0</v>
      </c>
      <c r="O3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2" s="298">
        <f>IF(AND(Scharniere[[#This Row],[Scharnierart]]=3,Scharniere[[#This Row],[Gruppenschlüssel]]=select!$A$747)=TRUE,1,0)</f>
        <v>0</v>
      </c>
      <c r="Q332" s="298">
        <f ca="1">IF(select!$O$945&lt;6,1,0)</f>
        <v>1</v>
      </c>
      <c r="R332" s="298">
        <f>IF(select!$A$778=IF(Scharniere[[#This Row],[mit Dämpfung]]=1,1,IF(Scharniere[[#This Row],[ohne Dämpfung]]=1,2,IF(Scharniere[[#This Row],[ohne Feder]]=1,3,0))),1,0)</f>
        <v>1</v>
      </c>
      <c r="S332" s="298">
        <f>IF(Scharniere[[#This Row],[Bohrbild]]=select!$A$755,1,0)</f>
        <v>0</v>
      </c>
      <c r="T332" s="298">
        <f>IF(IF(Scharniere[[#This Row],[Anschrauben]]=1,1,IF(Scharniere[[#This Row],[Einpressen]]=1,2,IF(Scharniere[[#This Row],[Quick]]=1,3,IF(Scharniere[[#This Row],[Werkzeuglos]]=1,4,0))))=select!$A$769,1,0)</f>
        <v>0</v>
      </c>
      <c r="U3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2" s="359">
        <f>IF(AND(Scharniere[[#This Row],[Scharnierart]]=4,Scharniere[[#This Row],[Gruppenschlüssel]]=select!$A$981)=TRUE,1,0)</f>
        <v>0</v>
      </c>
      <c r="W332" s="359">
        <f ca="1">IF(select!$O$1185&lt;6,1,0)</f>
        <v>1</v>
      </c>
      <c r="X332" s="359">
        <f>IF(select!$A$1012=IF(Scharniere[[#This Row],[mit Dämpfung]]=1,1,IF(Scharniere[[#This Row],[ohne Dämpfung]]=1,2,IF(Scharniere[[#This Row],[ohne Feder]]=1,3,0))),1,0)</f>
        <v>1</v>
      </c>
      <c r="Y332" s="359">
        <f>IF(Scharniere[[#This Row],[Bohrbild]]=select!$A$989,1,0)</f>
        <v>0</v>
      </c>
      <c r="Z332" s="359">
        <f>IF(IF(Scharniere[[#This Row],[Anschrauben]]=1,1,IF(Scharniere[[#This Row],[Einpressen]]=1,2,IF(Scharniere[[#This Row],[Quick]]=1,3,IF(Scharniere[[#This Row],[Werkzeuglos]]=1,4,0))))=select!$A$1003,1,0)</f>
        <v>0</v>
      </c>
      <c r="AA3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2" s="359">
        <f ca="1">IF(select!$K$980="*",Scharniere[[#This Row],[AG Ges2]],Scharniere[[#This Row],[AG Ges1]])</f>
        <v>0</v>
      </c>
      <c r="AE332" s="451">
        <f ca="1">IF(AND(Scharniere[[#This Row],[Scharnierart]]=select!$A$1485,Scharniere[[#This Row],[Gruppenschlüssel]]=select!$B$1485)=TRUE,1,0)</f>
        <v>0</v>
      </c>
      <c r="AF332" s="451">
        <f ca="1">IF(AND(Scharniere[[#This Row],[Scharnierart]]=select!$A$1486,Scharniere[[#This Row],[Gruppenschlüssel]]=select!$B$1486)=TRUE,1,0)</f>
        <v>0</v>
      </c>
      <c r="AG332" s="451">
        <f ca="1">IF(AND(Scharniere[[#This Row],[Scharnierart]]=select!$A$1487,Scharniere[[#This Row],[Gruppenschlüssel]]=select!$B$1487)=TRUE,1,0)</f>
        <v>0</v>
      </c>
      <c r="AH332" s="451">
        <f ca="1">IF(AND(Scharniere[[#This Row],[Scharnierart]]=select!$A$1488,Scharniere[[#This Row],[Gruppenschlüssel]]=select!$B$1488)=TRUE,1,0)</f>
        <v>0</v>
      </c>
      <c r="AI332" s="451">
        <f ca="1">IF(SUM(Scharniere[[#This Row],[konf Scharnier 1]:[konf Scharnier 4]])&gt;0,1,0)</f>
        <v>0</v>
      </c>
      <c r="AJ332" s="451"/>
      <c r="AK332" s="451"/>
      <c r="AL332" s="451"/>
      <c r="AM332" s="451"/>
      <c r="AN332" s="451"/>
      <c r="AO332" s="146">
        <v>1</v>
      </c>
      <c r="AP332" s="146">
        <v>2</v>
      </c>
      <c r="AQ332" s="10" t="str">
        <f ca="1">Sprache!$A$111</f>
        <v>Tiomos Scharnier T Impresso</v>
      </c>
      <c r="AR332" t="s">
        <v>69</v>
      </c>
      <c r="AS332" t="str">
        <f ca="1">Sprache!$A$116</f>
        <v>Tiomos Impresso Scharniere</v>
      </c>
      <c r="AT332">
        <v>3</v>
      </c>
      <c r="AU332" s="34" t="s">
        <v>8</v>
      </c>
      <c r="AV332">
        <v>120</v>
      </c>
      <c r="AW332" s="10">
        <v>0</v>
      </c>
      <c r="AX332">
        <v>1</v>
      </c>
      <c r="AY332">
        <v>0</v>
      </c>
      <c r="AZ332" s="10">
        <v>0</v>
      </c>
      <c r="BA332">
        <v>0</v>
      </c>
      <c r="BB332">
        <v>0</v>
      </c>
      <c r="BC332">
        <v>1</v>
      </c>
      <c r="BD332" s="143" t="s">
        <v>141</v>
      </c>
      <c r="BG332"/>
    </row>
    <row r="333" spans="1:59" ht="14.25" customHeight="1" x14ac:dyDescent="0.25">
      <c r="A333" s="37" t="str">
        <f>LEFT(Scharniere[[#This Row],[ArtikelNR]],4)</f>
        <v>F034</v>
      </c>
      <c r="B333" s="35" t="str">
        <f>MID(Scharniere[[#This Row],[ArtikelNR]],5,3)</f>
        <v>139</v>
      </c>
      <c r="C333" s="37" t="str">
        <f>RIGHT(Scharniere[[#This Row],[ArtikelNR]],3)</f>
        <v>315</v>
      </c>
      <c r="D333" s="35">
        <f>IF(AND(Scharniere[[#This Row],[Gruppenschlüssel]]=select!$A$44,Scharniere[[#This Row],[Scharnierart]]=1)=TRUE,1,0)</f>
        <v>0</v>
      </c>
      <c r="E3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3" s="35">
        <f>IF(select!$F$57=IF(Scharniere[[#This Row],[mit Dämpfung]]=1,1,IF(Scharniere[[#This Row],[ohne Dämpfung]]=1,2,IF(Scharniere[[#This Row],[ohne Feder]]=1,3,0))),1,0)</f>
        <v>0</v>
      </c>
      <c r="G333" s="35">
        <f>IF(Scharniere[[#This Row],[Bohrbild]]=select!$V$43,1,0)</f>
        <v>0</v>
      </c>
      <c r="H333" s="35">
        <f>IF(IF(Scharniere[[#This Row],[Anschrauben]]=1,1,IF(Scharniere[[#This Row],[Einpressen]]=1,2,IF(Scharniere[[#This Row],[Quick]]=1,3,IF(Scharniere[[#This Row],[Werkzeuglos]]=1,4,0))))=select!$F$48,1,0)</f>
        <v>0</v>
      </c>
      <c r="I3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3" s="149">
        <f>IF(AND(Scharniere[[#This Row],[Scharnierart]]=2,Scharniere[[#This Row],[Gruppenschlüssel]]=select!$A$318)=TRUE,1,0)</f>
        <v>0</v>
      </c>
      <c r="K333" s="221">
        <f ca="1">IF(select!$O$424&lt;6,1,0)</f>
        <v>1</v>
      </c>
      <c r="L333" s="139">
        <f>IF(select!$A$362=IF(Scharniere[[#This Row],[mit Dämpfung]]=1,1,IF(Scharniere[[#This Row],[ohne Dämpfung]]=1,2,IF(Scharniere[[#This Row],[ohne Feder]]=1,3,0))),1,0)</f>
        <v>0</v>
      </c>
      <c r="M333" s="135">
        <f>IF(Scharniere[[#This Row],[Bohrbild]]=select!$O$334,1,0)</f>
        <v>0</v>
      </c>
      <c r="N333" s="135">
        <f>IF(IF(Scharniere[[#This Row],[Anschrauben]]=1,1,IF(Scharniere[[#This Row],[Einpressen]]=1,2,IF(Scharniere[[#This Row],[Quick]]=1,3,IF(Scharniere[[#This Row],[Werkzeuglos]]=1,4,0))))=select!$E$362,1,0)</f>
        <v>0</v>
      </c>
      <c r="O3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3" s="298">
        <f>IF(AND(Scharniere[[#This Row],[Scharnierart]]=3,Scharniere[[#This Row],[Gruppenschlüssel]]=select!$A$747)=TRUE,1,0)</f>
        <v>0</v>
      </c>
      <c r="Q333" s="298">
        <f ca="1">IF(select!$O$945&lt;6,1,0)</f>
        <v>1</v>
      </c>
      <c r="R333" s="298">
        <f>IF(select!$A$778=IF(Scharniere[[#This Row],[mit Dämpfung]]=1,1,IF(Scharniere[[#This Row],[ohne Dämpfung]]=1,2,IF(Scharniere[[#This Row],[ohne Feder]]=1,3,0))),1,0)</f>
        <v>1</v>
      </c>
      <c r="S333" s="298">
        <f>IF(Scharniere[[#This Row],[Bohrbild]]=select!$A$755,1,0)</f>
        <v>0</v>
      </c>
      <c r="T333" s="298">
        <f>IF(IF(Scharniere[[#This Row],[Anschrauben]]=1,1,IF(Scharniere[[#This Row],[Einpressen]]=1,2,IF(Scharniere[[#This Row],[Quick]]=1,3,IF(Scharniere[[#This Row],[Werkzeuglos]]=1,4,0))))=select!$A$769,1,0)</f>
        <v>0</v>
      </c>
      <c r="U3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3" s="359">
        <f>IF(AND(Scharniere[[#This Row],[Scharnierart]]=4,Scharniere[[#This Row],[Gruppenschlüssel]]=select!$A$981)=TRUE,1,0)</f>
        <v>0</v>
      </c>
      <c r="W333" s="359">
        <f ca="1">IF(select!$O$1185&lt;6,1,0)</f>
        <v>1</v>
      </c>
      <c r="X333" s="359">
        <f>IF(select!$A$1012=IF(Scharniere[[#This Row],[mit Dämpfung]]=1,1,IF(Scharniere[[#This Row],[ohne Dämpfung]]=1,2,IF(Scharniere[[#This Row],[ohne Feder]]=1,3,0))),1,0)</f>
        <v>1</v>
      </c>
      <c r="Y333" s="359">
        <f>IF(Scharniere[[#This Row],[Bohrbild]]=select!$A$989,1,0)</f>
        <v>0</v>
      </c>
      <c r="Z333" s="359">
        <f>IF(IF(Scharniere[[#This Row],[Anschrauben]]=1,1,IF(Scharniere[[#This Row],[Einpressen]]=1,2,IF(Scharniere[[#This Row],[Quick]]=1,3,IF(Scharniere[[#This Row],[Werkzeuglos]]=1,4,0))))=select!$A$1003,1,0)</f>
        <v>0</v>
      </c>
      <c r="AA3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3" s="359">
        <f ca="1">IF(select!$K$980="*",Scharniere[[#This Row],[AG Ges2]],Scharniere[[#This Row],[AG Ges1]])</f>
        <v>0</v>
      </c>
      <c r="AE333" s="451">
        <f ca="1">IF(AND(Scharniere[[#This Row],[Scharnierart]]=select!$A$1485,Scharniere[[#This Row],[Gruppenschlüssel]]=select!$B$1485)=TRUE,1,0)</f>
        <v>0</v>
      </c>
      <c r="AF333" s="451">
        <f ca="1">IF(AND(Scharniere[[#This Row],[Scharnierart]]=select!$A$1486,Scharniere[[#This Row],[Gruppenschlüssel]]=select!$B$1486)=TRUE,1,0)</f>
        <v>0</v>
      </c>
      <c r="AG333" s="451">
        <f ca="1">IF(AND(Scharniere[[#This Row],[Scharnierart]]=select!$A$1487,Scharniere[[#This Row],[Gruppenschlüssel]]=select!$B$1487)=TRUE,1,0)</f>
        <v>0</v>
      </c>
      <c r="AH333" s="451">
        <f ca="1">IF(AND(Scharniere[[#This Row],[Scharnierart]]=select!$A$1488,Scharniere[[#This Row],[Gruppenschlüssel]]=select!$B$1488)=TRUE,1,0)</f>
        <v>0</v>
      </c>
      <c r="AI333" s="451">
        <f ca="1">IF(SUM(Scharniere[[#This Row],[konf Scharnier 1]:[konf Scharnier 4]])&gt;0,1,0)</f>
        <v>0</v>
      </c>
      <c r="AJ333" s="451"/>
      <c r="AK333" s="451"/>
      <c r="AL333" s="451"/>
      <c r="AM333" s="451"/>
      <c r="AN333" s="451"/>
      <c r="AO333" s="146">
        <v>1</v>
      </c>
      <c r="AP333" s="146">
        <v>2</v>
      </c>
      <c r="AQ333" s="10" t="str">
        <f ca="1">Sprache!$A$111</f>
        <v>Tiomos Scharnier T Impresso</v>
      </c>
      <c r="AR333" t="s">
        <v>69</v>
      </c>
      <c r="AS333" t="str">
        <f ca="1">Sprache!$A$116</f>
        <v>Tiomos Impresso Scharniere</v>
      </c>
      <c r="AT333">
        <v>3</v>
      </c>
      <c r="AU333" s="34" t="s">
        <v>3</v>
      </c>
      <c r="AV333">
        <v>120</v>
      </c>
      <c r="AW333" s="10">
        <v>0</v>
      </c>
      <c r="AX333">
        <v>1</v>
      </c>
      <c r="AY333">
        <v>0</v>
      </c>
      <c r="AZ333" s="10">
        <v>0</v>
      </c>
      <c r="BA333">
        <v>0</v>
      </c>
      <c r="BB333">
        <v>0</v>
      </c>
      <c r="BC333">
        <v>1</v>
      </c>
      <c r="BD333" s="143" t="s">
        <v>141</v>
      </c>
      <c r="BG333"/>
    </row>
    <row r="334" spans="1:59" ht="14.25" customHeight="1" x14ac:dyDescent="0.25">
      <c r="A334" s="37" t="str">
        <f>LEFT(Scharniere[[#This Row],[ArtikelNR]],4)</f>
        <v>F017</v>
      </c>
      <c r="B334" s="35" t="str">
        <f>MID(Scharniere[[#This Row],[ArtikelNR]],5,3)</f>
        <v>139</v>
      </c>
      <c r="C334" s="37" t="str">
        <f>RIGHT(Scharniere[[#This Row],[ArtikelNR]],3)</f>
        <v>344</v>
      </c>
      <c r="D334" s="35">
        <f>IF(AND(Scharniere[[#This Row],[Gruppenschlüssel]]=select!$A$44,Scharniere[[#This Row],[Scharnierart]]=1)=TRUE,1,0)</f>
        <v>0</v>
      </c>
      <c r="E3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4" s="35">
        <f>IF(select!$F$57=IF(Scharniere[[#This Row],[mit Dämpfung]]=1,1,IF(Scharniere[[#This Row],[ohne Dämpfung]]=1,2,IF(Scharniere[[#This Row],[ohne Feder]]=1,3,0))),1,0)</f>
        <v>0</v>
      </c>
      <c r="G334" s="35">
        <f>IF(Scharniere[[#This Row],[Bohrbild]]=select!$V$43,1,0)</f>
        <v>1</v>
      </c>
      <c r="H334" s="35">
        <f>IF(IF(Scharniere[[#This Row],[Anschrauben]]=1,1,IF(Scharniere[[#This Row],[Einpressen]]=1,2,IF(Scharniere[[#This Row],[Quick]]=1,3,IF(Scharniere[[#This Row],[Werkzeuglos]]=1,4,0))))=select!$F$48,1,0)</f>
        <v>0</v>
      </c>
      <c r="I3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4" s="149">
        <f>IF(AND(Scharniere[[#This Row],[Scharnierart]]=2,Scharniere[[#This Row],[Gruppenschlüssel]]=select!$A$318)=TRUE,1,0)</f>
        <v>0</v>
      </c>
      <c r="K334" s="221">
        <f ca="1">IF(select!$O$424&lt;6,1,0)</f>
        <v>1</v>
      </c>
      <c r="L334" s="139">
        <f>IF(select!$A$362=IF(Scharniere[[#This Row],[mit Dämpfung]]=1,1,IF(Scharniere[[#This Row],[ohne Dämpfung]]=1,2,IF(Scharniere[[#This Row],[ohne Feder]]=1,3,0))),1,0)</f>
        <v>1</v>
      </c>
      <c r="M334" s="135">
        <f>IF(Scharniere[[#This Row],[Bohrbild]]=select!$O$334,1,0)</f>
        <v>1</v>
      </c>
      <c r="N334" s="135">
        <f>IF(IF(Scharniere[[#This Row],[Anschrauben]]=1,1,IF(Scharniere[[#This Row],[Einpressen]]=1,2,IF(Scharniere[[#This Row],[Quick]]=1,3,IF(Scharniere[[#This Row],[Werkzeuglos]]=1,4,0))))=select!$E$362,1,0)</f>
        <v>0</v>
      </c>
      <c r="O3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4" s="298">
        <f>IF(AND(Scharniere[[#This Row],[Scharnierart]]=3,Scharniere[[#This Row],[Gruppenschlüssel]]=select!$A$747)=TRUE,1,0)</f>
        <v>0</v>
      </c>
      <c r="Q334" s="298">
        <f ca="1">IF(select!$O$945&lt;6,1,0)</f>
        <v>1</v>
      </c>
      <c r="R334" s="298">
        <f>IF(select!$A$778=IF(Scharniere[[#This Row],[mit Dämpfung]]=1,1,IF(Scharniere[[#This Row],[ohne Dämpfung]]=1,2,IF(Scharniere[[#This Row],[ohne Feder]]=1,3,0))),1,0)</f>
        <v>0</v>
      </c>
      <c r="S334" s="298">
        <f>IF(Scharniere[[#This Row],[Bohrbild]]=select!$A$755,1,0)</f>
        <v>0</v>
      </c>
      <c r="T334" s="298">
        <f>IF(IF(Scharniere[[#This Row],[Anschrauben]]=1,1,IF(Scharniere[[#This Row],[Einpressen]]=1,2,IF(Scharniere[[#This Row],[Quick]]=1,3,IF(Scharniere[[#This Row],[Werkzeuglos]]=1,4,0))))=select!$A$769,1,0)</f>
        <v>0</v>
      </c>
      <c r="U3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4" s="359">
        <f>IF(AND(Scharniere[[#This Row],[Scharnierart]]=4,Scharniere[[#This Row],[Gruppenschlüssel]]=select!$A$981)=TRUE,1,0)</f>
        <v>0</v>
      </c>
      <c r="W334" s="359">
        <f ca="1">IF(select!$O$1185&lt;6,1,0)</f>
        <v>1</v>
      </c>
      <c r="X334" s="359">
        <f>IF(select!$A$1012=IF(Scharniere[[#This Row],[mit Dämpfung]]=1,1,IF(Scharniere[[#This Row],[ohne Dämpfung]]=1,2,IF(Scharniere[[#This Row],[ohne Feder]]=1,3,0))),1,0)</f>
        <v>0</v>
      </c>
      <c r="Y334" s="359">
        <f>IF(Scharniere[[#This Row],[Bohrbild]]=select!$A$989,1,0)</f>
        <v>0</v>
      </c>
      <c r="Z334" s="359">
        <f>IF(IF(Scharniere[[#This Row],[Anschrauben]]=1,1,IF(Scharniere[[#This Row],[Einpressen]]=1,2,IF(Scharniere[[#This Row],[Quick]]=1,3,IF(Scharniere[[#This Row],[Werkzeuglos]]=1,4,0))))=select!$A$1003,1,0)</f>
        <v>0</v>
      </c>
      <c r="AA3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4" s="359">
        <f ca="1">IF(select!$K$980="*",Scharniere[[#This Row],[AG Ges2]],Scharniere[[#This Row],[AG Ges1]])</f>
        <v>0</v>
      </c>
      <c r="AE334" s="451">
        <f ca="1">IF(AND(Scharniere[[#This Row],[Scharnierart]]=select!$A$1485,Scharniere[[#This Row],[Gruppenschlüssel]]=select!$B$1485)=TRUE,1,0)</f>
        <v>0</v>
      </c>
      <c r="AF334" s="451">
        <f ca="1">IF(AND(Scharniere[[#This Row],[Scharnierart]]=select!$A$1486,Scharniere[[#This Row],[Gruppenschlüssel]]=select!$B$1486)=TRUE,1,0)</f>
        <v>0</v>
      </c>
      <c r="AG334" s="451">
        <f ca="1">IF(AND(Scharniere[[#This Row],[Scharnierart]]=select!$A$1487,Scharniere[[#This Row],[Gruppenschlüssel]]=select!$B$1487)=TRUE,1,0)</f>
        <v>0</v>
      </c>
      <c r="AH334" s="451">
        <f ca="1">IF(AND(Scharniere[[#This Row],[Scharnierart]]=select!$A$1488,Scharniere[[#This Row],[Gruppenschlüssel]]=select!$B$1488)=TRUE,1,0)</f>
        <v>0</v>
      </c>
      <c r="AI334" s="451">
        <f ca="1">IF(SUM(Scharniere[[#This Row],[konf Scharnier 1]:[konf Scharnier 4]])&gt;0,1,0)</f>
        <v>0</v>
      </c>
      <c r="AJ334" s="451"/>
      <c r="AK334" s="451"/>
      <c r="AL334" s="451"/>
      <c r="AM334" s="451"/>
      <c r="AN334" s="451"/>
      <c r="AO334" s="146">
        <v>1</v>
      </c>
      <c r="AP334" s="146">
        <v>2</v>
      </c>
      <c r="AQ334" s="10" t="str">
        <f ca="1">Sprache!$A$113</f>
        <v>Tiomos Scharnier TS Impresso</v>
      </c>
      <c r="AR334" t="s">
        <v>69</v>
      </c>
      <c r="AS334" t="str">
        <f ca="1">Sprache!$A$116</f>
        <v>Tiomos Impresso Scharniere</v>
      </c>
      <c r="AT334">
        <v>3</v>
      </c>
      <c r="AU334" t="s">
        <v>8</v>
      </c>
      <c r="AV334">
        <v>120</v>
      </c>
      <c r="AW334" s="10">
        <v>1</v>
      </c>
      <c r="AX334">
        <v>0</v>
      </c>
      <c r="AY334">
        <v>0</v>
      </c>
      <c r="AZ334" s="10">
        <v>0</v>
      </c>
      <c r="BA334">
        <v>0</v>
      </c>
      <c r="BB334">
        <v>0</v>
      </c>
      <c r="BC334">
        <v>1</v>
      </c>
      <c r="BD334" s="143" t="s">
        <v>68</v>
      </c>
      <c r="BG334"/>
    </row>
    <row r="335" spans="1:59" ht="14.25" customHeight="1" x14ac:dyDescent="0.25">
      <c r="A335" s="37" t="str">
        <f>LEFT(Scharniere[[#This Row],[ArtikelNR]],4)</f>
        <v>F017</v>
      </c>
      <c r="B335" s="35" t="str">
        <f>MID(Scharniere[[#This Row],[ArtikelNR]],5,3)</f>
        <v>139</v>
      </c>
      <c r="C335" s="37" t="str">
        <f>RIGHT(Scharniere[[#This Row],[ArtikelNR]],3)</f>
        <v>344</v>
      </c>
      <c r="D335" s="35">
        <f>IF(AND(Scharniere[[#This Row],[Gruppenschlüssel]]=select!$A$44,Scharniere[[#This Row],[Scharnierart]]=1)=TRUE,1,0)</f>
        <v>0</v>
      </c>
      <c r="E3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5" s="35">
        <f>IF(select!$F$57=IF(Scharniere[[#This Row],[mit Dämpfung]]=1,1,IF(Scharniere[[#This Row],[ohne Dämpfung]]=1,2,IF(Scharniere[[#This Row],[ohne Feder]]=1,3,0))),1,0)</f>
        <v>0</v>
      </c>
      <c r="G335" s="35">
        <f>IF(Scharniere[[#This Row],[Bohrbild]]=select!$V$43,1,0)</f>
        <v>0</v>
      </c>
      <c r="H335" s="35">
        <f>IF(IF(Scharniere[[#This Row],[Anschrauben]]=1,1,IF(Scharniere[[#This Row],[Einpressen]]=1,2,IF(Scharniere[[#This Row],[Quick]]=1,3,IF(Scharniere[[#This Row],[Werkzeuglos]]=1,4,0))))=select!$F$48,1,0)</f>
        <v>0</v>
      </c>
      <c r="I3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5" s="149">
        <f>IF(AND(Scharniere[[#This Row],[Scharnierart]]=2,Scharniere[[#This Row],[Gruppenschlüssel]]=select!$A$318)=TRUE,1,0)</f>
        <v>0</v>
      </c>
      <c r="K335" s="221">
        <f ca="1">IF(select!$O$424&lt;6,1,0)</f>
        <v>1</v>
      </c>
      <c r="L335" s="139">
        <f>IF(select!$A$362=IF(Scharniere[[#This Row],[mit Dämpfung]]=1,1,IF(Scharniere[[#This Row],[ohne Dämpfung]]=1,2,IF(Scharniere[[#This Row],[ohne Feder]]=1,3,0))),1,0)</f>
        <v>1</v>
      </c>
      <c r="M335" s="135">
        <f>IF(Scharniere[[#This Row],[Bohrbild]]=select!$O$334,1,0)</f>
        <v>0</v>
      </c>
      <c r="N335" s="135">
        <f>IF(IF(Scharniere[[#This Row],[Anschrauben]]=1,1,IF(Scharniere[[#This Row],[Einpressen]]=1,2,IF(Scharniere[[#This Row],[Quick]]=1,3,IF(Scharniere[[#This Row],[Werkzeuglos]]=1,4,0))))=select!$E$362,1,0)</f>
        <v>0</v>
      </c>
      <c r="O3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5" s="298">
        <f>IF(AND(Scharniere[[#This Row],[Scharnierart]]=3,Scharniere[[#This Row],[Gruppenschlüssel]]=select!$A$747)=TRUE,1,0)</f>
        <v>0</v>
      </c>
      <c r="Q335" s="298">
        <f ca="1">IF(select!$O$945&lt;6,1,0)</f>
        <v>1</v>
      </c>
      <c r="R335" s="298">
        <f>IF(select!$A$778=IF(Scharniere[[#This Row],[mit Dämpfung]]=1,1,IF(Scharniere[[#This Row],[ohne Dämpfung]]=1,2,IF(Scharniere[[#This Row],[ohne Feder]]=1,3,0))),1,0)</f>
        <v>0</v>
      </c>
      <c r="S335" s="298">
        <f>IF(Scharniere[[#This Row],[Bohrbild]]=select!$A$755,1,0)</f>
        <v>0</v>
      </c>
      <c r="T335" s="298">
        <f>IF(IF(Scharniere[[#This Row],[Anschrauben]]=1,1,IF(Scharniere[[#This Row],[Einpressen]]=1,2,IF(Scharniere[[#This Row],[Quick]]=1,3,IF(Scharniere[[#This Row],[Werkzeuglos]]=1,4,0))))=select!$A$769,1,0)</f>
        <v>0</v>
      </c>
      <c r="U3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5" s="359">
        <f>IF(AND(Scharniere[[#This Row],[Scharnierart]]=4,Scharniere[[#This Row],[Gruppenschlüssel]]=select!$A$981)=TRUE,1,0)</f>
        <v>0</v>
      </c>
      <c r="W335" s="359">
        <f ca="1">IF(select!$O$1185&lt;6,1,0)</f>
        <v>1</v>
      </c>
      <c r="X335" s="359">
        <f>IF(select!$A$1012=IF(Scharniere[[#This Row],[mit Dämpfung]]=1,1,IF(Scharniere[[#This Row],[ohne Dämpfung]]=1,2,IF(Scharniere[[#This Row],[ohne Feder]]=1,3,0))),1,0)</f>
        <v>0</v>
      </c>
      <c r="Y335" s="359">
        <f>IF(Scharniere[[#This Row],[Bohrbild]]=select!$A$989,1,0)</f>
        <v>0</v>
      </c>
      <c r="Z335" s="359">
        <f>IF(IF(Scharniere[[#This Row],[Anschrauben]]=1,1,IF(Scharniere[[#This Row],[Einpressen]]=1,2,IF(Scharniere[[#This Row],[Quick]]=1,3,IF(Scharniere[[#This Row],[Werkzeuglos]]=1,4,0))))=select!$A$1003,1,0)</f>
        <v>0</v>
      </c>
      <c r="AA3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5" s="359">
        <f ca="1">IF(select!$K$980="*",Scharniere[[#This Row],[AG Ges2]],Scharniere[[#This Row],[AG Ges1]])</f>
        <v>0</v>
      </c>
      <c r="AE335" s="451">
        <f ca="1">IF(AND(Scharniere[[#This Row],[Scharnierart]]=select!$A$1485,Scharniere[[#This Row],[Gruppenschlüssel]]=select!$B$1485)=TRUE,1,0)</f>
        <v>0</v>
      </c>
      <c r="AF335" s="451">
        <f ca="1">IF(AND(Scharniere[[#This Row],[Scharnierart]]=select!$A$1486,Scharniere[[#This Row],[Gruppenschlüssel]]=select!$B$1486)=TRUE,1,0)</f>
        <v>0</v>
      </c>
      <c r="AG335" s="451">
        <f ca="1">IF(AND(Scharniere[[#This Row],[Scharnierart]]=select!$A$1487,Scharniere[[#This Row],[Gruppenschlüssel]]=select!$B$1487)=TRUE,1,0)</f>
        <v>0</v>
      </c>
      <c r="AH335" s="451">
        <f ca="1">IF(AND(Scharniere[[#This Row],[Scharnierart]]=select!$A$1488,Scharniere[[#This Row],[Gruppenschlüssel]]=select!$B$1488)=TRUE,1,0)</f>
        <v>0</v>
      </c>
      <c r="AI335" s="451">
        <f ca="1">IF(SUM(Scharniere[[#This Row],[konf Scharnier 1]:[konf Scharnier 4]])&gt;0,1,0)</f>
        <v>0</v>
      </c>
      <c r="AJ335" s="451"/>
      <c r="AK335" s="451"/>
      <c r="AL335" s="451"/>
      <c r="AM335" s="451"/>
      <c r="AN335" s="451"/>
      <c r="AO335" s="146">
        <v>1</v>
      </c>
      <c r="AP335" s="146">
        <v>2</v>
      </c>
      <c r="AQ335" s="10" t="str">
        <f ca="1">Sprache!$A$113</f>
        <v>Tiomos Scharnier TS Impresso</v>
      </c>
      <c r="AR335" t="s">
        <v>69</v>
      </c>
      <c r="AS335" t="str">
        <f ca="1">Sprache!$A$116</f>
        <v>Tiomos Impresso Scharniere</v>
      </c>
      <c r="AT335">
        <v>3</v>
      </c>
      <c r="AU335" t="s">
        <v>3</v>
      </c>
      <c r="AV335">
        <v>120</v>
      </c>
      <c r="AW335" s="10">
        <v>1</v>
      </c>
      <c r="AX335">
        <v>0</v>
      </c>
      <c r="AY335">
        <v>0</v>
      </c>
      <c r="AZ335" s="10">
        <v>0</v>
      </c>
      <c r="BA335">
        <v>0</v>
      </c>
      <c r="BB335">
        <v>0</v>
      </c>
      <c r="BC335">
        <v>1</v>
      </c>
      <c r="BD335" s="143" t="s">
        <v>68</v>
      </c>
      <c r="BG335"/>
    </row>
    <row r="336" spans="1:59" ht="14.25" customHeight="1" x14ac:dyDescent="0.25">
      <c r="A336" s="37" t="str">
        <f>LEFT(Scharniere[[#This Row],[ArtikelNR]],4)</f>
        <v>F035</v>
      </c>
      <c r="B336" s="35" t="str">
        <f>MID(Scharniere[[#This Row],[ArtikelNR]],5,3)</f>
        <v>139</v>
      </c>
      <c r="C336" s="37" t="str">
        <f>RIGHT(Scharniere[[#This Row],[ArtikelNR]],3)</f>
        <v>372</v>
      </c>
      <c r="D336" s="35">
        <f>IF(AND(Scharniere[[#This Row],[Gruppenschlüssel]]=select!$A$44,Scharniere[[#This Row],[Scharnierart]]=1)=TRUE,1,0)</f>
        <v>0</v>
      </c>
      <c r="E3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6" s="35">
        <f>IF(select!$F$57=IF(Scharniere[[#This Row],[mit Dämpfung]]=1,1,IF(Scharniere[[#This Row],[ohne Dämpfung]]=1,2,IF(Scharniere[[#This Row],[ohne Feder]]=1,3,0))),1,0)</f>
        <v>1</v>
      </c>
      <c r="G336" s="35">
        <f>IF(Scharniere[[#This Row],[Bohrbild]]=select!$V$43,1,0)</f>
        <v>1</v>
      </c>
      <c r="H336" s="35">
        <f>IF(IF(Scharniere[[#This Row],[Anschrauben]]=1,1,IF(Scharniere[[#This Row],[Einpressen]]=1,2,IF(Scharniere[[#This Row],[Quick]]=1,3,IF(Scharniere[[#This Row],[Werkzeuglos]]=1,4,0))))=select!$F$48,1,0)</f>
        <v>0</v>
      </c>
      <c r="I3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6" s="149">
        <f>IF(AND(Scharniere[[#This Row],[Scharnierart]]=2,Scharniere[[#This Row],[Gruppenschlüssel]]=select!$A$318)=TRUE,1,0)</f>
        <v>0</v>
      </c>
      <c r="K336" s="221">
        <f ca="1">IF(select!$O$424&lt;6,1,0)</f>
        <v>1</v>
      </c>
      <c r="L336" s="139">
        <f>IF(select!$A$362=IF(Scharniere[[#This Row],[mit Dämpfung]]=1,1,IF(Scharniere[[#This Row],[ohne Dämpfung]]=1,2,IF(Scharniere[[#This Row],[ohne Feder]]=1,3,0))),1,0)</f>
        <v>0</v>
      </c>
      <c r="M336" s="135">
        <f>IF(Scharniere[[#This Row],[Bohrbild]]=select!$O$334,1,0)</f>
        <v>1</v>
      </c>
      <c r="N336" s="135">
        <f>IF(IF(Scharniere[[#This Row],[Anschrauben]]=1,1,IF(Scharniere[[#This Row],[Einpressen]]=1,2,IF(Scharniere[[#This Row],[Quick]]=1,3,IF(Scharniere[[#This Row],[Werkzeuglos]]=1,4,0))))=select!$E$362,1,0)</f>
        <v>0</v>
      </c>
      <c r="O3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6" s="298">
        <f>IF(AND(Scharniere[[#This Row],[Scharnierart]]=3,Scharniere[[#This Row],[Gruppenschlüssel]]=select!$A$747)=TRUE,1,0)</f>
        <v>0</v>
      </c>
      <c r="Q336" s="298">
        <f ca="1">IF(select!$O$945&lt;6,1,0)</f>
        <v>1</v>
      </c>
      <c r="R336" s="298">
        <f>IF(select!$A$778=IF(Scharniere[[#This Row],[mit Dämpfung]]=1,1,IF(Scharniere[[#This Row],[ohne Dämpfung]]=1,2,IF(Scharniere[[#This Row],[ohne Feder]]=1,3,0))),1,0)</f>
        <v>0</v>
      </c>
      <c r="S336" s="298">
        <f>IF(Scharniere[[#This Row],[Bohrbild]]=select!$A$755,1,0)</f>
        <v>0</v>
      </c>
      <c r="T336" s="298">
        <f>IF(IF(Scharniere[[#This Row],[Anschrauben]]=1,1,IF(Scharniere[[#This Row],[Einpressen]]=1,2,IF(Scharniere[[#This Row],[Quick]]=1,3,IF(Scharniere[[#This Row],[Werkzeuglos]]=1,4,0))))=select!$A$769,1,0)</f>
        <v>0</v>
      </c>
      <c r="U3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6" s="359">
        <f>IF(AND(Scharniere[[#This Row],[Scharnierart]]=4,Scharniere[[#This Row],[Gruppenschlüssel]]=select!$A$981)=TRUE,1,0)</f>
        <v>0</v>
      </c>
      <c r="W336" s="359">
        <f ca="1">IF(select!$O$1185&lt;6,1,0)</f>
        <v>1</v>
      </c>
      <c r="X336" s="359">
        <f>IF(select!$A$1012=IF(Scharniere[[#This Row],[mit Dämpfung]]=1,1,IF(Scharniere[[#This Row],[ohne Dämpfung]]=1,2,IF(Scharniere[[#This Row],[ohne Feder]]=1,3,0))),1,0)</f>
        <v>0</v>
      </c>
      <c r="Y336" s="359">
        <f>IF(Scharniere[[#This Row],[Bohrbild]]=select!$A$989,1,0)</f>
        <v>0</v>
      </c>
      <c r="Z336" s="359">
        <f>IF(IF(Scharniere[[#This Row],[Anschrauben]]=1,1,IF(Scharniere[[#This Row],[Einpressen]]=1,2,IF(Scharniere[[#This Row],[Quick]]=1,3,IF(Scharniere[[#This Row],[Werkzeuglos]]=1,4,0))))=select!$A$1003,1,0)</f>
        <v>0</v>
      </c>
      <c r="AA3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6" s="359">
        <f ca="1">IF(select!$K$980="*",Scharniere[[#This Row],[AG Ges2]],Scharniere[[#This Row],[AG Ges1]])</f>
        <v>0</v>
      </c>
      <c r="AE336" s="451">
        <f ca="1">IF(AND(Scharniere[[#This Row],[Scharnierart]]=select!$A$1485,Scharniere[[#This Row],[Gruppenschlüssel]]=select!$B$1485)=TRUE,1,0)</f>
        <v>0</v>
      </c>
      <c r="AF336" s="451">
        <f ca="1">IF(AND(Scharniere[[#This Row],[Scharnierart]]=select!$A$1486,Scharniere[[#This Row],[Gruppenschlüssel]]=select!$B$1486)=TRUE,1,0)</f>
        <v>0</v>
      </c>
      <c r="AG336" s="451">
        <f ca="1">IF(AND(Scharniere[[#This Row],[Scharnierart]]=select!$A$1487,Scharniere[[#This Row],[Gruppenschlüssel]]=select!$B$1487)=TRUE,1,0)</f>
        <v>0</v>
      </c>
      <c r="AH336" s="451">
        <f ca="1">IF(AND(Scharniere[[#This Row],[Scharnierart]]=select!$A$1488,Scharniere[[#This Row],[Gruppenschlüssel]]=select!$B$1488)=TRUE,1,0)</f>
        <v>0</v>
      </c>
      <c r="AI336" s="451">
        <f ca="1">IF(SUM(Scharniere[[#This Row],[konf Scharnier 1]:[konf Scharnier 4]])&gt;0,1,0)</f>
        <v>0</v>
      </c>
      <c r="AJ336" s="451"/>
      <c r="AK336" s="451"/>
      <c r="AL336" s="451"/>
      <c r="AM336" s="451"/>
      <c r="AN336" s="451"/>
      <c r="AO336" s="146">
        <v>1</v>
      </c>
      <c r="AP336" s="146">
        <v>2</v>
      </c>
      <c r="AQ336" s="10" t="str">
        <f ca="1">Sprache!$A$115</f>
        <v>Tiomos Scharnier TT Impresso</v>
      </c>
      <c r="AR336" t="s">
        <v>69</v>
      </c>
      <c r="AS336" t="str">
        <f ca="1">Sprache!$A$116</f>
        <v>Tiomos Impresso Scharniere</v>
      </c>
      <c r="AT336">
        <v>3</v>
      </c>
      <c r="AU336" s="34" t="s">
        <v>8</v>
      </c>
      <c r="AV336">
        <v>120</v>
      </c>
      <c r="AW336" s="10">
        <v>0</v>
      </c>
      <c r="AX336">
        <v>0</v>
      </c>
      <c r="AY336">
        <v>1</v>
      </c>
      <c r="AZ336" s="10">
        <v>0</v>
      </c>
      <c r="BA336">
        <v>0</v>
      </c>
      <c r="BB336">
        <v>0</v>
      </c>
      <c r="BC336">
        <v>1</v>
      </c>
      <c r="BD336" s="143" t="s">
        <v>185</v>
      </c>
      <c r="BG336"/>
    </row>
    <row r="337" spans="1:59" ht="14.25" customHeight="1" x14ac:dyDescent="0.25">
      <c r="A337" s="37" t="str">
        <f>LEFT(Scharniere[[#This Row],[ArtikelNR]],4)</f>
        <v>F035</v>
      </c>
      <c r="B337" s="35" t="str">
        <f>MID(Scharniere[[#This Row],[ArtikelNR]],5,3)</f>
        <v>139</v>
      </c>
      <c r="C337" s="37" t="str">
        <f>RIGHT(Scharniere[[#This Row],[ArtikelNR]],3)</f>
        <v>372</v>
      </c>
      <c r="D337" s="35">
        <f>IF(AND(Scharniere[[#This Row],[Gruppenschlüssel]]=select!$A$44,Scharniere[[#This Row],[Scharnierart]]=1)=TRUE,1,0)</f>
        <v>0</v>
      </c>
      <c r="E3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7" s="35">
        <f>IF(select!$F$57=IF(Scharniere[[#This Row],[mit Dämpfung]]=1,1,IF(Scharniere[[#This Row],[ohne Dämpfung]]=1,2,IF(Scharniere[[#This Row],[ohne Feder]]=1,3,0))),1,0)</f>
        <v>1</v>
      </c>
      <c r="G337" s="35">
        <f>IF(Scharniere[[#This Row],[Bohrbild]]=select!$V$43,1,0)</f>
        <v>0</v>
      </c>
      <c r="H337" s="35">
        <f>IF(IF(Scharniere[[#This Row],[Anschrauben]]=1,1,IF(Scharniere[[#This Row],[Einpressen]]=1,2,IF(Scharniere[[#This Row],[Quick]]=1,3,IF(Scharniere[[#This Row],[Werkzeuglos]]=1,4,0))))=select!$F$48,1,0)</f>
        <v>0</v>
      </c>
      <c r="I3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7" s="149">
        <f>IF(AND(Scharniere[[#This Row],[Scharnierart]]=2,Scharniere[[#This Row],[Gruppenschlüssel]]=select!$A$318)=TRUE,1,0)</f>
        <v>0</v>
      </c>
      <c r="K337" s="221">
        <f ca="1">IF(select!$O$424&lt;6,1,0)</f>
        <v>1</v>
      </c>
      <c r="L337" s="139">
        <f>IF(select!$A$362=IF(Scharniere[[#This Row],[mit Dämpfung]]=1,1,IF(Scharniere[[#This Row],[ohne Dämpfung]]=1,2,IF(Scharniere[[#This Row],[ohne Feder]]=1,3,0))),1,0)</f>
        <v>0</v>
      </c>
      <c r="M337" s="135">
        <f>IF(Scharniere[[#This Row],[Bohrbild]]=select!$O$334,1,0)</f>
        <v>0</v>
      </c>
      <c r="N337" s="135">
        <f>IF(IF(Scharniere[[#This Row],[Anschrauben]]=1,1,IF(Scharniere[[#This Row],[Einpressen]]=1,2,IF(Scharniere[[#This Row],[Quick]]=1,3,IF(Scharniere[[#This Row],[Werkzeuglos]]=1,4,0))))=select!$E$362,1,0)</f>
        <v>0</v>
      </c>
      <c r="O3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7" s="298">
        <f>IF(AND(Scharniere[[#This Row],[Scharnierart]]=3,Scharniere[[#This Row],[Gruppenschlüssel]]=select!$A$747)=TRUE,1,0)</f>
        <v>0</v>
      </c>
      <c r="Q337" s="298">
        <f ca="1">IF(select!$O$945&lt;6,1,0)</f>
        <v>1</v>
      </c>
      <c r="R337" s="298">
        <f>IF(select!$A$778=IF(Scharniere[[#This Row],[mit Dämpfung]]=1,1,IF(Scharniere[[#This Row],[ohne Dämpfung]]=1,2,IF(Scharniere[[#This Row],[ohne Feder]]=1,3,0))),1,0)</f>
        <v>0</v>
      </c>
      <c r="S337" s="298">
        <f>IF(Scharniere[[#This Row],[Bohrbild]]=select!$A$755,1,0)</f>
        <v>0</v>
      </c>
      <c r="T337" s="298">
        <f>IF(IF(Scharniere[[#This Row],[Anschrauben]]=1,1,IF(Scharniere[[#This Row],[Einpressen]]=1,2,IF(Scharniere[[#This Row],[Quick]]=1,3,IF(Scharniere[[#This Row],[Werkzeuglos]]=1,4,0))))=select!$A$769,1,0)</f>
        <v>0</v>
      </c>
      <c r="U3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7" s="359">
        <f>IF(AND(Scharniere[[#This Row],[Scharnierart]]=4,Scharniere[[#This Row],[Gruppenschlüssel]]=select!$A$981)=TRUE,1,0)</f>
        <v>0</v>
      </c>
      <c r="W337" s="359">
        <f ca="1">IF(select!$O$1185&lt;6,1,0)</f>
        <v>1</v>
      </c>
      <c r="X337" s="359">
        <f>IF(select!$A$1012=IF(Scharniere[[#This Row],[mit Dämpfung]]=1,1,IF(Scharniere[[#This Row],[ohne Dämpfung]]=1,2,IF(Scharniere[[#This Row],[ohne Feder]]=1,3,0))),1,0)</f>
        <v>0</v>
      </c>
      <c r="Y337" s="359">
        <f>IF(Scharniere[[#This Row],[Bohrbild]]=select!$A$989,1,0)</f>
        <v>0</v>
      </c>
      <c r="Z337" s="359">
        <f>IF(IF(Scharniere[[#This Row],[Anschrauben]]=1,1,IF(Scharniere[[#This Row],[Einpressen]]=1,2,IF(Scharniere[[#This Row],[Quick]]=1,3,IF(Scharniere[[#This Row],[Werkzeuglos]]=1,4,0))))=select!$A$1003,1,0)</f>
        <v>0</v>
      </c>
      <c r="AA3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7" s="359">
        <f ca="1">IF(select!$K$980="*",Scharniere[[#This Row],[AG Ges2]],Scharniere[[#This Row],[AG Ges1]])</f>
        <v>0</v>
      </c>
      <c r="AE337" s="451">
        <f ca="1">IF(AND(Scharniere[[#This Row],[Scharnierart]]=select!$A$1485,Scharniere[[#This Row],[Gruppenschlüssel]]=select!$B$1485)=TRUE,1,0)</f>
        <v>0</v>
      </c>
      <c r="AF337" s="451">
        <f ca="1">IF(AND(Scharniere[[#This Row],[Scharnierart]]=select!$A$1486,Scharniere[[#This Row],[Gruppenschlüssel]]=select!$B$1486)=TRUE,1,0)</f>
        <v>0</v>
      </c>
      <c r="AG337" s="451">
        <f ca="1">IF(AND(Scharniere[[#This Row],[Scharnierart]]=select!$A$1487,Scharniere[[#This Row],[Gruppenschlüssel]]=select!$B$1487)=TRUE,1,0)</f>
        <v>0</v>
      </c>
      <c r="AH337" s="451">
        <f ca="1">IF(AND(Scharniere[[#This Row],[Scharnierart]]=select!$A$1488,Scharniere[[#This Row],[Gruppenschlüssel]]=select!$B$1488)=TRUE,1,0)</f>
        <v>0</v>
      </c>
      <c r="AI337" s="451">
        <f ca="1">IF(SUM(Scharniere[[#This Row],[konf Scharnier 1]:[konf Scharnier 4]])&gt;0,1,0)</f>
        <v>0</v>
      </c>
      <c r="AJ337" s="451"/>
      <c r="AK337" s="451"/>
      <c r="AL337" s="451"/>
      <c r="AM337" s="451"/>
      <c r="AN337" s="451"/>
      <c r="AO337" s="146">
        <v>1</v>
      </c>
      <c r="AP337" s="146">
        <v>2</v>
      </c>
      <c r="AQ337" s="10" t="str">
        <f ca="1">Sprache!$A$115</f>
        <v>Tiomos Scharnier TT Impresso</v>
      </c>
      <c r="AR337" t="s">
        <v>69</v>
      </c>
      <c r="AS337" t="str">
        <f ca="1">Sprache!$A$116</f>
        <v>Tiomos Impresso Scharniere</v>
      </c>
      <c r="AT337">
        <v>3</v>
      </c>
      <c r="AU337" t="s">
        <v>3</v>
      </c>
      <c r="AV337">
        <v>120</v>
      </c>
      <c r="AW337" s="10">
        <v>0</v>
      </c>
      <c r="AX337">
        <v>0</v>
      </c>
      <c r="AY337">
        <v>1</v>
      </c>
      <c r="AZ337" s="10">
        <v>0</v>
      </c>
      <c r="BA337">
        <v>0</v>
      </c>
      <c r="BB337">
        <v>0</v>
      </c>
      <c r="BC337">
        <v>1</v>
      </c>
      <c r="BD337" s="143" t="s">
        <v>185</v>
      </c>
      <c r="BG337"/>
    </row>
    <row r="338" spans="1:59" ht="14.25" customHeight="1" x14ac:dyDescent="0.25">
      <c r="A338" s="37" t="str">
        <f>LEFT(Scharniere[[#This Row],[ArtikelNR]],4)</f>
        <v>F045</v>
      </c>
      <c r="B338" s="35" t="str">
        <f>MID(Scharniere[[#This Row],[ArtikelNR]],5,3)</f>
        <v>138</v>
      </c>
      <c r="C338" s="37" t="str">
        <f>RIGHT(Scharniere[[#This Row],[ArtikelNR]],3)</f>
        <v>854</v>
      </c>
      <c r="D338" s="35">
        <f>IF(AND(Scharniere[[#This Row],[Gruppenschlüssel]]=select!$A$44,Scharniere[[#This Row],[Scharnierart]]=1)=TRUE,1,0)</f>
        <v>0</v>
      </c>
      <c r="E3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8" s="35">
        <f>IF(select!$F$57=IF(Scharniere[[#This Row],[mit Dämpfung]]=1,1,IF(Scharniere[[#This Row],[ohne Dämpfung]]=1,2,IF(Scharniere[[#This Row],[ohne Feder]]=1,3,0))),1,0)</f>
        <v>0</v>
      </c>
      <c r="G338" s="35">
        <f>IF(Scharniere[[#This Row],[Bohrbild]]=select!$V$43,1,0)</f>
        <v>0</v>
      </c>
      <c r="H338" s="35">
        <f>IF(IF(Scharniere[[#This Row],[Anschrauben]]=1,1,IF(Scharniere[[#This Row],[Einpressen]]=1,2,IF(Scharniere[[#This Row],[Quick]]=1,3,IF(Scharniere[[#This Row],[Werkzeuglos]]=1,4,0))))=select!$F$48,1,0)</f>
        <v>1</v>
      </c>
      <c r="I3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8" s="149">
        <f>IF(AND(Scharniere[[#This Row],[Scharnierart]]=2,Scharniere[[#This Row],[Gruppenschlüssel]]=select!$A$318)=TRUE,1,0)</f>
        <v>0</v>
      </c>
      <c r="K338" s="221">
        <f ca="1">IF(select!$O$424&lt;6,1,0)</f>
        <v>1</v>
      </c>
      <c r="L338" s="139">
        <f>IF(select!$A$362=IF(Scharniere[[#This Row],[mit Dämpfung]]=1,1,IF(Scharniere[[#This Row],[ohne Dämpfung]]=1,2,IF(Scharniere[[#This Row],[ohne Feder]]=1,3,0))),1,0)</f>
        <v>0</v>
      </c>
      <c r="M338" s="135">
        <f>IF(Scharniere[[#This Row],[Bohrbild]]=select!$O$334,1,0)</f>
        <v>0</v>
      </c>
      <c r="N338" s="135">
        <f>IF(IF(Scharniere[[#This Row],[Anschrauben]]=1,1,IF(Scharniere[[#This Row],[Einpressen]]=1,2,IF(Scharniere[[#This Row],[Quick]]=1,3,IF(Scharniere[[#This Row],[Werkzeuglos]]=1,4,0))))=select!$E$362,1,0)</f>
        <v>0</v>
      </c>
      <c r="O3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8" s="298">
        <f>IF(AND(Scharniere[[#This Row],[Scharnierart]]=3,Scharniere[[#This Row],[Gruppenschlüssel]]=select!$A$747)=TRUE,1,0)</f>
        <v>0</v>
      </c>
      <c r="Q338" s="298">
        <f ca="1">IF(select!$O$945&lt;6,1,0)</f>
        <v>1</v>
      </c>
      <c r="R338" s="298">
        <f>IF(select!$A$778=IF(Scharniere[[#This Row],[mit Dämpfung]]=1,1,IF(Scharniere[[#This Row],[ohne Dämpfung]]=1,2,IF(Scharniere[[#This Row],[ohne Feder]]=1,3,0))),1,0)</f>
        <v>1</v>
      </c>
      <c r="S338" s="298">
        <f>IF(Scharniere[[#This Row],[Bohrbild]]=select!$A$755,1,0)</f>
        <v>0</v>
      </c>
      <c r="T338" s="298">
        <f>IF(IF(Scharniere[[#This Row],[Anschrauben]]=1,1,IF(Scharniere[[#This Row],[Einpressen]]=1,2,IF(Scharniere[[#This Row],[Quick]]=1,3,IF(Scharniere[[#This Row],[Werkzeuglos]]=1,4,0))))=select!$A$769,1,0)</f>
        <v>0</v>
      </c>
      <c r="U3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8" s="359">
        <f>IF(AND(Scharniere[[#This Row],[Scharnierart]]=4,Scharniere[[#This Row],[Gruppenschlüssel]]=select!$A$981)=TRUE,1,0)</f>
        <v>0</v>
      </c>
      <c r="W338" s="359">
        <f ca="1">IF(select!$O$1185&lt;6,1,0)</f>
        <v>1</v>
      </c>
      <c r="X338" s="359">
        <f>IF(select!$A$1012=IF(Scharniere[[#This Row],[mit Dämpfung]]=1,1,IF(Scharniere[[#This Row],[ohne Dämpfung]]=1,2,IF(Scharniere[[#This Row],[ohne Feder]]=1,3,0))),1,0)</f>
        <v>1</v>
      </c>
      <c r="Y338" s="359">
        <f>IF(Scharniere[[#This Row],[Bohrbild]]=select!$A$989,1,0)</f>
        <v>0</v>
      </c>
      <c r="Z338" s="359">
        <f>IF(IF(Scharniere[[#This Row],[Anschrauben]]=1,1,IF(Scharniere[[#This Row],[Einpressen]]=1,2,IF(Scharniere[[#This Row],[Quick]]=1,3,IF(Scharniere[[#This Row],[Werkzeuglos]]=1,4,0))))=select!$A$1003,1,0)</f>
        <v>0</v>
      </c>
      <c r="AA3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8" s="359">
        <f ca="1">IF(select!$K$980="*",Scharniere[[#This Row],[AG Ges2]],Scharniere[[#This Row],[AG Ges1]])</f>
        <v>0</v>
      </c>
      <c r="AE338" s="451">
        <f ca="1">IF(AND(Scharniere[[#This Row],[Scharnierart]]=select!$A$1485,Scharniere[[#This Row],[Gruppenschlüssel]]=select!$B$1485)=TRUE,1,0)</f>
        <v>0</v>
      </c>
      <c r="AF338" s="451">
        <f ca="1">IF(AND(Scharniere[[#This Row],[Scharnierart]]=select!$A$1486,Scharniere[[#This Row],[Gruppenschlüssel]]=select!$B$1486)=TRUE,1,0)</f>
        <v>0</v>
      </c>
      <c r="AG338" s="451">
        <f ca="1">IF(AND(Scharniere[[#This Row],[Scharnierart]]=select!$A$1487,Scharniere[[#This Row],[Gruppenschlüssel]]=select!$B$1487)=TRUE,1,0)</f>
        <v>0</v>
      </c>
      <c r="AH338" s="451">
        <f ca="1">IF(AND(Scharniere[[#This Row],[Scharnierart]]=select!$A$1488,Scharniere[[#This Row],[Gruppenschlüssel]]=select!$B$1488)=TRUE,1,0)</f>
        <v>0</v>
      </c>
      <c r="AI338" s="451">
        <f ca="1">IF(SUM(Scharniere[[#This Row],[konf Scharnier 1]:[konf Scharnier 4]])&gt;0,1,0)</f>
        <v>0</v>
      </c>
      <c r="AJ338" s="451"/>
      <c r="AK338" s="451"/>
      <c r="AL338" s="451"/>
      <c r="AM338" s="451"/>
      <c r="AN338" s="451"/>
      <c r="AO338" s="146">
        <v>1</v>
      </c>
      <c r="AP338" s="146">
        <v>2</v>
      </c>
      <c r="AQ338" s="10" t="str">
        <f ca="1">Sprache!$A$110</f>
        <v>Tiomos Scharnier T Click-on</v>
      </c>
      <c r="AR338" t="str">
        <f ca="1">"120°, S-BB, K03, "&amp;Sprache!A181&amp;", ni"</f>
        <v>120°, S-BB, K03, Dübel, ni</v>
      </c>
      <c r="AS338" t="str">
        <f ca="1">Sprache!$A$103</f>
        <v>Tiomos Click-On Scharniere</v>
      </c>
      <c r="AT338">
        <v>3</v>
      </c>
      <c r="AU338" s="34" t="s">
        <v>11</v>
      </c>
      <c r="AV338">
        <v>120</v>
      </c>
      <c r="AW338" s="10">
        <v>0</v>
      </c>
      <c r="AX338">
        <v>1</v>
      </c>
      <c r="AY338">
        <v>0</v>
      </c>
      <c r="AZ338" s="10">
        <v>0</v>
      </c>
      <c r="BA338">
        <v>1</v>
      </c>
      <c r="BB338">
        <v>0</v>
      </c>
      <c r="BC338">
        <v>0</v>
      </c>
      <c r="BD338" s="143" t="s">
        <v>554</v>
      </c>
      <c r="BG338"/>
    </row>
    <row r="339" spans="1:59" ht="14.25" customHeight="1" x14ac:dyDescent="0.25">
      <c r="A339" s="37" t="str">
        <f>LEFT(Scharniere[[#This Row],[ArtikelNR]],4)</f>
        <v>F028</v>
      </c>
      <c r="B339" s="35" t="str">
        <f>MID(Scharniere[[#This Row],[ArtikelNR]],5,3)</f>
        <v>138</v>
      </c>
      <c r="C339" s="37" t="str">
        <f>RIGHT(Scharniere[[#This Row],[ArtikelNR]],3)</f>
        <v>916</v>
      </c>
      <c r="D339" s="35">
        <f>IF(AND(Scharniere[[#This Row],[Gruppenschlüssel]]=select!$A$44,Scharniere[[#This Row],[Scharnierart]]=1)=TRUE,1,0)</f>
        <v>0</v>
      </c>
      <c r="E3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39" s="35">
        <f>IF(select!$F$57=IF(Scharniere[[#This Row],[mit Dämpfung]]=1,1,IF(Scharniere[[#This Row],[ohne Dämpfung]]=1,2,IF(Scharniere[[#This Row],[ohne Feder]]=1,3,0))),1,0)</f>
        <v>0</v>
      </c>
      <c r="G339" s="35">
        <f>IF(Scharniere[[#This Row],[Bohrbild]]=select!$V$43,1,0)</f>
        <v>0</v>
      </c>
      <c r="H339" s="35">
        <f>IF(IF(Scharniere[[#This Row],[Anschrauben]]=1,1,IF(Scharniere[[#This Row],[Einpressen]]=1,2,IF(Scharniere[[#This Row],[Quick]]=1,3,IF(Scharniere[[#This Row],[Werkzeuglos]]=1,4,0))))=select!$F$48,1,0)</f>
        <v>1</v>
      </c>
      <c r="I3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39" s="149">
        <f>IF(AND(Scharniere[[#This Row],[Scharnierart]]=2,Scharniere[[#This Row],[Gruppenschlüssel]]=select!$A$318)=TRUE,1,0)</f>
        <v>0</v>
      </c>
      <c r="K339" s="221">
        <f ca="1">IF(select!$O$424&lt;6,1,0)</f>
        <v>1</v>
      </c>
      <c r="L339" s="139">
        <f>IF(select!$A$362=IF(Scharniere[[#This Row],[mit Dämpfung]]=1,1,IF(Scharniere[[#This Row],[ohne Dämpfung]]=1,2,IF(Scharniere[[#This Row],[ohne Feder]]=1,3,0))),1,0)</f>
        <v>1</v>
      </c>
      <c r="M339" s="135">
        <f>IF(Scharniere[[#This Row],[Bohrbild]]=select!$O$334,1,0)</f>
        <v>0</v>
      </c>
      <c r="N339" s="135">
        <f>IF(IF(Scharniere[[#This Row],[Anschrauben]]=1,1,IF(Scharniere[[#This Row],[Einpressen]]=1,2,IF(Scharniere[[#This Row],[Quick]]=1,3,IF(Scharniere[[#This Row],[Werkzeuglos]]=1,4,0))))=select!$E$362,1,0)</f>
        <v>0</v>
      </c>
      <c r="O3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39" s="298">
        <f>IF(AND(Scharniere[[#This Row],[Scharnierart]]=3,Scharniere[[#This Row],[Gruppenschlüssel]]=select!$A$747)=TRUE,1,0)</f>
        <v>0</v>
      </c>
      <c r="Q339" s="298">
        <f ca="1">IF(select!$O$945&lt;6,1,0)</f>
        <v>1</v>
      </c>
      <c r="R339" s="298">
        <f>IF(select!$A$778=IF(Scharniere[[#This Row],[mit Dämpfung]]=1,1,IF(Scharniere[[#This Row],[ohne Dämpfung]]=1,2,IF(Scharniere[[#This Row],[ohne Feder]]=1,3,0))),1,0)</f>
        <v>0</v>
      </c>
      <c r="S339" s="298">
        <f>IF(Scharniere[[#This Row],[Bohrbild]]=select!$A$755,1,0)</f>
        <v>0</v>
      </c>
      <c r="T339" s="298">
        <f>IF(IF(Scharniere[[#This Row],[Anschrauben]]=1,1,IF(Scharniere[[#This Row],[Einpressen]]=1,2,IF(Scharniere[[#This Row],[Quick]]=1,3,IF(Scharniere[[#This Row],[Werkzeuglos]]=1,4,0))))=select!$A$769,1,0)</f>
        <v>0</v>
      </c>
      <c r="U3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39" s="359">
        <f>IF(AND(Scharniere[[#This Row],[Scharnierart]]=4,Scharniere[[#This Row],[Gruppenschlüssel]]=select!$A$981)=TRUE,1,0)</f>
        <v>0</v>
      </c>
      <c r="W339" s="359">
        <f ca="1">IF(select!$O$1185&lt;6,1,0)</f>
        <v>1</v>
      </c>
      <c r="X339" s="359">
        <f>IF(select!$A$1012=IF(Scharniere[[#This Row],[mit Dämpfung]]=1,1,IF(Scharniere[[#This Row],[ohne Dämpfung]]=1,2,IF(Scharniere[[#This Row],[ohne Feder]]=1,3,0))),1,0)</f>
        <v>0</v>
      </c>
      <c r="Y339" s="359">
        <f>IF(Scharniere[[#This Row],[Bohrbild]]=select!$A$989,1,0)</f>
        <v>0</v>
      </c>
      <c r="Z339" s="359">
        <f>IF(IF(Scharniere[[#This Row],[Anschrauben]]=1,1,IF(Scharniere[[#This Row],[Einpressen]]=1,2,IF(Scharniere[[#This Row],[Quick]]=1,3,IF(Scharniere[[#This Row],[Werkzeuglos]]=1,4,0))))=select!$A$1003,1,0)</f>
        <v>0</v>
      </c>
      <c r="AA3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39" s="359">
        <f ca="1">IF(select!$K$980="*",Scharniere[[#This Row],[AG Ges2]],Scharniere[[#This Row],[AG Ges1]])</f>
        <v>0</v>
      </c>
      <c r="AE339" s="451">
        <f ca="1">IF(AND(Scharniere[[#This Row],[Scharnierart]]=select!$A$1485,Scharniere[[#This Row],[Gruppenschlüssel]]=select!$B$1485)=TRUE,1,0)</f>
        <v>0</v>
      </c>
      <c r="AF339" s="451">
        <f ca="1">IF(AND(Scharniere[[#This Row],[Scharnierart]]=select!$A$1486,Scharniere[[#This Row],[Gruppenschlüssel]]=select!$B$1486)=TRUE,1,0)</f>
        <v>0</v>
      </c>
      <c r="AG339" s="451">
        <f ca="1">IF(AND(Scharniere[[#This Row],[Scharnierart]]=select!$A$1487,Scharniere[[#This Row],[Gruppenschlüssel]]=select!$B$1487)=TRUE,1,0)</f>
        <v>0</v>
      </c>
      <c r="AH339" s="451">
        <f ca="1">IF(AND(Scharniere[[#This Row],[Scharnierart]]=select!$A$1488,Scharniere[[#This Row],[Gruppenschlüssel]]=select!$B$1488)=TRUE,1,0)</f>
        <v>0</v>
      </c>
      <c r="AI339" s="451">
        <f ca="1">IF(SUM(Scharniere[[#This Row],[konf Scharnier 1]:[konf Scharnier 4]])&gt;0,1,0)</f>
        <v>0</v>
      </c>
      <c r="AJ339" s="451"/>
      <c r="AK339" s="451"/>
      <c r="AL339" s="451"/>
      <c r="AM339" s="451"/>
      <c r="AN339" s="451"/>
      <c r="AO339" s="146">
        <v>1</v>
      </c>
      <c r="AP339" s="146">
        <v>2</v>
      </c>
      <c r="AQ339" s="10" t="str">
        <f ca="1">Sprache!$A$112</f>
        <v>Tiomos Scharnier TS Click-on</v>
      </c>
      <c r="AR339" t="str">
        <f ca="1">"120°, S-BB, K03, "&amp;Sprache!A181&amp;", ni"</f>
        <v>120°, S-BB, K03, Dübel, ni</v>
      </c>
      <c r="AS339" t="str">
        <f ca="1">Sprache!$A$103</f>
        <v>Tiomos Click-On Scharniere</v>
      </c>
      <c r="AT339">
        <v>3</v>
      </c>
      <c r="AU339" t="s">
        <v>11</v>
      </c>
      <c r="AV339">
        <v>120</v>
      </c>
      <c r="AW339" s="10">
        <v>1</v>
      </c>
      <c r="AX339">
        <v>0</v>
      </c>
      <c r="AY339">
        <v>0</v>
      </c>
      <c r="AZ339" s="10">
        <v>0</v>
      </c>
      <c r="BA339">
        <v>1</v>
      </c>
      <c r="BB339">
        <v>0</v>
      </c>
      <c r="BC339">
        <v>0</v>
      </c>
      <c r="BD339" s="143" t="s">
        <v>396</v>
      </c>
      <c r="BG339"/>
    </row>
    <row r="340" spans="1:59" ht="14.25" customHeight="1" x14ac:dyDescent="0.25">
      <c r="A340" s="37" t="str">
        <f>LEFT(Scharniere[[#This Row],[ArtikelNR]],4)</f>
        <v>F046</v>
      </c>
      <c r="B340" s="35" t="str">
        <f>MID(Scharniere[[#This Row],[ArtikelNR]],5,3)</f>
        <v>138</v>
      </c>
      <c r="C340" s="37" t="str">
        <f>RIGHT(Scharniere[[#This Row],[ArtikelNR]],3)</f>
        <v>976</v>
      </c>
      <c r="D340" s="35">
        <f>IF(AND(Scharniere[[#This Row],[Gruppenschlüssel]]=select!$A$44,Scharniere[[#This Row],[Scharnierart]]=1)=TRUE,1,0)</f>
        <v>0</v>
      </c>
      <c r="E3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40" s="35">
        <f>IF(select!$F$57=IF(Scharniere[[#This Row],[mit Dämpfung]]=1,1,IF(Scharniere[[#This Row],[ohne Dämpfung]]=1,2,IF(Scharniere[[#This Row],[ohne Feder]]=1,3,0))),1,0)</f>
        <v>1</v>
      </c>
      <c r="G340" s="35">
        <f>IF(Scharniere[[#This Row],[Bohrbild]]=select!$V$43,1,0)</f>
        <v>0</v>
      </c>
      <c r="H340" s="35">
        <f>IF(IF(Scharniere[[#This Row],[Anschrauben]]=1,1,IF(Scharniere[[#This Row],[Einpressen]]=1,2,IF(Scharniere[[#This Row],[Quick]]=1,3,IF(Scharniere[[#This Row],[Werkzeuglos]]=1,4,0))))=select!$F$48,1,0)</f>
        <v>1</v>
      </c>
      <c r="I3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0" s="149">
        <f>IF(AND(Scharniere[[#This Row],[Scharnierart]]=2,Scharniere[[#This Row],[Gruppenschlüssel]]=select!$A$318)=TRUE,1,0)</f>
        <v>0</v>
      </c>
      <c r="K340" s="221">
        <f ca="1">IF(select!$O$424&lt;6,1,0)</f>
        <v>1</v>
      </c>
      <c r="L340" s="139">
        <f>IF(select!$A$362=IF(Scharniere[[#This Row],[mit Dämpfung]]=1,1,IF(Scharniere[[#This Row],[ohne Dämpfung]]=1,2,IF(Scharniere[[#This Row],[ohne Feder]]=1,3,0))),1,0)</f>
        <v>0</v>
      </c>
      <c r="M340" s="135">
        <f>IF(Scharniere[[#This Row],[Bohrbild]]=select!$O$334,1,0)</f>
        <v>0</v>
      </c>
      <c r="N340" s="135">
        <f>IF(IF(Scharniere[[#This Row],[Anschrauben]]=1,1,IF(Scharniere[[#This Row],[Einpressen]]=1,2,IF(Scharniere[[#This Row],[Quick]]=1,3,IF(Scharniere[[#This Row],[Werkzeuglos]]=1,4,0))))=select!$E$362,1,0)</f>
        <v>0</v>
      </c>
      <c r="O3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0" s="298">
        <f>IF(AND(Scharniere[[#This Row],[Scharnierart]]=3,Scharniere[[#This Row],[Gruppenschlüssel]]=select!$A$747)=TRUE,1,0)</f>
        <v>0</v>
      </c>
      <c r="Q340" s="298">
        <f ca="1">IF(select!$O$945&lt;6,1,0)</f>
        <v>1</v>
      </c>
      <c r="R340" s="298">
        <f>IF(select!$A$778=IF(Scharniere[[#This Row],[mit Dämpfung]]=1,1,IF(Scharniere[[#This Row],[ohne Dämpfung]]=1,2,IF(Scharniere[[#This Row],[ohne Feder]]=1,3,0))),1,0)</f>
        <v>0</v>
      </c>
      <c r="S340" s="298">
        <f>IF(Scharniere[[#This Row],[Bohrbild]]=select!$A$755,1,0)</f>
        <v>0</v>
      </c>
      <c r="T340" s="298">
        <f>IF(IF(Scharniere[[#This Row],[Anschrauben]]=1,1,IF(Scharniere[[#This Row],[Einpressen]]=1,2,IF(Scharniere[[#This Row],[Quick]]=1,3,IF(Scharniere[[#This Row],[Werkzeuglos]]=1,4,0))))=select!$A$769,1,0)</f>
        <v>0</v>
      </c>
      <c r="U3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0" s="359">
        <f>IF(AND(Scharniere[[#This Row],[Scharnierart]]=4,Scharniere[[#This Row],[Gruppenschlüssel]]=select!$A$981)=TRUE,1,0)</f>
        <v>0</v>
      </c>
      <c r="W340" s="359">
        <f ca="1">IF(select!$O$1185&lt;6,1,0)</f>
        <v>1</v>
      </c>
      <c r="X340" s="359">
        <f>IF(select!$A$1012=IF(Scharniere[[#This Row],[mit Dämpfung]]=1,1,IF(Scharniere[[#This Row],[ohne Dämpfung]]=1,2,IF(Scharniere[[#This Row],[ohne Feder]]=1,3,0))),1,0)</f>
        <v>0</v>
      </c>
      <c r="Y340" s="359">
        <f>IF(Scharniere[[#This Row],[Bohrbild]]=select!$A$989,1,0)</f>
        <v>0</v>
      </c>
      <c r="Z340" s="359">
        <f>IF(IF(Scharniere[[#This Row],[Anschrauben]]=1,1,IF(Scharniere[[#This Row],[Einpressen]]=1,2,IF(Scharniere[[#This Row],[Quick]]=1,3,IF(Scharniere[[#This Row],[Werkzeuglos]]=1,4,0))))=select!$A$1003,1,0)</f>
        <v>0</v>
      </c>
      <c r="AA3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0" s="359">
        <f ca="1">IF(select!$K$980="*",Scharniere[[#This Row],[AG Ges2]],Scharniere[[#This Row],[AG Ges1]])</f>
        <v>0</v>
      </c>
      <c r="AE340" s="451">
        <f ca="1">IF(AND(Scharniere[[#This Row],[Scharnierart]]=select!$A$1485,Scharniere[[#This Row],[Gruppenschlüssel]]=select!$B$1485)=TRUE,1,0)</f>
        <v>0</v>
      </c>
      <c r="AF340" s="451">
        <f ca="1">IF(AND(Scharniere[[#This Row],[Scharnierart]]=select!$A$1486,Scharniere[[#This Row],[Gruppenschlüssel]]=select!$B$1486)=TRUE,1,0)</f>
        <v>0</v>
      </c>
      <c r="AG340" s="451">
        <f ca="1">IF(AND(Scharniere[[#This Row],[Scharnierart]]=select!$A$1487,Scharniere[[#This Row],[Gruppenschlüssel]]=select!$B$1487)=TRUE,1,0)</f>
        <v>0</v>
      </c>
      <c r="AH340" s="451">
        <f ca="1">IF(AND(Scharniere[[#This Row],[Scharnierart]]=select!$A$1488,Scharniere[[#This Row],[Gruppenschlüssel]]=select!$B$1488)=TRUE,1,0)</f>
        <v>0</v>
      </c>
      <c r="AI340" s="451">
        <f ca="1">IF(SUM(Scharniere[[#This Row],[konf Scharnier 1]:[konf Scharnier 4]])&gt;0,1,0)</f>
        <v>0</v>
      </c>
      <c r="AJ340" s="451"/>
      <c r="AK340" s="451"/>
      <c r="AL340" s="451"/>
      <c r="AM340" s="451"/>
      <c r="AN340" s="451"/>
      <c r="AO340" s="146">
        <v>1</v>
      </c>
      <c r="AP340" s="146">
        <v>2</v>
      </c>
      <c r="AQ340" s="10" t="str">
        <f ca="1">Sprache!$A$114</f>
        <v>Tiomos Scharnier TT Click-on</v>
      </c>
      <c r="AR340" t="str">
        <f ca="1">"120°, S-BB, K03, "&amp;Sprache!A181&amp;", ni"</f>
        <v>120°, S-BB, K03, Dübel, ni</v>
      </c>
      <c r="AS340" t="str">
        <f ca="1">Sprache!$A$103</f>
        <v>Tiomos Click-On Scharniere</v>
      </c>
      <c r="AT340">
        <v>3</v>
      </c>
      <c r="AU340" t="s">
        <v>11</v>
      </c>
      <c r="AV340">
        <v>120</v>
      </c>
      <c r="AW340" s="10">
        <v>0</v>
      </c>
      <c r="AX340">
        <v>0</v>
      </c>
      <c r="AY340">
        <v>1</v>
      </c>
      <c r="AZ340" s="10">
        <v>0</v>
      </c>
      <c r="BA340">
        <v>1</v>
      </c>
      <c r="BB340">
        <v>0</v>
      </c>
      <c r="BC340">
        <v>0</v>
      </c>
      <c r="BD340" s="143" t="s">
        <v>706</v>
      </c>
      <c r="BG340"/>
    </row>
    <row r="341" spans="1:59" ht="14.25" customHeight="1" x14ac:dyDescent="0.25">
      <c r="A341" s="37" t="str">
        <f>LEFT(Scharniere[[#This Row],[ArtikelNR]],4)</f>
        <v>F045</v>
      </c>
      <c r="B341" s="35" t="str">
        <f>MID(Scharniere[[#This Row],[ArtikelNR]],5,3)</f>
        <v>138</v>
      </c>
      <c r="C341" s="37" t="str">
        <f>RIGHT(Scharniere[[#This Row],[ArtikelNR]],3)</f>
        <v>850</v>
      </c>
      <c r="D341" s="35">
        <f>IF(AND(Scharniere[[#This Row],[Gruppenschlüssel]]=select!$A$44,Scharniere[[#This Row],[Scharnierart]]=1)=TRUE,1,0)</f>
        <v>0</v>
      </c>
      <c r="E3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41" s="35">
        <f>IF(select!$F$57=IF(Scharniere[[#This Row],[mit Dämpfung]]=1,1,IF(Scharniere[[#This Row],[ohne Dämpfung]]=1,2,IF(Scharniere[[#This Row],[ohne Feder]]=1,3,0))),1,0)</f>
        <v>0</v>
      </c>
      <c r="G341" s="35">
        <f>IF(Scharniere[[#This Row],[Bohrbild]]=select!$V$43,1,0)</f>
        <v>0</v>
      </c>
      <c r="H341" s="35">
        <f>IF(IF(Scharniere[[#This Row],[Anschrauben]]=1,1,IF(Scharniere[[#This Row],[Einpressen]]=1,2,IF(Scharniere[[#This Row],[Quick]]=1,3,IF(Scharniere[[#This Row],[Werkzeuglos]]=1,4,0))))=select!$F$48,1,0)</f>
        <v>0</v>
      </c>
      <c r="I3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1" s="149">
        <f>IF(AND(Scharniere[[#This Row],[Scharnierart]]=2,Scharniere[[#This Row],[Gruppenschlüssel]]=select!$A$318)=TRUE,1,0)</f>
        <v>0</v>
      </c>
      <c r="K341" s="221">
        <f ca="1">IF(select!$O$424&lt;6,1,0)</f>
        <v>1</v>
      </c>
      <c r="L341" s="139">
        <f>IF(select!$A$362=IF(Scharniere[[#This Row],[mit Dämpfung]]=1,1,IF(Scharniere[[#This Row],[ohne Dämpfung]]=1,2,IF(Scharniere[[#This Row],[ohne Feder]]=1,3,0))),1,0)</f>
        <v>0</v>
      </c>
      <c r="M341" s="135">
        <f>IF(Scharniere[[#This Row],[Bohrbild]]=select!$O$334,1,0)</f>
        <v>0</v>
      </c>
      <c r="N341" s="135">
        <f>IF(IF(Scharniere[[#This Row],[Anschrauben]]=1,1,IF(Scharniere[[#This Row],[Einpressen]]=1,2,IF(Scharniere[[#This Row],[Quick]]=1,3,IF(Scharniere[[#This Row],[Werkzeuglos]]=1,4,0))))=select!$E$362,1,0)</f>
        <v>1</v>
      </c>
      <c r="O3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1" s="298">
        <f>IF(AND(Scharniere[[#This Row],[Scharnierart]]=3,Scharniere[[#This Row],[Gruppenschlüssel]]=select!$A$747)=TRUE,1,0)</f>
        <v>0</v>
      </c>
      <c r="Q341" s="298">
        <f ca="1">IF(select!$O$945&lt;6,1,0)</f>
        <v>1</v>
      </c>
      <c r="R341" s="298">
        <f>IF(select!$A$778=IF(Scharniere[[#This Row],[mit Dämpfung]]=1,1,IF(Scharniere[[#This Row],[ohne Dämpfung]]=1,2,IF(Scharniere[[#This Row],[ohne Feder]]=1,3,0))),1,0)</f>
        <v>1</v>
      </c>
      <c r="S341" s="298">
        <f>IF(Scharniere[[#This Row],[Bohrbild]]=select!$A$755,1,0)</f>
        <v>0</v>
      </c>
      <c r="T341" s="298">
        <f>IF(IF(Scharniere[[#This Row],[Anschrauben]]=1,1,IF(Scharniere[[#This Row],[Einpressen]]=1,2,IF(Scharniere[[#This Row],[Quick]]=1,3,IF(Scharniere[[#This Row],[Werkzeuglos]]=1,4,0))))=select!$A$769,1,0)</f>
        <v>1</v>
      </c>
      <c r="U3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1" s="359">
        <f>IF(AND(Scharniere[[#This Row],[Scharnierart]]=4,Scharniere[[#This Row],[Gruppenschlüssel]]=select!$A$981)=TRUE,1,0)</f>
        <v>0</v>
      </c>
      <c r="W341" s="359">
        <f ca="1">IF(select!$O$1185&lt;6,1,0)</f>
        <v>1</v>
      </c>
      <c r="X341" s="359">
        <f>IF(select!$A$1012=IF(Scharniere[[#This Row],[mit Dämpfung]]=1,1,IF(Scharniere[[#This Row],[ohne Dämpfung]]=1,2,IF(Scharniere[[#This Row],[ohne Feder]]=1,3,0))),1,0)</f>
        <v>1</v>
      </c>
      <c r="Y341" s="359">
        <f>IF(Scharniere[[#This Row],[Bohrbild]]=select!$A$989,1,0)</f>
        <v>0</v>
      </c>
      <c r="Z341" s="359">
        <f>IF(IF(Scharniere[[#This Row],[Anschrauben]]=1,1,IF(Scharniere[[#This Row],[Einpressen]]=1,2,IF(Scharniere[[#This Row],[Quick]]=1,3,IF(Scharniere[[#This Row],[Werkzeuglos]]=1,4,0))))=select!$A$1003,1,0)</f>
        <v>1</v>
      </c>
      <c r="AA3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1" s="359">
        <f ca="1">IF(select!$K$980="*",Scharniere[[#This Row],[AG Ges2]],Scharniere[[#This Row],[AG Ges1]])</f>
        <v>0</v>
      </c>
      <c r="AE341" s="451">
        <f ca="1">IF(AND(Scharniere[[#This Row],[Scharnierart]]=select!$A$1485,Scharniere[[#This Row],[Gruppenschlüssel]]=select!$B$1485)=TRUE,1,0)</f>
        <v>0</v>
      </c>
      <c r="AF341" s="451">
        <f ca="1">IF(AND(Scharniere[[#This Row],[Scharnierart]]=select!$A$1486,Scharniere[[#This Row],[Gruppenschlüssel]]=select!$B$1486)=TRUE,1,0)</f>
        <v>0</v>
      </c>
      <c r="AG341" s="451">
        <f ca="1">IF(AND(Scharniere[[#This Row],[Scharnierart]]=select!$A$1487,Scharniere[[#This Row],[Gruppenschlüssel]]=select!$B$1487)=TRUE,1,0)</f>
        <v>0</v>
      </c>
      <c r="AH341" s="451">
        <f ca="1">IF(AND(Scharniere[[#This Row],[Scharnierart]]=select!$A$1488,Scharniere[[#This Row],[Gruppenschlüssel]]=select!$B$1488)=TRUE,1,0)</f>
        <v>0</v>
      </c>
      <c r="AI341" s="451">
        <f ca="1">IF(SUM(Scharniere[[#This Row],[konf Scharnier 1]:[konf Scharnier 4]])&gt;0,1,0)</f>
        <v>0</v>
      </c>
      <c r="AJ341" s="451"/>
      <c r="AK341" s="451"/>
      <c r="AL341" s="451"/>
      <c r="AM341" s="451"/>
      <c r="AN341" s="451"/>
      <c r="AO341" s="146">
        <v>1</v>
      </c>
      <c r="AP341" s="146">
        <v>2</v>
      </c>
      <c r="AQ341" s="10" t="str">
        <f ca="1">Sprache!$A$110</f>
        <v>Tiomos Scharnier T Click-on</v>
      </c>
      <c r="AR341" t="s">
        <v>393</v>
      </c>
      <c r="AS341" t="str">
        <f ca="1">Sprache!$A$103</f>
        <v>Tiomos Click-On Scharniere</v>
      </c>
      <c r="AT341">
        <v>3</v>
      </c>
      <c r="AU341" s="34" t="s">
        <v>11</v>
      </c>
      <c r="AV341">
        <v>120</v>
      </c>
      <c r="AW341" s="10">
        <v>0</v>
      </c>
      <c r="AX341">
        <v>1</v>
      </c>
      <c r="AY341">
        <v>0</v>
      </c>
      <c r="AZ341" s="10">
        <v>1</v>
      </c>
      <c r="BA341">
        <v>0</v>
      </c>
      <c r="BB341">
        <v>0</v>
      </c>
      <c r="BC341">
        <v>0</v>
      </c>
      <c r="BD341" s="143" t="s">
        <v>551</v>
      </c>
      <c r="BG341"/>
    </row>
    <row r="342" spans="1:59" ht="14.25" customHeight="1" x14ac:dyDescent="0.25">
      <c r="A342" s="37" t="str">
        <f>LEFT(Scharniere[[#This Row],[ArtikelNR]],4)</f>
        <v>F028</v>
      </c>
      <c r="B342" s="35" t="str">
        <f>MID(Scharniere[[#This Row],[ArtikelNR]],5,3)</f>
        <v>138</v>
      </c>
      <c r="C342" s="37" t="str">
        <f>RIGHT(Scharniere[[#This Row],[ArtikelNR]],3)</f>
        <v>912</v>
      </c>
      <c r="D342" s="35">
        <f>IF(AND(Scharniere[[#This Row],[Gruppenschlüssel]]=select!$A$44,Scharniere[[#This Row],[Scharnierart]]=1)=TRUE,1,0)</f>
        <v>0</v>
      </c>
      <c r="E3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42" s="35">
        <f>IF(select!$F$57=IF(Scharniere[[#This Row],[mit Dämpfung]]=1,1,IF(Scharniere[[#This Row],[ohne Dämpfung]]=1,2,IF(Scharniere[[#This Row],[ohne Feder]]=1,3,0))),1,0)</f>
        <v>0</v>
      </c>
      <c r="G342" s="35">
        <f>IF(Scharniere[[#This Row],[Bohrbild]]=select!$V$43,1,0)</f>
        <v>0</v>
      </c>
      <c r="H342" s="35">
        <f>IF(IF(Scharniere[[#This Row],[Anschrauben]]=1,1,IF(Scharniere[[#This Row],[Einpressen]]=1,2,IF(Scharniere[[#This Row],[Quick]]=1,3,IF(Scharniere[[#This Row],[Werkzeuglos]]=1,4,0))))=select!$F$48,1,0)</f>
        <v>0</v>
      </c>
      <c r="I3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2" s="149">
        <f>IF(AND(Scharniere[[#This Row],[Scharnierart]]=2,Scharniere[[#This Row],[Gruppenschlüssel]]=select!$A$318)=TRUE,1,0)</f>
        <v>0</v>
      </c>
      <c r="K342" s="221">
        <f ca="1">IF(select!$O$424&lt;6,1,0)</f>
        <v>1</v>
      </c>
      <c r="L342" s="139">
        <f>IF(select!$A$362=IF(Scharniere[[#This Row],[mit Dämpfung]]=1,1,IF(Scharniere[[#This Row],[ohne Dämpfung]]=1,2,IF(Scharniere[[#This Row],[ohne Feder]]=1,3,0))),1,0)</f>
        <v>1</v>
      </c>
      <c r="M342" s="135">
        <f>IF(Scharniere[[#This Row],[Bohrbild]]=select!$O$334,1,0)</f>
        <v>0</v>
      </c>
      <c r="N342" s="135">
        <f>IF(IF(Scharniere[[#This Row],[Anschrauben]]=1,1,IF(Scharniere[[#This Row],[Einpressen]]=1,2,IF(Scharniere[[#This Row],[Quick]]=1,3,IF(Scharniere[[#This Row],[Werkzeuglos]]=1,4,0))))=select!$E$362,1,0)</f>
        <v>1</v>
      </c>
      <c r="O3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2" s="298">
        <f>IF(AND(Scharniere[[#This Row],[Scharnierart]]=3,Scharniere[[#This Row],[Gruppenschlüssel]]=select!$A$747)=TRUE,1,0)</f>
        <v>0</v>
      </c>
      <c r="Q342" s="298">
        <f ca="1">IF(select!$O$945&lt;6,1,0)</f>
        <v>1</v>
      </c>
      <c r="R342" s="298">
        <f>IF(select!$A$778=IF(Scharniere[[#This Row],[mit Dämpfung]]=1,1,IF(Scharniere[[#This Row],[ohne Dämpfung]]=1,2,IF(Scharniere[[#This Row],[ohne Feder]]=1,3,0))),1,0)</f>
        <v>0</v>
      </c>
      <c r="S342" s="298">
        <f>IF(Scharniere[[#This Row],[Bohrbild]]=select!$A$755,1,0)</f>
        <v>0</v>
      </c>
      <c r="T342" s="298">
        <f>IF(IF(Scharniere[[#This Row],[Anschrauben]]=1,1,IF(Scharniere[[#This Row],[Einpressen]]=1,2,IF(Scharniere[[#This Row],[Quick]]=1,3,IF(Scharniere[[#This Row],[Werkzeuglos]]=1,4,0))))=select!$A$769,1,0)</f>
        <v>1</v>
      </c>
      <c r="U3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2" s="359">
        <f>IF(AND(Scharniere[[#This Row],[Scharnierart]]=4,Scharniere[[#This Row],[Gruppenschlüssel]]=select!$A$981)=TRUE,1,0)</f>
        <v>0</v>
      </c>
      <c r="W342" s="359">
        <f ca="1">IF(select!$O$1185&lt;6,1,0)</f>
        <v>1</v>
      </c>
      <c r="X342" s="359">
        <f>IF(select!$A$1012=IF(Scharniere[[#This Row],[mit Dämpfung]]=1,1,IF(Scharniere[[#This Row],[ohne Dämpfung]]=1,2,IF(Scharniere[[#This Row],[ohne Feder]]=1,3,0))),1,0)</f>
        <v>0</v>
      </c>
      <c r="Y342" s="359">
        <f>IF(Scharniere[[#This Row],[Bohrbild]]=select!$A$989,1,0)</f>
        <v>0</v>
      </c>
      <c r="Z342" s="359">
        <f>IF(IF(Scharniere[[#This Row],[Anschrauben]]=1,1,IF(Scharniere[[#This Row],[Einpressen]]=1,2,IF(Scharniere[[#This Row],[Quick]]=1,3,IF(Scharniere[[#This Row],[Werkzeuglos]]=1,4,0))))=select!$A$1003,1,0)</f>
        <v>1</v>
      </c>
      <c r="AA3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2" s="359">
        <f ca="1">IF(select!$K$980="*",Scharniere[[#This Row],[AG Ges2]],Scharniere[[#This Row],[AG Ges1]])</f>
        <v>0</v>
      </c>
      <c r="AE342" s="451">
        <f ca="1">IF(AND(Scharniere[[#This Row],[Scharnierart]]=select!$A$1485,Scharniere[[#This Row],[Gruppenschlüssel]]=select!$B$1485)=TRUE,1,0)</f>
        <v>0</v>
      </c>
      <c r="AF342" s="451">
        <f ca="1">IF(AND(Scharniere[[#This Row],[Scharnierart]]=select!$A$1486,Scharniere[[#This Row],[Gruppenschlüssel]]=select!$B$1486)=TRUE,1,0)</f>
        <v>0</v>
      </c>
      <c r="AG342" s="451">
        <f ca="1">IF(AND(Scharniere[[#This Row],[Scharnierart]]=select!$A$1487,Scharniere[[#This Row],[Gruppenschlüssel]]=select!$B$1487)=TRUE,1,0)</f>
        <v>0</v>
      </c>
      <c r="AH342" s="451">
        <f ca="1">IF(AND(Scharniere[[#This Row],[Scharnierart]]=select!$A$1488,Scharniere[[#This Row],[Gruppenschlüssel]]=select!$B$1488)=TRUE,1,0)</f>
        <v>0</v>
      </c>
      <c r="AI342" s="451">
        <f ca="1">IF(SUM(Scharniere[[#This Row],[konf Scharnier 1]:[konf Scharnier 4]])&gt;0,1,0)</f>
        <v>0</v>
      </c>
      <c r="AJ342" s="451"/>
      <c r="AK342" s="451"/>
      <c r="AL342" s="451"/>
      <c r="AM342" s="451"/>
      <c r="AN342" s="451"/>
      <c r="AO342" s="146">
        <v>1</v>
      </c>
      <c r="AP342" s="146">
        <v>2</v>
      </c>
      <c r="AQ342" s="10" t="str">
        <f ca="1">Sprache!$A$112</f>
        <v>Tiomos Scharnier TS Click-on</v>
      </c>
      <c r="AR342" t="s">
        <v>393</v>
      </c>
      <c r="AS342" t="str">
        <f ca="1">Sprache!$A$103</f>
        <v>Tiomos Click-On Scharniere</v>
      </c>
      <c r="AT342">
        <v>3</v>
      </c>
      <c r="AU342" t="s">
        <v>11</v>
      </c>
      <c r="AV342">
        <v>120</v>
      </c>
      <c r="AW342" s="10">
        <v>1</v>
      </c>
      <c r="AX342">
        <v>0</v>
      </c>
      <c r="AY342">
        <v>0</v>
      </c>
      <c r="AZ342" s="10">
        <v>1</v>
      </c>
      <c r="BA342">
        <v>0</v>
      </c>
      <c r="BB342">
        <v>0</v>
      </c>
      <c r="BC342">
        <v>0</v>
      </c>
      <c r="BD342" s="143" t="s">
        <v>392</v>
      </c>
      <c r="BG342"/>
    </row>
    <row r="343" spans="1:59" ht="14.25" customHeight="1" x14ac:dyDescent="0.25">
      <c r="A343" s="37" t="str">
        <f>LEFT(Scharniere[[#This Row],[ArtikelNR]],4)</f>
        <v>F046</v>
      </c>
      <c r="B343" s="35" t="str">
        <f>MID(Scharniere[[#This Row],[ArtikelNR]],5,3)</f>
        <v>138</v>
      </c>
      <c r="C343" s="37" t="str">
        <f>RIGHT(Scharniere[[#This Row],[ArtikelNR]],3)</f>
        <v>972</v>
      </c>
      <c r="D343" s="35">
        <f>IF(AND(Scharniere[[#This Row],[Gruppenschlüssel]]=select!$A$44,Scharniere[[#This Row],[Scharnierart]]=1)=TRUE,1,0)</f>
        <v>0</v>
      </c>
      <c r="E3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343" s="35">
        <f>IF(select!$F$57=IF(Scharniere[[#This Row],[mit Dämpfung]]=1,1,IF(Scharniere[[#This Row],[ohne Dämpfung]]=1,2,IF(Scharniere[[#This Row],[ohne Feder]]=1,3,0))),1,0)</f>
        <v>1</v>
      </c>
      <c r="G343" s="35">
        <f>IF(Scharniere[[#This Row],[Bohrbild]]=select!$V$43,1,0)</f>
        <v>0</v>
      </c>
      <c r="H343" s="35">
        <f>IF(IF(Scharniere[[#This Row],[Anschrauben]]=1,1,IF(Scharniere[[#This Row],[Einpressen]]=1,2,IF(Scharniere[[#This Row],[Quick]]=1,3,IF(Scharniere[[#This Row],[Werkzeuglos]]=1,4,0))))=select!$F$48,1,0)</f>
        <v>0</v>
      </c>
      <c r="I3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3" s="149">
        <f>IF(AND(Scharniere[[#This Row],[Scharnierart]]=2,Scharniere[[#This Row],[Gruppenschlüssel]]=select!$A$318)=TRUE,1,0)</f>
        <v>0</v>
      </c>
      <c r="K343" s="221">
        <f ca="1">IF(select!$O$424&lt;6,1,0)</f>
        <v>1</v>
      </c>
      <c r="L343" s="139">
        <f>IF(select!$A$362=IF(Scharniere[[#This Row],[mit Dämpfung]]=1,1,IF(Scharniere[[#This Row],[ohne Dämpfung]]=1,2,IF(Scharniere[[#This Row],[ohne Feder]]=1,3,0))),1,0)</f>
        <v>0</v>
      </c>
      <c r="M343" s="135">
        <f>IF(Scharniere[[#This Row],[Bohrbild]]=select!$O$334,1,0)</f>
        <v>0</v>
      </c>
      <c r="N343" s="135">
        <f>IF(IF(Scharniere[[#This Row],[Anschrauben]]=1,1,IF(Scharniere[[#This Row],[Einpressen]]=1,2,IF(Scharniere[[#This Row],[Quick]]=1,3,IF(Scharniere[[#This Row],[Werkzeuglos]]=1,4,0))))=select!$E$362,1,0)</f>
        <v>1</v>
      </c>
      <c r="O3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3" s="298">
        <f>IF(AND(Scharniere[[#This Row],[Scharnierart]]=3,Scharniere[[#This Row],[Gruppenschlüssel]]=select!$A$747)=TRUE,1,0)</f>
        <v>0</v>
      </c>
      <c r="Q343" s="298">
        <f ca="1">IF(select!$O$945&lt;6,1,0)</f>
        <v>1</v>
      </c>
      <c r="R343" s="298">
        <f>IF(select!$A$778=IF(Scharniere[[#This Row],[mit Dämpfung]]=1,1,IF(Scharniere[[#This Row],[ohne Dämpfung]]=1,2,IF(Scharniere[[#This Row],[ohne Feder]]=1,3,0))),1,0)</f>
        <v>0</v>
      </c>
      <c r="S343" s="298">
        <f>IF(Scharniere[[#This Row],[Bohrbild]]=select!$A$755,1,0)</f>
        <v>0</v>
      </c>
      <c r="T343" s="298">
        <f>IF(IF(Scharniere[[#This Row],[Anschrauben]]=1,1,IF(Scharniere[[#This Row],[Einpressen]]=1,2,IF(Scharniere[[#This Row],[Quick]]=1,3,IF(Scharniere[[#This Row],[Werkzeuglos]]=1,4,0))))=select!$A$769,1,0)</f>
        <v>1</v>
      </c>
      <c r="U3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3" s="359">
        <f>IF(AND(Scharniere[[#This Row],[Scharnierart]]=4,Scharniere[[#This Row],[Gruppenschlüssel]]=select!$A$981)=TRUE,1,0)</f>
        <v>0</v>
      </c>
      <c r="W343" s="359">
        <f ca="1">IF(select!$O$1185&lt;6,1,0)</f>
        <v>1</v>
      </c>
      <c r="X343" s="359">
        <f>IF(select!$A$1012=IF(Scharniere[[#This Row],[mit Dämpfung]]=1,1,IF(Scharniere[[#This Row],[ohne Dämpfung]]=1,2,IF(Scharniere[[#This Row],[ohne Feder]]=1,3,0))),1,0)</f>
        <v>0</v>
      </c>
      <c r="Y343" s="359">
        <f>IF(Scharniere[[#This Row],[Bohrbild]]=select!$A$989,1,0)</f>
        <v>0</v>
      </c>
      <c r="Z343" s="359">
        <f>IF(IF(Scharniere[[#This Row],[Anschrauben]]=1,1,IF(Scharniere[[#This Row],[Einpressen]]=1,2,IF(Scharniere[[#This Row],[Quick]]=1,3,IF(Scharniere[[#This Row],[Werkzeuglos]]=1,4,0))))=select!$A$1003,1,0)</f>
        <v>1</v>
      </c>
      <c r="AA3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3" s="359">
        <f ca="1">IF(select!$K$980="*",Scharniere[[#This Row],[AG Ges2]],Scharniere[[#This Row],[AG Ges1]])</f>
        <v>0</v>
      </c>
      <c r="AE343" s="451">
        <f ca="1">IF(AND(Scharniere[[#This Row],[Scharnierart]]=select!$A$1485,Scharniere[[#This Row],[Gruppenschlüssel]]=select!$B$1485)=TRUE,1,0)</f>
        <v>0</v>
      </c>
      <c r="AF343" s="451">
        <f ca="1">IF(AND(Scharniere[[#This Row],[Scharnierart]]=select!$A$1486,Scharniere[[#This Row],[Gruppenschlüssel]]=select!$B$1486)=TRUE,1,0)</f>
        <v>0</v>
      </c>
      <c r="AG343" s="451">
        <f ca="1">IF(AND(Scharniere[[#This Row],[Scharnierart]]=select!$A$1487,Scharniere[[#This Row],[Gruppenschlüssel]]=select!$B$1487)=TRUE,1,0)</f>
        <v>0</v>
      </c>
      <c r="AH343" s="451">
        <f ca="1">IF(AND(Scharniere[[#This Row],[Scharnierart]]=select!$A$1488,Scharniere[[#This Row],[Gruppenschlüssel]]=select!$B$1488)=TRUE,1,0)</f>
        <v>0</v>
      </c>
      <c r="AI343" s="451">
        <f ca="1">IF(SUM(Scharniere[[#This Row],[konf Scharnier 1]:[konf Scharnier 4]])&gt;0,1,0)</f>
        <v>0</v>
      </c>
      <c r="AJ343" s="451"/>
      <c r="AK343" s="451"/>
      <c r="AL343" s="451"/>
      <c r="AM343" s="451"/>
      <c r="AN343" s="451"/>
      <c r="AO343" s="146">
        <v>1</v>
      </c>
      <c r="AP343" s="146">
        <v>2</v>
      </c>
      <c r="AQ343" s="10" t="str">
        <f ca="1">Sprache!$A$114</f>
        <v>Tiomos Scharnier TT Click-on</v>
      </c>
      <c r="AR343" t="s">
        <v>393</v>
      </c>
      <c r="AS343" t="str">
        <f ca="1">Sprache!$A$103</f>
        <v>Tiomos Click-On Scharniere</v>
      </c>
      <c r="AT343">
        <v>3</v>
      </c>
      <c r="AU343" s="34" t="s">
        <v>11</v>
      </c>
      <c r="AV343">
        <v>120</v>
      </c>
      <c r="AW343" s="10">
        <v>0</v>
      </c>
      <c r="AX343">
        <v>0</v>
      </c>
      <c r="AY343">
        <v>1</v>
      </c>
      <c r="AZ343" s="10">
        <v>1</v>
      </c>
      <c r="BA343">
        <v>0</v>
      </c>
      <c r="BB343">
        <v>0</v>
      </c>
      <c r="BC343">
        <v>0</v>
      </c>
      <c r="BD343" s="143" t="s">
        <v>703</v>
      </c>
      <c r="BG343"/>
    </row>
    <row r="344" spans="1:59" ht="14.25" customHeight="1" x14ac:dyDescent="0.25">
      <c r="A344" s="37" t="str">
        <f>LEFT(Scharniere[[#This Row],[ArtikelNR]],4)</f>
        <v>F045</v>
      </c>
      <c r="B344" s="35" t="str">
        <f>MID(Scharniere[[#This Row],[ArtikelNR]],5,3)</f>
        <v>138</v>
      </c>
      <c r="C344" s="37" t="str">
        <f>RIGHT(Scharniere[[#This Row],[ArtikelNR]],3)</f>
        <v>489</v>
      </c>
      <c r="D344" s="35">
        <f>IF(AND(Scharniere[[#This Row],[Gruppenschlüssel]]=select!$A$44,Scharniere[[#This Row],[Scharnierart]]=1)=TRUE,1,0)</f>
        <v>0</v>
      </c>
      <c r="E3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4" s="35">
        <f>IF(select!$F$57=IF(Scharniere[[#This Row],[mit Dämpfung]]=1,1,IF(Scharniere[[#This Row],[ohne Dämpfung]]=1,2,IF(Scharniere[[#This Row],[ohne Feder]]=1,3,0))),1,0)</f>
        <v>0</v>
      </c>
      <c r="G344" s="35">
        <f>IF(Scharniere[[#This Row],[Bohrbild]]=select!$V$43,1,0)</f>
        <v>0</v>
      </c>
      <c r="H344" s="35">
        <f>IF(IF(Scharniere[[#This Row],[Anschrauben]]=1,1,IF(Scharniere[[#This Row],[Einpressen]]=1,2,IF(Scharniere[[#This Row],[Quick]]=1,3,IF(Scharniere[[#This Row],[Werkzeuglos]]=1,4,0))))=select!$F$48,1,0)</f>
        <v>1</v>
      </c>
      <c r="I3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4" s="149">
        <f>IF(AND(Scharniere[[#This Row],[Scharnierart]]=2,Scharniere[[#This Row],[Gruppenschlüssel]]=select!$A$318)=TRUE,1,0)</f>
        <v>0</v>
      </c>
      <c r="K344" s="221">
        <f ca="1">IF(select!$O$424&lt;6,1,0)</f>
        <v>1</v>
      </c>
      <c r="L344" s="139">
        <f>IF(select!$A$362=IF(Scharniere[[#This Row],[mit Dämpfung]]=1,1,IF(Scharniere[[#This Row],[ohne Dämpfung]]=1,2,IF(Scharniere[[#This Row],[ohne Feder]]=1,3,0))),1,0)</f>
        <v>0</v>
      </c>
      <c r="M344" s="135">
        <f>IF(Scharniere[[#This Row],[Bohrbild]]=select!$O$334,1,0)</f>
        <v>0</v>
      </c>
      <c r="N344" s="135">
        <f>IF(IF(Scharniere[[#This Row],[Anschrauben]]=1,1,IF(Scharniere[[#This Row],[Einpressen]]=1,2,IF(Scharniere[[#This Row],[Quick]]=1,3,IF(Scharniere[[#This Row],[Werkzeuglos]]=1,4,0))))=select!$E$362,1,0)</f>
        <v>0</v>
      </c>
      <c r="O3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4" s="298">
        <f>IF(AND(Scharniere[[#This Row],[Scharnierart]]=3,Scharniere[[#This Row],[Gruppenschlüssel]]=select!$A$747)=TRUE,1,0)</f>
        <v>0</v>
      </c>
      <c r="Q344" s="298">
        <f ca="1">IF(select!$O$945&lt;6,1,0)</f>
        <v>1</v>
      </c>
      <c r="R344" s="298">
        <f>IF(select!$A$778=IF(Scharniere[[#This Row],[mit Dämpfung]]=1,1,IF(Scharniere[[#This Row],[ohne Dämpfung]]=1,2,IF(Scharniere[[#This Row],[ohne Feder]]=1,3,0))),1,0)</f>
        <v>1</v>
      </c>
      <c r="S344" s="298">
        <f>IF(Scharniere[[#This Row],[Bohrbild]]=select!$A$755,1,0)</f>
        <v>0</v>
      </c>
      <c r="T344" s="298">
        <f>IF(IF(Scharniere[[#This Row],[Anschrauben]]=1,1,IF(Scharniere[[#This Row],[Einpressen]]=1,2,IF(Scharniere[[#This Row],[Quick]]=1,3,IF(Scharniere[[#This Row],[Werkzeuglos]]=1,4,0))))=select!$A$769,1,0)</f>
        <v>0</v>
      </c>
      <c r="U3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4" s="359">
        <f>IF(AND(Scharniere[[#This Row],[Scharnierart]]=4,Scharniere[[#This Row],[Gruppenschlüssel]]=select!$A$981)=TRUE,1,0)</f>
        <v>0</v>
      </c>
      <c r="W344" s="359">
        <f ca="1">IF(select!$O$1185&lt;6,1,0)</f>
        <v>1</v>
      </c>
      <c r="X344" s="359">
        <f>IF(select!$A$1012=IF(Scharniere[[#This Row],[mit Dämpfung]]=1,1,IF(Scharniere[[#This Row],[ohne Dämpfung]]=1,2,IF(Scharniere[[#This Row],[ohne Feder]]=1,3,0))),1,0)</f>
        <v>1</v>
      </c>
      <c r="Y344" s="359">
        <f>IF(Scharniere[[#This Row],[Bohrbild]]=select!$A$989,1,0)</f>
        <v>0</v>
      </c>
      <c r="Z344" s="359">
        <f>IF(IF(Scharniere[[#This Row],[Anschrauben]]=1,1,IF(Scharniere[[#This Row],[Einpressen]]=1,2,IF(Scharniere[[#This Row],[Quick]]=1,3,IF(Scharniere[[#This Row],[Werkzeuglos]]=1,4,0))))=select!$A$1003,1,0)</f>
        <v>0</v>
      </c>
      <c r="AA3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4" s="359">
        <f ca="1">IF(select!$K$980="*",Scharniere[[#This Row],[AG Ges2]],Scharniere[[#This Row],[AG Ges1]])</f>
        <v>0</v>
      </c>
      <c r="AE344" s="451">
        <f ca="1">IF(AND(Scharniere[[#This Row],[Scharnierart]]=select!$A$1485,Scharniere[[#This Row],[Gruppenschlüssel]]=select!$B$1485)=TRUE,1,0)</f>
        <v>0</v>
      </c>
      <c r="AF344" s="451">
        <f ca="1">IF(AND(Scharniere[[#This Row],[Scharnierart]]=select!$A$1486,Scharniere[[#This Row],[Gruppenschlüssel]]=select!$B$1486)=TRUE,1,0)</f>
        <v>0</v>
      </c>
      <c r="AG344" s="451">
        <f ca="1">IF(AND(Scharniere[[#This Row],[Scharnierart]]=select!$A$1487,Scharniere[[#This Row],[Gruppenschlüssel]]=select!$B$1487)=TRUE,1,0)</f>
        <v>0</v>
      </c>
      <c r="AH344" s="451">
        <f ca="1">IF(AND(Scharniere[[#This Row],[Scharnierart]]=select!$A$1488,Scharniere[[#This Row],[Gruppenschlüssel]]=select!$B$1488)=TRUE,1,0)</f>
        <v>0</v>
      </c>
      <c r="AI344" s="451">
        <f ca="1">IF(SUM(Scharniere[[#This Row],[konf Scharnier 1]:[konf Scharnier 4]])&gt;0,1,0)</f>
        <v>0</v>
      </c>
      <c r="AJ344" s="451"/>
      <c r="AK344" s="451"/>
      <c r="AL344" s="451"/>
      <c r="AM344" s="451"/>
      <c r="AN344" s="451"/>
      <c r="AO344" s="146">
        <v>1</v>
      </c>
      <c r="AP344" s="146">
        <v>2</v>
      </c>
      <c r="AQ344" s="10" t="str">
        <f ca="1">Sprache!$A$110</f>
        <v>Tiomos Scharnier T Click-on</v>
      </c>
      <c r="AR344" t="str">
        <f ca="1">"120°, B-BB, K00, "&amp;Sprache!A181&amp;", ni"</f>
        <v>120°, B-BB, K00, Dübel, ni</v>
      </c>
      <c r="AS344" t="str">
        <f ca="1">Sprache!$A$103</f>
        <v>Tiomos Click-On Scharniere</v>
      </c>
      <c r="AT344">
        <v>0</v>
      </c>
      <c r="AU344" s="10" t="s">
        <v>3</v>
      </c>
      <c r="AV344">
        <v>120</v>
      </c>
      <c r="AW344" s="10">
        <v>0</v>
      </c>
      <c r="AX344">
        <v>1</v>
      </c>
      <c r="AY344">
        <v>0</v>
      </c>
      <c r="AZ344" s="10">
        <v>0</v>
      </c>
      <c r="BA344">
        <v>1</v>
      </c>
      <c r="BB344">
        <v>0</v>
      </c>
      <c r="BC344">
        <v>0</v>
      </c>
      <c r="BD344" s="143" t="s">
        <v>496</v>
      </c>
      <c r="BG344"/>
    </row>
    <row r="345" spans="1:59" ht="14.25" customHeight="1" x14ac:dyDescent="0.25">
      <c r="A345" s="37" t="str">
        <f>LEFT(Scharniere[[#This Row],[ArtikelNR]],4)</f>
        <v>F028</v>
      </c>
      <c r="B345" s="35" t="str">
        <f>MID(Scharniere[[#This Row],[ArtikelNR]],5,3)</f>
        <v>138</v>
      </c>
      <c r="C345" s="37" t="str">
        <f>RIGHT(Scharniere[[#This Row],[ArtikelNR]],3)</f>
        <v>551</v>
      </c>
      <c r="D345" s="35">
        <f>IF(AND(Scharniere[[#This Row],[Gruppenschlüssel]]=select!$A$44,Scharniere[[#This Row],[Scharnierart]]=1)=TRUE,1,0)</f>
        <v>0</v>
      </c>
      <c r="E3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5" s="35">
        <f>IF(select!$F$57=IF(Scharniere[[#This Row],[mit Dämpfung]]=1,1,IF(Scharniere[[#This Row],[ohne Dämpfung]]=1,2,IF(Scharniere[[#This Row],[ohne Feder]]=1,3,0))),1,0)</f>
        <v>0</v>
      </c>
      <c r="G345" s="35">
        <f>IF(Scharniere[[#This Row],[Bohrbild]]=select!$V$43,1,0)</f>
        <v>0</v>
      </c>
      <c r="H345" s="35">
        <f>IF(IF(Scharniere[[#This Row],[Anschrauben]]=1,1,IF(Scharniere[[#This Row],[Einpressen]]=1,2,IF(Scharniere[[#This Row],[Quick]]=1,3,IF(Scharniere[[#This Row],[Werkzeuglos]]=1,4,0))))=select!$F$48,1,0)</f>
        <v>1</v>
      </c>
      <c r="I3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5" s="149">
        <f>IF(AND(Scharniere[[#This Row],[Scharnierart]]=2,Scharniere[[#This Row],[Gruppenschlüssel]]=select!$A$318)=TRUE,1,0)</f>
        <v>0</v>
      </c>
      <c r="K345" s="221">
        <f ca="1">IF(select!$O$424&lt;6,1,0)</f>
        <v>1</v>
      </c>
      <c r="L345" s="139">
        <f>IF(select!$A$362=IF(Scharniere[[#This Row],[mit Dämpfung]]=1,1,IF(Scharniere[[#This Row],[ohne Dämpfung]]=1,2,IF(Scharniere[[#This Row],[ohne Feder]]=1,3,0))),1,0)</f>
        <v>1</v>
      </c>
      <c r="M345" s="135">
        <f>IF(Scharniere[[#This Row],[Bohrbild]]=select!$O$334,1,0)</f>
        <v>0</v>
      </c>
      <c r="N345" s="135">
        <f>IF(IF(Scharniere[[#This Row],[Anschrauben]]=1,1,IF(Scharniere[[#This Row],[Einpressen]]=1,2,IF(Scharniere[[#This Row],[Quick]]=1,3,IF(Scharniere[[#This Row],[Werkzeuglos]]=1,4,0))))=select!$E$362,1,0)</f>
        <v>0</v>
      </c>
      <c r="O3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5" s="298">
        <f>IF(AND(Scharniere[[#This Row],[Scharnierart]]=3,Scharniere[[#This Row],[Gruppenschlüssel]]=select!$A$747)=TRUE,1,0)</f>
        <v>0</v>
      </c>
      <c r="Q345" s="298">
        <f ca="1">IF(select!$O$945&lt;6,1,0)</f>
        <v>1</v>
      </c>
      <c r="R345" s="298">
        <f>IF(select!$A$778=IF(Scharniere[[#This Row],[mit Dämpfung]]=1,1,IF(Scharniere[[#This Row],[ohne Dämpfung]]=1,2,IF(Scharniere[[#This Row],[ohne Feder]]=1,3,0))),1,0)</f>
        <v>0</v>
      </c>
      <c r="S345" s="298">
        <f>IF(Scharniere[[#This Row],[Bohrbild]]=select!$A$755,1,0)</f>
        <v>0</v>
      </c>
      <c r="T345" s="298">
        <f>IF(IF(Scharniere[[#This Row],[Anschrauben]]=1,1,IF(Scharniere[[#This Row],[Einpressen]]=1,2,IF(Scharniere[[#This Row],[Quick]]=1,3,IF(Scharniere[[#This Row],[Werkzeuglos]]=1,4,0))))=select!$A$769,1,0)</f>
        <v>0</v>
      </c>
      <c r="U3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5" s="359">
        <f>IF(AND(Scharniere[[#This Row],[Scharnierart]]=4,Scharniere[[#This Row],[Gruppenschlüssel]]=select!$A$981)=TRUE,1,0)</f>
        <v>0</v>
      </c>
      <c r="W345" s="359">
        <f ca="1">IF(select!$O$1185&lt;6,1,0)</f>
        <v>1</v>
      </c>
      <c r="X345" s="359">
        <f>IF(select!$A$1012=IF(Scharniere[[#This Row],[mit Dämpfung]]=1,1,IF(Scharniere[[#This Row],[ohne Dämpfung]]=1,2,IF(Scharniere[[#This Row],[ohne Feder]]=1,3,0))),1,0)</f>
        <v>0</v>
      </c>
      <c r="Y345" s="359">
        <f>IF(Scharniere[[#This Row],[Bohrbild]]=select!$A$989,1,0)</f>
        <v>0</v>
      </c>
      <c r="Z345" s="359">
        <f>IF(IF(Scharniere[[#This Row],[Anschrauben]]=1,1,IF(Scharniere[[#This Row],[Einpressen]]=1,2,IF(Scharniere[[#This Row],[Quick]]=1,3,IF(Scharniere[[#This Row],[Werkzeuglos]]=1,4,0))))=select!$A$1003,1,0)</f>
        <v>0</v>
      </c>
      <c r="AA3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5" s="359">
        <f ca="1">IF(select!$K$980="*",Scharniere[[#This Row],[AG Ges2]],Scharniere[[#This Row],[AG Ges1]])</f>
        <v>0</v>
      </c>
      <c r="AE345" s="451">
        <f ca="1">IF(AND(Scharniere[[#This Row],[Scharnierart]]=select!$A$1485,Scharniere[[#This Row],[Gruppenschlüssel]]=select!$B$1485)=TRUE,1,0)</f>
        <v>0</v>
      </c>
      <c r="AF345" s="451">
        <f ca="1">IF(AND(Scharniere[[#This Row],[Scharnierart]]=select!$A$1486,Scharniere[[#This Row],[Gruppenschlüssel]]=select!$B$1486)=TRUE,1,0)</f>
        <v>0</v>
      </c>
      <c r="AG345" s="451">
        <f ca="1">IF(AND(Scharniere[[#This Row],[Scharnierart]]=select!$A$1487,Scharniere[[#This Row],[Gruppenschlüssel]]=select!$B$1487)=TRUE,1,0)</f>
        <v>0</v>
      </c>
      <c r="AH345" s="451">
        <f ca="1">IF(AND(Scharniere[[#This Row],[Scharnierart]]=select!$A$1488,Scharniere[[#This Row],[Gruppenschlüssel]]=select!$B$1488)=TRUE,1,0)</f>
        <v>0</v>
      </c>
      <c r="AI345" s="451">
        <f ca="1">IF(SUM(Scharniere[[#This Row],[konf Scharnier 1]:[konf Scharnier 4]])&gt;0,1,0)</f>
        <v>0</v>
      </c>
      <c r="AJ345" s="451"/>
      <c r="AK345" s="451"/>
      <c r="AL345" s="451"/>
      <c r="AM345" s="451"/>
      <c r="AN345" s="451"/>
      <c r="AO345" s="146">
        <v>1</v>
      </c>
      <c r="AP345" s="146">
        <v>2</v>
      </c>
      <c r="AQ345" s="10" t="str">
        <f ca="1">Sprache!$A$112</f>
        <v>Tiomos Scharnier TS Click-on</v>
      </c>
      <c r="AR345" t="str">
        <f ca="1">"120°, B-BB, K00, "&amp;Sprache!A181&amp;", ni"</f>
        <v>120°, B-BB, K00, Dübel, ni</v>
      </c>
      <c r="AS345" t="str">
        <f ca="1">Sprache!$A$103</f>
        <v>Tiomos Click-On Scharniere</v>
      </c>
      <c r="AT345">
        <v>0</v>
      </c>
      <c r="AU345" t="s">
        <v>3</v>
      </c>
      <c r="AV345">
        <v>120</v>
      </c>
      <c r="AW345" s="10">
        <v>1</v>
      </c>
      <c r="AX345">
        <v>0</v>
      </c>
      <c r="AY345">
        <v>0</v>
      </c>
      <c r="AZ345" s="10">
        <v>0</v>
      </c>
      <c r="BA345">
        <v>1</v>
      </c>
      <c r="BB345">
        <v>0</v>
      </c>
      <c r="BC345">
        <v>0</v>
      </c>
      <c r="BD345" s="143" t="s">
        <v>318</v>
      </c>
      <c r="BG345"/>
    </row>
    <row r="346" spans="1:59" ht="14.25" customHeight="1" x14ac:dyDescent="0.25">
      <c r="A346" s="37" t="str">
        <f>LEFT(Scharniere[[#This Row],[ArtikelNR]],4)</f>
        <v>F046</v>
      </c>
      <c r="B346" s="35" t="str">
        <f>MID(Scharniere[[#This Row],[ArtikelNR]],5,3)</f>
        <v>138</v>
      </c>
      <c r="C346" s="37" t="str">
        <f>RIGHT(Scharniere[[#This Row],[ArtikelNR]],3)</f>
        <v>611</v>
      </c>
      <c r="D346" s="35">
        <f>IF(AND(Scharniere[[#This Row],[Gruppenschlüssel]]=select!$A$44,Scharniere[[#This Row],[Scharnierart]]=1)=TRUE,1,0)</f>
        <v>0</v>
      </c>
      <c r="E3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6" s="35">
        <f>IF(select!$F$57=IF(Scharniere[[#This Row],[mit Dämpfung]]=1,1,IF(Scharniere[[#This Row],[ohne Dämpfung]]=1,2,IF(Scharniere[[#This Row],[ohne Feder]]=1,3,0))),1,0)</f>
        <v>1</v>
      </c>
      <c r="G346" s="35">
        <f>IF(Scharniere[[#This Row],[Bohrbild]]=select!$V$43,1,0)</f>
        <v>0</v>
      </c>
      <c r="H346" s="35">
        <f>IF(IF(Scharniere[[#This Row],[Anschrauben]]=1,1,IF(Scharniere[[#This Row],[Einpressen]]=1,2,IF(Scharniere[[#This Row],[Quick]]=1,3,IF(Scharniere[[#This Row],[Werkzeuglos]]=1,4,0))))=select!$F$48,1,0)</f>
        <v>1</v>
      </c>
      <c r="I3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6" s="149">
        <f>IF(AND(Scharniere[[#This Row],[Scharnierart]]=2,Scharniere[[#This Row],[Gruppenschlüssel]]=select!$A$318)=TRUE,1,0)</f>
        <v>0</v>
      </c>
      <c r="K346" s="221">
        <f ca="1">IF(select!$O$424&lt;6,1,0)</f>
        <v>1</v>
      </c>
      <c r="L346" s="139">
        <f>IF(select!$A$362=IF(Scharniere[[#This Row],[mit Dämpfung]]=1,1,IF(Scharniere[[#This Row],[ohne Dämpfung]]=1,2,IF(Scharniere[[#This Row],[ohne Feder]]=1,3,0))),1,0)</f>
        <v>0</v>
      </c>
      <c r="M346" s="135">
        <f>IF(Scharniere[[#This Row],[Bohrbild]]=select!$O$334,1,0)</f>
        <v>0</v>
      </c>
      <c r="N346" s="135">
        <f>IF(IF(Scharniere[[#This Row],[Anschrauben]]=1,1,IF(Scharniere[[#This Row],[Einpressen]]=1,2,IF(Scharniere[[#This Row],[Quick]]=1,3,IF(Scharniere[[#This Row],[Werkzeuglos]]=1,4,0))))=select!$E$362,1,0)</f>
        <v>0</v>
      </c>
      <c r="O3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6" s="298">
        <f>IF(AND(Scharniere[[#This Row],[Scharnierart]]=3,Scharniere[[#This Row],[Gruppenschlüssel]]=select!$A$747)=TRUE,1,0)</f>
        <v>0</v>
      </c>
      <c r="Q346" s="298">
        <f ca="1">IF(select!$O$945&lt;6,1,0)</f>
        <v>1</v>
      </c>
      <c r="R346" s="298">
        <f>IF(select!$A$778=IF(Scharniere[[#This Row],[mit Dämpfung]]=1,1,IF(Scharniere[[#This Row],[ohne Dämpfung]]=1,2,IF(Scharniere[[#This Row],[ohne Feder]]=1,3,0))),1,0)</f>
        <v>0</v>
      </c>
      <c r="S346" s="298">
        <f>IF(Scharniere[[#This Row],[Bohrbild]]=select!$A$755,1,0)</f>
        <v>0</v>
      </c>
      <c r="T346" s="298">
        <f>IF(IF(Scharniere[[#This Row],[Anschrauben]]=1,1,IF(Scharniere[[#This Row],[Einpressen]]=1,2,IF(Scharniere[[#This Row],[Quick]]=1,3,IF(Scharniere[[#This Row],[Werkzeuglos]]=1,4,0))))=select!$A$769,1,0)</f>
        <v>0</v>
      </c>
      <c r="U3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6" s="359">
        <f>IF(AND(Scharniere[[#This Row],[Scharnierart]]=4,Scharniere[[#This Row],[Gruppenschlüssel]]=select!$A$981)=TRUE,1,0)</f>
        <v>0</v>
      </c>
      <c r="W346" s="359">
        <f ca="1">IF(select!$O$1185&lt;6,1,0)</f>
        <v>1</v>
      </c>
      <c r="X346" s="359">
        <f>IF(select!$A$1012=IF(Scharniere[[#This Row],[mit Dämpfung]]=1,1,IF(Scharniere[[#This Row],[ohne Dämpfung]]=1,2,IF(Scharniere[[#This Row],[ohne Feder]]=1,3,0))),1,0)</f>
        <v>0</v>
      </c>
      <c r="Y346" s="359">
        <f>IF(Scharniere[[#This Row],[Bohrbild]]=select!$A$989,1,0)</f>
        <v>0</v>
      </c>
      <c r="Z346" s="359">
        <f>IF(IF(Scharniere[[#This Row],[Anschrauben]]=1,1,IF(Scharniere[[#This Row],[Einpressen]]=1,2,IF(Scharniere[[#This Row],[Quick]]=1,3,IF(Scharniere[[#This Row],[Werkzeuglos]]=1,4,0))))=select!$A$1003,1,0)</f>
        <v>0</v>
      </c>
      <c r="AA3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6" s="359">
        <f ca="1">IF(select!$K$980="*",Scharniere[[#This Row],[AG Ges2]],Scharniere[[#This Row],[AG Ges1]])</f>
        <v>0</v>
      </c>
      <c r="AE346" s="451">
        <f ca="1">IF(AND(Scharniere[[#This Row],[Scharnierart]]=select!$A$1485,Scharniere[[#This Row],[Gruppenschlüssel]]=select!$B$1485)=TRUE,1,0)</f>
        <v>0</v>
      </c>
      <c r="AF346" s="451">
        <f ca="1">IF(AND(Scharniere[[#This Row],[Scharnierart]]=select!$A$1486,Scharniere[[#This Row],[Gruppenschlüssel]]=select!$B$1486)=TRUE,1,0)</f>
        <v>0</v>
      </c>
      <c r="AG346" s="451">
        <f ca="1">IF(AND(Scharniere[[#This Row],[Scharnierart]]=select!$A$1487,Scharniere[[#This Row],[Gruppenschlüssel]]=select!$B$1487)=TRUE,1,0)</f>
        <v>0</v>
      </c>
      <c r="AH346" s="451">
        <f ca="1">IF(AND(Scharniere[[#This Row],[Scharnierart]]=select!$A$1488,Scharniere[[#This Row],[Gruppenschlüssel]]=select!$B$1488)=TRUE,1,0)</f>
        <v>0</v>
      </c>
      <c r="AI346" s="451">
        <f ca="1">IF(SUM(Scharniere[[#This Row],[konf Scharnier 1]:[konf Scharnier 4]])&gt;0,1,0)</f>
        <v>0</v>
      </c>
      <c r="AJ346" s="451"/>
      <c r="AK346" s="451"/>
      <c r="AL346" s="451"/>
      <c r="AM346" s="451"/>
      <c r="AN346" s="451"/>
      <c r="AO346" s="146">
        <v>1</v>
      </c>
      <c r="AP346" s="146">
        <v>2</v>
      </c>
      <c r="AQ346" s="10" t="str">
        <f ca="1">Sprache!$A$114</f>
        <v>Tiomos Scharnier TT Click-on</v>
      </c>
      <c r="AR346" t="str">
        <f ca="1">"120°, B-BB, K00, "&amp;Sprache!A181&amp;", ni"</f>
        <v>120°, B-BB, K00, Dübel, ni</v>
      </c>
      <c r="AS346" t="str">
        <f ca="1">Sprache!$A$103</f>
        <v>Tiomos Click-On Scharniere</v>
      </c>
      <c r="AT346">
        <v>0</v>
      </c>
      <c r="AU346" s="34" t="s">
        <v>3</v>
      </c>
      <c r="AV346">
        <v>120</v>
      </c>
      <c r="AW346" s="10">
        <v>0</v>
      </c>
      <c r="AX346">
        <v>0</v>
      </c>
      <c r="AY346">
        <v>1</v>
      </c>
      <c r="AZ346" s="10">
        <v>0</v>
      </c>
      <c r="BA346">
        <v>1</v>
      </c>
      <c r="BB346">
        <v>0</v>
      </c>
      <c r="BC346">
        <v>0</v>
      </c>
      <c r="BD346" s="143" t="s">
        <v>648</v>
      </c>
      <c r="BG346"/>
    </row>
    <row r="347" spans="1:59" ht="14.25" customHeight="1" x14ac:dyDescent="0.25">
      <c r="A347" s="37" t="str">
        <f>LEFT(Scharniere[[#This Row],[ArtikelNR]],4)</f>
        <v>F045</v>
      </c>
      <c r="B347" s="35" t="str">
        <f>MID(Scharniere[[#This Row],[ArtikelNR]],5,3)</f>
        <v>138</v>
      </c>
      <c r="C347" s="37" t="str">
        <f>RIGHT(Scharniere[[#This Row],[ArtikelNR]],3)</f>
        <v>485</v>
      </c>
      <c r="D347" s="35">
        <f>IF(AND(Scharniere[[#This Row],[Gruppenschlüssel]]=select!$A$44,Scharniere[[#This Row],[Scharnierart]]=1)=TRUE,1,0)</f>
        <v>0</v>
      </c>
      <c r="E3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7" s="35">
        <f>IF(select!$F$57=IF(Scharniere[[#This Row],[mit Dämpfung]]=1,1,IF(Scharniere[[#This Row],[ohne Dämpfung]]=1,2,IF(Scharniere[[#This Row],[ohne Feder]]=1,3,0))),1,0)</f>
        <v>0</v>
      </c>
      <c r="G347" s="35">
        <f>IF(Scharniere[[#This Row],[Bohrbild]]=select!$V$43,1,0)</f>
        <v>0</v>
      </c>
      <c r="H347" s="35">
        <f>IF(IF(Scharniere[[#This Row],[Anschrauben]]=1,1,IF(Scharniere[[#This Row],[Einpressen]]=1,2,IF(Scharniere[[#This Row],[Quick]]=1,3,IF(Scharniere[[#This Row],[Werkzeuglos]]=1,4,0))))=select!$F$48,1,0)</f>
        <v>0</v>
      </c>
      <c r="I3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7" s="149">
        <f>IF(AND(Scharniere[[#This Row],[Scharnierart]]=2,Scharniere[[#This Row],[Gruppenschlüssel]]=select!$A$318)=TRUE,1,0)</f>
        <v>0</v>
      </c>
      <c r="K347" s="221">
        <f ca="1">IF(select!$O$424&lt;6,1,0)</f>
        <v>1</v>
      </c>
      <c r="L347" s="139">
        <f>IF(select!$A$362=IF(Scharniere[[#This Row],[mit Dämpfung]]=1,1,IF(Scharniere[[#This Row],[ohne Dämpfung]]=1,2,IF(Scharniere[[#This Row],[ohne Feder]]=1,3,0))),1,0)</f>
        <v>0</v>
      </c>
      <c r="M347" s="135">
        <f>IF(Scharniere[[#This Row],[Bohrbild]]=select!$O$334,1,0)</f>
        <v>0</v>
      </c>
      <c r="N347" s="135">
        <f>IF(IF(Scharniere[[#This Row],[Anschrauben]]=1,1,IF(Scharniere[[#This Row],[Einpressen]]=1,2,IF(Scharniere[[#This Row],[Quick]]=1,3,IF(Scharniere[[#This Row],[Werkzeuglos]]=1,4,0))))=select!$E$362,1,0)</f>
        <v>1</v>
      </c>
      <c r="O3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7" s="298">
        <f>IF(AND(Scharniere[[#This Row],[Scharnierart]]=3,Scharniere[[#This Row],[Gruppenschlüssel]]=select!$A$747)=TRUE,1,0)</f>
        <v>0</v>
      </c>
      <c r="Q347" s="298">
        <f ca="1">IF(select!$O$945&lt;6,1,0)</f>
        <v>1</v>
      </c>
      <c r="R347" s="298">
        <f>IF(select!$A$778=IF(Scharniere[[#This Row],[mit Dämpfung]]=1,1,IF(Scharniere[[#This Row],[ohne Dämpfung]]=1,2,IF(Scharniere[[#This Row],[ohne Feder]]=1,3,0))),1,0)</f>
        <v>1</v>
      </c>
      <c r="S347" s="298">
        <f>IF(Scharniere[[#This Row],[Bohrbild]]=select!$A$755,1,0)</f>
        <v>0</v>
      </c>
      <c r="T347" s="298">
        <f>IF(IF(Scharniere[[#This Row],[Anschrauben]]=1,1,IF(Scharniere[[#This Row],[Einpressen]]=1,2,IF(Scharniere[[#This Row],[Quick]]=1,3,IF(Scharniere[[#This Row],[Werkzeuglos]]=1,4,0))))=select!$A$769,1,0)</f>
        <v>1</v>
      </c>
      <c r="U3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7" s="359">
        <f>IF(AND(Scharniere[[#This Row],[Scharnierart]]=4,Scharniere[[#This Row],[Gruppenschlüssel]]=select!$A$981)=TRUE,1,0)</f>
        <v>0</v>
      </c>
      <c r="W347" s="359">
        <f ca="1">IF(select!$O$1185&lt;6,1,0)</f>
        <v>1</v>
      </c>
      <c r="X347" s="359">
        <f>IF(select!$A$1012=IF(Scharniere[[#This Row],[mit Dämpfung]]=1,1,IF(Scharniere[[#This Row],[ohne Dämpfung]]=1,2,IF(Scharniere[[#This Row],[ohne Feder]]=1,3,0))),1,0)</f>
        <v>1</v>
      </c>
      <c r="Y347" s="359">
        <f>IF(Scharniere[[#This Row],[Bohrbild]]=select!$A$989,1,0)</f>
        <v>0</v>
      </c>
      <c r="Z347" s="359">
        <f>IF(IF(Scharniere[[#This Row],[Anschrauben]]=1,1,IF(Scharniere[[#This Row],[Einpressen]]=1,2,IF(Scharniere[[#This Row],[Quick]]=1,3,IF(Scharniere[[#This Row],[Werkzeuglos]]=1,4,0))))=select!$A$1003,1,0)</f>
        <v>1</v>
      </c>
      <c r="AA3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7" s="359">
        <f ca="1">IF(select!$K$980="*",Scharniere[[#This Row],[AG Ges2]],Scharniere[[#This Row],[AG Ges1]])</f>
        <v>0</v>
      </c>
      <c r="AE347" s="451">
        <f ca="1">IF(AND(Scharniere[[#This Row],[Scharnierart]]=select!$A$1485,Scharniere[[#This Row],[Gruppenschlüssel]]=select!$B$1485)=TRUE,1,0)</f>
        <v>0</v>
      </c>
      <c r="AF347" s="451">
        <f ca="1">IF(AND(Scharniere[[#This Row],[Scharnierart]]=select!$A$1486,Scharniere[[#This Row],[Gruppenschlüssel]]=select!$B$1486)=TRUE,1,0)</f>
        <v>0</v>
      </c>
      <c r="AG347" s="451">
        <f ca="1">IF(AND(Scharniere[[#This Row],[Scharnierart]]=select!$A$1487,Scharniere[[#This Row],[Gruppenschlüssel]]=select!$B$1487)=TRUE,1,0)</f>
        <v>0</v>
      </c>
      <c r="AH347" s="451">
        <f ca="1">IF(AND(Scharniere[[#This Row],[Scharnierart]]=select!$A$1488,Scharniere[[#This Row],[Gruppenschlüssel]]=select!$B$1488)=TRUE,1,0)</f>
        <v>0</v>
      </c>
      <c r="AI347" s="451">
        <f ca="1">IF(SUM(Scharniere[[#This Row],[konf Scharnier 1]:[konf Scharnier 4]])&gt;0,1,0)</f>
        <v>0</v>
      </c>
      <c r="AJ347" s="451"/>
      <c r="AK347" s="451"/>
      <c r="AL347" s="451"/>
      <c r="AM347" s="451"/>
      <c r="AN347" s="451"/>
      <c r="AO347" s="146">
        <v>1</v>
      </c>
      <c r="AP347" s="146">
        <v>2</v>
      </c>
      <c r="AQ347" s="10" t="str">
        <f ca="1">Sprache!$A$110</f>
        <v>Tiomos Scharnier T Click-on</v>
      </c>
      <c r="AR347" t="s">
        <v>312</v>
      </c>
      <c r="AS347" t="str">
        <f ca="1">Sprache!$A$103</f>
        <v>Tiomos Click-On Scharniere</v>
      </c>
      <c r="AT347">
        <v>0</v>
      </c>
      <c r="AU347" s="10" t="s">
        <v>3</v>
      </c>
      <c r="AV347">
        <v>120</v>
      </c>
      <c r="AW347" s="10">
        <v>0</v>
      </c>
      <c r="AX347">
        <v>1</v>
      </c>
      <c r="AY347">
        <v>0</v>
      </c>
      <c r="AZ347" s="10">
        <v>1</v>
      </c>
      <c r="BA347">
        <v>0</v>
      </c>
      <c r="BB347">
        <v>0</v>
      </c>
      <c r="BC347">
        <v>0</v>
      </c>
      <c r="BD347" s="143" t="s">
        <v>492</v>
      </c>
      <c r="BG347"/>
    </row>
    <row r="348" spans="1:59" ht="14.25" customHeight="1" x14ac:dyDescent="0.25">
      <c r="A348" s="37" t="str">
        <f>LEFT(Scharniere[[#This Row],[ArtikelNR]],4)</f>
        <v>F028</v>
      </c>
      <c r="B348" s="35" t="str">
        <f>MID(Scharniere[[#This Row],[ArtikelNR]],5,3)</f>
        <v>138</v>
      </c>
      <c r="C348" s="37" t="str">
        <f>RIGHT(Scharniere[[#This Row],[ArtikelNR]],3)</f>
        <v>547</v>
      </c>
      <c r="D348" s="35">
        <f>IF(AND(Scharniere[[#This Row],[Gruppenschlüssel]]=select!$A$44,Scharniere[[#This Row],[Scharnierart]]=1)=TRUE,1,0)</f>
        <v>0</v>
      </c>
      <c r="E3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8" s="35">
        <f>IF(select!$F$57=IF(Scharniere[[#This Row],[mit Dämpfung]]=1,1,IF(Scharniere[[#This Row],[ohne Dämpfung]]=1,2,IF(Scharniere[[#This Row],[ohne Feder]]=1,3,0))),1,0)</f>
        <v>0</v>
      </c>
      <c r="G348" s="35">
        <f>IF(Scharniere[[#This Row],[Bohrbild]]=select!$V$43,1,0)</f>
        <v>0</v>
      </c>
      <c r="H348" s="35">
        <f>IF(IF(Scharniere[[#This Row],[Anschrauben]]=1,1,IF(Scharniere[[#This Row],[Einpressen]]=1,2,IF(Scharniere[[#This Row],[Quick]]=1,3,IF(Scharniere[[#This Row],[Werkzeuglos]]=1,4,0))))=select!$F$48,1,0)</f>
        <v>0</v>
      </c>
      <c r="I3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8" s="149">
        <f>IF(AND(Scharniere[[#This Row],[Scharnierart]]=2,Scharniere[[#This Row],[Gruppenschlüssel]]=select!$A$318)=TRUE,1,0)</f>
        <v>0</v>
      </c>
      <c r="K348" s="221">
        <f ca="1">IF(select!$O$424&lt;6,1,0)</f>
        <v>1</v>
      </c>
      <c r="L348" s="139">
        <f>IF(select!$A$362=IF(Scharniere[[#This Row],[mit Dämpfung]]=1,1,IF(Scharniere[[#This Row],[ohne Dämpfung]]=1,2,IF(Scharniere[[#This Row],[ohne Feder]]=1,3,0))),1,0)</f>
        <v>1</v>
      </c>
      <c r="M348" s="135">
        <f>IF(Scharniere[[#This Row],[Bohrbild]]=select!$O$334,1,0)</f>
        <v>0</v>
      </c>
      <c r="N348" s="135">
        <f>IF(IF(Scharniere[[#This Row],[Anschrauben]]=1,1,IF(Scharniere[[#This Row],[Einpressen]]=1,2,IF(Scharniere[[#This Row],[Quick]]=1,3,IF(Scharniere[[#This Row],[Werkzeuglos]]=1,4,0))))=select!$E$362,1,0)</f>
        <v>1</v>
      </c>
      <c r="O3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8" s="298">
        <f>IF(AND(Scharniere[[#This Row],[Scharnierart]]=3,Scharniere[[#This Row],[Gruppenschlüssel]]=select!$A$747)=TRUE,1,0)</f>
        <v>0</v>
      </c>
      <c r="Q348" s="298">
        <f ca="1">IF(select!$O$945&lt;6,1,0)</f>
        <v>1</v>
      </c>
      <c r="R348" s="298">
        <f>IF(select!$A$778=IF(Scharniere[[#This Row],[mit Dämpfung]]=1,1,IF(Scharniere[[#This Row],[ohne Dämpfung]]=1,2,IF(Scharniere[[#This Row],[ohne Feder]]=1,3,0))),1,0)</f>
        <v>0</v>
      </c>
      <c r="S348" s="298">
        <f>IF(Scharniere[[#This Row],[Bohrbild]]=select!$A$755,1,0)</f>
        <v>0</v>
      </c>
      <c r="T348" s="298">
        <f>IF(IF(Scharniere[[#This Row],[Anschrauben]]=1,1,IF(Scharniere[[#This Row],[Einpressen]]=1,2,IF(Scharniere[[#This Row],[Quick]]=1,3,IF(Scharniere[[#This Row],[Werkzeuglos]]=1,4,0))))=select!$A$769,1,0)</f>
        <v>1</v>
      </c>
      <c r="U3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8" s="359">
        <f>IF(AND(Scharniere[[#This Row],[Scharnierart]]=4,Scharniere[[#This Row],[Gruppenschlüssel]]=select!$A$981)=TRUE,1,0)</f>
        <v>0</v>
      </c>
      <c r="W348" s="359">
        <f ca="1">IF(select!$O$1185&lt;6,1,0)</f>
        <v>1</v>
      </c>
      <c r="X348" s="359">
        <f>IF(select!$A$1012=IF(Scharniere[[#This Row],[mit Dämpfung]]=1,1,IF(Scharniere[[#This Row],[ohne Dämpfung]]=1,2,IF(Scharniere[[#This Row],[ohne Feder]]=1,3,0))),1,0)</f>
        <v>0</v>
      </c>
      <c r="Y348" s="359">
        <f>IF(Scharniere[[#This Row],[Bohrbild]]=select!$A$989,1,0)</f>
        <v>0</v>
      </c>
      <c r="Z348" s="359">
        <f>IF(IF(Scharniere[[#This Row],[Anschrauben]]=1,1,IF(Scharniere[[#This Row],[Einpressen]]=1,2,IF(Scharniere[[#This Row],[Quick]]=1,3,IF(Scharniere[[#This Row],[Werkzeuglos]]=1,4,0))))=select!$A$1003,1,0)</f>
        <v>1</v>
      </c>
      <c r="AA3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8" s="359">
        <f ca="1">IF(select!$K$980="*",Scharniere[[#This Row],[AG Ges2]],Scharniere[[#This Row],[AG Ges1]])</f>
        <v>0</v>
      </c>
      <c r="AE348" s="451">
        <f ca="1">IF(AND(Scharniere[[#This Row],[Scharnierart]]=select!$A$1485,Scharniere[[#This Row],[Gruppenschlüssel]]=select!$B$1485)=TRUE,1,0)</f>
        <v>0</v>
      </c>
      <c r="AF348" s="451">
        <f ca="1">IF(AND(Scharniere[[#This Row],[Scharnierart]]=select!$A$1486,Scharniere[[#This Row],[Gruppenschlüssel]]=select!$B$1486)=TRUE,1,0)</f>
        <v>0</v>
      </c>
      <c r="AG348" s="451">
        <f ca="1">IF(AND(Scharniere[[#This Row],[Scharnierart]]=select!$A$1487,Scharniere[[#This Row],[Gruppenschlüssel]]=select!$B$1487)=TRUE,1,0)</f>
        <v>0</v>
      </c>
      <c r="AH348" s="451">
        <f ca="1">IF(AND(Scharniere[[#This Row],[Scharnierart]]=select!$A$1488,Scharniere[[#This Row],[Gruppenschlüssel]]=select!$B$1488)=TRUE,1,0)</f>
        <v>0</v>
      </c>
      <c r="AI348" s="451">
        <f ca="1">IF(SUM(Scharniere[[#This Row],[konf Scharnier 1]:[konf Scharnier 4]])&gt;0,1,0)</f>
        <v>0</v>
      </c>
      <c r="AJ348" s="451"/>
      <c r="AK348" s="451"/>
      <c r="AL348" s="451"/>
      <c r="AM348" s="451"/>
      <c r="AN348" s="451"/>
      <c r="AO348" s="146">
        <v>1</v>
      </c>
      <c r="AP348" s="146">
        <v>2</v>
      </c>
      <c r="AQ348" s="10" t="str">
        <f ca="1">Sprache!$A$112</f>
        <v>Tiomos Scharnier TS Click-on</v>
      </c>
      <c r="AR348" t="s">
        <v>312</v>
      </c>
      <c r="AS348" t="str">
        <f ca="1">Sprache!$A$103</f>
        <v>Tiomos Click-On Scharniere</v>
      </c>
      <c r="AT348">
        <v>0</v>
      </c>
      <c r="AU348" s="34" t="s">
        <v>3</v>
      </c>
      <c r="AV348">
        <v>120</v>
      </c>
      <c r="AW348" s="10">
        <v>1</v>
      </c>
      <c r="AX348">
        <v>0</v>
      </c>
      <c r="AY348">
        <v>0</v>
      </c>
      <c r="AZ348" s="10">
        <v>1</v>
      </c>
      <c r="BA348">
        <v>0</v>
      </c>
      <c r="BB348">
        <v>0</v>
      </c>
      <c r="BC348">
        <v>0</v>
      </c>
      <c r="BD348" s="143" t="s">
        <v>311</v>
      </c>
      <c r="BG348"/>
    </row>
    <row r="349" spans="1:59" ht="14.25" customHeight="1" x14ac:dyDescent="0.25">
      <c r="A349" s="37" t="str">
        <f>LEFT(Scharniere[[#This Row],[ArtikelNR]],4)</f>
        <v>F046</v>
      </c>
      <c r="B349" s="35" t="str">
        <f>MID(Scharniere[[#This Row],[ArtikelNR]],5,3)</f>
        <v>138</v>
      </c>
      <c r="C349" s="37" t="str">
        <f>RIGHT(Scharniere[[#This Row],[ArtikelNR]],3)</f>
        <v>607</v>
      </c>
      <c r="D349" s="35">
        <f>IF(AND(Scharniere[[#This Row],[Gruppenschlüssel]]=select!$A$44,Scharniere[[#This Row],[Scharnierart]]=1)=TRUE,1,0)</f>
        <v>0</v>
      </c>
      <c r="E3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49" s="35">
        <f>IF(select!$F$57=IF(Scharniere[[#This Row],[mit Dämpfung]]=1,1,IF(Scharniere[[#This Row],[ohne Dämpfung]]=1,2,IF(Scharniere[[#This Row],[ohne Feder]]=1,3,0))),1,0)</f>
        <v>1</v>
      </c>
      <c r="G349" s="35">
        <f>IF(Scharniere[[#This Row],[Bohrbild]]=select!$V$43,1,0)</f>
        <v>0</v>
      </c>
      <c r="H349" s="35">
        <f>IF(IF(Scharniere[[#This Row],[Anschrauben]]=1,1,IF(Scharniere[[#This Row],[Einpressen]]=1,2,IF(Scharniere[[#This Row],[Quick]]=1,3,IF(Scharniere[[#This Row],[Werkzeuglos]]=1,4,0))))=select!$F$48,1,0)</f>
        <v>0</v>
      </c>
      <c r="I3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49" s="149">
        <f>IF(AND(Scharniere[[#This Row],[Scharnierart]]=2,Scharniere[[#This Row],[Gruppenschlüssel]]=select!$A$318)=TRUE,1,0)</f>
        <v>0</v>
      </c>
      <c r="K349" s="221">
        <f ca="1">IF(select!$O$424&lt;6,1,0)</f>
        <v>1</v>
      </c>
      <c r="L349" s="139">
        <f>IF(select!$A$362=IF(Scharniere[[#This Row],[mit Dämpfung]]=1,1,IF(Scharniere[[#This Row],[ohne Dämpfung]]=1,2,IF(Scharniere[[#This Row],[ohne Feder]]=1,3,0))),1,0)</f>
        <v>0</v>
      </c>
      <c r="M349" s="135">
        <f>IF(Scharniere[[#This Row],[Bohrbild]]=select!$O$334,1,0)</f>
        <v>0</v>
      </c>
      <c r="N349" s="135">
        <f>IF(IF(Scharniere[[#This Row],[Anschrauben]]=1,1,IF(Scharniere[[#This Row],[Einpressen]]=1,2,IF(Scharniere[[#This Row],[Quick]]=1,3,IF(Scharniere[[#This Row],[Werkzeuglos]]=1,4,0))))=select!$E$362,1,0)</f>
        <v>1</v>
      </c>
      <c r="O3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49" s="298">
        <f>IF(AND(Scharniere[[#This Row],[Scharnierart]]=3,Scharniere[[#This Row],[Gruppenschlüssel]]=select!$A$747)=TRUE,1,0)</f>
        <v>0</v>
      </c>
      <c r="Q349" s="298">
        <f ca="1">IF(select!$O$945&lt;6,1,0)</f>
        <v>1</v>
      </c>
      <c r="R349" s="298">
        <f>IF(select!$A$778=IF(Scharniere[[#This Row],[mit Dämpfung]]=1,1,IF(Scharniere[[#This Row],[ohne Dämpfung]]=1,2,IF(Scharniere[[#This Row],[ohne Feder]]=1,3,0))),1,0)</f>
        <v>0</v>
      </c>
      <c r="S349" s="298">
        <f>IF(Scharniere[[#This Row],[Bohrbild]]=select!$A$755,1,0)</f>
        <v>0</v>
      </c>
      <c r="T349" s="298">
        <f>IF(IF(Scharniere[[#This Row],[Anschrauben]]=1,1,IF(Scharniere[[#This Row],[Einpressen]]=1,2,IF(Scharniere[[#This Row],[Quick]]=1,3,IF(Scharniere[[#This Row],[Werkzeuglos]]=1,4,0))))=select!$A$769,1,0)</f>
        <v>1</v>
      </c>
      <c r="U3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49" s="359">
        <f>IF(AND(Scharniere[[#This Row],[Scharnierart]]=4,Scharniere[[#This Row],[Gruppenschlüssel]]=select!$A$981)=TRUE,1,0)</f>
        <v>0</v>
      </c>
      <c r="W349" s="359">
        <f ca="1">IF(select!$O$1185&lt;6,1,0)</f>
        <v>1</v>
      </c>
      <c r="X349" s="359">
        <f>IF(select!$A$1012=IF(Scharniere[[#This Row],[mit Dämpfung]]=1,1,IF(Scharniere[[#This Row],[ohne Dämpfung]]=1,2,IF(Scharniere[[#This Row],[ohne Feder]]=1,3,0))),1,0)</f>
        <v>0</v>
      </c>
      <c r="Y349" s="359">
        <f>IF(Scharniere[[#This Row],[Bohrbild]]=select!$A$989,1,0)</f>
        <v>0</v>
      </c>
      <c r="Z349" s="359">
        <f>IF(IF(Scharniere[[#This Row],[Anschrauben]]=1,1,IF(Scharniere[[#This Row],[Einpressen]]=1,2,IF(Scharniere[[#This Row],[Quick]]=1,3,IF(Scharniere[[#This Row],[Werkzeuglos]]=1,4,0))))=select!$A$1003,1,0)</f>
        <v>1</v>
      </c>
      <c r="AA3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49" s="359">
        <f ca="1">IF(select!$K$980="*",Scharniere[[#This Row],[AG Ges2]],Scharniere[[#This Row],[AG Ges1]])</f>
        <v>0</v>
      </c>
      <c r="AE349" s="451">
        <f ca="1">IF(AND(Scharniere[[#This Row],[Scharnierart]]=select!$A$1485,Scharniere[[#This Row],[Gruppenschlüssel]]=select!$B$1485)=TRUE,1,0)</f>
        <v>0</v>
      </c>
      <c r="AF349" s="451">
        <f ca="1">IF(AND(Scharniere[[#This Row],[Scharnierart]]=select!$A$1486,Scharniere[[#This Row],[Gruppenschlüssel]]=select!$B$1486)=TRUE,1,0)</f>
        <v>0</v>
      </c>
      <c r="AG349" s="451">
        <f ca="1">IF(AND(Scharniere[[#This Row],[Scharnierart]]=select!$A$1487,Scharniere[[#This Row],[Gruppenschlüssel]]=select!$B$1487)=TRUE,1,0)</f>
        <v>0</v>
      </c>
      <c r="AH349" s="451">
        <f ca="1">IF(AND(Scharniere[[#This Row],[Scharnierart]]=select!$A$1488,Scharniere[[#This Row],[Gruppenschlüssel]]=select!$B$1488)=TRUE,1,0)</f>
        <v>0</v>
      </c>
      <c r="AI349" s="451">
        <f ca="1">IF(SUM(Scharniere[[#This Row],[konf Scharnier 1]:[konf Scharnier 4]])&gt;0,1,0)</f>
        <v>0</v>
      </c>
      <c r="AJ349" s="451"/>
      <c r="AK349" s="451"/>
      <c r="AL349" s="451"/>
      <c r="AM349" s="451"/>
      <c r="AN349" s="451"/>
      <c r="AO349" s="146">
        <v>1</v>
      </c>
      <c r="AP349" s="146">
        <v>2</v>
      </c>
      <c r="AQ349" s="10" t="str">
        <f ca="1">Sprache!$A$114</f>
        <v>Tiomos Scharnier TT Click-on</v>
      </c>
      <c r="AR349" t="s">
        <v>312</v>
      </c>
      <c r="AS349" t="str">
        <f ca="1">Sprache!$A$103</f>
        <v>Tiomos Click-On Scharniere</v>
      </c>
      <c r="AT349">
        <v>0</v>
      </c>
      <c r="AU349" t="s">
        <v>3</v>
      </c>
      <c r="AV349">
        <v>120</v>
      </c>
      <c r="AW349" s="10">
        <v>0</v>
      </c>
      <c r="AX349">
        <v>0</v>
      </c>
      <c r="AY349">
        <v>1</v>
      </c>
      <c r="AZ349" s="10">
        <v>1</v>
      </c>
      <c r="BA349">
        <v>0</v>
      </c>
      <c r="BB349">
        <v>0</v>
      </c>
      <c r="BC349">
        <v>0</v>
      </c>
      <c r="BD349" s="143" t="s">
        <v>644</v>
      </c>
      <c r="BG349"/>
    </row>
    <row r="350" spans="1:59" ht="14.25" customHeight="1" x14ac:dyDescent="0.25">
      <c r="A350" s="37" t="str">
        <f>LEFT(Scharniere[[#This Row],[ArtikelNR]],4)</f>
        <v>F045</v>
      </c>
      <c r="B350" s="35" t="str">
        <f>MID(Scharniere[[#This Row],[ArtikelNR]],5,3)</f>
        <v>138</v>
      </c>
      <c r="C350" s="37" t="str">
        <f>RIGHT(Scharniere[[#This Row],[ArtikelNR]],3)</f>
        <v>307</v>
      </c>
      <c r="D350" s="35">
        <f>IF(AND(Scharniere[[#This Row],[Gruppenschlüssel]]=select!$A$44,Scharniere[[#This Row],[Scharnierart]]=1)=TRUE,1,0)</f>
        <v>0</v>
      </c>
      <c r="E3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0" s="35">
        <f>IF(select!$F$57=IF(Scharniere[[#This Row],[mit Dämpfung]]=1,1,IF(Scharniere[[#This Row],[ohne Dämpfung]]=1,2,IF(Scharniere[[#This Row],[ohne Feder]]=1,3,0))),1,0)</f>
        <v>0</v>
      </c>
      <c r="G350" s="35">
        <f>IF(Scharniere[[#This Row],[Bohrbild]]=select!$V$43,1,0)</f>
        <v>0</v>
      </c>
      <c r="H350" s="35">
        <f>IF(IF(Scharniere[[#This Row],[Anschrauben]]=1,1,IF(Scharniere[[#This Row],[Einpressen]]=1,2,IF(Scharniere[[#This Row],[Quick]]=1,3,IF(Scharniere[[#This Row],[Werkzeuglos]]=1,4,0))))=select!$F$48,1,0)</f>
        <v>1</v>
      </c>
      <c r="I3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0" s="149">
        <f>IF(AND(Scharniere[[#This Row],[Scharnierart]]=2,Scharniere[[#This Row],[Gruppenschlüssel]]=select!$A$318)=TRUE,1,0)</f>
        <v>0</v>
      </c>
      <c r="K350" s="221">
        <f ca="1">IF(select!$O$424&lt;6,1,0)</f>
        <v>1</v>
      </c>
      <c r="L350" s="139">
        <f>IF(select!$A$362=IF(Scharniere[[#This Row],[mit Dämpfung]]=1,1,IF(Scharniere[[#This Row],[ohne Dämpfung]]=1,2,IF(Scharniere[[#This Row],[ohne Feder]]=1,3,0))),1,0)</f>
        <v>0</v>
      </c>
      <c r="M350" s="135">
        <f>IF(Scharniere[[#This Row],[Bohrbild]]=select!$O$334,1,0)</f>
        <v>0</v>
      </c>
      <c r="N350" s="135">
        <f>IF(IF(Scharniere[[#This Row],[Anschrauben]]=1,1,IF(Scharniere[[#This Row],[Einpressen]]=1,2,IF(Scharniere[[#This Row],[Quick]]=1,3,IF(Scharniere[[#This Row],[Werkzeuglos]]=1,4,0))))=select!$E$362,1,0)</f>
        <v>0</v>
      </c>
      <c r="O3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0" s="298">
        <f>IF(AND(Scharniere[[#This Row],[Scharnierart]]=3,Scharniere[[#This Row],[Gruppenschlüssel]]=select!$A$747)=TRUE,1,0)</f>
        <v>0</v>
      </c>
      <c r="Q350" s="298">
        <f ca="1">IF(select!$O$945&lt;6,1,0)</f>
        <v>1</v>
      </c>
      <c r="R350" s="298">
        <f>IF(select!$A$778=IF(Scharniere[[#This Row],[mit Dämpfung]]=1,1,IF(Scharniere[[#This Row],[ohne Dämpfung]]=1,2,IF(Scharniere[[#This Row],[ohne Feder]]=1,3,0))),1,0)</f>
        <v>1</v>
      </c>
      <c r="S350" s="298">
        <f>IF(Scharniere[[#This Row],[Bohrbild]]=select!$A$755,1,0)</f>
        <v>0</v>
      </c>
      <c r="T350" s="298">
        <f>IF(IF(Scharniere[[#This Row],[Anschrauben]]=1,1,IF(Scharniere[[#This Row],[Einpressen]]=1,2,IF(Scharniere[[#This Row],[Quick]]=1,3,IF(Scharniere[[#This Row],[Werkzeuglos]]=1,4,0))))=select!$A$769,1,0)</f>
        <v>0</v>
      </c>
      <c r="U3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0" s="359">
        <f>IF(AND(Scharniere[[#This Row],[Scharnierart]]=4,Scharniere[[#This Row],[Gruppenschlüssel]]=select!$A$981)=TRUE,1,0)</f>
        <v>0</v>
      </c>
      <c r="W350" s="359">
        <f ca="1">IF(select!$O$1185&lt;6,1,0)</f>
        <v>1</v>
      </c>
      <c r="X350" s="359">
        <f>IF(select!$A$1012=IF(Scharniere[[#This Row],[mit Dämpfung]]=1,1,IF(Scharniere[[#This Row],[ohne Dämpfung]]=1,2,IF(Scharniere[[#This Row],[ohne Feder]]=1,3,0))),1,0)</f>
        <v>1</v>
      </c>
      <c r="Y350" s="359">
        <f>IF(Scharniere[[#This Row],[Bohrbild]]=select!$A$989,1,0)</f>
        <v>0</v>
      </c>
      <c r="Z350" s="359">
        <f>IF(IF(Scharniere[[#This Row],[Anschrauben]]=1,1,IF(Scharniere[[#This Row],[Einpressen]]=1,2,IF(Scharniere[[#This Row],[Quick]]=1,3,IF(Scharniere[[#This Row],[Werkzeuglos]]=1,4,0))))=select!$A$1003,1,0)</f>
        <v>0</v>
      </c>
      <c r="AA3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0" s="359">
        <f ca="1">IF(select!$K$980="*",Scharniere[[#This Row],[AG Ges2]],Scharniere[[#This Row],[AG Ges1]])</f>
        <v>0</v>
      </c>
      <c r="AE350" s="451">
        <f ca="1">IF(AND(Scharniere[[#This Row],[Scharnierart]]=select!$A$1485,Scharniere[[#This Row],[Gruppenschlüssel]]=select!$B$1485)=TRUE,1,0)</f>
        <v>0</v>
      </c>
      <c r="AF350" s="451">
        <f ca="1">IF(AND(Scharniere[[#This Row],[Scharnierart]]=select!$A$1486,Scharniere[[#This Row],[Gruppenschlüssel]]=select!$B$1486)=TRUE,1,0)</f>
        <v>0</v>
      </c>
      <c r="AG350" s="451">
        <f ca="1">IF(AND(Scharniere[[#This Row],[Scharnierart]]=select!$A$1487,Scharniere[[#This Row],[Gruppenschlüssel]]=select!$B$1487)=TRUE,1,0)</f>
        <v>0</v>
      </c>
      <c r="AH350" s="451">
        <f ca="1">IF(AND(Scharniere[[#This Row],[Scharnierart]]=select!$A$1488,Scharniere[[#This Row],[Gruppenschlüssel]]=select!$B$1488)=TRUE,1,0)</f>
        <v>0</v>
      </c>
      <c r="AI350" s="451">
        <f ca="1">IF(SUM(Scharniere[[#This Row],[konf Scharnier 1]:[konf Scharnier 4]])&gt;0,1,0)</f>
        <v>0</v>
      </c>
      <c r="AJ350" s="451"/>
      <c r="AK350" s="451"/>
      <c r="AL350" s="451"/>
      <c r="AM350" s="451"/>
      <c r="AN350" s="451"/>
      <c r="AO350" s="146">
        <v>1</v>
      </c>
      <c r="AP350" s="146">
        <v>2</v>
      </c>
      <c r="AQ350" s="10" t="str">
        <f ca="1">Sprache!$A$110</f>
        <v>Tiomos Scharnier T Click-on</v>
      </c>
      <c r="AR350" t="str">
        <f ca="1">"120°, G-BB, K00, "&amp;Sprache!A181&amp;", ni"</f>
        <v>120°, G-BB, K00, Dübel, ni</v>
      </c>
      <c r="AS350" t="str">
        <f ca="1">Sprache!$A$103</f>
        <v>Tiomos Click-On Scharniere</v>
      </c>
      <c r="AT350">
        <v>0</v>
      </c>
      <c r="AU350" t="s">
        <v>9</v>
      </c>
      <c r="AV350">
        <v>120</v>
      </c>
      <c r="AW350" s="10">
        <v>0</v>
      </c>
      <c r="AX350">
        <v>1</v>
      </c>
      <c r="AY350">
        <v>0</v>
      </c>
      <c r="AZ350" s="10">
        <v>0</v>
      </c>
      <c r="BA350">
        <v>1</v>
      </c>
      <c r="BB350">
        <v>0</v>
      </c>
      <c r="BC350">
        <v>0</v>
      </c>
      <c r="BD350" s="143" t="s">
        <v>468</v>
      </c>
      <c r="BG350"/>
    </row>
    <row r="351" spans="1:59" ht="14.25" customHeight="1" x14ac:dyDescent="0.25">
      <c r="A351" s="37" t="str">
        <f>LEFT(Scharniere[[#This Row],[ArtikelNR]],4)</f>
        <v>F028</v>
      </c>
      <c r="B351" s="35" t="str">
        <f>MID(Scharniere[[#This Row],[ArtikelNR]],5,3)</f>
        <v>138</v>
      </c>
      <c r="C351" s="37" t="str">
        <f>RIGHT(Scharniere[[#This Row],[ArtikelNR]],3)</f>
        <v>369</v>
      </c>
      <c r="D351" s="35">
        <f>IF(AND(Scharniere[[#This Row],[Gruppenschlüssel]]=select!$A$44,Scharniere[[#This Row],[Scharnierart]]=1)=TRUE,1,0)</f>
        <v>0</v>
      </c>
      <c r="E3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1" s="35">
        <f>IF(select!$F$57=IF(Scharniere[[#This Row],[mit Dämpfung]]=1,1,IF(Scharniere[[#This Row],[ohne Dämpfung]]=1,2,IF(Scharniere[[#This Row],[ohne Feder]]=1,3,0))),1,0)</f>
        <v>0</v>
      </c>
      <c r="G351" s="35">
        <f>IF(Scharniere[[#This Row],[Bohrbild]]=select!$V$43,1,0)</f>
        <v>0</v>
      </c>
      <c r="H351" s="35">
        <f>IF(IF(Scharniere[[#This Row],[Anschrauben]]=1,1,IF(Scharniere[[#This Row],[Einpressen]]=1,2,IF(Scharniere[[#This Row],[Quick]]=1,3,IF(Scharniere[[#This Row],[Werkzeuglos]]=1,4,0))))=select!$F$48,1,0)</f>
        <v>1</v>
      </c>
      <c r="I3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1" s="149">
        <f>IF(AND(Scharniere[[#This Row],[Scharnierart]]=2,Scharniere[[#This Row],[Gruppenschlüssel]]=select!$A$318)=TRUE,1,0)</f>
        <v>0</v>
      </c>
      <c r="K351" s="221">
        <f ca="1">IF(select!$O$424&lt;6,1,0)</f>
        <v>1</v>
      </c>
      <c r="L351" s="139">
        <f>IF(select!$A$362=IF(Scharniere[[#This Row],[mit Dämpfung]]=1,1,IF(Scharniere[[#This Row],[ohne Dämpfung]]=1,2,IF(Scharniere[[#This Row],[ohne Feder]]=1,3,0))),1,0)</f>
        <v>1</v>
      </c>
      <c r="M351" s="135">
        <f>IF(Scharniere[[#This Row],[Bohrbild]]=select!$O$334,1,0)</f>
        <v>0</v>
      </c>
      <c r="N351" s="135">
        <f>IF(IF(Scharniere[[#This Row],[Anschrauben]]=1,1,IF(Scharniere[[#This Row],[Einpressen]]=1,2,IF(Scharniere[[#This Row],[Quick]]=1,3,IF(Scharniere[[#This Row],[Werkzeuglos]]=1,4,0))))=select!$E$362,1,0)</f>
        <v>0</v>
      </c>
      <c r="O3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1" s="298">
        <f>IF(AND(Scharniere[[#This Row],[Scharnierart]]=3,Scharniere[[#This Row],[Gruppenschlüssel]]=select!$A$747)=TRUE,1,0)</f>
        <v>0</v>
      </c>
      <c r="Q351" s="298">
        <f ca="1">IF(select!$O$945&lt;6,1,0)</f>
        <v>1</v>
      </c>
      <c r="R351" s="298">
        <f>IF(select!$A$778=IF(Scharniere[[#This Row],[mit Dämpfung]]=1,1,IF(Scharniere[[#This Row],[ohne Dämpfung]]=1,2,IF(Scharniere[[#This Row],[ohne Feder]]=1,3,0))),1,0)</f>
        <v>0</v>
      </c>
      <c r="S351" s="298">
        <f>IF(Scharniere[[#This Row],[Bohrbild]]=select!$A$755,1,0)</f>
        <v>0</v>
      </c>
      <c r="T351" s="298">
        <f>IF(IF(Scharniere[[#This Row],[Anschrauben]]=1,1,IF(Scharniere[[#This Row],[Einpressen]]=1,2,IF(Scharniere[[#This Row],[Quick]]=1,3,IF(Scharniere[[#This Row],[Werkzeuglos]]=1,4,0))))=select!$A$769,1,0)</f>
        <v>0</v>
      </c>
      <c r="U3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1" s="359">
        <f>IF(AND(Scharniere[[#This Row],[Scharnierart]]=4,Scharniere[[#This Row],[Gruppenschlüssel]]=select!$A$981)=TRUE,1,0)</f>
        <v>0</v>
      </c>
      <c r="W351" s="359">
        <f ca="1">IF(select!$O$1185&lt;6,1,0)</f>
        <v>1</v>
      </c>
      <c r="X351" s="359">
        <f>IF(select!$A$1012=IF(Scharniere[[#This Row],[mit Dämpfung]]=1,1,IF(Scharniere[[#This Row],[ohne Dämpfung]]=1,2,IF(Scharniere[[#This Row],[ohne Feder]]=1,3,0))),1,0)</f>
        <v>0</v>
      </c>
      <c r="Y351" s="359">
        <f>IF(Scharniere[[#This Row],[Bohrbild]]=select!$A$989,1,0)</f>
        <v>0</v>
      </c>
      <c r="Z351" s="359">
        <f>IF(IF(Scharniere[[#This Row],[Anschrauben]]=1,1,IF(Scharniere[[#This Row],[Einpressen]]=1,2,IF(Scharniere[[#This Row],[Quick]]=1,3,IF(Scharniere[[#This Row],[Werkzeuglos]]=1,4,0))))=select!$A$1003,1,0)</f>
        <v>0</v>
      </c>
      <c r="AA3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1" s="359">
        <f ca="1">IF(select!$K$980="*",Scharniere[[#This Row],[AG Ges2]],Scharniere[[#This Row],[AG Ges1]])</f>
        <v>0</v>
      </c>
      <c r="AE351" s="451">
        <f ca="1">IF(AND(Scharniere[[#This Row],[Scharnierart]]=select!$A$1485,Scharniere[[#This Row],[Gruppenschlüssel]]=select!$B$1485)=TRUE,1,0)</f>
        <v>0</v>
      </c>
      <c r="AF351" s="451">
        <f ca="1">IF(AND(Scharniere[[#This Row],[Scharnierart]]=select!$A$1486,Scharniere[[#This Row],[Gruppenschlüssel]]=select!$B$1486)=TRUE,1,0)</f>
        <v>0</v>
      </c>
      <c r="AG351" s="451">
        <f ca="1">IF(AND(Scharniere[[#This Row],[Scharnierart]]=select!$A$1487,Scharniere[[#This Row],[Gruppenschlüssel]]=select!$B$1487)=TRUE,1,0)</f>
        <v>0</v>
      </c>
      <c r="AH351" s="451">
        <f ca="1">IF(AND(Scharniere[[#This Row],[Scharnierart]]=select!$A$1488,Scharniere[[#This Row],[Gruppenschlüssel]]=select!$B$1488)=TRUE,1,0)</f>
        <v>0</v>
      </c>
      <c r="AI351" s="451">
        <f ca="1">IF(SUM(Scharniere[[#This Row],[konf Scharnier 1]:[konf Scharnier 4]])&gt;0,1,0)</f>
        <v>0</v>
      </c>
      <c r="AJ351" s="451"/>
      <c r="AK351" s="451"/>
      <c r="AL351" s="451"/>
      <c r="AM351" s="451"/>
      <c r="AN351" s="451"/>
      <c r="AO351" s="146">
        <v>1</v>
      </c>
      <c r="AP351" s="146">
        <v>2</v>
      </c>
      <c r="AQ351" s="10" t="str">
        <f ca="1">Sprache!$A$112</f>
        <v>Tiomos Scharnier TS Click-on</v>
      </c>
      <c r="AR351" t="str">
        <f ca="1">"120°, G-BB, K00, "&amp;Sprache!A181&amp;", ni"</f>
        <v>120°, G-BB, K00, Dübel, ni</v>
      </c>
      <c r="AS351" t="str">
        <f ca="1">Sprache!$A$103</f>
        <v>Tiomos Click-On Scharniere</v>
      </c>
      <c r="AT351">
        <v>0</v>
      </c>
      <c r="AU351" s="34" t="s">
        <v>9</v>
      </c>
      <c r="AV351">
        <v>120</v>
      </c>
      <c r="AW351" s="10">
        <v>1</v>
      </c>
      <c r="AX351">
        <v>0</v>
      </c>
      <c r="AY351">
        <v>0</v>
      </c>
      <c r="AZ351" s="10">
        <v>0</v>
      </c>
      <c r="BA351">
        <v>1</v>
      </c>
      <c r="BB351">
        <v>0</v>
      </c>
      <c r="BC351">
        <v>0</v>
      </c>
      <c r="BD351" s="143" t="s">
        <v>280</v>
      </c>
      <c r="BG351"/>
    </row>
    <row r="352" spans="1:59" ht="14.25" customHeight="1" x14ac:dyDescent="0.25">
      <c r="A352" s="37" t="str">
        <f>LEFT(Scharniere[[#This Row],[ArtikelNR]],4)</f>
        <v>F046</v>
      </c>
      <c r="B352" s="35" t="str">
        <f>MID(Scharniere[[#This Row],[ArtikelNR]],5,3)</f>
        <v>138</v>
      </c>
      <c r="C352" s="37" t="str">
        <f>RIGHT(Scharniere[[#This Row],[ArtikelNR]],3)</f>
        <v>429</v>
      </c>
      <c r="D352" s="35">
        <f>IF(AND(Scharniere[[#This Row],[Gruppenschlüssel]]=select!$A$44,Scharniere[[#This Row],[Scharnierart]]=1)=TRUE,1,0)</f>
        <v>0</v>
      </c>
      <c r="E3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2" s="35">
        <f>IF(select!$F$57=IF(Scharniere[[#This Row],[mit Dämpfung]]=1,1,IF(Scharniere[[#This Row],[ohne Dämpfung]]=1,2,IF(Scharniere[[#This Row],[ohne Feder]]=1,3,0))),1,0)</f>
        <v>1</v>
      </c>
      <c r="G352" s="35">
        <f>IF(Scharniere[[#This Row],[Bohrbild]]=select!$V$43,1,0)</f>
        <v>0</v>
      </c>
      <c r="H352" s="35">
        <f>IF(IF(Scharniere[[#This Row],[Anschrauben]]=1,1,IF(Scharniere[[#This Row],[Einpressen]]=1,2,IF(Scharniere[[#This Row],[Quick]]=1,3,IF(Scharniere[[#This Row],[Werkzeuglos]]=1,4,0))))=select!$F$48,1,0)</f>
        <v>1</v>
      </c>
      <c r="I3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2" s="149">
        <f>IF(AND(Scharniere[[#This Row],[Scharnierart]]=2,Scharniere[[#This Row],[Gruppenschlüssel]]=select!$A$318)=TRUE,1,0)</f>
        <v>0</v>
      </c>
      <c r="K352" s="221">
        <f ca="1">IF(select!$O$424&lt;6,1,0)</f>
        <v>1</v>
      </c>
      <c r="L352" s="139">
        <f>IF(select!$A$362=IF(Scharniere[[#This Row],[mit Dämpfung]]=1,1,IF(Scharniere[[#This Row],[ohne Dämpfung]]=1,2,IF(Scharniere[[#This Row],[ohne Feder]]=1,3,0))),1,0)</f>
        <v>0</v>
      </c>
      <c r="M352" s="135">
        <f>IF(Scharniere[[#This Row],[Bohrbild]]=select!$O$334,1,0)</f>
        <v>0</v>
      </c>
      <c r="N352" s="135">
        <f>IF(IF(Scharniere[[#This Row],[Anschrauben]]=1,1,IF(Scharniere[[#This Row],[Einpressen]]=1,2,IF(Scharniere[[#This Row],[Quick]]=1,3,IF(Scharniere[[#This Row],[Werkzeuglos]]=1,4,0))))=select!$E$362,1,0)</f>
        <v>0</v>
      </c>
      <c r="O3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2" s="298">
        <f>IF(AND(Scharniere[[#This Row],[Scharnierart]]=3,Scharniere[[#This Row],[Gruppenschlüssel]]=select!$A$747)=TRUE,1,0)</f>
        <v>0</v>
      </c>
      <c r="Q352" s="298">
        <f ca="1">IF(select!$O$945&lt;6,1,0)</f>
        <v>1</v>
      </c>
      <c r="R352" s="298">
        <f>IF(select!$A$778=IF(Scharniere[[#This Row],[mit Dämpfung]]=1,1,IF(Scharniere[[#This Row],[ohne Dämpfung]]=1,2,IF(Scharniere[[#This Row],[ohne Feder]]=1,3,0))),1,0)</f>
        <v>0</v>
      </c>
      <c r="S352" s="298">
        <f>IF(Scharniere[[#This Row],[Bohrbild]]=select!$A$755,1,0)</f>
        <v>0</v>
      </c>
      <c r="T352" s="298">
        <f>IF(IF(Scharniere[[#This Row],[Anschrauben]]=1,1,IF(Scharniere[[#This Row],[Einpressen]]=1,2,IF(Scharniere[[#This Row],[Quick]]=1,3,IF(Scharniere[[#This Row],[Werkzeuglos]]=1,4,0))))=select!$A$769,1,0)</f>
        <v>0</v>
      </c>
      <c r="U3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2" s="359">
        <f>IF(AND(Scharniere[[#This Row],[Scharnierart]]=4,Scharniere[[#This Row],[Gruppenschlüssel]]=select!$A$981)=TRUE,1,0)</f>
        <v>0</v>
      </c>
      <c r="W352" s="359">
        <f ca="1">IF(select!$O$1185&lt;6,1,0)</f>
        <v>1</v>
      </c>
      <c r="X352" s="359">
        <f>IF(select!$A$1012=IF(Scharniere[[#This Row],[mit Dämpfung]]=1,1,IF(Scharniere[[#This Row],[ohne Dämpfung]]=1,2,IF(Scharniere[[#This Row],[ohne Feder]]=1,3,0))),1,0)</f>
        <v>0</v>
      </c>
      <c r="Y352" s="359">
        <f>IF(Scharniere[[#This Row],[Bohrbild]]=select!$A$989,1,0)</f>
        <v>0</v>
      </c>
      <c r="Z352" s="359">
        <f>IF(IF(Scharniere[[#This Row],[Anschrauben]]=1,1,IF(Scharniere[[#This Row],[Einpressen]]=1,2,IF(Scharniere[[#This Row],[Quick]]=1,3,IF(Scharniere[[#This Row],[Werkzeuglos]]=1,4,0))))=select!$A$1003,1,0)</f>
        <v>0</v>
      </c>
      <c r="AA3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2" s="359">
        <f ca="1">IF(select!$K$980="*",Scharniere[[#This Row],[AG Ges2]],Scharniere[[#This Row],[AG Ges1]])</f>
        <v>0</v>
      </c>
      <c r="AE352" s="451">
        <f ca="1">IF(AND(Scharniere[[#This Row],[Scharnierart]]=select!$A$1485,Scharniere[[#This Row],[Gruppenschlüssel]]=select!$B$1485)=TRUE,1,0)</f>
        <v>0</v>
      </c>
      <c r="AF352" s="451">
        <f ca="1">IF(AND(Scharniere[[#This Row],[Scharnierart]]=select!$A$1486,Scharniere[[#This Row],[Gruppenschlüssel]]=select!$B$1486)=TRUE,1,0)</f>
        <v>0</v>
      </c>
      <c r="AG352" s="451">
        <f ca="1">IF(AND(Scharniere[[#This Row],[Scharnierart]]=select!$A$1487,Scharniere[[#This Row],[Gruppenschlüssel]]=select!$B$1487)=TRUE,1,0)</f>
        <v>0</v>
      </c>
      <c r="AH352" s="451">
        <f ca="1">IF(AND(Scharniere[[#This Row],[Scharnierart]]=select!$A$1488,Scharniere[[#This Row],[Gruppenschlüssel]]=select!$B$1488)=TRUE,1,0)</f>
        <v>0</v>
      </c>
      <c r="AI352" s="451">
        <f ca="1">IF(SUM(Scharniere[[#This Row],[konf Scharnier 1]:[konf Scharnier 4]])&gt;0,1,0)</f>
        <v>0</v>
      </c>
      <c r="AJ352" s="451"/>
      <c r="AK352" s="451"/>
      <c r="AL352" s="451"/>
      <c r="AM352" s="451"/>
      <c r="AN352" s="451"/>
      <c r="AO352" s="146">
        <v>1</v>
      </c>
      <c r="AP352" s="146">
        <v>2</v>
      </c>
      <c r="AQ352" s="10" t="str">
        <f ca="1">Sprache!$A$114</f>
        <v>Tiomos Scharnier TT Click-on</v>
      </c>
      <c r="AR352" t="str">
        <f ca="1">"120°, G-BB, K00, "&amp;Sprache!A181&amp;", ni"</f>
        <v>120°, G-BB, K00, Dübel, ni</v>
      </c>
      <c r="AS352" t="str">
        <f ca="1">Sprache!$A$103</f>
        <v>Tiomos Click-On Scharniere</v>
      </c>
      <c r="AT352">
        <v>0</v>
      </c>
      <c r="AU352" t="s">
        <v>9</v>
      </c>
      <c r="AV352">
        <v>120</v>
      </c>
      <c r="AW352" s="10">
        <v>0</v>
      </c>
      <c r="AX352">
        <v>0</v>
      </c>
      <c r="AY352">
        <v>1</v>
      </c>
      <c r="AZ352" s="10">
        <v>0</v>
      </c>
      <c r="BA352">
        <v>1</v>
      </c>
      <c r="BB352">
        <v>0</v>
      </c>
      <c r="BC352">
        <v>0</v>
      </c>
      <c r="BD352" s="143" t="s">
        <v>620</v>
      </c>
      <c r="BG352"/>
    </row>
    <row r="353" spans="1:59" ht="14.25" customHeight="1" x14ac:dyDescent="0.25">
      <c r="A353" s="37" t="str">
        <f>LEFT(Scharniere[[#This Row],[ArtikelNR]],4)</f>
        <v>F045</v>
      </c>
      <c r="B353" s="35" t="str">
        <f>MID(Scharniere[[#This Row],[ArtikelNR]],5,3)</f>
        <v>138</v>
      </c>
      <c r="C353" s="37" t="str">
        <f>RIGHT(Scharniere[[#This Row],[ArtikelNR]],3)</f>
        <v>303</v>
      </c>
      <c r="D353" s="35">
        <f>IF(AND(Scharniere[[#This Row],[Gruppenschlüssel]]=select!$A$44,Scharniere[[#This Row],[Scharnierart]]=1)=TRUE,1,0)</f>
        <v>0</v>
      </c>
      <c r="E3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3" s="35">
        <f>IF(select!$F$57=IF(Scharniere[[#This Row],[mit Dämpfung]]=1,1,IF(Scharniere[[#This Row],[ohne Dämpfung]]=1,2,IF(Scharniere[[#This Row],[ohne Feder]]=1,3,0))),1,0)</f>
        <v>0</v>
      </c>
      <c r="G353" s="35">
        <f>IF(Scharniere[[#This Row],[Bohrbild]]=select!$V$43,1,0)</f>
        <v>0</v>
      </c>
      <c r="H353" s="35">
        <f>IF(IF(Scharniere[[#This Row],[Anschrauben]]=1,1,IF(Scharniere[[#This Row],[Einpressen]]=1,2,IF(Scharniere[[#This Row],[Quick]]=1,3,IF(Scharniere[[#This Row],[Werkzeuglos]]=1,4,0))))=select!$F$48,1,0)</f>
        <v>0</v>
      </c>
      <c r="I3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3" s="149">
        <f>IF(AND(Scharniere[[#This Row],[Scharnierart]]=2,Scharniere[[#This Row],[Gruppenschlüssel]]=select!$A$318)=TRUE,1,0)</f>
        <v>0</v>
      </c>
      <c r="K353" s="221">
        <f ca="1">IF(select!$O$424&lt;6,1,0)</f>
        <v>1</v>
      </c>
      <c r="L353" s="139">
        <f>IF(select!$A$362=IF(Scharniere[[#This Row],[mit Dämpfung]]=1,1,IF(Scharniere[[#This Row],[ohne Dämpfung]]=1,2,IF(Scharniere[[#This Row],[ohne Feder]]=1,3,0))),1,0)</f>
        <v>0</v>
      </c>
      <c r="M353" s="135">
        <f>IF(Scharniere[[#This Row],[Bohrbild]]=select!$O$334,1,0)</f>
        <v>0</v>
      </c>
      <c r="N353" s="135">
        <f>IF(IF(Scharniere[[#This Row],[Anschrauben]]=1,1,IF(Scharniere[[#This Row],[Einpressen]]=1,2,IF(Scharniere[[#This Row],[Quick]]=1,3,IF(Scharniere[[#This Row],[Werkzeuglos]]=1,4,0))))=select!$E$362,1,0)</f>
        <v>1</v>
      </c>
      <c r="O3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3" s="298">
        <f>IF(AND(Scharniere[[#This Row],[Scharnierart]]=3,Scharniere[[#This Row],[Gruppenschlüssel]]=select!$A$747)=TRUE,1,0)</f>
        <v>0</v>
      </c>
      <c r="Q353" s="298">
        <f ca="1">IF(select!$O$945&lt;6,1,0)</f>
        <v>1</v>
      </c>
      <c r="R353" s="298">
        <f>IF(select!$A$778=IF(Scharniere[[#This Row],[mit Dämpfung]]=1,1,IF(Scharniere[[#This Row],[ohne Dämpfung]]=1,2,IF(Scharniere[[#This Row],[ohne Feder]]=1,3,0))),1,0)</f>
        <v>1</v>
      </c>
      <c r="S353" s="298">
        <f>IF(Scharniere[[#This Row],[Bohrbild]]=select!$A$755,1,0)</f>
        <v>0</v>
      </c>
      <c r="T353" s="298">
        <f>IF(IF(Scharniere[[#This Row],[Anschrauben]]=1,1,IF(Scharniere[[#This Row],[Einpressen]]=1,2,IF(Scharniere[[#This Row],[Quick]]=1,3,IF(Scharniere[[#This Row],[Werkzeuglos]]=1,4,0))))=select!$A$769,1,0)</f>
        <v>1</v>
      </c>
      <c r="U3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3" s="359">
        <f>IF(AND(Scharniere[[#This Row],[Scharnierart]]=4,Scharniere[[#This Row],[Gruppenschlüssel]]=select!$A$981)=TRUE,1,0)</f>
        <v>0</v>
      </c>
      <c r="W353" s="359">
        <f ca="1">IF(select!$O$1185&lt;6,1,0)</f>
        <v>1</v>
      </c>
      <c r="X353" s="359">
        <f>IF(select!$A$1012=IF(Scharniere[[#This Row],[mit Dämpfung]]=1,1,IF(Scharniere[[#This Row],[ohne Dämpfung]]=1,2,IF(Scharniere[[#This Row],[ohne Feder]]=1,3,0))),1,0)</f>
        <v>1</v>
      </c>
      <c r="Y353" s="359">
        <f>IF(Scharniere[[#This Row],[Bohrbild]]=select!$A$989,1,0)</f>
        <v>0</v>
      </c>
      <c r="Z353" s="359">
        <f>IF(IF(Scharniere[[#This Row],[Anschrauben]]=1,1,IF(Scharniere[[#This Row],[Einpressen]]=1,2,IF(Scharniere[[#This Row],[Quick]]=1,3,IF(Scharniere[[#This Row],[Werkzeuglos]]=1,4,0))))=select!$A$1003,1,0)</f>
        <v>1</v>
      </c>
      <c r="AA3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3" s="359">
        <f ca="1">IF(select!$K$980="*",Scharniere[[#This Row],[AG Ges2]],Scharniere[[#This Row],[AG Ges1]])</f>
        <v>0</v>
      </c>
      <c r="AE353" s="451">
        <f ca="1">IF(AND(Scharniere[[#This Row],[Scharnierart]]=select!$A$1485,Scharniere[[#This Row],[Gruppenschlüssel]]=select!$B$1485)=TRUE,1,0)</f>
        <v>0</v>
      </c>
      <c r="AF353" s="451">
        <f ca="1">IF(AND(Scharniere[[#This Row],[Scharnierart]]=select!$A$1486,Scharniere[[#This Row],[Gruppenschlüssel]]=select!$B$1486)=TRUE,1,0)</f>
        <v>0</v>
      </c>
      <c r="AG353" s="451">
        <f ca="1">IF(AND(Scharniere[[#This Row],[Scharnierart]]=select!$A$1487,Scharniere[[#This Row],[Gruppenschlüssel]]=select!$B$1487)=TRUE,1,0)</f>
        <v>0</v>
      </c>
      <c r="AH353" s="451">
        <f ca="1">IF(AND(Scharniere[[#This Row],[Scharnierart]]=select!$A$1488,Scharniere[[#This Row],[Gruppenschlüssel]]=select!$B$1488)=TRUE,1,0)</f>
        <v>0</v>
      </c>
      <c r="AI353" s="451">
        <f ca="1">IF(SUM(Scharniere[[#This Row],[konf Scharnier 1]:[konf Scharnier 4]])&gt;0,1,0)</f>
        <v>0</v>
      </c>
      <c r="AJ353" s="451"/>
      <c r="AK353" s="451"/>
      <c r="AL353" s="451"/>
      <c r="AM353" s="451"/>
      <c r="AN353" s="451"/>
      <c r="AO353" s="146">
        <v>1</v>
      </c>
      <c r="AP353" s="146">
        <v>2</v>
      </c>
      <c r="AQ353" s="10" t="str">
        <f ca="1">Sprache!$A$110</f>
        <v>Tiomos Scharnier T Click-on</v>
      </c>
      <c r="AR353" t="s">
        <v>276</v>
      </c>
      <c r="AS353" t="str">
        <f ca="1">Sprache!$A$103</f>
        <v>Tiomos Click-On Scharniere</v>
      </c>
      <c r="AT353">
        <v>0</v>
      </c>
      <c r="AU353" t="s">
        <v>9</v>
      </c>
      <c r="AV353">
        <v>120</v>
      </c>
      <c r="AW353" s="10">
        <v>0</v>
      </c>
      <c r="AX353">
        <v>1</v>
      </c>
      <c r="AY353">
        <v>0</v>
      </c>
      <c r="AZ353" s="10">
        <v>1</v>
      </c>
      <c r="BA353">
        <v>0</v>
      </c>
      <c r="BB353">
        <v>0</v>
      </c>
      <c r="BC353">
        <v>0</v>
      </c>
      <c r="BD353" s="143" t="s">
        <v>465</v>
      </c>
      <c r="BG353"/>
    </row>
    <row r="354" spans="1:59" ht="14.25" customHeight="1" x14ac:dyDescent="0.25">
      <c r="A354" s="37" t="str">
        <f>LEFT(Scharniere[[#This Row],[ArtikelNR]],4)</f>
        <v>F028</v>
      </c>
      <c r="B354" s="35" t="str">
        <f>MID(Scharniere[[#This Row],[ArtikelNR]],5,3)</f>
        <v>138</v>
      </c>
      <c r="C354" s="37" t="str">
        <f>RIGHT(Scharniere[[#This Row],[ArtikelNR]],3)</f>
        <v>365</v>
      </c>
      <c r="D354" s="35">
        <f>IF(AND(Scharniere[[#This Row],[Gruppenschlüssel]]=select!$A$44,Scharniere[[#This Row],[Scharnierart]]=1)=TRUE,1,0)</f>
        <v>0</v>
      </c>
      <c r="E3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4" s="35">
        <f>IF(select!$F$57=IF(Scharniere[[#This Row],[mit Dämpfung]]=1,1,IF(Scharniere[[#This Row],[ohne Dämpfung]]=1,2,IF(Scharniere[[#This Row],[ohne Feder]]=1,3,0))),1,0)</f>
        <v>0</v>
      </c>
      <c r="G354" s="35">
        <f>IF(Scharniere[[#This Row],[Bohrbild]]=select!$V$43,1,0)</f>
        <v>0</v>
      </c>
      <c r="H354" s="35">
        <f>IF(IF(Scharniere[[#This Row],[Anschrauben]]=1,1,IF(Scharniere[[#This Row],[Einpressen]]=1,2,IF(Scharniere[[#This Row],[Quick]]=1,3,IF(Scharniere[[#This Row],[Werkzeuglos]]=1,4,0))))=select!$F$48,1,0)</f>
        <v>0</v>
      </c>
      <c r="I3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4" s="149">
        <f>IF(AND(Scharniere[[#This Row],[Scharnierart]]=2,Scharniere[[#This Row],[Gruppenschlüssel]]=select!$A$318)=TRUE,1,0)</f>
        <v>0</v>
      </c>
      <c r="K354" s="221">
        <f ca="1">IF(select!$O$424&lt;6,1,0)</f>
        <v>1</v>
      </c>
      <c r="L354" s="139">
        <f>IF(select!$A$362=IF(Scharniere[[#This Row],[mit Dämpfung]]=1,1,IF(Scharniere[[#This Row],[ohne Dämpfung]]=1,2,IF(Scharniere[[#This Row],[ohne Feder]]=1,3,0))),1,0)</f>
        <v>1</v>
      </c>
      <c r="M354" s="135">
        <f>IF(Scharniere[[#This Row],[Bohrbild]]=select!$O$334,1,0)</f>
        <v>0</v>
      </c>
      <c r="N354" s="135">
        <f>IF(IF(Scharniere[[#This Row],[Anschrauben]]=1,1,IF(Scharniere[[#This Row],[Einpressen]]=1,2,IF(Scharniere[[#This Row],[Quick]]=1,3,IF(Scharniere[[#This Row],[Werkzeuglos]]=1,4,0))))=select!$E$362,1,0)</f>
        <v>1</v>
      </c>
      <c r="O3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4" s="298">
        <f>IF(AND(Scharniere[[#This Row],[Scharnierart]]=3,Scharniere[[#This Row],[Gruppenschlüssel]]=select!$A$747)=TRUE,1,0)</f>
        <v>0</v>
      </c>
      <c r="Q354" s="298">
        <f ca="1">IF(select!$O$945&lt;6,1,0)</f>
        <v>1</v>
      </c>
      <c r="R354" s="298">
        <f>IF(select!$A$778=IF(Scharniere[[#This Row],[mit Dämpfung]]=1,1,IF(Scharniere[[#This Row],[ohne Dämpfung]]=1,2,IF(Scharniere[[#This Row],[ohne Feder]]=1,3,0))),1,0)</f>
        <v>0</v>
      </c>
      <c r="S354" s="298">
        <f>IF(Scharniere[[#This Row],[Bohrbild]]=select!$A$755,1,0)</f>
        <v>0</v>
      </c>
      <c r="T354" s="298">
        <f>IF(IF(Scharniere[[#This Row],[Anschrauben]]=1,1,IF(Scharniere[[#This Row],[Einpressen]]=1,2,IF(Scharniere[[#This Row],[Quick]]=1,3,IF(Scharniere[[#This Row],[Werkzeuglos]]=1,4,0))))=select!$A$769,1,0)</f>
        <v>1</v>
      </c>
      <c r="U3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4" s="359">
        <f>IF(AND(Scharniere[[#This Row],[Scharnierart]]=4,Scharniere[[#This Row],[Gruppenschlüssel]]=select!$A$981)=TRUE,1,0)</f>
        <v>0</v>
      </c>
      <c r="W354" s="359">
        <f ca="1">IF(select!$O$1185&lt;6,1,0)</f>
        <v>1</v>
      </c>
      <c r="X354" s="359">
        <f>IF(select!$A$1012=IF(Scharniere[[#This Row],[mit Dämpfung]]=1,1,IF(Scharniere[[#This Row],[ohne Dämpfung]]=1,2,IF(Scharniere[[#This Row],[ohne Feder]]=1,3,0))),1,0)</f>
        <v>0</v>
      </c>
      <c r="Y354" s="359">
        <f>IF(Scharniere[[#This Row],[Bohrbild]]=select!$A$989,1,0)</f>
        <v>0</v>
      </c>
      <c r="Z354" s="359">
        <f>IF(IF(Scharniere[[#This Row],[Anschrauben]]=1,1,IF(Scharniere[[#This Row],[Einpressen]]=1,2,IF(Scharniere[[#This Row],[Quick]]=1,3,IF(Scharniere[[#This Row],[Werkzeuglos]]=1,4,0))))=select!$A$1003,1,0)</f>
        <v>1</v>
      </c>
      <c r="AA3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4" s="359">
        <f ca="1">IF(select!$K$980="*",Scharniere[[#This Row],[AG Ges2]],Scharniere[[#This Row],[AG Ges1]])</f>
        <v>0</v>
      </c>
      <c r="AE354" s="451">
        <f ca="1">IF(AND(Scharniere[[#This Row],[Scharnierart]]=select!$A$1485,Scharniere[[#This Row],[Gruppenschlüssel]]=select!$B$1485)=TRUE,1,0)</f>
        <v>0</v>
      </c>
      <c r="AF354" s="451">
        <f ca="1">IF(AND(Scharniere[[#This Row],[Scharnierart]]=select!$A$1486,Scharniere[[#This Row],[Gruppenschlüssel]]=select!$B$1486)=TRUE,1,0)</f>
        <v>0</v>
      </c>
      <c r="AG354" s="451">
        <f ca="1">IF(AND(Scharniere[[#This Row],[Scharnierart]]=select!$A$1487,Scharniere[[#This Row],[Gruppenschlüssel]]=select!$B$1487)=TRUE,1,0)</f>
        <v>0</v>
      </c>
      <c r="AH354" s="451">
        <f ca="1">IF(AND(Scharniere[[#This Row],[Scharnierart]]=select!$A$1488,Scharniere[[#This Row],[Gruppenschlüssel]]=select!$B$1488)=TRUE,1,0)</f>
        <v>0</v>
      </c>
      <c r="AI354" s="451">
        <f ca="1">IF(SUM(Scharniere[[#This Row],[konf Scharnier 1]:[konf Scharnier 4]])&gt;0,1,0)</f>
        <v>0</v>
      </c>
      <c r="AJ354" s="451"/>
      <c r="AK354" s="451"/>
      <c r="AL354" s="451"/>
      <c r="AM354" s="451"/>
      <c r="AN354" s="451"/>
      <c r="AO354" s="146">
        <v>1</v>
      </c>
      <c r="AP354" s="146">
        <v>2</v>
      </c>
      <c r="AQ354" s="10" t="str">
        <f ca="1">Sprache!$A$112</f>
        <v>Tiomos Scharnier TS Click-on</v>
      </c>
      <c r="AR354" t="s">
        <v>276</v>
      </c>
      <c r="AS354" t="str">
        <f ca="1">Sprache!$A$103</f>
        <v>Tiomos Click-On Scharniere</v>
      </c>
      <c r="AT354">
        <v>0</v>
      </c>
      <c r="AU354" t="s">
        <v>9</v>
      </c>
      <c r="AV354">
        <v>120</v>
      </c>
      <c r="AW354" s="10">
        <v>1</v>
      </c>
      <c r="AX354">
        <v>0</v>
      </c>
      <c r="AY354">
        <v>0</v>
      </c>
      <c r="AZ354" s="10">
        <v>1</v>
      </c>
      <c r="BA354">
        <v>0</v>
      </c>
      <c r="BB354">
        <v>0</v>
      </c>
      <c r="BC354">
        <v>0</v>
      </c>
      <c r="BD354" s="143" t="s">
        <v>275</v>
      </c>
      <c r="BG354"/>
    </row>
    <row r="355" spans="1:59" ht="14.25" customHeight="1" x14ac:dyDescent="0.25">
      <c r="A355" s="37" t="str">
        <f>LEFT(Scharniere[[#This Row],[ArtikelNR]],4)</f>
        <v>F046</v>
      </c>
      <c r="B355" s="35" t="str">
        <f>MID(Scharniere[[#This Row],[ArtikelNR]],5,3)</f>
        <v>138</v>
      </c>
      <c r="C355" s="37" t="str">
        <f>RIGHT(Scharniere[[#This Row],[ArtikelNR]],3)</f>
        <v>425</v>
      </c>
      <c r="D355" s="35">
        <f>IF(AND(Scharniere[[#This Row],[Gruppenschlüssel]]=select!$A$44,Scharniere[[#This Row],[Scharnierart]]=1)=TRUE,1,0)</f>
        <v>0</v>
      </c>
      <c r="E3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5" s="35">
        <f>IF(select!$F$57=IF(Scharniere[[#This Row],[mit Dämpfung]]=1,1,IF(Scharniere[[#This Row],[ohne Dämpfung]]=1,2,IF(Scharniere[[#This Row],[ohne Feder]]=1,3,0))),1,0)</f>
        <v>1</v>
      </c>
      <c r="G355" s="35">
        <f>IF(Scharniere[[#This Row],[Bohrbild]]=select!$V$43,1,0)</f>
        <v>0</v>
      </c>
      <c r="H355" s="35">
        <f>IF(IF(Scharniere[[#This Row],[Anschrauben]]=1,1,IF(Scharniere[[#This Row],[Einpressen]]=1,2,IF(Scharniere[[#This Row],[Quick]]=1,3,IF(Scharniere[[#This Row],[Werkzeuglos]]=1,4,0))))=select!$F$48,1,0)</f>
        <v>0</v>
      </c>
      <c r="I3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5" s="149">
        <f>IF(AND(Scharniere[[#This Row],[Scharnierart]]=2,Scharniere[[#This Row],[Gruppenschlüssel]]=select!$A$318)=TRUE,1,0)</f>
        <v>0</v>
      </c>
      <c r="K355" s="221">
        <f ca="1">IF(select!$O$424&lt;6,1,0)</f>
        <v>1</v>
      </c>
      <c r="L355" s="139">
        <f>IF(select!$A$362=IF(Scharniere[[#This Row],[mit Dämpfung]]=1,1,IF(Scharniere[[#This Row],[ohne Dämpfung]]=1,2,IF(Scharniere[[#This Row],[ohne Feder]]=1,3,0))),1,0)</f>
        <v>0</v>
      </c>
      <c r="M355" s="135">
        <f>IF(Scharniere[[#This Row],[Bohrbild]]=select!$O$334,1,0)</f>
        <v>0</v>
      </c>
      <c r="N355" s="135">
        <f>IF(IF(Scharniere[[#This Row],[Anschrauben]]=1,1,IF(Scharniere[[#This Row],[Einpressen]]=1,2,IF(Scharniere[[#This Row],[Quick]]=1,3,IF(Scharniere[[#This Row],[Werkzeuglos]]=1,4,0))))=select!$E$362,1,0)</f>
        <v>1</v>
      </c>
      <c r="O3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5" s="298">
        <f>IF(AND(Scharniere[[#This Row],[Scharnierart]]=3,Scharniere[[#This Row],[Gruppenschlüssel]]=select!$A$747)=TRUE,1,0)</f>
        <v>0</v>
      </c>
      <c r="Q355" s="298">
        <f ca="1">IF(select!$O$945&lt;6,1,0)</f>
        <v>1</v>
      </c>
      <c r="R355" s="298">
        <f>IF(select!$A$778=IF(Scharniere[[#This Row],[mit Dämpfung]]=1,1,IF(Scharniere[[#This Row],[ohne Dämpfung]]=1,2,IF(Scharniere[[#This Row],[ohne Feder]]=1,3,0))),1,0)</f>
        <v>0</v>
      </c>
      <c r="S355" s="298">
        <f>IF(Scharniere[[#This Row],[Bohrbild]]=select!$A$755,1,0)</f>
        <v>0</v>
      </c>
      <c r="T355" s="298">
        <f>IF(IF(Scharniere[[#This Row],[Anschrauben]]=1,1,IF(Scharniere[[#This Row],[Einpressen]]=1,2,IF(Scharniere[[#This Row],[Quick]]=1,3,IF(Scharniere[[#This Row],[Werkzeuglos]]=1,4,0))))=select!$A$769,1,0)</f>
        <v>1</v>
      </c>
      <c r="U3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5" s="359">
        <f>IF(AND(Scharniere[[#This Row],[Scharnierart]]=4,Scharniere[[#This Row],[Gruppenschlüssel]]=select!$A$981)=TRUE,1,0)</f>
        <v>0</v>
      </c>
      <c r="W355" s="359">
        <f ca="1">IF(select!$O$1185&lt;6,1,0)</f>
        <v>1</v>
      </c>
      <c r="X355" s="359">
        <f>IF(select!$A$1012=IF(Scharniere[[#This Row],[mit Dämpfung]]=1,1,IF(Scharniere[[#This Row],[ohne Dämpfung]]=1,2,IF(Scharniere[[#This Row],[ohne Feder]]=1,3,0))),1,0)</f>
        <v>0</v>
      </c>
      <c r="Y355" s="359">
        <f>IF(Scharniere[[#This Row],[Bohrbild]]=select!$A$989,1,0)</f>
        <v>0</v>
      </c>
      <c r="Z355" s="359">
        <f>IF(IF(Scharniere[[#This Row],[Anschrauben]]=1,1,IF(Scharniere[[#This Row],[Einpressen]]=1,2,IF(Scharniere[[#This Row],[Quick]]=1,3,IF(Scharniere[[#This Row],[Werkzeuglos]]=1,4,0))))=select!$A$1003,1,0)</f>
        <v>1</v>
      </c>
      <c r="AA3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5" s="359">
        <f ca="1">IF(select!$K$980="*",Scharniere[[#This Row],[AG Ges2]],Scharniere[[#This Row],[AG Ges1]])</f>
        <v>0</v>
      </c>
      <c r="AE355" s="451">
        <f ca="1">IF(AND(Scharniere[[#This Row],[Scharnierart]]=select!$A$1485,Scharniere[[#This Row],[Gruppenschlüssel]]=select!$B$1485)=TRUE,1,0)</f>
        <v>0</v>
      </c>
      <c r="AF355" s="451">
        <f ca="1">IF(AND(Scharniere[[#This Row],[Scharnierart]]=select!$A$1486,Scharniere[[#This Row],[Gruppenschlüssel]]=select!$B$1486)=TRUE,1,0)</f>
        <v>0</v>
      </c>
      <c r="AG355" s="451">
        <f ca="1">IF(AND(Scharniere[[#This Row],[Scharnierart]]=select!$A$1487,Scharniere[[#This Row],[Gruppenschlüssel]]=select!$B$1487)=TRUE,1,0)</f>
        <v>0</v>
      </c>
      <c r="AH355" s="451">
        <f ca="1">IF(AND(Scharniere[[#This Row],[Scharnierart]]=select!$A$1488,Scharniere[[#This Row],[Gruppenschlüssel]]=select!$B$1488)=TRUE,1,0)</f>
        <v>0</v>
      </c>
      <c r="AI355" s="451">
        <f ca="1">IF(SUM(Scharniere[[#This Row],[konf Scharnier 1]:[konf Scharnier 4]])&gt;0,1,0)</f>
        <v>0</v>
      </c>
      <c r="AJ355" s="451"/>
      <c r="AK355" s="451"/>
      <c r="AL355" s="451"/>
      <c r="AM355" s="451"/>
      <c r="AN355" s="451"/>
      <c r="AO355" s="146">
        <v>1</v>
      </c>
      <c r="AP355" s="146">
        <v>2</v>
      </c>
      <c r="AQ355" s="10" t="str">
        <f ca="1">Sprache!$A$114</f>
        <v>Tiomos Scharnier TT Click-on</v>
      </c>
      <c r="AR355" t="s">
        <v>276</v>
      </c>
      <c r="AS355" t="str">
        <f ca="1">Sprache!$A$103</f>
        <v>Tiomos Click-On Scharniere</v>
      </c>
      <c r="AT355">
        <v>0</v>
      </c>
      <c r="AU355" t="s">
        <v>9</v>
      </c>
      <c r="AV355">
        <v>120</v>
      </c>
      <c r="AW355" s="10">
        <v>0</v>
      </c>
      <c r="AX355">
        <v>0</v>
      </c>
      <c r="AY355">
        <v>1</v>
      </c>
      <c r="AZ355" s="10">
        <v>1</v>
      </c>
      <c r="BA355">
        <v>0</v>
      </c>
      <c r="BB355">
        <v>0</v>
      </c>
      <c r="BC355">
        <v>0</v>
      </c>
      <c r="BD355" s="143" t="s">
        <v>617</v>
      </c>
      <c r="BG355"/>
    </row>
    <row r="356" spans="1:59" ht="14.25" customHeight="1" x14ac:dyDescent="0.25">
      <c r="A356" s="37" t="str">
        <f>LEFT(Scharniere[[#This Row],[ArtikelNR]],4)</f>
        <v>F034</v>
      </c>
      <c r="B356" s="35" t="str">
        <f>MID(Scharniere[[#This Row],[ArtikelNR]],5,3)</f>
        <v>139</v>
      </c>
      <c r="C356" s="37" t="str">
        <f>RIGHT(Scharniere[[#This Row],[ArtikelNR]],3)</f>
        <v>399</v>
      </c>
      <c r="D356" s="35">
        <f>IF(AND(Scharniere[[#This Row],[Gruppenschlüssel]]=select!$A$44,Scharniere[[#This Row],[Scharnierart]]=1)=TRUE,1,0)</f>
        <v>0</v>
      </c>
      <c r="E3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6" s="35">
        <f>IF(select!$F$57=IF(Scharniere[[#This Row],[mit Dämpfung]]=1,1,IF(Scharniere[[#This Row],[ohne Dämpfung]]=1,2,IF(Scharniere[[#This Row],[ohne Feder]]=1,3,0))),1,0)</f>
        <v>0</v>
      </c>
      <c r="G356" s="35">
        <f>IF(Scharniere[[#This Row],[Bohrbild]]=select!$V$43,1,0)</f>
        <v>0</v>
      </c>
      <c r="H356" s="35">
        <f>IF(IF(Scharniere[[#This Row],[Anschrauben]]=1,1,IF(Scharniere[[#This Row],[Einpressen]]=1,2,IF(Scharniere[[#This Row],[Quick]]=1,3,IF(Scharniere[[#This Row],[Werkzeuglos]]=1,4,0))))=select!$F$48,1,0)</f>
        <v>0</v>
      </c>
      <c r="I3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6" s="149">
        <f>IF(AND(Scharniere[[#This Row],[Scharnierart]]=2,Scharniere[[#This Row],[Gruppenschlüssel]]=select!$A$318)=TRUE,1,0)</f>
        <v>0</v>
      </c>
      <c r="K356" s="221">
        <f ca="1">IF(select!$O$424&lt;6,1,0)</f>
        <v>1</v>
      </c>
      <c r="L356" s="139">
        <f>IF(select!$A$362=IF(Scharniere[[#This Row],[mit Dämpfung]]=1,1,IF(Scharniere[[#This Row],[ohne Dämpfung]]=1,2,IF(Scharniere[[#This Row],[ohne Feder]]=1,3,0))),1,0)</f>
        <v>0</v>
      </c>
      <c r="M356" s="135">
        <f>IF(Scharniere[[#This Row],[Bohrbild]]=select!$O$334,1,0)</f>
        <v>0</v>
      </c>
      <c r="N356" s="135">
        <f>IF(IF(Scharniere[[#This Row],[Anschrauben]]=1,1,IF(Scharniere[[#This Row],[Einpressen]]=1,2,IF(Scharniere[[#This Row],[Quick]]=1,3,IF(Scharniere[[#This Row],[Werkzeuglos]]=1,4,0))))=select!$E$362,1,0)</f>
        <v>0</v>
      </c>
      <c r="O3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6" s="298">
        <f>IF(AND(Scharniere[[#This Row],[Scharnierart]]=3,Scharniere[[#This Row],[Gruppenschlüssel]]=select!$A$747)=TRUE,1,0)</f>
        <v>0</v>
      </c>
      <c r="Q356" s="298">
        <f ca="1">IF(select!$O$945&lt;6,1,0)</f>
        <v>1</v>
      </c>
      <c r="R356" s="298">
        <f>IF(select!$A$778=IF(Scharniere[[#This Row],[mit Dämpfung]]=1,1,IF(Scharniere[[#This Row],[ohne Dämpfung]]=1,2,IF(Scharniere[[#This Row],[ohne Feder]]=1,3,0))),1,0)</f>
        <v>1</v>
      </c>
      <c r="S356" s="298">
        <f>IF(Scharniere[[#This Row],[Bohrbild]]=select!$A$755,1,0)</f>
        <v>0</v>
      </c>
      <c r="T356" s="298">
        <f>IF(IF(Scharniere[[#This Row],[Anschrauben]]=1,1,IF(Scharniere[[#This Row],[Einpressen]]=1,2,IF(Scharniere[[#This Row],[Quick]]=1,3,IF(Scharniere[[#This Row],[Werkzeuglos]]=1,4,0))))=select!$A$769,1,0)</f>
        <v>0</v>
      </c>
      <c r="U3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6" s="359">
        <f>IF(AND(Scharniere[[#This Row],[Scharnierart]]=4,Scharniere[[#This Row],[Gruppenschlüssel]]=select!$A$981)=TRUE,1,0)</f>
        <v>0</v>
      </c>
      <c r="W356" s="359">
        <f ca="1">IF(select!$O$1185&lt;6,1,0)</f>
        <v>1</v>
      </c>
      <c r="X356" s="359">
        <f>IF(select!$A$1012=IF(Scharniere[[#This Row],[mit Dämpfung]]=1,1,IF(Scharniere[[#This Row],[ohne Dämpfung]]=1,2,IF(Scharniere[[#This Row],[ohne Feder]]=1,3,0))),1,0)</f>
        <v>1</v>
      </c>
      <c r="Y356" s="359">
        <f>IF(Scharniere[[#This Row],[Bohrbild]]=select!$A$989,1,0)</f>
        <v>0</v>
      </c>
      <c r="Z356" s="359">
        <f>IF(IF(Scharniere[[#This Row],[Anschrauben]]=1,1,IF(Scharniere[[#This Row],[Einpressen]]=1,2,IF(Scharniere[[#This Row],[Quick]]=1,3,IF(Scharniere[[#This Row],[Werkzeuglos]]=1,4,0))))=select!$A$1003,1,0)</f>
        <v>0</v>
      </c>
      <c r="AA3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6" s="359">
        <f ca="1">IF(select!$K$980="*",Scharniere[[#This Row],[AG Ges2]],Scharniere[[#This Row],[AG Ges1]])</f>
        <v>0</v>
      </c>
      <c r="AE356" s="451">
        <f ca="1">IF(AND(Scharniere[[#This Row],[Scharnierart]]=select!$A$1485,Scharniere[[#This Row],[Gruppenschlüssel]]=select!$B$1485)=TRUE,1,0)</f>
        <v>0</v>
      </c>
      <c r="AF356" s="451">
        <f ca="1">IF(AND(Scharniere[[#This Row],[Scharnierart]]=select!$A$1486,Scharniere[[#This Row],[Gruppenschlüssel]]=select!$B$1486)=TRUE,1,0)</f>
        <v>0</v>
      </c>
      <c r="AG356" s="451">
        <f ca="1">IF(AND(Scharniere[[#This Row],[Scharnierart]]=select!$A$1487,Scharniere[[#This Row],[Gruppenschlüssel]]=select!$B$1487)=TRUE,1,0)</f>
        <v>0</v>
      </c>
      <c r="AH356" s="451">
        <f ca="1">IF(AND(Scharniere[[#This Row],[Scharnierart]]=select!$A$1488,Scharniere[[#This Row],[Gruppenschlüssel]]=select!$B$1488)=TRUE,1,0)</f>
        <v>0</v>
      </c>
      <c r="AI356" s="451">
        <f ca="1">IF(SUM(Scharniere[[#This Row],[konf Scharnier 1]:[konf Scharnier 4]])&gt;0,1,0)</f>
        <v>0</v>
      </c>
      <c r="AJ356" s="451"/>
      <c r="AK356" s="451"/>
      <c r="AL356" s="451"/>
      <c r="AM356" s="451"/>
      <c r="AN356" s="451"/>
      <c r="AO356" s="146">
        <v>1</v>
      </c>
      <c r="AP356" s="146">
        <v>2</v>
      </c>
      <c r="AQ356" s="10" t="str">
        <f ca="1">Sprache!$A$111</f>
        <v>Tiomos Scharnier T Impresso</v>
      </c>
      <c r="AR356" t="s">
        <v>93</v>
      </c>
      <c r="AS356" t="str">
        <f ca="1">Sprache!$A$116</f>
        <v>Tiomos Impresso Scharniere</v>
      </c>
      <c r="AT356">
        <v>0</v>
      </c>
      <c r="AU356" t="s">
        <v>9</v>
      </c>
      <c r="AV356">
        <v>120</v>
      </c>
      <c r="AW356" s="10">
        <v>0</v>
      </c>
      <c r="AX356">
        <v>1</v>
      </c>
      <c r="AY356">
        <v>0</v>
      </c>
      <c r="AZ356" s="10">
        <v>0</v>
      </c>
      <c r="BA356">
        <v>0</v>
      </c>
      <c r="BB356">
        <v>0</v>
      </c>
      <c r="BC356">
        <v>1</v>
      </c>
      <c r="BD356" s="143" t="s">
        <v>155</v>
      </c>
      <c r="BG356"/>
    </row>
    <row r="357" spans="1:59" ht="14.25" customHeight="1" x14ac:dyDescent="0.25">
      <c r="A357" s="37" t="str">
        <f>LEFT(Scharniere[[#This Row],[ArtikelNR]],4)</f>
        <v>F034</v>
      </c>
      <c r="B357" s="35" t="str">
        <f>MID(Scharniere[[#This Row],[ArtikelNR]],5,3)</f>
        <v>139</v>
      </c>
      <c r="C357" s="37" t="str">
        <f>RIGHT(Scharniere[[#This Row],[ArtikelNR]],3)</f>
        <v>399</v>
      </c>
      <c r="D357" s="35">
        <f>IF(AND(Scharniere[[#This Row],[Gruppenschlüssel]]=select!$A$44,Scharniere[[#This Row],[Scharnierart]]=1)=TRUE,1,0)</f>
        <v>0</v>
      </c>
      <c r="E3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7" s="35">
        <f>IF(select!$F$57=IF(Scharniere[[#This Row],[mit Dämpfung]]=1,1,IF(Scharniere[[#This Row],[ohne Dämpfung]]=1,2,IF(Scharniere[[#This Row],[ohne Feder]]=1,3,0))),1,0)</f>
        <v>0</v>
      </c>
      <c r="G357" s="35">
        <f>IF(Scharniere[[#This Row],[Bohrbild]]=select!$V$43,1,0)</f>
        <v>0</v>
      </c>
      <c r="H357" s="35">
        <f>IF(IF(Scharniere[[#This Row],[Anschrauben]]=1,1,IF(Scharniere[[#This Row],[Einpressen]]=1,2,IF(Scharniere[[#This Row],[Quick]]=1,3,IF(Scharniere[[#This Row],[Werkzeuglos]]=1,4,0))))=select!$F$48,1,0)</f>
        <v>0</v>
      </c>
      <c r="I3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7" s="149">
        <f>IF(AND(Scharniere[[#This Row],[Scharnierart]]=2,Scharniere[[#This Row],[Gruppenschlüssel]]=select!$A$318)=TRUE,1,0)</f>
        <v>0</v>
      </c>
      <c r="K357" s="221">
        <f ca="1">IF(select!$O$424&lt;6,1,0)</f>
        <v>1</v>
      </c>
      <c r="L357" s="139">
        <f>IF(select!$A$362=IF(Scharniere[[#This Row],[mit Dämpfung]]=1,1,IF(Scharniere[[#This Row],[ohne Dämpfung]]=1,2,IF(Scharniere[[#This Row],[ohne Feder]]=1,3,0))),1,0)</f>
        <v>0</v>
      </c>
      <c r="M357" s="135">
        <f>IF(Scharniere[[#This Row],[Bohrbild]]=select!$O$334,1,0)</f>
        <v>0</v>
      </c>
      <c r="N357" s="135">
        <f>IF(IF(Scharniere[[#This Row],[Anschrauben]]=1,1,IF(Scharniere[[#This Row],[Einpressen]]=1,2,IF(Scharniere[[#This Row],[Quick]]=1,3,IF(Scharniere[[#This Row],[Werkzeuglos]]=1,4,0))))=select!$E$362,1,0)</f>
        <v>0</v>
      </c>
      <c r="O3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7" s="298">
        <f>IF(AND(Scharniere[[#This Row],[Scharnierart]]=3,Scharniere[[#This Row],[Gruppenschlüssel]]=select!$A$747)=TRUE,1,0)</f>
        <v>0</v>
      </c>
      <c r="Q357" s="298">
        <f ca="1">IF(select!$O$945&lt;6,1,0)</f>
        <v>1</v>
      </c>
      <c r="R357" s="298">
        <f>IF(select!$A$778=IF(Scharniere[[#This Row],[mit Dämpfung]]=1,1,IF(Scharniere[[#This Row],[ohne Dämpfung]]=1,2,IF(Scharniere[[#This Row],[ohne Feder]]=1,3,0))),1,0)</f>
        <v>1</v>
      </c>
      <c r="S357" s="298">
        <f>IF(Scharniere[[#This Row],[Bohrbild]]=select!$A$755,1,0)</f>
        <v>0</v>
      </c>
      <c r="T357" s="298">
        <f>IF(IF(Scharniere[[#This Row],[Anschrauben]]=1,1,IF(Scharniere[[#This Row],[Einpressen]]=1,2,IF(Scharniere[[#This Row],[Quick]]=1,3,IF(Scharniere[[#This Row],[Werkzeuglos]]=1,4,0))))=select!$A$769,1,0)</f>
        <v>0</v>
      </c>
      <c r="U3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7" s="359">
        <f>IF(AND(Scharniere[[#This Row],[Scharnierart]]=4,Scharniere[[#This Row],[Gruppenschlüssel]]=select!$A$981)=TRUE,1,0)</f>
        <v>0</v>
      </c>
      <c r="W357" s="359">
        <f ca="1">IF(select!$O$1185&lt;6,1,0)</f>
        <v>1</v>
      </c>
      <c r="X357" s="359">
        <f>IF(select!$A$1012=IF(Scharniere[[#This Row],[mit Dämpfung]]=1,1,IF(Scharniere[[#This Row],[ohne Dämpfung]]=1,2,IF(Scharniere[[#This Row],[ohne Feder]]=1,3,0))),1,0)</f>
        <v>1</v>
      </c>
      <c r="Y357" s="359">
        <f>IF(Scharniere[[#This Row],[Bohrbild]]=select!$A$989,1,0)</f>
        <v>0</v>
      </c>
      <c r="Z357" s="359">
        <f>IF(IF(Scharniere[[#This Row],[Anschrauben]]=1,1,IF(Scharniere[[#This Row],[Einpressen]]=1,2,IF(Scharniere[[#This Row],[Quick]]=1,3,IF(Scharniere[[#This Row],[Werkzeuglos]]=1,4,0))))=select!$A$1003,1,0)</f>
        <v>0</v>
      </c>
      <c r="AA3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7" s="359">
        <f ca="1">IF(select!$K$980="*",Scharniere[[#This Row],[AG Ges2]],Scharniere[[#This Row],[AG Ges1]])</f>
        <v>0</v>
      </c>
      <c r="AE357" s="451">
        <f ca="1">IF(AND(Scharniere[[#This Row],[Scharnierart]]=select!$A$1485,Scharniere[[#This Row],[Gruppenschlüssel]]=select!$B$1485)=TRUE,1,0)</f>
        <v>0</v>
      </c>
      <c r="AF357" s="451">
        <f ca="1">IF(AND(Scharniere[[#This Row],[Scharnierart]]=select!$A$1486,Scharniere[[#This Row],[Gruppenschlüssel]]=select!$B$1486)=TRUE,1,0)</f>
        <v>0</v>
      </c>
      <c r="AG357" s="451">
        <f ca="1">IF(AND(Scharniere[[#This Row],[Scharnierart]]=select!$A$1487,Scharniere[[#This Row],[Gruppenschlüssel]]=select!$B$1487)=TRUE,1,0)</f>
        <v>0</v>
      </c>
      <c r="AH357" s="451">
        <f ca="1">IF(AND(Scharniere[[#This Row],[Scharnierart]]=select!$A$1488,Scharniere[[#This Row],[Gruppenschlüssel]]=select!$B$1488)=TRUE,1,0)</f>
        <v>0</v>
      </c>
      <c r="AI357" s="451">
        <f ca="1">IF(SUM(Scharniere[[#This Row],[konf Scharnier 1]:[konf Scharnier 4]])&gt;0,1,0)</f>
        <v>0</v>
      </c>
      <c r="AJ357" s="451"/>
      <c r="AK357" s="451"/>
      <c r="AL357" s="451"/>
      <c r="AM357" s="451"/>
      <c r="AN357" s="451"/>
      <c r="AO357" s="146">
        <v>1</v>
      </c>
      <c r="AP357" s="146">
        <v>2</v>
      </c>
      <c r="AQ357" s="10" t="str">
        <f ca="1">Sprache!$A$111</f>
        <v>Tiomos Scharnier T Impresso</v>
      </c>
      <c r="AR357" t="s">
        <v>93</v>
      </c>
      <c r="AS357" t="str">
        <f ca="1">Sprache!$A$116</f>
        <v>Tiomos Impresso Scharniere</v>
      </c>
      <c r="AT357">
        <v>0</v>
      </c>
      <c r="AU357" s="34" t="s">
        <v>3</v>
      </c>
      <c r="AV357">
        <v>120</v>
      </c>
      <c r="AW357" s="10">
        <v>0</v>
      </c>
      <c r="AX357">
        <v>1</v>
      </c>
      <c r="AY357">
        <v>0</v>
      </c>
      <c r="AZ357" s="10">
        <v>0</v>
      </c>
      <c r="BA357">
        <v>0</v>
      </c>
      <c r="BB357">
        <v>0</v>
      </c>
      <c r="BC357">
        <v>1</v>
      </c>
      <c r="BD357" s="143" t="s">
        <v>155</v>
      </c>
      <c r="BG357"/>
    </row>
    <row r="358" spans="1:59" ht="14.25" customHeight="1" x14ac:dyDescent="0.25">
      <c r="A358" s="37" t="str">
        <f>LEFT(Scharniere[[#This Row],[ArtikelNR]],4)</f>
        <v>F017</v>
      </c>
      <c r="B358" s="35" t="str">
        <f>MID(Scharniere[[#This Row],[ArtikelNR]],5,3)</f>
        <v>139</v>
      </c>
      <c r="C358" s="37" t="str">
        <f>RIGHT(Scharniere[[#This Row],[ArtikelNR]],3)</f>
        <v>428</v>
      </c>
      <c r="D358" s="35">
        <f>IF(AND(Scharniere[[#This Row],[Gruppenschlüssel]]=select!$A$44,Scharniere[[#This Row],[Scharnierart]]=1)=TRUE,1,0)</f>
        <v>0</v>
      </c>
      <c r="E3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8" s="35">
        <f>IF(select!$F$57=IF(Scharniere[[#This Row],[mit Dämpfung]]=1,1,IF(Scharniere[[#This Row],[ohne Dämpfung]]=1,2,IF(Scharniere[[#This Row],[ohne Feder]]=1,3,0))),1,0)</f>
        <v>0</v>
      </c>
      <c r="G358" s="35">
        <f>IF(Scharniere[[#This Row],[Bohrbild]]=select!$V$43,1,0)</f>
        <v>0</v>
      </c>
      <c r="H358" s="35">
        <f>IF(IF(Scharniere[[#This Row],[Anschrauben]]=1,1,IF(Scharniere[[#This Row],[Einpressen]]=1,2,IF(Scharniere[[#This Row],[Quick]]=1,3,IF(Scharniere[[#This Row],[Werkzeuglos]]=1,4,0))))=select!$F$48,1,0)</f>
        <v>0</v>
      </c>
      <c r="I3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8" s="149">
        <f>IF(AND(Scharniere[[#This Row],[Scharnierart]]=2,Scharniere[[#This Row],[Gruppenschlüssel]]=select!$A$318)=TRUE,1,0)</f>
        <v>0</v>
      </c>
      <c r="K358" s="221">
        <f ca="1">IF(select!$O$424&lt;6,1,0)</f>
        <v>1</v>
      </c>
      <c r="L358" s="139">
        <f>IF(select!$A$362=IF(Scharniere[[#This Row],[mit Dämpfung]]=1,1,IF(Scharniere[[#This Row],[ohne Dämpfung]]=1,2,IF(Scharniere[[#This Row],[ohne Feder]]=1,3,0))),1,0)</f>
        <v>1</v>
      </c>
      <c r="M358" s="135">
        <f>IF(Scharniere[[#This Row],[Bohrbild]]=select!$O$334,1,0)</f>
        <v>0</v>
      </c>
      <c r="N358" s="135">
        <f>IF(IF(Scharniere[[#This Row],[Anschrauben]]=1,1,IF(Scharniere[[#This Row],[Einpressen]]=1,2,IF(Scharniere[[#This Row],[Quick]]=1,3,IF(Scharniere[[#This Row],[Werkzeuglos]]=1,4,0))))=select!$E$362,1,0)</f>
        <v>0</v>
      </c>
      <c r="O3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8" s="298">
        <f>IF(AND(Scharniere[[#This Row],[Scharnierart]]=3,Scharniere[[#This Row],[Gruppenschlüssel]]=select!$A$747)=TRUE,1,0)</f>
        <v>0</v>
      </c>
      <c r="Q358" s="298">
        <f ca="1">IF(select!$O$945&lt;6,1,0)</f>
        <v>1</v>
      </c>
      <c r="R358" s="298">
        <f>IF(select!$A$778=IF(Scharniere[[#This Row],[mit Dämpfung]]=1,1,IF(Scharniere[[#This Row],[ohne Dämpfung]]=1,2,IF(Scharniere[[#This Row],[ohne Feder]]=1,3,0))),1,0)</f>
        <v>0</v>
      </c>
      <c r="S358" s="298">
        <f>IF(Scharniere[[#This Row],[Bohrbild]]=select!$A$755,1,0)</f>
        <v>0</v>
      </c>
      <c r="T358" s="298">
        <f>IF(IF(Scharniere[[#This Row],[Anschrauben]]=1,1,IF(Scharniere[[#This Row],[Einpressen]]=1,2,IF(Scharniere[[#This Row],[Quick]]=1,3,IF(Scharniere[[#This Row],[Werkzeuglos]]=1,4,0))))=select!$A$769,1,0)</f>
        <v>0</v>
      </c>
      <c r="U3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8" s="359">
        <f>IF(AND(Scharniere[[#This Row],[Scharnierart]]=4,Scharniere[[#This Row],[Gruppenschlüssel]]=select!$A$981)=TRUE,1,0)</f>
        <v>0</v>
      </c>
      <c r="W358" s="359">
        <f ca="1">IF(select!$O$1185&lt;6,1,0)</f>
        <v>1</v>
      </c>
      <c r="X358" s="359">
        <f>IF(select!$A$1012=IF(Scharniere[[#This Row],[mit Dämpfung]]=1,1,IF(Scharniere[[#This Row],[ohne Dämpfung]]=1,2,IF(Scharniere[[#This Row],[ohne Feder]]=1,3,0))),1,0)</f>
        <v>0</v>
      </c>
      <c r="Y358" s="359">
        <f>IF(Scharniere[[#This Row],[Bohrbild]]=select!$A$989,1,0)</f>
        <v>0</v>
      </c>
      <c r="Z358" s="359">
        <f>IF(IF(Scharniere[[#This Row],[Anschrauben]]=1,1,IF(Scharniere[[#This Row],[Einpressen]]=1,2,IF(Scharniere[[#This Row],[Quick]]=1,3,IF(Scharniere[[#This Row],[Werkzeuglos]]=1,4,0))))=select!$A$1003,1,0)</f>
        <v>0</v>
      </c>
      <c r="AA3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8" s="359">
        <f ca="1">IF(select!$K$980="*",Scharniere[[#This Row],[AG Ges2]],Scharniere[[#This Row],[AG Ges1]])</f>
        <v>0</v>
      </c>
      <c r="AE358" s="451">
        <f ca="1">IF(AND(Scharniere[[#This Row],[Scharnierart]]=select!$A$1485,Scharniere[[#This Row],[Gruppenschlüssel]]=select!$B$1485)=TRUE,1,0)</f>
        <v>0</v>
      </c>
      <c r="AF358" s="451">
        <f ca="1">IF(AND(Scharniere[[#This Row],[Scharnierart]]=select!$A$1486,Scharniere[[#This Row],[Gruppenschlüssel]]=select!$B$1486)=TRUE,1,0)</f>
        <v>0</v>
      </c>
      <c r="AG358" s="451">
        <f ca="1">IF(AND(Scharniere[[#This Row],[Scharnierart]]=select!$A$1487,Scharniere[[#This Row],[Gruppenschlüssel]]=select!$B$1487)=TRUE,1,0)</f>
        <v>0</v>
      </c>
      <c r="AH358" s="451">
        <f ca="1">IF(AND(Scharniere[[#This Row],[Scharnierart]]=select!$A$1488,Scharniere[[#This Row],[Gruppenschlüssel]]=select!$B$1488)=TRUE,1,0)</f>
        <v>0</v>
      </c>
      <c r="AI358" s="451">
        <f ca="1">IF(SUM(Scharniere[[#This Row],[konf Scharnier 1]:[konf Scharnier 4]])&gt;0,1,0)</f>
        <v>0</v>
      </c>
      <c r="AJ358" s="451"/>
      <c r="AK358" s="451"/>
      <c r="AL358" s="451"/>
      <c r="AM358" s="451"/>
      <c r="AN358" s="451"/>
      <c r="AO358" s="146">
        <v>1</v>
      </c>
      <c r="AP358" s="146">
        <v>2</v>
      </c>
      <c r="AQ358" s="10" t="str">
        <f ca="1">Sprache!$A$113</f>
        <v>Tiomos Scharnier TS Impresso</v>
      </c>
      <c r="AR358" t="s">
        <v>93</v>
      </c>
      <c r="AS358" t="str">
        <f ca="1">Sprache!$A$116</f>
        <v>Tiomos Impresso Scharniere</v>
      </c>
      <c r="AT358">
        <v>0</v>
      </c>
      <c r="AU358" t="s">
        <v>9</v>
      </c>
      <c r="AV358">
        <v>120</v>
      </c>
      <c r="AW358" s="10">
        <v>1</v>
      </c>
      <c r="AX358">
        <v>0</v>
      </c>
      <c r="AY358">
        <v>0</v>
      </c>
      <c r="AZ358" s="10">
        <v>0</v>
      </c>
      <c r="BA358">
        <v>0</v>
      </c>
      <c r="BB358">
        <v>0</v>
      </c>
      <c r="BC358">
        <v>1</v>
      </c>
      <c r="BD358" s="143" t="s">
        <v>92</v>
      </c>
      <c r="BG358"/>
    </row>
    <row r="359" spans="1:59" ht="14.25" customHeight="1" x14ac:dyDescent="0.25">
      <c r="A359" s="37" t="str">
        <f>LEFT(Scharniere[[#This Row],[ArtikelNR]],4)</f>
        <v>F017</v>
      </c>
      <c r="B359" s="35" t="str">
        <f>MID(Scharniere[[#This Row],[ArtikelNR]],5,3)</f>
        <v>139</v>
      </c>
      <c r="C359" s="37" t="str">
        <f>RIGHT(Scharniere[[#This Row],[ArtikelNR]],3)</f>
        <v>428</v>
      </c>
      <c r="D359" s="35">
        <f>IF(AND(Scharniere[[#This Row],[Gruppenschlüssel]]=select!$A$44,Scharniere[[#This Row],[Scharnierart]]=1)=TRUE,1,0)</f>
        <v>0</v>
      </c>
      <c r="E3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59" s="35">
        <f>IF(select!$F$57=IF(Scharniere[[#This Row],[mit Dämpfung]]=1,1,IF(Scharniere[[#This Row],[ohne Dämpfung]]=1,2,IF(Scharniere[[#This Row],[ohne Feder]]=1,3,0))),1,0)</f>
        <v>0</v>
      </c>
      <c r="G359" s="35">
        <f>IF(Scharniere[[#This Row],[Bohrbild]]=select!$V$43,1,0)</f>
        <v>0</v>
      </c>
      <c r="H359" s="35">
        <f>IF(IF(Scharniere[[#This Row],[Anschrauben]]=1,1,IF(Scharniere[[#This Row],[Einpressen]]=1,2,IF(Scharniere[[#This Row],[Quick]]=1,3,IF(Scharniere[[#This Row],[Werkzeuglos]]=1,4,0))))=select!$F$48,1,0)</f>
        <v>0</v>
      </c>
      <c r="I3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59" s="149">
        <f>IF(AND(Scharniere[[#This Row],[Scharnierart]]=2,Scharniere[[#This Row],[Gruppenschlüssel]]=select!$A$318)=TRUE,1,0)</f>
        <v>0</v>
      </c>
      <c r="K359" s="221">
        <f ca="1">IF(select!$O$424&lt;6,1,0)</f>
        <v>1</v>
      </c>
      <c r="L359" s="139">
        <f>IF(select!$A$362=IF(Scharniere[[#This Row],[mit Dämpfung]]=1,1,IF(Scharniere[[#This Row],[ohne Dämpfung]]=1,2,IF(Scharniere[[#This Row],[ohne Feder]]=1,3,0))),1,0)</f>
        <v>1</v>
      </c>
      <c r="M359" s="135">
        <f>IF(Scharniere[[#This Row],[Bohrbild]]=select!$O$334,1,0)</f>
        <v>0</v>
      </c>
      <c r="N359" s="135">
        <f>IF(IF(Scharniere[[#This Row],[Anschrauben]]=1,1,IF(Scharniere[[#This Row],[Einpressen]]=1,2,IF(Scharniere[[#This Row],[Quick]]=1,3,IF(Scharniere[[#This Row],[Werkzeuglos]]=1,4,0))))=select!$E$362,1,0)</f>
        <v>0</v>
      </c>
      <c r="O3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59" s="298">
        <f>IF(AND(Scharniere[[#This Row],[Scharnierart]]=3,Scharniere[[#This Row],[Gruppenschlüssel]]=select!$A$747)=TRUE,1,0)</f>
        <v>0</v>
      </c>
      <c r="Q359" s="298">
        <f ca="1">IF(select!$O$945&lt;6,1,0)</f>
        <v>1</v>
      </c>
      <c r="R359" s="298">
        <f>IF(select!$A$778=IF(Scharniere[[#This Row],[mit Dämpfung]]=1,1,IF(Scharniere[[#This Row],[ohne Dämpfung]]=1,2,IF(Scharniere[[#This Row],[ohne Feder]]=1,3,0))),1,0)</f>
        <v>0</v>
      </c>
      <c r="S359" s="298">
        <f>IF(Scharniere[[#This Row],[Bohrbild]]=select!$A$755,1,0)</f>
        <v>0</v>
      </c>
      <c r="T359" s="298">
        <f>IF(IF(Scharniere[[#This Row],[Anschrauben]]=1,1,IF(Scharniere[[#This Row],[Einpressen]]=1,2,IF(Scharniere[[#This Row],[Quick]]=1,3,IF(Scharniere[[#This Row],[Werkzeuglos]]=1,4,0))))=select!$A$769,1,0)</f>
        <v>0</v>
      </c>
      <c r="U3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59" s="359">
        <f>IF(AND(Scharniere[[#This Row],[Scharnierart]]=4,Scharniere[[#This Row],[Gruppenschlüssel]]=select!$A$981)=TRUE,1,0)</f>
        <v>0</v>
      </c>
      <c r="W359" s="359">
        <f ca="1">IF(select!$O$1185&lt;6,1,0)</f>
        <v>1</v>
      </c>
      <c r="X359" s="359">
        <f>IF(select!$A$1012=IF(Scharniere[[#This Row],[mit Dämpfung]]=1,1,IF(Scharniere[[#This Row],[ohne Dämpfung]]=1,2,IF(Scharniere[[#This Row],[ohne Feder]]=1,3,0))),1,0)</f>
        <v>0</v>
      </c>
      <c r="Y359" s="359">
        <f>IF(Scharniere[[#This Row],[Bohrbild]]=select!$A$989,1,0)</f>
        <v>0</v>
      </c>
      <c r="Z359" s="359">
        <f>IF(IF(Scharniere[[#This Row],[Anschrauben]]=1,1,IF(Scharniere[[#This Row],[Einpressen]]=1,2,IF(Scharniere[[#This Row],[Quick]]=1,3,IF(Scharniere[[#This Row],[Werkzeuglos]]=1,4,0))))=select!$A$1003,1,0)</f>
        <v>0</v>
      </c>
      <c r="AA3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59" s="359">
        <f ca="1">IF(select!$K$980="*",Scharniere[[#This Row],[AG Ges2]],Scharniere[[#This Row],[AG Ges1]])</f>
        <v>0</v>
      </c>
      <c r="AE359" s="451">
        <f ca="1">IF(AND(Scharniere[[#This Row],[Scharnierart]]=select!$A$1485,Scharniere[[#This Row],[Gruppenschlüssel]]=select!$B$1485)=TRUE,1,0)</f>
        <v>0</v>
      </c>
      <c r="AF359" s="451">
        <f ca="1">IF(AND(Scharniere[[#This Row],[Scharnierart]]=select!$A$1486,Scharniere[[#This Row],[Gruppenschlüssel]]=select!$B$1486)=TRUE,1,0)</f>
        <v>0</v>
      </c>
      <c r="AG359" s="451">
        <f ca="1">IF(AND(Scharniere[[#This Row],[Scharnierart]]=select!$A$1487,Scharniere[[#This Row],[Gruppenschlüssel]]=select!$B$1487)=TRUE,1,0)</f>
        <v>0</v>
      </c>
      <c r="AH359" s="451">
        <f ca="1">IF(AND(Scharniere[[#This Row],[Scharnierart]]=select!$A$1488,Scharniere[[#This Row],[Gruppenschlüssel]]=select!$B$1488)=TRUE,1,0)</f>
        <v>0</v>
      </c>
      <c r="AI359" s="451">
        <f ca="1">IF(SUM(Scharniere[[#This Row],[konf Scharnier 1]:[konf Scharnier 4]])&gt;0,1,0)</f>
        <v>0</v>
      </c>
      <c r="AJ359" s="451"/>
      <c r="AK359" s="451"/>
      <c r="AL359" s="451"/>
      <c r="AM359" s="451"/>
      <c r="AN359" s="451"/>
      <c r="AO359" s="146">
        <v>1</v>
      </c>
      <c r="AP359" s="146">
        <v>2</v>
      </c>
      <c r="AQ359" s="10" t="str">
        <f ca="1">Sprache!$A$113</f>
        <v>Tiomos Scharnier TS Impresso</v>
      </c>
      <c r="AR359" t="s">
        <v>93</v>
      </c>
      <c r="AS359" t="str">
        <f ca="1">Sprache!$A$116</f>
        <v>Tiomos Impresso Scharniere</v>
      </c>
      <c r="AT359">
        <v>0</v>
      </c>
      <c r="AU359" t="s">
        <v>3</v>
      </c>
      <c r="AV359">
        <v>120</v>
      </c>
      <c r="AW359" s="10">
        <v>1</v>
      </c>
      <c r="AX359">
        <v>0</v>
      </c>
      <c r="AY359">
        <v>0</v>
      </c>
      <c r="AZ359" s="10">
        <v>0</v>
      </c>
      <c r="BA359">
        <v>0</v>
      </c>
      <c r="BB359">
        <v>0</v>
      </c>
      <c r="BC359">
        <v>1</v>
      </c>
      <c r="BD359" s="143" t="s">
        <v>92</v>
      </c>
      <c r="BG359"/>
    </row>
    <row r="360" spans="1:59" ht="14.25" customHeight="1" x14ac:dyDescent="0.25">
      <c r="A360" s="37" t="str">
        <f>LEFT(Scharniere[[#This Row],[ArtikelNR]],4)</f>
        <v>F035</v>
      </c>
      <c r="B360" s="35" t="str">
        <f>MID(Scharniere[[#This Row],[ArtikelNR]],5,3)</f>
        <v>139</v>
      </c>
      <c r="C360" s="37" t="str">
        <f>RIGHT(Scharniere[[#This Row],[ArtikelNR]],3)</f>
        <v>456</v>
      </c>
      <c r="D360" s="35">
        <f>IF(AND(Scharniere[[#This Row],[Gruppenschlüssel]]=select!$A$44,Scharniere[[#This Row],[Scharnierart]]=1)=TRUE,1,0)</f>
        <v>0</v>
      </c>
      <c r="E3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0" s="35">
        <f>IF(select!$F$57=IF(Scharniere[[#This Row],[mit Dämpfung]]=1,1,IF(Scharniere[[#This Row],[ohne Dämpfung]]=1,2,IF(Scharniere[[#This Row],[ohne Feder]]=1,3,0))),1,0)</f>
        <v>1</v>
      </c>
      <c r="G360" s="35">
        <f>IF(Scharniere[[#This Row],[Bohrbild]]=select!$V$43,1,0)</f>
        <v>0</v>
      </c>
      <c r="H360" s="35">
        <f>IF(IF(Scharniere[[#This Row],[Anschrauben]]=1,1,IF(Scharniere[[#This Row],[Einpressen]]=1,2,IF(Scharniere[[#This Row],[Quick]]=1,3,IF(Scharniere[[#This Row],[Werkzeuglos]]=1,4,0))))=select!$F$48,1,0)</f>
        <v>0</v>
      </c>
      <c r="I3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0" s="149">
        <f>IF(AND(Scharniere[[#This Row],[Scharnierart]]=2,Scharniere[[#This Row],[Gruppenschlüssel]]=select!$A$318)=TRUE,1,0)</f>
        <v>0</v>
      </c>
      <c r="K360" s="221">
        <f ca="1">IF(select!$O$424&lt;6,1,0)</f>
        <v>1</v>
      </c>
      <c r="L360" s="139">
        <f>IF(select!$A$362=IF(Scharniere[[#This Row],[mit Dämpfung]]=1,1,IF(Scharniere[[#This Row],[ohne Dämpfung]]=1,2,IF(Scharniere[[#This Row],[ohne Feder]]=1,3,0))),1,0)</f>
        <v>0</v>
      </c>
      <c r="M360" s="135">
        <f>IF(Scharniere[[#This Row],[Bohrbild]]=select!$O$334,1,0)</f>
        <v>0</v>
      </c>
      <c r="N360" s="135">
        <f>IF(IF(Scharniere[[#This Row],[Anschrauben]]=1,1,IF(Scharniere[[#This Row],[Einpressen]]=1,2,IF(Scharniere[[#This Row],[Quick]]=1,3,IF(Scharniere[[#This Row],[Werkzeuglos]]=1,4,0))))=select!$E$362,1,0)</f>
        <v>0</v>
      </c>
      <c r="O3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0" s="298">
        <f>IF(AND(Scharniere[[#This Row],[Scharnierart]]=3,Scharniere[[#This Row],[Gruppenschlüssel]]=select!$A$747)=TRUE,1,0)</f>
        <v>0</v>
      </c>
      <c r="Q360" s="298">
        <f ca="1">IF(select!$O$945&lt;6,1,0)</f>
        <v>1</v>
      </c>
      <c r="R360" s="298">
        <f>IF(select!$A$778=IF(Scharniere[[#This Row],[mit Dämpfung]]=1,1,IF(Scharniere[[#This Row],[ohne Dämpfung]]=1,2,IF(Scharniere[[#This Row],[ohne Feder]]=1,3,0))),1,0)</f>
        <v>0</v>
      </c>
      <c r="S360" s="298">
        <f>IF(Scharniere[[#This Row],[Bohrbild]]=select!$A$755,1,0)</f>
        <v>0</v>
      </c>
      <c r="T360" s="298">
        <f>IF(IF(Scharniere[[#This Row],[Anschrauben]]=1,1,IF(Scharniere[[#This Row],[Einpressen]]=1,2,IF(Scharniere[[#This Row],[Quick]]=1,3,IF(Scharniere[[#This Row],[Werkzeuglos]]=1,4,0))))=select!$A$769,1,0)</f>
        <v>0</v>
      </c>
      <c r="U3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0" s="359">
        <f>IF(AND(Scharniere[[#This Row],[Scharnierart]]=4,Scharniere[[#This Row],[Gruppenschlüssel]]=select!$A$981)=TRUE,1,0)</f>
        <v>0</v>
      </c>
      <c r="W360" s="359">
        <f ca="1">IF(select!$O$1185&lt;6,1,0)</f>
        <v>1</v>
      </c>
      <c r="X360" s="359">
        <f>IF(select!$A$1012=IF(Scharniere[[#This Row],[mit Dämpfung]]=1,1,IF(Scharniere[[#This Row],[ohne Dämpfung]]=1,2,IF(Scharniere[[#This Row],[ohne Feder]]=1,3,0))),1,0)</f>
        <v>0</v>
      </c>
      <c r="Y360" s="359">
        <f>IF(Scharniere[[#This Row],[Bohrbild]]=select!$A$989,1,0)</f>
        <v>0</v>
      </c>
      <c r="Z360" s="359">
        <f>IF(IF(Scharniere[[#This Row],[Anschrauben]]=1,1,IF(Scharniere[[#This Row],[Einpressen]]=1,2,IF(Scharniere[[#This Row],[Quick]]=1,3,IF(Scharniere[[#This Row],[Werkzeuglos]]=1,4,0))))=select!$A$1003,1,0)</f>
        <v>0</v>
      </c>
      <c r="AA3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0" s="359">
        <f ca="1">IF(select!$K$980="*",Scharniere[[#This Row],[AG Ges2]],Scharniere[[#This Row],[AG Ges1]])</f>
        <v>0</v>
      </c>
      <c r="AE360" s="451">
        <f ca="1">IF(AND(Scharniere[[#This Row],[Scharnierart]]=select!$A$1485,Scharniere[[#This Row],[Gruppenschlüssel]]=select!$B$1485)=TRUE,1,0)</f>
        <v>0</v>
      </c>
      <c r="AF360" s="451">
        <f ca="1">IF(AND(Scharniere[[#This Row],[Scharnierart]]=select!$A$1486,Scharniere[[#This Row],[Gruppenschlüssel]]=select!$B$1486)=TRUE,1,0)</f>
        <v>0</v>
      </c>
      <c r="AG360" s="451">
        <f ca="1">IF(AND(Scharniere[[#This Row],[Scharnierart]]=select!$A$1487,Scharniere[[#This Row],[Gruppenschlüssel]]=select!$B$1487)=TRUE,1,0)</f>
        <v>0</v>
      </c>
      <c r="AH360" s="451">
        <f ca="1">IF(AND(Scharniere[[#This Row],[Scharnierart]]=select!$A$1488,Scharniere[[#This Row],[Gruppenschlüssel]]=select!$B$1488)=TRUE,1,0)</f>
        <v>0</v>
      </c>
      <c r="AI360" s="451">
        <f ca="1">IF(SUM(Scharniere[[#This Row],[konf Scharnier 1]:[konf Scharnier 4]])&gt;0,1,0)</f>
        <v>0</v>
      </c>
      <c r="AJ360" s="451"/>
      <c r="AK360" s="451"/>
      <c r="AL360" s="451"/>
      <c r="AM360" s="451"/>
      <c r="AN360" s="451"/>
      <c r="AO360" s="146">
        <v>1</v>
      </c>
      <c r="AP360" s="146">
        <v>2</v>
      </c>
      <c r="AQ360" s="10" t="str">
        <f ca="1">Sprache!$A$115</f>
        <v>Tiomos Scharnier TT Impresso</v>
      </c>
      <c r="AR360" t="s">
        <v>93</v>
      </c>
      <c r="AS360" t="str">
        <f ca="1">Sprache!$A$116</f>
        <v>Tiomos Impresso Scharniere</v>
      </c>
      <c r="AT360">
        <v>0</v>
      </c>
      <c r="AU360" s="34" t="s">
        <v>9</v>
      </c>
      <c r="AV360">
        <v>120</v>
      </c>
      <c r="AW360" s="10">
        <v>0</v>
      </c>
      <c r="AX360">
        <v>0</v>
      </c>
      <c r="AY360">
        <v>1</v>
      </c>
      <c r="AZ360" s="10">
        <v>0</v>
      </c>
      <c r="BA360">
        <v>0</v>
      </c>
      <c r="BB360">
        <v>0</v>
      </c>
      <c r="BC360">
        <v>1</v>
      </c>
      <c r="BD360" s="143" t="s">
        <v>199</v>
      </c>
      <c r="BG360"/>
    </row>
    <row r="361" spans="1:59" ht="14.25" customHeight="1" x14ac:dyDescent="0.25">
      <c r="A361" s="37" t="str">
        <f>LEFT(Scharniere[[#This Row],[ArtikelNR]],4)</f>
        <v>F035</v>
      </c>
      <c r="B361" s="35" t="str">
        <f>MID(Scharniere[[#This Row],[ArtikelNR]],5,3)</f>
        <v>139</v>
      </c>
      <c r="C361" s="37" t="str">
        <f>RIGHT(Scharniere[[#This Row],[ArtikelNR]],3)</f>
        <v>456</v>
      </c>
      <c r="D361" s="35">
        <f>IF(AND(Scharniere[[#This Row],[Gruppenschlüssel]]=select!$A$44,Scharniere[[#This Row],[Scharnierart]]=1)=TRUE,1,0)</f>
        <v>0</v>
      </c>
      <c r="E3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1" s="35">
        <f>IF(select!$F$57=IF(Scharniere[[#This Row],[mit Dämpfung]]=1,1,IF(Scharniere[[#This Row],[ohne Dämpfung]]=1,2,IF(Scharniere[[#This Row],[ohne Feder]]=1,3,0))),1,0)</f>
        <v>1</v>
      </c>
      <c r="G361" s="35">
        <f>IF(Scharniere[[#This Row],[Bohrbild]]=select!$V$43,1,0)</f>
        <v>0</v>
      </c>
      <c r="H361" s="35">
        <f>IF(IF(Scharniere[[#This Row],[Anschrauben]]=1,1,IF(Scharniere[[#This Row],[Einpressen]]=1,2,IF(Scharniere[[#This Row],[Quick]]=1,3,IF(Scharniere[[#This Row],[Werkzeuglos]]=1,4,0))))=select!$F$48,1,0)</f>
        <v>0</v>
      </c>
      <c r="I3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1" s="149">
        <f>IF(AND(Scharniere[[#This Row],[Scharnierart]]=2,Scharniere[[#This Row],[Gruppenschlüssel]]=select!$A$318)=TRUE,1,0)</f>
        <v>0</v>
      </c>
      <c r="K361" s="221">
        <f ca="1">IF(select!$O$424&lt;6,1,0)</f>
        <v>1</v>
      </c>
      <c r="L361" s="139">
        <f>IF(select!$A$362=IF(Scharniere[[#This Row],[mit Dämpfung]]=1,1,IF(Scharniere[[#This Row],[ohne Dämpfung]]=1,2,IF(Scharniere[[#This Row],[ohne Feder]]=1,3,0))),1,0)</f>
        <v>0</v>
      </c>
      <c r="M361" s="135">
        <f>IF(Scharniere[[#This Row],[Bohrbild]]=select!$O$334,1,0)</f>
        <v>0</v>
      </c>
      <c r="N361" s="135">
        <f>IF(IF(Scharniere[[#This Row],[Anschrauben]]=1,1,IF(Scharniere[[#This Row],[Einpressen]]=1,2,IF(Scharniere[[#This Row],[Quick]]=1,3,IF(Scharniere[[#This Row],[Werkzeuglos]]=1,4,0))))=select!$E$362,1,0)</f>
        <v>0</v>
      </c>
      <c r="O3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1" s="298">
        <f>IF(AND(Scharniere[[#This Row],[Scharnierart]]=3,Scharniere[[#This Row],[Gruppenschlüssel]]=select!$A$747)=TRUE,1,0)</f>
        <v>0</v>
      </c>
      <c r="Q361" s="298">
        <f ca="1">IF(select!$O$945&lt;6,1,0)</f>
        <v>1</v>
      </c>
      <c r="R361" s="298">
        <f>IF(select!$A$778=IF(Scharniere[[#This Row],[mit Dämpfung]]=1,1,IF(Scharniere[[#This Row],[ohne Dämpfung]]=1,2,IF(Scharniere[[#This Row],[ohne Feder]]=1,3,0))),1,0)</f>
        <v>0</v>
      </c>
      <c r="S361" s="298">
        <f>IF(Scharniere[[#This Row],[Bohrbild]]=select!$A$755,1,0)</f>
        <v>0</v>
      </c>
      <c r="T361" s="298">
        <f>IF(IF(Scharniere[[#This Row],[Anschrauben]]=1,1,IF(Scharniere[[#This Row],[Einpressen]]=1,2,IF(Scharniere[[#This Row],[Quick]]=1,3,IF(Scharniere[[#This Row],[Werkzeuglos]]=1,4,0))))=select!$A$769,1,0)</f>
        <v>0</v>
      </c>
      <c r="U3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1" s="359">
        <f>IF(AND(Scharniere[[#This Row],[Scharnierart]]=4,Scharniere[[#This Row],[Gruppenschlüssel]]=select!$A$981)=TRUE,1,0)</f>
        <v>0</v>
      </c>
      <c r="W361" s="359">
        <f ca="1">IF(select!$O$1185&lt;6,1,0)</f>
        <v>1</v>
      </c>
      <c r="X361" s="359">
        <f>IF(select!$A$1012=IF(Scharniere[[#This Row],[mit Dämpfung]]=1,1,IF(Scharniere[[#This Row],[ohne Dämpfung]]=1,2,IF(Scharniere[[#This Row],[ohne Feder]]=1,3,0))),1,0)</f>
        <v>0</v>
      </c>
      <c r="Y361" s="359">
        <f>IF(Scharniere[[#This Row],[Bohrbild]]=select!$A$989,1,0)</f>
        <v>0</v>
      </c>
      <c r="Z361" s="359">
        <f>IF(IF(Scharniere[[#This Row],[Anschrauben]]=1,1,IF(Scharniere[[#This Row],[Einpressen]]=1,2,IF(Scharniere[[#This Row],[Quick]]=1,3,IF(Scharniere[[#This Row],[Werkzeuglos]]=1,4,0))))=select!$A$1003,1,0)</f>
        <v>0</v>
      </c>
      <c r="AA3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1" s="359">
        <f ca="1">IF(select!$K$980="*",Scharniere[[#This Row],[AG Ges2]],Scharniere[[#This Row],[AG Ges1]])</f>
        <v>0</v>
      </c>
      <c r="AE361" s="451">
        <f ca="1">IF(AND(Scharniere[[#This Row],[Scharnierart]]=select!$A$1485,Scharniere[[#This Row],[Gruppenschlüssel]]=select!$B$1485)=TRUE,1,0)</f>
        <v>0</v>
      </c>
      <c r="AF361" s="451">
        <f ca="1">IF(AND(Scharniere[[#This Row],[Scharnierart]]=select!$A$1486,Scharniere[[#This Row],[Gruppenschlüssel]]=select!$B$1486)=TRUE,1,0)</f>
        <v>0</v>
      </c>
      <c r="AG361" s="451">
        <f ca="1">IF(AND(Scharniere[[#This Row],[Scharnierart]]=select!$A$1487,Scharniere[[#This Row],[Gruppenschlüssel]]=select!$B$1487)=TRUE,1,0)</f>
        <v>0</v>
      </c>
      <c r="AH361" s="451">
        <f ca="1">IF(AND(Scharniere[[#This Row],[Scharnierart]]=select!$A$1488,Scharniere[[#This Row],[Gruppenschlüssel]]=select!$B$1488)=TRUE,1,0)</f>
        <v>0</v>
      </c>
      <c r="AI361" s="451">
        <f ca="1">IF(SUM(Scharniere[[#This Row],[konf Scharnier 1]:[konf Scharnier 4]])&gt;0,1,0)</f>
        <v>0</v>
      </c>
      <c r="AJ361" s="451"/>
      <c r="AK361" s="451"/>
      <c r="AL361" s="451"/>
      <c r="AM361" s="451"/>
      <c r="AN361" s="451"/>
      <c r="AO361" s="146">
        <v>1</v>
      </c>
      <c r="AP361" s="146">
        <v>2</v>
      </c>
      <c r="AQ361" s="10" t="str">
        <f ca="1">Sprache!$A$115</f>
        <v>Tiomos Scharnier TT Impresso</v>
      </c>
      <c r="AR361" t="s">
        <v>93</v>
      </c>
      <c r="AS361" t="str">
        <f ca="1">Sprache!$A$116</f>
        <v>Tiomos Impresso Scharniere</v>
      </c>
      <c r="AT361">
        <v>0</v>
      </c>
      <c r="AU361" t="s">
        <v>3</v>
      </c>
      <c r="AV361">
        <v>120</v>
      </c>
      <c r="AW361" s="10">
        <v>0</v>
      </c>
      <c r="AX361">
        <v>0</v>
      </c>
      <c r="AY361">
        <v>1</v>
      </c>
      <c r="AZ361" s="10">
        <v>0</v>
      </c>
      <c r="BA361">
        <v>0</v>
      </c>
      <c r="BB361">
        <v>0</v>
      </c>
      <c r="BC361">
        <v>1</v>
      </c>
      <c r="BD361" s="143" t="s">
        <v>199</v>
      </c>
      <c r="BG361"/>
    </row>
    <row r="362" spans="1:59" ht="14.25" customHeight="1" x14ac:dyDescent="0.25">
      <c r="A362" s="37" t="str">
        <f>LEFT(Scharniere[[#This Row],[ArtikelNR]],4)</f>
        <v>F045</v>
      </c>
      <c r="B362" s="35" t="str">
        <f>MID(Scharniere[[#This Row],[ArtikelNR]],5,3)</f>
        <v>138</v>
      </c>
      <c r="C362" s="37" t="str">
        <f>RIGHT(Scharniere[[#This Row],[ArtikelNR]],3)</f>
        <v>671</v>
      </c>
      <c r="D362" s="35">
        <f>IF(AND(Scharniere[[#This Row],[Gruppenschlüssel]]=select!$A$44,Scharniere[[#This Row],[Scharnierart]]=1)=TRUE,1,0)</f>
        <v>0</v>
      </c>
      <c r="E3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2" s="35">
        <f>IF(select!$F$57=IF(Scharniere[[#This Row],[mit Dämpfung]]=1,1,IF(Scharniere[[#This Row],[ohne Dämpfung]]=1,2,IF(Scharniere[[#This Row],[ohne Feder]]=1,3,0))),1,0)</f>
        <v>0</v>
      </c>
      <c r="G362" s="35">
        <f>IF(Scharniere[[#This Row],[Bohrbild]]=select!$V$43,1,0)</f>
        <v>0</v>
      </c>
      <c r="H362" s="35">
        <f>IF(IF(Scharniere[[#This Row],[Anschrauben]]=1,1,IF(Scharniere[[#This Row],[Einpressen]]=1,2,IF(Scharniere[[#This Row],[Quick]]=1,3,IF(Scharniere[[#This Row],[Werkzeuglos]]=1,4,0))))=select!$F$48,1,0)</f>
        <v>1</v>
      </c>
      <c r="I3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2" s="149">
        <f>IF(AND(Scharniere[[#This Row],[Scharnierart]]=2,Scharniere[[#This Row],[Gruppenschlüssel]]=select!$A$318)=TRUE,1,0)</f>
        <v>0</v>
      </c>
      <c r="K362" s="221">
        <f ca="1">IF(select!$O$424&lt;6,1,0)</f>
        <v>1</v>
      </c>
      <c r="L362" s="139">
        <f>IF(select!$A$362=IF(Scharniere[[#This Row],[mit Dämpfung]]=1,1,IF(Scharniere[[#This Row],[ohne Dämpfung]]=1,2,IF(Scharniere[[#This Row],[ohne Feder]]=1,3,0))),1,0)</f>
        <v>0</v>
      </c>
      <c r="M362" s="135">
        <f>IF(Scharniere[[#This Row],[Bohrbild]]=select!$O$334,1,0)</f>
        <v>0</v>
      </c>
      <c r="N362" s="135">
        <f>IF(IF(Scharniere[[#This Row],[Anschrauben]]=1,1,IF(Scharniere[[#This Row],[Einpressen]]=1,2,IF(Scharniere[[#This Row],[Quick]]=1,3,IF(Scharniere[[#This Row],[Werkzeuglos]]=1,4,0))))=select!$E$362,1,0)</f>
        <v>0</v>
      </c>
      <c r="O3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2" s="298">
        <f>IF(AND(Scharniere[[#This Row],[Scharnierart]]=3,Scharniere[[#This Row],[Gruppenschlüssel]]=select!$A$747)=TRUE,1,0)</f>
        <v>0</v>
      </c>
      <c r="Q362" s="298">
        <f ca="1">IF(select!$O$945&lt;6,1,0)</f>
        <v>1</v>
      </c>
      <c r="R362" s="298">
        <f>IF(select!$A$778=IF(Scharniere[[#This Row],[mit Dämpfung]]=1,1,IF(Scharniere[[#This Row],[ohne Dämpfung]]=1,2,IF(Scharniere[[#This Row],[ohne Feder]]=1,3,0))),1,0)</f>
        <v>1</v>
      </c>
      <c r="S362" s="298">
        <f>IF(Scharniere[[#This Row],[Bohrbild]]=select!$A$755,1,0)</f>
        <v>0</v>
      </c>
      <c r="T362" s="298">
        <f>IF(IF(Scharniere[[#This Row],[Anschrauben]]=1,1,IF(Scharniere[[#This Row],[Einpressen]]=1,2,IF(Scharniere[[#This Row],[Quick]]=1,3,IF(Scharniere[[#This Row],[Werkzeuglos]]=1,4,0))))=select!$A$769,1,0)</f>
        <v>0</v>
      </c>
      <c r="U3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2" s="359">
        <f>IF(AND(Scharniere[[#This Row],[Scharnierart]]=4,Scharniere[[#This Row],[Gruppenschlüssel]]=select!$A$981)=TRUE,1,0)</f>
        <v>0</v>
      </c>
      <c r="W362" s="359">
        <f ca="1">IF(select!$O$1185&lt;6,1,0)</f>
        <v>1</v>
      </c>
      <c r="X362" s="359">
        <f>IF(select!$A$1012=IF(Scharniere[[#This Row],[mit Dämpfung]]=1,1,IF(Scharniere[[#This Row],[ohne Dämpfung]]=1,2,IF(Scharniere[[#This Row],[ohne Feder]]=1,3,0))),1,0)</f>
        <v>1</v>
      </c>
      <c r="Y362" s="359">
        <f>IF(Scharniere[[#This Row],[Bohrbild]]=select!$A$989,1,0)</f>
        <v>0</v>
      </c>
      <c r="Z362" s="359">
        <f>IF(IF(Scharniere[[#This Row],[Anschrauben]]=1,1,IF(Scharniere[[#This Row],[Einpressen]]=1,2,IF(Scharniere[[#This Row],[Quick]]=1,3,IF(Scharniere[[#This Row],[Werkzeuglos]]=1,4,0))))=select!$A$1003,1,0)</f>
        <v>0</v>
      </c>
      <c r="AA3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2" s="359">
        <f ca="1">IF(select!$K$980="*",Scharniere[[#This Row],[AG Ges2]],Scharniere[[#This Row],[AG Ges1]])</f>
        <v>0</v>
      </c>
      <c r="AE362" s="451">
        <f ca="1">IF(AND(Scharniere[[#This Row],[Scharnierart]]=select!$A$1485,Scharniere[[#This Row],[Gruppenschlüssel]]=select!$B$1485)=TRUE,1,0)</f>
        <v>0</v>
      </c>
      <c r="AF362" s="451">
        <f ca="1">IF(AND(Scharniere[[#This Row],[Scharnierart]]=select!$A$1486,Scharniere[[#This Row],[Gruppenschlüssel]]=select!$B$1486)=TRUE,1,0)</f>
        <v>0</v>
      </c>
      <c r="AG362" s="451">
        <f ca="1">IF(AND(Scharniere[[#This Row],[Scharnierart]]=select!$A$1487,Scharniere[[#This Row],[Gruppenschlüssel]]=select!$B$1487)=TRUE,1,0)</f>
        <v>0</v>
      </c>
      <c r="AH362" s="451">
        <f ca="1">IF(AND(Scharniere[[#This Row],[Scharnierart]]=select!$A$1488,Scharniere[[#This Row],[Gruppenschlüssel]]=select!$B$1488)=TRUE,1,0)</f>
        <v>0</v>
      </c>
      <c r="AI362" s="451">
        <f ca="1">IF(SUM(Scharniere[[#This Row],[konf Scharnier 1]:[konf Scharnier 4]])&gt;0,1,0)</f>
        <v>0</v>
      </c>
      <c r="AJ362" s="451"/>
      <c r="AK362" s="451"/>
      <c r="AL362" s="451"/>
      <c r="AM362" s="451"/>
      <c r="AN362" s="451"/>
      <c r="AO362" s="146">
        <v>1</v>
      </c>
      <c r="AP362" s="146">
        <v>2</v>
      </c>
      <c r="AQ362" s="10" t="str">
        <f ca="1">Sprache!$A$110</f>
        <v>Tiomos Scharnier T Click-on</v>
      </c>
      <c r="AR362" t="str">
        <f ca="1">"120°, H-BB, K00, "&amp;Sprache!A181&amp;", ni"</f>
        <v>120°, H-BB, K00, Dübel, ni</v>
      </c>
      <c r="AS362" t="str">
        <f ca="1">Sprache!$A$103</f>
        <v>Tiomos Click-On Scharniere</v>
      </c>
      <c r="AT362">
        <v>0</v>
      </c>
      <c r="AU362" t="s">
        <v>10</v>
      </c>
      <c r="AV362">
        <v>120</v>
      </c>
      <c r="AW362" s="10">
        <v>0</v>
      </c>
      <c r="AX362">
        <v>1</v>
      </c>
      <c r="AY362">
        <v>0</v>
      </c>
      <c r="AZ362" s="10">
        <v>0</v>
      </c>
      <c r="BA362">
        <v>1</v>
      </c>
      <c r="BB362">
        <v>0</v>
      </c>
      <c r="BC362">
        <v>0</v>
      </c>
      <c r="BD362" s="143" t="s">
        <v>525</v>
      </c>
      <c r="BG362"/>
    </row>
    <row r="363" spans="1:59" ht="14.25" customHeight="1" x14ac:dyDescent="0.25">
      <c r="A363" s="37" t="str">
        <f>LEFT(Scharniere[[#This Row],[ArtikelNR]],4)</f>
        <v>F028</v>
      </c>
      <c r="B363" s="35" t="str">
        <f>MID(Scharniere[[#This Row],[ArtikelNR]],5,3)</f>
        <v>138</v>
      </c>
      <c r="C363" s="37" t="str">
        <f>RIGHT(Scharniere[[#This Row],[ArtikelNR]],3)</f>
        <v>733</v>
      </c>
      <c r="D363" s="35">
        <f>IF(AND(Scharniere[[#This Row],[Gruppenschlüssel]]=select!$A$44,Scharniere[[#This Row],[Scharnierart]]=1)=TRUE,1,0)</f>
        <v>0</v>
      </c>
      <c r="E3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3" s="35">
        <f>IF(select!$F$57=IF(Scharniere[[#This Row],[mit Dämpfung]]=1,1,IF(Scharniere[[#This Row],[ohne Dämpfung]]=1,2,IF(Scharniere[[#This Row],[ohne Feder]]=1,3,0))),1,0)</f>
        <v>0</v>
      </c>
      <c r="G363" s="35">
        <f>IF(Scharniere[[#This Row],[Bohrbild]]=select!$V$43,1,0)</f>
        <v>0</v>
      </c>
      <c r="H363" s="35">
        <f>IF(IF(Scharniere[[#This Row],[Anschrauben]]=1,1,IF(Scharniere[[#This Row],[Einpressen]]=1,2,IF(Scharniere[[#This Row],[Quick]]=1,3,IF(Scharniere[[#This Row],[Werkzeuglos]]=1,4,0))))=select!$F$48,1,0)</f>
        <v>1</v>
      </c>
      <c r="I3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3" s="149">
        <f>IF(AND(Scharniere[[#This Row],[Scharnierart]]=2,Scharniere[[#This Row],[Gruppenschlüssel]]=select!$A$318)=TRUE,1,0)</f>
        <v>0</v>
      </c>
      <c r="K363" s="221">
        <f ca="1">IF(select!$O$424&lt;6,1,0)</f>
        <v>1</v>
      </c>
      <c r="L363" s="139">
        <f>IF(select!$A$362=IF(Scharniere[[#This Row],[mit Dämpfung]]=1,1,IF(Scharniere[[#This Row],[ohne Dämpfung]]=1,2,IF(Scharniere[[#This Row],[ohne Feder]]=1,3,0))),1,0)</f>
        <v>1</v>
      </c>
      <c r="M363" s="135">
        <f>IF(Scharniere[[#This Row],[Bohrbild]]=select!$O$334,1,0)</f>
        <v>0</v>
      </c>
      <c r="N363" s="135">
        <f>IF(IF(Scharniere[[#This Row],[Anschrauben]]=1,1,IF(Scharniere[[#This Row],[Einpressen]]=1,2,IF(Scharniere[[#This Row],[Quick]]=1,3,IF(Scharniere[[#This Row],[Werkzeuglos]]=1,4,0))))=select!$E$362,1,0)</f>
        <v>0</v>
      </c>
      <c r="O3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3" s="298">
        <f>IF(AND(Scharniere[[#This Row],[Scharnierart]]=3,Scharniere[[#This Row],[Gruppenschlüssel]]=select!$A$747)=TRUE,1,0)</f>
        <v>0</v>
      </c>
      <c r="Q363" s="298">
        <f ca="1">IF(select!$O$945&lt;6,1,0)</f>
        <v>1</v>
      </c>
      <c r="R363" s="298">
        <f>IF(select!$A$778=IF(Scharniere[[#This Row],[mit Dämpfung]]=1,1,IF(Scharniere[[#This Row],[ohne Dämpfung]]=1,2,IF(Scharniere[[#This Row],[ohne Feder]]=1,3,0))),1,0)</f>
        <v>0</v>
      </c>
      <c r="S363" s="298">
        <f>IF(Scharniere[[#This Row],[Bohrbild]]=select!$A$755,1,0)</f>
        <v>0</v>
      </c>
      <c r="T363" s="298">
        <f>IF(IF(Scharniere[[#This Row],[Anschrauben]]=1,1,IF(Scharniere[[#This Row],[Einpressen]]=1,2,IF(Scharniere[[#This Row],[Quick]]=1,3,IF(Scharniere[[#This Row],[Werkzeuglos]]=1,4,0))))=select!$A$769,1,0)</f>
        <v>0</v>
      </c>
      <c r="U3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3" s="359">
        <f>IF(AND(Scharniere[[#This Row],[Scharnierart]]=4,Scharniere[[#This Row],[Gruppenschlüssel]]=select!$A$981)=TRUE,1,0)</f>
        <v>0</v>
      </c>
      <c r="W363" s="359">
        <f ca="1">IF(select!$O$1185&lt;6,1,0)</f>
        <v>1</v>
      </c>
      <c r="X363" s="359">
        <f>IF(select!$A$1012=IF(Scharniere[[#This Row],[mit Dämpfung]]=1,1,IF(Scharniere[[#This Row],[ohne Dämpfung]]=1,2,IF(Scharniere[[#This Row],[ohne Feder]]=1,3,0))),1,0)</f>
        <v>0</v>
      </c>
      <c r="Y363" s="359">
        <f>IF(Scharniere[[#This Row],[Bohrbild]]=select!$A$989,1,0)</f>
        <v>0</v>
      </c>
      <c r="Z363" s="359">
        <f>IF(IF(Scharniere[[#This Row],[Anschrauben]]=1,1,IF(Scharniere[[#This Row],[Einpressen]]=1,2,IF(Scharniere[[#This Row],[Quick]]=1,3,IF(Scharniere[[#This Row],[Werkzeuglos]]=1,4,0))))=select!$A$1003,1,0)</f>
        <v>0</v>
      </c>
      <c r="AA3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3" s="359">
        <f ca="1">IF(select!$K$980="*",Scharniere[[#This Row],[AG Ges2]],Scharniere[[#This Row],[AG Ges1]])</f>
        <v>0</v>
      </c>
      <c r="AE363" s="451">
        <f ca="1">IF(AND(Scharniere[[#This Row],[Scharnierart]]=select!$A$1485,Scharniere[[#This Row],[Gruppenschlüssel]]=select!$B$1485)=TRUE,1,0)</f>
        <v>0</v>
      </c>
      <c r="AF363" s="451">
        <f ca="1">IF(AND(Scharniere[[#This Row],[Scharnierart]]=select!$A$1486,Scharniere[[#This Row],[Gruppenschlüssel]]=select!$B$1486)=TRUE,1,0)</f>
        <v>0</v>
      </c>
      <c r="AG363" s="451">
        <f ca="1">IF(AND(Scharniere[[#This Row],[Scharnierart]]=select!$A$1487,Scharniere[[#This Row],[Gruppenschlüssel]]=select!$B$1487)=TRUE,1,0)</f>
        <v>0</v>
      </c>
      <c r="AH363" s="451">
        <f ca="1">IF(AND(Scharniere[[#This Row],[Scharnierart]]=select!$A$1488,Scharniere[[#This Row],[Gruppenschlüssel]]=select!$B$1488)=TRUE,1,0)</f>
        <v>0</v>
      </c>
      <c r="AI363" s="451">
        <f ca="1">IF(SUM(Scharniere[[#This Row],[konf Scharnier 1]:[konf Scharnier 4]])&gt;0,1,0)</f>
        <v>0</v>
      </c>
      <c r="AJ363" s="451"/>
      <c r="AK363" s="451"/>
      <c r="AL363" s="451"/>
      <c r="AM363" s="451"/>
      <c r="AN363" s="451"/>
      <c r="AO363" s="146">
        <v>1</v>
      </c>
      <c r="AP363" s="146">
        <v>2</v>
      </c>
      <c r="AQ363" s="10" t="str">
        <f ca="1">Sprache!$A$112</f>
        <v>Tiomos Scharnier TS Click-on</v>
      </c>
      <c r="AR363" t="str">
        <f ca="1">"120°, H-BB, K00, "&amp;Sprache!A181&amp;", ni"</f>
        <v>120°, H-BB, K00, Dübel, ni</v>
      </c>
      <c r="AS363" t="str">
        <f ca="1">Sprache!$A$103</f>
        <v>Tiomos Click-On Scharniere</v>
      </c>
      <c r="AT363">
        <v>0</v>
      </c>
      <c r="AU363" t="s">
        <v>10</v>
      </c>
      <c r="AV363">
        <v>120</v>
      </c>
      <c r="AW363" s="10">
        <v>1</v>
      </c>
      <c r="AX363">
        <v>0</v>
      </c>
      <c r="AY363">
        <v>0</v>
      </c>
      <c r="AZ363" s="10">
        <v>0</v>
      </c>
      <c r="BA363">
        <v>1</v>
      </c>
      <c r="BB363">
        <v>0</v>
      </c>
      <c r="BC363">
        <v>0</v>
      </c>
      <c r="BD363" s="143" t="s">
        <v>357</v>
      </c>
      <c r="BG363"/>
    </row>
    <row r="364" spans="1:59" ht="14.25" customHeight="1" x14ac:dyDescent="0.25">
      <c r="A364" s="37" t="str">
        <f>LEFT(Scharniere[[#This Row],[ArtikelNR]],4)</f>
        <v>F046</v>
      </c>
      <c r="B364" s="35" t="str">
        <f>MID(Scharniere[[#This Row],[ArtikelNR]],5,3)</f>
        <v>138</v>
      </c>
      <c r="C364" s="37" t="str">
        <f>RIGHT(Scharniere[[#This Row],[ArtikelNR]],3)</f>
        <v>793</v>
      </c>
      <c r="D364" s="35">
        <f>IF(AND(Scharniere[[#This Row],[Gruppenschlüssel]]=select!$A$44,Scharniere[[#This Row],[Scharnierart]]=1)=TRUE,1,0)</f>
        <v>0</v>
      </c>
      <c r="E3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4" s="35">
        <f>IF(select!$F$57=IF(Scharniere[[#This Row],[mit Dämpfung]]=1,1,IF(Scharniere[[#This Row],[ohne Dämpfung]]=1,2,IF(Scharniere[[#This Row],[ohne Feder]]=1,3,0))),1,0)</f>
        <v>1</v>
      </c>
      <c r="G364" s="35">
        <f>IF(Scharniere[[#This Row],[Bohrbild]]=select!$V$43,1,0)</f>
        <v>0</v>
      </c>
      <c r="H364" s="35">
        <f>IF(IF(Scharniere[[#This Row],[Anschrauben]]=1,1,IF(Scharniere[[#This Row],[Einpressen]]=1,2,IF(Scharniere[[#This Row],[Quick]]=1,3,IF(Scharniere[[#This Row],[Werkzeuglos]]=1,4,0))))=select!$F$48,1,0)</f>
        <v>1</v>
      </c>
      <c r="I3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4" s="149">
        <f>IF(AND(Scharniere[[#This Row],[Scharnierart]]=2,Scharniere[[#This Row],[Gruppenschlüssel]]=select!$A$318)=TRUE,1,0)</f>
        <v>0</v>
      </c>
      <c r="K364" s="221">
        <f ca="1">IF(select!$O$424&lt;6,1,0)</f>
        <v>1</v>
      </c>
      <c r="L364" s="139">
        <f>IF(select!$A$362=IF(Scharniere[[#This Row],[mit Dämpfung]]=1,1,IF(Scharniere[[#This Row],[ohne Dämpfung]]=1,2,IF(Scharniere[[#This Row],[ohne Feder]]=1,3,0))),1,0)</f>
        <v>0</v>
      </c>
      <c r="M364" s="135">
        <f>IF(Scharniere[[#This Row],[Bohrbild]]=select!$O$334,1,0)</f>
        <v>0</v>
      </c>
      <c r="N364" s="135">
        <f>IF(IF(Scharniere[[#This Row],[Anschrauben]]=1,1,IF(Scharniere[[#This Row],[Einpressen]]=1,2,IF(Scharniere[[#This Row],[Quick]]=1,3,IF(Scharniere[[#This Row],[Werkzeuglos]]=1,4,0))))=select!$E$362,1,0)</f>
        <v>0</v>
      </c>
      <c r="O3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4" s="298">
        <f>IF(AND(Scharniere[[#This Row],[Scharnierart]]=3,Scharniere[[#This Row],[Gruppenschlüssel]]=select!$A$747)=TRUE,1,0)</f>
        <v>0</v>
      </c>
      <c r="Q364" s="298">
        <f ca="1">IF(select!$O$945&lt;6,1,0)</f>
        <v>1</v>
      </c>
      <c r="R364" s="298">
        <f>IF(select!$A$778=IF(Scharniere[[#This Row],[mit Dämpfung]]=1,1,IF(Scharniere[[#This Row],[ohne Dämpfung]]=1,2,IF(Scharniere[[#This Row],[ohne Feder]]=1,3,0))),1,0)</f>
        <v>0</v>
      </c>
      <c r="S364" s="298">
        <f>IF(Scharniere[[#This Row],[Bohrbild]]=select!$A$755,1,0)</f>
        <v>0</v>
      </c>
      <c r="T364" s="298">
        <f>IF(IF(Scharniere[[#This Row],[Anschrauben]]=1,1,IF(Scharniere[[#This Row],[Einpressen]]=1,2,IF(Scharniere[[#This Row],[Quick]]=1,3,IF(Scharniere[[#This Row],[Werkzeuglos]]=1,4,0))))=select!$A$769,1,0)</f>
        <v>0</v>
      </c>
      <c r="U3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4" s="359">
        <f>IF(AND(Scharniere[[#This Row],[Scharnierart]]=4,Scharniere[[#This Row],[Gruppenschlüssel]]=select!$A$981)=TRUE,1,0)</f>
        <v>0</v>
      </c>
      <c r="W364" s="359">
        <f ca="1">IF(select!$O$1185&lt;6,1,0)</f>
        <v>1</v>
      </c>
      <c r="X364" s="359">
        <f>IF(select!$A$1012=IF(Scharniere[[#This Row],[mit Dämpfung]]=1,1,IF(Scharniere[[#This Row],[ohne Dämpfung]]=1,2,IF(Scharniere[[#This Row],[ohne Feder]]=1,3,0))),1,0)</f>
        <v>0</v>
      </c>
      <c r="Y364" s="359">
        <f>IF(Scharniere[[#This Row],[Bohrbild]]=select!$A$989,1,0)</f>
        <v>0</v>
      </c>
      <c r="Z364" s="359">
        <f>IF(IF(Scharniere[[#This Row],[Anschrauben]]=1,1,IF(Scharniere[[#This Row],[Einpressen]]=1,2,IF(Scharniere[[#This Row],[Quick]]=1,3,IF(Scharniere[[#This Row],[Werkzeuglos]]=1,4,0))))=select!$A$1003,1,0)</f>
        <v>0</v>
      </c>
      <c r="AA3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4" s="359">
        <f ca="1">IF(select!$K$980="*",Scharniere[[#This Row],[AG Ges2]],Scharniere[[#This Row],[AG Ges1]])</f>
        <v>0</v>
      </c>
      <c r="AE364" s="451">
        <f ca="1">IF(AND(Scharniere[[#This Row],[Scharnierart]]=select!$A$1485,Scharniere[[#This Row],[Gruppenschlüssel]]=select!$B$1485)=TRUE,1,0)</f>
        <v>0</v>
      </c>
      <c r="AF364" s="451">
        <f ca="1">IF(AND(Scharniere[[#This Row],[Scharnierart]]=select!$A$1486,Scharniere[[#This Row],[Gruppenschlüssel]]=select!$B$1486)=TRUE,1,0)</f>
        <v>0</v>
      </c>
      <c r="AG364" s="451">
        <f ca="1">IF(AND(Scharniere[[#This Row],[Scharnierart]]=select!$A$1487,Scharniere[[#This Row],[Gruppenschlüssel]]=select!$B$1487)=TRUE,1,0)</f>
        <v>0</v>
      </c>
      <c r="AH364" s="451">
        <f ca="1">IF(AND(Scharniere[[#This Row],[Scharnierart]]=select!$A$1488,Scharniere[[#This Row],[Gruppenschlüssel]]=select!$B$1488)=TRUE,1,0)</f>
        <v>0</v>
      </c>
      <c r="AI364" s="451">
        <f ca="1">IF(SUM(Scharniere[[#This Row],[konf Scharnier 1]:[konf Scharnier 4]])&gt;0,1,0)</f>
        <v>0</v>
      </c>
      <c r="AJ364" s="451"/>
      <c r="AK364" s="451"/>
      <c r="AL364" s="451"/>
      <c r="AM364" s="451"/>
      <c r="AN364" s="451"/>
      <c r="AO364" s="146">
        <v>1</v>
      </c>
      <c r="AP364" s="146">
        <v>2</v>
      </c>
      <c r="AQ364" s="10" t="str">
        <f ca="1">Sprache!$A$114</f>
        <v>Tiomos Scharnier TT Click-on</v>
      </c>
      <c r="AR364" t="str">
        <f ca="1">"120°, H-BB, K00, "&amp;Sprache!A181&amp;", ni"</f>
        <v>120°, H-BB, K00, Dübel, ni</v>
      </c>
      <c r="AS364" t="str">
        <f ca="1">Sprache!$A$103</f>
        <v>Tiomos Click-On Scharniere</v>
      </c>
      <c r="AT364">
        <v>0</v>
      </c>
      <c r="AU364" s="34" t="s">
        <v>10</v>
      </c>
      <c r="AV364">
        <v>120</v>
      </c>
      <c r="AW364" s="10">
        <v>0</v>
      </c>
      <c r="AX364">
        <v>0</v>
      </c>
      <c r="AY364">
        <v>1</v>
      </c>
      <c r="AZ364" s="10">
        <v>0</v>
      </c>
      <c r="BA364">
        <v>1</v>
      </c>
      <c r="BB364">
        <v>0</v>
      </c>
      <c r="BC364">
        <v>0</v>
      </c>
      <c r="BD364" s="143" t="s">
        <v>677</v>
      </c>
      <c r="BG364"/>
    </row>
    <row r="365" spans="1:59" ht="14.25" customHeight="1" x14ac:dyDescent="0.25">
      <c r="A365" s="37" t="str">
        <f>LEFT(Scharniere[[#This Row],[ArtikelNR]],4)</f>
        <v>F045</v>
      </c>
      <c r="B365" s="35" t="str">
        <f>MID(Scharniere[[#This Row],[ArtikelNR]],5,3)</f>
        <v>138</v>
      </c>
      <c r="C365" s="37" t="str">
        <f>RIGHT(Scharniere[[#This Row],[ArtikelNR]],3)</f>
        <v>667</v>
      </c>
      <c r="D365" s="35">
        <f>IF(AND(Scharniere[[#This Row],[Gruppenschlüssel]]=select!$A$44,Scharniere[[#This Row],[Scharnierart]]=1)=TRUE,1,0)</f>
        <v>0</v>
      </c>
      <c r="E3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5" s="35">
        <f>IF(select!$F$57=IF(Scharniere[[#This Row],[mit Dämpfung]]=1,1,IF(Scharniere[[#This Row],[ohne Dämpfung]]=1,2,IF(Scharniere[[#This Row],[ohne Feder]]=1,3,0))),1,0)</f>
        <v>0</v>
      </c>
      <c r="G365" s="35">
        <f>IF(Scharniere[[#This Row],[Bohrbild]]=select!$V$43,1,0)</f>
        <v>0</v>
      </c>
      <c r="H365" s="35">
        <f>IF(IF(Scharniere[[#This Row],[Anschrauben]]=1,1,IF(Scharniere[[#This Row],[Einpressen]]=1,2,IF(Scharniere[[#This Row],[Quick]]=1,3,IF(Scharniere[[#This Row],[Werkzeuglos]]=1,4,0))))=select!$F$48,1,0)</f>
        <v>0</v>
      </c>
      <c r="I3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5" s="149">
        <f>IF(AND(Scharniere[[#This Row],[Scharnierart]]=2,Scharniere[[#This Row],[Gruppenschlüssel]]=select!$A$318)=TRUE,1,0)</f>
        <v>0</v>
      </c>
      <c r="K365" s="221">
        <f ca="1">IF(select!$O$424&lt;6,1,0)</f>
        <v>1</v>
      </c>
      <c r="L365" s="139">
        <f>IF(select!$A$362=IF(Scharniere[[#This Row],[mit Dämpfung]]=1,1,IF(Scharniere[[#This Row],[ohne Dämpfung]]=1,2,IF(Scharniere[[#This Row],[ohne Feder]]=1,3,0))),1,0)</f>
        <v>0</v>
      </c>
      <c r="M365" s="135">
        <f>IF(Scharniere[[#This Row],[Bohrbild]]=select!$O$334,1,0)</f>
        <v>0</v>
      </c>
      <c r="N365" s="135">
        <f>IF(IF(Scharniere[[#This Row],[Anschrauben]]=1,1,IF(Scharniere[[#This Row],[Einpressen]]=1,2,IF(Scharniere[[#This Row],[Quick]]=1,3,IF(Scharniere[[#This Row],[Werkzeuglos]]=1,4,0))))=select!$E$362,1,0)</f>
        <v>1</v>
      </c>
      <c r="O3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5" s="298">
        <f>IF(AND(Scharniere[[#This Row],[Scharnierart]]=3,Scharniere[[#This Row],[Gruppenschlüssel]]=select!$A$747)=TRUE,1,0)</f>
        <v>0</v>
      </c>
      <c r="Q365" s="298">
        <f ca="1">IF(select!$O$945&lt;6,1,0)</f>
        <v>1</v>
      </c>
      <c r="R365" s="298">
        <f>IF(select!$A$778=IF(Scharniere[[#This Row],[mit Dämpfung]]=1,1,IF(Scharniere[[#This Row],[ohne Dämpfung]]=1,2,IF(Scharniere[[#This Row],[ohne Feder]]=1,3,0))),1,0)</f>
        <v>1</v>
      </c>
      <c r="S365" s="298">
        <f>IF(Scharniere[[#This Row],[Bohrbild]]=select!$A$755,1,0)</f>
        <v>0</v>
      </c>
      <c r="T365" s="298">
        <f>IF(IF(Scharniere[[#This Row],[Anschrauben]]=1,1,IF(Scharniere[[#This Row],[Einpressen]]=1,2,IF(Scharniere[[#This Row],[Quick]]=1,3,IF(Scharniere[[#This Row],[Werkzeuglos]]=1,4,0))))=select!$A$769,1,0)</f>
        <v>1</v>
      </c>
      <c r="U3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5" s="359">
        <f>IF(AND(Scharniere[[#This Row],[Scharnierart]]=4,Scharniere[[#This Row],[Gruppenschlüssel]]=select!$A$981)=TRUE,1,0)</f>
        <v>0</v>
      </c>
      <c r="W365" s="359">
        <f ca="1">IF(select!$O$1185&lt;6,1,0)</f>
        <v>1</v>
      </c>
      <c r="X365" s="359">
        <f>IF(select!$A$1012=IF(Scharniere[[#This Row],[mit Dämpfung]]=1,1,IF(Scharniere[[#This Row],[ohne Dämpfung]]=1,2,IF(Scharniere[[#This Row],[ohne Feder]]=1,3,0))),1,0)</f>
        <v>1</v>
      </c>
      <c r="Y365" s="359">
        <f>IF(Scharniere[[#This Row],[Bohrbild]]=select!$A$989,1,0)</f>
        <v>0</v>
      </c>
      <c r="Z365" s="359">
        <f>IF(IF(Scharniere[[#This Row],[Anschrauben]]=1,1,IF(Scharniere[[#This Row],[Einpressen]]=1,2,IF(Scharniere[[#This Row],[Quick]]=1,3,IF(Scharniere[[#This Row],[Werkzeuglos]]=1,4,0))))=select!$A$1003,1,0)</f>
        <v>1</v>
      </c>
      <c r="AA3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5" s="359">
        <f ca="1">IF(select!$K$980="*",Scharniere[[#This Row],[AG Ges2]],Scharniere[[#This Row],[AG Ges1]])</f>
        <v>0</v>
      </c>
      <c r="AE365" s="451">
        <f ca="1">IF(AND(Scharniere[[#This Row],[Scharnierart]]=select!$A$1485,Scharniere[[#This Row],[Gruppenschlüssel]]=select!$B$1485)=TRUE,1,0)</f>
        <v>0</v>
      </c>
      <c r="AF365" s="451">
        <f ca="1">IF(AND(Scharniere[[#This Row],[Scharnierart]]=select!$A$1486,Scharniere[[#This Row],[Gruppenschlüssel]]=select!$B$1486)=TRUE,1,0)</f>
        <v>0</v>
      </c>
      <c r="AG365" s="451">
        <f ca="1">IF(AND(Scharniere[[#This Row],[Scharnierart]]=select!$A$1487,Scharniere[[#This Row],[Gruppenschlüssel]]=select!$B$1487)=TRUE,1,0)</f>
        <v>0</v>
      </c>
      <c r="AH365" s="451">
        <f ca="1">IF(AND(Scharniere[[#This Row],[Scharnierart]]=select!$A$1488,Scharniere[[#This Row],[Gruppenschlüssel]]=select!$B$1488)=TRUE,1,0)</f>
        <v>0</v>
      </c>
      <c r="AI365" s="451">
        <f ca="1">IF(SUM(Scharniere[[#This Row],[konf Scharnier 1]:[konf Scharnier 4]])&gt;0,1,0)</f>
        <v>0</v>
      </c>
      <c r="AJ365" s="451"/>
      <c r="AK365" s="451"/>
      <c r="AL365" s="451"/>
      <c r="AM365" s="451"/>
      <c r="AN365" s="451"/>
      <c r="AO365" s="146">
        <v>1</v>
      </c>
      <c r="AP365" s="146">
        <v>2</v>
      </c>
      <c r="AQ365" s="10" t="str">
        <f ca="1">Sprache!$A$110</f>
        <v>Tiomos Scharnier T Click-on</v>
      </c>
      <c r="AR365" t="s">
        <v>353</v>
      </c>
      <c r="AS365" t="str">
        <f ca="1">Sprache!$A$103</f>
        <v>Tiomos Click-On Scharniere</v>
      </c>
      <c r="AT365">
        <v>0</v>
      </c>
      <c r="AU365" t="s">
        <v>10</v>
      </c>
      <c r="AV365">
        <v>120</v>
      </c>
      <c r="AW365" s="10">
        <v>0</v>
      </c>
      <c r="AX365">
        <v>1</v>
      </c>
      <c r="AY365">
        <v>0</v>
      </c>
      <c r="AZ365" s="10">
        <v>1</v>
      </c>
      <c r="BA365">
        <v>0</v>
      </c>
      <c r="BB365">
        <v>0</v>
      </c>
      <c r="BC365">
        <v>0</v>
      </c>
      <c r="BD365" s="143" t="s">
        <v>522</v>
      </c>
      <c r="BG365"/>
    </row>
    <row r="366" spans="1:59" ht="14.25" customHeight="1" x14ac:dyDescent="0.25">
      <c r="A366" s="37" t="str">
        <f>LEFT(Scharniere[[#This Row],[ArtikelNR]],4)</f>
        <v>F028</v>
      </c>
      <c r="B366" s="35" t="str">
        <f>MID(Scharniere[[#This Row],[ArtikelNR]],5,3)</f>
        <v>138</v>
      </c>
      <c r="C366" s="37" t="str">
        <f>RIGHT(Scharniere[[#This Row],[ArtikelNR]],3)</f>
        <v>729</v>
      </c>
      <c r="D366" s="35">
        <f>IF(AND(Scharniere[[#This Row],[Gruppenschlüssel]]=select!$A$44,Scharniere[[#This Row],[Scharnierart]]=1)=TRUE,1,0)</f>
        <v>0</v>
      </c>
      <c r="E3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6" s="35">
        <f>IF(select!$F$57=IF(Scharniere[[#This Row],[mit Dämpfung]]=1,1,IF(Scharniere[[#This Row],[ohne Dämpfung]]=1,2,IF(Scharniere[[#This Row],[ohne Feder]]=1,3,0))),1,0)</f>
        <v>0</v>
      </c>
      <c r="G366" s="35">
        <f>IF(Scharniere[[#This Row],[Bohrbild]]=select!$V$43,1,0)</f>
        <v>0</v>
      </c>
      <c r="H366" s="35">
        <f>IF(IF(Scharniere[[#This Row],[Anschrauben]]=1,1,IF(Scharniere[[#This Row],[Einpressen]]=1,2,IF(Scharniere[[#This Row],[Quick]]=1,3,IF(Scharniere[[#This Row],[Werkzeuglos]]=1,4,0))))=select!$F$48,1,0)</f>
        <v>0</v>
      </c>
      <c r="I3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6" s="149">
        <f>IF(AND(Scharniere[[#This Row],[Scharnierart]]=2,Scharniere[[#This Row],[Gruppenschlüssel]]=select!$A$318)=TRUE,1,0)</f>
        <v>0</v>
      </c>
      <c r="K366" s="221">
        <f ca="1">IF(select!$O$424&lt;6,1,0)</f>
        <v>1</v>
      </c>
      <c r="L366" s="139">
        <f>IF(select!$A$362=IF(Scharniere[[#This Row],[mit Dämpfung]]=1,1,IF(Scharniere[[#This Row],[ohne Dämpfung]]=1,2,IF(Scharniere[[#This Row],[ohne Feder]]=1,3,0))),1,0)</f>
        <v>1</v>
      </c>
      <c r="M366" s="135">
        <f>IF(Scharniere[[#This Row],[Bohrbild]]=select!$O$334,1,0)</f>
        <v>0</v>
      </c>
      <c r="N366" s="135">
        <f>IF(IF(Scharniere[[#This Row],[Anschrauben]]=1,1,IF(Scharniere[[#This Row],[Einpressen]]=1,2,IF(Scharniere[[#This Row],[Quick]]=1,3,IF(Scharniere[[#This Row],[Werkzeuglos]]=1,4,0))))=select!$E$362,1,0)</f>
        <v>1</v>
      </c>
      <c r="O3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6" s="298">
        <f>IF(AND(Scharniere[[#This Row],[Scharnierart]]=3,Scharniere[[#This Row],[Gruppenschlüssel]]=select!$A$747)=TRUE,1,0)</f>
        <v>0</v>
      </c>
      <c r="Q366" s="298">
        <f ca="1">IF(select!$O$945&lt;6,1,0)</f>
        <v>1</v>
      </c>
      <c r="R366" s="298">
        <f>IF(select!$A$778=IF(Scharniere[[#This Row],[mit Dämpfung]]=1,1,IF(Scharniere[[#This Row],[ohne Dämpfung]]=1,2,IF(Scharniere[[#This Row],[ohne Feder]]=1,3,0))),1,0)</f>
        <v>0</v>
      </c>
      <c r="S366" s="298">
        <f>IF(Scharniere[[#This Row],[Bohrbild]]=select!$A$755,1,0)</f>
        <v>0</v>
      </c>
      <c r="T366" s="298">
        <f>IF(IF(Scharniere[[#This Row],[Anschrauben]]=1,1,IF(Scharniere[[#This Row],[Einpressen]]=1,2,IF(Scharniere[[#This Row],[Quick]]=1,3,IF(Scharniere[[#This Row],[Werkzeuglos]]=1,4,0))))=select!$A$769,1,0)</f>
        <v>1</v>
      </c>
      <c r="U3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6" s="359">
        <f>IF(AND(Scharniere[[#This Row],[Scharnierart]]=4,Scharniere[[#This Row],[Gruppenschlüssel]]=select!$A$981)=TRUE,1,0)</f>
        <v>0</v>
      </c>
      <c r="W366" s="359">
        <f ca="1">IF(select!$O$1185&lt;6,1,0)</f>
        <v>1</v>
      </c>
      <c r="X366" s="359">
        <f>IF(select!$A$1012=IF(Scharniere[[#This Row],[mit Dämpfung]]=1,1,IF(Scharniere[[#This Row],[ohne Dämpfung]]=1,2,IF(Scharniere[[#This Row],[ohne Feder]]=1,3,0))),1,0)</f>
        <v>0</v>
      </c>
      <c r="Y366" s="359">
        <f>IF(Scharniere[[#This Row],[Bohrbild]]=select!$A$989,1,0)</f>
        <v>0</v>
      </c>
      <c r="Z366" s="359">
        <f>IF(IF(Scharniere[[#This Row],[Anschrauben]]=1,1,IF(Scharniere[[#This Row],[Einpressen]]=1,2,IF(Scharniere[[#This Row],[Quick]]=1,3,IF(Scharniere[[#This Row],[Werkzeuglos]]=1,4,0))))=select!$A$1003,1,0)</f>
        <v>1</v>
      </c>
      <c r="AA3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6" s="359">
        <f ca="1">IF(select!$K$980="*",Scharniere[[#This Row],[AG Ges2]],Scharniere[[#This Row],[AG Ges1]])</f>
        <v>0</v>
      </c>
      <c r="AE366" s="451">
        <f ca="1">IF(AND(Scharniere[[#This Row],[Scharnierart]]=select!$A$1485,Scharniere[[#This Row],[Gruppenschlüssel]]=select!$B$1485)=TRUE,1,0)</f>
        <v>0</v>
      </c>
      <c r="AF366" s="451">
        <f ca="1">IF(AND(Scharniere[[#This Row],[Scharnierart]]=select!$A$1486,Scharniere[[#This Row],[Gruppenschlüssel]]=select!$B$1486)=TRUE,1,0)</f>
        <v>0</v>
      </c>
      <c r="AG366" s="451">
        <f ca="1">IF(AND(Scharniere[[#This Row],[Scharnierart]]=select!$A$1487,Scharniere[[#This Row],[Gruppenschlüssel]]=select!$B$1487)=TRUE,1,0)</f>
        <v>0</v>
      </c>
      <c r="AH366" s="451">
        <f ca="1">IF(AND(Scharniere[[#This Row],[Scharnierart]]=select!$A$1488,Scharniere[[#This Row],[Gruppenschlüssel]]=select!$B$1488)=TRUE,1,0)</f>
        <v>0</v>
      </c>
      <c r="AI366" s="451">
        <f ca="1">IF(SUM(Scharniere[[#This Row],[konf Scharnier 1]:[konf Scharnier 4]])&gt;0,1,0)</f>
        <v>0</v>
      </c>
      <c r="AJ366" s="451"/>
      <c r="AK366" s="451"/>
      <c r="AL366" s="451"/>
      <c r="AM366" s="451"/>
      <c r="AN366" s="451"/>
      <c r="AO366" s="146">
        <v>1</v>
      </c>
      <c r="AP366" s="146">
        <v>2</v>
      </c>
      <c r="AQ366" s="10" t="str">
        <f ca="1">Sprache!$A$112</f>
        <v>Tiomos Scharnier TS Click-on</v>
      </c>
      <c r="AR366" t="s">
        <v>353</v>
      </c>
      <c r="AS366" t="str">
        <f ca="1">Sprache!$A$103</f>
        <v>Tiomos Click-On Scharniere</v>
      </c>
      <c r="AT366">
        <v>0</v>
      </c>
      <c r="AU366" s="34" t="s">
        <v>10</v>
      </c>
      <c r="AV366">
        <v>120</v>
      </c>
      <c r="AW366" s="10">
        <v>1</v>
      </c>
      <c r="AX366">
        <v>0</v>
      </c>
      <c r="AY366">
        <v>0</v>
      </c>
      <c r="AZ366" s="10">
        <v>1</v>
      </c>
      <c r="BA366">
        <v>0</v>
      </c>
      <c r="BB366">
        <v>0</v>
      </c>
      <c r="BC366">
        <v>0</v>
      </c>
      <c r="BD366" s="143" t="s">
        <v>352</v>
      </c>
      <c r="BG366"/>
    </row>
    <row r="367" spans="1:59" ht="14.25" customHeight="1" x14ac:dyDescent="0.25">
      <c r="A367" s="37" t="str">
        <f>LEFT(Scharniere[[#This Row],[ArtikelNR]],4)</f>
        <v>F046</v>
      </c>
      <c r="B367" s="35" t="str">
        <f>MID(Scharniere[[#This Row],[ArtikelNR]],5,3)</f>
        <v>138</v>
      </c>
      <c r="C367" s="37" t="str">
        <f>RIGHT(Scharniere[[#This Row],[ArtikelNR]],3)</f>
        <v>789</v>
      </c>
      <c r="D367" s="35">
        <f>IF(AND(Scharniere[[#This Row],[Gruppenschlüssel]]=select!$A$44,Scharniere[[#This Row],[Scharnierart]]=1)=TRUE,1,0)</f>
        <v>0</v>
      </c>
      <c r="E3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7" s="35">
        <f>IF(select!$F$57=IF(Scharniere[[#This Row],[mit Dämpfung]]=1,1,IF(Scharniere[[#This Row],[ohne Dämpfung]]=1,2,IF(Scharniere[[#This Row],[ohne Feder]]=1,3,0))),1,0)</f>
        <v>1</v>
      </c>
      <c r="G367" s="35">
        <f>IF(Scharniere[[#This Row],[Bohrbild]]=select!$V$43,1,0)</f>
        <v>0</v>
      </c>
      <c r="H367" s="35">
        <f>IF(IF(Scharniere[[#This Row],[Anschrauben]]=1,1,IF(Scharniere[[#This Row],[Einpressen]]=1,2,IF(Scharniere[[#This Row],[Quick]]=1,3,IF(Scharniere[[#This Row],[Werkzeuglos]]=1,4,0))))=select!$F$48,1,0)</f>
        <v>0</v>
      </c>
      <c r="I3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7" s="149">
        <f>IF(AND(Scharniere[[#This Row],[Scharnierart]]=2,Scharniere[[#This Row],[Gruppenschlüssel]]=select!$A$318)=TRUE,1,0)</f>
        <v>0</v>
      </c>
      <c r="K367" s="221">
        <f ca="1">IF(select!$O$424&lt;6,1,0)</f>
        <v>1</v>
      </c>
      <c r="L367" s="139">
        <f>IF(select!$A$362=IF(Scharniere[[#This Row],[mit Dämpfung]]=1,1,IF(Scharniere[[#This Row],[ohne Dämpfung]]=1,2,IF(Scharniere[[#This Row],[ohne Feder]]=1,3,0))),1,0)</f>
        <v>0</v>
      </c>
      <c r="M367" s="135">
        <f>IF(Scharniere[[#This Row],[Bohrbild]]=select!$O$334,1,0)</f>
        <v>0</v>
      </c>
      <c r="N367" s="135">
        <f>IF(IF(Scharniere[[#This Row],[Anschrauben]]=1,1,IF(Scharniere[[#This Row],[Einpressen]]=1,2,IF(Scharniere[[#This Row],[Quick]]=1,3,IF(Scharniere[[#This Row],[Werkzeuglos]]=1,4,0))))=select!$E$362,1,0)</f>
        <v>1</v>
      </c>
      <c r="O3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7" s="298">
        <f>IF(AND(Scharniere[[#This Row],[Scharnierart]]=3,Scharniere[[#This Row],[Gruppenschlüssel]]=select!$A$747)=TRUE,1,0)</f>
        <v>0</v>
      </c>
      <c r="Q367" s="298">
        <f ca="1">IF(select!$O$945&lt;6,1,0)</f>
        <v>1</v>
      </c>
      <c r="R367" s="298">
        <f>IF(select!$A$778=IF(Scharniere[[#This Row],[mit Dämpfung]]=1,1,IF(Scharniere[[#This Row],[ohne Dämpfung]]=1,2,IF(Scharniere[[#This Row],[ohne Feder]]=1,3,0))),1,0)</f>
        <v>0</v>
      </c>
      <c r="S367" s="298">
        <f>IF(Scharniere[[#This Row],[Bohrbild]]=select!$A$755,1,0)</f>
        <v>0</v>
      </c>
      <c r="T367" s="298">
        <f>IF(IF(Scharniere[[#This Row],[Anschrauben]]=1,1,IF(Scharniere[[#This Row],[Einpressen]]=1,2,IF(Scharniere[[#This Row],[Quick]]=1,3,IF(Scharniere[[#This Row],[Werkzeuglos]]=1,4,0))))=select!$A$769,1,0)</f>
        <v>1</v>
      </c>
      <c r="U3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7" s="359">
        <f>IF(AND(Scharniere[[#This Row],[Scharnierart]]=4,Scharniere[[#This Row],[Gruppenschlüssel]]=select!$A$981)=TRUE,1,0)</f>
        <v>0</v>
      </c>
      <c r="W367" s="359">
        <f ca="1">IF(select!$O$1185&lt;6,1,0)</f>
        <v>1</v>
      </c>
      <c r="X367" s="359">
        <f>IF(select!$A$1012=IF(Scharniere[[#This Row],[mit Dämpfung]]=1,1,IF(Scharniere[[#This Row],[ohne Dämpfung]]=1,2,IF(Scharniere[[#This Row],[ohne Feder]]=1,3,0))),1,0)</f>
        <v>0</v>
      </c>
      <c r="Y367" s="359">
        <f>IF(Scharniere[[#This Row],[Bohrbild]]=select!$A$989,1,0)</f>
        <v>0</v>
      </c>
      <c r="Z367" s="359">
        <f>IF(IF(Scharniere[[#This Row],[Anschrauben]]=1,1,IF(Scharniere[[#This Row],[Einpressen]]=1,2,IF(Scharniere[[#This Row],[Quick]]=1,3,IF(Scharniere[[#This Row],[Werkzeuglos]]=1,4,0))))=select!$A$1003,1,0)</f>
        <v>1</v>
      </c>
      <c r="AA3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7" s="359">
        <f ca="1">IF(select!$K$980="*",Scharniere[[#This Row],[AG Ges2]],Scharniere[[#This Row],[AG Ges1]])</f>
        <v>0</v>
      </c>
      <c r="AE367" s="451">
        <f ca="1">IF(AND(Scharniere[[#This Row],[Scharnierart]]=select!$A$1485,Scharniere[[#This Row],[Gruppenschlüssel]]=select!$B$1485)=TRUE,1,0)</f>
        <v>0</v>
      </c>
      <c r="AF367" s="451">
        <f ca="1">IF(AND(Scharniere[[#This Row],[Scharnierart]]=select!$A$1486,Scharniere[[#This Row],[Gruppenschlüssel]]=select!$B$1486)=TRUE,1,0)</f>
        <v>0</v>
      </c>
      <c r="AG367" s="451">
        <f ca="1">IF(AND(Scharniere[[#This Row],[Scharnierart]]=select!$A$1487,Scharniere[[#This Row],[Gruppenschlüssel]]=select!$B$1487)=TRUE,1,0)</f>
        <v>0</v>
      </c>
      <c r="AH367" s="451">
        <f ca="1">IF(AND(Scharniere[[#This Row],[Scharnierart]]=select!$A$1488,Scharniere[[#This Row],[Gruppenschlüssel]]=select!$B$1488)=TRUE,1,0)</f>
        <v>0</v>
      </c>
      <c r="AI367" s="451">
        <f ca="1">IF(SUM(Scharniere[[#This Row],[konf Scharnier 1]:[konf Scharnier 4]])&gt;0,1,0)</f>
        <v>0</v>
      </c>
      <c r="AJ367" s="451"/>
      <c r="AK367" s="451"/>
      <c r="AL367" s="451"/>
      <c r="AM367" s="451"/>
      <c r="AN367" s="451"/>
      <c r="AO367" s="146">
        <v>1</v>
      </c>
      <c r="AP367" s="146">
        <v>2</v>
      </c>
      <c r="AQ367" s="10" t="str">
        <f ca="1">Sprache!$A$114</f>
        <v>Tiomos Scharnier TT Click-on</v>
      </c>
      <c r="AR367" t="s">
        <v>353</v>
      </c>
      <c r="AS367" t="str">
        <f ca="1">Sprache!$A$103</f>
        <v>Tiomos Click-On Scharniere</v>
      </c>
      <c r="AT367">
        <v>0</v>
      </c>
      <c r="AU367" s="34" t="s">
        <v>10</v>
      </c>
      <c r="AV367">
        <v>120</v>
      </c>
      <c r="AW367" s="10">
        <v>0</v>
      </c>
      <c r="AX367">
        <v>0</v>
      </c>
      <c r="AY367">
        <v>1</v>
      </c>
      <c r="AZ367" s="10">
        <v>1</v>
      </c>
      <c r="BA367">
        <v>0</v>
      </c>
      <c r="BB367">
        <v>0</v>
      </c>
      <c r="BC367">
        <v>0</v>
      </c>
      <c r="BD367" s="143" t="s">
        <v>674</v>
      </c>
      <c r="BG367"/>
    </row>
    <row r="368" spans="1:59" ht="14.25" customHeight="1" x14ac:dyDescent="0.25">
      <c r="A368" s="37" t="str">
        <f>LEFT(Scharniere[[#This Row],[ArtikelNR]],4)</f>
        <v>F034</v>
      </c>
      <c r="B368" s="35" t="str">
        <f>MID(Scharniere[[#This Row],[ArtikelNR]],5,3)</f>
        <v>139</v>
      </c>
      <c r="C368" s="37" t="str">
        <f>RIGHT(Scharniere[[#This Row],[ArtikelNR]],3)</f>
        <v>484</v>
      </c>
      <c r="D368" s="35">
        <f>IF(AND(Scharniere[[#This Row],[Gruppenschlüssel]]=select!$A$44,Scharniere[[#This Row],[Scharnierart]]=1)=TRUE,1,0)</f>
        <v>0</v>
      </c>
      <c r="E3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8" s="35">
        <f>IF(select!$F$57=IF(Scharniere[[#This Row],[mit Dämpfung]]=1,1,IF(Scharniere[[#This Row],[ohne Dämpfung]]=1,2,IF(Scharniere[[#This Row],[ohne Feder]]=1,3,0))),1,0)</f>
        <v>0</v>
      </c>
      <c r="G368" s="35">
        <f>IF(Scharniere[[#This Row],[Bohrbild]]=select!$V$43,1,0)</f>
        <v>0</v>
      </c>
      <c r="H368" s="35">
        <f>IF(IF(Scharniere[[#This Row],[Anschrauben]]=1,1,IF(Scharniere[[#This Row],[Einpressen]]=1,2,IF(Scharniere[[#This Row],[Quick]]=1,3,IF(Scharniere[[#This Row],[Werkzeuglos]]=1,4,0))))=select!$F$48,1,0)</f>
        <v>0</v>
      </c>
      <c r="I3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8" s="149">
        <f>IF(AND(Scharniere[[#This Row],[Scharnierart]]=2,Scharniere[[#This Row],[Gruppenschlüssel]]=select!$A$318)=TRUE,1,0)</f>
        <v>0</v>
      </c>
      <c r="K368" s="221">
        <f ca="1">IF(select!$O$424&lt;6,1,0)</f>
        <v>1</v>
      </c>
      <c r="L368" s="139">
        <f>IF(select!$A$362=IF(Scharniere[[#This Row],[mit Dämpfung]]=1,1,IF(Scharniere[[#This Row],[ohne Dämpfung]]=1,2,IF(Scharniere[[#This Row],[ohne Feder]]=1,3,0))),1,0)</f>
        <v>0</v>
      </c>
      <c r="M368" s="135">
        <f>IF(Scharniere[[#This Row],[Bohrbild]]=select!$O$334,1,0)</f>
        <v>0</v>
      </c>
      <c r="N368" s="135">
        <f>IF(IF(Scharniere[[#This Row],[Anschrauben]]=1,1,IF(Scharniere[[#This Row],[Einpressen]]=1,2,IF(Scharniere[[#This Row],[Quick]]=1,3,IF(Scharniere[[#This Row],[Werkzeuglos]]=1,4,0))))=select!$E$362,1,0)</f>
        <v>0</v>
      </c>
      <c r="O3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8" s="298">
        <f>IF(AND(Scharniere[[#This Row],[Scharnierart]]=3,Scharniere[[#This Row],[Gruppenschlüssel]]=select!$A$747)=TRUE,1,0)</f>
        <v>0</v>
      </c>
      <c r="Q368" s="298">
        <f ca="1">IF(select!$O$945&lt;6,1,0)</f>
        <v>1</v>
      </c>
      <c r="R368" s="298">
        <f>IF(select!$A$778=IF(Scharniere[[#This Row],[mit Dämpfung]]=1,1,IF(Scharniere[[#This Row],[ohne Dämpfung]]=1,2,IF(Scharniere[[#This Row],[ohne Feder]]=1,3,0))),1,0)</f>
        <v>1</v>
      </c>
      <c r="S368" s="298">
        <f>IF(Scharniere[[#This Row],[Bohrbild]]=select!$A$755,1,0)</f>
        <v>0</v>
      </c>
      <c r="T368" s="298">
        <f>IF(IF(Scharniere[[#This Row],[Anschrauben]]=1,1,IF(Scharniere[[#This Row],[Einpressen]]=1,2,IF(Scharniere[[#This Row],[Quick]]=1,3,IF(Scharniere[[#This Row],[Werkzeuglos]]=1,4,0))))=select!$A$769,1,0)</f>
        <v>0</v>
      </c>
      <c r="U3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8" s="359">
        <f>IF(AND(Scharniere[[#This Row],[Scharnierart]]=4,Scharniere[[#This Row],[Gruppenschlüssel]]=select!$A$981)=TRUE,1,0)</f>
        <v>0</v>
      </c>
      <c r="W368" s="359">
        <f ca="1">IF(select!$O$1185&lt;6,1,0)</f>
        <v>1</v>
      </c>
      <c r="X368" s="359">
        <f>IF(select!$A$1012=IF(Scharniere[[#This Row],[mit Dämpfung]]=1,1,IF(Scharniere[[#This Row],[ohne Dämpfung]]=1,2,IF(Scharniere[[#This Row],[ohne Feder]]=1,3,0))),1,0)</f>
        <v>1</v>
      </c>
      <c r="Y368" s="359">
        <f>IF(Scharniere[[#This Row],[Bohrbild]]=select!$A$989,1,0)</f>
        <v>0</v>
      </c>
      <c r="Z368" s="359">
        <f>IF(IF(Scharniere[[#This Row],[Anschrauben]]=1,1,IF(Scharniere[[#This Row],[Einpressen]]=1,2,IF(Scharniere[[#This Row],[Quick]]=1,3,IF(Scharniere[[#This Row],[Werkzeuglos]]=1,4,0))))=select!$A$1003,1,0)</f>
        <v>0</v>
      </c>
      <c r="AA3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8" s="359">
        <f ca="1">IF(select!$K$980="*",Scharniere[[#This Row],[AG Ges2]],Scharniere[[#This Row],[AG Ges1]])</f>
        <v>0</v>
      </c>
      <c r="AE368" s="451">
        <f ca="1">IF(AND(Scharniere[[#This Row],[Scharnierart]]=select!$A$1485,Scharniere[[#This Row],[Gruppenschlüssel]]=select!$B$1485)=TRUE,1,0)</f>
        <v>0</v>
      </c>
      <c r="AF368" s="451">
        <f ca="1">IF(AND(Scharniere[[#This Row],[Scharnierart]]=select!$A$1486,Scharniere[[#This Row],[Gruppenschlüssel]]=select!$B$1486)=TRUE,1,0)</f>
        <v>0</v>
      </c>
      <c r="AG368" s="451">
        <f ca="1">IF(AND(Scharniere[[#This Row],[Scharnierart]]=select!$A$1487,Scharniere[[#This Row],[Gruppenschlüssel]]=select!$B$1487)=TRUE,1,0)</f>
        <v>0</v>
      </c>
      <c r="AH368" s="451">
        <f ca="1">IF(AND(Scharniere[[#This Row],[Scharnierart]]=select!$A$1488,Scharniere[[#This Row],[Gruppenschlüssel]]=select!$B$1488)=TRUE,1,0)</f>
        <v>0</v>
      </c>
      <c r="AI368" s="451">
        <f ca="1">IF(SUM(Scharniere[[#This Row],[konf Scharnier 1]:[konf Scharnier 4]])&gt;0,1,0)</f>
        <v>0</v>
      </c>
      <c r="AJ368" s="451"/>
      <c r="AK368" s="451"/>
      <c r="AL368" s="451"/>
      <c r="AM368" s="451"/>
      <c r="AN368" s="451"/>
      <c r="AO368" s="146">
        <v>1</v>
      </c>
      <c r="AP368" s="146">
        <v>2</v>
      </c>
      <c r="AQ368" s="10" t="str">
        <f ca="1">Sprache!$A$111</f>
        <v>Tiomos Scharnier T Impresso</v>
      </c>
      <c r="AR368" t="s">
        <v>117</v>
      </c>
      <c r="AS368" t="str">
        <f ca="1">Sprache!$A$116</f>
        <v>Tiomos Impresso Scharniere</v>
      </c>
      <c r="AT368">
        <v>0</v>
      </c>
      <c r="AU368" t="s">
        <v>10</v>
      </c>
      <c r="AV368">
        <v>120</v>
      </c>
      <c r="AW368" s="10">
        <v>0</v>
      </c>
      <c r="AX368">
        <v>1</v>
      </c>
      <c r="AY368">
        <v>0</v>
      </c>
      <c r="AZ368" s="10">
        <v>0</v>
      </c>
      <c r="BA368">
        <v>0</v>
      </c>
      <c r="BB368">
        <v>0</v>
      </c>
      <c r="BC368">
        <v>1</v>
      </c>
      <c r="BD368" s="143" t="s">
        <v>169</v>
      </c>
      <c r="BG368"/>
    </row>
    <row r="369" spans="1:59" ht="14.25" customHeight="1" x14ac:dyDescent="0.25">
      <c r="A369" s="37" t="str">
        <f>LEFT(Scharniere[[#This Row],[ArtikelNR]],4)</f>
        <v>F034</v>
      </c>
      <c r="B369" s="35" t="str">
        <f>MID(Scharniere[[#This Row],[ArtikelNR]],5,3)</f>
        <v>139</v>
      </c>
      <c r="C369" s="37" t="str">
        <f>RIGHT(Scharniere[[#This Row],[ArtikelNR]],3)</f>
        <v>484</v>
      </c>
      <c r="D369" s="35">
        <f>IF(AND(Scharniere[[#This Row],[Gruppenschlüssel]]=select!$A$44,Scharniere[[#This Row],[Scharnierart]]=1)=TRUE,1,0)</f>
        <v>0</v>
      </c>
      <c r="E3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69" s="35">
        <f>IF(select!$F$57=IF(Scharniere[[#This Row],[mit Dämpfung]]=1,1,IF(Scharniere[[#This Row],[ohne Dämpfung]]=1,2,IF(Scharniere[[#This Row],[ohne Feder]]=1,3,0))),1,0)</f>
        <v>0</v>
      </c>
      <c r="G369" s="35">
        <f>IF(Scharniere[[#This Row],[Bohrbild]]=select!$V$43,1,0)</f>
        <v>0</v>
      </c>
      <c r="H369" s="35">
        <f>IF(IF(Scharniere[[#This Row],[Anschrauben]]=1,1,IF(Scharniere[[#This Row],[Einpressen]]=1,2,IF(Scharniere[[#This Row],[Quick]]=1,3,IF(Scharniere[[#This Row],[Werkzeuglos]]=1,4,0))))=select!$F$48,1,0)</f>
        <v>0</v>
      </c>
      <c r="I3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69" s="149">
        <f>IF(AND(Scharniere[[#This Row],[Scharnierart]]=2,Scharniere[[#This Row],[Gruppenschlüssel]]=select!$A$318)=TRUE,1,0)</f>
        <v>0</v>
      </c>
      <c r="K369" s="221">
        <f ca="1">IF(select!$O$424&lt;6,1,0)</f>
        <v>1</v>
      </c>
      <c r="L369" s="139">
        <f>IF(select!$A$362=IF(Scharniere[[#This Row],[mit Dämpfung]]=1,1,IF(Scharniere[[#This Row],[ohne Dämpfung]]=1,2,IF(Scharniere[[#This Row],[ohne Feder]]=1,3,0))),1,0)</f>
        <v>0</v>
      </c>
      <c r="M369" s="135">
        <f>IF(Scharniere[[#This Row],[Bohrbild]]=select!$O$334,1,0)</f>
        <v>0</v>
      </c>
      <c r="N369" s="135">
        <f>IF(IF(Scharniere[[#This Row],[Anschrauben]]=1,1,IF(Scharniere[[#This Row],[Einpressen]]=1,2,IF(Scharniere[[#This Row],[Quick]]=1,3,IF(Scharniere[[#This Row],[Werkzeuglos]]=1,4,0))))=select!$E$362,1,0)</f>
        <v>0</v>
      </c>
      <c r="O3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69" s="298">
        <f>IF(AND(Scharniere[[#This Row],[Scharnierart]]=3,Scharniere[[#This Row],[Gruppenschlüssel]]=select!$A$747)=TRUE,1,0)</f>
        <v>0</v>
      </c>
      <c r="Q369" s="298">
        <f ca="1">IF(select!$O$945&lt;6,1,0)</f>
        <v>1</v>
      </c>
      <c r="R369" s="298">
        <f>IF(select!$A$778=IF(Scharniere[[#This Row],[mit Dämpfung]]=1,1,IF(Scharniere[[#This Row],[ohne Dämpfung]]=1,2,IF(Scharniere[[#This Row],[ohne Feder]]=1,3,0))),1,0)</f>
        <v>1</v>
      </c>
      <c r="S369" s="298">
        <f>IF(Scharniere[[#This Row],[Bohrbild]]=select!$A$755,1,0)</f>
        <v>0</v>
      </c>
      <c r="T369" s="298">
        <f>IF(IF(Scharniere[[#This Row],[Anschrauben]]=1,1,IF(Scharniere[[#This Row],[Einpressen]]=1,2,IF(Scharniere[[#This Row],[Quick]]=1,3,IF(Scharniere[[#This Row],[Werkzeuglos]]=1,4,0))))=select!$A$769,1,0)</f>
        <v>0</v>
      </c>
      <c r="U3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69" s="359">
        <f>IF(AND(Scharniere[[#This Row],[Scharnierart]]=4,Scharniere[[#This Row],[Gruppenschlüssel]]=select!$A$981)=TRUE,1,0)</f>
        <v>0</v>
      </c>
      <c r="W369" s="359">
        <f ca="1">IF(select!$O$1185&lt;6,1,0)</f>
        <v>1</v>
      </c>
      <c r="X369" s="359">
        <f>IF(select!$A$1012=IF(Scharniere[[#This Row],[mit Dämpfung]]=1,1,IF(Scharniere[[#This Row],[ohne Dämpfung]]=1,2,IF(Scharniere[[#This Row],[ohne Feder]]=1,3,0))),1,0)</f>
        <v>1</v>
      </c>
      <c r="Y369" s="359">
        <f>IF(Scharniere[[#This Row],[Bohrbild]]=select!$A$989,1,0)</f>
        <v>0</v>
      </c>
      <c r="Z369" s="359">
        <f>IF(IF(Scharniere[[#This Row],[Anschrauben]]=1,1,IF(Scharniere[[#This Row],[Einpressen]]=1,2,IF(Scharniere[[#This Row],[Quick]]=1,3,IF(Scharniere[[#This Row],[Werkzeuglos]]=1,4,0))))=select!$A$1003,1,0)</f>
        <v>0</v>
      </c>
      <c r="AA3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69" s="359">
        <f ca="1">IF(select!$K$980="*",Scharniere[[#This Row],[AG Ges2]],Scharniere[[#This Row],[AG Ges1]])</f>
        <v>0</v>
      </c>
      <c r="AE369" s="451">
        <f ca="1">IF(AND(Scharniere[[#This Row],[Scharnierart]]=select!$A$1485,Scharniere[[#This Row],[Gruppenschlüssel]]=select!$B$1485)=TRUE,1,0)</f>
        <v>0</v>
      </c>
      <c r="AF369" s="451">
        <f ca="1">IF(AND(Scharniere[[#This Row],[Scharnierart]]=select!$A$1486,Scharniere[[#This Row],[Gruppenschlüssel]]=select!$B$1486)=TRUE,1,0)</f>
        <v>0</v>
      </c>
      <c r="AG369" s="451">
        <f ca="1">IF(AND(Scharniere[[#This Row],[Scharnierart]]=select!$A$1487,Scharniere[[#This Row],[Gruppenschlüssel]]=select!$B$1487)=TRUE,1,0)</f>
        <v>0</v>
      </c>
      <c r="AH369" s="451">
        <f ca="1">IF(AND(Scharniere[[#This Row],[Scharnierart]]=select!$A$1488,Scharniere[[#This Row],[Gruppenschlüssel]]=select!$B$1488)=TRUE,1,0)</f>
        <v>0</v>
      </c>
      <c r="AI369" s="451">
        <f ca="1">IF(SUM(Scharniere[[#This Row],[konf Scharnier 1]:[konf Scharnier 4]])&gt;0,1,0)</f>
        <v>0</v>
      </c>
      <c r="AJ369" s="451"/>
      <c r="AK369" s="451"/>
      <c r="AL369" s="451"/>
      <c r="AM369" s="451"/>
      <c r="AN369" s="451"/>
      <c r="AO369" s="146">
        <v>1</v>
      </c>
      <c r="AP369" s="146">
        <v>2</v>
      </c>
      <c r="AQ369" s="10" t="str">
        <f ca="1">Sprache!$A$111</f>
        <v>Tiomos Scharnier T Impresso</v>
      </c>
      <c r="AR369" t="s">
        <v>117</v>
      </c>
      <c r="AS369" t="str">
        <f ca="1">Sprache!$A$116</f>
        <v>Tiomos Impresso Scharniere</v>
      </c>
      <c r="AT369">
        <v>0</v>
      </c>
      <c r="AU369" t="s">
        <v>11</v>
      </c>
      <c r="AV369">
        <v>120</v>
      </c>
      <c r="AW369" s="10">
        <v>0</v>
      </c>
      <c r="AX369">
        <v>1</v>
      </c>
      <c r="AY369">
        <v>0</v>
      </c>
      <c r="AZ369" s="10">
        <v>0</v>
      </c>
      <c r="BA369">
        <v>0</v>
      </c>
      <c r="BB369">
        <v>0</v>
      </c>
      <c r="BC369">
        <v>1</v>
      </c>
      <c r="BD369" s="143" t="s">
        <v>169</v>
      </c>
      <c r="BG369"/>
    </row>
    <row r="370" spans="1:59" ht="14.25" customHeight="1" x14ac:dyDescent="0.25">
      <c r="A370" s="37" t="str">
        <f>LEFT(Scharniere[[#This Row],[ArtikelNR]],4)</f>
        <v>F017</v>
      </c>
      <c r="B370" s="35" t="str">
        <f>MID(Scharniere[[#This Row],[ArtikelNR]],5,3)</f>
        <v>139</v>
      </c>
      <c r="C370" s="37" t="str">
        <f>RIGHT(Scharniere[[#This Row],[ArtikelNR]],3)</f>
        <v>513</v>
      </c>
      <c r="D370" s="35">
        <f>IF(AND(Scharniere[[#This Row],[Gruppenschlüssel]]=select!$A$44,Scharniere[[#This Row],[Scharnierart]]=1)=TRUE,1,0)</f>
        <v>0</v>
      </c>
      <c r="E3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0" s="35">
        <f>IF(select!$F$57=IF(Scharniere[[#This Row],[mit Dämpfung]]=1,1,IF(Scharniere[[#This Row],[ohne Dämpfung]]=1,2,IF(Scharniere[[#This Row],[ohne Feder]]=1,3,0))),1,0)</f>
        <v>0</v>
      </c>
      <c r="G370" s="35">
        <f>IF(Scharniere[[#This Row],[Bohrbild]]=select!$V$43,1,0)</f>
        <v>0</v>
      </c>
      <c r="H370" s="35">
        <f>IF(IF(Scharniere[[#This Row],[Anschrauben]]=1,1,IF(Scharniere[[#This Row],[Einpressen]]=1,2,IF(Scharniere[[#This Row],[Quick]]=1,3,IF(Scharniere[[#This Row],[Werkzeuglos]]=1,4,0))))=select!$F$48,1,0)</f>
        <v>0</v>
      </c>
      <c r="I3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0" s="149">
        <f>IF(AND(Scharniere[[#This Row],[Scharnierart]]=2,Scharniere[[#This Row],[Gruppenschlüssel]]=select!$A$318)=TRUE,1,0)</f>
        <v>0</v>
      </c>
      <c r="K370" s="221">
        <f ca="1">IF(select!$O$424&lt;6,1,0)</f>
        <v>1</v>
      </c>
      <c r="L370" s="139">
        <f>IF(select!$A$362=IF(Scharniere[[#This Row],[mit Dämpfung]]=1,1,IF(Scharniere[[#This Row],[ohne Dämpfung]]=1,2,IF(Scharniere[[#This Row],[ohne Feder]]=1,3,0))),1,0)</f>
        <v>1</v>
      </c>
      <c r="M370" s="135">
        <f>IF(Scharniere[[#This Row],[Bohrbild]]=select!$O$334,1,0)</f>
        <v>0</v>
      </c>
      <c r="N370" s="135">
        <f>IF(IF(Scharniere[[#This Row],[Anschrauben]]=1,1,IF(Scharniere[[#This Row],[Einpressen]]=1,2,IF(Scharniere[[#This Row],[Quick]]=1,3,IF(Scharniere[[#This Row],[Werkzeuglos]]=1,4,0))))=select!$E$362,1,0)</f>
        <v>0</v>
      </c>
      <c r="O3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0" s="298">
        <f>IF(AND(Scharniere[[#This Row],[Scharnierart]]=3,Scharniere[[#This Row],[Gruppenschlüssel]]=select!$A$747)=TRUE,1,0)</f>
        <v>0</v>
      </c>
      <c r="Q370" s="298">
        <f ca="1">IF(select!$O$945&lt;6,1,0)</f>
        <v>1</v>
      </c>
      <c r="R370" s="298">
        <f>IF(select!$A$778=IF(Scharniere[[#This Row],[mit Dämpfung]]=1,1,IF(Scharniere[[#This Row],[ohne Dämpfung]]=1,2,IF(Scharniere[[#This Row],[ohne Feder]]=1,3,0))),1,0)</f>
        <v>0</v>
      </c>
      <c r="S370" s="298">
        <f>IF(Scharniere[[#This Row],[Bohrbild]]=select!$A$755,1,0)</f>
        <v>0</v>
      </c>
      <c r="T370" s="298">
        <f>IF(IF(Scharniere[[#This Row],[Anschrauben]]=1,1,IF(Scharniere[[#This Row],[Einpressen]]=1,2,IF(Scharniere[[#This Row],[Quick]]=1,3,IF(Scharniere[[#This Row],[Werkzeuglos]]=1,4,0))))=select!$A$769,1,0)</f>
        <v>0</v>
      </c>
      <c r="U3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0" s="359">
        <f>IF(AND(Scharniere[[#This Row],[Scharnierart]]=4,Scharniere[[#This Row],[Gruppenschlüssel]]=select!$A$981)=TRUE,1,0)</f>
        <v>0</v>
      </c>
      <c r="W370" s="359">
        <f ca="1">IF(select!$O$1185&lt;6,1,0)</f>
        <v>1</v>
      </c>
      <c r="X370" s="359">
        <f>IF(select!$A$1012=IF(Scharniere[[#This Row],[mit Dämpfung]]=1,1,IF(Scharniere[[#This Row],[ohne Dämpfung]]=1,2,IF(Scharniere[[#This Row],[ohne Feder]]=1,3,0))),1,0)</f>
        <v>0</v>
      </c>
      <c r="Y370" s="359">
        <f>IF(Scharniere[[#This Row],[Bohrbild]]=select!$A$989,1,0)</f>
        <v>0</v>
      </c>
      <c r="Z370" s="359">
        <f>IF(IF(Scharniere[[#This Row],[Anschrauben]]=1,1,IF(Scharniere[[#This Row],[Einpressen]]=1,2,IF(Scharniere[[#This Row],[Quick]]=1,3,IF(Scharniere[[#This Row],[Werkzeuglos]]=1,4,0))))=select!$A$1003,1,0)</f>
        <v>0</v>
      </c>
      <c r="AA3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0" s="359">
        <f ca="1">IF(select!$K$980="*",Scharniere[[#This Row],[AG Ges2]],Scharniere[[#This Row],[AG Ges1]])</f>
        <v>0</v>
      </c>
      <c r="AE370" s="451">
        <f ca="1">IF(AND(Scharniere[[#This Row],[Scharnierart]]=select!$A$1485,Scharniere[[#This Row],[Gruppenschlüssel]]=select!$B$1485)=TRUE,1,0)</f>
        <v>0</v>
      </c>
      <c r="AF370" s="451">
        <f ca="1">IF(AND(Scharniere[[#This Row],[Scharnierart]]=select!$A$1486,Scharniere[[#This Row],[Gruppenschlüssel]]=select!$B$1486)=TRUE,1,0)</f>
        <v>0</v>
      </c>
      <c r="AG370" s="451">
        <f ca="1">IF(AND(Scharniere[[#This Row],[Scharnierart]]=select!$A$1487,Scharniere[[#This Row],[Gruppenschlüssel]]=select!$B$1487)=TRUE,1,0)</f>
        <v>0</v>
      </c>
      <c r="AH370" s="451">
        <f ca="1">IF(AND(Scharniere[[#This Row],[Scharnierart]]=select!$A$1488,Scharniere[[#This Row],[Gruppenschlüssel]]=select!$B$1488)=TRUE,1,0)</f>
        <v>0</v>
      </c>
      <c r="AI370" s="451">
        <f ca="1">IF(SUM(Scharniere[[#This Row],[konf Scharnier 1]:[konf Scharnier 4]])&gt;0,1,0)</f>
        <v>0</v>
      </c>
      <c r="AJ370" s="451"/>
      <c r="AK370" s="451"/>
      <c r="AL370" s="451"/>
      <c r="AM370" s="451"/>
      <c r="AN370" s="451"/>
      <c r="AO370" s="146">
        <v>1</v>
      </c>
      <c r="AP370" s="146">
        <v>2</v>
      </c>
      <c r="AQ370" s="10" t="str">
        <f ca="1">Sprache!$A$113</f>
        <v>Tiomos Scharnier TS Impresso</v>
      </c>
      <c r="AR370" t="s">
        <v>117</v>
      </c>
      <c r="AS370" t="str">
        <f ca="1">Sprache!$A$116</f>
        <v>Tiomos Impresso Scharniere</v>
      </c>
      <c r="AT370">
        <v>0</v>
      </c>
      <c r="AU370" t="s">
        <v>10</v>
      </c>
      <c r="AV370">
        <v>120</v>
      </c>
      <c r="AW370" s="10">
        <v>1</v>
      </c>
      <c r="AX370">
        <v>0</v>
      </c>
      <c r="AY370">
        <v>0</v>
      </c>
      <c r="AZ370" s="10">
        <v>0</v>
      </c>
      <c r="BA370">
        <v>0</v>
      </c>
      <c r="BB370">
        <v>0</v>
      </c>
      <c r="BC370">
        <v>1</v>
      </c>
      <c r="BD370" s="143" t="s">
        <v>116</v>
      </c>
      <c r="BG370"/>
    </row>
    <row r="371" spans="1:59" ht="14.25" customHeight="1" x14ac:dyDescent="0.25">
      <c r="A371" s="37" t="str">
        <f>LEFT(Scharniere[[#This Row],[ArtikelNR]],4)</f>
        <v>F017</v>
      </c>
      <c r="B371" s="35" t="str">
        <f>MID(Scharniere[[#This Row],[ArtikelNR]],5,3)</f>
        <v>139</v>
      </c>
      <c r="C371" s="37" t="str">
        <f>RIGHT(Scharniere[[#This Row],[ArtikelNR]],3)</f>
        <v>513</v>
      </c>
      <c r="D371" s="35">
        <f>IF(AND(Scharniere[[#This Row],[Gruppenschlüssel]]=select!$A$44,Scharniere[[#This Row],[Scharnierart]]=1)=TRUE,1,0)</f>
        <v>0</v>
      </c>
      <c r="E3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1" s="35">
        <f>IF(select!$F$57=IF(Scharniere[[#This Row],[mit Dämpfung]]=1,1,IF(Scharniere[[#This Row],[ohne Dämpfung]]=1,2,IF(Scharniere[[#This Row],[ohne Feder]]=1,3,0))),1,0)</f>
        <v>0</v>
      </c>
      <c r="G371" s="35">
        <f>IF(Scharniere[[#This Row],[Bohrbild]]=select!$V$43,1,0)</f>
        <v>0</v>
      </c>
      <c r="H371" s="35">
        <f>IF(IF(Scharniere[[#This Row],[Anschrauben]]=1,1,IF(Scharniere[[#This Row],[Einpressen]]=1,2,IF(Scharniere[[#This Row],[Quick]]=1,3,IF(Scharniere[[#This Row],[Werkzeuglos]]=1,4,0))))=select!$F$48,1,0)</f>
        <v>0</v>
      </c>
      <c r="I3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1" s="149">
        <f>IF(AND(Scharniere[[#This Row],[Scharnierart]]=2,Scharniere[[#This Row],[Gruppenschlüssel]]=select!$A$318)=TRUE,1,0)</f>
        <v>0</v>
      </c>
      <c r="K371" s="221">
        <f ca="1">IF(select!$O$424&lt;6,1,0)</f>
        <v>1</v>
      </c>
      <c r="L371" s="139">
        <f>IF(select!$A$362=IF(Scharniere[[#This Row],[mit Dämpfung]]=1,1,IF(Scharniere[[#This Row],[ohne Dämpfung]]=1,2,IF(Scharniere[[#This Row],[ohne Feder]]=1,3,0))),1,0)</f>
        <v>1</v>
      </c>
      <c r="M371" s="135">
        <f>IF(Scharniere[[#This Row],[Bohrbild]]=select!$O$334,1,0)</f>
        <v>0</v>
      </c>
      <c r="N371" s="135">
        <f>IF(IF(Scharniere[[#This Row],[Anschrauben]]=1,1,IF(Scharniere[[#This Row],[Einpressen]]=1,2,IF(Scharniere[[#This Row],[Quick]]=1,3,IF(Scharniere[[#This Row],[Werkzeuglos]]=1,4,0))))=select!$E$362,1,0)</f>
        <v>0</v>
      </c>
      <c r="O3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1" s="298">
        <f>IF(AND(Scharniere[[#This Row],[Scharnierart]]=3,Scharniere[[#This Row],[Gruppenschlüssel]]=select!$A$747)=TRUE,1,0)</f>
        <v>0</v>
      </c>
      <c r="Q371" s="298">
        <f ca="1">IF(select!$O$945&lt;6,1,0)</f>
        <v>1</v>
      </c>
      <c r="R371" s="298">
        <f>IF(select!$A$778=IF(Scharniere[[#This Row],[mit Dämpfung]]=1,1,IF(Scharniere[[#This Row],[ohne Dämpfung]]=1,2,IF(Scharniere[[#This Row],[ohne Feder]]=1,3,0))),1,0)</f>
        <v>0</v>
      </c>
      <c r="S371" s="298">
        <f>IF(Scharniere[[#This Row],[Bohrbild]]=select!$A$755,1,0)</f>
        <v>0</v>
      </c>
      <c r="T371" s="298">
        <f>IF(IF(Scharniere[[#This Row],[Anschrauben]]=1,1,IF(Scharniere[[#This Row],[Einpressen]]=1,2,IF(Scharniere[[#This Row],[Quick]]=1,3,IF(Scharniere[[#This Row],[Werkzeuglos]]=1,4,0))))=select!$A$769,1,0)</f>
        <v>0</v>
      </c>
      <c r="U3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1" s="359">
        <f>IF(AND(Scharniere[[#This Row],[Scharnierart]]=4,Scharniere[[#This Row],[Gruppenschlüssel]]=select!$A$981)=TRUE,1,0)</f>
        <v>0</v>
      </c>
      <c r="W371" s="359">
        <f ca="1">IF(select!$O$1185&lt;6,1,0)</f>
        <v>1</v>
      </c>
      <c r="X371" s="359">
        <f>IF(select!$A$1012=IF(Scharniere[[#This Row],[mit Dämpfung]]=1,1,IF(Scharniere[[#This Row],[ohne Dämpfung]]=1,2,IF(Scharniere[[#This Row],[ohne Feder]]=1,3,0))),1,0)</f>
        <v>0</v>
      </c>
      <c r="Y371" s="359">
        <f>IF(Scharniere[[#This Row],[Bohrbild]]=select!$A$989,1,0)</f>
        <v>0</v>
      </c>
      <c r="Z371" s="359">
        <f>IF(IF(Scharniere[[#This Row],[Anschrauben]]=1,1,IF(Scharniere[[#This Row],[Einpressen]]=1,2,IF(Scharniere[[#This Row],[Quick]]=1,3,IF(Scharniere[[#This Row],[Werkzeuglos]]=1,4,0))))=select!$A$1003,1,0)</f>
        <v>0</v>
      </c>
      <c r="AA3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1" s="359">
        <f ca="1">IF(select!$K$980="*",Scharniere[[#This Row],[AG Ges2]],Scharniere[[#This Row],[AG Ges1]])</f>
        <v>0</v>
      </c>
      <c r="AE371" s="451">
        <f ca="1">IF(AND(Scharniere[[#This Row],[Scharnierart]]=select!$A$1485,Scharniere[[#This Row],[Gruppenschlüssel]]=select!$B$1485)=TRUE,1,0)</f>
        <v>0</v>
      </c>
      <c r="AF371" s="451">
        <f ca="1">IF(AND(Scharniere[[#This Row],[Scharnierart]]=select!$A$1486,Scharniere[[#This Row],[Gruppenschlüssel]]=select!$B$1486)=TRUE,1,0)</f>
        <v>0</v>
      </c>
      <c r="AG371" s="451">
        <f ca="1">IF(AND(Scharniere[[#This Row],[Scharnierart]]=select!$A$1487,Scharniere[[#This Row],[Gruppenschlüssel]]=select!$B$1487)=TRUE,1,0)</f>
        <v>0</v>
      </c>
      <c r="AH371" s="451">
        <f ca="1">IF(AND(Scharniere[[#This Row],[Scharnierart]]=select!$A$1488,Scharniere[[#This Row],[Gruppenschlüssel]]=select!$B$1488)=TRUE,1,0)</f>
        <v>0</v>
      </c>
      <c r="AI371" s="451">
        <f ca="1">IF(SUM(Scharniere[[#This Row],[konf Scharnier 1]:[konf Scharnier 4]])&gt;0,1,0)</f>
        <v>0</v>
      </c>
      <c r="AJ371" s="451"/>
      <c r="AK371" s="451"/>
      <c r="AL371" s="451"/>
      <c r="AM371" s="451"/>
      <c r="AN371" s="451"/>
      <c r="AO371" s="146">
        <v>1</v>
      </c>
      <c r="AP371" s="146">
        <v>2</v>
      </c>
      <c r="AQ371" s="10" t="str">
        <f ca="1">Sprache!$A$113</f>
        <v>Tiomos Scharnier TS Impresso</v>
      </c>
      <c r="AR371" t="s">
        <v>117</v>
      </c>
      <c r="AS371" t="str">
        <f ca="1">Sprache!$A$116</f>
        <v>Tiomos Impresso Scharniere</v>
      </c>
      <c r="AT371">
        <v>0</v>
      </c>
      <c r="AU371" t="s">
        <v>11</v>
      </c>
      <c r="AV371">
        <v>120</v>
      </c>
      <c r="AW371" s="10">
        <v>1</v>
      </c>
      <c r="AX371">
        <v>0</v>
      </c>
      <c r="AY371">
        <v>0</v>
      </c>
      <c r="AZ371" s="10">
        <v>0</v>
      </c>
      <c r="BA371">
        <v>0</v>
      </c>
      <c r="BB371">
        <v>0</v>
      </c>
      <c r="BC371">
        <v>1</v>
      </c>
      <c r="BD371" s="143" t="s">
        <v>116</v>
      </c>
      <c r="BG371"/>
    </row>
    <row r="372" spans="1:59" ht="14.25" customHeight="1" x14ac:dyDescent="0.25">
      <c r="A372" s="37" t="str">
        <f>LEFT(Scharniere[[#This Row],[ArtikelNR]],4)</f>
        <v>F035</v>
      </c>
      <c r="B372" s="35" t="str">
        <f>MID(Scharniere[[#This Row],[ArtikelNR]],5,3)</f>
        <v>139</v>
      </c>
      <c r="C372" s="37" t="str">
        <f>RIGHT(Scharniere[[#This Row],[ArtikelNR]],3)</f>
        <v>541</v>
      </c>
      <c r="D372" s="35">
        <f>IF(AND(Scharniere[[#This Row],[Gruppenschlüssel]]=select!$A$44,Scharniere[[#This Row],[Scharnierart]]=1)=TRUE,1,0)</f>
        <v>0</v>
      </c>
      <c r="E3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2" s="35">
        <f>IF(select!$F$57=IF(Scharniere[[#This Row],[mit Dämpfung]]=1,1,IF(Scharniere[[#This Row],[ohne Dämpfung]]=1,2,IF(Scharniere[[#This Row],[ohne Feder]]=1,3,0))),1,0)</f>
        <v>1</v>
      </c>
      <c r="G372" s="35">
        <f>IF(Scharniere[[#This Row],[Bohrbild]]=select!$V$43,1,0)</f>
        <v>0</v>
      </c>
      <c r="H372" s="35">
        <f>IF(IF(Scharniere[[#This Row],[Anschrauben]]=1,1,IF(Scharniere[[#This Row],[Einpressen]]=1,2,IF(Scharniere[[#This Row],[Quick]]=1,3,IF(Scharniere[[#This Row],[Werkzeuglos]]=1,4,0))))=select!$F$48,1,0)</f>
        <v>0</v>
      </c>
      <c r="I3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2" s="149">
        <f>IF(AND(Scharniere[[#This Row],[Scharnierart]]=2,Scharniere[[#This Row],[Gruppenschlüssel]]=select!$A$318)=TRUE,1,0)</f>
        <v>0</v>
      </c>
      <c r="K372" s="221">
        <f ca="1">IF(select!$O$424&lt;6,1,0)</f>
        <v>1</v>
      </c>
      <c r="L372" s="139">
        <f>IF(select!$A$362=IF(Scharniere[[#This Row],[mit Dämpfung]]=1,1,IF(Scharniere[[#This Row],[ohne Dämpfung]]=1,2,IF(Scharniere[[#This Row],[ohne Feder]]=1,3,0))),1,0)</f>
        <v>0</v>
      </c>
      <c r="M372" s="135">
        <f>IF(Scharniere[[#This Row],[Bohrbild]]=select!$O$334,1,0)</f>
        <v>0</v>
      </c>
      <c r="N372" s="135">
        <f>IF(IF(Scharniere[[#This Row],[Anschrauben]]=1,1,IF(Scharniere[[#This Row],[Einpressen]]=1,2,IF(Scharniere[[#This Row],[Quick]]=1,3,IF(Scharniere[[#This Row],[Werkzeuglos]]=1,4,0))))=select!$E$362,1,0)</f>
        <v>0</v>
      </c>
      <c r="O3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2" s="298">
        <f>IF(AND(Scharniere[[#This Row],[Scharnierart]]=3,Scharniere[[#This Row],[Gruppenschlüssel]]=select!$A$747)=TRUE,1,0)</f>
        <v>0</v>
      </c>
      <c r="Q372" s="298">
        <f ca="1">IF(select!$O$945&lt;6,1,0)</f>
        <v>1</v>
      </c>
      <c r="R372" s="298">
        <f>IF(select!$A$778=IF(Scharniere[[#This Row],[mit Dämpfung]]=1,1,IF(Scharniere[[#This Row],[ohne Dämpfung]]=1,2,IF(Scharniere[[#This Row],[ohne Feder]]=1,3,0))),1,0)</f>
        <v>0</v>
      </c>
      <c r="S372" s="298">
        <f>IF(Scharniere[[#This Row],[Bohrbild]]=select!$A$755,1,0)</f>
        <v>0</v>
      </c>
      <c r="T372" s="298">
        <f>IF(IF(Scharniere[[#This Row],[Anschrauben]]=1,1,IF(Scharniere[[#This Row],[Einpressen]]=1,2,IF(Scharniere[[#This Row],[Quick]]=1,3,IF(Scharniere[[#This Row],[Werkzeuglos]]=1,4,0))))=select!$A$769,1,0)</f>
        <v>0</v>
      </c>
      <c r="U3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2" s="359">
        <f>IF(AND(Scharniere[[#This Row],[Scharnierart]]=4,Scharniere[[#This Row],[Gruppenschlüssel]]=select!$A$981)=TRUE,1,0)</f>
        <v>0</v>
      </c>
      <c r="W372" s="359">
        <f ca="1">IF(select!$O$1185&lt;6,1,0)</f>
        <v>1</v>
      </c>
      <c r="X372" s="359">
        <f>IF(select!$A$1012=IF(Scharniere[[#This Row],[mit Dämpfung]]=1,1,IF(Scharniere[[#This Row],[ohne Dämpfung]]=1,2,IF(Scharniere[[#This Row],[ohne Feder]]=1,3,0))),1,0)</f>
        <v>0</v>
      </c>
      <c r="Y372" s="359">
        <f>IF(Scharniere[[#This Row],[Bohrbild]]=select!$A$989,1,0)</f>
        <v>0</v>
      </c>
      <c r="Z372" s="359">
        <f>IF(IF(Scharniere[[#This Row],[Anschrauben]]=1,1,IF(Scharniere[[#This Row],[Einpressen]]=1,2,IF(Scharniere[[#This Row],[Quick]]=1,3,IF(Scharniere[[#This Row],[Werkzeuglos]]=1,4,0))))=select!$A$1003,1,0)</f>
        <v>0</v>
      </c>
      <c r="AA3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2" s="359">
        <f ca="1">IF(select!$K$980="*",Scharniere[[#This Row],[AG Ges2]],Scharniere[[#This Row],[AG Ges1]])</f>
        <v>0</v>
      </c>
      <c r="AE372" s="451">
        <f ca="1">IF(AND(Scharniere[[#This Row],[Scharnierart]]=select!$A$1485,Scharniere[[#This Row],[Gruppenschlüssel]]=select!$B$1485)=TRUE,1,0)</f>
        <v>0</v>
      </c>
      <c r="AF372" s="451">
        <f ca="1">IF(AND(Scharniere[[#This Row],[Scharnierart]]=select!$A$1486,Scharniere[[#This Row],[Gruppenschlüssel]]=select!$B$1486)=TRUE,1,0)</f>
        <v>0</v>
      </c>
      <c r="AG372" s="451">
        <f ca="1">IF(AND(Scharniere[[#This Row],[Scharnierart]]=select!$A$1487,Scharniere[[#This Row],[Gruppenschlüssel]]=select!$B$1487)=TRUE,1,0)</f>
        <v>0</v>
      </c>
      <c r="AH372" s="451">
        <f ca="1">IF(AND(Scharniere[[#This Row],[Scharnierart]]=select!$A$1488,Scharniere[[#This Row],[Gruppenschlüssel]]=select!$B$1488)=TRUE,1,0)</f>
        <v>0</v>
      </c>
      <c r="AI372" s="451">
        <f ca="1">IF(SUM(Scharniere[[#This Row],[konf Scharnier 1]:[konf Scharnier 4]])&gt;0,1,0)</f>
        <v>0</v>
      </c>
      <c r="AJ372" s="451"/>
      <c r="AK372" s="451"/>
      <c r="AL372" s="451"/>
      <c r="AM372" s="451"/>
      <c r="AN372" s="451"/>
      <c r="AO372" s="146">
        <v>1</v>
      </c>
      <c r="AP372" s="146">
        <v>2</v>
      </c>
      <c r="AQ372" s="10" t="str">
        <f ca="1">Sprache!$A$115</f>
        <v>Tiomos Scharnier TT Impresso</v>
      </c>
      <c r="AR372" t="s">
        <v>117</v>
      </c>
      <c r="AS372" t="str">
        <f ca="1">Sprache!$A$116</f>
        <v>Tiomos Impresso Scharniere</v>
      </c>
      <c r="AT372">
        <v>0</v>
      </c>
      <c r="AU372" s="10" t="s">
        <v>10</v>
      </c>
      <c r="AV372">
        <v>120</v>
      </c>
      <c r="AW372" s="10">
        <v>0</v>
      </c>
      <c r="AX372">
        <v>0</v>
      </c>
      <c r="AY372">
        <v>1</v>
      </c>
      <c r="AZ372" s="10">
        <v>0</v>
      </c>
      <c r="BA372">
        <v>0</v>
      </c>
      <c r="BB372">
        <v>0</v>
      </c>
      <c r="BC372">
        <v>1</v>
      </c>
      <c r="BD372" s="143" t="s">
        <v>213</v>
      </c>
      <c r="BG372"/>
    </row>
    <row r="373" spans="1:59" ht="14.25" customHeight="1" x14ac:dyDescent="0.25">
      <c r="A373" s="37" t="str">
        <f>LEFT(Scharniere[[#This Row],[ArtikelNR]],4)</f>
        <v>F035</v>
      </c>
      <c r="B373" s="35" t="str">
        <f>MID(Scharniere[[#This Row],[ArtikelNR]],5,3)</f>
        <v>139</v>
      </c>
      <c r="C373" s="37" t="str">
        <f>RIGHT(Scharniere[[#This Row],[ArtikelNR]],3)</f>
        <v>541</v>
      </c>
      <c r="D373" s="35">
        <f>IF(AND(Scharniere[[#This Row],[Gruppenschlüssel]]=select!$A$44,Scharniere[[#This Row],[Scharnierart]]=1)=TRUE,1,0)</f>
        <v>0</v>
      </c>
      <c r="E3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3" s="35">
        <f>IF(select!$F$57=IF(Scharniere[[#This Row],[mit Dämpfung]]=1,1,IF(Scharniere[[#This Row],[ohne Dämpfung]]=1,2,IF(Scharniere[[#This Row],[ohne Feder]]=1,3,0))),1,0)</f>
        <v>1</v>
      </c>
      <c r="G373" s="35">
        <f>IF(Scharniere[[#This Row],[Bohrbild]]=select!$V$43,1,0)</f>
        <v>0</v>
      </c>
      <c r="H373" s="35">
        <f>IF(IF(Scharniere[[#This Row],[Anschrauben]]=1,1,IF(Scharniere[[#This Row],[Einpressen]]=1,2,IF(Scharniere[[#This Row],[Quick]]=1,3,IF(Scharniere[[#This Row],[Werkzeuglos]]=1,4,0))))=select!$F$48,1,0)</f>
        <v>0</v>
      </c>
      <c r="I3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3" s="149">
        <f>IF(AND(Scharniere[[#This Row],[Scharnierart]]=2,Scharniere[[#This Row],[Gruppenschlüssel]]=select!$A$318)=TRUE,1,0)</f>
        <v>0</v>
      </c>
      <c r="K373" s="221">
        <f ca="1">IF(select!$O$424&lt;6,1,0)</f>
        <v>1</v>
      </c>
      <c r="L373" s="139">
        <f>IF(select!$A$362=IF(Scharniere[[#This Row],[mit Dämpfung]]=1,1,IF(Scharniere[[#This Row],[ohne Dämpfung]]=1,2,IF(Scharniere[[#This Row],[ohne Feder]]=1,3,0))),1,0)</f>
        <v>0</v>
      </c>
      <c r="M373" s="135">
        <f>IF(Scharniere[[#This Row],[Bohrbild]]=select!$O$334,1,0)</f>
        <v>0</v>
      </c>
      <c r="N373" s="135">
        <f>IF(IF(Scharniere[[#This Row],[Anschrauben]]=1,1,IF(Scharniere[[#This Row],[Einpressen]]=1,2,IF(Scharniere[[#This Row],[Quick]]=1,3,IF(Scharniere[[#This Row],[Werkzeuglos]]=1,4,0))))=select!$E$362,1,0)</f>
        <v>0</v>
      </c>
      <c r="O3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3" s="298">
        <f>IF(AND(Scharniere[[#This Row],[Scharnierart]]=3,Scharniere[[#This Row],[Gruppenschlüssel]]=select!$A$747)=TRUE,1,0)</f>
        <v>0</v>
      </c>
      <c r="Q373" s="298">
        <f ca="1">IF(select!$O$945&lt;6,1,0)</f>
        <v>1</v>
      </c>
      <c r="R373" s="298">
        <f>IF(select!$A$778=IF(Scharniere[[#This Row],[mit Dämpfung]]=1,1,IF(Scharniere[[#This Row],[ohne Dämpfung]]=1,2,IF(Scharniere[[#This Row],[ohne Feder]]=1,3,0))),1,0)</f>
        <v>0</v>
      </c>
      <c r="S373" s="298">
        <f>IF(Scharniere[[#This Row],[Bohrbild]]=select!$A$755,1,0)</f>
        <v>0</v>
      </c>
      <c r="T373" s="298">
        <f>IF(IF(Scharniere[[#This Row],[Anschrauben]]=1,1,IF(Scharniere[[#This Row],[Einpressen]]=1,2,IF(Scharniere[[#This Row],[Quick]]=1,3,IF(Scharniere[[#This Row],[Werkzeuglos]]=1,4,0))))=select!$A$769,1,0)</f>
        <v>0</v>
      </c>
      <c r="U3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3" s="359">
        <f>IF(AND(Scharniere[[#This Row],[Scharnierart]]=4,Scharniere[[#This Row],[Gruppenschlüssel]]=select!$A$981)=TRUE,1,0)</f>
        <v>0</v>
      </c>
      <c r="W373" s="359">
        <f ca="1">IF(select!$O$1185&lt;6,1,0)</f>
        <v>1</v>
      </c>
      <c r="X373" s="359">
        <f>IF(select!$A$1012=IF(Scharniere[[#This Row],[mit Dämpfung]]=1,1,IF(Scharniere[[#This Row],[ohne Dämpfung]]=1,2,IF(Scharniere[[#This Row],[ohne Feder]]=1,3,0))),1,0)</f>
        <v>0</v>
      </c>
      <c r="Y373" s="359">
        <f>IF(Scharniere[[#This Row],[Bohrbild]]=select!$A$989,1,0)</f>
        <v>0</v>
      </c>
      <c r="Z373" s="359">
        <f>IF(IF(Scharniere[[#This Row],[Anschrauben]]=1,1,IF(Scharniere[[#This Row],[Einpressen]]=1,2,IF(Scharniere[[#This Row],[Quick]]=1,3,IF(Scharniere[[#This Row],[Werkzeuglos]]=1,4,0))))=select!$A$1003,1,0)</f>
        <v>0</v>
      </c>
      <c r="AA3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3" s="359">
        <f ca="1">IF(select!$K$980="*",Scharniere[[#This Row],[AG Ges2]],Scharniere[[#This Row],[AG Ges1]])</f>
        <v>0</v>
      </c>
      <c r="AE373" s="451">
        <f ca="1">IF(AND(Scharniere[[#This Row],[Scharnierart]]=select!$A$1485,Scharniere[[#This Row],[Gruppenschlüssel]]=select!$B$1485)=TRUE,1,0)</f>
        <v>0</v>
      </c>
      <c r="AF373" s="451">
        <f ca="1">IF(AND(Scharniere[[#This Row],[Scharnierart]]=select!$A$1486,Scharniere[[#This Row],[Gruppenschlüssel]]=select!$B$1486)=TRUE,1,0)</f>
        <v>0</v>
      </c>
      <c r="AG373" s="451">
        <f ca="1">IF(AND(Scharniere[[#This Row],[Scharnierart]]=select!$A$1487,Scharniere[[#This Row],[Gruppenschlüssel]]=select!$B$1487)=TRUE,1,0)</f>
        <v>0</v>
      </c>
      <c r="AH373" s="451">
        <f ca="1">IF(AND(Scharniere[[#This Row],[Scharnierart]]=select!$A$1488,Scharniere[[#This Row],[Gruppenschlüssel]]=select!$B$1488)=TRUE,1,0)</f>
        <v>0</v>
      </c>
      <c r="AI373" s="451">
        <f ca="1">IF(SUM(Scharniere[[#This Row],[konf Scharnier 1]:[konf Scharnier 4]])&gt;0,1,0)</f>
        <v>0</v>
      </c>
      <c r="AJ373" s="451"/>
      <c r="AK373" s="451"/>
      <c r="AL373" s="451"/>
      <c r="AM373" s="451"/>
      <c r="AN373" s="451"/>
      <c r="AO373" s="146">
        <v>1</v>
      </c>
      <c r="AP373" s="146">
        <v>2</v>
      </c>
      <c r="AQ373" s="10" t="str">
        <f ca="1">Sprache!$A$115</f>
        <v>Tiomos Scharnier TT Impresso</v>
      </c>
      <c r="AR373" t="s">
        <v>117</v>
      </c>
      <c r="AS373" t="str">
        <f ca="1">Sprache!$A$116</f>
        <v>Tiomos Impresso Scharniere</v>
      </c>
      <c r="AT373">
        <v>0</v>
      </c>
      <c r="AU373" t="s">
        <v>11</v>
      </c>
      <c r="AV373">
        <v>120</v>
      </c>
      <c r="AW373" s="10">
        <v>0</v>
      </c>
      <c r="AX373">
        <v>0</v>
      </c>
      <c r="AY373">
        <v>1</v>
      </c>
      <c r="AZ373" s="10">
        <v>0</v>
      </c>
      <c r="BA373">
        <v>0</v>
      </c>
      <c r="BB373">
        <v>0</v>
      </c>
      <c r="BC373">
        <v>1</v>
      </c>
      <c r="BD373" s="143" t="s">
        <v>213</v>
      </c>
      <c r="BG373"/>
    </row>
    <row r="374" spans="1:59" ht="14.25" customHeight="1" x14ac:dyDescent="0.25">
      <c r="A374" s="37" t="str">
        <f>LEFT(Scharniere[[#This Row],[ArtikelNR]],4)</f>
        <v>F045</v>
      </c>
      <c r="B374" s="35" t="str">
        <f>MID(Scharniere[[#This Row],[ArtikelNR]],5,3)</f>
        <v>138</v>
      </c>
      <c r="C374" s="37" t="str">
        <f>RIGHT(Scharniere[[#This Row],[ArtikelNR]],3)</f>
        <v>032</v>
      </c>
      <c r="D374" s="35">
        <f>IF(AND(Scharniere[[#This Row],[Gruppenschlüssel]]=select!$A$44,Scharniere[[#This Row],[Scharnierart]]=1)=TRUE,1,0)</f>
        <v>0</v>
      </c>
      <c r="E3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4" s="35">
        <f>IF(select!$F$57=IF(Scharniere[[#This Row],[mit Dämpfung]]=1,1,IF(Scharniere[[#This Row],[ohne Dämpfung]]=1,2,IF(Scharniere[[#This Row],[ohne Feder]]=1,3,0))),1,0)</f>
        <v>0</v>
      </c>
      <c r="G374" s="35">
        <f>IF(Scharniere[[#This Row],[Bohrbild]]=select!$V$43,1,0)</f>
        <v>1</v>
      </c>
      <c r="H374" s="35">
        <f>IF(IF(Scharniere[[#This Row],[Anschrauben]]=1,1,IF(Scharniere[[#This Row],[Einpressen]]=1,2,IF(Scharniere[[#This Row],[Quick]]=1,3,IF(Scharniere[[#This Row],[Werkzeuglos]]=1,4,0))))=select!$F$48,1,0)</f>
        <v>1</v>
      </c>
      <c r="I3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4" s="149">
        <f>IF(AND(Scharniere[[#This Row],[Scharnierart]]=2,Scharniere[[#This Row],[Gruppenschlüssel]]=select!$A$318)=TRUE,1,0)</f>
        <v>0</v>
      </c>
      <c r="K374" s="221">
        <f ca="1">IF(select!$O$424&lt;6,1,0)</f>
        <v>1</v>
      </c>
      <c r="L374" s="139">
        <f>IF(select!$A$362=IF(Scharniere[[#This Row],[mit Dämpfung]]=1,1,IF(Scharniere[[#This Row],[ohne Dämpfung]]=1,2,IF(Scharniere[[#This Row],[ohne Feder]]=1,3,0))),1,0)</f>
        <v>0</v>
      </c>
      <c r="M374" s="135">
        <f>IF(Scharniere[[#This Row],[Bohrbild]]=select!$O$334,1,0)</f>
        <v>1</v>
      </c>
      <c r="N374" s="135">
        <f>IF(IF(Scharniere[[#This Row],[Anschrauben]]=1,1,IF(Scharniere[[#This Row],[Einpressen]]=1,2,IF(Scharniere[[#This Row],[Quick]]=1,3,IF(Scharniere[[#This Row],[Werkzeuglos]]=1,4,0))))=select!$E$362,1,0)</f>
        <v>0</v>
      </c>
      <c r="O3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4" s="298">
        <f>IF(AND(Scharniere[[#This Row],[Scharnierart]]=3,Scharniere[[#This Row],[Gruppenschlüssel]]=select!$A$747)=TRUE,1,0)</f>
        <v>0</v>
      </c>
      <c r="Q374" s="298">
        <f ca="1">IF(select!$O$945&lt;6,1,0)</f>
        <v>1</v>
      </c>
      <c r="R374" s="298">
        <f>IF(select!$A$778=IF(Scharniere[[#This Row],[mit Dämpfung]]=1,1,IF(Scharniere[[#This Row],[ohne Dämpfung]]=1,2,IF(Scharniere[[#This Row],[ohne Feder]]=1,3,0))),1,0)</f>
        <v>1</v>
      </c>
      <c r="S374" s="298">
        <f>IF(Scharniere[[#This Row],[Bohrbild]]=select!$A$755,1,0)</f>
        <v>0</v>
      </c>
      <c r="T374" s="298">
        <f>IF(IF(Scharniere[[#This Row],[Anschrauben]]=1,1,IF(Scharniere[[#This Row],[Einpressen]]=1,2,IF(Scharniere[[#This Row],[Quick]]=1,3,IF(Scharniere[[#This Row],[Werkzeuglos]]=1,4,0))))=select!$A$769,1,0)</f>
        <v>0</v>
      </c>
      <c r="U3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4" s="359">
        <f>IF(AND(Scharniere[[#This Row],[Scharnierart]]=4,Scharniere[[#This Row],[Gruppenschlüssel]]=select!$A$981)=TRUE,1,0)</f>
        <v>0</v>
      </c>
      <c r="W374" s="359">
        <f ca="1">IF(select!$O$1185&lt;6,1,0)</f>
        <v>1</v>
      </c>
      <c r="X374" s="359">
        <f>IF(select!$A$1012=IF(Scharniere[[#This Row],[mit Dämpfung]]=1,1,IF(Scharniere[[#This Row],[ohne Dämpfung]]=1,2,IF(Scharniere[[#This Row],[ohne Feder]]=1,3,0))),1,0)</f>
        <v>1</v>
      </c>
      <c r="Y374" s="359">
        <f>IF(Scharniere[[#This Row],[Bohrbild]]=select!$A$989,1,0)</f>
        <v>0</v>
      </c>
      <c r="Z374" s="359">
        <f>IF(IF(Scharniere[[#This Row],[Anschrauben]]=1,1,IF(Scharniere[[#This Row],[Einpressen]]=1,2,IF(Scharniere[[#This Row],[Quick]]=1,3,IF(Scharniere[[#This Row],[Werkzeuglos]]=1,4,0))))=select!$A$1003,1,0)</f>
        <v>0</v>
      </c>
      <c r="AA3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4" s="359">
        <f ca="1">IF(select!$K$980="*",Scharniere[[#This Row],[AG Ges2]],Scharniere[[#This Row],[AG Ges1]])</f>
        <v>0</v>
      </c>
      <c r="AE374" s="451">
        <f ca="1">IF(AND(Scharniere[[#This Row],[Scharnierart]]=select!$A$1485,Scharniere[[#This Row],[Gruppenschlüssel]]=select!$B$1485)=TRUE,1,0)</f>
        <v>0</v>
      </c>
      <c r="AF374" s="451">
        <f ca="1">IF(AND(Scharniere[[#This Row],[Scharnierart]]=select!$A$1486,Scharniere[[#This Row],[Gruppenschlüssel]]=select!$B$1486)=TRUE,1,0)</f>
        <v>0</v>
      </c>
      <c r="AG374" s="451">
        <f ca="1">IF(AND(Scharniere[[#This Row],[Scharnierart]]=select!$A$1487,Scharniere[[#This Row],[Gruppenschlüssel]]=select!$B$1487)=TRUE,1,0)</f>
        <v>0</v>
      </c>
      <c r="AH374" s="451">
        <f ca="1">IF(AND(Scharniere[[#This Row],[Scharnierart]]=select!$A$1488,Scharniere[[#This Row],[Gruppenschlüssel]]=select!$B$1488)=TRUE,1,0)</f>
        <v>0</v>
      </c>
      <c r="AI374" s="451">
        <f ca="1">IF(SUM(Scharniere[[#This Row],[konf Scharnier 1]:[konf Scharnier 4]])&gt;0,1,0)</f>
        <v>0</v>
      </c>
      <c r="AJ374" s="451"/>
      <c r="AK374" s="451"/>
      <c r="AL374" s="451"/>
      <c r="AM374" s="451"/>
      <c r="AN374" s="451"/>
      <c r="AO374" s="146">
        <v>1</v>
      </c>
      <c r="AP374" s="146">
        <v>2</v>
      </c>
      <c r="AQ374" s="10" t="str">
        <f ca="1">Sprache!$A$110</f>
        <v>Tiomos Scharnier T Click-on</v>
      </c>
      <c r="AR374" t="str">
        <f ca="1">"120°, M-BB, K00, "&amp;Sprache!A181&amp;", ni"</f>
        <v>120°, M-BB, K00, Dübel, ni</v>
      </c>
      <c r="AS374" t="str">
        <f ca="1">Sprache!$A$103</f>
        <v>Tiomos Click-On Scharniere</v>
      </c>
      <c r="AT374">
        <v>0</v>
      </c>
      <c r="AU374" s="34" t="s">
        <v>8</v>
      </c>
      <c r="AV374">
        <v>120</v>
      </c>
      <c r="AW374" s="10">
        <v>0</v>
      </c>
      <c r="AX374">
        <v>1</v>
      </c>
      <c r="AY374">
        <v>0</v>
      </c>
      <c r="AZ374" s="10">
        <v>0</v>
      </c>
      <c r="BA374">
        <v>1</v>
      </c>
      <c r="BB374">
        <v>0</v>
      </c>
      <c r="BC374">
        <v>0</v>
      </c>
      <c r="BD374" s="143" t="s">
        <v>440</v>
      </c>
      <c r="BG374"/>
    </row>
    <row r="375" spans="1:59" ht="14.25" customHeight="1" x14ac:dyDescent="0.25">
      <c r="A375" s="37" t="str">
        <f>LEFT(Scharniere[[#This Row],[ArtikelNR]],4)</f>
        <v>F028</v>
      </c>
      <c r="B375" s="35" t="str">
        <f>MID(Scharniere[[#This Row],[ArtikelNR]],5,3)</f>
        <v>138</v>
      </c>
      <c r="C375" s="37" t="str">
        <f>RIGHT(Scharniere[[#This Row],[ArtikelNR]],3)</f>
        <v>125</v>
      </c>
      <c r="D375" s="35">
        <f>IF(AND(Scharniere[[#This Row],[Gruppenschlüssel]]=select!$A$44,Scharniere[[#This Row],[Scharnierart]]=1)=TRUE,1,0)</f>
        <v>0</v>
      </c>
      <c r="E3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5" s="35">
        <f>IF(select!$F$57=IF(Scharniere[[#This Row],[mit Dämpfung]]=1,1,IF(Scharniere[[#This Row],[ohne Dämpfung]]=1,2,IF(Scharniere[[#This Row],[ohne Feder]]=1,3,0))),1,0)</f>
        <v>0</v>
      </c>
      <c r="G375" s="35">
        <f>IF(Scharniere[[#This Row],[Bohrbild]]=select!$V$43,1,0)</f>
        <v>1</v>
      </c>
      <c r="H375" s="35">
        <f>IF(IF(Scharniere[[#This Row],[Anschrauben]]=1,1,IF(Scharniere[[#This Row],[Einpressen]]=1,2,IF(Scharniere[[#This Row],[Quick]]=1,3,IF(Scharniere[[#This Row],[Werkzeuglos]]=1,4,0))))=select!$F$48,1,0)</f>
        <v>1</v>
      </c>
      <c r="I3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5" s="149">
        <f>IF(AND(Scharniere[[#This Row],[Scharnierart]]=2,Scharniere[[#This Row],[Gruppenschlüssel]]=select!$A$318)=TRUE,1,0)</f>
        <v>0</v>
      </c>
      <c r="K375" s="221">
        <f ca="1">IF(select!$O$424&lt;6,1,0)</f>
        <v>1</v>
      </c>
      <c r="L375" s="139">
        <f>IF(select!$A$362=IF(Scharniere[[#This Row],[mit Dämpfung]]=1,1,IF(Scharniere[[#This Row],[ohne Dämpfung]]=1,2,IF(Scharniere[[#This Row],[ohne Feder]]=1,3,0))),1,0)</f>
        <v>1</v>
      </c>
      <c r="M375" s="135">
        <f>IF(Scharniere[[#This Row],[Bohrbild]]=select!$O$334,1,0)</f>
        <v>1</v>
      </c>
      <c r="N375" s="135">
        <f>IF(IF(Scharniere[[#This Row],[Anschrauben]]=1,1,IF(Scharniere[[#This Row],[Einpressen]]=1,2,IF(Scharniere[[#This Row],[Quick]]=1,3,IF(Scharniere[[#This Row],[Werkzeuglos]]=1,4,0))))=select!$E$362,1,0)</f>
        <v>0</v>
      </c>
      <c r="O3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5" s="298">
        <f>IF(AND(Scharniere[[#This Row],[Scharnierart]]=3,Scharniere[[#This Row],[Gruppenschlüssel]]=select!$A$747)=TRUE,1,0)</f>
        <v>0</v>
      </c>
      <c r="Q375" s="298">
        <f ca="1">IF(select!$O$945&lt;6,1,0)</f>
        <v>1</v>
      </c>
      <c r="R375" s="298">
        <f>IF(select!$A$778=IF(Scharniere[[#This Row],[mit Dämpfung]]=1,1,IF(Scharniere[[#This Row],[ohne Dämpfung]]=1,2,IF(Scharniere[[#This Row],[ohne Feder]]=1,3,0))),1,0)</f>
        <v>0</v>
      </c>
      <c r="S375" s="298">
        <f>IF(Scharniere[[#This Row],[Bohrbild]]=select!$A$755,1,0)</f>
        <v>0</v>
      </c>
      <c r="T375" s="298">
        <f>IF(IF(Scharniere[[#This Row],[Anschrauben]]=1,1,IF(Scharniere[[#This Row],[Einpressen]]=1,2,IF(Scharniere[[#This Row],[Quick]]=1,3,IF(Scharniere[[#This Row],[Werkzeuglos]]=1,4,0))))=select!$A$769,1,0)</f>
        <v>0</v>
      </c>
      <c r="U3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5" s="359">
        <f>IF(AND(Scharniere[[#This Row],[Scharnierart]]=4,Scharniere[[#This Row],[Gruppenschlüssel]]=select!$A$981)=TRUE,1,0)</f>
        <v>0</v>
      </c>
      <c r="W375" s="359">
        <f ca="1">IF(select!$O$1185&lt;6,1,0)</f>
        <v>1</v>
      </c>
      <c r="X375" s="359">
        <f>IF(select!$A$1012=IF(Scharniere[[#This Row],[mit Dämpfung]]=1,1,IF(Scharniere[[#This Row],[ohne Dämpfung]]=1,2,IF(Scharniere[[#This Row],[ohne Feder]]=1,3,0))),1,0)</f>
        <v>0</v>
      </c>
      <c r="Y375" s="359">
        <f>IF(Scharniere[[#This Row],[Bohrbild]]=select!$A$989,1,0)</f>
        <v>0</v>
      </c>
      <c r="Z375" s="359">
        <f>IF(IF(Scharniere[[#This Row],[Anschrauben]]=1,1,IF(Scharniere[[#This Row],[Einpressen]]=1,2,IF(Scharniere[[#This Row],[Quick]]=1,3,IF(Scharniere[[#This Row],[Werkzeuglos]]=1,4,0))))=select!$A$1003,1,0)</f>
        <v>0</v>
      </c>
      <c r="AA3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5" s="359">
        <f ca="1">IF(select!$K$980="*",Scharniere[[#This Row],[AG Ges2]],Scharniere[[#This Row],[AG Ges1]])</f>
        <v>0</v>
      </c>
      <c r="AE375" s="451">
        <f ca="1">IF(AND(Scharniere[[#This Row],[Scharnierart]]=select!$A$1485,Scharniere[[#This Row],[Gruppenschlüssel]]=select!$B$1485)=TRUE,1,0)</f>
        <v>0</v>
      </c>
      <c r="AF375" s="451">
        <f ca="1">IF(AND(Scharniere[[#This Row],[Scharnierart]]=select!$A$1486,Scharniere[[#This Row],[Gruppenschlüssel]]=select!$B$1486)=TRUE,1,0)</f>
        <v>0</v>
      </c>
      <c r="AG375" s="451">
        <f ca="1">IF(AND(Scharniere[[#This Row],[Scharnierart]]=select!$A$1487,Scharniere[[#This Row],[Gruppenschlüssel]]=select!$B$1487)=TRUE,1,0)</f>
        <v>0</v>
      </c>
      <c r="AH375" s="451">
        <f ca="1">IF(AND(Scharniere[[#This Row],[Scharnierart]]=select!$A$1488,Scharniere[[#This Row],[Gruppenschlüssel]]=select!$B$1488)=TRUE,1,0)</f>
        <v>0</v>
      </c>
      <c r="AI375" s="451">
        <f ca="1">IF(SUM(Scharniere[[#This Row],[konf Scharnier 1]:[konf Scharnier 4]])&gt;0,1,0)</f>
        <v>0</v>
      </c>
      <c r="AJ375" s="451"/>
      <c r="AK375" s="451"/>
      <c r="AL375" s="451"/>
      <c r="AM375" s="451"/>
      <c r="AN375" s="451"/>
      <c r="AO375" s="146">
        <v>1</v>
      </c>
      <c r="AP375" s="146">
        <v>2</v>
      </c>
      <c r="AQ375" s="10" t="str">
        <f ca="1">Sprache!$A$112</f>
        <v>Tiomos Scharnier TS Click-on</v>
      </c>
      <c r="AR375" t="str">
        <f ca="1">"120°, M-BB, K00, "&amp;Sprache!A181&amp;", ni"</f>
        <v>120°, M-BB, K00, Dübel, ni</v>
      </c>
      <c r="AS375" t="str">
        <f ca="1">Sprache!$A$103</f>
        <v>Tiomos Click-On Scharniere</v>
      </c>
      <c r="AT375">
        <v>0</v>
      </c>
      <c r="AU375" s="10" t="s">
        <v>8</v>
      </c>
      <c r="AV375">
        <v>120</v>
      </c>
      <c r="AW375" s="10">
        <v>1</v>
      </c>
      <c r="AX375">
        <v>0</v>
      </c>
      <c r="AY375">
        <v>0</v>
      </c>
      <c r="AZ375" s="10">
        <v>0</v>
      </c>
      <c r="BA375">
        <v>1</v>
      </c>
      <c r="BB375">
        <v>0</v>
      </c>
      <c r="BC375">
        <v>0</v>
      </c>
      <c r="BD375" s="143" t="s">
        <v>242</v>
      </c>
      <c r="BG375"/>
    </row>
    <row r="376" spans="1:59" ht="14.25" customHeight="1" x14ac:dyDescent="0.25">
      <c r="A376" s="37" t="str">
        <f>LEFT(Scharniere[[#This Row],[ArtikelNR]],4)</f>
        <v>F046</v>
      </c>
      <c r="B376" s="35" t="str">
        <f>MID(Scharniere[[#This Row],[ArtikelNR]],5,3)</f>
        <v>138</v>
      </c>
      <c r="C376" s="37" t="str">
        <f>RIGHT(Scharniere[[#This Row],[ArtikelNR]],3)</f>
        <v>216</v>
      </c>
      <c r="D376" s="35">
        <f>IF(AND(Scharniere[[#This Row],[Gruppenschlüssel]]=select!$A$44,Scharniere[[#This Row],[Scharnierart]]=1)=TRUE,1,0)</f>
        <v>0</v>
      </c>
      <c r="E3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6" s="35">
        <f>IF(select!$F$57=IF(Scharniere[[#This Row],[mit Dämpfung]]=1,1,IF(Scharniere[[#This Row],[ohne Dämpfung]]=1,2,IF(Scharniere[[#This Row],[ohne Feder]]=1,3,0))),1,0)</f>
        <v>1</v>
      </c>
      <c r="G376" s="35">
        <f>IF(Scharniere[[#This Row],[Bohrbild]]=select!$V$43,1,0)</f>
        <v>1</v>
      </c>
      <c r="H376" s="35">
        <f>IF(IF(Scharniere[[#This Row],[Anschrauben]]=1,1,IF(Scharniere[[#This Row],[Einpressen]]=1,2,IF(Scharniere[[#This Row],[Quick]]=1,3,IF(Scharniere[[#This Row],[Werkzeuglos]]=1,4,0))))=select!$F$48,1,0)</f>
        <v>1</v>
      </c>
      <c r="I3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6" s="149">
        <f>IF(AND(Scharniere[[#This Row],[Scharnierart]]=2,Scharniere[[#This Row],[Gruppenschlüssel]]=select!$A$318)=TRUE,1,0)</f>
        <v>0</v>
      </c>
      <c r="K376" s="221">
        <f ca="1">IF(select!$O$424&lt;6,1,0)</f>
        <v>1</v>
      </c>
      <c r="L376" s="139">
        <f>IF(select!$A$362=IF(Scharniere[[#This Row],[mit Dämpfung]]=1,1,IF(Scharniere[[#This Row],[ohne Dämpfung]]=1,2,IF(Scharniere[[#This Row],[ohne Feder]]=1,3,0))),1,0)</f>
        <v>0</v>
      </c>
      <c r="M376" s="135">
        <f>IF(Scharniere[[#This Row],[Bohrbild]]=select!$O$334,1,0)</f>
        <v>1</v>
      </c>
      <c r="N376" s="135">
        <f>IF(IF(Scharniere[[#This Row],[Anschrauben]]=1,1,IF(Scharniere[[#This Row],[Einpressen]]=1,2,IF(Scharniere[[#This Row],[Quick]]=1,3,IF(Scharniere[[#This Row],[Werkzeuglos]]=1,4,0))))=select!$E$362,1,0)</f>
        <v>0</v>
      </c>
      <c r="O3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6" s="298">
        <f>IF(AND(Scharniere[[#This Row],[Scharnierart]]=3,Scharniere[[#This Row],[Gruppenschlüssel]]=select!$A$747)=TRUE,1,0)</f>
        <v>0</v>
      </c>
      <c r="Q376" s="298">
        <f ca="1">IF(select!$O$945&lt;6,1,0)</f>
        <v>1</v>
      </c>
      <c r="R376" s="298">
        <f>IF(select!$A$778=IF(Scharniere[[#This Row],[mit Dämpfung]]=1,1,IF(Scharniere[[#This Row],[ohne Dämpfung]]=1,2,IF(Scharniere[[#This Row],[ohne Feder]]=1,3,0))),1,0)</f>
        <v>0</v>
      </c>
      <c r="S376" s="298">
        <f>IF(Scharniere[[#This Row],[Bohrbild]]=select!$A$755,1,0)</f>
        <v>0</v>
      </c>
      <c r="T376" s="298">
        <f>IF(IF(Scharniere[[#This Row],[Anschrauben]]=1,1,IF(Scharniere[[#This Row],[Einpressen]]=1,2,IF(Scharniere[[#This Row],[Quick]]=1,3,IF(Scharniere[[#This Row],[Werkzeuglos]]=1,4,0))))=select!$A$769,1,0)</f>
        <v>0</v>
      </c>
      <c r="U3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6" s="359">
        <f>IF(AND(Scharniere[[#This Row],[Scharnierart]]=4,Scharniere[[#This Row],[Gruppenschlüssel]]=select!$A$981)=TRUE,1,0)</f>
        <v>0</v>
      </c>
      <c r="W376" s="359">
        <f ca="1">IF(select!$O$1185&lt;6,1,0)</f>
        <v>1</v>
      </c>
      <c r="X376" s="359">
        <f>IF(select!$A$1012=IF(Scharniere[[#This Row],[mit Dämpfung]]=1,1,IF(Scharniere[[#This Row],[ohne Dämpfung]]=1,2,IF(Scharniere[[#This Row],[ohne Feder]]=1,3,0))),1,0)</f>
        <v>0</v>
      </c>
      <c r="Y376" s="359">
        <f>IF(Scharniere[[#This Row],[Bohrbild]]=select!$A$989,1,0)</f>
        <v>0</v>
      </c>
      <c r="Z376" s="359">
        <f>IF(IF(Scharniere[[#This Row],[Anschrauben]]=1,1,IF(Scharniere[[#This Row],[Einpressen]]=1,2,IF(Scharniere[[#This Row],[Quick]]=1,3,IF(Scharniere[[#This Row],[Werkzeuglos]]=1,4,0))))=select!$A$1003,1,0)</f>
        <v>0</v>
      </c>
      <c r="AA3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6" s="359">
        <f ca="1">IF(select!$K$980="*",Scharniere[[#This Row],[AG Ges2]],Scharniere[[#This Row],[AG Ges1]])</f>
        <v>0</v>
      </c>
      <c r="AE376" s="451">
        <f ca="1">IF(AND(Scharniere[[#This Row],[Scharnierart]]=select!$A$1485,Scharniere[[#This Row],[Gruppenschlüssel]]=select!$B$1485)=TRUE,1,0)</f>
        <v>0</v>
      </c>
      <c r="AF376" s="451">
        <f ca="1">IF(AND(Scharniere[[#This Row],[Scharnierart]]=select!$A$1486,Scharniere[[#This Row],[Gruppenschlüssel]]=select!$B$1486)=TRUE,1,0)</f>
        <v>0</v>
      </c>
      <c r="AG376" s="451">
        <f ca="1">IF(AND(Scharniere[[#This Row],[Scharnierart]]=select!$A$1487,Scharniere[[#This Row],[Gruppenschlüssel]]=select!$B$1487)=TRUE,1,0)</f>
        <v>0</v>
      </c>
      <c r="AH376" s="451">
        <f ca="1">IF(AND(Scharniere[[#This Row],[Scharnierart]]=select!$A$1488,Scharniere[[#This Row],[Gruppenschlüssel]]=select!$B$1488)=TRUE,1,0)</f>
        <v>0</v>
      </c>
      <c r="AI376" s="451">
        <f ca="1">IF(SUM(Scharniere[[#This Row],[konf Scharnier 1]:[konf Scharnier 4]])&gt;0,1,0)</f>
        <v>0</v>
      </c>
      <c r="AJ376" s="451"/>
      <c r="AK376" s="451"/>
      <c r="AL376" s="451"/>
      <c r="AM376" s="451"/>
      <c r="AN376" s="451"/>
      <c r="AO376" s="146">
        <v>1</v>
      </c>
      <c r="AP376" s="146">
        <v>2</v>
      </c>
      <c r="AQ376" s="10" t="str">
        <f ca="1">Sprache!$A$114</f>
        <v>Tiomos Scharnier TT Click-on</v>
      </c>
      <c r="AR376" t="str">
        <f ca="1">"120°, M-BB, K00, "&amp;Sprache!A181&amp;", ni"</f>
        <v>120°, M-BB, K00, Dübel, ni</v>
      </c>
      <c r="AS376" t="str">
        <f ca="1">Sprache!$A$103</f>
        <v>Tiomos Click-On Scharniere</v>
      </c>
      <c r="AT376">
        <v>0</v>
      </c>
      <c r="AU376" s="34" t="s">
        <v>8</v>
      </c>
      <c r="AV376">
        <v>120</v>
      </c>
      <c r="AW376" s="10">
        <v>0</v>
      </c>
      <c r="AX376">
        <v>0</v>
      </c>
      <c r="AY376">
        <v>1</v>
      </c>
      <c r="AZ376" s="10">
        <v>0</v>
      </c>
      <c r="BA376">
        <v>1</v>
      </c>
      <c r="BB376">
        <v>0</v>
      </c>
      <c r="BC376">
        <v>0</v>
      </c>
      <c r="BD376" s="143" t="s">
        <v>592</v>
      </c>
      <c r="BG376"/>
    </row>
    <row r="377" spans="1:59" ht="14.25" customHeight="1" x14ac:dyDescent="0.25">
      <c r="A377" s="37" t="str">
        <f>LEFT(Scharniere[[#This Row],[ArtikelNR]],4)</f>
        <v>F045</v>
      </c>
      <c r="B377" s="35" t="str">
        <f>MID(Scharniere[[#This Row],[ArtikelNR]],5,3)</f>
        <v>138</v>
      </c>
      <c r="C377" s="37" t="str">
        <f>RIGHT(Scharniere[[#This Row],[ArtikelNR]],3)</f>
        <v>028</v>
      </c>
      <c r="D377" s="35">
        <f>IF(AND(Scharniere[[#This Row],[Gruppenschlüssel]]=select!$A$44,Scharniere[[#This Row],[Scharnierart]]=1)=TRUE,1,0)</f>
        <v>0</v>
      </c>
      <c r="E3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7" s="35">
        <f>IF(select!$F$57=IF(Scharniere[[#This Row],[mit Dämpfung]]=1,1,IF(Scharniere[[#This Row],[ohne Dämpfung]]=1,2,IF(Scharniere[[#This Row],[ohne Feder]]=1,3,0))),1,0)</f>
        <v>0</v>
      </c>
      <c r="G377" s="35">
        <f>IF(Scharniere[[#This Row],[Bohrbild]]=select!$V$43,1,0)</f>
        <v>1</v>
      </c>
      <c r="H377" s="35">
        <f>IF(IF(Scharniere[[#This Row],[Anschrauben]]=1,1,IF(Scharniere[[#This Row],[Einpressen]]=1,2,IF(Scharniere[[#This Row],[Quick]]=1,3,IF(Scharniere[[#This Row],[Werkzeuglos]]=1,4,0))))=select!$F$48,1,0)</f>
        <v>0</v>
      </c>
      <c r="I3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7" s="149">
        <f>IF(AND(Scharniere[[#This Row],[Scharnierart]]=2,Scharniere[[#This Row],[Gruppenschlüssel]]=select!$A$318)=TRUE,1,0)</f>
        <v>0</v>
      </c>
      <c r="K377" s="221">
        <f ca="1">IF(select!$O$424&lt;6,1,0)</f>
        <v>1</v>
      </c>
      <c r="L377" s="139">
        <f>IF(select!$A$362=IF(Scharniere[[#This Row],[mit Dämpfung]]=1,1,IF(Scharniere[[#This Row],[ohne Dämpfung]]=1,2,IF(Scharniere[[#This Row],[ohne Feder]]=1,3,0))),1,0)</f>
        <v>0</v>
      </c>
      <c r="M377" s="135">
        <f>IF(Scharniere[[#This Row],[Bohrbild]]=select!$O$334,1,0)</f>
        <v>1</v>
      </c>
      <c r="N377" s="135">
        <f>IF(IF(Scharniere[[#This Row],[Anschrauben]]=1,1,IF(Scharniere[[#This Row],[Einpressen]]=1,2,IF(Scharniere[[#This Row],[Quick]]=1,3,IF(Scharniere[[#This Row],[Werkzeuglos]]=1,4,0))))=select!$E$362,1,0)</f>
        <v>1</v>
      </c>
      <c r="O3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7" s="298">
        <f>IF(AND(Scharniere[[#This Row],[Scharnierart]]=3,Scharniere[[#This Row],[Gruppenschlüssel]]=select!$A$747)=TRUE,1,0)</f>
        <v>0</v>
      </c>
      <c r="Q377" s="298">
        <f ca="1">IF(select!$O$945&lt;6,1,0)</f>
        <v>1</v>
      </c>
      <c r="R377" s="298">
        <f>IF(select!$A$778=IF(Scharniere[[#This Row],[mit Dämpfung]]=1,1,IF(Scharniere[[#This Row],[ohne Dämpfung]]=1,2,IF(Scharniere[[#This Row],[ohne Feder]]=1,3,0))),1,0)</f>
        <v>1</v>
      </c>
      <c r="S377" s="298">
        <f>IF(Scharniere[[#This Row],[Bohrbild]]=select!$A$755,1,0)</f>
        <v>0</v>
      </c>
      <c r="T377" s="298">
        <f>IF(IF(Scharniere[[#This Row],[Anschrauben]]=1,1,IF(Scharniere[[#This Row],[Einpressen]]=1,2,IF(Scharniere[[#This Row],[Quick]]=1,3,IF(Scharniere[[#This Row],[Werkzeuglos]]=1,4,0))))=select!$A$769,1,0)</f>
        <v>1</v>
      </c>
      <c r="U3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7" s="359">
        <f>IF(AND(Scharniere[[#This Row],[Scharnierart]]=4,Scharniere[[#This Row],[Gruppenschlüssel]]=select!$A$981)=TRUE,1,0)</f>
        <v>0</v>
      </c>
      <c r="W377" s="359">
        <f ca="1">IF(select!$O$1185&lt;6,1,0)</f>
        <v>1</v>
      </c>
      <c r="X377" s="359">
        <f>IF(select!$A$1012=IF(Scharniere[[#This Row],[mit Dämpfung]]=1,1,IF(Scharniere[[#This Row],[ohne Dämpfung]]=1,2,IF(Scharniere[[#This Row],[ohne Feder]]=1,3,0))),1,0)</f>
        <v>1</v>
      </c>
      <c r="Y377" s="359">
        <f>IF(Scharniere[[#This Row],[Bohrbild]]=select!$A$989,1,0)</f>
        <v>0</v>
      </c>
      <c r="Z377" s="359">
        <f>IF(IF(Scharniere[[#This Row],[Anschrauben]]=1,1,IF(Scharniere[[#This Row],[Einpressen]]=1,2,IF(Scharniere[[#This Row],[Quick]]=1,3,IF(Scharniere[[#This Row],[Werkzeuglos]]=1,4,0))))=select!$A$1003,1,0)</f>
        <v>1</v>
      </c>
      <c r="AA3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7" s="359">
        <f ca="1">IF(select!$K$980="*",Scharniere[[#This Row],[AG Ges2]],Scharniere[[#This Row],[AG Ges1]])</f>
        <v>0</v>
      </c>
      <c r="AE377" s="451">
        <f ca="1">IF(AND(Scharniere[[#This Row],[Scharnierart]]=select!$A$1485,Scharniere[[#This Row],[Gruppenschlüssel]]=select!$B$1485)=TRUE,1,0)</f>
        <v>0</v>
      </c>
      <c r="AF377" s="451">
        <f ca="1">IF(AND(Scharniere[[#This Row],[Scharnierart]]=select!$A$1486,Scharniere[[#This Row],[Gruppenschlüssel]]=select!$B$1486)=TRUE,1,0)</f>
        <v>0</v>
      </c>
      <c r="AG377" s="451">
        <f ca="1">IF(AND(Scharniere[[#This Row],[Scharnierart]]=select!$A$1487,Scharniere[[#This Row],[Gruppenschlüssel]]=select!$B$1487)=TRUE,1,0)</f>
        <v>0</v>
      </c>
      <c r="AH377" s="451">
        <f ca="1">IF(AND(Scharniere[[#This Row],[Scharnierart]]=select!$A$1488,Scharniere[[#This Row],[Gruppenschlüssel]]=select!$B$1488)=TRUE,1,0)</f>
        <v>0</v>
      </c>
      <c r="AI377" s="451">
        <f ca="1">IF(SUM(Scharniere[[#This Row],[konf Scharnier 1]:[konf Scharnier 4]])&gt;0,1,0)</f>
        <v>0</v>
      </c>
      <c r="AJ377" s="451"/>
      <c r="AK377" s="451"/>
      <c r="AL377" s="451"/>
      <c r="AM377" s="451"/>
      <c r="AN377" s="451"/>
      <c r="AO377" s="146">
        <v>1</v>
      </c>
      <c r="AP377" s="146">
        <v>2</v>
      </c>
      <c r="AQ377" s="10" t="str">
        <f ca="1">Sprache!$A$110</f>
        <v>Tiomos Scharnier T Click-on</v>
      </c>
      <c r="AR377" t="s">
        <v>238</v>
      </c>
      <c r="AS377" t="str">
        <f ca="1">Sprache!$A$103</f>
        <v>Tiomos Click-On Scharniere</v>
      </c>
      <c r="AT377">
        <v>0</v>
      </c>
      <c r="AU377" s="34" t="s">
        <v>8</v>
      </c>
      <c r="AV377">
        <v>120</v>
      </c>
      <c r="AW377" s="10">
        <v>0</v>
      </c>
      <c r="AX377">
        <v>1</v>
      </c>
      <c r="AY377">
        <v>0</v>
      </c>
      <c r="AZ377" s="10">
        <v>1</v>
      </c>
      <c r="BA377">
        <v>0</v>
      </c>
      <c r="BB377">
        <v>0</v>
      </c>
      <c r="BC377">
        <v>0</v>
      </c>
      <c r="BD377" s="143" t="s">
        <v>437</v>
      </c>
      <c r="BG377"/>
    </row>
    <row r="378" spans="1:59" ht="14.25" customHeight="1" x14ac:dyDescent="0.25">
      <c r="A378" s="37" t="str">
        <f>LEFT(Scharniere[[#This Row],[ArtikelNR]],4)</f>
        <v>F028</v>
      </c>
      <c r="B378" s="35" t="str">
        <f>MID(Scharniere[[#This Row],[ArtikelNR]],5,3)</f>
        <v>138</v>
      </c>
      <c r="C378" s="37" t="str">
        <f>RIGHT(Scharniere[[#This Row],[ArtikelNR]],3)</f>
        <v>121</v>
      </c>
      <c r="D378" s="35">
        <f>IF(AND(Scharniere[[#This Row],[Gruppenschlüssel]]=select!$A$44,Scharniere[[#This Row],[Scharnierart]]=1)=TRUE,1,0)</f>
        <v>0</v>
      </c>
      <c r="E3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8" s="35">
        <f>IF(select!$F$57=IF(Scharniere[[#This Row],[mit Dämpfung]]=1,1,IF(Scharniere[[#This Row],[ohne Dämpfung]]=1,2,IF(Scharniere[[#This Row],[ohne Feder]]=1,3,0))),1,0)</f>
        <v>0</v>
      </c>
      <c r="G378" s="35">
        <f>IF(Scharniere[[#This Row],[Bohrbild]]=select!$V$43,1,0)</f>
        <v>1</v>
      </c>
      <c r="H378" s="35">
        <f>IF(IF(Scharniere[[#This Row],[Anschrauben]]=1,1,IF(Scharniere[[#This Row],[Einpressen]]=1,2,IF(Scharniere[[#This Row],[Quick]]=1,3,IF(Scharniere[[#This Row],[Werkzeuglos]]=1,4,0))))=select!$F$48,1,0)</f>
        <v>0</v>
      </c>
      <c r="I3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8" s="149">
        <f>IF(AND(Scharniere[[#This Row],[Scharnierart]]=2,Scharniere[[#This Row],[Gruppenschlüssel]]=select!$A$318)=TRUE,1,0)</f>
        <v>0</v>
      </c>
      <c r="K378" s="221">
        <f ca="1">IF(select!$O$424&lt;6,1,0)</f>
        <v>1</v>
      </c>
      <c r="L378" s="139">
        <f>IF(select!$A$362=IF(Scharniere[[#This Row],[mit Dämpfung]]=1,1,IF(Scharniere[[#This Row],[ohne Dämpfung]]=1,2,IF(Scharniere[[#This Row],[ohne Feder]]=1,3,0))),1,0)</f>
        <v>1</v>
      </c>
      <c r="M378" s="135">
        <f>IF(Scharniere[[#This Row],[Bohrbild]]=select!$O$334,1,0)</f>
        <v>1</v>
      </c>
      <c r="N378" s="135">
        <f>IF(IF(Scharniere[[#This Row],[Anschrauben]]=1,1,IF(Scharniere[[#This Row],[Einpressen]]=1,2,IF(Scharniere[[#This Row],[Quick]]=1,3,IF(Scharniere[[#This Row],[Werkzeuglos]]=1,4,0))))=select!$E$362,1,0)</f>
        <v>1</v>
      </c>
      <c r="O3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8" s="298">
        <f>IF(AND(Scharniere[[#This Row],[Scharnierart]]=3,Scharniere[[#This Row],[Gruppenschlüssel]]=select!$A$747)=TRUE,1,0)</f>
        <v>0</v>
      </c>
      <c r="Q378" s="298">
        <f ca="1">IF(select!$O$945&lt;6,1,0)</f>
        <v>1</v>
      </c>
      <c r="R378" s="298">
        <f>IF(select!$A$778=IF(Scharniere[[#This Row],[mit Dämpfung]]=1,1,IF(Scharniere[[#This Row],[ohne Dämpfung]]=1,2,IF(Scharniere[[#This Row],[ohne Feder]]=1,3,0))),1,0)</f>
        <v>0</v>
      </c>
      <c r="S378" s="298">
        <f>IF(Scharniere[[#This Row],[Bohrbild]]=select!$A$755,1,0)</f>
        <v>0</v>
      </c>
      <c r="T378" s="298">
        <f>IF(IF(Scharniere[[#This Row],[Anschrauben]]=1,1,IF(Scharniere[[#This Row],[Einpressen]]=1,2,IF(Scharniere[[#This Row],[Quick]]=1,3,IF(Scharniere[[#This Row],[Werkzeuglos]]=1,4,0))))=select!$A$769,1,0)</f>
        <v>1</v>
      </c>
      <c r="U3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8" s="359">
        <f>IF(AND(Scharniere[[#This Row],[Scharnierart]]=4,Scharniere[[#This Row],[Gruppenschlüssel]]=select!$A$981)=TRUE,1,0)</f>
        <v>0</v>
      </c>
      <c r="W378" s="359">
        <f ca="1">IF(select!$O$1185&lt;6,1,0)</f>
        <v>1</v>
      </c>
      <c r="X378" s="359">
        <f>IF(select!$A$1012=IF(Scharniere[[#This Row],[mit Dämpfung]]=1,1,IF(Scharniere[[#This Row],[ohne Dämpfung]]=1,2,IF(Scharniere[[#This Row],[ohne Feder]]=1,3,0))),1,0)</f>
        <v>0</v>
      </c>
      <c r="Y378" s="359">
        <f>IF(Scharniere[[#This Row],[Bohrbild]]=select!$A$989,1,0)</f>
        <v>0</v>
      </c>
      <c r="Z378" s="359">
        <f>IF(IF(Scharniere[[#This Row],[Anschrauben]]=1,1,IF(Scharniere[[#This Row],[Einpressen]]=1,2,IF(Scharniere[[#This Row],[Quick]]=1,3,IF(Scharniere[[#This Row],[Werkzeuglos]]=1,4,0))))=select!$A$1003,1,0)</f>
        <v>1</v>
      </c>
      <c r="AA3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8" s="359">
        <f ca="1">IF(select!$K$980="*",Scharniere[[#This Row],[AG Ges2]],Scharniere[[#This Row],[AG Ges1]])</f>
        <v>0</v>
      </c>
      <c r="AE378" s="451">
        <f ca="1">IF(AND(Scharniere[[#This Row],[Scharnierart]]=select!$A$1485,Scharniere[[#This Row],[Gruppenschlüssel]]=select!$B$1485)=TRUE,1,0)</f>
        <v>0</v>
      </c>
      <c r="AF378" s="451">
        <f ca="1">IF(AND(Scharniere[[#This Row],[Scharnierart]]=select!$A$1486,Scharniere[[#This Row],[Gruppenschlüssel]]=select!$B$1486)=TRUE,1,0)</f>
        <v>0</v>
      </c>
      <c r="AG378" s="451">
        <f ca="1">IF(AND(Scharniere[[#This Row],[Scharnierart]]=select!$A$1487,Scharniere[[#This Row],[Gruppenschlüssel]]=select!$B$1487)=TRUE,1,0)</f>
        <v>0</v>
      </c>
      <c r="AH378" s="451">
        <f ca="1">IF(AND(Scharniere[[#This Row],[Scharnierart]]=select!$A$1488,Scharniere[[#This Row],[Gruppenschlüssel]]=select!$B$1488)=TRUE,1,0)</f>
        <v>0</v>
      </c>
      <c r="AI378" s="451">
        <f ca="1">IF(SUM(Scharniere[[#This Row],[konf Scharnier 1]:[konf Scharnier 4]])&gt;0,1,0)</f>
        <v>0</v>
      </c>
      <c r="AJ378" s="451"/>
      <c r="AK378" s="451"/>
      <c r="AL378" s="451"/>
      <c r="AM378" s="451"/>
      <c r="AN378" s="451"/>
      <c r="AO378" s="146">
        <v>1</v>
      </c>
      <c r="AP378" s="146">
        <v>2</v>
      </c>
      <c r="AQ378" s="10" t="str">
        <f ca="1">Sprache!$A$112</f>
        <v>Tiomos Scharnier TS Click-on</v>
      </c>
      <c r="AR378" t="s">
        <v>238</v>
      </c>
      <c r="AS378" t="str">
        <f ca="1">Sprache!$A$103</f>
        <v>Tiomos Click-On Scharniere</v>
      </c>
      <c r="AT378">
        <v>0</v>
      </c>
      <c r="AU378" t="s">
        <v>8</v>
      </c>
      <c r="AV378">
        <v>120</v>
      </c>
      <c r="AW378" s="10">
        <v>1</v>
      </c>
      <c r="AX378">
        <v>0</v>
      </c>
      <c r="AY378">
        <v>0</v>
      </c>
      <c r="AZ378" s="10">
        <v>1</v>
      </c>
      <c r="BA378">
        <v>0</v>
      </c>
      <c r="BB378">
        <v>0</v>
      </c>
      <c r="BC378">
        <v>0</v>
      </c>
      <c r="BD378" s="143" t="s">
        <v>237</v>
      </c>
      <c r="BG378"/>
    </row>
    <row r="379" spans="1:59" ht="14.25" customHeight="1" x14ac:dyDescent="0.25">
      <c r="A379" s="37" t="str">
        <f>LEFT(Scharniere[[#This Row],[ArtikelNR]],4)</f>
        <v>F046</v>
      </c>
      <c r="B379" s="35" t="str">
        <f>MID(Scharniere[[#This Row],[ArtikelNR]],5,3)</f>
        <v>138</v>
      </c>
      <c r="C379" s="37" t="str">
        <f>RIGHT(Scharniere[[#This Row],[ArtikelNR]],3)</f>
        <v>212</v>
      </c>
      <c r="D379" s="35">
        <f>IF(AND(Scharniere[[#This Row],[Gruppenschlüssel]]=select!$A$44,Scharniere[[#This Row],[Scharnierart]]=1)=TRUE,1,0)</f>
        <v>0</v>
      </c>
      <c r="E3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79" s="35">
        <f>IF(select!$F$57=IF(Scharniere[[#This Row],[mit Dämpfung]]=1,1,IF(Scharniere[[#This Row],[ohne Dämpfung]]=1,2,IF(Scharniere[[#This Row],[ohne Feder]]=1,3,0))),1,0)</f>
        <v>1</v>
      </c>
      <c r="G379" s="35">
        <f>IF(Scharniere[[#This Row],[Bohrbild]]=select!$V$43,1,0)</f>
        <v>1</v>
      </c>
      <c r="H379" s="35">
        <f>IF(IF(Scharniere[[#This Row],[Anschrauben]]=1,1,IF(Scharniere[[#This Row],[Einpressen]]=1,2,IF(Scharniere[[#This Row],[Quick]]=1,3,IF(Scharniere[[#This Row],[Werkzeuglos]]=1,4,0))))=select!$F$48,1,0)</f>
        <v>0</v>
      </c>
      <c r="I3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79" s="149">
        <f>IF(AND(Scharniere[[#This Row],[Scharnierart]]=2,Scharniere[[#This Row],[Gruppenschlüssel]]=select!$A$318)=TRUE,1,0)</f>
        <v>0</v>
      </c>
      <c r="K379" s="221">
        <f ca="1">IF(select!$O$424&lt;6,1,0)</f>
        <v>1</v>
      </c>
      <c r="L379" s="139">
        <f>IF(select!$A$362=IF(Scharniere[[#This Row],[mit Dämpfung]]=1,1,IF(Scharniere[[#This Row],[ohne Dämpfung]]=1,2,IF(Scharniere[[#This Row],[ohne Feder]]=1,3,0))),1,0)</f>
        <v>0</v>
      </c>
      <c r="M379" s="135">
        <f>IF(Scharniere[[#This Row],[Bohrbild]]=select!$O$334,1,0)</f>
        <v>1</v>
      </c>
      <c r="N379" s="135">
        <f>IF(IF(Scharniere[[#This Row],[Anschrauben]]=1,1,IF(Scharniere[[#This Row],[Einpressen]]=1,2,IF(Scharniere[[#This Row],[Quick]]=1,3,IF(Scharniere[[#This Row],[Werkzeuglos]]=1,4,0))))=select!$E$362,1,0)</f>
        <v>1</v>
      </c>
      <c r="O3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79" s="298">
        <f>IF(AND(Scharniere[[#This Row],[Scharnierart]]=3,Scharniere[[#This Row],[Gruppenschlüssel]]=select!$A$747)=TRUE,1,0)</f>
        <v>0</v>
      </c>
      <c r="Q379" s="298">
        <f ca="1">IF(select!$O$945&lt;6,1,0)</f>
        <v>1</v>
      </c>
      <c r="R379" s="298">
        <f>IF(select!$A$778=IF(Scharniere[[#This Row],[mit Dämpfung]]=1,1,IF(Scharniere[[#This Row],[ohne Dämpfung]]=1,2,IF(Scharniere[[#This Row],[ohne Feder]]=1,3,0))),1,0)</f>
        <v>0</v>
      </c>
      <c r="S379" s="298">
        <f>IF(Scharniere[[#This Row],[Bohrbild]]=select!$A$755,1,0)</f>
        <v>0</v>
      </c>
      <c r="T379" s="298">
        <f>IF(IF(Scharniere[[#This Row],[Anschrauben]]=1,1,IF(Scharniere[[#This Row],[Einpressen]]=1,2,IF(Scharniere[[#This Row],[Quick]]=1,3,IF(Scharniere[[#This Row],[Werkzeuglos]]=1,4,0))))=select!$A$769,1,0)</f>
        <v>1</v>
      </c>
      <c r="U3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79" s="359">
        <f>IF(AND(Scharniere[[#This Row],[Scharnierart]]=4,Scharniere[[#This Row],[Gruppenschlüssel]]=select!$A$981)=TRUE,1,0)</f>
        <v>0</v>
      </c>
      <c r="W379" s="359">
        <f ca="1">IF(select!$O$1185&lt;6,1,0)</f>
        <v>1</v>
      </c>
      <c r="X379" s="359">
        <f>IF(select!$A$1012=IF(Scharniere[[#This Row],[mit Dämpfung]]=1,1,IF(Scharniere[[#This Row],[ohne Dämpfung]]=1,2,IF(Scharniere[[#This Row],[ohne Feder]]=1,3,0))),1,0)</f>
        <v>0</v>
      </c>
      <c r="Y379" s="359">
        <f>IF(Scharniere[[#This Row],[Bohrbild]]=select!$A$989,1,0)</f>
        <v>0</v>
      </c>
      <c r="Z379" s="359">
        <f>IF(IF(Scharniere[[#This Row],[Anschrauben]]=1,1,IF(Scharniere[[#This Row],[Einpressen]]=1,2,IF(Scharniere[[#This Row],[Quick]]=1,3,IF(Scharniere[[#This Row],[Werkzeuglos]]=1,4,0))))=select!$A$1003,1,0)</f>
        <v>1</v>
      </c>
      <c r="AA3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79" s="359">
        <f ca="1">IF(select!$K$980="*",Scharniere[[#This Row],[AG Ges2]],Scharniere[[#This Row],[AG Ges1]])</f>
        <v>0</v>
      </c>
      <c r="AE379" s="451">
        <f ca="1">IF(AND(Scharniere[[#This Row],[Scharnierart]]=select!$A$1485,Scharniere[[#This Row],[Gruppenschlüssel]]=select!$B$1485)=TRUE,1,0)</f>
        <v>0</v>
      </c>
      <c r="AF379" s="451">
        <f ca="1">IF(AND(Scharniere[[#This Row],[Scharnierart]]=select!$A$1486,Scharniere[[#This Row],[Gruppenschlüssel]]=select!$B$1486)=TRUE,1,0)</f>
        <v>0</v>
      </c>
      <c r="AG379" s="451">
        <f ca="1">IF(AND(Scharniere[[#This Row],[Scharnierart]]=select!$A$1487,Scharniere[[#This Row],[Gruppenschlüssel]]=select!$B$1487)=TRUE,1,0)</f>
        <v>0</v>
      </c>
      <c r="AH379" s="451">
        <f ca="1">IF(AND(Scharniere[[#This Row],[Scharnierart]]=select!$A$1488,Scharniere[[#This Row],[Gruppenschlüssel]]=select!$B$1488)=TRUE,1,0)</f>
        <v>0</v>
      </c>
      <c r="AI379" s="451">
        <f ca="1">IF(SUM(Scharniere[[#This Row],[konf Scharnier 1]:[konf Scharnier 4]])&gt;0,1,0)</f>
        <v>0</v>
      </c>
      <c r="AJ379" s="451"/>
      <c r="AK379" s="451"/>
      <c r="AL379" s="451"/>
      <c r="AM379" s="451"/>
      <c r="AN379" s="451"/>
      <c r="AO379" s="146">
        <v>1</v>
      </c>
      <c r="AP379" s="146">
        <v>2</v>
      </c>
      <c r="AQ379" s="10" t="str">
        <f ca="1">Sprache!$A$114</f>
        <v>Tiomos Scharnier TT Click-on</v>
      </c>
      <c r="AR379" t="s">
        <v>238</v>
      </c>
      <c r="AS379" t="str">
        <f ca="1">Sprache!$A$103</f>
        <v>Tiomos Click-On Scharniere</v>
      </c>
      <c r="AT379">
        <v>0</v>
      </c>
      <c r="AU379" s="34" t="s">
        <v>8</v>
      </c>
      <c r="AV379">
        <v>120</v>
      </c>
      <c r="AW379" s="10">
        <v>0</v>
      </c>
      <c r="AX379">
        <v>0</v>
      </c>
      <c r="AY379">
        <v>1</v>
      </c>
      <c r="AZ379" s="10">
        <v>1</v>
      </c>
      <c r="BA379">
        <v>0</v>
      </c>
      <c r="BB379">
        <v>0</v>
      </c>
      <c r="BC379">
        <v>0</v>
      </c>
      <c r="BD379" s="143" t="s">
        <v>589</v>
      </c>
      <c r="BG379"/>
    </row>
    <row r="380" spans="1:59" ht="14.25" customHeight="1" x14ac:dyDescent="0.25">
      <c r="A380" s="37" t="str">
        <f>LEFT(Scharniere[[#This Row],[ArtikelNR]],4)</f>
        <v>F034</v>
      </c>
      <c r="B380" s="35" t="str">
        <f>MID(Scharniere[[#This Row],[ArtikelNR]],5,3)</f>
        <v>139</v>
      </c>
      <c r="C380" s="37" t="str">
        <f>RIGHT(Scharniere[[#This Row],[ArtikelNR]],3)</f>
        <v>314</v>
      </c>
      <c r="D380" s="35">
        <f>IF(AND(Scharniere[[#This Row],[Gruppenschlüssel]]=select!$A$44,Scharniere[[#This Row],[Scharnierart]]=1)=TRUE,1,0)</f>
        <v>0</v>
      </c>
      <c r="E3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0" s="35">
        <f>IF(select!$F$57=IF(Scharniere[[#This Row],[mit Dämpfung]]=1,1,IF(Scharniere[[#This Row],[ohne Dämpfung]]=1,2,IF(Scharniere[[#This Row],[ohne Feder]]=1,3,0))),1,0)</f>
        <v>0</v>
      </c>
      <c r="G380" s="35">
        <f>IF(Scharniere[[#This Row],[Bohrbild]]=select!$V$43,1,0)</f>
        <v>1</v>
      </c>
      <c r="H380" s="35">
        <f>IF(IF(Scharniere[[#This Row],[Anschrauben]]=1,1,IF(Scharniere[[#This Row],[Einpressen]]=1,2,IF(Scharniere[[#This Row],[Quick]]=1,3,IF(Scharniere[[#This Row],[Werkzeuglos]]=1,4,0))))=select!$F$48,1,0)</f>
        <v>0</v>
      </c>
      <c r="I3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0" s="149">
        <f>IF(AND(Scharniere[[#This Row],[Scharnierart]]=2,Scharniere[[#This Row],[Gruppenschlüssel]]=select!$A$318)=TRUE,1,0)</f>
        <v>0</v>
      </c>
      <c r="K380" s="221">
        <f ca="1">IF(select!$O$424&lt;6,1,0)</f>
        <v>1</v>
      </c>
      <c r="L380" s="139">
        <f>IF(select!$A$362=IF(Scharniere[[#This Row],[mit Dämpfung]]=1,1,IF(Scharniere[[#This Row],[ohne Dämpfung]]=1,2,IF(Scharniere[[#This Row],[ohne Feder]]=1,3,0))),1,0)</f>
        <v>0</v>
      </c>
      <c r="M380" s="135">
        <f>IF(Scharniere[[#This Row],[Bohrbild]]=select!$O$334,1,0)</f>
        <v>1</v>
      </c>
      <c r="N380" s="135">
        <f>IF(IF(Scharniere[[#This Row],[Anschrauben]]=1,1,IF(Scharniere[[#This Row],[Einpressen]]=1,2,IF(Scharniere[[#This Row],[Quick]]=1,3,IF(Scharniere[[#This Row],[Werkzeuglos]]=1,4,0))))=select!$E$362,1,0)</f>
        <v>0</v>
      </c>
      <c r="O3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0" s="298">
        <f>IF(AND(Scharniere[[#This Row],[Scharnierart]]=3,Scharniere[[#This Row],[Gruppenschlüssel]]=select!$A$747)=TRUE,1,0)</f>
        <v>0</v>
      </c>
      <c r="Q380" s="298">
        <f ca="1">IF(select!$O$945&lt;6,1,0)</f>
        <v>1</v>
      </c>
      <c r="R380" s="298">
        <f>IF(select!$A$778=IF(Scharniere[[#This Row],[mit Dämpfung]]=1,1,IF(Scharniere[[#This Row],[ohne Dämpfung]]=1,2,IF(Scharniere[[#This Row],[ohne Feder]]=1,3,0))),1,0)</f>
        <v>1</v>
      </c>
      <c r="S380" s="298">
        <f>IF(Scharniere[[#This Row],[Bohrbild]]=select!$A$755,1,0)</f>
        <v>0</v>
      </c>
      <c r="T380" s="298">
        <f>IF(IF(Scharniere[[#This Row],[Anschrauben]]=1,1,IF(Scharniere[[#This Row],[Einpressen]]=1,2,IF(Scharniere[[#This Row],[Quick]]=1,3,IF(Scharniere[[#This Row],[Werkzeuglos]]=1,4,0))))=select!$A$769,1,0)</f>
        <v>0</v>
      </c>
      <c r="U3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0" s="359">
        <f>IF(AND(Scharniere[[#This Row],[Scharnierart]]=4,Scharniere[[#This Row],[Gruppenschlüssel]]=select!$A$981)=TRUE,1,0)</f>
        <v>0</v>
      </c>
      <c r="W380" s="359">
        <f ca="1">IF(select!$O$1185&lt;6,1,0)</f>
        <v>1</v>
      </c>
      <c r="X380" s="359">
        <f>IF(select!$A$1012=IF(Scharniere[[#This Row],[mit Dämpfung]]=1,1,IF(Scharniere[[#This Row],[ohne Dämpfung]]=1,2,IF(Scharniere[[#This Row],[ohne Feder]]=1,3,0))),1,0)</f>
        <v>1</v>
      </c>
      <c r="Y380" s="359">
        <f>IF(Scharniere[[#This Row],[Bohrbild]]=select!$A$989,1,0)</f>
        <v>0</v>
      </c>
      <c r="Z380" s="359">
        <f>IF(IF(Scharniere[[#This Row],[Anschrauben]]=1,1,IF(Scharniere[[#This Row],[Einpressen]]=1,2,IF(Scharniere[[#This Row],[Quick]]=1,3,IF(Scharniere[[#This Row],[Werkzeuglos]]=1,4,0))))=select!$A$1003,1,0)</f>
        <v>0</v>
      </c>
      <c r="AA3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0" s="359">
        <f ca="1">IF(select!$K$980="*",Scharniere[[#This Row],[AG Ges2]],Scharniere[[#This Row],[AG Ges1]])</f>
        <v>0</v>
      </c>
      <c r="AE380" s="451">
        <f ca="1">IF(AND(Scharniere[[#This Row],[Scharnierart]]=select!$A$1485,Scharniere[[#This Row],[Gruppenschlüssel]]=select!$B$1485)=TRUE,1,0)</f>
        <v>0</v>
      </c>
      <c r="AF380" s="451">
        <f ca="1">IF(AND(Scharniere[[#This Row],[Scharnierart]]=select!$A$1486,Scharniere[[#This Row],[Gruppenschlüssel]]=select!$B$1486)=TRUE,1,0)</f>
        <v>0</v>
      </c>
      <c r="AG380" s="451">
        <f ca="1">IF(AND(Scharniere[[#This Row],[Scharnierart]]=select!$A$1487,Scharniere[[#This Row],[Gruppenschlüssel]]=select!$B$1487)=TRUE,1,0)</f>
        <v>0</v>
      </c>
      <c r="AH380" s="451">
        <f ca="1">IF(AND(Scharniere[[#This Row],[Scharnierart]]=select!$A$1488,Scharniere[[#This Row],[Gruppenschlüssel]]=select!$B$1488)=TRUE,1,0)</f>
        <v>0</v>
      </c>
      <c r="AI380" s="451">
        <f ca="1">IF(SUM(Scharniere[[#This Row],[konf Scharnier 1]:[konf Scharnier 4]])&gt;0,1,0)</f>
        <v>0</v>
      </c>
      <c r="AJ380" s="451"/>
      <c r="AK380" s="451"/>
      <c r="AL380" s="451"/>
      <c r="AM380" s="451"/>
      <c r="AN380" s="451"/>
      <c r="AO380" s="146">
        <v>1</v>
      </c>
      <c r="AP380" s="146">
        <v>2</v>
      </c>
      <c r="AQ380" s="10" t="str">
        <f ca="1">Sprache!$A$111</f>
        <v>Tiomos Scharnier T Impresso</v>
      </c>
      <c r="AR380" t="s">
        <v>67</v>
      </c>
      <c r="AS380" t="str">
        <f ca="1">Sprache!$A$116</f>
        <v>Tiomos Impresso Scharniere</v>
      </c>
      <c r="AT380">
        <v>0</v>
      </c>
      <c r="AU380" t="s">
        <v>8</v>
      </c>
      <c r="AV380">
        <v>120</v>
      </c>
      <c r="AW380" s="10">
        <v>0</v>
      </c>
      <c r="AX380">
        <v>1</v>
      </c>
      <c r="AY380">
        <v>0</v>
      </c>
      <c r="AZ380" s="10">
        <v>0</v>
      </c>
      <c r="BA380">
        <v>0</v>
      </c>
      <c r="BB380">
        <v>0</v>
      </c>
      <c r="BC380">
        <v>1</v>
      </c>
      <c r="BD380" s="143" t="s">
        <v>140</v>
      </c>
      <c r="BG380"/>
    </row>
    <row r="381" spans="1:59" ht="14.25" customHeight="1" x14ac:dyDescent="0.25">
      <c r="A381" s="37" t="str">
        <f>LEFT(Scharniere[[#This Row],[ArtikelNR]],4)</f>
        <v>F034</v>
      </c>
      <c r="B381" s="35" t="str">
        <f>MID(Scharniere[[#This Row],[ArtikelNR]],5,3)</f>
        <v>139</v>
      </c>
      <c r="C381" s="37" t="str">
        <f>RIGHT(Scharniere[[#This Row],[ArtikelNR]],3)</f>
        <v>314</v>
      </c>
      <c r="D381" s="35">
        <f>IF(AND(Scharniere[[#This Row],[Gruppenschlüssel]]=select!$A$44,Scharniere[[#This Row],[Scharnierart]]=1)=TRUE,1,0)</f>
        <v>0</v>
      </c>
      <c r="E3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1" s="35">
        <f>IF(select!$F$57=IF(Scharniere[[#This Row],[mit Dämpfung]]=1,1,IF(Scharniere[[#This Row],[ohne Dämpfung]]=1,2,IF(Scharniere[[#This Row],[ohne Feder]]=1,3,0))),1,0)</f>
        <v>0</v>
      </c>
      <c r="G381" s="35">
        <f>IF(Scharniere[[#This Row],[Bohrbild]]=select!$V$43,1,0)</f>
        <v>0</v>
      </c>
      <c r="H381" s="35">
        <f>IF(IF(Scharniere[[#This Row],[Anschrauben]]=1,1,IF(Scharniere[[#This Row],[Einpressen]]=1,2,IF(Scharniere[[#This Row],[Quick]]=1,3,IF(Scharniere[[#This Row],[Werkzeuglos]]=1,4,0))))=select!$F$48,1,0)</f>
        <v>0</v>
      </c>
      <c r="I3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1" s="149">
        <f>IF(AND(Scharniere[[#This Row],[Scharnierart]]=2,Scharniere[[#This Row],[Gruppenschlüssel]]=select!$A$318)=TRUE,1,0)</f>
        <v>0</v>
      </c>
      <c r="K381" s="221">
        <f ca="1">IF(select!$O$424&lt;6,1,0)</f>
        <v>1</v>
      </c>
      <c r="L381" s="139">
        <f>IF(select!$A$362=IF(Scharniere[[#This Row],[mit Dämpfung]]=1,1,IF(Scharniere[[#This Row],[ohne Dämpfung]]=1,2,IF(Scharniere[[#This Row],[ohne Feder]]=1,3,0))),1,0)</f>
        <v>0</v>
      </c>
      <c r="M381" s="135">
        <f>IF(Scharniere[[#This Row],[Bohrbild]]=select!$O$334,1,0)</f>
        <v>0</v>
      </c>
      <c r="N381" s="135">
        <f>IF(IF(Scharniere[[#This Row],[Anschrauben]]=1,1,IF(Scharniere[[#This Row],[Einpressen]]=1,2,IF(Scharniere[[#This Row],[Quick]]=1,3,IF(Scharniere[[#This Row],[Werkzeuglos]]=1,4,0))))=select!$E$362,1,0)</f>
        <v>0</v>
      </c>
      <c r="O3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1" s="298">
        <f>IF(AND(Scharniere[[#This Row],[Scharnierart]]=3,Scharniere[[#This Row],[Gruppenschlüssel]]=select!$A$747)=TRUE,1,0)</f>
        <v>0</v>
      </c>
      <c r="Q381" s="298">
        <f ca="1">IF(select!$O$945&lt;6,1,0)</f>
        <v>1</v>
      </c>
      <c r="R381" s="298">
        <f>IF(select!$A$778=IF(Scharniere[[#This Row],[mit Dämpfung]]=1,1,IF(Scharniere[[#This Row],[ohne Dämpfung]]=1,2,IF(Scharniere[[#This Row],[ohne Feder]]=1,3,0))),1,0)</f>
        <v>1</v>
      </c>
      <c r="S381" s="298">
        <f>IF(Scharniere[[#This Row],[Bohrbild]]=select!$A$755,1,0)</f>
        <v>0</v>
      </c>
      <c r="T381" s="298">
        <f>IF(IF(Scharniere[[#This Row],[Anschrauben]]=1,1,IF(Scharniere[[#This Row],[Einpressen]]=1,2,IF(Scharniere[[#This Row],[Quick]]=1,3,IF(Scharniere[[#This Row],[Werkzeuglos]]=1,4,0))))=select!$A$769,1,0)</f>
        <v>0</v>
      </c>
      <c r="U3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1" s="359">
        <f>IF(AND(Scharniere[[#This Row],[Scharnierart]]=4,Scharniere[[#This Row],[Gruppenschlüssel]]=select!$A$981)=TRUE,1,0)</f>
        <v>0</v>
      </c>
      <c r="W381" s="359">
        <f ca="1">IF(select!$O$1185&lt;6,1,0)</f>
        <v>1</v>
      </c>
      <c r="X381" s="359">
        <f>IF(select!$A$1012=IF(Scharniere[[#This Row],[mit Dämpfung]]=1,1,IF(Scharniere[[#This Row],[ohne Dämpfung]]=1,2,IF(Scharniere[[#This Row],[ohne Feder]]=1,3,0))),1,0)</f>
        <v>1</v>
      </c>
      <c r="Y381" s="359">
        <f>IF(Scharniere[[#This Row],[Bohrbild]]=select!$A$989,1,0)</f>
        <v>0</v>
      </c>
      <c r="Z381" s="359">
        <f>IF(IF(Scharniere[[#This Row],[Anschrauben]]=1,1,IF(Scharniere[[#This Row],[Einpressen]]=1,2,IF(Scharniere[[#This Row],[Quick]]=1,3,IF(Scharniere[[#This Row],[Werkzeuglos]]=1,4,0))))=select!$A$1003,1,0)</f>
        <v>0</v>
      </c>
      <c r="AA3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1" s="359">
        <f ca="1">IF(select!$K$980="*",Scharniere[[#This Row],[AG Ges2]],Scharniere[[#This Row],[AG Ges1]])</f>
        <v>0</v>
      </c>
      <c r="AE381" s="451">
        <f ca="1">IF(AND(Scharniere[[#This Row],[Scharnierart]]=select!$A$1485,Scharniere[[#This Row],[Gruppenschlüssel]]=select!$B$1485)=TRUE,1,0)</f>
        <v>0</v>
      </c>
      <c r="AF381" s="451">
        <f ca="1">IF(AND(Scharniere[[#This Row],[Scharnierart]]=select!$A$1486,Scharniere[[#This Row],[Gruppenschlüssel]]=select!$B$1486)=TRUE,1,0)</f>
        <v>0</v>
      </c>
      <c r="AG381" s="451">
        <f ca="1">IF(AND(Scharniere[[#This Row],[Scharnierart]]=select!$A$1487,Scharniere[[#This Row],[Gruppenschlüssel]]=select!$B$1487)=TRUE,1,0)</f>
        <v>0</v>
      </c>
      <c r="AH381" s="451">
        <f ca="1">IF(AND(Scharniere[[#This Row],[Scharnierart]]=select!$A$1488,Scharniere[[#This Row],[Gruppenschlüssel]]=select!$B$1488)=TRUE,1,0)</f>
        <v>0</v>
      </c>
      <c r="AI381" s="451">
        <f ca="1">IF(SUM(Scharniere[[#This Row],[konf Scharnier 1]:[konf Scharnier 4]])&gt;0,1,0)</f>
        <v>0</v>
      </c>
      <c r="AJ381" s="451"/>
      <c r="AK381" s="451"/>
      <c r="AL381" s="451"/>
      <c r="AM381" s="451"/>
      <c r="AN381" s="451"/>
      <c r="AO381" s="146">
        <v>1</v>
      </c>
      <c r="AP381" s="146">
        <v>2</v>
      </c>
      <c r="AQ381" s="10" t="str">
        <f ca="1">Sprache!$A$111</f>
        <v>Tiomos Scharnier T Impresso</v>
      </c>
      <c r="AR381" t="s">
        <v>67</v>
      </c>
      <c r="AS381" t="str">
        <f ca="1">Sprache!$A$116</f>
        <v>Tiomos Impresso Scharniere</v>
      </c>
      <c r="AT381">
        <v>0</v>
      </c>
      <c r="AU381" t="s">
        <v>3</v>
      </c>
      <c r="AV381">
        <v>120</v>
      </c>
      <c r="AW381" s="10">
        <v>0</v>
      </c>
      <c r="AX381">
        <v>1</v>
      </c>
      <c r="AY381">
        <v>0</v>
      </c>
      <c r="AZ381" s="10">
        <v>0</v>
      </c>
      <c r="BA381">
        <v>0</v>
      </c>
      <c r="BB381">
        <v>0</v>
      </c>
      <c r="BC381">
        <v>1</v>
      </c>
      <c r="BD381" s="143" t="s">
        <v>140</v>
      </c>
      <c r="BG381"/>
    </row>
    <row r="382" spans="1:59" ht="14.25" customHeight="1" x14ac:dyDescent="0.25">
      <c r="A382" s="37" t="str">
        <f>LEFT(Scharniere[[#This Row],[ArtikelNR]],4)</f>
        <v>F017</v>
      </c>
      <c r="B382" s="35" t="str">
        <f>MID(Scharniere[[#This Row],[ArtikelNR]],5,3)</f>
        <v>139</v>
      </c>
      <c r="C382" s="37" t="str">
        <f>RIGHT(Scharniere[[#This Row],[ArtikelNR]],3)</f>
        <v>343</v>
      </c>
      <c r="D382" s="35">
        <f>IF(AND(Scharniere[[#This Row],[Gruppenschlüssel]]=select!$A$44,Scharniere[[#This Row],[Scharnierart]]=1)=TRUE,1,0)</f>
        <v>0</v>
      </c>
      <c r="E3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2" s="35">
        <f>IF(select!$F$57=IF(Scharniere[[#This Row],[mit Dämpfung]]=1,1,IF(Scharniere[[#This Row],[ohne Dämpfung]]=1,2,IF(Scharniere[[#This Row],[ohne Feder]]=1,3,0))),1,0)</f>
        <v>0</v>
      </c>
      <c r="G382" s="35">
        <f>IF(Scharniere[[#This Row],[Bohrbild]]=select!$V$43,1,0)</f>
        <v>1</v>
      </c>
      <c r="H382" s="35">
        <f>IF(IF(Scharniere[[#This Row],[Anschrauben]]=1,1,IF(Scharniere[[#This Row],[Einpressen]]=1,2,IF(Scharniere[[#This Row],[Quick]]=1,3,IF(Scharniere[[#This Row],[Werkzeuglos]]=1,4,0))))=select!$F$48,1,0)</f>
        <v>0</v>
      </c>
      <c r="I3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2" s="149">
        <f>IF(AND(Scharniere[[#This Row],[Scharnierart]]=2,Scharniere[[#This Row],[Gruppenschlüssel]]=select!$A$318)=TRUE,1,0)</f>
        <v>0</v>
      </c>
      <c r="K382" s="221">
        <f ca="1">IF(select!$O$424&lt;6,1,0)</f>
        <v>1</v>
      </c>
      <c r="L382" s="139">
        <f>IF(select!$A$362=IF(Scharniere[[#This Row],[mit Dämpfung]]=1,1,IF(Scharniere[[#This Row],[ohne Dämpfung]]=1,2,IF(Scharniere[[#This Row],[ohne Feder]]=1,3,0))),1,0)</f>
        <v>1</v>
      </c>
      <c r="M382" s="135">
        <f>IF(Scharniere[[#This Row],[Bohrbild]]=select!$O$334,1,0)</f>
        <v>1</v>
      </c>
      <c r="N382" s="135">
        <f>IF(IF(Scharniere[[#This Row],[Anschrauben]]=1,1,IF(Scharniere[[#This Row],[Einpressen]]=1,2,IF(Scharniere[[#This Row],[Quick]]=1,3,IF(Scharniere[[#This Row],[Werkzeuglos]]=1,4,0))))=select!$E$362,1,0)</f>
        <v>0</v>
      </c>
      <c r="O3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2" s="298">
        <f>IF(AND(Scharniere[[#This Row],[Scharnierart]]=3,Scharniere[[#This Row],[Gruppenschlüssel]]=select!$A$747)=TRUE,1,0)</f>
        <v>0</v>
      </c>
      <c r="Q382" s="298">
        <f ca="1">IF(select!$O$945&lt;6,1,0)</f>
        <v>1</v>
      </c>
      <c r="R382" s="298">
        <f>IF(select!$A$778=IF(Scharniere[[#This Row],[mit Dämpfung]]=1,1,IF(Scharniere[[#This Row],[ohne Dämpfung]]=1,2,IF(Scharniere[[#This Row],[ohne Feder]]=1,3,0))),1,0)</f>
        <v>0</v>
      </c>
      <c r="S382" s="298">
        <f>IF(Scharniere[[#This Row],[Bohrbild]]=select!$A$755,1,0)</f>
        <v>0</v>
      </c>
      <c r="T382" s="298">
        <f>IF(IF(Scharniere[[#This Row],[Anschrauben]]=1,1,IF(Scharniere[[#This Row],[Einpressen]]=1,2,IF(Scharniere[[#This Row],[Quick]]=1,3,IF(Scharniere[[#This Row],[Werkzeuglos]]=1,4,0))))=select!$A$769,1,0)</f>
        <v>0</v>
      </c>
      <c r="U3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2" s="359">
        <f>IF(AND(Scharniere[[#This Row],[Scharnierart]]=4,Scharniere[[#This Row],[Gruppenschlüssel]]=select!$A$981)=TRUE,1,0)</f>
        <v>0</v>
      </c>
      <c r="W382" s="359">
        <f ca="1">IF(select!$O$1185&lt;6,1,0)</f>
        <v>1</v>
      </c>
      <c r="X382" s="359">
        <f>IF(select!$A$1012=IF(Scharniere[[#This Row],[mit Dämpfung]]=1,1,IF(Scharniere[[#This Row],[ohne Dämpfung]]=1,2,IF(Scharniere[[#This Row],[ohne Feder]]=1,3,0))),1,0)</f>
        <v>0</v>
      </c>
      <c r="Y382" s="359">
        <f>IF(Scharniere[[#This Row],[Bohrbild]]=select!$A$989,1,0)</f>
        <v>0</v>
      </c>
      <c r="Z382" s="359">
        <f>IF(IF(Scharniere[[#This Row],[Anschrauben]]=1,1,IF(Scharniere[[#This Row],[Einpressen]]=1,2,IF(Scharniere[[#This Row],[Quick]]=1,3,IF(Scharniere[[#This Row],[Werkzeuglos]]=1,4,0))))=select!$A$1003,1,0)</f>
        <v>0</v>
      </c>
      <c r="AA3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2" s="359">
        <f ca="1">IF(select!$K$980="*",Scharniere[[#This Row],[AG Ges2]],Scharniere[[#This Row],[AG Ges1]])</f>
        <v>0</v>
      </c>
      <c r="AE382" s="451">
        <f ca="1">IF(AND(Scharniere[[#This Row],[Scharnierart]]=select!$A$1485,Scharniere[[#This Row],[Gruppenschlüssel]]=select!$B$1485)=TRUE,1,0)</f>
        <v>0</v>
      </c>
      <c r="AF382" s="451">
        <f ca="1">IF(AND(Scharniere[[#This Row],[Scharnierart]]=select!$A$1486,Scharniere[[#This Row],[Gruppenschlüssel]]=select!$B$1486)=TRUE,1,0)</f>
        <v>0</v>
      </c>
      <c r="AG382" s="451">
        <f ca="1">IF(AND(Scharniere[[#This Row],[Scharnierart]]=select!$A$1487,Scharniere[[#This Row],[Gruppenschlüssel]]=select!$B$1487)=TRUE,1,0)</f>
        <v>0</v>
      </c>
      <c r="AH382" s="451">
        <f ca="1">IF(AND(Scharniere[[#This Row],[Scharnierart]]=select!$A$1488,Scharniere[[#This Row],[Gruppenschlüssel]]=select!$B$1488)=TRUE,1,0)</f>
        <v>0</v>
      </c>
      <c r="AI382" s="451">
        <f ca="1">IF(SUM(Scharniere[[#This Row],[konf Scharnier 1]:[konf Scharnier 4]])&gt;0,1,0)</f>
        <v>0</v>
      </c>
      <c r="AJ382" s="451"/>
      <c r="AK382" s="451"/>
      <c r="AL382" s="451"/>
      <c r="AM382" s="451"/>
      <c r="AN382" s="451"/>
      <c r="AO382" s="146">
        <v>1</v>
      </c>
      <c r="AP382" s="146">
        <v>2</v>
      </c>
      <c r="AQ382" s="10" t="str">
        <f ca="1">Sprache!$A$113</f>
        <v>Tiomos Scharnier TS Impresso</v>
      </c>
      <c r="AR382" t="s">
        <v>67</v>
      </c>
      <c r="AS382" t="str">
        <f ca="1">Sprache!$A$116</f>
        <v>Tiomos Impresso Scharniere</v>
      </c>
      <c r="AT382">
        <v>0</v>
      </c>
      <c r="AU382" t="s">
        <v>8</v>
      </c>
      <c r="AV382">
        <v>120</v>
      </c>
      <c r="AW382" s="10">
        <v>1</v>
      </c>
      <c r="AX382">
        <v>0</v>
      </c>
      <c r="AY382">
        <v>0</v>
      </c>
      <c r="AZ382" s="10">
        <v>0</v>
      </c>
      <c r="BA382">
        <v>0</v>
      </c>
      <c r="BB382">
        <v>0</v>
      </c>
      <c r="BC382">
        <v>1</v>
      </c>
      <c r="BD382" s="143" t="s">
        <v>66</v>
      </c>
      <c r="BG382"/>
    </row>
    <row r="383" spans="1:59" ht="14.25" customHeight="1" x14ac:dyDescent="0.25">
      <c r="A383" s="37" t="str">
        <f>LEFT(Scharniere[[#This Row],[ArtikelNR]],4)</f>
        <v>F017</v>
      </c>
      <c r="B383" s="35" t="str">
        <f>MID(Scharniere[[#This Row],[ArtikelNR]],5,3)</f>
        <v>139</v>
      </c>
      <c r="C383" s="37" t="str">
        <f>RIGHT(Scharniere[[#This Row],[ArtikelNR]],3)</f>
        <v>343</v>
      </c>
      <c r="D383" s="35">
        <f>IF(AND(Scharniere[[#This Row],[Gruppenschlüssel]]=select!$A$44,Scharniere[[#This Row],[Scharnierart]]=1)=TRUE,1,0)</f>
        <v>0</v>
      </c>
      <c r="E3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3" s="35">
        <f>IF(select!$F$57=IF(Scharniere[[#This Row],[mit Dämpfung]]=1,1,IF(Scharniere[[#This Row],[ohne Dämpfung]]=1,2,IF(Scharniere[[#This Row],[ohne Feder]]=1,3,0))),1,0)</f>
        <v>0</v>
      </c>
      <c r="G383" s="35">
        <f>IF(Scharniere[[#This Row],[Bohrbild]]=select!$V$43,1,0)</f>
        <v>0</v>
      </c>
      <c r="H383" s="35">
        <f>IF(IF(Scharniere[[#This Row],[Anschrauben]]=1,1,IF(Scharniere[[#This Row],[Einpressen]]=1,2,IF(Scharniere[[#This Row],[Quick]]=1,3,IF(Scharniere[[#This Row],[Werkzeuglos]]=1,4,0))))=select!$F$48,1,0)</f>
        <v>0</v>
      </c>
      <c r="I3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3" s="149">
        <f>IF(AND(Scharniere[[#This Row],[Scharnierart]]=2,Scharniere[[#This Row],[Gruppenschlüssel]]=select!$A$318)=TRUE,1,0)</f>
        <v>0</v>
      </c>
      <c r="K383" s="221">
        <f ca="1">IF(select!$O$424&lt;6,1,0)</f>
        <v>1</v>
      </c>
      <c r="L383" s="139">
        <f>IF(select!$A$362=IF(Scharniere[[#This Row],[mit Dämpfung]]=1,1,IF(Scharniere[[#This Row],[ohne Dämpfung]]=1,2,IF(Scharniere[[#This Row],[ohne Feder]]=1,3,0))),1,0)</f>
        <v>1</v>
      </c>
      <c r="M383" s="135">
        <f>IF(Scharniere[[#This Row],[Bohrbild]]=select!$O$334,1,0)</f>
        <v>0</v>
      </c>
      <c r="N383" s="135">
        <f>IF(IF(Scharniere[[#This Row],[Anschrauben]]=1,1,IF(Scharniere[[#This Row],[Einpressen]]=1,2,IF(Scharniere[[#This Row],[Quick]]=1,3,IF(Scharniere[[#This Row],[Werkzeuglos]]=1,4,0))))=select!$E$362,1,0)</f>
        <v>0</v>
      </c>
      <c r="O3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3" s="298">
        <f>IF(AND(Scharniere[[#This Row],[Scharnierart]]=3,Scharniere[[#This Row],[Gruppenschlüssel]]=select!$A$747)=TRUE,1,0)</f>
        <v>0</v>
      </c>
      <c r="Q383" s="298">
        <f ca="1">IF(select!$O$945&lt;6,1,0)</f>
        <v>1</v>
      </c>
      <c r="R383" s="298">
        <f>IF(select!$A$778=IF(Scharniere[[#This Row],[mit Dämpfung]]=1,1,IF(Scharniere[[#This Row],[ohne Dämpfung]]=1,2,IF(Scharniere[[#This Row],[ohne Feder]]=1,3,0))),1,0)</f>
        <v>0</v>
      </c>
      <c r="S383" s="298">
        <f>IF(Scharniere[[#This Row],[Bohrbild]]=select!$A$755,1,0)</f>
        <v>0</v>
      </c>
      <c r="T383" s="298">
        <f>IF(IF(Scharniere[[#This Row],[Anschrauben]]=1,1,IF(Scharniere[[#This Row],[Einpressen]]=1,2,IF(Scharniere[[#This Row],[Quick]]=1,3,IF(Scharniere[[#This Row],[Werkzeuglos]]=1,4,0))))=select!$A$769,1,0)</f>
        <v>0</v>
      </c>
      <c r="U3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3" s="359">
        <f>IF(AND(Scharniere[[#This Row],[Scharnierart]]=4,Scharniere[[#This Row],[Gruppenschlüssel]]=select!$A$981)=TRUE,1,0)</f>
        <v>0</v>
      </c>
      <c r="W383" s="359">
        <f ca="1">IF(select!$O$1185&lt;6,1,0)</f>
        <v>1</v>
      </c>
      <c r="X383" s="359">
        <f>IF(select!$A$1012=IF(Scharniere[[#This Row],[mit Dämpfung]]=1,1,IF(Scharniere[[#This Row],[ohne Dämpfung]]=1,2,IF(Scharniere[[#This Row],[ohne Feder]]=1,3,0))),1,0)</f>
        <v>0</v>
      </c>
      <c r="Y383" s="359">
        <f>IF(Scharniere[[#This Row],[Bohrbild]]=select!$A$989,1,0)</f>
        <v>0</v>
      </c>
      <c r="Z383" s="359">
        <f>IF(IF(Scharniere[[#This Row],[Anschrauben]]=1,1,IF(Scharniere[[#This Row],[Einpressen]]=1,2,IF(Scharniere[[#This Row],[Quick]]=1,3,IF(Scharniere[[#This Row],[Werkzeuglos]]=1,4,0))))=select!$A$1003,1,0)</f>
        <v>0</v>
      </c>
      <c r="AA3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3" s="359">
        <f ca="1">IF(select!$K$980="*",Scharniere[[#This Row],[AG Ges2]],Scharniere[[#This Row],[AG Ges1]])</f>
        <v>0</v>
      </c>
      <c r="AE383" s="451">
        <f ca="1">IF(AND(Scharniere[[#This Row],[Scharnierart]]=select!$A$1485,Scharniere[[#This Row],[Gruppenschlüssel]]=select!$B$1485)=TRUE,1,0)</f>
        <v>0</v>
      </c>
      <c r="AF383" s="451">
        <f ca="1">IF(AND(Scharniere[[#This Row],[Scharnierart]]=select!$A$1486,Scharniere[[#This Row],[Gruppenschlüssel]]=select!$B$1486)=TRUE,1,0)</f>
        <v>0</v>
      </c>
      <c r="AG383" s="451">
        <f ca="1">IF(AND(Scharniere[[#This Row],[Scharnierart]]=select!$A$1487,Scharniere[[#This Row],[Gruppenschlüssel]]=select!$B$1487)=TRUE,1,0)</f>
        <v>0</v>
      </c>
      <c r="AH383" s="451">
        <f ca="1">IF(AND(Scharniere[[#This Row],[Scharnierart]]=select!$A$1488,Scharniere[[#This Row],[Gruppenschlüssel]]=select!$B$1488)=TRUE,1,0)</f>
        <v>0</v>
      </c>
      <c r="AI383" s="451">
        <f ca="1">IF(SUM(Scharniere[[#This Row],[konf Scharnier 1]:[konf Scharnier 4]])&gt;0,1,0)</f>
        <v>0</v>
      </c>
      <c r="AJ383" s="451"/>
      <c r="AK383" s="451"/>
      <c r="AL383" s="451"/>
      <c r="AM383" s="451"/>
      <c r="AN383" s="451"/>
      <c r="AO383" s="146">
        <v>1</v>
      </c>
      <c r="AP383" s="146">
        <v>2</v>
      </c>
      <c r="AQ383" s="10" t="str">
        <f ca="1">Sprache!$A$113</f>
        <v>Tiomos Scharnier TS Impresso</v>
      </c>
      <c r="AR383" t="s">
        <v>67</v>
      </c>
      <c r="AS383" t="str">
        <f ca="1">Sprache!$A$116</f>
        <v>Tiomos Impresso Scharniere</v>
      </c>
      <c r="AT383">
        <v>0</v>
      </c>
      <c r="AU383" s="34" t="s">
        <v>3</v>
      </c>
      <c r="AV383">
        <v>120</v>
      </c>
      <c r="AW383" s="10">
        <v>1</v>
      </c>
      <c r="AX383">
        <v>0</v>
      </c>
      <c r="AY383">
        <v>0</v>
      </c>
      <c r="AZ383" s="10">
        <v>0</v>
      </c>
      <c r="BA383">
        <v>0</v>
      </c>
      <c r="BB383">
        <v>0</v>
      </c>
      <c r="BC383">
        <v>1</v>
      </c>
      <c r="BD383" s="143" t="s">
        <v>66</v>
      </c>
      <c r="BG383"/>
    </row>
    <row r="384" spans="1:59" ht="14.25" customHeight="1" x14ac:dyDescent="0.25">
      <c r="A384" s="37" t="str">
        <f>LEFT(Scharniere[[#This Row],[ArtikelNR]],4)</f>
        <v>F035</v>
      </c>
      <c r="B384" s="35" t="str">
        <f>MID(Scharniere[[#This Row],[ArtikelNR]],5,3)</f>
        <v>139</v>
      </c>
      <c r="C384" s="37" t="str">
        <f>RIGHT(Scharniere[[#This Row],[ArtikelNR]],3)</f>
        <v>371</v>
      </c>
      <c r="D384" s="35">
        <f>IF(AND(Scharniere[[#This Row],[Gruppenschlüssel]]=select!$A$44,Scharniere[[#This Row],[Scharnierart]]=1)=TRUE,1,0)</f>
        <v>0</v>
      </c>
      <c r="E3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4" s="35">
        <f>IF(select!$F$57=IF(Scharniere[[#This Row],[mit Dämpfung]]=1,1,IF(Scharniere[[#This Row],[ohne Dämpfung]]=1,2,IF(Scharniere[[#This Row],[ohne Feder]]=1,3,0))),1,0)</f>
        <v>1</v>
      </c>
      <c r="G384" s="35">
        <f>IF(Scharniere[[#This Row],[Bohrbild]]=select!$V$43,1,0)</f>
        <v>1</v>
      </c>
      <c r="H384" s="35">
        <f>IF(IF(Scharniere[[#This Row],[Anschrauben]]=1,1,IF(Scharniere[[#This Row],[Einpressen]]=1,2,IF(Scharniere[[#This Row],[Quick]]=1,3,IF(Scharniere[[#This Row],[Werkzeuglos]]=1,4,0))))=select!$F$48,1,0)</f>
        <v>0</v>
      </c>
      <c r="I3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4" s="149">
        <f>IF(AND(Scharniere[[#This Row],[Scharnierart]]=2,Scharniere[[#This Row],[Gruppenschlüssel]]=select!$A$318)=TRUE,1,0)</f>
        <v>0</v>
      </c>
      <c r="K384" s="221">
        <f ca="1">IF(select!$O$424&lt;6,1,0)</f>
        <v>1</v>
      </c>
      <c r="L384" s="139">
        <f>IF(select!$A$362=IF(Scharniere[[#This Row],[mit Dämpfung]]=1,1,IF(Scharniere[[#This Row],[ohne Dämpfung]]=1,2,IF(Scharniere[[#This Row],[ohne Feder]]=1,3,0))),1,0)</f>
        <v>0</v>
      </c>
      <c r="M384" s="135">
        <f>IF(Scharniere[[#This Row],[Bohrbild]]=select!$O$334,1,0)</f>
        <v>1</v>
      </c>
      <c r="N384" s="135">
        <f>IF(IF(Scharniere[[#This Row],[Anschrauben]]=1,1,IF(Scharniere[[#This Row],[Einpressen]]=1,2,IF(Scharniere[[#This Row],[Quick]]=1,3,IF(Scharniere[[#This Row],[Werkzeuglos]]=1,4,0))))=select!$E$362,1,0)</f>
        <v>0</v>
      </c>
      <c r="O3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4" s="298">
        <f>IF(AND(Scharniere[[#This Row],[Scharnierart]]=3,Scharniere[[#This Row],[Gruppenschlüssel]]=select!$A$747)=TRUE,1,0)</f>
        <v>0</v>
      </c>
      <c r="Q384" s="298">
        <f ca="1">IF(select!$O$945&lt;6,1,0)</f>
        <v>1</v>
      </c>
      <c r="R384" s="298">
        <f>IF(select!$A$778=IF(Scharniere[[#This Row],[mit Dämpfung]]=1,1,IF(Scharniere[[#This Row],[ohne Dämpfung]]=1,2,IF(Scharniere[[#This Row],[ohne Feder]]=1,3,0))),1,0)</f>
        <v>0</v>
      </c>
      <c r="S384" s="298">
        <f>IF(Scharniere[[#This Row],[Bohrbild]]=select!$A$755,1,0)</f>
        <v>0</v>
      </c>
      <c r="T384" s="298">
        <f>IF(IF(Scharniere[[#This Row],[Anschrauben]]=1,1,IF(Scharniere[[#This Row],[Einpressen]]=1,2,IF(Scharniere[[#This Row],[Quick]]=1,3,IF(Scharniere[[#This Row],[Werkzeuglos]]=1,4,0))))=select!$A$769,1,0)</f>
        <v>0</v>
      </c>
      <c r="U3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4" s="359">
        <f>IF(AND(Scharniere[[#This Row],[Scharnierart]]=4,Scharniere[[#This Row],[Gruppenschlüssel]]=select!$A$981)=TRUE,1,0)</f>
        <v>0</v>
      </c>
      <c r="W384" s="359">
        <f ca="1">IF(select!$O$1185&lt;6,1,0)</f>
        <v>1</v>
      </c>
      <c r="X384" s="359">
        <f>IF(select!$A$1012=IF(Scharniere[[#This Row],[mit Dämpfung]]=1,1,IF(Scharniere[[#This Row],[ohne Dämpfung]]=1,2,IF(Scharniere[[#This Row],[ohne Feder]]=1,3,0))),1,0)</f>
        <v>0</v>
      </c>
      <c r="Y384" s="359">
        <f>IF(Scharniere[[#This Row],[Bohrbild]]=select!$A$989,1,0)</f>
        <v>0</v>
      </c>
      <c r="Z384" s="359">
        <f>IF(IF(Scharniere[[#This Row],[Anschrauben]]=1,1,IF(Scharniere[[#This Row],[Einpressen]]=1,2,IF(Scharniere[[#This Row],[Quick]]=1,3,IF(Scharniere[[#This Row],[Werkzeuglos]]=1,4,0))))=select!$A$1003,1,0)</f>
        <v>0</v>
      </c>
      <c r="AA3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4" s="359">
        <f ca="1">IF(select!$K$980="*",Scharniere[[#This Row],[AG Ges2]],Scharniere[[#This Row],[AG Ges1]])</f>
        <v>0</v>
      </c>
      <c r="AE384" s="451">
        <f ca="1">IF(AND(Scharniere[[#This Row],[Scharnierart]]=select!$A$1485,Scharniere[[#This Row],[Gruppenschlüssel]]=select!$B$1485)=TRUE,1,0)</f>
        <v>0</v>
      </c>
      <c r="AF384" s="451">
        <f ca="1">IF(AND(Scharniere[[#This Row],[Scharnierart]]=select!$A$1486,Scharniere[[#This Row],[Gruppenschlüssel]]=select!$B$1486)=TRUE,1,0)</f>
        <v>0</v>
      </c>
      <c r="AG384" s="451">
        <f ca="1">IF(AND(Scharniere[[#This Row],[Scharnierart]]=select!$A$1487,Scharniere[[#This Row],[Gruppenschlüssel]]=select!$B$1487)=TRUE,1,0)</f>
        <v>0</v>
      </c>
      <c r="AH384" s="451">
        <f ca="1">IF(AND(Scharniere[[#This Row],[Scharnierart]]=select!$A$1488,Scharniere[[#This Row],[Gruppenschlüssel]]=select!$B$1488)=TRUE,1,0)</f>
        <v>0</v>
      </c>
      <c r="AI384" s="451">
        <f ca="1">IF(SUM(Scharniere[[#This Row],[konf Scharnier 1]:[konf Scharnier 4]])&gt;0,1,0)</f>
        <v>0</v>
      </c>
      <c r="AJ384" s="451"/>
      <c r="AK384" s="451"/>
      <c r="AL384" s="451"/>
      <c r="AM384" s="451"/>
      <c r="AN384" s="451"/>
      <c r="AO384" s="146">
        <v>1</v>
      </c>
      <c r="AP384" s="146">
        <v>2</v>
      </c>
      <c r="AQ384" s="10" t="str">
        <f ca="1">Sprache!$A$115</f>
        <v>Tiomos Scharnier TT Impresso</v>
      </c>
      <c r="AR384" t="s">
        <v>67</v>
      </c>
      <c r="AS384" t="str">
        <f ca="1">Sprache!$A$116</f>
        <v>Tiomos Impresso Scharniere</v>
      </c>
      <c r="AT384">
        <v>0</v>
      </c>
      <c r="AU384" t="s">
        <v>8</v>
      </c>
      <c r="AV384">
        <v>120</v>
      </c>
      <c r="AW384" s="10">
        <v>0</v>
      </c>
      <c r="AX384">
        <v>0</v>
      </c>
      <c r="AY384">
        <v>1</v>
      </c>
      <c r="AZ384" s="10">
        <v>0</v>
      </c>
      <c r="BA384">
        <v>0</v>
      </c>
      <c r="BB384">
        <v>0</v>
      </c>
      <c r="BC384">
        <v>1</v>
      </c>
      <c r="BD384" s="143" t="s">
        <v>184</v>
      </c>
      <c r="BG384"/>
    </row>
    <row r="385" spans="1:59" ht="14.25" customHeight="1" x14ac:dyDescent="0.25">
      <c r="A385" s="37" t="str">
        <f>LEFT(Scharniere[[#This Row],[ArtikelNR]],4)</f>
        <v>F035</v>
      </c>
      <c r="B385" s="35" t="str">
        <f>MID(Scharniere[[#This Row],[ArtikelNR]],5,3)</f>
        <v>139</v>
      </c>
      <c r="C385" s="37" t="str">
        <f>RIGHT(Scharniere[[#This Row],[ArtikelNR]],3)</f>
        <v>371</v>
      </c>
      <c r="D385" s="35">
        <f>IF(AND(Scharniere[[#This Row],[Gruppenschlüssel]]=select!$A$44,Scharniere[[#This Row],[Scharnierart]]=1)=TRUE,1,0)</f>
        <v>0</v>
      </c>
      <c r="E3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5" s="35">
        <f>IF(select!$F$57=IF(Scharniere[[#This Row],[mit Dämpfung]]=1,1,IF(Scharniere[[#This Row],[ohne Dämpfung]]=1,2,IF(Scharniere[[#This Row],[ohne Feder]]=1,3,0))),1,0)</f>
        <v>1</v>
      </c>
      <c r="G385" s="35">
        <f>IF(Scharniere[[#This Row],[Bohrbild]]=select!$V$43,1,0)</f>
        <v>0</v>
      </c>
      <c r="H385" s="35">
        <f>IF(IF(Scharniere[[#This Row],[Anschrauben]]=1,1,IF(Scharniere[[#This Row],[Einpressen]]=1,2,IF(Scharniere[[#This Row],[Quick]]=1,3,IF(Scharniere[[#This Row],[Werkzeuglos]]=1,4,0))))=select!$F$48,1,0)</f>
        <v>0</v>
      </c>
      <c r="I3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5" s="149">
        <f>IF(AND(Scharniere[[#This Row],[Scharnierart]]=2,Scharniere[[#This Row],[Gruppenschlüssel]]=select!$A$318)=TRUE,1,0)</f>
        <v>0</v>
      </c>
      <c r="K385" s="221">
        <f ca="1">IF(select!$O$424&lt;6,1,0)</f>
        <v>1</v>
      </c>
      <c r="L385" s="139">
        <f>IF(select!$A$362=IF(Scharniere[[#This Row],[mit Dämpfung]]=1,1,IF(Scharniere[[#This Row],[ohne Dämpfung]]=1,2,IF(Scharniere[[#This Row],[ohne Feder]]=1,3,0))),1,0)</f>
        <v>0</v>
      </c>
      <c r="M385" s="135">
        <f>IF(Scharniere[[#This Row],[Bohrbild]]=select!$O$334,1,0)</f>
        <v>0</v>
      </c>
      <c r="N385" s="135">
        <f>IF(IF(Scharniere[[#This Row],[Anschrauben]]=1,1,IF(Scharniere[[#This Row],[Einpressen]]=1,2,IF(Scharniere[[#This Row],[Quick]]=1,3,IF(Scharniere[[#This Row],[Werkzeuglos]]=1,4,0))))=select!$E$362,1,0)</f>
        <v>0</v>
      </c>
      <c r="O3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5" s="298">
        <f>IF(AND(Scharniere[[#This Row],[Scharnierart]]=3,Scharniere[[#This Row],[Gruppenschlüssel]]=select!$A$747)=TRUE,1,0)</f>
        <v>0</v>
      </c>
      <c r="Q385" s="298">
        <f ca="1">IF(select!$O$945&lt;6,1,0)</f>
        <v>1</v>
      </c>
      <c r="R385" s="298">
        <f>IF(select!$A$778=IF(Scharniere[[#This Row],[mit Dämpfung]]=1,1,IF(Scharniere[[#This Row],[ohne Dämpfung]]=1,2,IF(Scharniere[[#This Row],[ohne Feder]]=1,3,0))),1,0)</f>
        <v>0</v>
      </c>
      <c r="S385" s="298">
        <f>IF(Scharniere[[#This Row],[Bohrbild]]=select!$A$755,1,0)</f>
        <v>0</v>
      </c>
      <c r="T385" s="298">
        <f>IF(IF(Scharniere[[#This Row],[Anschrauben]]=1,1,IF(Scharniere[[#This Row],[Einpressen]]=1,2,IF(Scharniere[[#This Row],[Quick]]=1,3,IF(Scharniere[[#This Row],[Werkzeuglos]]=1,4,0))))=select!$A$769,1,0)</f>
        <v>0</v>
      </c>
      <c r="U3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5" s="359">
        <f>IF(AND(Scharniere[[#This Row],[Scharnierart]]=4,Scharniere[[#This Row],[Gruppenschlüssel]]=select!$A$981)=TRUE,1,0)</f>
        <v>0</v>
      </c>
      <c r="W385" s="359">
        <f ca="1">IF(select!$O$1185&lt;6,1,0)</f>
        <v>1</v>
      </c>
      <c r="X385" s="359">
        <f>IF(select!$A$1012=IF(Scharniere[[#This Row],[mit Dämpfung]]=1,1,IF(Scharniere[[#This Row],[ohne Dämpfung]]=1,2,IF(Scharniere[[#This Row],[ohne Feder]]=1,3,0))),1,0)</f>
        <v>0</v>
      </c>
      <c r="Y385" s="359">
        <f>IF(Scharniere[[#This Row],[Bohrbild]]=select!$A$989,1,0)</f>
        <v>0</v>
      </c>
      <c r="Z385" s="359">
        <f>IF(IF(Scharniere[[#This Row],[Anschrauben]]=1,1,IF(Scharniere[[#This Row],[Einpressen]]=1,2,IF(Scharniere[[#This Row],[Quick]]=1,3,IF(Scharniere[[#This Row],[Werkzeuglos]]=1,4,0))))=select!$A$1003,1,0)</f>
        <v>0</v>
      </c>
      <c r="AA3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5" s="359">
        <f ca="1">IF(select!$K$980="*",Scharniere[[#This Row],[AG Ges2]],Scharniere[[#This Row],[AG Ges1]])</f>
        <v>0</v>
      </c>
      <c r="AE385" s="451">
        <f ca="1">IF(AND(Scharniere[[#This Row],[Scharnierart]]=select!$A$1485,Scharniere[[#This Row],[Gruppenschlüssel]]=select!$B$1485)=TRUE,1,0)</f>
        <v>0</v>
      </c>
      <c r="AF385" s="451">
        <f ca="1">IF(AND(Scharniere[[#This Row],[Scharnierart]]=select!$A$1486,Scharniere[[#This Row],[Gruppenschlüssel]]=select!$B$1486)=TRUE,1,0)</f>
        <v>0</v>
      </c>
      <c r="AG385" s="451">
        <f ca="1">IF(AND(Scharniere[[#This Row],[Scharnierart]]=select!$A$1487,Scharniere[[#This Row],[Gruppenschlüssel]]=select!$B$1487)=TRUE,1,0)</f>
        <v>0</v>
      </c>
      <c r="AH385" s="451">
        <f ca="1">IF(AND(Scharniere[[#This Row],[Scharnierart]]=select!$A$1488,Scharniere[[#This Row],[Gruppenschlüssel]]=select!$B$1488)=TRUE,1,0)</f>
        <v>0</v>
      </c>
      <c r="AI385" s="451">
        <f ca="1">IF(SUM(Scharniere[[#This Row],[konf Scharnier 1]:[konf Scharnier 4]])&gt;0,1,0)</f>
        <v>0</v>
      </c>
      <c r="AJ385" s="451"/>
      <c r="AK385" s="451"/>
      <c r="AL385" s="451"/>
      <c r="AM385" s="451"/>
      <c r="AN385" s="451"/>
      <c r="AO385" s="146">
        <v>1</v>
      </c>
      <c r="AP385" s="146">
        <v>2</v>
      </c>
      <c r="AQ385" s="10" t="str">
        <f ca="1">Sprache!$A$115</f>
        <v>Tiomos Scharnier TT Impresso</v>
      </c>
      <c r="AR385" t="s">
        <v>67</v>
      </c>
      <c r="AS385" t="str">
        <f ca="1">Sprache!$A$116</f>
        <v>Tiomos Impresso Scharniere</v>
      </c>
      <c r="AT385">
        <v>0</v>
      </c>
      <c r="AU385" t="s">
        <v>3</v>
      </c>
      <c r="AV385">
        <v>120</v>
      </c>
      <c r="AW385" s="10">
        <v>0</v>
      </c>
      <c r="AX385">
        <v>0</v>
      </c>
      <c r="AY385">
        <v>1</v>
      </c>
      <c r="AZ385" s="10">
        <v>0</v>
      </c>
      <c r="BA385">
        <v>0</v>
      </c>
      <c r="BB385">
        <v>0</v>
      </c>
      <c r="BC385">
        <v>1</v>
      </c>
      <c r="BD385" s="143" t="s">
        <v>184</v>
      </c>
      <c r="BG385"/>
    </row>
    <row r="386" spans="1:59" ht="14.25" customHeight="1" x14ac:dyDescent="0.25">
      <c r="A386" s="37" t="str">
        <f>LEFT(Scharniere[[#This Row],[ArtikelNR]],4)</f>
        <v>F045</v>
      </c>
      <c r="B386" s="35" t="str">
        <f>MID(Scharniere[[#This Row],[ArtikelNR]],5,3)</f>
        <v>138</v>
      </c>
      <c r="C386" s="37" t="str">
        <f>RIGHT(Scharniere[[#This Row],[ArtikelNR]],3)</f>
        <v>853</v>
      </c>
      <c r="D386" s="35">
        <f>IF(AND(Scharniere[[#This Row],[Gruppenschlüssel]]=select!$A$44,Scharniere[[#This Row],[Scharnierart]]=1)=TRUE,1,0)</f>
        <v>0</v>
      </c>
      <c r="E3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6" s="35">
        <f>IF(select!$F$57=IF(Scharniere[[#This Row],[mit Dämpfung]]=1,1,IF(Scharniere[[#This Row],[ohne Dämpfung]]=1,2,IF(Scharniere[[#This Row],[ohne Feder]]=1,3,0))),1,0)</f>
        <v>0</v>
      </c>
      <c r="G386" s="35">
        <f>IF(Scharniere[[#This Row],[Bohrbild]]=select!$V$43,1,0)</f>
        <v>0</v>
      </c>
      <c r="H386" s="35">
        <f>IF(IF(Scharniere[[#This Row],[Anschrauben]]=1,1,IF(Scharniere[[#This Row],[Einpressen]]=1,2,IF(Scharniere[[#This Row],[Quick]]=1,3,IF(Scharniere[[#This Row],[Werkzeuglos]]=1,4,0))))=select!$F$48,1,0)</f>
        <v>1</v>
      </c>
      <c r="I3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6" s="149">
        <f>IF(AND(Scharniere[[#This Row],[Scharnierart]]=2,Scharniere[[#This Row],[Gruppenschlüssel]]=select!$A$318)=TRUE,1,0)</f>
        <v>0</v>
      </c>
      <c r="K386" s="221">
        <f ca="1">IF(select!$O$424&lt;6,1,0)</f>
        <v>1</v>
      </c>
      <c r="L386" s="139">
        <f>IF(select!$A$362=IF(Scharniere[[#This Row],[mit Dämpfung]]=1,1,IF(Scharniere[[#This Row],[ohne Dämpfung]]=1,2,IF(Scharniere[[#This Row],[ohne Feder]]=1,3,0))),1,0)</f>
        <v>0</v>
      </c>
      <c r="M386" s="135">
        <f>IF(Scharniere[[#This Row],[Bohrbild]]=select!$O$334,1,0)</f>
        <v>0</v>
      </c>
      <c r="N386" s="135">
        <f>IF(IF(Scharniere[[#This Row],[Anschrauben]]=1,1,IF(Scharniere[[#This Row],[Einpressen]]=1,2,IF(Scharniere[[#This Row],[Quick]]=1,3,IF(Scharniere[[#This Row],[Werkzeuglos]]=1,4,0))))=select!$E$362,1,0)</f>
        <v>0</v>
      </c>
      <c r="O3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6" s="298">
        <f>IF(AND(Scharniere[[#This Row],[Scharnierart]]=3,Scharniere[[#This Row],[Gruppenschlüssel]]=select!$A$747)=TRUE,1,0)</f>
        <v>0</v>
      </c>
      <c r="Q386" s="298">
        <f ca="1">IF(select!$O$945&lt;6,1,0)</f>
        <v>1</v>
      </c>
      <c r="R386" s="298">
        <f>IF(select!$A$778=IF(Scharniere[[#This Row],[mit Dämpfung]]=1,1,IF(Scharniere[[#This Row],[ohne Dämpfung]]=1,2,IF(Scharniere[[#This Row],[ohne Feder]]=1,3,0))),1,0)</f>
        <v>1</v>
      </c>
      <c r="S386" s="298">
        <f>IF(Scharniere[[#This Row],[Bohrbild]]=select!$A$755,1,0)</f>
        <v>0</v>
      </c>
      <c r="T386" s="298">
        <f>IF(IF(Scharniere[[#This Row],[Anschrauben]]=1,1,IF(Scharniere[[#This Row],[Einpressen]]=1,2,IF(Scharniere[[#This Row],[Quick]]=1,3,IF(Scharniere[[#This Row],[Werkzeuglos]]=1,4,0))))=select!$A$769,1,0)</f>
        <v>0</v>
      </c>
      <c r="U3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6" s="359">
        <f>IF(AND(Scharniere[[#This Row],[Scharnierart]]=4,Scharniere[[#This Row],[Gruppenschlüssel]]=select!$A$981)=TRUE,1,0)</f>
        <v>0</v>
      </c>
      <c r="W386" s="359">
        <f ca="1">IF(select!$O$1185&lt;6,1,0)</f>
        <v>1</v>
      </c>
      <c r="X386" s="359">
        <f>IF(select!$A$1012=IF(Scharniere[[#This Row],[mit Dämpfung]]=1,1,IF(Scharniere[[#This Row],[ohne Dämpfung]]=1,2,IF(Scharniere[[#This Row],[ohne Feder]]=1,3,0))),1,0)</f>
        <v>1</v>
      </c>
      <c r="Y386" s="359">
        <f>IF(Scharniere[[#This Row],[Bohrbild]]=select!$A$989,1,0)</f>
        <v>0</v>
      </c>
      <c r="Z386" s="359">
        <f>IF(IF(Scharniere[[#This Row],[Anschrauben]]=1,1,IF(Scharniere[[#This Row],[Einpressen]]=1,2,IF(Scharniere[[#This Row],[Quick]]=1,3,IF(Scharniere[[#This Row],[Werkzeuglos]]=1,4,0))))=select!$A$1003,1,0)</f>
        <v>0</v>
      </c>
      <c r="AA3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6" s="359">
        <f ca="1">IF(select!$K$980="*",Scharniere[[#This Row],[AG Ges2]],Scharniere[[#This Row],[AG Ges1]])</f>
        <v>0</v>
      </c>
      <c r="AE386" s="451">
        <f ca="1">IF(AND(Scharniere[[#This Row],[Scharnierart]]=select!$A$1485,Scharniere[[#This Row],[Gruppenschlüssel]]=select!$B$1485)=TRUE,1,0)</f>
        <v>0</v>
      </c>
      <c r="AF386" s="451">
        <f ca="1">IF(AND(Scharniere[[#This Row],[Scharnierart]]=select!$A$1486,Scharniere[[#This Row],[Gruppenschlüssel]]=select!$B$1486)=TRUE,1,0)</f>
        <v>0</v>
      </c>
      <c r="AG386" s="451">
        <f ca="1">IF(AND(Scharniere[[#This Row],[Scharnierart]]=select!$A$1487,Scharniere[[#This Row],[Gruppenschlüssel]]=select!$B$1487)=TRUE,1,0)</f>
        <v>0</v>
      </c>
      <c r="AH386" s="451">
        <f ca="1">IF(AND(Scharniere[[#This Row],[Scharnierart]]=select!$A$1488,Scharniere[[#This Row],[Gruppenschlüssel]]=select!$B$1488)=TRUE,1,0)</f>
        <v>0</v>
      </c>
      <c r="AI386" s="451">
        <f ca="1">IF(SUM(Scharniere[[#This Row],[konf Scharnier 1]:[konf Scharnier 4]])&gt;0,1,0)</f>
        <v>0</v>
      </c>
      <c r="AJ386" s="451"/>
      <c r="AK386" s="451"/>
      <c r="AL386" s="451"/>
      <c r="AM386" s="451"/>
      <c r="AN386" s="451"/>
      <c r="AO386" s="146">
        <v>1</v>
      </c>
      <c r="AP386" s="146">
        <v>2</v>
      </c>
      <c r="AQ386" s="10" t="str">
        <f ca="1">Sprache!$A$110</f>
        <v>Tiomos Scharnier T Click-on</v>
      </c>
      <c r="AR386" t="str">
        <f ca="1">"120°, S-BB, K00, "&amp;Sprache!A181&amp;", ni"</f>
        <v>120°, S-BB, K00, Dübel, ni</v>
      </c>
      <c r="AS386" t="str">
        <f ca="1">Sprache!$A$103</f>
        <v>Tiomos Click-On Scharniere</v>
      </c>
      <c r="AT386">
        <v>0</v>
      </c>
      <c r="AU386" t="s">
        <v>11</v>
      </c>
      <c r="AV386">
        <v>120</v>
      </c>
      <c r="AW386" s="10">
        <v>0</v>
      </c>
      <c r="AX386">
        <v>1</v>
      </c>
      <c r="AY386">
        <v>0</v>
      </c>
      <c r="AZ386" s="10">
        <v>0</v>
      </c>
      <c r="BA386">
        <v>1</v>
      </c>
      <c r="BB386">
        <v>0</v>
      </c>
      <c r="BC386">
        <v>0</v>
      </c>
      <c r="BD386" s="143" t="s">
        <v>553</v>
      </c>
      <c r="BG386"/>
    </row>
    <row r="387" spans="1:59" ht="14.25" customHeight="1" x14ac:dyDescent="0.25">
      <c r="A387" s="37" t="str">
        <f>LEFT(Scharniere[[#This Row],[ArtikelNR]],4)</f>
        <v>F028</v>
      </c>
      <c r="B387" s="35" t="str">
        <f>MID(Scharniere[[#This Row],[ArtikelNR]],5,3)</f>
        <v>138</v>
      </c>
      <c r="C387" s="37" t="str">
        <f>RIGHT(Scharniere[[#This Row],[ArtikelNR]],3)</f>
        <v>915</v>
      </c>
      <c r="D387" s="35">
        <f>IF(AND(Scharniere[[#This Row],[Gruppenschlüssel]]=select!$A$44,Scharniere[[#This Row],[Scharnierart]]=1)=TRUE,1,0)</f>
        <v>0</v>
      </c>
      <c r="E3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7" s="35">
        <f>IF(select!$F$57=IF(Scharniere[[#This Row],[mit Dämpfung]]=1,1,IF(Scharniere[[#This Row],[ohne Dämpfung]]=1,2,IF(Scharniere[[#This Row],[ohne Feder]]=1,3,0))),1,0)</f>
        <v>0</v>
      </c>
      <c r="G387" s="35">
        <f>IF(Scharniere[[#This Row],[Bohrbild]]=select!$V$43,1,0)</f>
        <v>0</v>
      </c>
      <c r="H387" s="35">
        <f>IF(IF(Scharniere[[#This Row],[Anschrauben]]=1,1,IF(Scharniere[[#This Row],[Einpressen]]=1,2,IF(Scharniere[[#This Row],[Quick]]=1,3,IF(Scharniere[[#This Row],[Werkzeuglos]]=1,4,0))))=select!$F$48,1,0)</f>
        <v>1</v>
      </c>
      <c r="I3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7" s="149">
        <f>IF(AND(Scharniere[[#This Row],[Scharnierart]]=2,Scharniere[[#This Row],[Gruppenschlüssel]]=select!$A$318)=TRUE,1,0)</f>
        <v>0</v>
      </c>
      <c r="K387" s="221">
        <f ca="1">IF(select!$O$424&lt;6,1,0)</f>
        <v>1</v>
      </c>
      <c r="L387" s="139">
        <f>IF(select!$A$362=IF(Scharniere[[#This Row],[mit Dämpfung]]=1,1,IF(Scharniere[[#This Row],[ohne Dämpfung]]=1,2,IF(Scharniere[[#This Row],[ohne Feder]]=1,3,0))),1,0)</f>
        <v>1</v>
      </c>
      <c r="M387" s="135">
        <f>IF(Scharniere[[#This Row],[Bohrbild]]=select!$O$334,1,0)</f>
        <v>0</v>
      </c>
      <c r="N387" s="135">
        <f>IF(IF(Scharniere[[#This Row],[Anschrauben]]=1,1,IF(Scharniere[[#This Row],[Einpressen]]=1,2,IF(Scharniere[[#This Row],[Quick]]=1,3,IF(Scharniere[[#This Row],[Werkzeuglos]]=1,4,0))))=select!$E$362,1,0)</f>
        <v>0</v>
      </c>
      <c r="O3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7" s="298">
        <f>IF(AND(Scharniere[[#This Row],[Scharnierart]]=3,Scharniere[[#This Row],[Gruppenschlüssel]]=select!$A$747)=TRUE,1,0)</f>
        <v>0</v>
      </c>
      <c r="Q387" s="298">
        <f ca="1">IF(select!$O$945&lt;6,1,0)</f>
        <v>1</v>
      </c>
      <c r="R387" s="298">
        <f>IF(select!$A$778=IF(Scharniere[[#This Row],[mit Dämpfung]]=1,1,IF(Scharniere[[#This Row],[ohne Dämpfung]]=1,2,IF(Scharniere[[#This Row],[ohne Feder]]=1,3,0))),1,0)</f>
        <v>0</v>
      </c>
      <c r="S387" s="298">
        <f>IF(Scharniere[[#This Row],[Bohrbild]]=select!$A$755,1,0)</f>
        <v>0</v>
      </c>
      <c r="T387" s="298">
        <f>IF(IF(Scharniere[[#This Row],[Anschrauben]]=1,1,IF(Scharniere[[#This Row],[Einpressen]]=1,2,IF(Scharniere[[#This Row],[Quick]]=1,3,IF(Scharniere[[#This Row],[Werkzeuglos]]=1,4,0))))=select!$A$769,1,0)</f>
        <v>0</v>
      </c>
      <c r="U3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7" s="359">
        <f>IF(AND(Scharniere[[#This Row],[Scharnierart]]=4,Scharniere[[#This Row],[Gruppenschlüssel]]=select!$A$981)=TRUE,1,0)</f>
        <v>0</v>
      </c>
      <c r="W387" s="359">
        <f ca="1">IF(select!$O$1185&lt;6,1,0)</f>
        <v>1</v>
      </c>
      <c r="X387" s="359">
        <f>IF(select!$A$1012=IF(Scharniere[[#This Row],[mit Dämpfung]]=1,1,IF(Scharniere[[#This Row],[ohne Dämpfung]]=1,2,IF(Scharniere[[#This Row],[ohne Feder]]=1,3,0))),1,0)</f>
        <v>0</v>
      </c>
      <c r="Y387" s="359">
        <f>IF(Scharniere[[#This Row],[Bohrbild]]=select!$A$989,1,0)</f>
        <v>0</v>
      </c>
      <c r="Z387" s="359">
        <f>IF(IF(Scharniere[[#This Row],[Anschrauben]]=1,1,IF(Scharniere[[#This Row],[Einpressen]]=1,2,IF(Scharniere[[#This Row],[Quick]]=1,3,IF(Scharniere[[#This Row],[Werkzeuglos]]=1,4,0))))=select!$A$1003,1,0)</f>
        <v>0</v>
      </c>
      <c r="AA3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7" s="359">
        <f ca="1">IF(select!$K$980="*",Scharniere[[#This Row],[AG Ges2]],Scharniere[[#This Row],[AG Ges1]])</f>
        <v>0</v>
      </c>
      <c r="AE387" s="451">
        <f ca="1">IF(AND(Scharniere[[#This Row],[Scharnierart]]=select!$A$1485,Scharniere[[#This Row],[Gruppenschlüssel]]=select!$B$1485)=TRUE,1,0)</f>
        <v>0</v>
      </c>
      <c r="AF387" s="451">
        <f ca="1">IF(AND(Scharniere[[#This Row],[Scharnierart]]=select!$A$1486,Scharniere[[#This Row],[Gruppenschlüssel]]=select!$B$1486)=TRUE,1,0)</f>
        <v>0</v>
      </c>
      <c r="AG387" s="451">
        <f ca="1">IF(AND(Scharniere[[#This Row],[Scharnierart]]=select!$A$1487,Scharniere[[#This Row],[Gruppenschlüssel]]=select!$B$1487)=TRUE,1,0)</f>
        <v>0</v>
      </c>
      <c r="AH387" s="451">
        <f ca="1">IF(AND(Scharniere[[#This Row],[Scharnierart]]=select!$A$1488,Scharniere[[#This Row],[Gruppenschlüssel]]=select!$B$1488)=TRUE,1,0)</f>
        <v>0</v>
      </c>
      <c r="AI387" s="451">
        <f ca="1">IF(SUM(Scharniere[[#This Row],[konf Scharnier 1]:[konf Scharnier 4]])&gt;0,1,0)</f>
        <v>0</v>
      </c>
      <c r="AJ387" s="451"/>
      <c r="AK387" s="451"/>
      <c r="AL387" s="451"/>
      <c r="AM387" s="451"/>
      <c r="AN387" s="451"/>
      <c r="AO387" s="146">
        <v>1</v>
      </c>
      <c r="AP387" s="146">
        <v>2</v>
      </c>
      <c r="AQ387" s="10" t="str">
        <f ca="1">Sprache!$A$112</f>
        <v>Tiomos Scharnier TS Click-on</v>
      </c>
      <c r="AR387" t="str">
        <f ca="1">"120°, S-BB, K00, "&amp;Sprache!A181&amp;", ni"</f>
        <v>120°, S-BB, K00, Dübel, ni</v>
      </c>
      <c r="AS387" t="str">
        <f ca="1">Sprache!$A$103</f>
        <v>Tiomos Click-On Scharniere</v>
      </c>
      <c r="AT387">
        <v>0</v>
      </c>
      <c r="AU387" t="s">
        <v>11</v>
      </c>
      <c r="AV387">
        <v>120</v>
      </c>
      <c r="AW387" s="10">
        <v>1</v>
      </c>
      <c r="AX387">
        <v>0</v>
      </c>
      <c r="AY387">
        <v>0</v>
      </c>
      <c r="AZ387" s="10">
        <v>0</v>
      </c>
      <c r="BA387">
        <v>1</v>
      </c>
      <c r="BB387">
        <v>0</v>
      </c>
      <c r="BC387">
        <v>0</v>
      </c>
      <c r="BD387" s="143" t="s">
        <v>395</v>
      </c>
      <c r="BG387"/>
    </row>
    <row r="388" spans="1:59" ht="14.25" customHeight="1" x14ac:dyDescent="0.25">
      <c r="A388" s="37" t="str">
        <f>LEFT(Scharniere[[#This Row],[ArtikelNR]],4)</f>
        <v>F046</v>
      </c>
      <c r="B388" s="35" t="str">
        <f>MID(Scharniere[[#This Row],[ArtikelNR]],5,3)</f>
        <v>138</v>
      </c>
      <c r="C388" s="37" t="str">
        <f>RIGHT(Scharniere[[#This Row],[ArtikelNR]],3)</f>
        <v>975</v>
      </c>
      <c r="D388" s="35">
        <f>IF(AND(Scharniere[[#This Row],[Gruppenschlüssel]]=select!$A$44,Scharniere[[#This Row],[Scharnierart]]=1)=TRUE,1,0)</f>
        <v>0</v>
      </c>
      <c r="E3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8" s="35">
        <f>IF(select!$F$57=IF(Scharniere[[#This Row],[mit Dämpfung]]=1,1,IF(Scharniere[[#This Row],[ohne Dämpfung]]=1,2,IF(Scharniere[[#This Row],[ohne Feder]]=1,3,0))),1,0)</f>
        <v>1</v>
      </c>
      <c r="G388" s="35">
        <f>IF(Scharniere[[#This Row],[Bohrbild]]=select!$V$43,1,0)</f>
        <v>0</v>
      </c>
      <c r="H388" s="35">
        <f>IF(IF(Scharniere[[#This Row],[Anschrauben]]=1,1,IF(Scharniere[[#This Row],[Einpressen]]=1,2,IF(Scharniere[[#This Row],[Quick]]=1,3,IF(Scharniere[[#This Row],[Werkzeuglos]]=1,4,0))))=select!$F$48,1,0)</f>
        <v>1</v>
      </c>
      <c r="I3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8" s="149">
        <f>IF(AND(Scharniere[[#This Row],[Scharnierart]]=2,Scharniere[[#This Row],[Gruppenschlüssel]]=select!$A$318)=TRUE,1,0)</f>
        <v>0</v>
      </c>
      <c r="K388" s="221">
        <f ca="1">IF(select!$O$424&lt;6,1,0)</f>
        <v>1</v>
      </c>
      <c r="L388" s="139">
        <f>IF(select!$A$362=IF(Scharniere[[#This Row],[mit Dämpfung]]=1,1,IF(Scharniere[[#This Row],[ohne Dämpfung]]=1,2,IF(Scharniere[[#This Row],[ohne Feder]]=1,3,0))),1,0)</f>
        <v>0</v>
      </c>
      <c r="M388" s="135">
        <f>IF(Scharniere[[#This Row],[Bohrbild]]=select!$O$334,1,0)</f>
        <v>0</v>
      </c>
      <c r="N388" s="135">
        <f>IF(IF(Scharniere[[#This Row],[Anschrauben]]=1,1,IF(Scharniere[[#This Row],[Einpressen]]=1,2,IF(Scharniere[[#This Row],[Quick]]=1,3,IF(Scharniere[[#This Row],[Werkzeuglos]]=1,4,0))))=select!$E$362,1,0)</f>
        <v>0</v>
      </c>
      <c r="O3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8" s="298">
        <f>IF(AND(Scharniere[[#This Row],[Scharnierart]]=3,Scharniere[[#This Row],[Gruppenschlüssel]]=select!$A$747)=TRUE,1,0)</f>
        <v>0</v>
      </c>
      <c r="Q388" s="298">
        <f ca="1">IF(select!$O$945&lt;6,1,0)</f>
        <v>1</v>
      </c>
      <c r="R388" s="298">
        <f>IF(select!$A$778=IF(Scharniere[[#This Row],[mit Dämpfung]]=1,1,IF(Scharniere[[#This Row],[ohne Dämpfung]]=1,2,IF(Scharniere[[#This Row],[ohne Feder]]=1,3,0))),1,0)</f>
        <v>0</v>
      </c>
      <c r="S388" s="298">
        <f>IF(Scharniere[[#This Row],[Bohrbild]]=select!$A$755,1,0)</f>
        <v>0</v>
      </c>
      <c r="T388" s="298">
        <f>IF(IF(Scharniere[[#This Row],[Anschrauben]]=1,1,IF(Scharniere[[#This Row],[Einpressen]]=1,2,IF(Scharniere[[#This Row],[Quick]]=1,3,IF(Scharniere[[#This Row],[Werkzeuglos]]=1,4,0))))=select!$A$769,1,0)</f>
        <v>0</v>
      </c>
      <c r="U3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8" s="359">
        <f>IF(AND(Scharniere[[#This Row],[Scharnierart]]=4,Scharniere[[#This Row],[Gruppenschlüssel]]=select!$A$981)=TRUE,1,0)</f>
        <v>0</v>
      </c>
      <c r="W388" s="359">
        <f ca="1">IF(select!$O$1185&lt;6,1,0)</f>
        <v>1</v>
      </c>
      <c r="X388" s="359">
        <f>IF(select!$A$1012=IF(Scharniere[[#This Row],[mit Dämpfung]]=1,1,IF(Scharniere[[#This Row],[ohne Dämpfung]]=1,2,IF(Scharniere[[#This Row],[ohne Feder]]=1,3,0))),1,0)</f>
        <v>0</v>
      </c>
      <c r="Y388" s="359">
        <f>IF(Scharniere[[#This Row],[Bohrbild]]=select!$A$989,1,0)</f>
        <v>0</v>
      </c>
      <c r="Z388" s="359">
        <f>IF(IF(Scharniere[[#This Row],[Anschrauben]]=1,1,IF(Scharniere[[#This Row],[Einpressen]]=1,2,IF(Scharniere[[#This Row],[Quick]]=1,3,IF(Scharniere[[#This Row],[Werkzeuglos]]=1,4,0))))=select!$A$1003,1,0)</f>
        <v>0</v>
      </c>
      <c r="AA3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8" s="359">
        <f ca="1">IF(select!$K$980="*",Scharniere[[#This Row],[AG Ges2]],Scharniere[[#This Row],[AG Ges1]])</f>
        <v>0</v>
      </c>
      <c r="AE388" s="451">
        <f ca="1">IF(AND(Scharniere[[#This Row],[Scharnierart]]=select!$A$1485,Scharniere[[#This Row],[Gruppenschlüssel]]=select!$B$1485)=TRUE,1,0)</f>
        <v>0</v>
      </c>
      <c r="AF388" s="451">
        <f ca="1">IF(AND(Scharniere[[#This Row],[Scharnierart]]=select!$A$1486,Scharniere[[#This Row],[Gruppenschlüssel]]=select!$B$1486)=TRUE,1,0)</f>
        <v>0</v>
      </c>
      <c r="AG388" s="451">
        <f ca="1">IF(AND(Scharniere[[#This Row],[Scharnierart]]=select!$A$1487,Scharniere[[#This Row],[Gruppenschlüssel]]=select!$B$1487)=TRUE,1,0)</f>
        <v>0</v>
      </c>
      <c r="AH388" s="451">
        <f ca="1">IF(AND(Scharniere[[#This Row],[Scharnierart]]=select!$A$1488,Scharniere[[#This Row],[Gruppenschlüssel]]=select!$B$1488)=TRUE,1,0)</f>
        <v>0</v>
      </c>
      <c r="AI388" s="451">
        <f ca="1">IF(SUM(Scharniere[[#This Row],[konf Scharnier 1]:[konf Scharnier 4]])&gt;0,1,0)</f>
        <v>0</v>
      </c>
      <c r="AJ388" s="451"/>
      <c r="AK388" s="451"/>
      <c r="AL388" s="451"/>
      <c r="AM388" s="451"/>
      <c r="AN388" s="451"/>
      <c r="AO388" s="146">
        <v>1</v>
      </c>
      <c r="AP388" s="146">
        <v>2</v>
      </c>
      <c r="AQ388" s="10" t="str">
        <f ca="1">Sprache!$A$114</f>
        <v>Tiomos Scharnier TT Click-on</v>
      </c>
      <c r="AR388" t="str">
        <f ca="1">"120°, S-BB, K00, "&amp;Sprache!A181&amp;", ni"</f>
        <v>120°, S-BB, K00, Dübel, ni</v>
      </c>
      <c r="AS388" t="str">
        <f ca="1">Sprache!$A$103</f>
        <v>Tiomos Click-On Scharniere</v>
      </c>
      <c r="AT388">
        <v>0</v>
      </c>
      <c r="AU388" t="s">
        <v>11</v>
      </c>
      <c r="AV388">
        <v>120</v>
      </c>
      <c r="AW388" s="10">
        <v>0</v>
      </c>
      <c r="AX388">
        <v>0</v>
      </c>
      <c r="AY388">
        <v>1</v>
      </c>
      <c r="AZ388" s="10">
        <v>0</v>
      </c>
      <c r="BA388">
        <v>1</v>
      </c>
      <c r="BB388">
        <v>0</v>
      </c>
      <c r="BC388">
        <v>0</v>
      </c>
      <c r="BD388" s="143" t="s">
        <v>705</v>
      </c>
      <c r="BG388"/>
    </row>
    <row r="389" spans="1:59" ht="14.25" customHeight="1" x14ac:dyDescent="0.25">
      <c r="A389" s="37" t="str">
        <f>LEFT(Scharniere[[#This Row],[ArtikelNR]],4)</f>
        <v>F045</v>
      </c>
      <c r="B389" s="35" t="str">
        <f>MID(Scharniere[[#This Row],[ArtikelNR]],5,3)</f>
        <v>138</v>
      </c>
      <c r="C389" s="37" t="str">
        <f>RIGHT(Scharniere[[#This Row],[ArtikelNR]],3)</f>
        <v>849</v>
      </c>
      <c r="D389" s="35">
        <f>IF(AND(Scharniere[[#This Row],[Gruppenschlüssel]]=select!$A$44,Scharniere[[#This Row],[Scharnierart]]=1)=TRUE,1,0)</f>
        <v>0</v>
      </c>
      <c r="E3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89" s="35">
        <f>IF(select!$F$57=IF(Scharniere[[#This Row],[mit Dämpfung]]=1,1,IF(Scharniere[[#This Row],[ohne Dämpfung]]=1,2,IF(Scharniere[[#This Row],[ohne Feder]]=1,3,0))),1,0)</f>
        <v>0</v>
      </c>
      <c r="G389" s="35">
        <f>IF(Scharniere[[#This Row],[Bohrbild]]=select!$V$43,1,0)</f>
        <v>0</v>
      </c>
      <c r="H389" s="35">
        <f>IF(IF(Scharniere[[#This Row],[Anschrauben]]=1,1,IF(Scharniere[[#This Row],[Einpressen]]=1,2,IF(Scharniere[[#This Row],[Quick]]=1,3,IF(Scharniere[[#This Row],[Werkzeuglos]]=1,4,0))))=select!$F$48,1,0)</f>
        <v>0</v>
      </c>
      <c r="I3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89" s="149">
        <f>IF(AND(Scharniere[[#This Row],[Scharnierart]]=2,Scharniere[[#This Row],[Gruppenschlüssel]]=select!$A$318)=TRUE,1,0)</f>
        <v>0</v>
      </c>
      <c r="K389" s="221">
        <f ca="1">IF(select!$O$424&lt;6,1,0)</f>
        <v>1</v>
      </c>
      <c r="L389" s="139">
        <f>IF(select!$A$362=IF(Scharniere[[#This Row],[mit Dämpfung]]=1,1,IF(Scharniere[[#This Row],[ohne Dämpfung]]=1,2,IF(Scharniere[[#This Row],[ohne Feder]]=1,3,0))),1,0)</f>
        <v>0</v>
      </c>
      <c r="M389" s="135">
        <f>IF(Scharniere[[#This Row],[Bohrbild]]=select!$O$334,1,0)</f>
        <v>0</v>
      </c>
      <c r="N389" s="135">
        <f>IF(IF(Scharniere[[#This Row],[Anschrauben]]=1,1,IF(Scharniere[[#This Row],[Einpressen]]=1,2,IF(Scharniere[[#This Row],[Quick]]=1,3,IF(Scharniere[[#This Row],[Werkzeuglos]]=1,4,0))))=select!$E$362,1,0)</f>
        <v>1</v>
      </c>
      <c r="O3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89" s="298">
        <f>IF(AND(Scharniere[[#This Row],[Scharnierart]]=3,Scharniere[[#This Row],[Gruppenschlüssel]]=select!$A$747)=TRUE,1,0)</f>
        <v>0</v>
      </c>
      <c r="Q389" s="298">
        <f ca="1">IF(select!$O$945&lt;6,1,0)</f>
        <v>1</v>
      </c>
      <c r="R389" s="298">
        <f>IF(select!$A$778=IF(Scharniere[[#This Row],[mit Dämpfung]]=1,1,IF(Scharniere[[#This Row],[ohne Dämpfung]]=1,2,IF(Scharniere[[#This Row],[ohne Feder]]=1,3,0))),1,0)</f>
        <v>1</v>
      </c>
      <c r="S389" s="298">
        <f>IF(Scharniere[[#This Row],[Bohrbild]]=select!$A$755,1,0)</f>
        <v>0</v>
      </c>
      <c r="T389" s="298">
        <f>IF(IF(Scharniere[[#This Row],[Anschrauben]]=1,1,IF(Scharniere[[#This Row],[Einpressen]]=1,2,IF(Scharniere[[#This Row],[Quick]]=1,3,IF(Scharniere[[#This Row],[Werkzeuglos]]=1,4,0))))=select!$A$769,1,0)</f>
        <v>1</v>
      </c>
      <c r="U3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89" s="359">
        <f>IF(AND(Scharniere[[#This Row],[Scharnierart]]=4,Scharniere[[#This Row],[Gruppenschlüssel]]=select!$A$981)=TRUE,1,0)</f>
        <v>0</v>
      </c>
      <c r="W389" s="359">
        <f ca="1">IF(select!$O$1185&lt;6,1,0)</f>
        <v>1</v>
      </c>
      <c r="X389" s="359">
        <f>IF(select!$A$1012=IF(Scharniere[[#This Row],[mit Dämpfung]]=1,1,IF(Scharniere[[#This Row],[ohne Dämpfung]]=1,2,IF(Scharniere[[#This Row],[ohne Feder]]=1,3,0))),1,0)</f>
        <v>1</v>
      </c>
      <c r="Y389" s="359">
        <f>IF(Scharniere[[#This Row],[Bohrbild]]=select!$A$989,1,0)</f>
        <v>0</v>
      </c>
      <c r="Z389" s="359">
        <f>IF(IF(Scharniere[[#This Row],[Anschrauben]]=1,1,IF(Scharniere[[#This Row],[Einpressen]]=1,2,IF(Scharniere[[#This Row],[Quick]]=1,3,IF(Scharniere[[#This Row],[Werkzeuglos]]=1,4,0))))=select!$A$1003,1,0)</f>
        <v>1</v>
      </c>
      <c r="AA3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89" s="359">
        <f ca="1">IF(select!$K$980="*",Scharniere[[#This Row],[AG Ges2]],Scharniere[[#This Row],[AG Ges1]])</f>
        <v>0</v>
      </c>
      <c r="AE389" s="451">
        <f ca="1">IF(AND(Scharniere[[#This Row],[Scharnierart]]=select!$A$1485,Scharniere[[#This Row],[Gruppenschlüssel]]=select!$B$1485)=TRUE,1,0)</f>
        <v>0</v>
      </c>
      <c r="AF389" s="451">
        <f ca="1">IF(AND(Scharniere[[#This Row],[Scharnierart]]=select!$A$1486,Scharniere[[#This Row],[Gruppenschlüssel]]=select!$B$1486)=TRUE,1,0)</f>
        <v>0</v>
      </c>
      <c r="AG389" s="451">
        <f ca="1">IF(AND(Scharniere[[#This Row],[Scharnierart]]=select!$A$1487,Scharniere[[#This Row],[Gruppenschlüssel]]=select!$B$1487)=TRUE,1,0)</f>
        <v>0</v>
      </c>
      <c r="AH389" s="451">
        <f ca="1">IF(AND(Scharniere[[#This Row],[Scharnierart]]=select!$A$1488,Scharniere[[#This Row],[Gruppenschlüssel]]=select!$B$1488)=TRUE,1,0)</f>
        <v>0</v>
      </c>
      <c r="AI389" s="451">
        <f ca="1">IF(SUM(Scharniere[[#This Row],[konf Scharnier 1]:[konf Scharnier 4]])&gt;0,1,0)</f>
        <v>0</v>
      </c>
      <c r="AJ389" s="451"/>
      <c r="AK389" s="451"/>
      <c r="AL389" s="451"/>
      <c r="AM389" s="451"/>
      <c r="AN389" s="451"/>
      <c r="AO389" s="146">
        <v>1</v>
      </c>
      <c r="AP389" s="146">
        <v>2</v>
      </c>
      <c r="AQ389" s="10" t="str">
        <f ca="1">Sprache!$A$110</f>
        <v>Tiomos Scharnier T Click-on</v>
      </c>
      <c r="AR389" t="s">
        <v>391</v>
      </c>
      <c r="AS389" t="str">
        <f ca="1">Sprache!$A$103</f>
        <v>Tiomos Click-On Scharniere</v>
      </c>
      <c r="AT389">
        <v>0</v>
      </c>
      <c r="AU389" t="s">
        <v>11</v>
      </c>
      <c r="AV389">
        <v>120</v>
      </c>
      <c r="AW389" s="10">
        <v>0</v>
      </c>
      <c r="AX389">
        <v>1</v>
      </c>
      <c r="AY389">
        <v>0</v>
      </c>
      <c r="AZ389" s="10">
        <v>1</v>
      </c>
      <c r="BA389">
        <v>0</v>
      </c>
      <c r="BB389">
        <v>0</v>
      </c>
      <c r="BC389">
        <v>0</v>
      </c>
      <c r="BD389" s="143" t="s">
        <v>550</v>
      </c>
      <c r="BG389"/>
    </row>
    <row r="390" spans="1:59" ht="14.25" customHeight="1" x14ac:dyDescent="0.25">
      <c r="A390" s="37" t="str">
        <f>LEFT(Scharniere[[#This Row],[ArtikelNR]],4)</f>
        <v>F028</v>
      </c>
      <c r="B390" s="35" t="str">
        <f>MID(Scharniere[[#This Row],[ArtikelNR]],5,3)</f>
        <v>138</v>
      </c>
      <c r="C390" s="37" t="str">
        <f>RIGHT(Scharniere[[#This Row],[ArtikelNR]],3)</f>
        <v>911</v>
      </c>
      <c r="D390" s="35">
        <f>IF(AND(Scharniere[[#This Row],[Gruppenschlüssel]]=select!$A$44,Scharniere[[#This Row],[Scharnierart]]=1)=TRUE,1,0)</f>
        <v>0</v>
      </c>
      <c r="E3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0" s="35">
        <f>IF(select!$F$57=IF(Scharniere[[#This Row],[mit Dämpfung]]=1,1,IF(Scharniere[[#This Row],[ohne Dämpfung]]=1,2,IF(Scharniere[[#This Row],[ohne Feder]]=1,3,0))),1,0)</f>
        <v>0</v>
      </c>
      <c r="G390" s="35">
        <f>IF(Scharniere[[#This Row],[Bohrbild]]=select!$V$43,1,0)</f>
        <v>0</v>
      </c>
      <c r="H390" s="35">
        <f>IF(IF(Scharniere[[#This Row],[Anschrauben]]=1,1,IF(Scharniere[[#This Row],[Einpressen]]=1,2,IF(Scharniere[[#This Row],[Quick]]=1,3,IF(Scharniere[[#This Row],[Werkzeuglos]]=1,4,0))))=select!$F$48,1,0)</f>
        <v>0</v>
      </c>
      <c r="I3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0" s="149">
        <f>IF(AND(Scharniere[[#This Row],[Scharnierart]]=2,Scharniere[[#This Row],[Gruppenschlüssel]]=select!$A$318)=TRUE,1,0)</f>
        <v>0</v>
      </c>
      <c r="K390" s="221">
        <f ca="1">IF(select!$O$424&lt;6,1,0)</f>
        <v>1</v>
      </c>
      <c r="L390" s="139">
        <f>IF(select!$A$362=IF(Scharniere[[#This Row],[mit Dämpfung]]=1,1,IF(Scharniere[[#This Row],[ohne Dämpfung]]=1,2,IF(Scharniere[[#This Row],[ohne Feder]]=1,3,0))),1,0)</f>
        <v>1</v>
      </c>
      <c r="M390" s="135">
        <f>IF(Scharniere[[#This Row],[Bohrbild]]=select!$O$334,1,0)</f>
        <v>0</v>
      </c>
      <c r="N390" s="135">
        <f>IF(IF(Scharniere[[#This Row],[Anschrauben]]=1,1,IF(Scharniere[[#This Row],[Einpressen]]=1,2,IF(Scharniere[[#This Row],[Quick]]=1,3,IF(Scharniere[[#This Row],[Werkzeuglos]]=1,4,0))))=select!$E$362,1,0)</f>
        <v>1</v>
      </c>
      <c r="O3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0" s="298">
        <f>IF(AND(Scharniere[[#This Row],[Scharnierart]]=3,Scharniere[[#This Row],[Gruppenschlüssel]]=select!$A$747)=TRUE,1,0)</f>
        <v>0</v>
      </c>
      <c r="Q390" s="298">
        <f ca="1">IF(select!$O$945&lt;6,1,0)</f>
        <v>1</v>
      </c>
      <c r="R390" s="298">
        <f>IF(select!$A$778=IF(Scharniere[[#This Row],[mit Dämpfung]]=1,1,IF(Scharniere[[#This Row],[ohne Dämpfung]]=1,2,IF(Scharniere[[#This Row],[ohne Feder]]=1,3,0))),1,0)</f>
        <v>0</v>
      </c>
      <c r="S390" s="298">
        <f>IF(Scharniere[[#This Row],[Bohrbild]]=select!$A$755,1,0)</f>
        <v>0</v>
      </c>
      <c r="T390" s="298">
        <f>IF(IF(Scharniere[[#This Row],[Anschrauben]]=1,1,IF(Scharniere[[#This Row],[Einpressen]]=1,2,IF(Scharniere[[#This Row],[Quick]]=1,3,IF(Scharniere[[#This Row],[Werkzeuglos]]=1,4,0))))=select!$A$769,1,0)</f>
        <v>1</v>
      </c>
      <c r="U3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0" s="359">
        <f>IF(AND(Scharniere[[#This Row],[Scharnierart]]=4,Scharniere[[#This Row],[Gruppenschlüssel]]=select!$A$981)=TRUE,1,0)</f>
        <v>0</v>
      </c>
      <c r="W390" s="359">
        <f ca="1">IF(select!$O$1185&lt;6,1,0)</f>
        <v>1</v>
      </c>
      <c r="X390" s="359">
        <f>IF(select!$A$1012=IF(Scharniere[[#This Row],[mit Dämpfung]]=1,1,IF(Scharniere[[#This Row],[ohne Dämpfung]]=1,2,IF(Scharniere[[#This Row],[ohne Feder]]=1,3,0))),1,0)</f>
        <v>0</v>
      </c>
      <c r="Y390" s="359">
        <f>IF(Scharniere[[#This Row],[Bohrbild]]=select!$A$989,1,0)</f>
        <v>0</v>
      </c>
      <c r="Z390" s="359">
        <f>IF(IF(Scharniere[[#This Row],[Anschrauben]]=1,1,IF(Scharniere[[#This Row],[Einpressen]]=1,2,IF(Scharniere[[#This Row],[Quick]]=1,3,IF(Scharniere[[#This Row],[Werkzeuglos]]=1,4,0))))=select!$A$1003,1,0)</f>
        <v>1</v>
      </c>
      <c r="AA3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0" s="359">
        <f ca="1">IF(select!$K$980="*",Scharniere[[#This Row],[AG Ges2]],Scharniere[[#This Row],[AG Ges1]])</f>
        <v>0</v>
      </c>
      <c r="AE390" s="451">
        <f ca="1">IF(AND(Scharniere[[#This Row],[Scharnierart]]=select!$A$1485,Scharniere[[#This Row],[Gruppenschlüssel]]=select!$B$1485)=TRUE,1,0)</f>
        <v>0</v>
      </c>
      <c r="AF390" s="451">
        <f ca="1">IF(AND(Scharniere[[#This Row],[Scharnierart]]=select!$A$1486,Scharniere[[#This Row],[Gruppenschlüssel]]=select!$B$1486)=TRUE,1,0)</f>
        <v>0</v>
      </c>
      <c r="AG390" s="451">
        <f ca="1">IF(AND(Scharniere[[#This Row],[Scharnierart]]=select!$A$1487,Scharniere[[#This Row],[Gruppenschlüssel]]=select!$B$1487)=TRUE,1,0)</f>
        <v>0</v>
      </c>
      <c r="AH390" s="451">
        <f ca="1">IF(AND(Scharniere[[#This Row],[Scharnierart]]=select!$A$1488,Scharniere[[#This Row],[Gruppenschlüssel]]=select!$B$1488)=TRUE,1,0)</f>
        <v>0</v>
      </c>
      <c r="AI390" s="451">
        <f ca="1">IF(SUM(Scharniere[[#This Row],[konf Scharnier 1]:[konf Scharnier 4]])&gt;0,1,0)</f>
        <v>0</v>
      </c>
      <c r="AJ390" s="451"/>
      <c r="AK390" s="451"/>
      <c r="AL390" s="451"/>
      <c r="AM390" s="451"/>
      <c r="AN390" s="451"/>
      <c r="AO390" s="146">
        <v>1</v>
      </c>
      <c r="AP390" s="146">
        <v>2</v>
      </c>
      <c r="AQ390" s="10" t="str">
        <f ca="1">Sprache!$A$112</f>
        <v>Tiomos Scharnier TS Click-on</v>
      </c>
      <c r="AR390" t="s">
        <v>391</v>
      </c>
      <c r="AS390" t="str">
        <f ca="1">Sprache!$A$103</f>
        <v>Tiomos Click-On Scharniere</v>
      </c>
      <c r="AT390">
        <v>0</v>
      </c>
      <c r="AU390" s="34" t="s">
        <v>11</v>
      </c>
      <c r="AV390">
        <v>120</v>
      </c>
      <c r="AW390" s="10">
        <v>1</v>
      </c>
      <c r="AX390">
        <v>0</v>
      </c>
      <c r="AY390">
        <v>0</v>
      </c>
      <c r="AZ390" s="10">
        <v>1</v>
      </c>
      <c r="BA390">
        <v>0</v>
      </c>
      <c r="BB390">
        <v>0</v>
      </c>
      <c r="BC390">
        <v>0</v>
      </c>
      <c r="BD390" s="143" t="s">
        <v>390</v>
      </c>
      <c r="BG390"/>
    </row>
    <row r="391" spans="1:59" ht="14.25" customHeight="1" x14ac:dyDescent="0.25">
      <c r="A391" s="37" t="str">
        <f>LEFT(Scharniere[[#This Row],[ArtikelNR]],4)</f>
        <v>F046</v>
      </c>
      <c r="B391" s="35" t="str">
        <f>MID(Scharniere[[#This Row],[ArtikelNR]],5,3)</f>
        <v>138</v>
      </c>
      <c r="C391" s="37" t="str">
        <f>RIGHT(Scharniere[[#This Row],[ArtikelNR]],3)</f>
        <v>971</v>
      </c>
      <c r="D391" s="35">
        <f>IF(AND(Scharniere[[#This Row],[Gruppenschlüssel]]=select!$A$44,Scharniere[[#This Row],[Scharnierart]]=1)=TRUE,1,0)</f>
        <v>0</v>
      </c>
      <c r="E3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1" s="35">
        <f>IF(select!$F$57=IF(Scharniere[[#This Row],[mit Dämpfung]]=1,1,IF(Scharniere[[#This Row],[ohne Dämpfung]]=1,2,IF(Scharniere[[#This Row],[ohne Feder]]=1,3,0))),1,0)</f>
        <v>1</v>
      </c>
      <c r="G391" s="35">
        <f>IF(Scharniere[[#This Row],[Bohrbild]]=select!$V$43,1,0)</f>
        <v>0</v>
      </c>
      <c r="H391" s="35">
        <f>IF(IF(Scharniere[[#This Row],[Anschrauben]]=1,1,IF(Scharniere[[#This Row],[Einpressen]]=1,2,IF(Scharniere[[#This Row],[Quick]]=1,3,IF(Scharniere[[#This Row],[Werkzeuglos]]=1,4,0))))=select!$F$48,1,0)</f>
        <v>0</v>
      </c>
      <c r="I3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1" s="149">
        <f>IF(AND(Scharniere[[#This Row],[Scharnierart]]=2,Scharniere[[#This Row],[Gruppenschlüssel]]=select!$A$318)=TRUE,1,0)</f>
        <v>0</v>
      </c>
      <c r="K391" s="221">
        <f ca="1">IF(select!$O$424&lt;6,1,0)</f>
        <v>1</v>
      </c>
      <c r="L391" s="139">
        <f>IF(select!$A$362=IF(Scharniere[[#This Row],[mit Dämpfung]]=1,1,IF(Scharniere[[#This Row],[ohne Dämpfung]]=1,2,IF(Scharniere[[#This Row],[ohne Feder]]=1,3,0))),1,0)</f>
        <v>0</v>
      </c>
      <c r="M391" s="135">
        <f>IF(Scharniere[[#This Row],[Bohrbild]]=select!$O$334,1,0)</f>
        <v>0</v>
      </c>
      <c r="N391" s="135">
        <f>IF(IF(Scharniere[[#This Row],[Anschrauben]]=1,1,IF(Scharniere[[#This Row],[Einpressen]]=1,2,IF(Scharniere[[#This Row],[Quick]]=1,3,IF(Scharniere[[#This Row],[Werkzeuglos]]=1,4,0))))=select!$E$362,1,0)</f>
        <v>1</v>
      </c>
      <c r="O3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1" s="298">
        <f>IF(AND(Scharniere[[#This Row],[Scharnierart]]=3,Scharniere[[#This Row],[Gruppenschlüssel]]=select!$A$747)=TRUE,1,0)</f>
        <v>0</v>
      </c>
      <c r="Q391" s="298">
        <f ca="1">IF(select!$O$945&lt;6,1,0)</f>
        <v>1</v>
      </c>
      <c r="R391" s="298">
        <f>IF(select!$A$778=IF(Scharniere[[#This Row],[mit Dämpfung]]=1,1,IF(Scharniere[[#This Row],[ohne Dämpfung]]=1,2,IF(Scharniere[[#This Row],[ohne Feder]]=1,3,0))),1,0)</f>
        <v>0</v>
      </c>
      <c r="S391" s="298">
        <f>IF(Scharniere[[#This Row],[Bohrbild]]=select!$A$755,1,0)</f>
        <v>0</v>
      </c>
      <c r="T391" s="298">
        <f>IF(IF(Scharniere[[#This Row],[Anschrauben]]=1,1,IF(Scharniere[[#This Row],[Einpressen]]=1,2,IF(Scharniere[[#This Row],[Quick]]=1,3,IF(Scharniere[[#This Row],[Werkzeuglos]]=1,4,0))))=select!$A$769,1,0)</f>
        <v>1</v>
      </c>
      <c r="U3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1" s="359">
        <f>IF(AND(Scharniere[[#This Row],[Scharnierart]]=4,Scharniere[[#This Row],[Gruppenschlüssel]]=select!$A$981)=TRUE,1,0)</f>
        <v>0</v>
      </c>
      <c r="W391" s="359">
        <f ca="1">IF(select!$O$1185&lt;6,1,0)</f>
        <v>1</v>
      </c>
      <c r="X391" s="359">
        <f>IF(select!$A$1012=IF(Scharniere[[#This Row],[mit Dämpfung]]=1,1,IF(Scharniere[[#This Row],[ohne Dämpfung]]=1,2,IF(Scharniere[[#This Row],[ohne Feder]]=1,3,0))),1,0)</f>
        <v>0</v>
      </c>
      <c r="Y391" s="359">
        <f>IF(Scharniere[[#This Row],[Bohrbild]]=select!$A$989,1,0)</f>
        <v>0</v>
      </c>
      <c r="Z391" s="359">
        <f>IF(IF(Scharniere[[#This Row],[Anschrauben]]=1,1,IF(Scharniere[[#This Row],[Einpressen]]=1,2,IF(Scharniere[[#This Row],[Quick]]=1,3,IF(Scharniere[[#This Row],[Werkzeuglos]]=1,4,0))))=select!$A$1003,1,0)</f>
        <v>1</v>
      </c>
      <c r="AA3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1" s="359">
        <f ca="1">IF(select!$K$980="*",Scharniere[[#This Row],[AG Ges2]],Scharniere[[#This Row],[AG Ges1]])</f>
        <v>0</v>
      </c>
      <c r="AE391" s="451">
        <f ca="1">IF(AND(Scharniere[[#This Row],[Scharnierart]]=select!$A$1485,Scharniere[[#This Row],[Gruppenschlüssel]]=select!$B$1485)=TRUE,1,0)</f>
        <v>0</v>
      </c>
      <c r="AF391" s="451">
        <f ca="1">IF(AND(Scharniere[[#This Row],[Scharnierart]]=select!$A$1486,Scharniere[[#This Row],[Gruppenschlüssel]]=select!$B$1486)=TRUE,1,0)</f>
        <v>0</v>
      </c>
      <c r="AG391" s="451">
        <f ca="1">IF(AND(Scharniere[[#This Row],[Scharnierart]]=select!$A$1487,Scharniere[[#This Row],[Gruppenschlüssel]]=select!$B$1487)=TRUE,1,0)</f>
        <v>0</v>
      </c>
      <c r="AH391" s="451">
        <f ca="1">IF(AND(Scharniere[[#This Row],[Scharnierart]]=select!$A$1488,Scharniere[[#This Row],[Gruppenschlüssel]]=select!$B$1488)=TRUE,1,0)</f>
        <v>0</v>
      </c>
      <c r="AI391" s="451">
        <f ca="1">IF(SUM(Scharniere[[#This Row],[konf Scharnier 1]:[konf Scharnier 4]])&gt;0,1,0)</f>
        <v>0</v>
      </c>
      <c r="AJ391" s="451"/>
      <c r="AK391" s="451"/>
      <c r="AL391" s="451"/>
      <c r="AM391" s="451"/>
      <c r="AN391" s="451"/>
      <c r="AO391" s="146">
        <v>1</v>
      </c>
      <c r="AP391" s="146">
        <v>2</v>
      </c>
      <c r="AQ391" s="10" t="str">
        <f ca="1">Sprache!$A$114</f>
        <v>Tiomos Scharnier TT Click-on</v>
      </c>
      <c r="AR391" t="s">
        <v>391</v>
      </c>
      <c r="AS391" t="str">
        <f ca="1">Sprache!$A$103</f>
        <v>Tiomos Click-On Scharniere</v>
      </c>
      <c r="AT391">
        <v>0</v>
      </c>
      <c r="AU391" t="s">
        <v>11</v>
      </c>
      <c r="AV391">
        <v>120</v>
      </c>
      <c r="AW391" s="10">
        <v>0</v>
      </c>
      <c r="AX391">
        <v>0</v>
      </c>
      <c r="AY391">
        <v>1</v>
      </c>
      <c r="AZ391" s="10">
        <v>1</v>
      </c>
      <c r="BA391">
        <v>0</v>
      </c>
      <c r="BB391">
        <v>0</v>
      </c>
      <c r="BC391">
        <v>0</v>
      </c>
      <c r="BD391" s="143" t="s">
        <v>702</v>
      </c>
      <c r="BG391"/>
    </row>
    <row r="392" spans="1:59" ht="14.25" customHeight="1" x14ac:dyDescent="0.25">
      <c r="A392" s="37" t="str">
        <f>LEFT(Scharniere[[#This Row],[ArtikelNR]],4)</f>
        <v>F045</v>
      </c>
      <c r="B392" s="35" t="str">
        <f>MID(Scharniere[[#This Row],[ArtikelNR]],5,3)</f>
        <v>138</v>
      </c>
      <c r="C392" s="37" t="str">
        <f>RIGHT(Scharniere[[#This Row],[ArtikelNR]],3)</f>
        <v>504</v>
      </c>
      <c r="D392" s="35">
        <f>IF(AND(Scharniere[[#This Row],[Gruppenschlüssel]]=select!$A$44,Scharniere[[#This Row],[Scharnierart]]=1)=TRUE,1,0)</f>
        <v>0</v>
      </c>
      <c r="E3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2" s="35">
        <f>IF(select!$F$57=IF(Scharniere[[#This Row],[mit Dämpfung]]=1,1,IF(Scharniere[[#This Row],[ohne Dämpfung]]=1,2,IF(Scharniere[[#This Row],[ohne Feder]]=1,3,0))),1,0)</f>
        <v>0</v>
      </c>
      <c r="G392" s="35">
        <f>IF(Scharniere[[#This Row],[Bohrbild]]=select!$V$43,1,0)</f>
        <v>0</v>
      </c>
      <c r="H392" s="35">
        <f>IF(IF(Scharniere[[#This Row],[Anschrauben]]=1,1,IF(Scharniere[[#This Row],[Einpressen]]=1,2,IF(Scharniere[[#This Row],[Quick]]=1,3,IF(Scharniere[[#This Row],[Werkzeuglos]]=1,4,0))))=select!$F$48,1,0)</f>
        <v>1</v>
      </c>
      <c r="I3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2" s="149">
        <f>IF(AND(Scharniere[[#This Row],[Scharnierart]]=2,Scharniere[[#This Row],[Gruppenschlüssel]]=select!$A$318)=TRUE,1,0)</f>
        <v>0</v>
      </c>
      <c r="K392" s="221">
        <f ca="1">IF(select!$O$424&lt;6,1,0)</f>
        <v>1</v>
      </c>
      <c r="L392" s="139">
        <f>IF(select!$A$362=IF(Scharniere[[#This Row],[mit Dämpfung]]=1,1,IF(Scharniere[[#This Row],[ohne Dämpfung]]=1,2,IF(Scharniere[[#This Row],[ohne Feder]]=1,3,0))),1,0)</f>
        <v>0</v>
      </c>
      <c r="M392" s="135">
        <f>IF(Scharniere[[#This Row],[Bohrbild]]=select!$O$334,1,0)</f>
        <v>0</v>
      </c>
      <c r="N392" s="135">
        <f>IF(IF(Scharniere[[#This Row],[Anschrauben]]=1,1,IF(Scharniere[[#This Row],[Einpressen]]=1,2,IF(Scharniere[[#This Row],[Quick]]=1,3,IF(Scharniere[[#This Row],[Werkzeuglos]]=1,4,0))))=select!$E$362,1,0)</f>
        <v>0</v>
      </c>
      <c r="O3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2" s="298">
        <f>IF(AND(Scharniere[[#This Row],[Scharnierart]]=3,Scharniere[[#This Row],[Gruppenschlüssel]]=select!$A$747)=TRUE,1,0)</f>
        <v>0</v>
      </c>
      <c r="Q392" s="298">
        <f ca="1">IF(select!$O$945&lt;6,1,0)</f>
        <v>1</v>
      </c>
      <c r="R392" s="298">
        <f>IF(select!$A$778=IF(Scharniere[[#This Row],[mit Dämpfung]]=1,1,IF(Scharniere[[#This Row],[ohne Dämpfung]]=1,2,IF(Scharniere[[#This Row],[ohne Feder]]=1,3,0))),1,0)</f>
        <v>1</v>
      </c>
      <c r="S392" s="298">
        <f>IF(Scharniere[[#This Row],[Bohrbild]]=select!$A$755,1,0)</f>
        <v>0</v>
      </c>
      <c r="T392" s="298">
        <f>IF(IF(Scharniere[[#This Row],[Anschrauben]]=1,1,IF(Scharniere[[#This Row],[Einpressen]]=1,2,IF(Scharniere[[#This Row],[Quick]]=1,3,IF(Scharniere[[#This Row],[Werkzeuglos]]=1,4,0))))=select!$A$769,1,0)</f>
        <v>0</v>
      </c>
      <c r="U3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2" s="359">
        <f>IF(AND(Scharniere[[#This Row],[Scharnierart]]=4,Scharniere[[#This Row],[Gruppenschlüssel]]=select!$A$981)=TRUE,1,0)</f>
        <v>0</v>
      </c>
      <c r="W392" s="359">
        <f ca="1">IF(select!$O$1185&lt;6,1,0)</f>
        <v>1</v>
      </c>
      <c r="X392" s="359">
        <f>IF(select!$A$1012=IF(Scharniere[[#This Row],[mit Dämpfung]]=1,1,IF(Scharniere[[#This Row],[ohne Dämpfung]]=1,2,IF(Scharniere[[#This Row],[ohne Feder]]=1,3,0))),1,0)</f>
        <v>1</v>
      </c>
      <c r="Y392" s="359">
        <f>IF(Scharniere[[#This Row],[Bohrbild]]=select!$A$989,1,0)</f>
        <v>0</v>
      </c>
      <c r="Z392" s="359">
        <f>IF(IF(Scharniere[[#This Row],[Anschrauben]]=1,1,IF(Scharniere[[#This Row],[Einpressen]]=1,2,IF(Scharniere[[#This Row],[Quick]]=1,3,IF(Scharniere[[#This Row],[Werkzeuglos]]=1,4,0))))=select!$A$1003,1,0)</f>
        <v>0</v>
      </c>
      <c r="AA3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2" s="359">
        <f ca="1">IF(select!$K$980="*",Scharniere[[#This Row],[AG Ges2]],Scharniere[[#This Row],[AG Ges1]])</f>
        <v>0</v>
      </c>
      <c r="AE392" s="451">
        <f ca="1">IF(AND(Scharniere[[#This Row],[Scharnierart]]=select!$A$1485,Scharniere[[#This Row],[Gruppenschlüssel]]=select!$B$1485)=TRUE,1,0)</f>
        <v>0</v>
      </c>
      <c r="AF392" s="451">
        <f ca="1">IF(AND(Scharniere[[#This Row],[Scharnierart]]=select!$A$1486,Scharniere[[#This Row],[Gruppenschlüssel]]=select!$B$1486)=TRUE,1,0)</f>
        <v>0</v>
      </c>
      <c r="AG392" s="451">
        <f ca="1">IF(AND(Scharniere[[#This Row],[Scharnierart]]=select!$A$1487,Scharniere[[#This Row],[Gruppenschlüssel]]=select!$B$1487)=TRUE,1,0)</f>
        <v>0</v>
      </c>
      <c r="AH392" s="451">
        <f ca="1">IF(AND(Scharniere[[#This Row],[Scharnierart]]=select!$A$1488,Scharniere[[#This Row],[Gruppenschlüssel]]=select!$B$1488)=TRUE,1,0)</f>
        <v>0</v>
      </c>
      <c r="AI392" s="451">
        <f ca="1">IF(SUM(Scharniere[[#This Row],[konf Scharnier 1]:[konf Scharnier 4]])&gt;0,1,0)</f>
        <v>0</v>
      </c>
      <c r="AJ392" s="451"/>
      <c r="AK392" s="451"/>
      <c r="AL392" s="451"/>
      <c r="AM392" s="451"/>
      <c r="AN392" s="451"/>
      <c r="AO392" s="146">
        <v>1</v>
      </c>
      <c r="AP392" s="146">
        <v>3</v>
      </c>
      <c r="AQ392" s="10" t="str">
        <f ca="1">Sprache!$A$110</f>
        <v>Tiomos Scharnier T Click-on</v>
      </c>
      <c r="AR392" t="str">
        <f ca="1">"160°, B-BB, K9.5, "&amp;Sprache!A181&amp;", ni"</f>
        <v>160°, B-BB, K9.5, Dübel, ni</v>
      </c>
      <c r="AS392" t="str">
        <f ca="1">Sprache!$A$103</f>
        <v>Tiomos Click-On Scharniere</v>
      </c>
      <c r="AT392">
        <v>9.5</v>
      </c>
      <c r="AU392" t="s">
        <v>3</v>
      </c>
      <c r="AV392">
        <v>160</v>
      </c>
      <c r="AW392" s="10">
        <v>0</v>
      </c>
      <c r="AX392">
        <v>1</v>
      </c>
      <c r="AY392">
        <v>0</v>
      </c>
      <c r="AZ392" s="10">
        <v>0</v>
      </c>
      <c r="BA392">
        <v>1</v>
      </c>
      <c r="BB392">
        <v>0</v>
      </c>
      <c r="BC392">
        <v>0</v>
      </c>
      <c r="BD392" s="143" t="s">
        <v>505</v>
      </c>
      <c r="BG392"/>
    </row>
    <row r="393" spans="1:59" ht="14.25" customHeight="1" x14ac:dyDescent="0.25">
      <c r="A393" s="37" t="str">
        <f>LEFT(Scharniere[[#This Row],[ArtikelNR]],4)</f>
        <v>F028</v>
      </c>
      <c r="B393" s="35" t="str">
        <f>MID(Scharniere[[#This Row],[ArtikelNR]],5,3)</f>
        <v>138</v>
      </c>
      <c r="C393" s="37" t="str">
        <f>RIGHT(Scharniere[[#This Row],[ArtikelNR]],3)</f>
        <v>566</v>
      </c>
      <c r="D393" s="35">
        <f>IF(AND(Scharniere[[#This Row],[Gruppenschlüssel]]=select!$A$44,Scharniere[[#This Row],[Scharnierart]]=1)=TRUE,1,0)</f>
        <v>0</v>
      </c>
      <c r="E3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3" s="35">
        <f>IF(select!$F$57=IF(Scharniere[[#This Row],[mit Dämpfung]]=1,1,IF(Scharniere[[#This Row],[ohne Dämpfung]]=1,2,IF(Scharniere[[#This Row],[ohne Feder]]=1,3,0))),1,0)</f>
        <v>0</v>
      </c>
      <c r="G393" s="35">
        <f>IF(Scharniere[[#This Row],[Bohrbild]]=select!$V$43,1,0)</f>
        <v>0</v>
      </c>
      <c r="H393" s="35">
        <f>IF(IF(Scharniere[[#This Row],[Anschrauben]]=1,1,IF(Scharniere[[#This Row],[Einpressen]]=1,2,IF(Scharniere[[#This Row],[Quick]]=1,3,IF(Scharniere[[#This Row],[Werkzeuglos]]=1,4,0))))=select!$F$48,1,0)</f>
        <v>1</v>
      </c>
      <c r="I3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3" s="149">
        <f>IF(AND(Scharniere[[#This Row],[Scharnierart]]=2,Scharniere[[#This Row],[Gruppenschlüssel]]=select!$A$318)=TRUE,1,0)</f>
        <v>0</v>
      </c>
      <c r="K393" s="221">
        <f ca="1">IF(select!$O$424&lt;6,1,0)</f>
        <v>1</v>
      </c>
      <c r="L393" s="139">
        <f>IF(select!$A$362=IF(Scharniere[[#This Row],[mit Dämpfung]]=1,1,IF(Scharniere[[#This Row],[ohne Dämpfung]]=1,2,IF(Scharniere[[#This Row],[ohne Feder]]=1,3,0))),1,0)</f>
        <v>1</v>
      </c>
      <c r="M393" s="135">
        <f>IF(Scharniere[[#This Row],[Bohrbild]]=select!$O$334,1,0)</f>
        <v>0</v>
      </c>
      <c r="N393" s="135">
        <f>IF(IF(Scharniere[[#This Row],[Anschrauben]]=1,1,IF(Scharniere[[#This Row],[Einpressen]]=1,2,IF(Scharniere[[#This Row],[Quick]]=1,3,IF(Scharniere[[#This Row],[Werkzeuglos]]=1,4,0))))=select!$E$362,1,0)</f>
        <v>0</v>
      </c>
      <c r="O3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3" s="298">
        <f>IF(AND(Scharniere[[#This Row],[Scharnierart]]=3,Scharniere[[#This Row],[Gruppenschlüssel]]=select!$A$747)=TRUE,1,0)</f>
        <v>0</v>
      </c>
      <c r="Q393" s="298">
        <f ca="1">IF(select!$O$945&lt;6,1,0)</f>
        <v>1</v>
      </c>
      <c r="R393" s="298">
        <f>IF(select!$A$778=IF(Scharniere[[#This Row],[mit Dämpfung]]=1,1,IF(Scharniere[[#This Row],[ohne Dämpfung]]=1,2,IF(Scharniere[[#This Row],[ohne Feder]]=1,3,0))),1,0)</f>
        <v>0</v>
      </c>
      <c r="S393" s="298">
        <f>IF(Scharniere[[#This Row],[Bohrbild]]=select!$A$755,1,0)</f>
        <v>0</v>
      </c>
      <c r="T393" s="298">
        <f>IF(IF(Scharniere[[#This Row],[Anschrauben]]=1,1,IF(Scharniere[[#This Row],[Einpressen]]=1,2,IF(Scharniere[[#This Row],[Quick]]=1,3,IF(Scharniere[[#This Row],[Werkzeuglos]]=1,4,0))))=select!$A$769,1,0)</f>
        <v>0</v>
      </c>
      <c r="U3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3" s="359">
        <f>IF(AND(Scharniere[[#This Row],[Scharnierart]]=4,Scharniere[[#This Row],[Gruppenschlüssel]]=select!$A$981)=TRUE,1,0)</f>
        <v>0</v>
      </c>
      <c r="W393" s="359">
        <f ca="1">IF(select!$O$1185&lt;6,1,0)</f>
        <v>1</v>
      </c>
      <c r="X393" s="359">
        <f>IF(select!$A$1012=IF(Scharniere[[#This Row],[mit Dämpfung]]=1,1,IF(Scharniere[[#This Row],[ohne Dämpfung]]=1,2,IF(Scharniere[[#This Row],[ohne Feder]]=1,3,0))),1,0)</f>
        <v>0</v>
      </c>
      <c r="Y393" s="359">
        <f>IF(Scharniere[[#This Row],[Bohrbild]]=select!$A$989,1,0)</f>
        <v>0</v>
      </c>
      <c r="Z393" s="359">
        <f>IF(IF(Scharniere[[#This Row],[Anschrauben]]=1,1,IF(Scharniere[[#This Row],[Einpressen]]=1,2,IF(Scharniere[[#This Row],[Quick]]=1,3,IF(Scharniere[[#This Row],[Werkzeuglos]]=1,4,0))))=select!$A$1003,1,0)</f>
        <v>0</v>
      </c>
      <c r="AA3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3" s="359">
        <f ca="1">IF(select!$K$980="*",Scharniere[[#This Row],[AG Ges2]],Scharniere[[#This Row],[AG Ges1]])</f>
        <v>0</v>
      </c>
      <c r="AE393" s="451">
        <f ca="1">IF(AND(Scharniere[[#This Row],[Scharnierart]]=select!$A$1485,Scharniere[[#This Row],[Gruppenschlüssel]]=select!$B$1485)=TRUE,1,0)</f>
        <v>0</v>
      </c>
      <c r="AF393" s="451">
        <f ca="1">IF(AND(Scharniere[[#This Row],[Scharnierart]]=select!$A$1486,Scharniere[[#This Row],[Gruppenschlüssel]]=select!$B$1486)=TRUE,1,0)</f>
        <v>0</v>
      </c>
      <c r="AG393" s="451">
        <f ca="1">IF(AND(Scharniere[[#This Row],[Scharnierart]]=select!$A$1487,Scharniere[[#This Row],[Gruppenschlüssel]]=select!$B$1487)=TRUE,1,0)</f>
        <v>0</v>
      </c>
      <c r="AH393" s="451">
        <f ca="1">IF(AND(Scharniere[[#This Row],[Scharnierart]]=select!$A$1488,Scharniere[[#This Row],[Gruppenschlüssel]]=select!$B$1488)=TRUE,1,0)</f>
        <v>0</v>
      </c>
      <c r="AI393" s="451">
        <f ca="1">IF(SUM(Scharniere[[#This Row],[konf Scharnier 1]:[konf Scharnier 4]])&gt;0,1,0)</f>
        <v>0</v>
      </c>
      <c r="AJ393" s="451"/>
      <c r="AK393" s="451"/>
      <c r="AL393" s="451"/>
      <c r="AM393" s="451"/>
      <c r="AN393" s="451"/>
      <c r="AO393" s="146">
        <v>1</v>
      </c>
      <c r="AP393" s="146">
        <v>3</v>
      </c>
      <c r="AQ393" s="10" t="str">
        <f ca="1">Sprache!$A$112</f>
        <v>Tiomos Scharnier TS Click-on</v>
      </c>
      <c r="AR393" t="str">
        <f ca="1">"160°, B-BB, K9.5, "&amp;Sprache!A181&amp;", ni"</f>
        <v>160°, B-BB, K9.5, Dübel, ni</v>
      </c>
      <c r="AS393" t="str">
        <f ca="1">Sprache!$A$103</f>
        <v>Tiomos Click-On Scharniere</v>
      </c>
      <c r="AT393">
        <v>9.5</v>
      </c>
      <c r="AU393" s="34" t="s">
        <v>3</v>
      </c>
      <c r="AV393">
        <v>160</v>
      </c>
      <c r="AW393" s="10">
        <v>1</v>
      </c>
      <c r="AX393">
        <v>0</v>
      </c>
      <c r="AY393">
        <v>0</v>
      </c>
      <c r="AZ393" s="10">
        <v>0</v>
      </c>
      <c r="BA393">
        <v>1</v>
      </c>
      <c r="BB393">
        <v>0</v>
      </c>
      <c r="BC393">
        <v>0</v>
      </c>
      <c r="BD393" s="143" t="s">
        <v>329</v>
      </c>
      <c r="BG393"/>
    </row>
    <row r="394" spans="1:59" ht="14.25" customHeight="1" x14ac:dyDescent="0.25">
      <c r="A394" s="37" t="str">
        <f>LEFT(Scharniere[[#This Row],[ArtikelNR]],4)</f>
        <v>F046</v>
      </c>
      <c r="B394" s="35" t="str">
        <f>MID(Scharniere[[#This Row],[ArtikelNR]],5,3)</f>
        <v>138</v>
      </c>
      <c r="C394" s="37" t="str">
        <f>RIGHT(Scharniere[[#This Row],[ArtikelNR]],3)</f>
        <v>626</v>
      </c>
      <c r="D394" s="35">
        <f>IF(AND(Scharniere[[#This Row],[Gruppenschlüssel]]=select!$A$44,Scharniere[[#This Row],[Scharnierart]]=1)=TRUE,1,0)</f>
        <v>0</v>
      </c>
      <c r="E3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4" s="35">
        <f>IF(select!$F$57=IF(Scharniere[[#This Row],[mit Dämpfung]]=1,1,IF(Scharniere[[#This Row],[ohne Dämpfung]]=1,2,IF(Scharniere[[#This Row],[ohne Feder]]=1,3,0))),1,0)</f>
        <v>1</v>
      </c>
      <c r="G394" s="35">
        <f>IF(Scharniere[[#This Row],[Bohrbild]]=select!$V$43,1,0)</f>
        <v>0</v>
      </c>
      <c r="H394" s="35">
        <f>IF(IF(Scharniere[[#This Row],[Anschrauben]]=1,1,IF(Scharniere[[#This Row],[Einpressen]]=1,2,IF(Scharniere[[#This Row],[Quick]]=1,3,IF(Scharniere[[#This Row],[Werkzeuglos]]=1,4,0))))=select!$F$48,1,0)</f>
        <v>1</v>
      </c>
      <c r="I3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4" s="149">
        <f>IF(AND(Scharniere[[#This Row],[Scharnierart]]=2,Scharniere[[#This Row],[Gruppenschlüssel]]=select!$A$318)=TRUE,1,0)</f>
        <v>0</v>
      </c>
      <c r="K394" s="221">
        <f ca="1">IF(select!$O$424&lt;6,1,0)</f>
        <v>1</v>
      </c>
      <c r="L394" s="139">
        <f>IF(select!$A$362=IF(Scharniere[[#This Row],[mit Dämpfung]]=1,1,IF(Scharniere[[#This Row],[ohne Dämpfung]]=1,2,IF(Scharniere[[#This Row],[ohne Feder]]=1,3,0))),1,0)</f>
        <v>0</v>
      </c>
      <c r="M394" s="135">
        <f>IF(Scharniere[[#This Row],[Bohrbild]]=select!$O$334,1,0)</f>
        <v>0</v>
      </c>
      <c r="N394" s="135">
        <f>IF(IF(Scharniere[[#This Row],[Anschrauben]]=1,1,IF(Scharniere[[#This Row],[Einpressen]]=1,2,IF(Scharniere[[#This Row],[Quick]]=1,3,IF(Scharniere[[#This Row],[Werkzeuglos]]=1,4,0))))=select!$E$362,1,0)</f>
        <v>0</v>
      </c>
      <c r="O3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4" s="298">
        <f>IF(AND(Scharniere[[#This Row],[Scharnierart]]=3,Scharniere[[#This Row],[Gruppenschlüssel]]=select!$A$747)=TRUE,1,0)</f>
        <v>0</v>
      </c>
      <c r="Q394" s="298">
        <f ca="1">IF(select!$O$945&lt;6,1,0)</f>
        <v>1</v>
      </c>
      <c r="R394" s="298">
        <f>IF(select!$A$778=IF(Scharniere[[#This Row],[mit Dämpfung]]=1,1,IF(Scharniere[[#This Row],[ohne Dämpfung]]=1,2,IF(Scharniere[[#This Row],[ohne Feder]]=1,3,0))),1,0)</f>
        <v>0</v>
      </c>
      <c r="S394" s="298">
        <f>IF(Scharniere[[#This Row],[Bohrbild]]=select!$A$755,1,0)</f>
        <v>0</v>
      </c>
      <c r="T394" s="298">
        <f>IF(IF(Scharniere[[#This Row],[Anschrauben]]=1,1,IF(Scharniere[[#This Row],[Einpressen]]=1,2,IF(Scharniere[[#This Row],[Quick]]=1,3,IF(Scharniere[[#This Row],[Werkzeuglos]]=1,4,0))))=select!$A$769,1,0)</f>
        <v>0</v>
      </c>
      <c r="U3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4" s="359">
        <f>IF(AND(Scharniere[[#This Row],[Scharnierart]]=4,Scharniere[[#This Row],[Gruppenschlüssel]]=select!$A$981)=TRUE,1,0)</f>
        <v>0</v>
      </c>
      <c r="W394" s="359">
        <f ca="1">IF(select!$O$1185&lt;6,1,0)</f>
        <v>1</v>
      </c>
      <c r="X394" s="359">
        <f>IF(select!$A$1012=IF(Scharniere[[#This Row],[mit Dämpfung]]=1,1,IF(Scharniere[[#This Row],[ohne Dämpfung]]=1,2,IF(Scharniere[[#This Row],[ohne Feder]]=1,3,0))),1,0)</f>
        <v>0</v>
      </c>
      <c r="Y394" s="359">
        <f>IF(Scharniere[[#This Row],[Bohrbild]]=select!$A$989,1,0)</f>
        <v>0</v>
      </c>
      <c r="Z394" s="359">
        <f>IF(IF(Scharniere[[#This Row],[Anschrauben]]=1,1,IF(Scharniere[[#This Row],[Einpressen]]=1,2,IF(Scharniere[[#This Row],[Quick]]=1,3,IF(Scharniere[[#This Row],[Werkzeuglos]]=1,4,0))))=select!$A$1003,1,0)</f>
        <v>0</v>
      </c>
      <c r="AA3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4" s="359">
        <f ca="1">IF(select!$K$980="*",Scharniere[[#This Row],[AG Ges2]],Scharniere[[#This Row],[AG Ges1]])</f>
        <v>0</v>
      </c>
      <c r="AE394" s="451">
        <f ca="1">IF(AND(Scharniere[[#This Row],[Scharnierart]]=select!$A$1485,Scharniere[[#This Row],[Gruppenschlüssel]]=select!$B$1485)=TRUE,1,0)</f>
        <v>0</v>
      </c>
      <c r="AF394" s="451">
        <f ca="1">IF(AND(Scharniere[[#This Row],[Scharnierart]]=select!$A$1486,Scharniere[[#This Row],[Gruppenschlüssel]]=select!$B$1486)=TRUE,1,0)</f>
        <v>0</v>
      </c>
      <c r="AG394" s="451">
        <f ca="1">IF(AND(Scharniere[[#This Row],[Scharnierart]]=select!$A$1487,Scharniere[[#This Row],[Gruppenschlüssel]]=select!$B$1487)=TRUE,1,0)</f>
        <v>0</v>
      </c>
      <c r="AH394" s="451">
        <f ca="1">IF(AND(Scharniere[[#This Row],[Scharnierart]]=select!$A$1488,Scharniere[[#This Row],[Gruppenschlüssel]]=select!$B$1488)=TRUE,1,0)</f>
        <v>0</v>
      </c>
      <c r="AI394" s="451">
        <f ca="1">IF(SUM(Scharniere[[#This Row],[konf Scharnier 1]:[konf Scharnier 4]])&gt;0,1,0)</f>
        <v>0</v>
      </c>
      <c r="AJ394" s="451"/>
      <c r="AK394" s="451"/>
      <c r="AL394" s="451"/>
      <c r="AM394" s="451"/>
      <c r="AN394" s="451"/>
      <c r="AO394" s="146">
        <v>1</v>
      </c>
      <c r="AP394" s="146">
        <v>3</v>
      </c>
      <c r="AQ394" s="10" t="str">
        <f ca="1">Sprache!$A$114</f>
        <v>Tiomos Scharnier TT Click-on</v>
      </c>
      <c r="AR394" t="str">
        <f ca="1">"160°, B-BB, K9.5, "&amp;Sprache!A181&amp;", ni"</f>
        <v>160°, B-BB, K9.5, Dübel, ni</v>
      </c>
      <c r="AS394" t="str">
        <f ca="1">Sprache!$A$103</f>
        <v>Tiomos Click-On Scharniere</v>
      </c>
      <c r="AT394">
        <v>9.5</v>
      </c>
      <c r="AU394" t="s">
        <v>3</v>
      </c>
      <c r="AV394">
        <v>160</v>
      </c>
      <c r="AW394" s="10">
        <v>0</v>
      </c>
      <c r="AX394">
        <v>0</v>
      </c>
      <c r="AY394">
        <v>1</v>
      </c>
      <c r="AZ394" s="10">
        <v>0</v>
      </c>
      <c r="BA394">
        <v>1</v>
      </c>
      <c r="BB394">
        <v>0</v>
      </c>
      <c r="BC394">
        <v>0</v>
      </c>
      <c r="BD394" s="143" t="s">
        <v>657</v>
      </c>
      <c r="BG394"/>
    </row>
    <row r="395" spans="1:59" ht="14.25" customHeight="1" x14ac:dyDescent="0.25">
      <c r="A395" s="37" t="str">
        <f>LEFT(Scharniere[[#This Row],[ArtikelNR]],4)</f>
        <v>F045</v>
      </c>
      <c r="B395" s="35" t="str">
        <f>MID(Scharniere[[#This Row],[ArtikelNR]],5,3)</f>
        <v>138</v>
      </c>
      <c r="C395" s="37" t="str">
        <f>RIGHT(Scharniere[[#This Row],[ArtikelNR]],3)</f>
        <v>501</v>
      </c>
      <c r="D395" s="35">
        <f>IF(AND(Scharniere[[#This Row],[Gruppenschlüssel]]=select!$A$44,Scharniere[[#This Row],[Scharnierart]]=1)=TRUE,1,0)</f>
        <v>0</v>
      </c>
      <c r="E3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5" s="35">
        <f>IF(select!$F$57=IF(Scharniere[[#This Row],[mit Dämpfung]]=1,1,IF(Scharniere[[#This Row],[ohne Dämpfung]]=1,2,IF(Scharniere[[#This Row],[ohne Feder]]=1,3,0))),1,0)</f>
        <v>0</v>
      </c>
      <c r="G395" s="35">
        <f>IF(Scharniere[[#This Row],[Bohrbild]]=select!$V$43,1,0)</f>
        <v>0</v>
      </c>
      <c r="H395" s="35">
        <f>IF(IF(Scharniere[[#This Row],[Anschrauben]]=1,1,IF(Scharniere[[#This Row],[Einpressen]]=1,2,IF(Scharniere[[#This Row],[Quick]]=1,3,IF(Scharniere[[#This Row],[Werkzeuglos]]=1,4,0))))=select!$F$48,1,0)</f>
        <v>0</v>
      </c>
      <c r="I3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5" s="149">
        <f>IF(AND(Scharniere[[#This Row],[Scharnierart]]=2,Scharniere[[#This Row],[Gruppenschlüssel]]=select!$A$318)=TRUE,1,0)</f>
        <v>0</v>
      </c>
      <c r="K395" s="221">
        <f ca="1">IF(select!$O$424&lt;6,1,0)</f>
        <v>1</v>
      </c>
      <c r="L395" s="139">
        <f>IF(select!$A$362=IF(Scharniere[[#This Row],[mit Dämpfung]]=1,1,IF(Scharniere[[#This Row],[ohne Dämpfung]]=1,2,IF(Scharniere[[#This Row],[ohne Feder]]=1,3,0))),1,0)</f>
        <v>0</v>
      </c>
      <c r="M395" s="135">
        <f>IF(Scharniere[[#This Row],[Bohrbild]]=select!$O$334,1,0)</f>
        <v>0</v>
      </c>
      <c r="N395" s="135">
        <f>IF(IF(Scharniere[[#This Row],[Anschrauben]]=1,1,IF(Scharniere[[#This Row],[Einpressen]]=1,2,IF(Scharniere[[#This Row],[Quick]]=1,3,IF(Scharniere[[#This Row],[Werkzeuglos]]=1,4,0))))=select!$E$362,1,0)</f>
        <v>1</v>
      </c>
      <c r="O3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5" s="298">
        <f>IF(AND(Scharniere[[#This Row],[Scharnierart]]=3,Scharniere[[#This Row],[Gruppenschlüssel]]=select!$A$747)=TRUE,1,0)</f>
        <v>0</v>
      </c>
      <c r="Q395" s="298">
        <f ca="1">IF(select!$O$945&lt;6,1,0)</f>
        <v>1</v>
      </c>
      <c r="R395" s="298">
        <f>IF(select!$A$778=IF(Scharniere[[#This Row],[mit Dämpfung]]=1,1,IF(Scharniere[[#This Row],[ohne Dämpfung]]=1,2,IF(Scharniere[[#This Row],[ohne Feder]]=1,3,0))),1,0)</f>
        <v>1</v>
      </c>
      <c r="S395" s="298">
        <f>IF(Scharniere[[#This Row],[Bohrbild]]=select!$A$755,1,0)</f>
        <v>0</v>
      </c>
      <c r="T395" s="298">
        <f>IF(IF(Scharniere[[#This Row],[Anschrauben]]=1,1,IF(Scharniere[[#This Row],[Einpressen]]=1,2,IF(Scharniere[[#This Row],[Quick]]=1,3,IF(Scharniere[[#This Row],[Werkzeuglos]]=1,4,0))))=select!$A$769,1,0)</f>
        <v>1</v>
      </c>
      <c r="U3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5" s="359">
        <f>IF(AND(Scharniere[[#This Row],[Scharnierart]]=4,Scharniere[[#This Row],[Gruppenschlüssel]]=select!$A$981)=TRUE,1,0)</f>
        <v>0</v>
      </c>
      <c r="W395" s="359">
        <f ca="1">IF(select!$O$1185&lt;6,1,0)</f>
        <v>1</v>
      </c>
      <c r="X395" s="359">
        <f>IF(select!$A$1012=IF(Scharniere[[#This Row],[mit Dämpfung]]=1,1,IF(Scharniere[[#This Row],[ohne Dämpfung]]=1,2,IF(Scharniere[[#This Row],[ohne Feder]]=1,3,0))),1,0)</f>
        <v>1</v>
      </c>
      <c r="Y395" s="359">
        <f>IF(Scharniere[[#This Row],[Bohrbild]]=select!$A$989,1,0)</f>
        <v>0</v>
      </c>
      <c r="Z395" s="359">
        <f>IF(IF(Scharniere[[#This Row],[Anschrauben]]=1,1,IF(Scharniere[[#This Row],[Einpressen]]=1,2,IF(Scharniere[[#This Row],[Quick]]=1,3,IF(Scharniere[[#This Row],[Werkzeuglos]]=1,4,0))))=select!$A$1003,1,0)</f>
        <v>1</v>
      </c>
      <c r="AA3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5" s="359">
        <f ca="1">IF(select!$K$980="*",Scharniere[[#This Row],[AG Ges2]],Scharniere[[#This Row],[AG Ges1]])</f>
        <v>0</v>
      </c>
      <c r="AE395" s="451">
        <f ca="1">IF(AND(Scharniere[[#This Row],[Scharnierart]]=select!$A$1485,Scharniere[[#This Row],[Gruppenschlüssel]]=select!$B$1485)=TRUE,1,0)</f>
        <v>0</v>
      </c>
      <c r="AF395" s="451">
        <f ca="1">IF(AND(Scharniere[[#This Row],[Scharnierart]]=select!$A$1486,Scharniere[[#This Row],[Gruppenschlüssel]]=select!$B$1486)=TRUE,1,0)</f>
        <v>0</v>
      </c>
      <c r="AG395" s="451">
        <f ca="1">IF(AND(Scharniere[[#This Row],[Scharnierart]]=select!$A$1487,Scharniere[[#This Row],[Gruppenschlüssel]]=select!$B$1487)=TRUE,1,0)</f>
        <v>0</v>
      </c>
      <c r="AH395" s="451">
        <f ca="1">IF(AND(Scharniere[[#This Row],[Scharnierart]]=select!$A$1488,Scharniere[[#This Row],[Gruppenschlüssel]]=select!$B$1488)=TRUE,1,0)</f>
        <v>0</v>
      </c>
      <c r="AI395" s="451">
        <f ca="1">IF(SUM(Scharniere[[#This Row],[konf Scharnier 1]:[konf Scharnier 4]])&gt;0,1,0)</f>
        <v>0</v>
      </c>
      <c r="AJ395" s="451"/>
      <c r="AK395" s="451"/>
      <c r="AL395" s="451"/>
      <c r="AM395" s="451"/>
      <c r="AN395" s="451"/>
      <c r="AO395" s="146">
        <v>1</v>
      </c>
      <c r="AP395" s="146">
        <v>3</v>
      </c>
      <c r="AQ395" s="10" t="str">
        <f ca="1">Sprache!$A$110</f>
        <v>Tiomos Scharnier T Click-on</v>
      </c>
      <c r="AR395" t="s">
        <v>1939</v>
      </c>
      <c r="AS395" t="str">
        <f ca="1">Sprache!$A$103</f>
        <v>Tiomos Click-On Scharniere</v>
      </c>
      <c r="AT395">
        <v>9.5</v>
      </c>
      <c r="AU395" t="s">
        <v>3</v>
      </c>
      <c r="AV395">
        <v>160</v>
      </c>
      <c r="AW395" s="10">
        <v>0</v>
      </c>
      <c r="AX395">
        <v>1</v>
      </c>
      <c r="AY395">
        <v>0</v>
      </c>
      <c r="AZ395" s="10">
        <v>1</v>
      </c>
      <c r="BA395">
        <v>0</v>
      </c>
      <c r="BB395">
        <v>0</v>
      </c>
      <c r="BC395">
        <v>0</v>
      </c>
      <c r="BD395" s="143" t="s">
        <v>502</v>
      </c>
      <c r="BG395"/>
    </row>
    <row r="396" spans="1:59" ht="14.25" customHeight="1" x14ac:dyDescent="0.25">
      <c r="A396" s="37" t="str">
        <f>LEFT(Scharniere[[#This Row],[ArtikelNR]],4)</f>
        <v>F028</v>
      </c>
      <c r="B396" s="35" t="str">
        <f>MID(Scharniere[[#This Row],[ArtikelNR]],5,3)</f>
        <v>138</v>
      </c>
      <c r="C396" s="37" t="str">
        <f>RIGHT(Scharniere[[#This Row],[ArtikelNR]],3)</f>
        <v>563</v>
      </c>
      <c r="D396" s="35">
        <f>IF(AND(Scharniere[[#This Row],[Gruppenschlüssel]]=select!$A$44,Scharniere[[#This Row],[Scharnierart]]=1)=TRUE,1,0)</f>
        <v>0</v>
      </c>
      <c r="E3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6" s="35">
        <f>IF(select!$F$57=IF(Scharniere[[#This Row],[mit Dämpfung]]=1,1,IF(Scharniere[[#This Row],[ohne Dämpfung]]=1,2,IF(Scharniere[[#This Row],[ohne Feder]]=1,3,0))),1,0)</f>
        <v>0</v>
      </c>
      <c r="G396" s="35">
        <f>IF(Scharniere[[#This Row],[Bohrbild]]=select!$V$43,1,0)</f>
        <v>0</v>
      </c>
      <c r="H396" s="35">
        <f>IF(IF(Scharniere[[#This Row],[Anschrauben]]=1,1,IF(Scharniere[[#This Row],[Einpressen]]=1,2,IF(Scharniere[[#This Row],[Quick]]=1,3,IF(Scharniere[[#This Row],[Werkzeuglos]]=1,4,0))))=select!$F$48,1,0)</f>
        <v>0</v>
      </c>
      <c r="I3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6" s="149">
        <f>IF(AND(Scharniere[[#This Row],[Scharnierart]]=2,Scharniere[[#This Row],[Gruppenschlüssel]]=select!$A$318)=TRUE,1,0)</f>
        <v>0</v>
      </c>
      <c r="K396" s="221">
        <f ca="1">IF(select!$O$424&lt;6,1,0)</f>
        <v>1</v>
      </c>
      <c r="L396" s="139">
        <f>IF(select!$A$362=IF(Scharniere[[#This Row],[mit Dämpfung]]=1,1,IF(Scharniere[[#This Row],[ohne Dämpfung]]=1,2,IF(Scharniere[[#This Row],[ohne Feder]]=1,3,0))),1,0)</f>
        <v>1</v>
      </c>
      <c r="M396" s="135">
        <f>IF(Scharniere[[#This Row],[Bohrbild]]=select!$O$334,1,0)</f>
        <v>0</v>
      </c>
      <c r="N396" s="135">
        <f>IF(IF(Scharniere[[#This Row],[Anschrauben]]=1,1,IF(Scharniere[[#This Row],[Einpressen]]=1,2,IF(Scharniere[[#This Row],[Quick]]=1,3,IF(Scharniere[[#This Row],[Werkzeuglos]]=1,4,0))))=select!$E$362,1,0)</f>
        <v>1</v>
      </c>
      <c r="O3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6" s="298">
        <f>IF(AND(Scharniere[[#This Row],[Scharnierart]]=3,Scharniere[[#This Row],[Gruppenschlüssel]]=select!$A$747)=TRUE,1,0)</f>
        <v>0</v>
      </c>
      <c r="Q396" s="298">
        <f ca="1">IF(select!$O$945&lt;6,1,0)</f>
        <v>1</v>
      </c>
      <c r="R396" s="298">
        <f>IF(select!$A$778=IF(Scharniere[[#This Row],[mit Dämpfung]]=1,1,IF(Scharniere[[#This Row],[ohne Dämpfung]]=1,2,IF(Scharniere[[#This Row],[ohne Feder]]=1,3,0))),1,0)</f>
        <v>0</v>
      </c>
      <c r="S396" s="298">
        <f>IF(Scharniere[[#This Row],[Bohrbild]]=select!$A$755,1,0)</f>
        <v>0</v>
      </c>
      <c r="T396" s="298">
        <f>IF(IF(Scharniere[[#This Row],[Anschrauben]]=1,1,IF(Scharniere[[#This Row],[Einpressen]]=1,2,IF(Scharniere[[#This Row],[Quick]]=1,3,IF(Scharniere[[#This Row],[Werkzeuglos]]=1,4,0))))=select!$A$769,1,0)</f>
        <v>1</v>
      </c>
      <c r="U3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6" s="359">
        <f>IF(AND(Scharniere[[#This Row],[Scharnierart]]=4,Scharniere[[#This Row],[Gruppenschlüssel]]=select!$A$981)=TRUE,1,0)</f>
        <v>0</v>
      </c>
      <c r="W396" s="359">
        <f ca="1">IF(select!$O$1185&lt;6,1,0)</f>
        <v>1</v>
      </c>
      <c r="X396" s="359">
        <f>IF(select!$A$1012=IF(Scharniere[[#This Row],[mit Dämpfung]]=1,1,IF(Scharniere[[#This Row],[ohne Dämpfung]]=1,2,IF(Scharniere[[#This Row],[ohne Feder]]=1,3,0))),1,0)</f>
        <v>0</v>
      </c>
      <c r="Y396" s="359">
        <f>IF(Scharniere[[#This Row],[Bohrbild]]=select!$A$989,1,0)</f>
        <v>0</v>
      </c>
      <c r="Z396" s="359">
        <f>IF(IF(Scharniere[[#This Row],[Anschrauben]]=1,1,IF(Scharniere[[#This Row],[Einpressen]]=1,2,IF(Scharniere[[#This Row],[Quick]]=1,3,IF(Scharniere[[#This Row],[Werkzeuglos]]=1,4,0))))=select!$A$1003,1,0)</f>
        <v>1</v>
      </c>
      <c r="AA3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6" s="359">
        <f ca="1">IF(select!$K$980="*",Scharniere[[#This Row],[AG Ges2]],Scharniere[[#This Row],[AG Ges1]])</f>
        <v>0</v>
      </c>
      <c r="AE396" s="451">
        <f ca="1">IF(AND(Scharniere[[#This Row],[Scharnierart]]=select!$A$1485,Scharniere[[#This Row],[Gruppenschlüssel]]=select!$B$1485)=TRUE,1,0)</f>
        <v>0</v>
      </c>
      <c r="AF396" s="451">
        <f ca="1">IF(AND(Scharniere[[#This Row],[Scharnierart]]=select!$A$1486,Scharniere[[#This Row],[Gruppenschlüssel]]=select!$B$1486)=TRUE,1,0)</f>
        <v>0</v>
      </c>
      <c r="AG396" s="451">
        <f ca="1">IF(AND(Scharniere[[#This Row],[Scharnierart]]=select!$A$1487,Scharniere[[#This Row],[Gruppenschlüssel]]=select!$B$1487)=TRUE,1,0)</f>
        <v>0</v>
      </c>
      <c r="AH396" s="451">
        <f ca="1">IF(AND(Scharniere[[#This Row],[Scharnierart]]=select!$A$1488,Scharniere[[#This Row],[Gruppenschlüssel]]=select!$B$1488)=TRUE,1,0)</f>
        <v>0</v>
      </c>
      <c r="AI396" s="451">
        <f ca="1">IF(SUM(Scharniere[[#This Row],[konf Scharnier 1]:[konf Scharnier 4]])&gt;0,1,0)</f>
        <v>0</v>
      </c>
      <c r="AJ396" s="451"/>
      <c r="AK396" s="451"/>
      <c r="AL396" s="451"/>
      <c r="AM396" s="451"/>
      <c r="AN396" s="451"/>
      <c r="AO396" s="146">
        <v>1</v>
      </c>
      <c r="AP396" s="146">
        <v>3</v>
      </c>
      <c r="AQ396" s="10" t="str">
        <f ca="1">Sprache!$A$112</f>
        <v>Tiomos Scharnier TS Click-on</v>
      </c>
      <c r="AR396" t="s">
        <v>1939</v>
      </c>
      <c r="AS396" t="str">
        <f ca="1">Sprache!$A$103</f>
        <v>Tiomos Click-On Scharniere</v>
      </c>
      <c r="AT396">
        <v>9.5</v>
      </c>
      <c r="AU396" s="34" t="s">
        <v>3</v>
      </c>
      <c r="AV396">
        <v>160</v>
      </c>
      <c r="AW396" s="10">
        <v>1</v>
      </c>
      <c r="AX396">
        <v>0</v>
      </c>
      <c r="AY396">
        <v>0</v>
      </c>
      <c r="AZ396" s="10">
        <v>1</v>
      </c>
      <c r="BA396">
        <v>0</v>
      </c>
      <c r="BB396">
        <v>0</v>
      </c>
      <c r="BC396">
        <v>0</v>
      </c>
      <c r="BD396" s="143" t="s">
        <v>326</v>
      </c>
      <c r="BG396"/>
    </row>
    <row r="397" spans="1:59" ht="14.25" customHeight="1" x14ac:dyDescent="0.25">
      <c r="A397" s="37" t="str">
        <f>LEFT(Scharniere[[#This Row],[ArtikelNR]],4)</f>
        <v>F046</v>
      </c>
      <c r="B397" s="35" t="str">
        <f>MID(Scharniere[[#This Row],[ArtikelNR]],5,3)</f>
        <v>138</v>
      </c>
      <c r="C397" s="37" t="str">
        <f>RIGHT(Scharniere[[#This Row],[ArtikelNR]],3)</f>
        <v>623</v>
      </c>
      <c r="D397" s="35">
        <f>IF(AND(Scharniere[[#This Row],[Gruppenschlüssel]]=select!$A$44,Scharniere[[#This Row],[Scharnierart]]=1)=TRUE,1,0)</f>
        <v>0</v>
      </c>
      <c r="E3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7" s="35">
        <f>IF(select!$F$57=IF(Scharniere[[#This Row],[mit Dämpfung]]=1,1,IF(Scharniere[[#This Row],[ohne Dämpfung]]=1,2,IF(Scharniere[[#This Row],[ohne Feder]]=1,3,0))),1,0)</f>
        <v>1</v>
      </c>
      <c r="G397" s="35">
        <f>IF(Scharniere[[#This Row],[Bohrbild]]=select!$V$43,1,0)</f>
        <v>0</v>
      </c>
      <c r="H397" s="35">
        <f>IF(IF(Scharniere[[#This Row],[Anschrauben]]=1,1,IF(Scharniere[[#This Row],[Einpressen]]=1,2,IF(Scharniere[[#This Row],[Quick]]=1,3,IF(Scharniere[[#This Row],[Werkzeuglos]]=1,4,0))))=select!$F$48,1,0)</f>
        <v>0</v>
      </c>
      <c r="I3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7" s="149">
        <f>IF(AND(Scharniere[[#This Row],[Scharnierart]]=2,Scharniere[[#This Row],[Gruppenschlüssel]]=select!$A$318)=TRUE,1,0)</f>
        <v>0</v>
      </c>
      <c r="K397" s="221">
        <f ca="1">IF(select!$O$424&lt;6,1,0)</f>
        <v>1</v>
      </c>
      <c r="L397" s="139">
        <f>IF(select!$A$362=IF(Scharniere[[#This Row],[mit Dämpfung]]=1,1,IF(Scharniere[[#This Row],[ohne Dämpfung]]=1,2,IF(Scharniere[[#This Row],[ohne Feder]]=1,3,0))),1,0)</f>
        <v>0</v>
      </c>
      <c r="M397" s="135">
        <f>IF(Scharniere[[#This Row],[Bohrbild]]=select!$O$334,1,0)</f>
        <v>0</v>
      </c>
      <c r="N397" s="135">
        <f>IF(IF(Scharniere[[#This Row],[Anschrauben]]=1,1,IF(Scharniere[[#This Row],[Einpressen]]=1,2,IF(Scharniere[[#This Row],[Quick]]=1,3,IF(Scharniere[[#This Row],[Werkzeuglos]]=1,4,0))))=select!$E$362,1,0)</f>
        <v>1</v>
      </c>
      <c r="O3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7" s="298">
        <f>IF(AND(Scharniere[[#This Row],[Scharnierart]]=3,Scharniere[[#This Row],[Gruppenschlüssel]]=select!$A$747)=TRUE,1,0)</f>
        <v>0</v>
      </c>
      <c r="Q397" s="298">
        <f ca="1">IF(select!$O$945&lt;6,1,0)</f>
        <v>1</v>
      </c>
      <c r="R397" s="298">
        <f>IF(select!$A$778=IF(Scharniere[[#This Row],[mit Dämpfung]]=1,1,IF(Scharniere[[#This Row],[ohne Dämpfung]]=1,2,IF(Scharniere[[#This Row],[ohne Feder]]=1,3,0))),1,0)</f>
        <v>0</v>
      </c>
      <c r="S397" s="298">
        <f>IF(Scharniere[[#This Row],[Bohrbild]]=select!$A$755,1,0)</f>
        <v>0</v>
      </c>
      <c r="T397" s="298">
        <f>IF(IF(Scharniere[[#This Row],[Anschrauben]]=1,1,IF(Scharniere[[#This Row],[Einpressen]]=1,2,IF(Scharniere[[#This Row],[Quick]]=1,3,IF(Scharniere[[#This Row],[Werkzeuglos]]=1,4,0))))=select!$A$769,1,0)</f>
        <v>1</v>
      </c>
      <c r="U3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7" s="359">
        <f>IF(AND(Scharniere[[#This Row],[Scharnierart]]=4,Scharniere[[#This Row],[Gruppenschlüssel]]=select!$A$981)=TRUE,1,0)</f>
        <v>0</v>
      </c>
      <c r="W397" s="359">
        <f ca="1">IF(select!$O$1185&lt;6,1,0)</f>
        <v>1</v>
      </c>
      <c r="X397" s="359">
        <f>IF(select!$A$1012=IF(Scharniere[[#This Row],[mit Dämpfung]]=1,1,IF(Scharniere[[#This Row],[ohne Dämpfung]]=1,2,IF(Scharniere[[#This Row],[ohne Feder]]=1,3,0))),1,0)</f>
        <v>0</v>
      </c>
      <c r="Y397" s="359">
        <f>IF(Scharniere[[#This Row],[Bohrbild]]=select!$A$989,1,0)</f>
        <v>0</v>
      </c>
      <c r="Z397" s="359">
        <f>IF(IF(Scharniere[[#This Row],[Anschrauben]]=1,1,IF(Scharniere[[#This Row],[Einpressen]]=1,2,IF(Scharniere[[#This Row],[Quick]]=1,3,IF(Scharniere[[#This Row],[Werkzeuglos]]=1,4,0))))=select!$A$1003,1,0)</f>
        <v>1</v>
      </c>
      <c r="AA3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7" s="359">
        <f ca="1">IF(select!$K$980="*",Scharniere[[#This Row],[AG Ges2]],Scharniere[[#This Row],[AG Ges1]])</f>
        <v>0</v>
      </c>
      <c r="AE397" s="451">
        <f ca="1">IF(AND(Scharniere[[#This Row],[Scharnierart]]=select!$A$1485,Scharniere[[#This Row],[Gruppenschlüssel]]=select!$B$1485)=TRUE,1,0)</f>
        <v>0</v>
      </c>
      <c r="AF397" s="451">
        <f ca="1">IF(AND(Scharniere[[#This Row],[Scharnierart]]=select!$A$1486,Scharniere[[#This Row],[Gruppenschlüssel]]=select!$B$1486)=TRUE,1,0)</f>
        <v>0</v>
      </c>
      <c r="AG397" s="451">
        <f ca="1">IF(AND(Scharniere[[#This Row],[Scharnierart]]=select!$A$1487,Scharniere[[#This Row],[Gruppenschlüssel]]=select!$B$1487)=TRUE,1,0)</f>
        <v>0</v>
      </c>
      <c r="AH397" s="451">
        <f ca="1">IF(AND(Scharniere[[#This Row],[Scharnierart]]=select!$A$1488,Scharniere[[#This Row],[Gruppenschlüssel]]=select!$B$1488)=TRUE,1,0)</f>
        <v>0</v>
      </c>
      <c r="AI397" s="451">
        <f ca="1">IF(SUM(Scharniere[[#This Row],[konf Scharnier 1]:[konf Scharnier 4]])&gt;0,1,0)</f>
        <v>0</v>
      </c>
      <c r="AJ397" s="451"/>
      <c r="AK397" s="451"/>
      <c r="AL397" s="451"/>
      <c r="AM397" s="451"/>
      <c r="AN397" s="451"/>
      <c r="AO397" s="146">
        <v>1</v>
      </c>
      <c r="AP397" s="146">
        <v>3</v>
      </c>
      <c r="AQ397" s="10" t="str">
        <f ca="1">Sprache!$A$114</f>
        <v>Tiomos Scharnier TT Click-on</v>
      </c>
      <c r="AR397" t="s">
        <v>1939</v>
      </c>
      <c r="AS397" t="str">
        <f ca="1">Sprache!$A$103</f>
        <v>Tiomos Click-On Scharniere</v>
      </c>
      <c r="AT397">
        <v>9.5</v>
      </c>
      <c r="AU397" t="s">
        <v>3</v>
      </c>
      <c r="AV397">
        <v>160</v>
      </c>
      <c r="AW397" s="10">
        <v>0</v>
      </c>
      <c r="AX397">
        <v>0</v>
      </c>
      <c r="AY397">
        <v>1</v>
      </c>
      <c r="AZ397" s="10">
        <v>1</v>
      </c>
      <c r="BA397">
        <v>0</v>
      </c>
      <c r="BB397">
        <v>0</v>
      </c>
      <c r="BC397">
        <v>0</v>
      </c>
      <c r="BD397" s="143" t="s">
        <v>654</v>
      </c>
      <c r="BG397"/>
    </row>
    <row r="398" spans="1:59" ht="14.25" customHeight="1" x14ac:dyDescent="0.25">
      <c r="A398" s="37" t="str">
        <f>LEFT(Scharniere[[#This Row],[ArtikelNR]],4)</f>
        <v>F045</v>
      </c>
      <c r="B398" s="35" t="str">
        <f>MID(Scharniere[[#This Row],[ArtikelNR]],5,3)</f>
        <v>138</v>
      </c>
      <c r="C398" s="37" t="str">
        <f>RIGHT(Scharniere[[#This Row],[ArtikelNR]],3)</f>
        <v>322</v>
      </c>
      <c r="D398" s="35">
        <f>IF(AND(Scharniere[[#This Row],[Gruppenschlüssel]]=select!$A$44,Scharniere[[#This Row],[Scharnierart]]=1)=TRUE,1,0)</f>
        <v>0</v>
      </c>
      <c r="E3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8" s="35">
        <f>IF(select!$F$57=IF(Scharniere[[#This Row],[mit Dämpfung]]=1,1,IF(Scharniere[[#This Row],[ohne Dämpfung]]=1,2,IF(Scharniere[[#This Row],[ohne Feder]]=1,3,0))),1,0)</f>
        <v>0</v>
      </c>
      <c r="G398" s="35">
        <f>IF(Scharniere[[#This Row],[Bohrbild]]=select!$V$43,1,0)</f>
        <v>0</v>
      </c>
      <c r="H398" s="35">
        <f>IF(IF(Scharniere[[#This Row],[Anschrauben]]=1,1,IF(Scharniere[[#This Row],[Einpressen]]=1,2,IF(Scharniere[[#This Row],[Quick]]=1,3,IF(Scharniere[[#This Row],[Werkzeuglos]]=1,4,0))))=select!$F$48,1,0)</f>
        <v>1</v>
      </c>
      <c r="I3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8" s="149">
        <f>IF(AND(Scharniere[[#This Row],[Scharnierart]]=2,Scharniere[[#This Row],[Gruppenschlüssel]]=select!$A$318)=TRUE,1,0)</f>
        <v>0</v>
      </c>
      <c r="K398" s="221">
        <f ca="1">IF(select!$O$424&lt;6,1,0)</f>
        <v>1</v>
      </c>
      <c r="L398" s="139">
        <f>IF(select!$A$362=IF(Scharniere[[#This Row],[mit Dämpfung]]=1,1,IF(Scharniere[[#This Row],[ohne Dämpfung]]=1,2,IF(Scharniere[[#This Row],[ohne Feder]]=1,3,0))),1,0)</f>
        <v>0</v>
      </c>
      <c r="M398" s="135">
        <f>IF(Scharniere[[#This Row],[Bohrbild]]=select!$O$334,1,0)</f>
        <v>0</v>
      </c>
      <c r="N398" s="135">
        <f>IF(IF(Scharniere[[#This Row],[Anschrauben]]=1,1,IF(Scharniere[[#This Row],[Einpressen]]=1,2,IF(Scharniere[[#This Row],[Quick]]=1,3,IF(Scharniere[[#This Row],[Werkzeuglos]]=1,4,0))))=select!$E$362,1,0)</f>
        <v>0</v>
      </c>
      <c r="O3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8" s="298">
        <f>IF(AND(Scharniere[[#This Row],[Scharnierart]]=3,Scharniere[[#This Row],[Gruppenschlüssel]]=select!$A$747)=TRUE,1,0)</f>
        <v>0</v>
      </c>
      <c r="Q398" s="298">
        <f ca="1">IF(select!$O$945&lt;6,1,0)</f>
        <v>1</v>
      </c>
      <c r="R398" s="298">
        <f>IF(select!$A$778=IF(Scharniere[[#This Row],[mit Dämpfung]]=1,1,IF(Scharniere[[#This Row],[ohne Dämpfung]]=1,2,IF(Scharniere[[#This Row],[ohne Feder]]=1,3,0))),1,0)</f>
        <v>1</v>
      </c>
      <c r="S398" s="298">
        <f>IF(Scharniere[[#This Row],[Bohrbild]]=select!$A$755,1,0)</f>
        <v>0</v>
      </c>
      <c r="T398" s="298">
        <f>IF(IF(Scharniere[[#This Row],[Anschrauben]]=1,1,IF(Scharniere[[#This Row],[Einpressen]]=1,2,IF(Scharniere[[#This Row],[Quick]]=1,3,IF(Scharniere[[#This Row],[Werkzeuglos]]=1,4,0))))=select!$A$769,1,0)</f>
        <v>0</v>
      </c>
      <c r="U3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8" s="359">
        <f>IF(AND(Scharniere[[#This Row],[Scharnierart]]=4,Scharniere[[#This Row],[Gruppenschlüssel]]=select!$A$981)=TRUE,1,0)</f>
        <v>0</v>
      </c>
      <c r="W398" s="359">
        <f ca="1">IF(select!$O$1185&lt;6,1,0)</f>
        <v>1</v>
      </c>
      <c r="X398" s="359">
        <f>IF(select!$A$1012=IF(Scharniere[[#This Row],[mit Dämpfung]]=1,1,IF(Scharniere[[#This Row],[ohne Dämpfung]]=1,2,IF(Scharniere[[#This Row],[ohne Feder]]=1,3,0))),1,0)</f>
        <v>1</v>
      </c>
      <c r="Y398" s="359">
        <f>IF(Scharniere[[#This Row],[Bohrbild]]=select!$A$989,1,0)</f>
        <v>0</v>
      </c>
      <c r="Z398" s="359">
        <f>IF(IF(Scharniere[[#This Row],[Anschrauben]]=1,1,IF(Scharniere[[#This Row],[Einpressen]]=1,2,IF(Scharniere[[#This Row],[Quick]]=1,3,IF(Scharniere[[#This Row],[Werkzeuglos]]=1,4,0))))=select!$A$1003,1,0)</f>
        <v>0</v>
      </c>
      <c r="AA3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8" s="359">
        <f ca="1">IF(select!$K$980="*",Scharniere[[#This Row],[AG Ges2]],Scharniere[[#This Row],[AG Ges1]])</f>
        <v>0</v>
      </c>
      <c r="AE398" s="451">
        <f ca="1">IF(AND(Scharniere[[#This Row],[Scharnierart]]=select!$A$1485,Scharniere[[#This Row],[Gruppenschlüssel]]=select!$B$1485)=TRUE,1,0)</f>
        <v>0</v>
      </c>
      <c r="AF398" s="451">
        <f ca="1">IF(AND(Scharniere[[#This Row],[Scharnierart]]=select!$A$1486,Scharniere[[#This Row],[Gruppenschlüssel]]=select!$B$1486)=TRUE,1,0)</f>
        <v>0</v>
      </c>
      <c r="AG398" s="451">
        <f ca="1">IF(AND(Scharniere[[#This Row],[Scharnierart]]=select!$A$1487,Scharniere[[#This Row],[Gruppenschlüssel]]=select!$B$1487)=TRUE,1,0)</f>
        <v>0</v>
      </c>
      <c r="AH398" s="451">
        <f ca="1">IF(AND(Scharniere[[#This Row],[Scharnierart]]=select!$A$1488,Scharniere[[#This Row],[Gruppenschlüssel]]=select!$B$1488)=TRUE,1,0)</f>
        <v>0</v>
      </c>
      <c r="AI398" s="451">
        <f ca="1">IF(SUM(Scharniere[[#This Row],[konf Scharnier 1]:[konf Scharnier 4]])&gt;0,1,0)</f>
        <v>0</v>
      </c>
      <c r="AJ398" s="451"/>
      <c r="AK398" s="451"/>
      <c r="AL398" s="451"/>
      <c r="AM398" s="451"/>
      <c r="AN398" s="451"/>
      <c r="AO398" s="146">
        <v>1</v>
      </c>
      <c r="AP398" s="146">
        <v>3</v>
      </c>
      <c r="AQ398" s="10" t="str">
        <f ca="1">Sprache!$A$110</f>
        <v>Tiomos Scharnier T Click-on</v>
      </c>
      <c r="AR398" t="str">
        <f ca="1">"160°, G-BB, K9.5, "&amp;Sprache!A181&amp;", ni"</f>
        <v>160°, G-BB, K9.5, Dübel, ni</v>
      </c>
      <c r="AS398" t="str">
        <f ca="1">Sprache!$A$103</f>
        <v>Tiomos Click-On Scharniere</v>
      </c>
      <c r="AT398">
        <v>9.5</v>
      </c>
      <c r="AU398" s="34" t="s">
        <v>9</v>
      </c>
      <c r="AV398">
        <v>160</v>
      </c>
      <c r="AW398" s="10">
        <v>0</v>
      </c>
      <c r="AX398">
        <v>1</v>
      </c>
      <c r="AY398">
        <v>0</v>
      </c>
      <c r="AZ398" s="10">
        <v>0</v>
      </c>
      <c r="BA398">
        <v>1</v>
      </c>
      <c r="BB398">
        <v>0</v>
      </c>
      <c r="BC398">
        <v>0</v>
      </c>
      <c r="BD398" s="143" t="s">
        <v>476</v>
      </c>
      <c r="BG398"/>
    </row>
    <row r="399" spans="1:59" ht="14.25" customHeight="1" x14ac:dyDescent="0.25">
      <c r="A399" s="37" t="str">
        <f>LEFT(Scharniere[[#This Row],[ArtikelNR]],4)</f>
        <v>F028</v>
      </c>
      <c r="B399" s="35" t="str">
        <f>MID(Scharniere[[#This Row],[ArtikelNR]],5,3)</f>
        <v>138</v>
      </c>
      <c r="C399" s="37" t="str">
        <f>RIGHT(Scharniere[[#This Row],[ArtikelNR]],3)</f>
        <v>384</v>
      </c>
      <c r="D399" s="35">
        <f>IF(AND(Scharniere[[#This Row],[Gruppenschlüssel]]=select!$A$44,Scharniere[[#This Row],[Scharnierart]]=1)=TRUE,1,0)</f>
        <v>0</v>
      </c>
      <c r="E3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399" s="35">
        <f>IF(select!$F$57=IF(Scharniere[[#This Row],[mit Dämpfung]]=1,1,IF(Scharniere[[#This Row],[ohne Dämpfung]]=1,2,IF(Scharniere[[#This Row],[ohne Feder]]=1,3,0))),1,0)</f>
        <v>0</v>
      </c>
      <c r="G399" s="35">
        <f>IF(Scharniere[[#This Row],[Bohrbild]]=select!$V$43,1,0)</f>
        <v>0</v>
      </c>
      <c r="H399" s="35">
        <f>IF(IF(Scharniere[[#This Row],[Anschrauben]]=1,1,IF(Scharniere[[#This Row],[Einpressen]]=1,2,IF(Scharniere[[#This Row],[Quick]]=1,3,IF(Scharniere[[#This Row],[Werkzeuglos]]=1,4,0))))=select!$F$48,1,0)</f>
        <v>1</v>
      </c>
      <c r="I3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399" s="149">
        <f>IF(AND(Scharniere[[#This Row],[Scharnierart]]=2,Scharniere[[#This Row],[Gruppenschlüssel]]=select!$A$318)=TRUE,1,0)</f>
        <v>0</v>
      </c>
      <c r="K399" s="221">
        <f ca="1">IF(select!$O$424&lt;6,1,0)</f>
        <v>1</v>
      </c>
      <c r="L399" s="139">
        <f>IF(select!$A$362=IF(Scharniere[[#This Row],[mit Dämpfung]]=1,1,IF(Scharniere[[#This Row],[ohne Dämpfung]]=1,2,IF(Scharniere[[#This Row],[ohne Feder]]=1,3,0))),1,0)</f>
        <v>1</v>
      </c>
      <c r="M399" s="135">
        <f>IF(Scharniere[[#This Row],[Bohrbild]]=select!$O$334,1,0)</f>
        <v>0</v>
      </c>
      <c r="N399" s="135">
        <f>IF(IF(Scharniere[[#This Row],[Anschrauben]]=1,1,IF(Scharniere[[#This Row],[Einpressen]]=1,2,IF(Scharniere[[#This Row],[Quick]]=1,3,IF(Scharniere[[#This Row],[Werkzeuglos]]=1,4,0))))=select!$E$362,1,0)</f>
        <v>0</v>
      </c>
      <c r="O3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399" s="298">
        <f>IF(AND(Scharniere[[#This Row],[Scharnierart]]=3,Scharniere[[#This Row],[Gruppenschlüssel]]=select!$A$747)=TRUE,1,0)</f>
        <v>0</v>
      </c>
      <c r="Q399" s="298">
        <f ca="1">IF(select!$O$945&lt;6,1,0)</f>
        <v>1</v>
      </c>
      <c r="R399" s="298">
        <f>IF(select!$A$778=IF(Scharniere[[#This Row],[mit Dämpfung]]=1,1,IF(Scharniere[[#This Row],[ohne Dämpfung]]=1,2,IF(Scharniere[[#This Row],[ohne Feder]]=1,3,0))),1,0)</f>
        <v>0</v>
      </c>
      <c r="S399" s="298">
        <f>IF(Scharniere[[#This Row],[Bohrbild]]=select!$A$755,1,0)</f>
        <v>0</v>
      </c>
      <c r="T399" s="298">
        <f>IF(IF(Scharniere[[#This Row],[Anschrauben]]=1,1,IF(Scharniere[[#This Row],[Einpressen]]=1,2,IF(Scharniere[[#This Row],[Quick]]=1,3,IF(Scharniere[[#This Row],[Werkzeuglos]]=1,4,0))))=select!$A$769,1,0)</f>
        <v>0</v>
      </c>
      <c r="U3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399" s="359">
        <f>IF(AND(Scharniere[[#This Row],[Scharnierart]]=4,Scharniere[[#This Row],[Gruppenschlüssel]]=select!$A$981)=TRUE,1,0)</f>
        <v>0</v>
      </c>
      <c r="W399" s="359">
        <f ca="1">IF(select!$O$1185&lt;6,1,0)</f>
        <v>1</v>
      </c>
      <c r="X399" s="359">
        <f>IF(select!$A$1012=IF(Scharniere[[#This Row],[mit Dämpfung]]=1,1,IF(Scharniere[[#This Row],[ohne Dämpfung]]=1,2,IF(Scharniere[[#This Row],[ohne Feder]]=1,3,0))),1,0)</f>
        <v>0</v>
      </c>
      <c r="Y399" s="359">
        <f>IF(Scharniere[[#This Row],[Bohrbild]]=select!$A$989,1,0)</f>
        <v>0</v>
      </c>
      <c r="Z399" s="359">
        <f>IF(IF(Scharniere[[#This Row],[Anschrauben]]=1,1,IF(Scharniere[[#This Row],[Einpressen]]=1,2,IF(Scharniere[[#This Row],[Quick]]=1,3,IF(Scharniere[[#This Row],[Werkzeuglos]]=1,4,0))))=select!$A$1003,1,0)</f>
        <v>0</v>
      </c>
      <c r="AA3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3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3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399" s="359">
        <f ca="1">IF(select!$K$980="*",Scharniere[[#This Row],[AG Ges2]],Scharniere[[#This Row],[AG Ges1]])</f>
        <v>0</v>
      </c>
      <c r="AE399" s="451">
        <f ca="1">IF(AND(Scharniere[[#This Row],[Scharnierart]]=select!$A$1485,Scharniere[[#This Row],[Gruppenschlüssel]]=select!$B$1485)=TRUE,1,0)</f>
        <v>0</v>
      </c>
      <c r="AF399" s="451">
        <f ca="1">IF(AND(Scharniere[[#This Row],[Scharnierart]]=select!$A$1486,Scharniere[[#This Row],[Gruppenschlüssel]]=select!$B$1486)=TRUE,1,0)</f>
        <v>0</v>
      </c>
      <c r="AG399" s="451">
        <f ca="1">IF(AND(Scharniere[[#This Row],[Scharnierart]]=select!$A$1487,Scharniere[[#This Row],[Gruppenschlüssel]]=select!$B$1487)=TRUE,1,0)</f>
        <v>0</v>
      </c>
      <c r="AH399" s="451">
        <f ca="1">IF(AND(Scharniere[[#This Row],[Scharnierart]]=select!$A$1488,Scharniere[[#This Row],[Gruppenschlüssel]]=select!$B$1488)=TRUE,1,0)</f>
        <v>0</v>
      </c>
      <c r="AI399" s="451">
        <f ca="1">IF(SUM(Scharniere[[#This Row],[konf Scharnier 1]:[konf Scharnier 4]])&gt;0,1,0)</f>
        <v>0</v>
      </c>
      <c r="AJ399" s="451"/>
      <c r="AK399" s="451"/>
      <c r="AL399" s="451"/>
      <c r="AM399" s="451"/>
      <c r="AN399" s="451"/>
      <c r="AO399" s="146">
        <v>1</v>
      </c>
      <c r="AP399" s="146">
        <v>3</v>
      </c>
      <c r="AQ399" s="10" t="str">
        <f ca="1">Sprache!$A$112</f>
        <v>Tiomos Scharnier TS Click-on</v>
      </c>
      <c r="AR399" t="str">
        <f ca="1">"160°, G-BB, K9.5, "&amp;Sprache!A181&amp;", ni"</f>
        <v>160°, G-BB, K9.5, Dübel, ni</v>
      </c>
      <c r="AS399" t="str">
        <f ca="1">Sprache!$A$103</f>
        <v>Tiomos Click-On Scharniere</v>
      </c>
      <c r="AT399">
        <v>9.5</v>
      </c>
      <c r="AU399" t="s">
        <v>9</v>
      </c>
      <c r="AV399">
        <v>160</v>
      </c>
      <c r="AW399" s="10">
        <v>1</v>
      </c>
      <c r="AX399">
        <v>0</v>
      </c>
      <c r="AY399">
        <v>0</v>
      </c>
      <c r="AZ399" s="10">
        <v>0</v>
      </c>
      <c r="BA399">
        <v>1</v>
      </c>
      <c r="BB399">
        <v>0</v>
      </c>
      <c r="BC399">
        <v>0</v>
      </c>
      <c r="BD399" s="143" t="s">
        <v>290</v>
      </c>
      <c r="BG399"/>
    </row>
    <row r="400" spans="1:59" ht="14.25" customHeight="1" x14ac:dyDescent="0.25">
      <c r="A400" s="37" t="str">
        <f>LEFT(Scharniere[[#This Row],[ArtikelNR]],4)</f>
        <v>F046</v>
      </c>
      <c r="B400" s="35" t="str">
        <f>MID(Scharniere[[#This Row],[ArtikelNR]],5,3)</f>
        <v>138</v>
      </c>
      <c r="C400" s="37" t="str">
        <f>RIGHT(Scharniere[[#This Row],[ArtikelNR]],3)</f>
        <v>444</v>
      </c>
      <c r="D400" s="35">
        <f>IF(AND(Scharniere[[#This Row],[Gruppenschlüssel]]=select!$A$44,Scharniere[[#This Row],[Scharnierart]]=1)=TRUE,1,0)</f>
        <v>0</v>
      </c>
      <c r="E4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0" s="35">
        <f>IF(select!$F$57=IF(Scharniere[[#This Row],[mit Dämpfung]]=1,1,IF(Scharniere[[#This Row],[ohne Dämpfung]]=1,2,IF(Scharniere[[#This Row],[ohne Feder]]=1,3,0))),1,0)</f>
        <v>1</v>
      </c>
      <c r="G400" s="35">
        <f>IF(Scharniere[[#This Row],[Bohrbild]]=select!$V$43,1,0)</f>
        <v>0</v>
      </c>
      <c r="H400" s="35">
        <f>IF(IF(Scharniere[[#This Row],[Anschrauben]]=1,1,IF(Scharniere[[#This Row],[Einpressen]]=1,2,IF(Scharniere[[#This Row],[Quick]]=1,3,IF(Scharniere[[#This Row],[Werkzeuglos]]=1,4,0))))=select!$F$48,1,0)</f>
        <v>1</v>
      </c>
      <c r="I4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0" s="149">
        <f>IF(AND(Scharniere[[#This Row],[Scharnierart]]=2,Scharniere[[#This Row],[Gruppenschlüssel]]=select!$A$318)=TRUE,1,0)</f>
        <v>0</v>
      </c>
      <c r="K400" s="221">
        <f ca="1">IF(select!$O$424&lt;6,1,0)</f>
        <v>1</v>
      </c>
      <c r="L400" s="139">
        <f>IF(select!$A$362=IF(Scharniere[[#This Row],[mit Dämpfung]]=1,1,IF(Scharniere[[#This Row],[ohne Dämpfung]]=1,2,IF(Scharniere[[#This Row],[ohne Feder]]=1,3,0))),1,0)</f>
        <v>0</v>
      </c>
      <c r="M400" s="135">
        <f>IF(Scharniere[[#This Row],[Bohrbild]]=select!$O$334,1,0)</f>
        <v>0</v>
      </c>
      <c r="N400" s="135">
        <f>IF(IF(Scharniere[[#This Row],[Anschrauben]]=1,1,IF(Scharniere[[#This Row],[Einpressen]]=1,2,IF(Scharniere[[#This Row],[Quick]]=1,3,IF(Scharniere[[#This Row],[Werkzeuglos]]=1,4,0))))=select!$E$362,1,0)</f>
        <v>0</v>
      </c>
      <c r="O4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0" s="298">
        <f>IF(AND(Scharniere[[#This Row],[Scharnierart]]=3,Scharniere[[#This Row],[Gruppenschlüssel]]=select!$A$747)=TRUE,1,0)</f>
        <v>0</v>
      </c>
      <c r="Q400" s="298">
        <f ca="1">IF(select!$O$945&lt;6,1,0)</f>
        <v>1</v>
      </c>
      <c r="R400" s="298">
        <f>IF(select!$A$778=IF(Scharniere[[#This Row],[mit Dämpfung]]=1,1,IF(Scharniere[[#This Row],[ohne Dämpfung]]=1,2,IF(Scharniere[[#This Row],[ohne Feder]]=1,3,0))),1,0)</f>
        <v>0</v>
      </c>
      <c r="S400" s="298">
        <f>IF(Scharniere[[#This Row],[Bohrbild]]=select!$A$755,1,0)</f>
        <v>0</v>
      </c>
      <c r="T400" s="298">
        <f>IF(IF(Scharniere[[#This Row],[Anschrauben]]=1,1,IF(Scharniere[[#This Row],[Einpressen]]=1,2,IF(Scharniere[[#This Row],[Quick]]=1,3,IF(Scharniere[[#This Row],[Werkzeuglos]]=1,4,0))))=select!$A$769,1,0)</f>
        <v>0</v>
      </c>
      <c r="U4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0" s="359">
        <f>IF(AND(Scharniere[[#This Row],[Scharnierart]]=4,Scharniere[[#This Row],[Gruppenschlüssel]]=select!$A$981)=TRUE,1,0)</f>
        <v>0</v>
      </c>
      <c r="W400" s="359">
        <f ca="1">IF(select!$O$1185&lt;6,1,0)</f>
        <v>1</v>
      </c>
      <c r="X400" s="359">
        <f>IF(select!$A$1012=IF(Scharniere[[#This Row],[mit Dämpfung]]=1,1,IF(Scharniere[[#This Row],[ohne Dämpfung]]=1,2,IF(Scharniere[[#This Row],[ohne Feder]]=1,3,0))),1,0)</f>
        <v>0</v>
      </c>
      <c r="Y400" s="359">
        <f>IF(Scharniere[[#This Row],[Bohrbild]]=select!$A$989,1,0)</f>
        <v>0</v>
      </c>
      <c r="Z400" s="359">
        <f>IF(IF(Scharniere[[#This Row],[Anschrauben]]=1,1,IF(Scharniere[[#This Row],[Einpressen]]=1,2,IF(Scharniere[[#This Row],[Quick]]=1,3,IF(Scharniere[[#This Row],[Werkzeuglos]]=1,4,0))))=select!$A$1003,1,0)</f>
        <v>0</v>
      </c>
      <c r="AA4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0" s="359">
        <f ca="1">IF(select!$K$980="*",Scharniere[[#This Row],[AG Ges2]],Scharniere[[#This Row],[AG Ges1]])</f>
        <v>0</v>
      </c>
      <c r="AE400" s="451">
        <f ca="1">IF(AND(Scharniere[[#This Row],[Scharnierart]]=select!$A$1485,Scharniere[[#This Row],[Gruppenschlüssel]]=select!$B$1485)=TRUE,1,0)</f>
        <v>0</v>
      </c>
      <c r="AF400" s="451">
        <f ca="1">IF(AND(Scharniere[[#This Row],[Scharnierart]]=select!$A$1486,Scharniere[[#This Row],[Gruppenschlüssel]]=select!$B$1486)=TRUE,1,0)</f>
        <v>0</v>
      </c>
      <c r="AG400" s="451">
        <f ca="1">IF(AND(Scharniere[[#This Row],[Scharnierart]]=select!$A$1487,Scharniere[[#This Row],[Gruppenschlüssel]]=select!$B$1487)=TRUE,1,0)</f>
        <v>0</v>
      </c>
      <c r="AH400" s="451">
        <f ca="1">IF(AND(Scharniere[[#This Row],[Scharnierart]]=select!$A$1488,Scharniere[[#This Row],[Gruppenschlüssel]]=select!$B$1488)=TRUE,1,0)</f>
        <v>0</v>
      </c>
      <c r="AI400" s="451">
        <f ca="1">IF(SUM(Scharniere[[#This Row],[konf Scharnier 1]:[konf Scharnier 4]])&gt;0,1,0)</f>
        <v>0</v>
      </c>
      <c r="AJ400" s="451"/>
      <c r="AK400" s="451"/>
      <c r="AL400" s="451"/>
      <c r="AM400" s="451"/>
      <c r="AN400" s="451"/>
      <c r="AO400" s="146">
        <v>1</v>
      </c>
      <c r="AP400" s="146">
        <v>3</v>
      </c>
      <c r="AQ400" s="10" t="str">
        <f ca="1">Sprache!$A$114</f>
        <v>Tiomos Scharnier TT Click-on</v>
      </c>
      <c r="AR400" t="str">
        <f ca="1">"160°, G-BB, K9.5, "&amp;Sprache!A181&amp;", ni"</f>
        <v>160°, G-BB, K9.5, Dübel, ni</v>
      </c>
      <c r="AS400" t="str">
        <f ca="1">Sprache!$A$103</f>
        <v>Tiomos Click-On Scharniere</v>
      </c>
      <c r="AT400">
        <v>9.5</v>
      </c>
      <c r="AU400" s="10" t="s">
        <v>9</v>
      </c>
      <c r="AV400">
        <v>160</v>
      </c>
      <c r="AW400" s="10">
        <v>0</v>
      </c>
      <c r="AX400">
        <v>0</v>
      </c>
      <c r="AY400">
        <v>1</v>
      </c>
      <c r="AZ400" s="10">
        <v>0</v>
      </c>
      <c r="BA400">
        <v>1</v>
      </c>
      <c r="BB400">
        <v>0</v>
      </c>
      <c r="BC400">
        <v>0</v>
      </c>
      <c r="BD400" s="143" t="s">
        <v>628</v>
      </c>
      <c r="BG400"/>
    </row>
    <row r="401" spans="1:59" ht="14.25" customHeight="1" x14ac:dyDescent="0.25">
      <c r="A401" s="37" t="str">
        <f>LEFT(Scharniere[[#This Row],[ArtikelNR]],4)</f>
        <v>F045</v>
      </c>
      <c r="B401" s="35" t="str">
        <f>MID(Scharniere[[#This Row],[ArtikelNR]],5,3)</f>
        <v>138</v>
      </c>
      <c r="C401" s="37" t="str">
        <f>RIGHT(Scharniere[[#This Row],[ArtikelNR]],3)</f>
        <v>319</v>
      </c>
      <c r="D401" s="35">
        <f>IF(AND(Scharniere[[#This Row],[Gruppenschlüssel]]=select!$A$44,Scharniere[[#This Row],[Scharnierart]]=1)=TRUE,1,0)</f>
        <v>0</v>
      </c>
      <c r="E4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1" s="35">
        <f>IF(select!$F$57=IF(Scharniere[[#This Row],[mit Dämpfung]]=1,1,IF(Scharniere[[#This Row],[ohne Dämpfung]]=1,2,IF(Scharniere[[#This Row],[ohne Feder]]=1,3,0))),1,0)</f>
        <v>0</v>
      </c>
      <c r="G401" s="35">
        <f>IF(Scharniere[[#This Row],[Bohrbild]]=select!$V$43,1,0)</f>
        <v>0</v>
      </c>
      <c r="H401" s="35">
        <f>IF(IF(Scharniere[[#This Row],[Anschrauben]]=1,1,IF(Scharniere[[#This Row],[Einpressen]]=1,2,IF(Scharniere[[#This Row],[Quick]]=1,3,IF(Scharniere[[#This Row],[Werkzeuglos]]=1,4,0))))=select!$F$48,1,0)</f>
        <v>0</v>
      </c>
      <c r="I4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1" s="149">
        <f>IF(AND(Scharniere[[#This Row],[Scharnierart]]=2,Scharniere[[#This Row],[Gruppenschlüssel]]=select!$A$318)=TRUE,1,0)</f>
        <v>0</v>
      </c>
      <c r="K401" s="221">
        <f ca="1">IF(select!$O$424&lt;6,1,0)</f>
        <v>1</v>
      </c>
      <c r="L401" s="139">
        <f>IF(select!$A$362=IF(Scharniere[[#This Row],[mit Dämpfung]]=1,1,IF(Scharniere[[#This Row],[ohne Dämpfung]]=1,2,IF(Scharniere[[#This Row],[ohne Feder]]=1,3,0))),1,0)</f>
        <v>0</v>
      </c>
      <c r="M401" s="135">
        <f>IF(Scharniere[[#This Row],[Bohrbild]]=select!$O$334,1,0)</f>
        <v>0</v>
      </c>
      <c r="N401" s="135">
        <f>IF(IF(Scharniere[[#This Row],[Anschrauben]]=1,1,IF(Scharniere[[#This Row],[Einpressen]]=1,2,IF(Scharniere[[#This Row],[Quick]]=1,3,IF(Scharniere[[#This Row],[Werkzeuglos]]=1,4,0))))=select!$E$362,1,0)</f>
        <v>1</v>
      </c>
      <c r="O4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1" s="298">
        <f>IF(AND(Scharniere[[#This Row],[Scharnierart]]=3,Scharniere[[#This Row],[Gruppenschlüssel]]=select!$A$747)=TRUE,1,0)</f>
        <v>0</v>
      </c>
      <c r="Q401" s="298">
        <f ca="1">IF(select!$O$945&lt;6,1,0)</f>
        <v>1</v>
      </c>
      <c r="R401" s="298">
        <f>IF(select!$A$778=IF(Scharniere[[#This Row],[mit Dämpfung]]=1,1,IF(Scharniere[[#This Row],[ohne Dämpfung]]=1,2,IF(Scharniere[[#This Row],[ohne Feder]]=1,3,0))),1,0)</f>
        <v>1</v>
      </c>
      <c r="S401" s="298">
        <f>IF(Scharniere[[#This Row],[Bohrbild]]=select!$A$755,1,0)</f>
        <v>0</v>
      </c>
      <c r="T401" s="298">
        <f>IF(IF(Scharniere[[#This Row],[Anschrauben]]=1,1,IF(Scharniere[[#This Row],[Einpressen]]=1,2,IF(Scharniere[[#This Row],[Quick]]=1,3,IF(Scharniere[[#This Row],[Werkzeuglos]]=1,4,0))))=select!$A$769,1,0)</f>
        <v>1</v>
      </c>
      <c r="U4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1" s="359">
        <f>IF(AND(Scharniere[[#This Row],[Scharnierart]]=4,Scharniere[[#This Row],[Gruppenschlüssel]]=select!$A$981)=TRUE,1,0)</f>
        <v>0</v>
      </c>
      <c r="W401" s="359">
        <f ca="1">IF(select!$O$1185&lt;6,1,0)</f>
        <v>1</v>
      </c>
      <c r="X401" s="359">
        <f>IF(select!$A$1012=IF(Scharniere[[#This Row],[mit Dämpfung]]=1,1,IF(Scharniere[[#This Row],[ohne Dämpfung]]=1,2,IF(Scharniere[[#This Row],[ohne Feder]]=1,3,0))),1,0)</f>
        <v>1</v>
      </c>
      <c r="Y401" s="359">
        <f>IF(Scharniere[[#This Row],[Bohrbild]]=select!$A$989,1,0)</f>
        <v>0</v>
      </c>
      <c r="Z401" s="359">
        <f>IF(IF(Scharniere[[#This Row],[Anschrauben]]=1,1,IF(Scharniere[[#This Row],[Einpressen]]=1,2,IF(Scharniere[[#This Row],[Quick]]=1,3,IF(Scharniere[[#This Row],[Werkzeuglos]]=1,4,0))))=select!$A$1003,1,0)</f>
        <v>1</v>
      </c>
      <c r="AA4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1" s="359">
        <f ca="1">IF(select!$K$980="*",Scharniere[[#This Row],[AG Ges2]],Scharniere[[#This Row],[AG Ges1]])</f>
        <v>0</v>
      </c>
      <c r="AE401" s="451">
        <f ca="1">IF(AND(Scharniere[[#This Row],[Scharnierart]]=select!$A$1485,Scharniere[[#This Row],[Gruppenschlüssel]]=select!$B$1485)=TRUE,1,0)</f>
        <v>0</v>
      </c>
      <c r="AF401" s="451">
        <f ca="1">IF(AND(Scharniere[[#This Row],[Scharnierart]]=select!$A$1486,Scharniere[[#This Row],[Gruppenschlüssel]]=select!$B$1486)=TRUE,1,0)</f>
        <v>0</v>
      </c>
      <c r="AG401" s="451">
        <f ca="1">IF(AND(Scharniere[[#This Row],[Scharnierart]]=select!$A$1487,Scharniere[[#This Row],[Gruppenschlüssel]]=select!$B$1487)=TRUE,1,0)</f>
        <v>0</v>
      </c>
      <c r="AH401" s="451">
        <f ca="1">IF(AND(Scharniere[[#This Row],[Scharnierart]]=select!$A$1488,Scharniere[[#This Row],[Gruppenschlüssel]]=select!$B$1488)=TRUE,1,0)</f>
        <v>0</v>
      </c>
      <c r="AI401" s="451">
        <f ca="1">IF(SUM(Scharniere[[#This Row],[konf Scharnier 1]:[konf Scharnier 4]])&gt;0,1,0)</f>
        <v>0</v>
      </c>
      <c r="AJ401" s="451"/>
      <c r="AK401" s="451"/>
      <c r="AL401" s="451"/>
      <c r="AM401" s="451"/>
      <c r="AN401" s="451"/>
      <c r="AO401" s="146">
        <v>1</v>
      </c>
      <c r="AP401" s="146">
        <v>3</v>
      </c>
      <c r="AQ401" s="10" t="str">
        <f ca="1">Sprache!$A$110</f>
        <v>Tiomos Scharnier T Click-on</v>
      </c>
      <c r="AR401" t="s">
        <v>1940</v>
      </c>
      <c r="AS401" t="str">
        <f ca="1">Sprache!$A$103</f>
        <v>Tiomos Click-On Scharniere</v>
      </c>
      <c r="AT401">
        <v>9.5</v>
      </c>
      <c r="AU401" s="34" t="s">
        <v>9</v>
      </c>
      <c r="AV401">
        <v>160</v>
      </c>
      <c r="AW401" s="10">
        <v>0</v>
      </c>
      <c r="AX401">
        <v>1</v>
      </c>
      <c r="AY401">
        <v>0</v>
      </c>
      <c r="AZ401" s="10">
        <v>1</v>
      </c>
      <c r="BA401">
        <v>0</v>
      </c>
      <c r="BB401">
        <v>0</v>
      </c>
      <c r="BC401">
        <v>0</v>
      </c>
      <c r="BD401" s="143" t="s">
        <v>473</v>
      </c>
      <c r="BG401"/>
    </row>
    <row r="402" spans="1:59" ht="14.25" customHeight="1" x14ac:dyDescent="0.25">
      <c r="A402" s="37" t="str">
        <f>LEFT(Scharniere[[#This Row],[ArtikelNR]],4)</f>
        <v>F028</v>
      </c>
      <c r="B402" s="35" t="str">
        <f>MID(Scharniere[[#This Row],[ArtikelNR]],5,3)</f>
        <v>138</v>
      </c>
      <c r="C402" s="37" t="str">
        <f>RIGHT(Scharniere[[#This Row],[ArtikelNR]],3)</f>
        <v>381</v>
      </c>
      <c r="D402" s="35">
        <f>IF(AND(Scharniere[[#This Row],[Gruppenschlüssel]]=select!$A$44,Scharniere[[#This Row],[Scharnierart]]=1)=TRUE,1,0)</f>
        <v>0</v>
      </c>
      <c r="E4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2" s="35">
        <f>IF(select!$F$57=IF(Scharniere[[#This Row],[mit Dämpfung]]=1,1,IF(Scharniere[[#This Row],[ohne Dämpfung]]=1,2,IF(Scharniere[[#This Row],[ohne Feder]]=1,3,0))),1,0)</f>
        <v>0</v>
      </c>
      <c r="G402" s="35">
        <f>IF(Scharniere[[#This Row],[Bohrbild]]=select!$V$43,1,0)</f>
        <v>0</v>
      </c>
      <c r="H402" s="35">
        <f>IF(IF(Scharniere[[#This Row],[Anschrauben]]=1,1,IF(Scharniere[[#This Row],[Einpressen]]=1,2,IF(Scharniere[[#This Row],[Quick]]=1,3,IF(Scharniere[[#This Row],[Werkzeuglos]]=1,4,0))))=select!$F$48,1,0)</f>
        <v>0</v>
      </c>
      <c r="I4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2" s="149">
        <f>IF(AND(Scharniere[[#This Row],[Scharnierart]]=2,Scharniere[[#This Row],[Gruppenschlüssel]]=select!$A$318)=TRUE,1,0)</f>
        <v>0</v>
      </c>
      <c r="K402" s="221">
        <f ca="1">IF(select!$O$424&lt;6,1,0)</f>
        <v>1</v>
      </c>
      <c r="L402" s="139">
        <f>IF(select!$A$362=IF(Scharniere[[#This Row],[mit Dämpfung]]=1,1,IF(Scharniere[[#This Row],[ohne Dämpfung]]=1,2,IF(Scharniere[[#This Row],[ohne Feder]]=1,3,0))),1,0)</f>
        <v>1</v>
      </c>
      <c r="M402" s="135">
        <f>IF(Scharniere[[#This Row],[Bohrbild]]=select!$O$334,1,0)</f>
        <v>0</v>
      </c>
      <c r="N402" s="135">
        <f>IF(IF(Scharniere[[#This Row],[Anschrauben]]=1,1,IF(Scharniere[[#This Row],[Einpressen]]=1,2,IF(Scharniere[[#This Row],[Quick]]=1,3,IF(Scharniere[[#This Row],[Werkzeuglos]]=1,4,0))))=select!$E$362,1,0)</f>
        <v>1</v>
      </c>
      <c r="O4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2" s="298">
        <f>IF(AND(Scharniere[[#This Row],[Scharnierart]]=3,Scharniere[[#This Row],[Gruppenschlüssel]]=select!$A$747)=TRUE,1,0)</f>
        <v>0</v>
      </c>
      <c r="Q402" s="298">
        <f ca="1">IF(select!$O$945&lt;6,1,0)</f>
        <v>1</v>
      </c>
      <c r="R402" s="298">
        <f>IF(select!$A$778=IF(Scharniere[[#This Row],[mit Dämpfung]]=1,1,IF(Scharniere[[#This Row],[ohne Dämpfung]]=1,2,IF(Scharniere[[#This Row],[ohne Feder]]=1,3,0))),1,0)</f>
        <v>0</v>
      </c>
      <c r="S402" s="298">
        <f>IF(Scharniere[[#This Row],[Bohrbild]]=select!$A$755,1,0)</f>
        <v>0</v>
      </c>
      <c r="T402" s="298">
        <f>IF(IF(Scharniere[[#This Row],[Anschrauben]]=1,1,IF(Scharniere[[#This Row],[Einpressen]]=1,2,IF(Scharniere[[#This Row],[Quick]]=1,3,IF(Scharniere[[#This Row],[Werkzeuglos]]=1,4,0))))=select!$A$769,1,0)</f>
        <v>1</v>
      </c>
      <c r="U4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2" s="359">
        <f>IF(AND(Scharniere[[#This Row],[Scharnierart]]=4,Scharniere[[#This Row],[Gruppenschlüssel]]=select!$A$981)=TRUE,1,0)</f>
        <v>0</v>
      </c>
      <c r="W402" s="359">
        <f ca="1">IF(select!$O$1185&lt;6,1,0)</f>
        <v>1</v>
      </c>
      <c r="X402" s="359">
        <f>IF(select!$A$1012=IF(Scharniere[[#This Row],[mit Dämpfung]]=1,1,IF(Scharniere[[#This Row],[ohne Dämpfung]]=1,2,IF(Scharniere[[#This Row],[ohne Feder]]=1,3,0))),1,0)</f>
        <v>0</v>
      </c>
      <c r="Y402" s="359">
        <f>IF(Scharniere[[#This Row],[Bohrbild]]=select!$A$989,1,0)</f>
        <v>0</v>
      </c>
      <c r="Z402" s="359">
        <f>IF(IF(Scharniere[[#This Row],[Anschrauben]]=1,1,IF(Scharniere[[#This Row],[Einpressen]]=1,2,IF(Scharniere[[#This Row],[Quick]]=1,3,IF(Scharniere[[#This Row],[Werkzeuglos]]=1,4,0))))=select!$A$1003,1,0)</f>
        <v>1</v>
      </c>
      <c r="AA4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2" s="359">
        <f ca="1">IF(select!$K$980="*",Scharniere[[#This Row],[AG Ges2]],Scharniere[[#This Row],[AG Ges1]])</f>
        <v>0</v>
      </c>
      <c r="AE402" s="451">
        <f ca="1">IF(AND(Scharniere[[#This Row],[Scharnierart]]=select!$A$1485,Scharniere[[#This Row],[Gruppenschlüssel]]=select!$B$1485)=TRUE,1,0)</f>
        <v>0</v>
      </c>
      <c r="AF402" s="451">
        <f ca="1">IF(AND(Scharniere[[#This Row],[Scharnierart]]=select!$A$1486,Scharniere[[#This Row],[Gruppenschlüssel]]=select!$B$1486)=TRUE,1,0)</f>
        <v>0</v>
      </c>
      <c r="AG402" s="451">
        <f ca="1">IF(AND(Scharniere[[#This Row],[Scharnierart]]=select!$A$1487,Scharniere[[#This Row],[Gruppenschlüssel]]=select!$B$1487)=TRUE,1,0)</f>
        <v>0</v>
      </c>
      <c r="AH402" s="451">
        <f ca="1">IF(AND(Scharniere[[#This Row],[Scharnierart]]=select!$A$1488,Scharniere[[#This Row],[Gruppenschlüssel]]=select!$B$1488)=TRUE,1,0)</f>
        <v>0</v>
      </c>
      <c r="AI402" s="451">
        <f ca="1">IF(SUM(Scharniere[[#This Row],[konf Scharnier 1]:[konf Scharnier 4]])&gt;0,1,0)</f>
        <v>0</v>
      </c>
      <c r="AJ402" s="451"/>
      <c r="AK402" s="451"/>
      <c r="AL402" s="451"/>
      <c r="AM402" s="451"/>
      <c r="AN402" s="451"/>
      <c r="AO402" s="146">
        <v>1</v>
      </c>
      <c r="AP402" s="146">
        <v>3</v>
      </c>
      <c r="AQ402" s="10" t="str">
        <f ca="1">Sprache!$A$112</f>
        <v>Tiomos Scharnier TS Click-on</v>
      </c>
      <c r="AR402" t="s">
        <v>1940</v>
      </c>
      <c r="AS402" t="str">
        <f ca="1">Sprache!$A$103</f>
        <v>Tiomos Click-On Scharniere</v>
      </c>
      <c r="AT402">
        <v>9.5</v>
      </c>
      <c r="AU402" s="34" t="s">
        <v>9</v>
      </c>
      <c r="AV402">
        <v>160</v>
      </c>
      <c r="AW402" s="10">
        <v>1</v>
      </c>
      <c r="AX402">
        <v>0</v>
      </c>
      <c r="AY402">
        <v>0</v>
      </c>
      <c r="AZ402" s="10">
        <v>1</v>
      </c>
      <c r="BA402">
        <v>0</v>
      </c>
      <c r="BB402">
        <v>0</v>
      </c>
      <c r="BC402">
        <v>0</v>
      </c>
      <c r="BD402" s="143" t="s">
        <v>287</v>
      </c>
      <c r="BG402"/>
    </row>
    <row r="403" spans="1:59" ht="14.25" customHeight="1" x14ac:dyDescent="0.25">
      <c r="A403" s="37" t="str">
        <f>LEFT(Scharniere[[#This Row],[ArtikelNR]],4)</f>
        <v>F046</v>
      </c>
      <c r="B403" s="35" t="str">
        <f>MID(Scharniere[[#This Row],[ArtikelNR]],5,3)</f>
        <v>138</v>
      </c>
      <c r="C403" s="37" t="str">
        <f>RIGHT(Scharniere[[#This Row],[ArtikelNR]],3)</f>
        <v>441</v>
      </c>
      <c r="D403" s="35">
        <f>IF(AND(Scharniere[[#This Row],[Gruppenschlüssel]]=select!$A$44,Scharniere[[#This Row],[Scharnierart]]=1)=TRUE,1,0)</f>
        <v>0</v>
      </c>
      <c r="E4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3" s="35">
        <f>IF(select!$F$57=IF(Scharniere[[#This Row],[mit Dämpfung]]=1,1,IF(Scharniere[[#This Row],[ohne Dämpfung]]=1,2,IF(Scharniere[[#This Row],[ohne Feder]]=1,3,0))),1,0)</f>
        <v>1</v>
      </c>
      <c r="G403" s="35">
        <f>IF(Scharniere[[#This Row],[Bohrbild]]=select!$V$43,1,0)</f>
        <v>0</v>
      </c>
      <c r="H403" s="35">
        <f>IF(IF(Scharniere[[#This Row],[Anschrauben]]=1,1,IF(Scharniere[[#This Row],[Einpressen]]=1,2,IF(Scharniere[[#This Row],[Quick]]=1,3,IF(Scharniere[[#This Row],[Werkzeuglos]]=1,4,0))))=select!$F$48,1,0)</f>
        <v>0</v>
      </c>
      <c r="I4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3" s="149">
        <f>IF(AND(Scharniere[[#This Row],[Scharnierart]]=2,Scharniere[[#This Row],[Gruppenschlüssel]]=select!$A$318)=TRUE,1,0)</f>
        <v>0</v>
      </c>
      <c r="K403" s="221">
        <f ca="1">IF(select!$O$424&lt;6,1,0)</f>
        <v>1</v>
      </c>
      <c r="L403" s="139">
        <f>IF(select!$A$362=IF(Scharniere[[#This Row],[mit Dämpfung]]=1,1,IF(Scharniere[[#This Row],[ohne Dämpfung]]=1,2,IF(Scharniere[[#This Row],[ohne Feder]]=1,3,0))),1,0)</f>
        <v>0</v>
      </c>
      <c r="M403" s="135">
        <f>IF(Scharniere[[#This Row],[Bohrbild]]=select!$O$334,1,0)</f>
        <v>0</v>
      </c>
      <c r="N403" s="135">
        <f>IF(IF(Scharniere[[#This Row],[Anschrauben]]=1,1,IF(Scharniere[[#This Row],[Einpressen]]=1,2,IF(Scharniere[[#This Row],[Quick]]=1,3,IF(Scharniere[[#This Row],[Werkzeuglos]]=1,4,0))))=select!$E$362,1,0)</f>
        <v>1</v>
      </c>
      <c r="O4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3" s="298">
        <f>IF(AND(Scharniere[[#This Row],[Scharnierart]]=3,Scharniere[[#This Row],[Gruppenschlüssel]]=select!$A$747)=TRUE,1,0)</f>
        <v>0</v>
      </c>
      <c r="Q403" s="298">
        <f ca="1">IF(select!$O$945&lt;6,1,0)</f>
        <v>1</v>
      </c>
      <c r="R403" s="298">
        <f>IF(select!$A$778=IF(Scharniere[[#This Row],[mit Dämpfung]]=1,1,IF(Scharniere[[#This Row],[ohne Dämpfung]]=1,2,IF(Scharniere[[#This Row],[ohne Feder]]=1,3,0))),1,0)</f>
        <v>0</v>
      </c>
      <c r="S403" s="298">
        <f>IF(Scharniere[[#This Row],[Bohrbild]]=select!$A$755,1,0)</f>
        <v>0</v>
      </c>
      <c r="T403" s="298">
        <f>IF(IF(Scharniere[[#This Row],[Anschrauben]]=1,1,IF(Scharniere[[#This Row],[Einpressen]]=1,2,IF(Scharniere[[#This Row],[Quick]]=1,3,IF(Scharniere[[#This Row],[Werkzeuglos]]=1,4,0))))=select!$A$769,1,0)</f>
        <v>1</v>
      </c>
      <c r="U4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3" s="359">
        <f>IF(AND(Scharniere[[#This Row],[Scharnierart]]=4,Scharniere[[#This Row],[Gruppenschlüssel]]=select!$A$981)=TRUE,1,0)</f>
        <v>0</v>
      </c>
      <c r="W403" s="359">
        <f ca="1">IF(select!$O$1185&lt;6,1,0)</f>
        <v>1</v>
      </c>
      <c r="X403" s="359">
        <f>IF(select!$A$1012=IF(Scharniere[[#This Row],[mit Dämpfung]]=1,1,IF(Scharniere[[#This Row],[ohne Dämpfung]]=1,2,IF(Scharniere[[#This Row],[ohne Feder]]=1,3,0))),1,0)</f>
        <v>0</v>
      </c>
      <c r="Y403" s="359">
        <f>IF(Scharniere[[#This Row],[Bohrbild]]=select!$A$989,1,0)</f>
        <v>0</v>
      </c>
      <c r="Z403" s="359">
        <f>IF(IF(Scharniere[[#This Row],[Anschrauben]]=1,1,IF(Scharniere[[#This Row],[Einpressen]]=1,2,IF(Scharniere[[#This Row],[Quick]]=1,3,IF(Scharniere[[#This Row],[Werkzeuglos]]=1,4,0))))=select!$A$1003,1,0)</f>
        <v>1</v>
      </c>
      <c r="AA4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3" s="359">
        <f ca="1">IF(select!$K$980="*",Scharniere[[#This Row],[AG Ges2]],Scharniere[[#This Row],[AG Ges1]])</f>
        <v>0</v>
      </c>
      <c r="AE403" s="451">
        <f ca="1">IF(AND(Scharniere[[#This Row],[Scharnierart]]=select!$A$1485,Scharniere[[#This Row],[Gruppenschlüssel]]=select!$B$1485)=TRUE,1,0)</f>
        <v>0</v>
      </c>
      <c r="AF403" s="451">
        <f ca="1">IF(AND(Scharniere[[#This Row],[Scharnierart]]=select!$A$1486,Scharniere[[#This Row],[Gruppenschlüssel]]=select!$B$1486)=TRUE,1,0)</f>
        <v>0</v>
      </c>
      <c r="AG403" s="451">
        <f ca="1">IF(AND(Scharniere[[#This Row],[Scharnierart]]=select!$A$1487,Scharniere[[#This Row],[Gruppenschlüssel]]=select!$B$1487)=TRUE,1,0)</f>
        <v>0</v>
      </c>
      <c r="AH403" s="451">
        <f ca="1">IF(AND(Scharniere[[#This Row],[Scharnierart]]=select!$A$1488,Scharniere[[#This Row],[Gruppenschlüssel]]=select!$B$1488)=TRUE,1,0)</f>
        <v>0</v>
      </c>
      <c r="AI403" s="451">
        <f ca="1">IF(SUM(Scharniere[[#This Row],[konf Scharnier 1]:[konf Scharnier 4]])&gt;0,1,0)</f>
        <v>0</v>
      </c>
      <c r="AJ403" s="451"/>
      <c r="AK403" s="451"/>
      <c r="AL403" s="451"/>
      <c r="AM403" s="451"/>
      <c r="AN403" s="451"/>
      <c r="AO403" s="146">
        <v>1</v>
      </c>
      <c r="AP403" s="146">
        <v>3</v>
      </c>
      <c r="AQ403" s="10" t="str">
        <f ca="1">Sprache!$A$114</f>
        <v>Tiomos Scharnier TT Click-on</v>
      </c>
      <c r="AR403" t="s">
        <v>1940</v>
      </c>
      <c r="AS403" t="str">
        <f ca="1">Sprache!$A$103</f>
        <v>Tiomos Click-On Scharniere</v>
      </c>
      <c r="AT403">
        <v>9.5</v>
      </c>
      <c r="AU403" s="10" t="s">
        <v>9</v>
      </c>
      <c r="AV403">
        <v>160</v>
      </c>
      <c r="AW403" s="10">
        <v>0</v>
      </c>
      <c r="AX403">
        <v>0</v>
      </c>
      <c r="AY403">
        <v>1</v>
      </c>
      <c r="AZ403" s="10">
        <v>1</v>
      </c>
      <c r="BA403">
        <v>0</v>
      </c>
      <c r="BB403">
        <v>0</v>
      </c>
      <c r="BC403">
        <v>0</v>
      </c>
      <c r="BD403" s="143" t="s">
        <v>625</v>
      </c>
      <c r="BG403"/>
    </row>
    <row r="404" spans="1:59" ht="14.25" customHeight="1" x14ac:dyDescent="0.25">
      <c r="A404" s="37" t="str">
        <f>LEFT(Scharniere[[#This Row],[ArtikelNR]],4)</f>
        <v>F034</v>
      </c>
      <c r="B404" s="35" t="str">
        <f>MID(Scharniere[[#This Row],[ArtikelNR]],5,3)</f>
        <v>139</v>
      </c>
      <c r="C404" s="37" t="str">
        <f>RIGHT(Scharniere[[#This Row],[ArtikelNR]],3)</f>
        <v>408</v>
      </c>
      <c r="D404" s="35">
        <f>IF(AND(Scharniere[[#This Row],[Gruppenschlüssel]]=select!$A$44,Scharniere[[#This Row],[Scharnierart]]=1)=TRUE,1,0)</f>
        <v>0</v>
      </c>
      <c r="E4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4" s="35">
        <f>IF(select!$F$57=IF(Scharniere[[#This Row],[mit Dämpfung]]=1,1,IF(Scharniere[[#This Row],[ohne Dämpfung]]=1,2,IF(Scharniere[[#This Row],[ohne Feder]]=1,3,0))),1,0)</f>
        <v>0</v>
      </c>
      <c r="G404" s="35">
        <f>IF(Scharniere[[#This Row],[Bohrbild]]=select!$V$43,1,0)</f>
        <v>0</v>
      </c>
      <c r="H404" s="35">
        <f>IF(IF(Scharniere[[#This Row],[Anschrauben]]=1,1,IF(Scharniere[[#This Row],[Einpressen]]=1,2,IF(Scharniere[[#This Row],[Quick]]=1,3,IF(Scharniere[[#This Row],[Werkzeuglos]]=1,4,0))))=select!$F$48,1,0)</f>
        <v>0</v>
      </c>
      <c r="I4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4" s="149">
        <f>IF(AND(Scharniere[[#This Row],[Scharnierart]]=2,Scharniere[[#This Row],[Gruppenschlüssel]]=select!$A$318)=TRUE,1,0)</f>
        <v>0</v>
      </c>
      <c r="K404" s="221">
        <f ca="1">IF(select!$O$424&lt;6,1,0)</f>
        <v>1</v>
      </c>
      <c r="L404" s="139">
        <f>IF(select!$A$362=IF(Scharniere[[#This Row],[mit Dämpfung]]=1,1,IF(Scharniere[[#This Row],[ohne Dämpfung]]=1,2,IF(Scharniere[[#This Row],[ohne Feder]]=1,3,0))),1,0)</f>
        <v>0</v>
      </c>
      <c r="M404" s="135">
        <f>IF(Scharniere[[#This Row],[Bohrbild]]=select!$O$334,1,0)</f>
        <v>0</v>
      </c>
      <c r="N404" s="135">
        <f>IF(IF(Scharniere[[#This Row],[Anschrauben]]=1,1,IF(Scharniere[[#This Row],[Einpressen]]=1,2,IF(Scharniere[[#This Row],[Quick]]=1,3,IF(Scharniere[[#This Row],[Werkzeuglos]]=1,4,0))))=select!$E$362,1,0)</f>
        <v>0</v>
      </c>
      <c r="O4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4" s="298">
        <f>IF(AND(Scharniere[[#This Row],[Scharnierart]]=3,Scharniere[[#This Row],[Gruppenschlüssel]]=select!$A$747)=TRUE,1,0)</f>
        <v>0</v>
      </c>
      <c r="Q404" s="298">
        <f ca="1">IF(select!$O$945&lt;6,1,0)</f>
        <v>1</v>
      </c>
      <c r="R404" s="298">
        <f>IF(select!$A$778=IF(Scharniere[[#This Row],[mit Dämpfung]]=1,1,IF(Scharniere[[#This Row],[ohne Dämpfung]]=1,2,IF(Scharniere[[#This Row],[ohne Feder]]=1,3,0))),1,0)</f>
        <v>1</v>
      </c>
      <c r="S404" s="298">
        <f>IF(Scharniere[[#This Row],[Bohrbild]]=select!$A$755,1,0)</f>
        <v>0</v>
      </c>
      <c r="T404" s="298">
        <f>IF(IF(Scharniere[[#This Row],[Anschrauben]]=1,1,IF(Scharniere[[#This Row],[Einpressen]]=1,2,IF(Scharniere[[#This Row],[Quick]]=1,3,IF(Scharniere[[#This Row],[Werkzeuglos]]=1,4,0))))=select!$A$769,1,0)</f>
        <v>0</v>
      </c>
      <c r="U4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4" s="359">
        <f>IF(AND(Scharniere[[#This Row],[Scharnierart]]=4,Scharniere[[#This Row],[Gruppenschlüssel]]=select!$A$981)=TRUE,1,0)</f>
        <v>0</v>
      </c>
      <c r="W404" s="359">
        <f ca="1">IF(select!$O$1185&lt;6,1,0)</f>
        <v>1</v>
      </c>
      <c r="X404" s="359">
        <f>IF(select!$A$1012=IF(Scharniere[[#This Row],[mit Dämpfung]]=1,1,IF(Scharniere[[#This Row],[ohne Dämpfung]]=1,2,IF(Scharniere[[#This Row],[ohne Feder]]=1,3,0))),1,0)</f>
        <v>1</v>
      </c>
      <c r="Y404" s="359">
        <f>IF(Scharniere[[#This Row],[Bohrbild]]=select!$A$989,1,0)</f>
        <v>0</v>
      </c>
      <c r="Z404" s="359">
        <f>IF(IF(Scharniere[[#This Row],[Anschrauben]]=1,1,IF(Scharniere[[#This Row],[Einpressen]]=1,2,IF(Scharniere[[#This Row],[Quick]]=1,3,IF(Scharniere[[#This Row],[Werkzeuglos]]=1,4,0))))=select!$A$1003,1,0)</f>
        <v>0</v>
      </c>
      <c r="AA4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4" s="359">
        <f ca="1">IF(select!$K$980="*",Scharniere[[#This Row],[AG Ges2]],Scharniere[[#This Row],[AG Ges1]])</f>
        <v>0</v>
      </c>
      <c r="AE404" s="451">
        <f ca="1">IF(AND(Scharniere[[#This Row],[Scharnierart]]=select!$A$1485,Scharniere[[#This Row],[Gruppenschlüssel]]=select!$B$1485)=TRUE,1,0)</f>
        <v>0</v>
      </c>
      <c r="AF404" s="451">
        <f ca="1">IF(AND(Scharniere[[#This Row],[Scharnierart]]=select!$A$1486,Scharniere[[#This Row],[Gruppenschlüssel]]=select!$B$1486)=TRUE,1,0)</f>
        <v>0</v>
      </c>
      <c r="AG404" s="451">
        <f ca="1">IF(AND(Scharniere[[#This Row],[Scharnierart]]=select!$A$1487,Scharniere[[#This Row],[Gruppenschlüssel]]=select!$B$1487)=TRUE,1,0)</f>
        <v>0</v>
      </c>
      <c r="AH404" s="451">
        <f ca="1">IF(AND(Scharniere[[#This Row],[Scharnierart]]=select!$A$1488,Scharniere[[#This Row],[Gruppenschlüssel]]=select!$B$1488)=TRUE,1,0)</f>
        <v>0</v>
      </c>
      <c r="AI404" s="451">
        <f ca="1">IF(SUM(Scharniere[[#This Row],[konf Scharnier 1]:[konf Scharnier 4]])&gt;0,1,0)</f>
        <v>0</v>
      </c>
      <c r="AJ404" s="451"/>
      <c r="AK404" s="451"/>
      <c r="AL404" s="451"/>
      <c r="AM404" s="451"/>
      <c r="AN404" s="451"/>
      <c r="AO404" s="146">
        <v>1</v>
      </c>
      <c r="AP404" s="146">
        <v>3</v>
      </c>
      <c r="AQ404" s="10" t="str">
        <f ca="1">Sprache!$A$111</f>
        <v>Tiomos Scharnier T Impresso</v>
      </c>
      <c r="AR404" t="s">
        <v>1941</v>
      </c>
      <c r="AS404" t="str">
        <f ca="1">Sprache!$A$116</f>
        <v>Tiomos Impresso Scharniere</v>
      </c>
      <c r="AT404">
        <v>9.5</v>
      </c>
      <c r="AU404" t="s">
        <v>9</v>
      </c>
      <c r="AV404">
        <v>160</v>
      </c>
      <c r="AW404" s="10">
        <v>0</v>
      </c>
      <c r="AX404">
        <v>1</v>
      </c>
      <c r="AY404">
        <v>0</v>
      </c>
      <c r="AZ404" s="10">
        <v>0</v>
      </c>
      <c r="BA404">
        <v>0</v>
      </c>
      <c r="BB404">
        <v>0</v>
      </c>
      <c r="BC404">
        <v>1</v>
      </c>
      <c r="BD404" s="143" t="s">
        <v>160</v>
      </c>
      <c r="BG404"/>
    </row>
    <row r="405" spans="1:59" ht="14.25" customHeight="1" x14ac:dyDescent="0.25">
      <c r="A405" s="37" t="str">
        <f>LEFT(Scharniere[[#This Row],[ArtikelNR]],4)</f>
        <v>F034</v>
      </c>
      <c r="B405" s="35" t="str">
        <f>MID(Scharniere[[#This Row],[ArtikelNR]],5,3)</f>
        <v>139</v>
      </c>
      <c r="C405" s="37" t="str">
        <f>RIGHT(Scharniere[[#This Row],[ArtikelNR]],3)</f>
        <v>408</v>
      </c>
      <c r="D405" s="35">
        <f>IF(AND(Scharniere[[#This Row],[Gruppenschlüssel]]=select!$A$44,Scharniere[[#This Row],[Scharnierart]]=1)=TRUE,1,0)</f>
        <v>0</v>
      </c>
      <c r="E4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5" s="35">
        <f>IF(select!$F$57=IF(Scharniere[[#This Row],[mit Dämpfung]]=1,1,IF(Scharniere[[#This Row],[ohne Dämpfung]]=1,2,IF(Scharniere[[#This Row],[ohne Feder]]=1,3,0))),1,0)</f>
        <v>0</v>
      </c>
      <c r="G405" s="35">
        <f>IF(Scharniere[[#This Row],[Bohrbild]]=select!$V$43,1,0)</f>
        <v>0</v>
      </c>
      <c r="H405" s="35">
        <f>IF(IF(Scharniere[[#This Row],[Anschrauben]]=1,1,IF(Scharniere[[#This Row],[Einpressen]]=1,2,IF(Scharniere[[#This Row],[Quick]]=1,3,IF(Scharniere[[#This Row],[Werkzeuglos]]=1,4,0))))=select!$F$48,1,0)</f>
        <v>0</v>
      </c>
      <c r="I4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5" s="149">
        <f>IF(AND(Scharniere[[#This Row],[Scharnierart]]=2,Scharniere[[#This Row],[Gruppenschlüssel]]=select!$A$318)=TRUE,1,0)</f>
        <v>0</v>
      </c>
      <c r="K405" s="221">
        <f ca="1">IF(select!$O$424&lt;6,1,0)</f>
        <v>1</v>
      </c>
      <c r="L405" s="139">
        <f>IF(select!$A$362=IF(Scharniere[[#This Row],[mit Dämpfung]]=1,1,IF(Scharniere[[#This Row],[ohne Dämpfung]]=1,2,IF(Scharniere[[#This Row],[ohne Feder]]=1,3,0))),1,0)</f>
        <v>0</v>
      </c>
      <c r="M405" s="135">
        <f>IF(Scharniere[[#This Row],[Bohrbild]]=select!$O$334,1,0)</f>
        <v>0</v>
      </c>
      <c r="N405" s="135">
        <f>IF(IF(Scharniere[[#This Row],[Anschrauben]]=1,1,IF(Scharniere[[#This Row],[Einpressen]]=1,2,IF(Scharniere[[#This Row],[Quick]]=1,3,IF(Scharniere[[#This Row],[Werkzeuglos]]=1,4,0))))=select!$E$362,1,0)</f>
        <v>0</v>
      </c>
      <c r="O4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5" s="298">
        <f>IF(AND(Scharniere[[#This Row],[Scharnierart]]=3,Scharniere[[#This Row],[Gruppenschlüssel]]=select!$A$747)=TRUE,1,0)</f>
        <v>0</v>
      </c>
      <c r="Q405" s="298">
        <f ca="1">IF(select!$O$945&lt;6,1,0)</f>
        <v>1</v>
      </c>
      <c r="R405" s="298">
        <f>IF(select!$A$778=IF(Scharniere[[#This Row],[mit Dämpfung]]=1,1,IF(Scharniere[[#This Row],[ohne Dämpfung]]=1,2,IF(Scharniere[[#This Row],[ohne Feder]]=1,3,0))),1,0)</f>
        <v>1</v>
      </c>
      <c r="S405" s="298">
        <f>IF(Scharniere[[#This Row],[Bohrbild]]=select!$A$755,1,0)</f>
        <v>0</v>
      </c>
      <c r="T405" s="298">
        <f>IF(IF(Scharniere[[#This Row],[Anschrauben]]=1,1,IF(Scharniere[[#This Row],[Einpressen]]=1,2,IF(Scharniere[[#This Row],[Quick]]=1,3,IF(Scharniere[[#This Row],[Werkzeuglos]]=1,4,0))))=select!$A$769,1,0)</f>
        <v>0</v>
      </c>
      <c r="U4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5" s="359">
        <f>IF(AND(Scharniere[[#This Row],[Scharnierart]]=4,Scharniere[[#This Row],[Gruppenschlüssel]]=select!$A$981)=TRUE,1,0)</f>
        <v>0</v>
      </c>
      <c r="W405" s="359">
        <f ca="1">IF(select!$O$1185&lt;6,1,0)</f>
        <v>1</v>
      </c>
      <c r="X405" s="359">
        <f>IF(select!$A$1012=IF(Scharniere[[#This Row],[mit Dämpfung]]=1,1,IF(Scharniere[[#This Row],[ohne Dämpfung]]=1,2,IF(Scharniere[[#This Row],[ohne Feder]]=1,3,0))),1,0)</f>
        <v>1</v>
      </c>
      <c r="Y405" s="359">
        <f>IF(Scharniere[[#This Row],[Bohrbild]]=select!$A$989,1,0)</f>
        <v>0</v>
      </c>
      <c r="Z405" s="359">
        <f>IF(IF(Scharniere[[#This Row],[Anschrauben]]=1,1,IF(Scharniere[[#This Row],[Einpressen]]=1,2,IF(Scharniere[[#This Row],[Quick]]=1,3,IF(Scharniere[[#This Row],[Werkzeuglos]]=1,4,0))))=select!$A$1003,1,0)</f>
        <v>0</v>
      </c>
      <c r="AA4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5" s="359">
        <f ca="1">IF(select!$K$980="*",Scharniere[[#This Row],[AG Ges2]],Scharniere[[#This Row],[AG Ges1]])</f>
        <v>0</v>
      </c>
      <c r="AE405" s="451">
        <f ca="1">IF(AND(Scharniere[[#This Row],[Scharnierart]]=select!$A$1485,Scharniere[[#This Row],[Gruppenschlüssel]]=select!$B$1485)=TRUE,1,0)</f>
        <v>0</v>
      </c>
      <c r="AF405" s="451">
        <f ca="1">IF(AND(Scharniere[[#This Row],[Scharnierart]]=select!$A$1486,Scharniere[[#This Row],[Gruppenschlüssel]]=select!$B$1486)=TRUE,1,0)</f>
        <v>0</v>
      </c>
      <c r="AG405" s="451">
        <f ca="1">IF(AND(Scharniere[[#This Row],[Scharnierart]]=select!$A$1487,Scharniere[[#This Row],[Gruppenschlüssel]]=select!$B$1487)=TRUE,1,0)</f>
        <v>0</v>
      </c>
      <c r="AH405" s="451">
        <f ca="1">IF(AND(Scharniere[[#This Row],[Scharnierart]]=select!$A$1488,Scharniere[[#This Row],[Gruppenschlüssel]]=select!$B$1488)=TRUE,1,0)</f>
        <v>0</v>
      </c>
      <c r="AI405" s="451">
        <f ca="1">IF(SUM(Scharniere[[#This Row],[konf Scharnier 1]:[konf Scharnier 4]])&gt;0,1,0)</f>
        <v>0</v>
      </c>
      <c r="AJ405" s="451"/>
      <c r="AK405" s="451"/>
      <c r="AL405" s="451"/>
      <c r="AM405" s="451"/>
      <c r="AN405" s="451"/>
      <c r="AO405" s="146">
        <v>1</v>
      </c>
      <c r="AP405" s="146">
        <v>3</v>
      </c>
      <c r="AQ405" s="10" t="str">
        <f ca="1">Sprache!$A$111</f>
        <v>Tiomos Scharnier T Impresso</v>
      </c>
      <c r="AR405" t="s">
        <v>1941</v>
      </c>
      <c r="AS405" t="str">
        <f ca="1">Sprache!$A$116</f>
        <v>Tiomos Impresso Scharniere</v>
      </c>
      <c r="AT405">
        <v>9.5</v>
      </c>
      <c r="AU405" s="34" t="s">
        <v>3</v>
      </c>
      <c r="AV405">
        <v>160</v>
      </c>
      <c r="AW405" s="10">
        <v>0</v>
      </c>
      <c r="AX405">
        <v>1</v>
      </c>
      <c r="AY405">
        <v>0</v>
      </c>
      <c r="AZ405" s="10">
        <v>0</v>
      </c>
      <c r="BA405">
        <v>0</v>
      </c>
      <c r="BB405">
        <v>0</v>
      </c>
      <c r="BC405">
        <v>1</v>
      </c>
      <c r="BD405" s="143" t="s">
        <v>160</v>
      </c>
      <c r="BG405"/>
    </row>
    <row r="406" spans="1:59" ht="14.25" customHeight="1" x14ac:dyDescent="0.25">
      <c r="A406" s="37" t="str">
        <f>LEFT(Scharniere[[#This Row],[ArtikelNR]],4)</f>
        <v>F017</v>
      </c>
      <c r="B406" s="35" t="str">
        <f>MID(Scharniere[[#This Row],[ArtikelNR]],5,3)</f>
        <v>139</v>
      </c>
      <c r="C406" s="37" t="str">
        <f>RIGHT(Scharniere[[#This Row],[ArtikelNR]],3)</f>
        <v>437</v>
      </c>
      <c r="D406" s="35">
        <f>IF(AND(Scharniere[[#This Row],[Gruppenschlüssel]]=select!$A$44,Scharniere[[#This Row],[Scharnierart]]=1)=TRUE,1,0)</f>
        <v>0</v>
      </c>
      <c r="E4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6" s="35">
        <f>IF(select!$F$57=IF(Scharniere[[#This Row],[mit Dämpfung]]=1,1,IF(Scharniere[[#This Row],[ohne Dämpfung]]=1,2,IF(Scharniere[[#This Row],[ohne Feder]]=1,3,0))),1,0)</f>
        <v>0</v>
      </c>
      <c r="G406" s="35">
        <f>IF(Scharniere[[#This Row],[Bohrbild]]=select!$V$43,1,0)</f>
        <v>0</v>
      </c>
      <c r="H406" s="35">
        <f>IF(IF(Scharniere[[#This Row],[Anschrauben]]=1,1,IF(Scharniere[[#This Row],[Einpressen]]=1,2,IF(Scharniere[[#This Row],[Quick]]=1,3,IF(Scharniere[[#This Row],[Werkzeuglos]]=1,4,0))))=select!$F$48,1,0)</f>
        <v>0</v>
      </c>
      <c r="I4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6" s="149">
        <f>IF(AND(Scharniere[[#This Row],[Scharnierart]]=2,Scharniere[[#This Row],[Gruppenschlüssel]]=select!$A$318)=TRUE,1,0)</f>
        <v>0</v>
      </c>
      <c r="K406" s="221">
        <f ca="1">IF(select!$O$424&lt;6,1,0)</f>
        <v>1</v>
      </c>
      <c r="L406" s="139">
        <f>IF(select!$A$362=IF(Scharniere[[#This Row],[mit Dämpfung]]=1,1,IF(Scharniere[[#This Row],[ohne Dämpfung]]=1,2,IF(Scharniere[[#This Row],[ohne Feder]]=1,3,0))),1,0)</f>
        <v>1</v>
      </c>
      <c r="M406" s="135">
        <f>IF(Scharniere[[#This Row],[Bohrbild]]=select!$O$334,1,0)</f>
        <v>0</v>
      </c>
      <c r="N406" s="135">
        <f>IF(IF(Scharniere[[#This Row],[Anschrauben]]=1,1,IF(Scharniere[[#This Row],[Einpressen]]=1,2,IF(Scharniere[[#This Row],[Quick]]=1,3,IF(Scharniere[[#This Row],[Werkzeuglos]]=1,4,0))))=select!$E$362,1,0)</f>
        <v>0</v>
      </c>
      <c r="O4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6" s="298">
        <f>IF(AND(Scharniere[[#This Row],[Scharnierart]]=3,Scharniere[[#This Row],[Gruppenschlüssel]]=select!$A$747)=TRUE,1,0)</f>
        <v>0</v>
      </c>
      <c r="Q406" s="298">
        <f ca="1">IF(select!$O$945&lt;6,1,0)</f>
        <v>1</v>
      </c>
      <c r="R406" s="298">
        <f>IF(select!$A$778=IF(Scharniere[[#This Row],[mit Dämpfung]]=1,1,IF(Scharniere[[#This Row],[ohne Dämpfung]]=1,2,IF(Scharniere[[#This Row],[ohne Feder]]=1,3,0))),1,0)</f>
        <v>0</v>
      </c>
      <c r="S406" s="298">
        <f>IF(Scharniere[[#This Row],[Bohrbild]]=select!$A$755,1,0)</f>
        <v>0</v>
      </c>
      <c r="T406" s="298">
        <f>IF(IF(Scharniere[[#This Row],[Anschrauben]]=1,1,IF(Scharniere[[#This Row],[Einpressen]]=1,2,IF(Scharniere[[#This Row],[Quick]]=1,3,IF(Scharniere[[#This Row],[Werkzeuglos]]=1,4,0))))=select!$A$769,1,0)</f>
        <v>0</v>
      </c>
      <c r="U4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6" s="359">
        <f>IF(AND(Scharniere[[#This Row],[Scharnierart]]=4,Scharniere[[#This Row],[Gruppenschlüssel]]=select!$A$981)=TRUE,1,0)</f>
        <v>0</v>
      </c>
      <c r="W406" s="359">
        <f ca="1">IF(select!$O$1185&lt;6,1,0)</f>
        <v>1</v>
      </c>
      <c r="X406" s="359">
        <f>IF(select!$A$1012=IF(Scharniere[[#This Row],[mit Dämpfung]]=1,1,IF(Scharniere[[#This Row],[ohne Dämpfung]]=1,2,IF(Scharniere[[#This Row],[ohne Feder]]=1,3,0))),1,0)</f>
        <v>0</v>
      </c>
      <c r="Y406" s="359">
        <f>IF(Scharniere[[#This Row],[Bohrbild]]=select!$A$989,1,0)</f>
        <v>0</v>
      </c>
      <c r="Z406" s="359">
        <f>IF(IF(Scharniere[[#This Row],[Anschrauben]]=1,1,IF(Scharniere[[#This Row],[Einpressen]]=1,2,IF(Scharniere[[#This Row],[Quick]]=1,3,IF(Scharniere[[#This Row],[Werkzeuglos]]=1,4,0))))=select!$A$1003,1,0)</f>
        <v>0</v>
      </c>
      <c r="AA4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6" s="359">
        <f ca="1">IF(select!$K$980="*",Scharniere[[#This Row],[AG Ges2]],Scharniere[[#This Row],[AG Ges1]])</f>
        <v>0</v>
      </c>
      <c r="AE406" s="451">
        <f ca="1">IF(AND(Scharniere[[#This Row],[Scharnierart]]=select!$A$1485,Scharniere[[#This Row],[Gruppenschlüssel]]=select!$B$1485)=TRUE,1,0)</f>
        <v>0</v>
      </c>
      <c r="AF406" s="451">
        <f ca="1">IF(AND(Scharniere[[#This Row],[Scharnierart]]=select!$A$1486,Scharniere[[#This Row],[Gruppenschlüssel]]=select!$B$1486)=TRUE,1,0)</f>
        <v>0</v>
      </c>
      <c r="AG406" s="451">
        <f ca="1">IF(AND(Scharniere[[#This Row],[Scharnierart]]=select!$A$1487,Scharniere[[#This Row],[Gruppenschlüssel]]=select!$B$1487)=TRUE,1,0)</f>
        <v>0</v>
      </c>
      <c r="AH406" s="451">
        <f ca="1">IF(AND(Scharniere[[#This Row],[Scharnierart]]=select!$A$1488,Scharniere[[#This Row],[Gruppenschlüssel]]=select!$B$1488)=TRUE,1,0)</f>
        <v>0</v>
      </c>
      <c r="AI406" s="451">
        <f ca="1">IF(SUM(Scharniere[[#This Row],[konf Scharnier 1]:[konf Scharnier 4]])&gt;0,1,0)</f>
        <v>0</v>
      </c>
      <c r="AJ406" s="451"/>
      <c r="AK406" s="451"/>
      <c r="AL406" s="451"/>
      <c r="AM406" s="451"/>
      <c r="AN406" s="451"/>
      <c r="AO406" s="146">
        <v>1</v>
      </c>
      <c r="AP406" s="146">
        <v>3</v>
      </c>
      <c r="AQ406" s="10" t="str">
        <f ca="1">Sprache!$A$113</f>
        <v>Tiomos Scharnier TS Impresso</v>
      </c>
      <c r="AR406" t="s">
        <v>1941</v>
      </c>
      <c r="AS406" t="str">
        <f ca="1">Sprache!$A$116</f>
        <v>Tiomos Impresso Scharniere</v>
      </c>
      <c r="AT406">
        <v>9.5</v>
      </c>
      <c r="AU406" s="34" t="s">
        <v>9</v>
      </c>
      <c r="AV406">
        <v>160</v>
      </c>
      <c r="AW406" s="10">
        <v>1</v>
      </c>
      <c r="AX406">
        <v>0</v>
      </c>
      <c r="AY406">
        <v>0</v>
      </c>
      <c r="AZ406" s="10">
        <v>0</v>
      </c>
      <c r="BA406">
        <v>0</v>
      </c>
      <c r="BB406">
        <v>0</v>
      </c>
      <c r="BC406">
        <v>1</v>
      </c>
      <c r="BD406" s="143" t="s">
        <v>101</v>
      </c>
      <c r="BG406"/>
    </row>
    <row r="407" spans="1:59" ht="14.25" customHeight="1" x14ac:dyDescent="0.25">
      <c r="A407" s="37" t="str">
        <f>LEFT(Scharniere[[#This Row],[ArtikelNR]],4)</f>
        <v>F017</v>
      </c>
      <c r="B407" s="35" t="str">
        <f>MID(Scharniere[[#This Row],[ArtikelNR]],5,3)</f>
        <v>139</v>
      </c>
      <c r="C407" s="37" t="str">
        <f>RIGHT(Scharniere[[#This Row],[ArtikelNR]],3)</f>
        <v>437</v>
      </c>
      <c r="D407" s="35">
        <f>IF(AND(Scharniere[[#This Row],[Gruppenschlüssel]]=select!$A$44,Scharniere[[#This Row],[Scharnierart]]=1)=TRUE,1,0)</f>
        <v>0</v>
      </c>
      <c r="E4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7" s="35">
        <f>IF(select!$F$57=IF(Scharniere[[#This Row],[mit Dämpfung]]=1,1,IF(Scharniere[[#This Row],[ohne Dämpfung]]=1,2,IF(Scharniere[[#This Row],[ohne Feder]]=1,3,0))),1,0)</f>
        <v>0</v>
      </c>
      <c r="G407" s="35">
        <f>IF(Scharniere[[#This Row],[Bohrbild]]=select!$V$43,1,0)</f>
        <v>0</v>
      </c>
      <c r="H407" s="35">
        <f>IF(IF(Scharniere[[#This Row],[Anschrauben]]=1,1,IF(Scharniere[[#This Row],[Einpressen]]=1,2,IF(Scharniere[[#This Row],[Quick]]=1,3,IF(Scharniere[[#This Row],[Werkzeuglos]]=1,4,0))))=select!$F$48,1,0)</f>
        <v>0</v>
      </c>
      <c r="I4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7" s="149">
        <f>IF(AND(Scharniere[[#This Row],[Scharnierart]]=2,Scharniere[[#This Row],[Gruppenschlüssel]]=select!$A$318)=TRUE,1,0)</f>
        <v>0</v>
      </c>
      <c r="K407" s="221">
        <f ca="1">IF(select!$O$424&lt;6,1,0)</f>
        <v>1</v>
      </c>
      <c r="L407" s="139">
        <f>IF(select!$A$362=IF(Scharniere[[#This Row],[mit Dämpfung]]=1,1,IF(Scharniere[[#This Row],[ohne Dämpfung]]=1,2,IF(Scharniere[[#This Row],[ohne Feder]]=1,3,0))),1,0)</f>
        <v>1</v>
      </c>
      <c r="M407" s="135">
        <f>IF(Scharniere[[#This Row],[Bohrbild]]=select!$O$334,1,0)</f>
        <v>0</v>
      </c>
      <c r="N407" s="135">
        <f>IF(IF(Scharniere[[#This Row],[Anschrauben]]=1,1,IF(Scharniere[[#This Row],[Einpressen]]=1,2,IF(Scharniere[[#This Row],[Quick]]=1,3,IF(Scharniere[[#This Row],[Werkzeuglos]]=1,4,0))))=select!$E$362,1,0)</f>
        <v>0</v>
      </c>
      <c r="O4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7" s="298">
        <f>IF(AND(Scharniere[[#This Row],[Scharnierart]]=3,Scharniere[[#This Row],[Gruppenschlüssel]]=select!$A$747)=TRUE,1,0)</f>
        <v>0</v>
      </c>
      <c r="Q407" s="298">
        <f ca="1">IF(select!$O$945&lt;6,1,0)</f>
        <v>1</v>
      </c>
      <c r="R407" s="298">
        <f>IF(select!$A$778=IF(Scharniere[[#This Row],[mit Dämpfung]]=1,1,IF(Scharniere[[#This Row],[ohne Dämpfung]]=1,2,IF(Scharniere[[#This Row],[ohne Feder]]=1,3,0))),1,0)</f>
        <v>0</v>
      </c>
      <c r="S407" s="298">
        <f>IF(Scharniere[[#This Row],[Bohrbild]]=select!$A$755,1,0)</f>
        <v>0</v>
      </c>
      <c r="T407" s="298">
        <f>IF(IF(Scharniere[[#This Row],[Anschrauben]]=1,1,IF(Scharniere[[#This Row],[Einpressen]]=1,2,IF(Scharniere[[#This Row],[Quick]]=1,3,IF(Scharniere[[#This Row],[Werkzeuglos]]=1,4,0))))=select!$A$769,1,0)</f>
        <v>0</v>
      </c>
      <c r="U4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7" s="359">
        <f>IF(AND(Scharniere[[#This Row],[Scharnierart]]=4,Scharniere[[#This Row],[Gruppenschlüssel]]=select!$A$981)=TRUE,1,0)</f>
        <v>0</v>
      </c>
      <c r="W407" s="359">
        <f ca="1">IF(select!$O$1185&lt;6,1,0)</f>
        <v>1</v>
      </c>
      <c r="X407" s="359">
        <f>IF(select!$A$1012=IF(Scharniere[[#This Row],[mit Dämpfung]]=1,1,IF(Scharniere[[#This Row],[ohne Dämpfung]]=1,2,IF(Scharniere[[#This Row],[ohne Feder]]=1,3,0))),1,0)</f>
        <v>0</v>
      </c>
      <c r="Y407" s="359">
        <f>IF(Scharniere[[#This Row],[Bohrbild]]=select!$A$989,1,0)</f>
        <v>0</v>
      </c>
      <c r="Z407" s="359">
        <f>IF(IF(Scharniere[[#This Row],[Anschrauben]]=1,1,IF(Scharniere[[#This Row],[Einpressen]]=1,2,IF(Scharniere[[#This Row],[Quick]]=1,3,IF(Scharniere[[#This Row],[Werkzeuglos]]=1,4,0))))=select!$A$1003,1,0)</f>
        <v>0</v>
      </c>
      <c r="AA4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7" s="359">
        <f ca="1">IF(select!$K$980="*",Scharniere[[#This Row],[AG Ges2]],Scharniere[[#This Row],[AG Ges1]])</f>
        <v>0</v>
      </c>
      <c r="AE407" s="451">
        <f ca="1">IF(AND(Scharniere[[#This Row],[Scharnierart]]=select!$A$1485,Scharniere[[#This Row],[Gruppenschlüssel]]=select!$B$1485)=TRUE,1,0)</f>
        <v>0</v>
      </c>
      <c r="AF407" s="451">
        <f ca="1">IF(AND(Scharniere[[#This Row],[Scharnierart]]=select!$A$1486,Scharniere[[#This Row],[Gruppenschlüssel]]=select!$B$1486)=TRUE,1,0)</f>
        <v>0</v>
      </c>
      <c r="AG407" s="451">
        <f ca="1">IF(AND(Scharniere[[#This Row],[Scharnierart]]=select!$A$1487,Scharniere[[#This Row],[Gruppenschlüssel]]=select!$B$1487)=TRUE,1,0)</f>
        <v>0</v>
      </c>
      <c r="AH407" s="451">
        <f ca="1">IF(AND(Scharniere[[#This Row],[Scharnierart]]=select!$A$1488,Scharniere[[#This Row],[Gruppenschlüssel]]=select!$B$1488)=TRUE,1,0)</f>
        <v>0</v>
      </c>
      <c r="AI407" s="451">
        <f ca="1">IF(SUM(Scharniere[[#This Row],[konf Scharnier 1]:[konf Scharnier 4]])&gt;0,1,0)</f>
        <v>0</v>
      </c>
      <c r="AJ407" s="451"/>
      <c r="AK407" s="451"/>
      <c r="AL407" s="451"/>
      <c r="AM407" s="451"/>
      <c r="AN407" s="451"/>
      <c r="AO407" s="146">
        <v>1</v>
      </c>
      <c r="AP407" s="146">
        <v>3</v>
      </c>
      <c r="AQ407" s="10" t="str">
        <f ca="1">Sprache!$A$113</f>
        <v>Tiomos Scharnier TS Impresso</v>
      </c>
      <c r="AR407" t="s">
        <v>1941</v>
      </c>
      <c r="AS407" t="str">
        <f ca="1">Sprache!$A$116</f>
        <v>Tiomos Impresso Scharniere</v>
      </c>
      <c r="AT407">
        <v>9.5</v>
      </c>
      <c r="AU407" s="34" t="s">
        <v>3</v>
      </c>
      <c r="AV407">
        <v>160</v>
      </c>
      <c r="AW407" s="10">
        <v>1</v>
      </c>
      <c r="AX407">
        <v>0</v>
      </c>
      <c r="AY407">
        <v>0</v>
      </c>
      <c r="AZ407" s="10">
        <v>0</v>
      </c>
      <c r="BA407">
        <v>0</v>
      </c>
      <c r="BB407">
        <v>0</v>
      </c>
      <c r="BC407">
        <v>1</v>
      </c>
      <c r="BD407" s="143" t="s">
        <v>101</v>
      </c>
      <c r="BG407"/>
    </row>
    <row r="408" spans="1:59" ht="14.25" customHeight="1" x14ac:dyDescent="0.25">
      <c r="A408" s="37" t="str">
        <f>LEFT(Scharniere[[#This Row],[ArtikelNR]],4)</f>
        <v>F035</v>
      </c>
      <c r="B408" s="35" t="str">
        <f>MID(Scharniere[[#This Row],[ArtikelNR]],5,3)</f>
        <v>139</v>
      </c>
      <c r="C408" s="37" t="str">
        <f>RIGHT(Scharniere[[#This Row],[ArtikelNR]],3)</f>
        <v>465</v>
      </c>
      <c r="D408" s="35">
        <f>IF(AND(Scharniere[[#This Row],[Gruppenschlüssel]]=select!$A$44,Scharniere[[#This Row],[Scharnierart]]=1)=TRUE,1,0)</f>
        <v>0</v>
      </c>
      <c r="E4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8" s="35">
        <f>IF(select!$F$57=IF(Scharniere[[#This Row],[mit Dämpfung]]=1,1,IF(Scharniere[[#This Row],[ohne Dämpfung]]=1,2,IF(Scharniere[[#This Row],[ohne Feder]]=1,3,0))),1,0)</f>
        <v>1</v>
      </c>
      <c r="G408" s="35">
        <f>IF(Scharniere[[#This Row],[Bohrbild]]=select!$V$43,1,0)</f>
        <v>0</v>
      </c>
      <c r="H408" s="35">
        <f>IF(IF(Scharniere[[#This Row],[Anschrauben]]=1,1,IF(Scharniere[[#This Row],[Einpressen]]=1,2,IF(Scharniere[[#This Row],[Quick]]=1,3,IF(Scharniere[[#This Row],[Werkzeuglos]]=1,4,0))))=select!$F$48,1,0)</f>
        <v>0</v>
      </c>
      <c r="I4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8" s="149">
        <f>IF(AND(Scharniere[[#This Row],[Scharnierart]]=2,Scharniere[[#This Row],[Gruppenschlüssel]]=select!$A$318)=TRUE,1,0)</f>
        <v>0</v>
      </c>
      <c r="K408" s="221">
        <f ca="1">IF(select!$O$424&lt;6,1,0)</f>
        <v>1</v>
      </c>
      <c r="L408" s="139">
        <f>IF(select!$A$362=IF(Scharniere[[#This Row],[mit Dämpfung]]=1,1,IF(Scharniere[[#This Row],[ohne Dämpfung]]=1,2,IF(Scharniere[[#This Row],[ohne Feder]]=1,3,0))),1,0)</f>
        <v>0</v>
      </c>
      <c r="M408" s="135">
        <f>IF(Scharniere[[#This Row],[Bohrbild]]=select!$O$334,1,0)</f>
        <v>0</v>
      </c>
      <c r="N408" s="135">
        <f>IF(IF(Scharniere[[#This Row],[Anschrauben]]=1,1,IF(Scharniere[[#This Row],[Einpressen]]=1,2,IF(Scharniere[[#This Row],[Quick]]=1,3,IF(Scharniere[[#This Row],[Werkzeuglos]]=1,4,0))))=select!$E$362,1,0)</f>
        <v>0</v>
      </c>
      <c r="O4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8" s="298">
        <f>IF(AND(Scharniere[[#This Row],[Scharnierart]]=3,Scharniere[[#This Row],[Gruppenschlüssel]]=select!$A$747)=TRUE,1,0)</f>
        <v>0</v>
      </c>
      <c r="Q408" s="298">
        <f ca="1">IF(select!$O$945&lt;6,1,0)</f>
        <v>1</v>
      </c>
      <c r="R408" s="298">
        <f>IF(select!$A$778=IF(Scharniere[[#This Row],[mit Dämpfung]]=1,1,IF(Scharniere[[#This Row],[ohne Dämpfung]]=1,2,IF(Scharniere[[#This Row],[ohne Feder]]=1,3,0))),1,0)</f>
        <v>0</v>
      </c>
      <c r="S408" s="298">
        <f>IF(Scharniere[[#This Row],[Bohrbild]]=select!$A$755,1,0)</f>
        <v>0</v>
      </c>
      <c r="T408" s="298">
        <f>IF(IF(Scharniere[[#This Row],[Anschrauben]]=1,1,IF(Scharniere[[#This Row],[Einpressen]]=1,2,IF(Scharniere[[#This Row],[Quick]]=1,3,IF(Scharniere[[#This Row],[Werkzeuglos]]=1,4,0))))=select!$A$769,1,0)</f>
        <v>0</v>
      </c>
      <c r="U4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8" s="359">
        <f>IF(AND(Scharniere[[#This Row],[Scharnierart]]=4,Scharniere[[#This Row],[Gruppenschlüssel]]=select!$A$981)=TRUE,1,0)</f>
        <v>0</v>
      </c>
      <c r="W408" s="359">
        <f ca="1">IF(select!$O$1185&lt;6,1,0)</f>
        <v>1</v>
      </c>
      <c r="X408" s="359">
        <f>IF(select!$A$1012=IF(Scharniere[[#This Row],[mit Dämpfung]]=1,1,IF(Scharniere[[#This Row],[ohne Dämpfung]]=1,2,IF(Scharniere[[#This Row],[ohne Feder]]=1,3,0))),1,0)</f>
        <v>0</v>
      </c>
      <c r="Y408" s="359">
        <f>IF(Scharniere[[#This Row],[Bohrbild]]=select!$A$989,1,0)</f>
        <v>0</v>
      </c>
      <c r="Z408" s="359">
        <f>IF(IF(Scharniere[[#This Row],[Anschrauben]]=1,1,IF(Scharniere[[#This Row],[Einpressen]]=1,2,IF(Scharniere[[#This Row],[Quick]]=1,3,IF(Scharniere[[#This Row],[Werkzeuglos]]=1,4,0))))=select!$A$1003,1,0)</f>
        <v>0</v>
      </c>
      <c r="AA4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8" s="359">
        <f ca="1">IF(select!$K$980="*",Scharniere[[#This Row],[AG Ges2]],Scharniere[[#This Row],[AG Ges1]])</f>
        <v>0</v>
      </c>
      <c r="AE408" s="451">
        <f ca="1">IF(AND(Scharniere[[#This Row],[Scharnierart]]=select!$A$1485,Scharniere[[#This Row],[Gruppenschlüssel]]=select!$B$1485)=TRUE,1,0)</f>
        <v>0</v>
      </c>
      <c r="AF408" s="451">
        <f ca="1">IF(AND(Scharniere[[#This Row],[Scharnierart]]=select!$A$1486,Scharniere[[#This Row],[Gruppenschlüssel]]=select!$B$1486)=TRUE,1,0)</f>
        <v>0</v>
      </c>
      <c r="AG408" s="451">
        <f ca="1">IF(AND(Scharniere[[#This Row],[Scharnierart]]=select!$A$1487,Scharniere[[#This Row],[Gruppenschlüssel]]=select!$B$1487)=TRUE,1,0)</f>
        <v>0</v>
      </c>
      <c r="AH408" s="451">
        <f ca="1">IF(AND(Scharniere[[#This Row],[Scharnierart]]=select!$A$1488,Scharniere[[#This Row],[Gruppenschlüssel]]=select!$B$1488)=TRUE,1,0)</f>
        <v>0</v>
      </c>
      <c r="AI408" s="451">
        <f ca="1">IF(SUM(Scharniere[[#This Row],[konf Scharnier 1]:[konf Scharnier 4]])&gt;0,1,0)</f>
        <v>0</v>
      </c>
      <c r="AJ408" s="451"/>
      <c r="AK408" s="451"/>
      <c r="AL408" s="451"/>
      <c r="AM408" s="451"/>
      <c r="AN408" s="451"/>
      <c r="AO408" s="146">
        <v>1</v>
      </c>
      <c r="AP408" s="146">
        <v>3</v>
      </c>
      <c r="AQ408" s="10" t="str">
        <f ca="1">Sprache!$A$115</f>
        <v>Tiomos Scharnier TT Impresso</v>
      </c>
      <c r="AR408" t="s">
        <v>1941</v>
      </c>
      <c r="AS408" t="str">
        <f ca="1">Sprache!$A$116</f>
        <v>Tiomos Impresso Scharniere</v>
      </c>
      <c r="AT408">
        <v>9.5</v>
      </c>
      <c r="AU408" s="34" t="s">
        <v>9</v>
      </c>
      <c r="AV408">
        <v>160</v>
      </c>
      <c r="AW408" s="10">
        <v>0</v>
      </c>
      <c r="AX408">
        <v>0</v>
      </c>
      <c r="AY408">
        <v>1</v>
      </c>
      <c r="AZ408" s="10">
        <v>0</v>
      </c>
      <c r="BA408">
        <v>0</v>
      </c>
      <c r="BB408">
        <v>0</v>
      </c>
      <c r="BC408">
        <v>1</v>
      </c>
      <c r="BD408" s="143" t="s">
        <v>204</v>
      </c>
      <c r="BG408"/>
    </row>
    <row r="409" spans="1:59" ht="14.25" customHeight="1" x14ac:dyDescent="0.25">
      <c r="A409" s="37" t="str">
        <f>LEFT(Scharniere[[#This Row],[ArtikelNR]],4)</f>
        <v>F035</v>
      </c>
      <c r="B409" s="35" t="str">
        <f>MID(Scharniere[[#This Row],[ArtikelNR]],5,3)</f>
        <v>139</v>
      </c>
      <c r="C409" s="37" t="str">
        <f>RIGHT(Scharniere[[#This Row],[ArtikelNR]],3)</f>
        <v>465</v>
      </c>
      <c r="D409" s="35">
        <f>IF(AND(Scharniere[[#This Row],[Gruppenschlüssel]]=select!$A$44,Scharniere[[#This Row],[Scharnierart]]=1)=TRUE,1,0)</f>
        <v>0</v>
      </c>
      <c r="E4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09" s="35">
        <f>IF(select!$F$57=IF(Scharniere[[#This Row],[mit Dämpfung]]=1,1,IF(Scharniere[[#This Row],[ohne Dämpfung]]=1,2,IF(Scharniere[[#This Row],[ohne Feder]]=1,3,0))),1,0)</f>
        <v>1</v>
      </c>
      <c r="G409" s="35">
        <f>IF(Scharniere[[#This Row],[Bohrbild]]=select!$V$43,1,0)</f>
        <v>0</v>
      </c>
      <c r="H409" s="35">
        <f>IF(IF(Scharniere[[#This Row],[Anschrauben]]=1,1,IF(Scharniere[[#This Row],[Einpressen]]=1,2,IF(Scharniere[[#This Row],[Quick]]=1,3,IF(Scharniere[[#This Row],[Werkzeuglos]]=1,4,0))))=select!$F$48,1,0)</f>
        <v>0</v>
      </c>
      <c r="I4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09" s="149">
        <f>IF(AND(Scharniere[[#This Row],[Scharnierart]]=2,Scharniere[[#This Row],[Gruppenschlüssel]]=select!$A$318)=TRUE,1,0)</f>
        <v>0</v>
      </c>
      <c r="K409" s="221">
        <f ca="1">IF(select!$O$424&lt;6,1,0)</f>
        <v>1</v>
      </c>
      <c r="L409" s="139">
        <f>IF(select!$A$362=IF(Scharniere[[#This Row],[mit Dämpfung]]=1,1,IF(Scharniere[[#This Row],[ohne Dämpfung]]=1,2,IF(Scharniere[[#This Row],[ohne Feder]]=1,3,0))),1,0)</f>
        <v>0</v>
      </c>
      <c r="M409" s="135">
        <f>IF(Scharniere[[#This Row],[Bohrbild]]=select!$O$334,1,0)</f>
        <v>0</v>
      </c>
      <c r="N409" s="135">
        <f>IF(IF(Scharniere[[#This Row],[Anschrauben]]=1,1,IF(Scharniere[[#This Row],[Einpressen]]=1,2,IF(Scharniere[[#This Row],[Quick]]=1,3,IF(Scharniere[[#This Row],[Werkzeuglos]]=1,4,0))))=select!$E$362,1,0)</f>
        <v>0</v>
      </c>
      <c r="O4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09" s="298">
        <f>IF(AND(Scharniere[[#This Row],[Scharnierart]]=3,Scharniere[[#This Row],[Gruppenschlüssel]]=select!$A$747)=TRUE,1,0)</f>
        <v>0</v>
      </c>
      <c r="Q409" s="298">
        <f ca="1">IF(select!$O$945&lt;6,1,0)</f>
        <v>1</v>
      </c>
      <c r="R409" s="298">
        <f>IF(select!$A$778=IF(Scharniere[[#This Row],[mit Dämpfung]]=1,1,IF(Scharniere[[#This Row],[ohne Dämpfung]]=1,2,IF(Scharniere[[#This Row],[ohne Feder]]=1,3,0))),1,0)</f>
        <v>0</v>
      </c>
      <c r="S409" s="298">
        <f>IF(Scharniere[[#This Row],[Bohrbild]]=select!$A$755,1,0)</f>
        <v>0</v>
      </c>
      <c r="T409" s="298">
        <f>IF(IF(Scharniere[[#This Row],[Anschrauben]]=1,1,IF(Scharniere[[#This Row],[Einpressen]]=1,2,IF(Scharniere[[#This Row],[Quick]]=1,3,IF(Scharniere[[#This Row],[Werkzeuglos]]=1,4,0))))=select!$A$769,1,0)</f>
        <v>0</v>
      </c>
      <c r="U4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09" s="359">
        <f>IF(AND(Scharniere[[#This Row],[Scharnierart]]=4,Scharniere[[#This Row],[Gruppenschlüssel]]=select!$A$981)=TRUE,1,0)</f>
        <v>0</v>
      </c>
      <c r="W409" s="359">
        <f ca="1">IF(select!$O$1185&lt;6,1,0)</f>
        <v>1</v>
      </c>
      <c r="X409" s="359">
        <f>IF(select!$A$1012=IF(Scharniere[[#This Row],[mit Dämpfung]]=1,1,IF(Scharniere[[#This Row],[ohne Dämpfung]]=1,2,IF(Scharniere[[#This Row],[ohne Feder]]=1,3,0))),1,0)</f>
        <v>0</v>
      </c>
      <c r="Y409" s="359">
        <f>IF(Scharniere[[#This Row],[Bohrbild]]=select!$A$989,1,0)</f>
        <v>0</v>
      </c>
      <c r="Z409" s="359">
        <f>IF(IF(Scharniere[[#This Row],[Anschrauben]]=1,1,IF(Scharniere[[#This Row],[Einpressen]]=1,2,IF(Scharniere[[#This Row],[Quick]]=1,3,IF(Scharniere[[#This Row],[Werkzeuglos]]=1,4,0))))=select!$A$1003,1,0)</f>
        <v>0</v>
      </c>
      <c r="AA4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09" s="359">
        <f ca="1">IF(select!$K$980="*",Scharniere[[#This Row],[AG Ges2]],Scharniere[[#This Row],[AG Ges1]])</f>
        <v>0</v>
      </c>
      <c r="AE409" s="451">
        <f ca="1">IF(AND(Scharniere[[#This Row],[Scharnierart]]=select!$A$1485,Scharniere[[#This Row],[Gruppenschlüssel]]=select!$B$1485)=TRUE,1,0)</f>
        <v>0</v>
      </c>
      <c r="AF409" s="451">
        <f ca="1">IF(AND(Scharniere[[#This Row],[Scharnierart]]=select!$A$1486,Scharniere[[#This Row],[Gruppenschlüssel]]=select!$B$1486)=TRUE,1,0)</f>
        <v>0</v>
      </c>
      <c r="AG409" s="451">
        <f ca="1">IF(AND(Scharniere[[#This Row],[Scharnierart]]=select!$A$1487,Scharniere[[#This Row],[Gruppenschlüssel]]=select!$B$1487)=TRUE,1,0)</f>
        <v>0</v>
      </c>
      <c r="AH409" s="451">
        <f ca="1">IF(AND(Scharniere[[#This Row],[Scharnierart]]=select!$A$1488,Scharniere[[#This Row],[Gruppenschlüssel]]=select!$B$1488)=TRUE,1,0)</f>
        <v>0</v>
      </c>
      <c r="AI409" s="451">
        <f ca="1">IF(SUM(Scharniere[[#This Row],[konf Scharnier 1]:[konf Scharnier 4]])&gt;0,1,0)</f>
        <v>0</v>
      </c>
      <c r="AJ409" s="451"/>
      <c r="AK409" s="451"/>
      <c r="AL409" s="451"/>
      <c r="AM409" s="451"/>
      <c r="AN409" s="451"/>
      <c r="AO409" s="146">
        <v>1</v>
      </c>
      <c r="AP409" s="146">
        <v>3</v>
      </c>
      <c r="AQ409" s="10" t="str">
        <f ca="1">Sprache!$A$115</f>
        <v>Tiomos Scharnier TT Impresso</v>
      </c>
      <c r="AR409" t="s">
        <v>1941</v>
      </c>
      <c r="AS409" t="str">
        <f ca="1">Sprache!$A$116</f>
        <v>Tiomos Impresso Scharniere</v>
      </c>
      <c r="AT409">
        <v>9.5</v>
      </c>
      <c r="AU409" s="34" t="s">
        <v>3</v>
      </c>
      <c r="AV409">
        <v>160</v>
      </c>
      <c r="AW409" s="10">
        <v>0</v>
      </c>
      <c r="AX409">
        <v>0</v>
      </c>
      <c r="AY409">
        <v>1</v>
      </c>
      <c r="AZ409" s="10">
        <v>0</v>
      </c>
      <c r="BA409">
        <v>0</v>
      </c>
      <c r="BB409">
        <v>0</v>
      </c>
      <c r="BC409">
        <v>1</v>
      </c>
      <c r="BD409" s="143" t="s">
        <v>204</v>
      </c>
      <c r="BG409"/>
    </row>
    <row r="410" spans="1:59" ht="14.25" customHeight="1" x14ac:dyDescent="0.25">
      <c r="A410" s="37" t="str">
        <f>LEFT(Scharniere[[#This Row],[ArtikelNR]],4)</f>
        <v>F045</v>
      </c>
      <c r="B410" s="35" t="str">
        <f>MID(Scharniere[[#This Row],[ArtikelNR]],5,3)</f>
        <v>138</v>
      </c>
      <c r="C410" s="37" t="str">
        <f>RIGHT(Scharniere[[#This Row],[ArtikelNR]],3)</f>
        <v>686</v>
      </c>
      <c r="D410" s="35">
        <f>IF(AND(Scharniere[[#This Row],[Gruppenschlüssel]]=select!$A$44,Scharniere[[#This Row],[Scharnierart]]=1)=TRUE,1,0)</f>
        <v>0</v>
      </c>
      <c r="E4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0" s="35">
        <f>IF(select!$F$57=IF(Scharniere[[#This Row],[mit Dämpfung]]=1,1,IF(Scharniere[[#This Row],[ohne Dämpfung]]=1,2,IF(Scharniere[[#This Row],[ohne Feder]]=1,3,0))),1,0)</f>
        <v>0</v>
      </c>
      <c r="G410" s="35">
        <f>IF(Scharniere[[#This Row],[Bohrbild]]=select!$V$43,1,0)</f>
        <v>0</v>
      </c>
      <c r="H410" s="35">
        <f>IF(IF(Scharniere[[#This Row],[Anschrauben]]=1,1,IF(Scharniere[[#This Row],[Einpressen]]=1,2,IF(Scharniere[[#This Row],[Quick]]=1,3,IF(Scharniere[[#This Row],[Werkzeuglos]]=1,4,0))))=select!$F$48,1,0)</f>
        <v>1</v>
      </c>
      <c r="I4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0" s="149">
        <f>IF(AND(Scharniere[[#This Row],[Scharnierart]]=2,Scharniere[[#This Row],[Gruppenschlüssel]]=select!$A$318)=TRUE,1,0)</f>
        <v>0</v>
      </c>
      <c r="K410" s="221">
        <f ca="1">IF(select!$O$424&lt;6,1,0)</f>
        <v>1</v>
      </c>
      <c r="L410" s="139">
        <f>IF(select!$A$362=IF(Scharniere[[#This Row],[mit Dämpfung]]=1,1,IF(Scharniere[[#This Row],[ohne Dämpfung]]=1,2,IF(Scharniere[[#This Row],[ohne Feder]]=1,3,0))),1,0)</f>
        <v>0</v>
      </c>
      <c r="M410" s="135">
        <f>IF(Scharniere[[#This Row],[Bohrbild]]=select!$O$334,1,0)</f>
        <v>0</v>
      </c>
      <c r="N410" s="135">
        <f>IF(IF(Scharniere[[#This Row],[Anschrauben]]=1,1,IF(Scharniere[[#This Row],[Einpressen]]=1,2,IF(Scharniere[[#This Row],[Quick]]=1,3,IF(Scharniere[[#This Row],[Werkzeuglos]]=1,4,0))))=select!$E$362,1,0)</f>
        <v>0</v>
      </c>
      <c r="O4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0" s="298">
        <f>IF(AND(Scharniere[[#This Row],[Scharnierart]]=3,Scharniere[[#This Row],[Gruppenschlüssel]]=select!$A$747)=TRUE,1,0)</f>
        <v>0</v>
      </c>
      <c r="Q410" s="298">
        <f ca="1">IF(select!$O$945&lt;6,1,0)</f>
        <v>1</v>
      </c>
      <c r="R410" s="298">
        <f>IF(select!$A$778=IF(Scharniere[[#This Row],[mit Dämpfung]]=1,1,IF(Scharniere[[#This Row],[ohne Dämpfung]]=1,2,IF(Scharniere[[#This Row],[ohne Feder]]=1,3,0))),1,0)</f>
        <v>1</v>
      </c>
      <c r="S410" s="298">
        <f>IF(Scharniere[[#This Row],[Bohrbild]]=select!$A$755,1,0)</f>
        <v>0</v>
      </c>
      <c r="T410" s="298">
        <f>IF(IF(Scharniere[[#This Row],[Anschrauben]]=1,1,IF(Scharniere[[#This Row],[Einpressen]]=1,2,IF(Scharniere[[#This Row],[Quick]]=1,3,IF(Scharniere[[#This Row],[Werkzeuglos]]=1,4,0))))=select!$A$769,1,0)</f>
        <v>0</v>
      </c>
      <c r="U4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0" s="359">
        <f>IF(AND(Scharniere[[#This Row],[Scharnierart]]=4,Scharniere[[#This Row],[Gruppenschlüssel]]=select!$A$981)=TRUE,1,0)</f>
        <v>0</v>
      </c>
      <c r="W410" s="359">
        <f ca="1">IF(select!$O$1185&lt;6,1,0)</f>
        <v>1</v>
      </c>
      <c r="X410" s="359">
        <f>IF(select!$A$1012=IF(Scharniere[[#This Row],[mit Dämpfung]]=1,1,IF(Scharniere[[#This Row],[ohne Dämpfung]]=1,2,IF(Scharniere[[#This Row],[ohne Feder]]=1,3,0))),1,0)</f>
        <v>1</v>
      </c>
      <c r="Y410" s="359">
        <f>IF(Scharniere[[#This Row],[Bohrbild]]=select!$A$989,1,0)</f>
        <v>0</v>
      </c>
      <c r="Z410" s="359">
        <f>IF(IF(Scharniere[[#This Row],[Anschrauben]]=1,1,IF(Scharniere[[#This Row],[Einpressen]]=1,2,IF(Scharniere[[#This Row],[Quick]]=1,3,IF(Scharniere[[#This Row],[Werkzeuglos]]=1,4,0))))=select!$A$1003,1,0)</f>
        <v>0</v>
      </c>
      <c r="AA4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0" s="359">
        <f ca="1">IF(select!$K$980="*",Scharniere[[#This Row],[AG Ges2]],Scharniere[[#This Row],[AG Ges1]])</f>
        <v>0</v>
      </c>
      <c r="AE410" s="451">
        <f ca="1">IF(AND(Scharniere[[#This Row],[Scharnierart]]=select!$A$1485,Scharniere[[#This Row],[Gruppenschlüssel]]=select!$B$1485)=TRUE,1,0)</f>
        <v>0</v>
      </c>
      <c r="AF410" s="451">
        <f ca="1">IF(AND(Scharniere[[#This Row],[Scharnierart]]=select!$A$1486,Scharniere[[#This Row],[Gruppenschlüssel]]=select!$B$1486)=TRUE,1,0)</f>
        <v>0</v>
      </c>
      <c r="AG410" s="451">
        <f ca="1">IF(AND(Scharniere[[#This Row],[Scharnierart]]=select!$A$1487,Scharniere[[#This Row],[Gruppenschlüssel]]=select!$B$1487)=TRUE,1,0)</f>
        <v>0</v>
      </c>
      <c r="AH410" s="451">
        <f ca="1">IF(AND(Scharniere[[#This Row],[Scharnierart]]=select!$A$1488,Scharniere[[#This Row],[Gruppenschlüssel]]=select!$B$1488)=TRUE,1,0)</f>
        <v>0</v>
      </c>
      <c r="AI410" s="451">
        <f ca="1">IF(SUM(Scharniere[[#This Row],[konf Scharnier 1]:[konf Scharnier 4]])&gt;0,1,0)</f>
        <v>0</v>
      </c>
      <c r="AJ410" s="451"/>
      <c r="AK410" s="451"/>
      <c r="AL410" s="451"/>
      <c r="AM410" s="451"/>
      <c r="AN410" s="451"/>
      <c r="AO410" s="146">
        <v>1</v>
      </c>
      <c r="AP410" s="146">
        <v>3</v>
      </c>
      <c r="AQ410" s="10" t="str">
        <f ca="1">Sprache!$A$110</f>
        <v>Tiomos Scharnier T Click-on</v>
      </c>
      <c r="AR410" t="str">
        <f ca="1">"160°, H-BB, K9.5, "&amp;Sprache!A181&amp;", ni"</f>
        <v>160°, H-BB, K9.5, Dübel, ni</v>
      </c>
      <c r="AS410" t="str">
        <f ca="1">Sprache!$A$103</f>
        <v>Tiomos Click-On Scharniere</v>
      </c>
      <c r="AT410">
        <v>9.5</v>
      </c>
      <c r="AU410" s="34" t="s">
        <v>10</v>
      </c>
      <c r="AV410">
        <v>160</v>
      </c>
      <c r="AW410" s="10">
        <v>0</v>
      </c>
      <c r="AX410">
        <v>1</v>
      </c>
      <c r="AY410">
        <v>0</v>
      </c>
      <c r="AZ410" s="10">
        <v>0</v>
      </c>
      <c r="BA410">
        <v>1</v>
      </c>
      <c r="BB410">
        <v>0</v>
      </c>
      <c r="BC410">
        <v>0</v>
      </c>
      <c r="BD410" s="143" t="s">
        <v>533</v>
      </c>
      <c r="BG410"/>
    </row>
    <row r="411" spans="1:59" ht="14.25" customHeight="1" x14ac:dyDescent="0.25">
      <c r="A411" s="37" t="str">
        <f>LEFT(Scharniere[[#This Row],[ArtikelNR]],4)</f>
        <v>F028</v>
      </c>
      <c r="B411" s="35" t="str">
        <f>MID(Scharniere[[#This Row],[ArtikelNR]],5,3)</f>
        <v>138</v>
      </c>
      <c r="C411" s="37" t="str">
        <f>RIGHT(Scharniere[[#This Row],[ArtikelNR]],3)</f>
        <v>748</v>
      </c>
      <c r="D411" s="35">
        <f>IF(AND(Scharniere[[#This Row],[Gruppenschlüssel]]=select!$A$44,Scharniere[[#This Row],[Scharnierart]]=1)=TRUE,1,0)</f>
        <v>0</v>
      </c>
      <c r="E4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1" s="35">
        <f>IF(select!$F$57=IF(Scharniere[[#This Row],[mit Dämpfung]]=1,1,IF(Scharniere[[#This Row],[ohne Dämpfung]]=1,2,IF(Scharniere[[#This Row],[ohne Feder]]=1,3,0))),1,0)</f>
        <v>0</v>
      </c>
      <c r="G411" s="35">
        <f>IF(Scharniere[[#This Row],[Bohrbild]]=select!$V$43,1,0)</f>
        <v>0</v>
      </c>
      <c r="H411" s="35">
        <f>IF(IF(Scharniere[[#This Row],[Anschrauben]]=1,1,IF(Scharniere[[#This Row],[Einpressen]]=1,2,IF(Scharniere[[#This Row],[Quick]]=1,3,IF(Scharniere[[#This Row],[Werkzeuglos]]=1,4,0))))=select!$F$48,1,0)</f>
        <v>1</v>
      </c>
      <c r="I4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1" s="149">
        <f>IF(AND(Scharniere[[#This Row],[Scharnierart]]=2,Scharniere[[#This Row],[Gruppenschlüssel]]=select!$A$318)=TRUE,1,0)</f>
        <v>0</v>
      </c>
      <c r="K411" s="221">
        <f ca="1">IF(select!$O$424&lt;6,1,0)</f>
        <v>1</v>
      </c>
      <c r="L411" s="139">
        <f>IF(select!$A$362=IF(Scharniere[[#This Row],[mit Dämpfung]]=1,1,IF(Scharniere[[#This Row],[ohne Dämpfung]]=1,2,IF(Scharniere[[#This Row],[ohne Feder]]=1,3,0))),1,0)</f>
        <v>1</v>
      </c>
      <c r="M411" s="135">
        <f>IF(Scharniere[[#This Row],[Bohrbild]]=select!$O$334,1,0)</f>
        <v>0</v>
      </c>
      <c r="N411" s="135">
        <f>IF(IF(Scharniere[[#This Row],[Anschrauben]]=1,1,IF(Scharniere[[#This Row],[Einpressen]]=1,2,IF(Scharniere[[#This Row],[Quick]]=1,3,IF(Scharniere[[#This Row],[Werkzeuglos]]=1,4,0))))=select!$E$362,1,0)</f>
        <v>0</v>
      </c>
      <c r="O4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1" s="298">
        <f>IF(AND(Scharniere[[#This Row],[Scharnierart]]=3,Scharniere[[#This Row],[Gruppenschlüssel]]=select!$A$747)=TRUE,1,0)</f>
        <v>0</v>
      </c>
      <c r="Q411" s="298">
        <f ca="1">IF(select!$O$945&lt;6,1,0)</f>
        <v>1</v>
      </c>
      <c r="R411" s="298">
        <f>IF(select!$A$778=IF(Scharniere[[#This Row],[mit Dämpfung]]=1,1,IF(Scharniere[[#This Row],[ohne Dämpfung]]=1,2,IF(Scharniere[[#This Row],[ohne Feder]]=1,3,0))),1,0)</f>
        <v>0</v>
      </c>
      <c r="S411" s="298">
        <f>IF(Scharniere[[#This Row],[Bohrbild]]=select!$A$755,1,0)</f>
        <v>0</v>
      </c>
      <c r="T411" s="298">
        <f>IF(IF(Scharniere[[#This Row],[Anschrauben]]=1,1,IF(Scharniere[[#This Row],[Einpressen]]=1,2,IF(Scharniere[[#This Row],[Quick]]=1,3,IF(Scharniere[[#This Row],[Werkzeuglos]]=1,4,0))))=select!$A$769,1,0)</f>
        <v>0</v>
      </c>
      <c r="U4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1" s="359">
        <f>IF(AND(Scharniere[[#This Row],[Scharnierart]]=4,Scharniere[[#This Row],[Gruppenschlüssel]]=select!$A$981)=TRUE,1,0)</f>
        <v>0</v>
      </c>
      <c r="W411" s="359">
        <f ca="1">IF(select!$O$1185&lt;6,1,0)</f>
        <v>1</v>
      </c>
      <c r="X411" s="359">
        <f>IF(select!$A$1012=IF(Scharniere[[#This Row],[mit Dämpfung]]=1,1,IF(Scharniere[[#This Row],[ohne Dämpfung]]=1,2,IF(Scharniere[[#This Row],[ohne Feder]]=1,3,0))),1,0)</f>
        <v>0</v>
      </c>
      <c r="Y411" s="359">
        <f>IF(Scharniere[[#This Row],[Bohrbild]]=select!$A$989,1,0)</f>
        <v>0</v>
      </c>
      <c r="Z411" s="359">
        <f>IF(IF(Scharniere[[#This Row],[Anschrauben]]=1,1,IF(Scharniere[[#This Row],[Einpressen]]=1,2,IF(Scharniere[[#This Row],[Quick]]=1,3,IF(Scharniere[[#This Row],[Werkzeuglos]]=1,4,0))))=select!$A$1003,1,0)</f>
        <v>0</v>
      </c>
      <c r="AA4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1" s="359">
        <f ca="1">IF(select!$K$980="*",Scharniere[[#This Row],[AG Ges2]],Scharniere[[#This Row],[AG Ges1]])</f>
        <v>0</v>
      </c>
      <c r="AE411" s="451">
        <f ca="1">IF(AND(Scharniere[[#This Row],[Scharnierart]]=select!$A$1485,Scharniere[[#This Row],[Gruppenschlüssel]]=select!$B$1485)=TRUE,1,0)</f>
        <v>0</v>
      </c>
      <c r="AF411" s="451">
        <f ca="1">IF(AND(Scharniere[[#This Row],[Scharnierart]]=select!$A$1486,Scharniere[[#This Row],[Gruppenschlüssel]]=select!$B$1486)=TRUE,1,0)</f>
        <v>0</v>
      </c>
      <c r="AG411" s="451">
        <f ca="1">IF(AND(Scharniere[[#This Row],[Scharnierart]]=select!$A$1487,Scharniere[[#This Row],[Gruppenschlüssel]]=select!$B$1487)=TRUE,1,0)</f>
        <v>0</v>
      </c>
      <c r="AH411" s="451">
        <f ca="1">IF(AND(Scharniere[[#This Row],[Scharnierart]]=select!$A$1488,Scharniere[[#This Row],[Gruppenschlüssel]]=select!$B$1488)=TRUE,1,0)</f>
        <v>0</v>
      </c>
      <c r="AI411" s="451">
        <f ca="1">IF(SUM(Scharniere[[#This Row],[konf Scharnier 1]:[konf Scharnier 4]])&gt;0,1,0)</f>
        <v>0</v>
      </c>
      <c r="AJ411" s="451"/>
      <c r="AK411" s="451"/>
      <c r="AL411" s="451"/>
      <c r="AM411" s="451"/>
      <c r="AN411" s="451"/>
      <c r="AO411" s="146">
        <v>1</v>
      </c>
      <c r="AP411" s="146">
        <v>3</v>
      </c>
      <c r="AQ411" s="10" t="str">
        <f ca="1">Sprache!$A$112</f>
        <v>Tiomos Scharnier TS Click-on</v>
      </c>
      <c r="AR411" t="str">
        <f ca="1">"160°, H-BB, K9.5, "&amp;Sprache!A181&amp;", ni"</f>
        <v>160°, H-BB, K9.5, Dübel, ni</v>
      </c>
      <c r="AS411" t="str">
        <f ca="1">Sprache!$A$103</f>
        <v>Tiomos Click-On Scharniere</v>
      </c>
      <c r="AT411">
        <v>9.5</v>
      </c>
      <c r="AU411" t="s">
        <v>10</v>
      </c>
      <c r="AV411">
        <v>160</v>
      </c>
      <c r="AW411" s="10">
        <v>1</v>
      </c>
      <c r="AX411">
        <v>0</v>
      </c>
      <c r="AY411">
        <v>0</v>
      </c>
      <c r="AZ411" s="10">
        <v>0</v>
      </c>
      <c r="BA411">
        <v>1</v>
      </c>
      <c r="BB411">
        <v>0</v>
      </c>
      <c r="BC411">
        <v>0</v>
      </c>
      <c r="BD411" s="143" t="s">
        <v>367</v>
      </c>
      <c r="BG411"/>
    </row>
    <row r="412" spans="1:59" ht="14.25" customHeight="1" x14ac:dyDescent="0.25">
      <c r="A412" s="37" t="str">
        <f>LEFT(Scharniere[[#This Row],[ArtikelNR]],4)</f>
        <v>F046</v>
      </c>
      <c r="B412" s="35" t="str">
        <f>MID(Scharniere[[#This Row],[ArtikelNR]],5,3)</f>
        <v>138</v>
      </c>
      <c r="C412" s="37" t="str">
        <f>RIGHT(Scharniere[[#This Row],[ArtikelNR]],3)</f>
        <v>808</v>
      </c>
      <c r="D412" s="35">
        <f>IF(AND(Scharniere[[#This Row],[Gruppenschlüssel]]=select!$A$44,Scharniere[[#This Row],[Scharnierart]]=1)=TRUE,1,0)</f>
        <v>0</v>
      </c>
      <c r="E4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2" s="35">
        <f>IF(select!$F$57=IF(Scharniere[[#This Row],[mit Dämpfung]]=1,1,IF(Scharniere[[#This Row],[ohne Dämpfung]]=1,2,IF(Scharniere[[#This Row],[ohne Feder]]=1,3,0))),1,0)</f>
        <v>1</v>
      </c>
      <c r="G412" s="35">
        <f>IF(Scharniere[[#This Row],[Bohrbild]]=select!$V$43,1,0)</f>
        <v>0</v>
      </c>
      <c r="H412" s="35">
        <f>IF(IF(Scharniere[[#This Row],[Anschrauben]]=1,1,IF(Scharniere[[#This Row],[Einpressen]]=1,2,IF(Scharniere[[#This Row],[Quick]]=1,3,IF(Scharniere[[#This Row],[Werkzeuglos]]=1,4,0))))=select!$F$48,1,0)</f>
        <v>1</v>
      </c>
      <c r="I4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2" s="149">
        <f>IF(AND(Scharniere[[#This Row],[Scharnierart]]=2,Scharniere[[#This Row],[Gruppenschlüssel]]=select!$A$318)=TRUE,1,0)</f>
        <v>0</v>
      </c>
      <c r="K412" s="221">
        <f ca="1">IF(select!$O$424&lt;6,1,0)</f>
        <v>1</v>
      </c>
      <c r="L412" s="139">
        <f>IF(select!$A$362=IF(Scharniere[[#This Row],[mit Dämpfung]]=1,1,IF(Scharniere[[#This Row],[ohne Dämpfung]]=1,2,IF(Scharniere[[#This Row],[ohne Feder]]=1,3,0))),1,0)</f>
        <v>0</v>
      </c>
      <c r="M412" s="135">
        <f>IF(Scharniere[[#This Row],[Bohrbild]]=select!$O$334,1,0)</f>
        <v>0</v>
      </c>
      <c r="N412" s="135">
        <f>IF(IF(Scharniere[[#This Row],[Anschrauben]]=1,1,IF(Scharniere[[#This Row],[Einpressen]]=1,2,IF(Scharniere[[#This Row],[Quick]]=1,3,IF(Scharniere[[#This Row],[Werkzeuglos]]=1,4,0))))=select!$E$362,1,0)</f>
        <v>0</v>
      </c>
      <c r="O4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2" s="298">
        <f>IF(AND(Scharniere[[#This Row],[Scharnierart]]=3,Scharniere[[#This Row],[Gruppenschlüssel]]=select!$A$747)=TRUE,1,0)</f>
        <v>0</v>
      </c>
      <c r="Q412" s="298">
        <f ca="1">IF(select!$O$945&lt;6,1,0)</f>
        <v>1</v>
      </c>
      <c r="R412" s="298">
        <f>IF(select!$A$778=IF(Scharniere[[#This Row],[mit Dämpfung]]=1,1,IF(Scharniere[[#This Row],[ohne Dämpfung]]=1,2,IF(Scharniere[[#This Row],[ohne Feder]]=1,3,0))),1,0)</f>
        <v>0</v>
      </c>
      <c r="S412" s="298">
        <f>IF(Scharniere[[#This Row],[Bohrbild]]=select!$A$755,1,0)</f>
        <v>0</v>
      </c>
      <c r="T412" s="298">
        <f>IF(IF(Scharniere[[#This Row],[Anschrauben]]=1,1,IF(Scharniere[[#This Row],[Einpressen]]=1,2,IF(Scharniere[[#This Row],[Quick]]=1,3,IF(Scharniere[[#This Row],[Werkzeuglos]]=1,4,0))))=select!$A$769,1,0)</f>
        <v>0</v>
      </c>
      <c r="U4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2" s="359">
        <f>IF(AND(Scharniere[[#This Row],[Scharnierart]]=4,Scharniere[[#This Row],[Gruppenschlüssel]]=select!$A$981)=TRUE,1,0)</f>
        <v>0</v>
      </c>
      <c r="W412" s="359">
        <f ca="1">IF(select!$O$1185&lt;6,1,0)</f>
        <v>1</v>
      </c>
      <c r="X412" s="359">
        <f>IF(select!$A$1012=IF(Scharniere[[#This Row],[mit Dämpfung]]=1,1,IF(Scharniere[[#This Row],[ohne Dämpfung]]=1,2,IF(Scharniere[[#This Row],[ohne Feder]]=1,3,0))),1,0)</f>
        <v>0</v>
      </c>
      <c r="Y412" s="359">
        <f>IF(Scharniere[[#This Row],[Bohrbild]]=select!$A$989,1,0)</f>
        <v>0</v>
      </c>
      <c r="Z412" s="359">
        <f>IF(IF(Scharniere[[#This Row],[Anschrauben]]=1,1,IF(Scharniere[[#This Row],[Einpressen]]=1,2,IF(Scharniere[[#This Row],[Quick]]=1,3,IF(Scharniere[[#This Row],[Werkzeuglos]]=1,4,0))))=select!$A$1003,1,0)</f>
        <v>0</v>
      </c>
      <c r="AA4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2" s="359">
        <f ca="1">IF(select!$K$980="*",Scharniere[[#This Row],[AG Ges2]],Scharniere[[#This Row],[AG Ges1]])</f>
        <v>0</v>
      </c>
      <c r="AE412" s="451">
        <f ca="1">IF(AND(Scharniere[[#This Row],[Scharnierart]]=select!$A$1485,Scharniere[[#This Row],[Gruppenschlüssel]]=select!$B$1485)=TRUE,1,0)</f>
        <v>0</v>
      </c>
      <c r="AF412" s="451">
        <f ca="1">IF(AND(Scharniere[[#This Row],[Scharnierart]]=select!$A$1486,Scharniere[[#This Row],[Gruppenschlüssel]]=select!$B$1486)=TRUE,1,0)</f>
        <v>0</v>
      </c>
      <c r="AG412" s="451">
        <f ca="1">IF(AND(Scharniere[[#This Row],[Scharnierart]]=select!$A$1487,Scharniere[[#This Row],[Gruppenschlüssel]]=select!$B$1487)=TRUE,1,0)</f>
        <v>0</v>
      </c>
      <c r="AH412" s="451">
        <f ca="1">IF(AND(Scharniere[[#This Row],[Scharnierart]]=select!$A$1488,Scharniere[[#This Row],[Gruppenschlüssel]]=select!$B$1488)=TRUE,1,0)</f>
        <v>0</v>
      </c>
      <c r="AI412" s="451">
        <f ca="1">IF(SUM(Scharniere[[#This Row],[konf Scharnier 1]:[konf Scharnier 4]])&gt;0,1,0)</f>
        <v>0</v>
      </c>
      <c r="AJ412" s="451"/>
      <c r="AK412" s="451"/>
      <c r="AL412" s="451"/>
      <c r="AM412" s="451"/>
      <c r="AN412" s="451"/>
      <c r="AO412" s="146">
        <v>1</v>
      </c>
      <c r="AP412" s="146">
        <v>3</v>
      </c>
      <c r="AQ412" s="10" t="str">
        <f ca="1">Sprache!$A$114</f>
        <v>Tiomos Scharnier TT Click-on</v>
      </c>
      <c r="AR412" t="str">
        <f ca="1">"160°, H-BB, K9.5, "&amp;Sprache!A181&amp;", ni"</f>
        <v>160°, H-BB, K9.5, Dübel, ni</v>
      </c>
      <c r="AS412" t="str">
        <f ca="1">Sprache!$A$103</f>
        <v>Tiomos Click-On Scharniere</v>
      </c>
      <c r="AT412">
        <v>9.5</v>
      </c>
      <c r="AU412" t="s">
        <v>10</v>
      </c>
      <c r="AV412">
        <v>160</v>
      </c>
      <c r="AW412" s="10">
        <v>0</v>
      </c>
      <c r="AX412">
        <v>0</v>
      </c>
      <c r="AY412">
        <v>1</v>
      </c>
      <c r="AZ412" s="10">
        <v>0</v>
      </c>
      <c r="BA412">
        <v>1</v>
      </c>
      <c r="BB412">
        <v>0</v>
      </c>
      <c r="BC412">
        <v>0</v>
      </c>
      <c r="BD412" s="143" t="s">
        <v>685</v>
      </c>
      <c r="BG412"/>
    </row>
    <row r="413" spans="1:59" ht="14.25" customHeight="1" x14ac:dyDescent="0.25">
      <c r="A413" s="37" t="str">
        <f>LEFT(Scharniere[[#This Row],[ArtikelNR]],4)</f>
        <v>F045</v>
      </c>
      <c r="B413" s="35" t="str">
        <f>MID(Scharniere[[#This Row],[ArtikelNR]],5,3)</f>
        <v>138</v>
      </c>
      <c r="C413" s="37" t="str">
        <f>RIGHT(Scharniere[[#This Row],[ArtikelNR]],3)</f>
        <v>683</v>
      </c>
      <c r="D413" s="35">
        <f>IF(AND(Scharniere[[#This Row],[Gruppenschlüssel]]=select!$A$44,Scharniere[[#This Row],[Scharnierart]]=1)=TRUE,1,0)</f>
        <v>0</v>
      </c>
      <c r="E4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3" s="35">
        <f>IF(select!$F$57=IF(Scharniere[[#This Row],[mit Dämpfung]]=1,1,IF(Scharniere[[#This Row],[ohne Dämpfung]]=1,2,IF(Scharniere[[#This Row],[ohne Feder]]=1,3,0))),1,0)</f>
        <v>0</v>
      </c>
      <c r="G413" s="35">
        <f>IF(Scharniere[[#This Row],[Bohrbild]]=select!$V$43,1,0)</f>
        <v>0</v>
      </c>
      <c r="H413" s="35">
        <f>IF(IF(Scharniere[[#This Row],[Anschrauben]]=1,1,IF(Scharniere[[#This Row],[Einpressen]]=1,2,IF(Scharniere[[#This Row],[Quick]]=1,3,IF(Scharniere[[#This Row],[Werkzeuglos]]=1,4,0))))=select!$F$48,1,0)</f>
        <v>0</v>
      </c>
      <c r="I4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3" s="149">
        <f>IF(AND(Scharniere[[#This Row],[Scharnierart]]=2,Scharniere[[#This Row],[Gruppenschlüssel]]=select!$A$318)=TRUE,1,0)</f>
        <v>0</v>
      </c>
      <c r="K413" s="221">
        <f ca="1">IF(select!$O$424&lt;6,1,0)</f>
        <v>1</v>
      </c>
      <c r="L413" s="139">
        <f>IF(select!$A$362=IF(Scharniere[[#This Row],[mit Dämpfung]]=1,1,IF(Scharniere[[#This Row],[ohne Dämpfung]]=1,2,IF(Scharniere[[#This Row],[ohne Feder]]=1,3,0))),1,0)</f>
        <v>0</v>
      </c>
      <c r="M413" s="135">
        <f>IF(Scharniere[[#This Row],[Bohrbild]]=select!$O$334,1,0)</f>
        <v>0</v>
      </c>
      <c r="N413" s="135">
        <f>IF(IF(Scharniere[[#This Row],[Anschrauben]]=1,1,IF(Scharniere[[#This Row],[Einpressen]]=1,2,IF(Scharniere[[#This Row],[Quick]]=1,3,IF(Scharniere[[#This Row],[Werkzeuglos]]=1,4,0))))=select!$E$362,1,0)</f>
        <v>1</v>
      </c>
      <c r="O4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3" s="298">
        <f>IF(AND(Scharniere[[#This Row],[Scharnierart]]=3,Scharniere[[#This Row],[Gruppenschlüssel]]=select!$A$747)=TRUE,1,0)</f>
        <v>0</v>
      </c>
      <c r="Q413" s="298">
        <f ca="1">IF(select!$O$945&lt;6,1,0)</f>
        <v>1</v>
      </c>
      <c r="R413" s="298">
        <f>IF(select!$A$778=IF(Scharniere[[#This Row],[mit Dämpfung]]=1,1,IF(Scharniere[[#This Row],[ohne Dämpfung]]=1,2,IF(Scharniere[[#This Row],[ohne Feder]]=1,3,0))),1,0)</f>
        <v>1</v>
      </c>
      <c r="S413" s="298">
        <f>IF(Scharniere[[#This Row],[Bohrbild]]=select!$A$755,1,0)</f>
        <v>0</v>
      </c>
      <c r="T413" s="298">
        <f>IF(IF(Scharniere[[#This Row],[Anschrauben]]=1,1,IF(Scharniere[[#This Row],[Einpressen]]=1,2,IF(Scharniere[[#This Row],[Quick]]=1,3,IF(Scharniere[[#This Row],[Werkzeuglos]]=1,4,0))))=select!$A$769,1,0)</f>
        <v>1</v>
      </c>
      <c r="U4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3" s="359">
        <f>IF(AND(Scharniere[[#This Row],[Scharnierart]]=4,Scharniere[[#This Row],[Gruppenschlüssel]]=select!$A$981)=TRUE,1,0)</f>
        <v>0</v>
      </c>
      <c r="W413" s="359">
        <f ca="1">IF(select!$O$1185&lt;6,1,0)</f>
        <v>1</v>
      </c>
      <c r="X413" s="359">
        <f>IF(select!$A$1012=IF(Scharniere[[#This Row],[mit Dämpfung]]=1,1,IF(Scharniere[[#This Row],[ohne Dämpfung]]=1,2,IF(Scharniere[[#This Row],[ohne Feder]]=1,3,0))),1,0)</f>
        <v>1</v>
      </c>
      <c r="Y413" s="359">
        <f>IF(Scharniere[[#This Row],[Bohrbild]]=select!$A$989,1,0)</f>
        <v>0</v>
      </c>
      <c r="Z413" s="359">
        <f>IF(IF(Scharniere[[#This Row],[Anschrauben]]=1,1,IF(Scharniere[[#This Row],[Einpressen]]=1,2,IF(Scharniere[[#This Row],[Quick]]=1,3,IF(Scharniere[[#This Row],[Werkzeuglos]]=1,4,0))))=select!$A$1003,1,0)</f>
        <v>1</v>
      </c>
      <c r="AA4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3" s="359">
        <f ca="1">IF(select!$K$980="*",Scharniere[[#This Row],[AG Ges2]],Scharniere[[#This Row],[AG Ges1]])</f>
        <v>0</v>
      </c>
      <c r="AE413" s="451">
        <f ca="1">IF(AND(Scharniere[[#This Row],[Scharnierart]]=select!$A$1485,Scharniere[[#This Row],[Gruppenschlüssel]]=select!$B$1485)=TRUE,1,0)</f>
        <v>0</v>
      </c>
      <c r="AF413" s="451">
        <f ca="1">IF(AND(Scharniere[[#This Row],[Scharnierart]]=select!$A$1486,Scharniere[[#This Row],[Gruppenschlüssel]]=select!$B$1486)=TRUE,1,0)</f>
        <v>0</v>
      </c>
      <c r="AG413" s="451">
        <f ca="1">IF(AND(Scharniere[[#This Row],[Scharnierart]]=select!$A$1487,Scharniere[[#This Row],[Gruppenschlüssel]]=select!$B$1487)=TRUE,1,0)</f>
        <v>0</v>
      </c>
      <c r="AH413" s="451">
        <f ca="1">IF(AND(Scharniere[[#This Row],[Scharnierart]]=select!$A$1488,Scharniere[[#This Row],[Gruppenschlüssel]]=select!$B$1488)=TRUE,1,0)</f>
        <v>0</v>
      </c>
      <c r="AI413" s="451">
        <f ca="1">IF(SUM(Scharniere[[#This Row],[konf Scharnier 1]:[konf Scharnier 4]])&gt;0,1,0)</f>
        <v>0</v>
      </c>
      <c r="AJ413" s="451"/>
      <c r="AK413" s="451"/>
      <c r="AL413" s="451"/>
      <c r="AM413" s="451"/>
      <c r="AN413" s="451"/>
      <c r="AO413" s="146">
        <v>1</v>
      </c>
      <c r="AP413" s="146">
        <v>3</v>
      </c>
      <c r="AQ413" s="10" t="str">
        <f ca="1">Sprache!$A$110</f>
        <v>Tiomos Scharnier T Click-on</v>
      </c>
      <c r="AR413" t="s">
        <v>1942</v>
      </c>
      <c r="AS413" t="str">
        <f ca="1">Sprache!$A$103</f>
        <v>Tiomos Click-On Scharniere</v>
      </c>
      <c r="AT413">
        <v>9.5</v>
      </c>
      <c r="AU413" t="s">
        <v>10</v>
      </c>
      <c r="AV413">
        <v>160</v>
      </c>
      <c r="AW413" s="10">
        <v>0</v>
      </c>
      <c r="AX413">
        <v>1</v>
      </c>
      <c r="AY413">
        <v>0</v>
      </c>
      <c r="AZ413" s="10">
        <v>1</v>
      </c>
      <c r="BA413">
        <v>0</v>
      </c>
      <c r="BB413">
        <v>0</v>
      </c>
      <c r="BC413">
        <v>0</v>
      </c>
      <c r="BD413" s="143" t="s">
        <v>530</v>
      </c>
      <c r="BG413"/>
    </row>
    <row r="414" spans="1:59" ht="14.25" customHeight="1" x14ac:dyDescent="0.25">
      <c r="A414" s="37" t="str">
        <f>LEFT(Scharniere[[#This Row],[ArtikelNR]],4)</f>
        <v>F028</v>
      </c>
      <c r="B414" s="35" t="str">
        <f>MID(Scharniere[[#This Row],[ArtikelNR]],5,3)</f>
        <v>138</v>
      </c>
      <c r="C414" s="37" t="str">
        <f>RIGHT(Scharniere[[#This Row],[ArtikelNR]],3)</f>
        <v>745</v>
      </c>
      <c r="D414" s="35">
        <f>IF(AND(Scharniere[[#This Row],[Gruppenschlüssel]]=select!$A$44,Scharniere[[#This Row],[Scharnierart]]=1)=TRUE,1,0)</f>
        <v>0</v>
      </c>
      <c r="E4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4" s="35">
        <f>IF(select!$F$57=IF(Scharniere[[#This Row],[mit Dämpfung]]=1,1,IF(Scharniere[[#This Row],[ohne Dämpfung]]=1,2,IF(Scharniere[[#This Row],[ohne Feder]]=1,3,0))),1,0)</f>
        <v>0</v>
      </c>
      <c r="G414" s="35">
        <f>IF(Scharniere[[#This Row],[Bohrbild]]=select!$V$43,1,0)</f>
        <v>0</v>
      </c>
      <c r="H414" s="35">
        <f>IF(IF(Scharniere[[#This Row],[Anschrauben]]=1,1,IF(Scharniere[[#This Row],[Einpressen]]=1,2,IF(Scharniere[[#This Row],[Quick]]=1,3,IF(Scharniere[[#This Row],[Werkzeuglos]]=1,4,0))))=select!$F$48,1,0)</f>
        <v>0</v>
      </c>
      <c r="I4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4" s="149">
        <f>IF(AND(Scharniere[[#This Row],[Scharnierart]]=2,Scharniere[[#This Row],[Gruppenschlüssel]]=select!$A$318)=TRUE,1,0)</f>
        <v>0</v>
      </c>
      <c r="K414" s="221">
        <f ca="1">IF(select!$O$424&lt;6,1,0)</f>
        <v>1</v>
      </c>
      <c r="L414" s="139">
        <f>IF(select!$A$362=IF(Scharniere[[#This Row],[mit Dämpfung]]=1,1,IF(Scharniere[[#This Row],[ohne Dämpfung]]=1,2,IF(Scharniere[[#This Row],[ohne Feder]]=1,3,0))),1,0)</f>
        <v>1</v>
      </c>
      <c r="M414" s="135">
        <f>IF(Scharniere[[#This Row],[Bohrbild]]=select!$O$334,1,0)</f>
        <v>0</v>
      </c>
      <c r="N414" s="135">
        <f>IF(IF(Scharniere[[#This Row],[Anschrauben]]=1,1,IF(Scharniere[[#This Row],[Einpressen]]=1,2,IF(Scharniere[[#This Row],[Quick]]=1,3,IF(Scharniere[[#This Row],[Werkzeuglos]]=1,4,0))))=select!$E$362,1,0)</f>
        <v>1</v>
      </c>
      <c r="O4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4" s="298">
        <f>IF(AND(Scharniere[[#This Row],[Scharnierart]]=3,Scharniere[[#This Row],[Gruppenschlüssel]]=select!$A$747)=TRUE,1,0)</f>
        <v>0</v>
      </c>
      <c r="Q414" s="298">
        <f ca="1">IF(select!$O$945&lt;6,1,0)</f>
        <v>1</v>
      </c>
      <c r="R414" s="298">
        <f>IF(select!$A$778=IF(Scharniere[[#This Row],[mit Dämpfung]]=1,1,IF(Scharniere[[#This Row],[ohne Dämpfung]]=1,2,IF(Scharniere[[#This Row],[ohne Feder]]=1,3,0))),1,0)</f>
        <v>0</v>
      </c>
      <c r="S414" s="298">
        <f>IF(Scharniere[[#This Row],[Bohrbild]]=select!$A$755,1,0)</f>
        <v>0</v>
      </c>
      <c r="T414" s="298">
        <f>IF(IF(Scharniere[[#This Row],[Anschrauben]]=1,1,IF(Scharniere[[#This Row],[Einpressen]]=1,2,IF(Scharniere[[#This Row],[Quick]]=1,3,IF(Scharniere[[#This Row],[Werkzeuglos]]=1,4,0))))=select!$A$769,1,0)</f>
        <v>1</v>
      </c>
      <c r="U4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4" s="359">
        <f>IF(AND(Scharniere[[#This Row],[Scharnierart]]=4,Scharniere[[#This Row],[Gruppenschlüssel]]=select!$A$981)=TRUE,1,0)</f>
        <v>0</v>
      </c>
      <c r="W414" s="359">
        <f ca="1">IF(select!$O$1185&lt;6,1,0)</f>
        <v>1</v>
      </c>
      <c r="X414" s="359">
        <f>IF(select!$A$1012=IF(Scharniere[[#This Row],[mit Dämpfung]]=1,1,IF(Scharniere[[#This Row],[ohne Dämpfung]]=1,2,IF(Scharniere[[#This Row],[ohne Feder]]=1,3,0))),1,0)</f>
        <v>0</v>
      </c>
      <c r="Y414" s="359">
        <f>IF(Scharniere[[#This Row],[Bohrbild]]=select!$A$989,1,0)</f>
        <v>0</v>
      </c>
      <c r="Z414" s="359">
        <f>IF(IF(Scharniere[[#This Row],[Anschrauben]]=1,1,IF(Scharniere[[#This Row],[Einpressen]]=1,2,IF(Scharniere[[#This Row],[Quick]]=1,3,IF(Scharniere[[#This Row],[Werkzeuglos]]=1,4,0))))=select!$A$1003,1,0)</f>
        <v>1</v>
      </c>
      <c r="AA4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4" s="359">
        <f ca="1">IF(select!$K$980="*",Scharniere[[#This Row],[AG Ges2]],Scharniere[[#This Row],[AG Ges1]])</f>
        <v>0</v>
      </c>
      <c r="AE414" s="451">
        <f ca="1">IF(AND(Scharniere[[#This Row],[Scharnierart]]=select!$A$1485,Scharniere[[#This Row],[Gruppenschlüssel]]=select!$B$1485)=TRUE,1,0)</f>
        <v>0</v>
      </c>
      <c r="AF414" s="451">
        <f ca="1">IF(AND(Scharniere[[#This Row],[Scharnierart]]=select!$A$1486,Scharniere[[#This Row],[Gruppenschlüssel]]=select!$B$1486)=TRUE,1,0)</f>
        <v>0</v>
      </c>
      <c r="AG414" s="451">
        <f ca="1">IF(AND(Scharniere[[#This Row],[Scharnierart]]=select!$A$1487,Scharniere[[#This Row],[Gruppenschlüssel]]=select!$B$1487)=TRUE,1,0)</f>
        <v>0</v>
      </c>
      <c r="AH414" s="451">
        <f ca="1">IF(AND(Scharniere[[#This Row],[Scharnierart]]=select!$A$1488,Scharniere[[#This Row],[Gruppenschlüssel]]=select!$B$1488)=TRUE,1,0)</f>
        <v>0</v>
      </c>
      <c r="AI414" s="451">
        <f ca="1">IF(SUM(Scharniere[[#This Row],[konf Scharnier 1]:[konf Scharnier 4]])&gt;0,1,0)</f>
        <v>0</v>
      </c>
      <c r="AJ414" s="451"/>
      <c r="AK414" s="451"/>
      <c r="AL414" s="451"/>
      <c r="AM414" s="451"/>
      <c r="AN414" s="451"/>
      <c r="AO414" s="146">
        <v>1</v>
      </c>
      <c r="AP414" s="146">
        <v>3</v>
      </c>
      <c r="AQ414" s="10" t="str">
        <f ca="1">Sprache!$A$112</f>
        <v>Tiomos Scharnier TS Click-on</v>
      </c>
      <c r="AR414" t="s">
        <v>1942</v>
      </c>
      <c r="AS414" t="str">
        <f ca="1">Sprache!$A$103</f>
        <v>Tiomos Click-On Scharniere</v>
      </c>
      <c r="AT414">
        <v>9.5</v>
      </c>
      <c r="AU414" s="34" t="s">
        <v>10</v>
      </c>
      <c r="AV414">
        <v>160</v>
      </c>
      <c r="AW414" s="10">
        <v>1</v>
      </c>
      <c r="AX414">
        <v>0</v>
      </c>
      <c r="AY414">
        <v>0</v>
      </c>
      <c r="AZ414" s="10">
        <v>1</v>
      </c>
      <c r="BA414">
        <v>0</v>
      </c>
      <c r="BB414">
        <v>0</v>
      </c>
      <c r="BC414">
        <v>0</v>
      </c>
      <c r="BD414" s="143" t="s">
        <v>364</v>
      </c>
      <c r="BG414"/>
    </row>
    <row r="415" spans="1:59" ht="14.25" customHeight="1" x14ac:dyDescent="0.25">
      <c r="A415" s="37" t="str">
        <f>LEFT(Scharniere[[#This Row],[ArtikelNR]],4)</f>
        <v>F046</v>
      </c>
      <c r="B415" s="35" t="str">
        <f>MID(Scharniere[[#This Row],[ArtikelNR]],5,3)</f>
        <v>138</v>
      </c>
      <c r="C415" s="37" t="str">
        <f>RIGHT(Scharniere[[#This Row],[ArtikelNR]],3)</f>
        <v>805</v>
      </c>
      <c r="D415" s="35">
        <f>IF(AND(Scharniere[[#This Row],[Gruppenschlüssel]]=select!$A$44,Scharniere[[#This Row],[Scharnierart]]=1)=TRUE,1,0)</f>
        <v>0</v>
      </c>
      <c r="E4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5" s="35">
        <f>IF(select!$F$57=IF(Scharniere[[#This Row],[mit Dämpfung]]=1,1,IF(Scharniere[[#This Row],[ohne Dämpfung]]=1,2,IF(Scharniere[[#This Row],[ohne Feder]]=1,3,0))),1,0)</f>
        <v>1</v>
      </c>
      <c r="G415" s="35">
        <f>IF(Scharniere[[#This Row],[Bohrbild]]=select!$V$43,1,0)</f>
        <v>0</v>
      </c>
      <c r="H415" s="35">
        <f>IF(IF(Scharniere[[#This Row],[Anschrauben]]=1,1,IF(Scharniere[[#This Row],[Einpressen]]=1,2,IF(Scharniere[[#This Row],[Quick]]=1,3,IF(Scharniere[[#This Row],[Werkzeuglos]]=1,4,0))))=select!$F$48,1,0)</f>
        <v>0</v>
      </c>
      <c r="I4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5" s="149">
        <f>IF(AND(Scharniere[[#This Row],[Scharnierart]]=2,Scharniere[[#This Row],[Gruppenschlüssel]]=select!$A$318)=TRUE,1,0)</f>
        <v>0</v>
      </c>
      <c r="K415" s="221">
        <f ca="1">IF(select!$O$424&lt;6,1,0)</f>
        <v>1</v>
      </c>
      <c r="L415" s="139">
        <f>IF(select!$A$362=IF(Scharniere[[#This Row],[mit Dämpfung]]=1,1,IF(Scharniere[[#This Row],[ohne Dämpfung]]=1,2,IF(Scharniere[[#This Row],[ohne Feder]]=1,3,0))),1,0)</f>
        <v>0</v>
      </c>
      <c r="M415" s="135">
        <f>IF(Scharniere[[#This Row],[Bohrbild]]=select!$O$334,1,0)</f>
        <v>0</v>
      </c>
      <c r="N415" s="135">
        <f>IF(IF(Scharniere[[#This Row],[Anschrauben]]=1,1,IF(Scharniere[[#This Row],[Einpressen]]=1,2,IF(Scharniere[[#This Row],[Quick]]=1,3,IF(Scharniere[[#This Row],[Werkzeuglos]]=1,4,0))))=select!$E$362,1,0)</f>
        <v>1</v>
      </c>
      <c r="O4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5" s="298">
        <f>IF(AND(Scharniere[[#This Row],[Scharnierart]]=3,Scharniere[[#This Row],[Gruppenschlüssel]]=select!$A$747)=TRUE,1,0)</f>
        <v>0</v>
      </c>
      <c r="Q415" s="298">
        <f ca="1">IF(select!$O$945&lt;6,1,0)</f>
        <v>1</v>
      </c>
      <c r="R415" s="298">
        <f>IF(select!$A$778=IF(Scharniere[[#This Row],[mit Dämpfung]]=1,1,IF(Scharniere[[#This Row],[ohne Dämpfung]]=1,2,IF(Scharniere[[#This Row],[ohne Feder]]=1,3,0))),1,0)</f>
        <v>0</v>
      </c>
      <c r="S415" s="298">
        <f>IF(Scharniere[[#This Row],[Bohrbild]]=select!$A$755,1,0)</f>
        <v>0</v>
      </c>
      <c r="T415" s="298">
        <f>IF(IF(Scharniere[[#This Row],[Anschrauben]]=1,1,IF(Scharniere[[#This Row],[Einpressen]]=1,2,IF(Scharniere[[#This Row],[Quick]]=1,3,IF(Scharniere[[#This Row],[Werkzeuglos]]=1,4,0))))=select!$A$769,1,0)</f>
        <v>1</v>
      </c>
      <c r="U4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5" s="359">
        <f>IF(AND(Scharniere[[#This Row],[Scharnierart]]=4,Scharniere[[#This Row],[Gruppenschlüssel]]=select!$A$981)=TRUE,1,0)</f>
        <v>0</v>
      </c>
      <c r="W415" s="359">
        <f ca="1">IF(select!$O$1185&lt;6,1,0)</f>
        <v>1</v>
      </c>
      <c r="X415" s="359">
        <f>IF(select!$A$1012=IF(Scharniere[[#This Row],[mit Dämpfung]]=1,1,IF(Scharniere[[#This Row],[ohne Dämpfung]]=1,2,IF(Scharniere[[#This Row],[ohne Feder]]=1,3,0))),1,0)</f>
        <v>0</v>
      </c>
      <c r="Y415" s="359">
        <f>IF(Scharniere[[#This Row],[Bohrbild]]=select!$A$989,1,0)</f>
        <v>0</v>
      </c>
      <c r="Z415" s="359">
        <f>IF(IF(Scharniere[[#This Row],[Anschrauben]]=1,1,IF(Scharniere[[#This Row],[Einpressen]]=1,2,IF(Scharniere[[#This Row],[Quick]]=1,3,IF(Scharniere[[#This Row],[Werkzeuglos]]=1,4,0))))=select!$A$1003,1,0)</f>
        <v>1</v>
      </c>
      <c r="AA4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5" s="359">
        <f ca="1">IF(select!$K$980="*",Scharniere[[#This Row],[AG Ges2]],Scharniere[[#This Row],[AG Ges1]])</f>
        <v>0</v>
      </c>
      <c r="AE415" s="451">
        <f ca="1">IF(AND(Scharniere[[#This Row],[Scharnierart]]=select!$A$1485,Scharniere[[#This Row],[Gruppenschlüssel]]=select!$B$1485)=TRUE,1,0)</f>
        <v>0</v>
      </c>
      <c r="AF415" s="451">
        <f ca="1">IF(AND(Scharniere[[#This Row],[Scharnierart]]=select!$A$1486,Scharniere[[#This Row],[Gruppenschlüssel]]=select!$B$1486)=TRUE,1,0)</f>
        <v>0</v>
      </c>
      <c r="AG415" s="451">
        <f ca="1">IF(AND(Scharniere[[#This Row],[Scharnierart]]=select!$A$1487,Scharniere[[#This Row],[Gruppenschlüssel]]=select!$B$1487)=TRUE,1,0)</f>
        <v>0</v>
      </c>
      <c r="AH415" s="451">
        <f ca="1">IF(AND(Scharniere[[#This Row],[Scharnierart]]=select!$A$1488,Scharniere[[#This Row],[Gruppenschlüssel]]=select!$B$1488)=TRUE,1,0)</f>
        <v>0</v>
      </c>
      <c r="AI415" s="451">
        <f ca="1">IF(SUM(Scharniere[[#This Row],[konf Scharnier 1]:[konf Scharnier 4]])&gt;0,1,0)</f>
        <v>0</v>
      </c>
      <c r="AJ415" s="451"/>
      <c r="AK415" s="451"/>
      <c r="AL415" s="451"/>
      <c r="AM415" s="451"/>
      <c r="AN415" s="451"/>
      <c r="AO415" s="146">
        <v>1</v>
      </c>
      <c r="AP415" s="146">
        <v>3</v>
      </c>
      <c r="AQ415" s="10" t="str">
        <f ca="1">Sprache!$A$114</f>
        <v>Tiomos Scharnier TT Click-on</v>
      </c>
      <c r="AR415" t="s">
        <v>1942</v>
      </c>
      <c r="AS415" t="str">
        <f ca="1">Sprache!$A$103</f>
        <v>Tiomos Click-On Scharniere</v>
      </c>
      <c r="AT415">
        <v>9.5</v>
      </c>
      <c r="AU415" s="34" t="s">
        <v>10</v>
      </c>
      <c r="AV415">
        <v>160</v>
      </c>
      <c r="AW415" s="10">
        <v>0</v>
      </c>
      <c r="AX415">
        <v>0</v>
      </c>
      <c r="AY415">
        <v>1</v>
      </c>
      <c r="AZ415" s="10">
        <v>1</v>
      </c>
      <c r="BA415">
        <v>0</v>
      </c>
      <c r="BB415">
        <v>0</v>
      </c>
      <c r="BC415">
        <v>0</v>
      </c>
      <c r="BD415" s="143" t="s">
        <v>682</v>
      </c>
      <c r="BG415"/>
    </row>
    <row r="416" spans="1:59" ht="14.25" customHeight="1" x14ac:dyDescent="0.25">
      <c r="A416" s="37" t="str">
        <f>LEFT(Scharniere[[#This Row],[ArtikelNR]],4)</f>
        <v>F034</v>
      </c>
      <c r="B416" s="35" t="str">
        <f>MID(Scharniere[[#This Row],[ArtikelNR]],5,3)</f>
        <v>139</v>
      </c>
      <c r="C416" s="37" t="str">
        <f>RIGHT(Scharniere[[#This Row],[ArtikelNR]],3)</f>
        <v>493</v>
      </c>
      <c r="D416" s="35">
        <f>IF(AND(Scharniere[[#This Row],[Gruppenschlüssel]]=select!$A$44,Scharniere[[#This Row],[Scharnierart]]=1)=TRUE,1,0)</f>
        <v>0</v>
      </c>
      <c r="E4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6" s="35">
        <f>IF(select!$F$57=IF(Scharniere[[#This Row],[mit Dämpfung]]=1,1,IF(Scharniere[[#This Row],[ohne Dämpfung]]=1,2,IF(Scharniere[[#This Row],[ohne Feder]]=1,3,0))),1,0)</f>
        <v>0</v>
      </c>
      <c r="G416" s="35">
        <f>IF(Scharniere[[#This Row],[Bohrbild]]=select!$V$43,1,0)</f>
        <v>0</v>
      </c>
      <c r="H416" s="35">
        <f>IF(IF(Scharniere[[#This Row],[Anschrauben]]=1,1,IF(Scharniere[[#This Row],[Einpressen]]=1,2,IF(Scharniere[[#This Row],[Quick]]=1,3,IF(Scharniere[[#This Row],[Werkzeuglos]]=1,4,0))))=select!$F$48,1,0)</f>
        <v>0</v>
      </c>
      <c r="I4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6" s="149">
        <f>IF(AND(Scharniere[[#This Row],[Scharnierart]]=2,Scharniere[[#This Row],[Gruppenschlüssel]]=select!$A$318)=TRUE,1,0)</f>
        <v>0</v>
      </c>
      <c r="K416" s="221">
        <f ca="1">IF(select!$O$424&lt;6,1,0)</f>
        <v>1</v>
      </c>
      <c r="L416" s="139">
        <f>IF(select!$A$362=IF(Scharniere[[#This Row],[mit Dämpfung]]=1,1,IF(Scharniere[[#This Row],[ohne Dämpfung]]=1,2,IF(Scharniere[[#This Row],[ohne Feder]]=1,3,0))),1,0)</f>
        <v>0</v>
      </c>
      <c r="M416" s="135">
        <f>IF(Scharniere[[#This Row],[Bohrbild]]=select!$O$334,1,0)</f>
        <v>0</v>
      </c>
      <c r="N416" s="135">
        <f>IF(IF(Scharniere[[#This Row],[Anschrauben]]=1,1,IF(Scharniere[[#This Row],[Einpressen]]=1,2,IF(Scharniere[[#This Row],[Quick]]=1,3,IF(Scharniere[[#This Row],[Werkzeuglos]]=1,4,0))))=select!$E$362,1,0)</f>
        <v>0</v>
      </c>
      <c r="O4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6" s="298">
        <f>IF(AND(Scharniere[[#This Row],[Scharnierart]]=3,Scharniere[[#This Row],[Gruppenschlüssel]]=select!$A$747)=TRUE,1,0)</f>
        <v>0</v>
      </c>
      <c r="Q416" s="298">
        <f ca="1">IF(select!$O$945&lt;6,1,0)</f>
        <v>1</v>
      </c>
      <c r="R416" s="298">
        <f>IF(select!$A$778=IF(Scharniere[[#This Row],[mit Dämpfung]]=1,1,IF(Scharniere[[#This Row],[ohne Dämpfung]]=1,2,IF(Scharniere[[#This Row],[ohne Feder]]=1,3,0))),1,0)</f>
        <v>1</v>
      </c>
      <c r="S416" s="298">
        <f>IF(Scharniere[[#This Row],[Bohrbild]]=select!$A$755,1,0)</f>
        <v>0</v>
      </c>
      <c r="T416" s="298">
        <f>IF(IF(Scharniere[[#This Row],[Anschrauben]]=1,1,IF(Scharniere[[#This Row],[Einpressen]]=1,2,IF(Scharniere[[#This Row],[Quick]]=1,3,IF(Scharniere[[#This Row],[Werkzeuglos]]=1,4,0))))=select!$A$769,1,0)</f>
        <v>0</v>
      </c>
      <c r="U4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6" s="359">
        <f>IF(AND(Scharniere[[#This Row],[Scharnierart]]=4,Scharniere[[#This Row],[Gruppenschlüssel]]=select!$A$981)=TRUE,1,0)</f>
        <v>0</v>
      </c>
      <c r="W416" s="359">
        <f ca="1">IF(select!$O$1185&lt;6,1,0)</f>
        <v>1</v>
      </c>
      <c r="X416" s="359">
        <f>IF(select!$A$1012=IF(Scharniere[[#This Row],[mit Dämpfung]]=1,1,IF(Scharniere[[#This Row],[ohne Dämpfung]]=1,2,IF(Scharniere[[#This Row],[ohne Feder]]=1,3,0))),1,0)</f>
        <v>1</v>
      </c>
      <c r="Y416" s="359">
        <f>IF(Scharniere[[#This Row],[Bohrbild]]=select!$A$989,1,0)</f>
        <v>0</v>
      </c>
      <c r="Z416" s="359">
        <f>IF(IF(Scharniere[[#This Row],[Anschrauben]]=1,1,IF(Scharniere[[#This Row],[Einpressen]]=1,2,IF(Scharniere[[#This Row],[Quick]]=1,3,IF(Scharniere[[#This Row],[Werkzeuglos]]=1,4,0))))=select!$A$1003,1,0)</f>
        <v>0</v>
      </c>
      <c r="AA4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6" s="359">
        <f ca="1">IF(select!$K$980="*",Scharniere[[#This Row],[AG Ges2]],Scharniere[[#This Row],[AG Ges1]])</f>
        <v>0</v>
      </c>
      <c r="AE416" s="451">
        <f ca="1">IF(AND(Scharniere[[#This Row],[Scharnierart]]=select!$A$1485,Scharniere[[#This Row],[Gruppenschlüssel]]=select!$B$1485)=TRUE,1,0)</f>
        <v>0</v>
      </c>
      <c r="AF416" s="451">
        <f ca="1">IF(AND(Scharniere[[#This Row],[Scharnierart]]=select!$A$1486,Scharniere[[#This Row],[Gruppenschlüssel]]=select!$B$1486)=TRUE,1,0)</f>
        <v>0</v>
      </c>
      <c r="AG416" s="451">
        <f ca="1">IF(AND(Scharniere[[#This Row],[Scharnierart]]=select!$A$1487,Scharniere[[#This Row],[Gruppenschlüssel]]=select!$B$1487)=TRUE,1,0)</f>
        <v>0</v>
      </c>
      <c r="AH416" s="451">
        <f ca="1">IF(AND(Scharniere[[#This Row],[Scharnierart]]=select!$A$1488,Scharniere[[#This Row],[Gruppenschlüssel]]=select!$B$1488)=TRUE,1,0)</f>
        <v>0</v>
      </c>
      <c r="AI416" s="451">
        <f ca="1">IF(SUM(Scharniere[[#This Row],[konf Scharnier 1]:[konf Scharnier 4]])&gt;0,1,0)</f>
        <v>0</v>
      </c>
      <c r="AJ416" s="451"/>
      <c r="AK416" s="451"/>
      <c r="AL416" s="451"/>
      <c r="AM416" s="451"/>
      <c r="AN416" s="451"/>
      <c r="AO416" s="146">
        <v>1</v>
      </c>
      <c r="AP416" s="146">
        <v>3</v>
      </c>
      <c r="AQ416" s="10" t="str">
        <f ca="1">Sprache!$A$111</f>
        <v>Tiomos Scharnier T Impresso</v>
      </c>
      <c r="AR416" t="s">
        <v>1943</v>
      </c>
      <c r="AS416" t="str">
        <f ca="1">Sprache!$A$116</f>
        <v>Tiomos Impresso Scharniere</v>
      </c>
      <c r="AT416">
        <v>9.5</v>
      </c>
      <c r="AU416" t="s">
        <v>10</v>
      </c>
      <c r="AV416">
        <v>160</v>
      </c>
      <c r="AW416" s="10">
        <v>0</v>
      </c>
      <c r="AX416">
        <v>1</v>
      </c>
      <c r="AY416">
        <v>0</v>
      </c>
      <c r="AZ416" s="10">
        <v>0</v>
      </c>
      <c r="BA416">
        <v>0</v>
      </c>
      <c r="BB416">
        <v>0</v>
      </c>
      <c r="BC416">
        <v>1</v>
      </c>
      <c r="BD416" s="143" t="s">
        <v>174</v>
      </c>
      <c r="BG416"/>
    </row>
    <row r="417" spans="1:59" ht="14.25" customHeight="1" x14ac:dyDescent="0.25">
      <c r="A417" s="37" t="str">
        <f>LEFT(Scharniere[[#This Row],[ArtikelNR]],4)</f>
        <v>F034</v>
      </c>
      <c r="B417" s="35" t="str">
        <f>MID(Scharniere[[#This Row],[ArtikelNR]],5,3)</f>
        <v>139</v>
      </c>
      <c r="C417" s="37" t="str">
        <f>RIGHT(Scharniere[[#This Row],[ArtikelNR]],3)</f>
        <v>493</v>
      </c>
      <c r="D417" s="35">
        <f>IF(AND(Scharniere[[#This Row],[Gruppenschlüssel]]=select!$A$44,Scharniere[[#This Row],[Scharnierart]]=1)=TRUE,1,0)</f>
        <v>0</v>
      </c>
      <c r="E4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7" s="35">
        <f>IF(select!$F$57=IF(Scharniere[[#This Row],[mit Dämpfung]]=1,1,IF(Scharniere[[#This Row],[ohne Dämpfung]]=1,2,IF(Scharniere[[#This Row],[ohne Feder]]=1,3,0))),1,0)</f>
        <v>0</v>
      </c>
      <c r="G417" s="35">
        <f>IF(Scharniere[[#This Row],[Bohrbild]]=select!$V$43,1,0)</f>
        <v>0</v>
      </c>
      <c r="H417" s="35">
        <f>IF(IF(Scharniere[[#This Row],[Anschrauben]]=1,1,IF(Scharniere[[#This Row],[Einpressen]]=1,2,IF(Scharniere[[#This Row],[Quick]]=1,3,IF(Scharniere[[#This Row],[Werkzeuglos]]=1,4,0))))=select!$F$48,1,0)</f>
        <v>0</v>
      </c>
      <c r="I4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7" s="149">
        <f>IF(AND(Scharniere[[#This Row],[Scharnierart]]=2,Scharniere[[#This Row],[Gruppenschlüssel]]=select!$A$318)=TRUE,1,0)</f>
        <v>0</v>
      </c>
      <c r="K417" s="221">
        <f ca="1">IF(select!$O$424&lt;6,1,0)</f>
        <v>1</v>
      </c>
      <c r="L417" s="139">
        <f>IF(select!$A$362=IF(Scharniere[[#This Row],[mit Dämpfung]]=1,1,IF(Scharniere[[#This Row],[ohne Dämpfung]]=1,2,IF(Scharniere[[#This Row],[ohne Feder]]=1,3,0))),1,0)</f>
        <v>0</v>
      </c>
      <c r="M417" s="135">
        <f>IF(Scharniere[[#This Row],[Bohrbild]]=select!$O$334,1,0)</f>
        <v>0</v>
      </c>
      <c r="N417" s="135">
        <f>IF(IF(Scharniere[[#This Row],[Anschrauben]]=1,1,IF(Scharniere[[#This Row],[Einpressen]]=1,2,IF(Scharniere[[#This Row],[Quick]]=1,3,IF(Scharniere[[#This Row],[Werkzeuglos]]=1,4,0))))=select!$E$362,1,0)</f>
        <v>0</v>
      </c>
      <c r="O4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7" s="298">
        <f>IF(AND(Scharniere[[#This Row],[Scharnierart]]=3,Scharniere[[#This Row],[Gruppenschlüssel]]=select!$A$747)=TRUE,1,0)</f>
        <v>0</v>
      </c>
      <c r="Q417" s="298">
        <f ca="1">IF(select!$O$945&lt;6,1,0)</f>
        <v>1</v>
      </c>
      <c r="R417" s="298">
        <f>IF(select!$A$778=IF(Scharniere[[#This Row],[mit Dämpfung]]=1,1,IF(Scharniere[[#This Row],[ohne Dämpfung]]=1,2,IF(Scharniere[[#This Row],[ohne Feder]]=1,3,0))),1,0)</f>
        <v>1</v>
      </c>
      <c r="S417" s="298">
        <f>IF(Scharniere[[#This Row],[Bohrbild]]=select!$A$755,1,0)</f>
        <v>0</v>
      </c>
      <c r="T417" s="298">
        <f>IF(IF(Scharniere[[#This Row],[Anschrauben]]=1,1,IF(Scharniere[[#This Row],[Einpressen]]=1,2,IF(Scharniere[[#This Row],[Quick]]=1,3,IF(Scharniere[[#This Row],[Werkzeuglos]]=1,4,0))))=select!$A$769,1,0)</f>
        <v>0</v>
      </c>
      <c r="U4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7" s="359">
        <f>IF(AND(Scharniere[[#This Row],[Scharnierart]]=4,Scharniere[[#This Row],[Gruppenschlüssel]]=select!$A$981)=TRUE,1,0)</f>
        <v>0</v>
      </c>
      <c r="W417" s="359">
        <f ca="1">IF(select!$O$1185&lt;6,1,0)</f>
        <v>1</v>
      </c>
      <c r="X417" s="359">
        <f>IF(select!$A$1012=IF(Scharniere[[#This Row],[mit Dämpfung]]=1,1,IF(Scharniere[[#This Row],[ohne Dämpfung]]=1,2,IF(Scharniere[[#This Row],[ohne Feder]]=1,3,0))),1,0)</f>
        <v>1</v>
      </c>
      <c r="Y417" s="359">
        <f>IF(Scharniere[[#This Row],[Bohrbild]]=select!$A$989,1,0)</f>
        <v>0</v>
      </c>
      <c r="Z417" s="359">
        <f>IF(IF(Scharniere[[#This Row],[Anschrauben]]=1,1,IF(Scharniere[[#This Row],[Einpressen]]=1,2,IF(Scharniere[[#This Row],[Quick]]=1,3,IF(Scharniere[[#This Row],[Werkzeuglos]]=1,4,0))))=select!$A$1003,1,0)</f>
        <v>0</v>
      </c>
      <c r="AA4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7" s="359">
        <f ca="1">IF(select!$K$980="*",Scharniere[[#This Row],[AG Ges2]],Scharniere[[#This Row],[AG Ges1]])</f>
        <v>0</v>
      </c>
      <c r="AE417" s="451">
        <f ca="1">IF(AND(Scharniere[[#This Row],[Scharnierart]]=select!$A$1485,Scharniere[[#This Row],[Gruppenschlüssel]]=select!$B$1485)=TRUE,1,0)</f>
        <v>0</v>
      </c>
      <c r="AF417" s="451">
        <f ca="1">IF(AND(Scharniere[[#This Row],[Scharnierart]]=select!$A$1486,Scharniere[[#This Row],[Gruppenschlüssel]]=select!$B$1486)=TRUE,1,0)</f>
        <v>0</v>
      </c>
      <c r="AG417" s="451">
        <f ca="1">IF(AND(Scharniere[[#This Row],[Scharnierart]]=select!$A$1487,Scharniere[[#This Row],[Gruppenschlüssel]]=select!$B$1487)=TRUE,1,0)</f>
        <v>0</v>
      </c>
      <c r="AH417" s="451">
        <f ca="1">IF(AND(Scharniere[[#This Row],[Scharnierart]]=select!$A$1488,Scharniere[[#This Row],[Gruppenschlüssel]]=select!$B$1488)=TRUE,1,0)</f>
        <v>0</v>
      </c>
      <c r="AI417" s="451">
        <f ca="1">IF(SUM(Scharniere[[#This Row],[konf Scharnier 1]:[konf Scharnier 4]])&gt;0,1,0)</f>
        <v>0</v>
      </c>
      <c r="AJ417" s="451"/>
      <c r="AK417" s="451"/>
      <c r="AL417" s="451"/>
      <c r="AM417" s="451"/>
      <c r="AN417" s="451"/>
      <c r="AO417" s="146">
        <v>1</v>
      </c>
      <c r="AP417" s="146">
        <v>3</v>
      </c>
      <c r="AQ417" s="10" t="str">
        <f ca="1">Sprache!$A$111</f>
        <v>Tiomos Scharnier T Impresso</v>
      </c>
      <c r="AR417" t="s">
        <v>1943</v>
      </c>
      <c r="AS417" t="str">
        <f ca="1">Sprache!$A$116</f>
        <v>Tiomos Impresso Scharniere</v>
      </c>
      <c r="AT417">
        <v>9.5</v>
      </c>
      <c r="AU417" s="34" t="s">
        <v>11</v>
      </c>
      <c r="AV417">
        <v>160</v>
      </c>
      <c r="AW417" s="10">
        <v>0</v>
      </c>
      <c r="AX417">
        <v>1</v>
      </c>
      <c r="AY417">
        <v>0</v>
      </c>
      <c r="AZ417" s="10">
        <v>0</v>
      </c>
      <c r="BA417">
        <v>0</v>
      </c>
      <c r="BB417">
        <v>0</v>
      </c>
      <c r="BC417">
        <v>1</v>
      </c>
      <c r="BD417" s="143" t="s">
        <v>174</v>
      </c>
      <c r="BG417"/>
    </row>
    <row r="418" spans="1:59" ht="14.25" customHeight="1" x14ac:dyDescent="0.25">
      <c r="A418" s="37" t="str">
        <f>LEFT(Scharniere[[#This Row],[ArtikelNR]],4)</f>
        <v>F017</v>
      </c>
      <c r="B418" s="35" t="str">
        <f>MID(Scharniere[[#This Row],[ArtikelNR]],5,3)</f>
        <v>139</v>
      </c>
      <c r="C418" s="37" t="str">
        <f>RIGHT(Scharniere[[#This Row],[ArtikelNR]],3)</f>
        <v>522</v>
      </c>
      <c r="D418" s="35">
        <f>IF(AND(Scharniere[[#This Row],[Gruppenschlüssel]]=select!$A$44,Scharniere[[#This Row],[Scharnierart]]=1)=TRUE,1,0)</f>
        <v>0</v>
      </c>
      <c r="E4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8" s="35">
        <f>IF(select!$F$57=IF(Scharniere[[#This Row],[mit Dämpfung]]=1,1,IF(Scharniere[[#This Row],[ohne Dämpfung]]=1,2,IF(Scharniere[[#This Row],[ohne Feder]]=1,3,0))),1,0)</f>
        <v>0</v>
      </c>
      <c r="G418" s="35">
        <f>IF(Scharniere[[#This Row],[Bohrbild]]=select!$V$43,1,0)</f>
        <v>0</v>
      </c>
      <c r="H418" s="35">
        <f>IF(IF(Scharniere[[#This Row],[Anschrauben]]=1,1,IF(Scharniere[[#This Row],[Einpressen]]=1,2,IF(Scharniere[[#This Row],[Quick]]=1,3,IF(Scharniere[[#This Row],[Werkzeuglos]]=1,4,0))))=select!$F$48,1,0)</f>
        <v>0</v>
      </c>
      <c r="I4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8" s="149">
        <f>IF(AND(Scharniere[[#This Row],[Scharnierart]]=2,Scharniere[[#This Row],[Gruppenschlüssel]]=select!$A$318)=TRUE,1,0)</f>
        <v>0</v>
      </c>
      <c r="K418" s="221">
        <f ca="1">IF(select!$O$424&lt;6,1,0)</f>
        <v>1</v>
      </c>
      <c r="L418" s="139">
        <f>IF(select!$A$362=IF(Scharniere[[#This Row],[mit Dämpfung]]=1,1,IF(Scharniere[[#This Row],[ohne Dämpfung]]=1,2,IF(Scharniere[[#This Row],[ohne Feder]]=1,3,0))),1,0)</f>
        <v>1</v>
      </c>
      <c r="M418" s="135">
        <f>IF(Scharniere[[#This Row],[Bohrbild]]=select!$O$334,1,0)</f>
        <v>0</v>
      </c>
      <c r="N418" s="135">
        <f>IF(IF(Scharniere[[#This Row],[Anschrauben]]=1,1,IF(Scharniere[[#This Row],[Einpressen]]=1,2,IF(Scharniere[[#This Row],[Quick]]=1,3,IF(Scharniere[[#This Row],[Werkzeuglos]]=1,4,0))))=select!$E$362,1,0)</f>
        <v>0</v>
      </c>
      <c r="O4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8" s="298">
        <f>IF(AND(Scharniere[[#This Row],[Scharnierart]]=3,Scharniere[[#This Row],[Gruppenschlüssel]]=select!$A$747)=TRUE,1,0)</f>
        <v>0</v>
      </c>
      <c r="Q418" s="298">
        <f ca="1">IF(select!$O$945&lt;6,1,0)</f>
        <v>1</v>
      </c>
      <c r="R418" s="298">
        <f>IF(select!$A$778=IF(Scharniere[[#This Row],[mit Dämpfung]]=1,1,IF(Scharniere[[#This Row],[ohne Dämpfung]]=1,2,IF(Scharniere[[#This Row],[ohne Feder]]=1,3,0))),1,0)</f>
        <v>0</v>
      </c>
      <c r="S418" s="298">
        <f>IF(Scharniere[[#This Row],[Bohrbild]]=select!$A$755,1,0)</f>
        <v>0</v>
      </c>
      <c r="T418" s="298">
        <f>IF(IF(Scharniere[[#This Row],[Anschrauben]]=1,1,IF(Scharniere[[#This Row],[Einpressen]]=1,2,IF(Scharniere[[#This Row],[Quick]]=1,3,IF(Scharniere[[#This Row],[Werkzeuglos]]=1,4,0))))=select!$A$769,1,0)</f>
        <v>0</v>
      </c>
      <c r="U4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8" s="359">
        <f>IF(AND(Scharniere[[#This Row],[Scharnierart]]=4,Scharniere[[#This Row],[Gruppenschlüssel]]=select!$A$981)=TRUE,1,0)</f>
        <v>0</v>
      </c>
      <c r="W418" s="359">
        <f ca="1">IF(select!$O$1185&lt;6,1,0)</f>
        <v>1</v>
      </c>
      <c r="X418" s="359">
        <f>IF(select!$A$1012=IF(Scharniere[[#This Row],[mit Dämpfung]]=1,1,IF(Scharniere[[#This Row],[ohne Dämpfung]]=1,2,IF(Scharniere[[#This Row],[ohne Feder]]=1,3,0))),1,0)</f>
        <v>0</v>
      </c>
      <c r="Y418" s="359">
        <f>IF(Scharniere[[#This Row],[Bohrbild]]=select!$A$989,1,0)</f>
        <v>0</v>
      </c>
      <c r="Z418" s="359">
        <f>IF(IF(Scharniere[[#This Row],[Anschrauben]]=1,1,IF(Scharniere[[#This Row],[Einpressen]]=1,2,IF(Scharniere[[#This Row],[Quick]]=1,3,IF(Scharniere[[#This Row],[Werkzeuglos]]=1,4,0))))=select!$A$1003,1,0)</f>
        <v>0</v>
      </c>
      <c r="AA4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8" s="359">
        <f ca="1">IF(select!$K$980="*",Scharniere[[#This Row],[AG Ges2]],Scharniere[[#This Row],[AG Ges1]])</f>
        <v>0</v>
      </c>
      <c r="AE418" s="451">
        <f ca="1">IF(AND(Scharniere[[#This Row],[Scharnierart]]=select!$A$1485,Scharniere[[#This Row],[Gruppenschlüssel]]=select!$B$1485)=TRUE,1,0)</f>
        <v>0</v>
      </c>
      <c r="AF418" s="451">
        <f ca="1">IF(AND(Scharniere[[#This Row],[Scharnierart]]=select!$A$1486,Scharniere[[#This Row],[Gruppenschlüssel]]=select!$B$1486)=TRUE,1,0)</f>
        <v>0</v>
      </c>
      <c r="AG418" s="451">
        <f ca="1">IF(AND(Scharniere[[#This Row],[Scharnierart]]=select!$A$1487,Scharniere[[#This Row],[Gruppenschlüssel]]=select!$B$1487)=TRUE,1,0)</f>
        <v>0</v>
      </c>
      <c r="AH418" s="451">
        <f ca="1">IF(AND(Scharniere[[#This Row],[Scharnierart]]=select!$A$1488,Scharniere[[#This Row],[Gruppenschlüssel]]=select!$B$1488)=TRUE,1,0)</f>
        <v>0</v>
      </c>
      <c r="AI418" s="451">
        <f ca="1">IF(SUM(Scharniere[[#This Row],[konf Scharnier 1]:[konf Scharnier 4]])&gt;0,1,0)</f>
        <v>0</v>
      </c>
      <c r="AJ418" s="451"/>
      <c r="AK418" s="451"/>
      <c r="AL418" s="451"/>
      <c r="AM418" s="451"/>
      <c r="AN418" s="451"/>
      <c r="AO418" s="146">
        <v>1</v>
      </c>
      <c r="AP418" s="146">
        <v>3</v>
      </c>
      <c r="AQ418" s="10" t="str">
        <f ca="1">Sprache!$A$113</f>
        <v>Tiomos Scharnier TS Impresso</v>
      </c>
      <c r="AR418" t="s">
        <v>1943</v>
      </c>
      <c r="AS418" t="str">
        <f ca="1">Sprache!$A$116</f>
        <v>Tiomos Impresso Scharniere</v>
      </c>
      <c r="AT418">
        <v>9.5</v>
      </c>
      <c r="AU418" t="s">
        <v>10</v>
      </c>
      <c r="AV418">
        <v>160</v>
      </c>
      <c r="AW418" s="10">
        <v>1</v>
      </c>
      <c r="AX418">
        <v>0</v>
      </c>
      <c r="AY418">
        <v>0</v>
      </c>
      <c r="AZ418" s="10">
        <v>0</v>
      </c>
      <c r="BA418">
        <v>0</v>
      </c>
      <c r="BB418">
        <v>0</v>
      </c>
      <c r="BC418">
        <v>1</v>
      </c>
      <c r="BD418" s="143" t="s">
        <v>125</v>
      </c>
      <c r="BG418"/>
    </row>
    <row r="419" spans="1:59" ht="14.25" customHeight="1" x14ac:dyDescent="0.25">
      <c r="A419" s="37" t="str">
        <f>LEFT(Scharniere[[#This Row],[ArtikelNR]],4)</f>
        <v>F017</v>
      </c>
      <c r="B419" s="35" t="str">
        <f>MID(Scharniere[[#This Row],[ArtikelNR]],5,3)</f>
        <v>139</v>
      </c>
      <c r="C419" s="37" t="str">
        <f>RIGHT(Scharniere[[#This Row],[ArtikelNR]],3)</f>
        <v>522</v>
      </c>
      <c r="D419" s="35">
        <f>IF(AND(Scharniere[[#This Row],[Gruppenschlüssel]]=select!$A$44,Scharniere[[#This Row],[Scharnierart]]=1)=TRUE,1,0)</f>
        <v>0</v>
      </c>
      <c r="E4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19" s="35">
        <f>IF(select!$F$57=IF(Scharniere[[#This Row],[mit Dämpfung]]=1,1,IF(Scharniere[[#This Row],[ohne Dämpfung]]=1,2,IF(Scharniere[[#This Row],[ohne Feder]]=1,3,0))),1,0)</f>
        <v>0</v>
      </c>
      <c r="G419" s="35">
        <f>IF(Scharniere[[#This Row],[Bohrbild]]=select!$V$43,1,0)</f>
        <v>0</v>
      </c>
      <c r="H419" s="35">
        <f>IF(IF(Scharniere[[#This Row],[Anschrauben]]=1,1,IF(Scharniere[[#This Row],[Einpressen]]=1,2,IF(Scharniere[[#This Row],[Quick]]=1,3,IF(Scharniere[[#This Row],[Werkzeuglos]]=1,4,0))))=select!$F$48,1,0)</f>
        <v>0</v>
      </c>
      <c r="I4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19" s="149">
        <f>IF(AND(Scharniere[[#This Row],[Scharnierart]]=2,Scharniere[[#This Row],[Gruppenschlüssel]]=select!$A$318)=TRUE,1,0)</f>
        <v>0</v>
      </c>
      <c r="K419" s="221">
        <f ca="1">IF(select!$O$424&lt;6,1,0)</f>
        <v>1</v>
      </c>
      <c r="L419" s="139">
        <f>IF(select!$A$362=IF(Scharniere[[#This Row],[mit Dämpfung]]=1,1,IF(Scharniere[[#This Row],[ohne Dämpfung]]=1,2,IF(Scharniere[[#This Row],[ohne Feder]]=1,3,0))),1,0)</f>
        <v>1</v>
      </c>
      <c r="M419" s="135">
        <f>IF(Scharniere[[#This Row],[Bohrbild]]=select!$O$334,1,0)</f>
        <v>0</v>
      </c>
      <c r="N419" s="135">
        <f>IF(IF(Scharniere[[#This Row],[Anschrauben]]=1,1,IF(Scharniere[[#This Row],[Einpressen]]=1,2,IF(Scharniere[[#This Row],[Quick]]=1,3,IF(Scharniere[[#This Row],[Werkzeuglos]]=1,4,0))))=select!$E$362,1,0)</f>
        <v>0</v>
      </c>
      <c r="O4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19" s="298">
        <f>IF(AND(Scharniere[[#This Row],[Scharnierart]]=3,Scharniere[[#This Row],[Gruppenschlüssel]]=select!$A$747)=TRUE,1,0)</f>
        <v>0</v>
      </c>
      <c r="Q419" s="298">
        <f ca="1">IF(select!$O$945&lt;6,1,0)</f>
        <v>1</v>
      </c>
      <c r="R419" s="298">
        <f>IF(select!$A$778=IF(Scharniere[[#This Row],[mit Dämpfung]]=1,1,IF(Scharniere[[#This Row],[ohne Dämpfung]]=1,2,IF(Scharniere[[#This Row],[ohne Feder]]=1,3,0))),1,0)</f>
        <v>0</v>
      </c>
      <c r="S419" s="298">
        <f>IF(Scharniere[[#This Row],[Bohrbild]]=select!$A$755,1,0)</f>
        <v>0</v>
      </c>
      <c r="T419" s="298">
        <f>IF(IF(Scharniere[[#This Row],[Anschrauben]]=1,1,IF(Scharniere[[#This Row],[Einpressen]]=1,2,IF(Scharniere[[#This Row],[Quick]]=1,3,IF(Scharniere[[#This Row],[Werkzeuglos]]=1,4,0))))=select!$A$769,1,0)</f>
        <v>0</v>
      </c>
      <c r="U4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19" s="359">
        <f>IF(AND(Scharniere[[#This Row],[Scharnierart]]=4,Scharniere[[#This Row],[Gruppenschlüssel]]=select!$A$981)=TRUE,1,0)</f>
        <v>0</v>
      </c>
      <c r="W419" s="359">
        <f ca="1">IF(select!$O$1185&lt;6,1,0)</f>
        <v>1</v>
      </c>
      <c r="X419" s="359">
        <f>IF(select!$A$1012=IF(Scharniere[[#This Row],[mit Dämpfung]]=1,1,IF(Scharniere[[#This Row],[ohne Dämpfung]]=1,2,IF(Scharniere[[#This Row],[ohne Feder]]=1,3,0))),1,0)</f>
        <v>0</v>
      </c>
      <c r="Y419" s="359">
        <f>IF(Scharniere[[#This Row],[Bohrbild]]=select!$A$989,1,0)</f>
        <v>0</v>
      </c>
      <c r="Z419" s="359">
        <f>IF(IF(Scharniere[[#This Row],[Anschrauben]]=1,1,IF(Scharniere[[#This Row],[Einpressen]]=1,2,IF(Scharniere[[#This Row],[Quick]]=1,3,IF(Scharniere[[#This Row],[Werkzeuglos]]=1,4,0))))=select!$A$1003,1,0)</f>
        <v>0</v>
      </c>
      <c r="AA4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19" s="359">
        <f ca="1">IF(select!$K$980="*",Scharniere[[#This Row],[AG Ges2]],Scharniere[[#This Row],[AG Ges1]])</f>
        <v>0</v>
      </c>
      <c r="AE419" s="451">
        <f ca="1">IF(AND(Scharniere[[#This Row],[Scharnierart]]=select!$A$1485,Scharniere[[#This Row],[Gruppenschlüssel]]=select!$B$1485)=TRUE,1,0)</f>
        <v>0</v>
      </c>
      <c r="AF419" s="451">
        <f ca="1">IF(AND(Scharniere[[#This Row],[Scharnierart]]=select!$A$1486,Scharniere[[#This Row],[Gruppenschlüssel]]=select!$B$1486)=TRUE,1,0)</f>
        <v>0</v>
      </c>
      <c r="AG419" s="451">
        <f ca="1">IF(AND(Scharniere[[#This Row],[Scharnierart]]=select!$A$1487,Scharniere[[#This Row],[Gruppenschlüssel]]=select!$B$1487)=TRUE,1,0)</f>
        <v>0</v>
      </c>
      <c r="AH419" s="451">
        <f ca="1">IF(AND(Scharniere[[#This Row],[Scharnierart]]=select!$A$1488,Scharniere[[#This Row],[Gruppenschlüssel]]=select!$B$1488)=TRUE,1,0)</f>
        <v>0</v>
      </c>
      <c r="AI419" s="451">
        <f ca="1">IF(SUM(Scharniere[[#This Row],[konf Scharnier 1]:[konf Scharnier 4]])&gt;0,1,0)</f>
        <v>0</v>
      </c>
      <c r="AJ419" s="451"/>
      <c r="AK419" s="451"/>
      <c r="AL419" s="451"/>
      <c r="AM419" s="451"/>
      <c r="AN419" s="451"/>
      <c r="AO419" s="146">
        <v>1</v>
      </c>
      <c r="AP419" s="146">
        <v>3</v>
      </c>
      <c r="AQ419" s="10" t="str">
        <f ca="1">Sprache!$A$113</f>
        <v>Tiomos Scharnier TS Impresso</v>
      </c>
      <c r="AR419" t="s">
        <v>1943</v>
      </c>
      <c r="AS419" t="str">
        <f ca="1">Sprache!$A$116</f>
        <v>Tiomos Impresso Scharniere</v>
      </c>
      <c r="AT419">
        <v>9.5</v>
      </c>
      <c r="AU419" t="s">
        <v>11</v>
      </c>
      <c r="AV419">
        <v>160</v>
      </c>
      <c r="AW419" s="10">
        <v>1</v>
      </c>
      <c r="AX419">
        <v>0</v>
      </c>
      <c r="AY419">
        <v>0</v>
      </c>
      <c r="AZ419" s="10">
        <v>0</v>
      </c>
      <c r="BA419">
        <v>0</v>
      </c>
      <c r="BB419">
        <v>0</v>
      </c>
      <c r="BC419">
        <v>1</v>
      </c>
      <c r="BD419" s="143" t="s">
        <v>125</v>
      </c>
      <c r="BG419"/>
    </row>
    <row r="420" spans="1:59" ht="14.25" customHeight="1" x14ac:dyDescent="0.25">
      <c r="A420" s="37" t="str">
        <f>LEFT(Scharniere[[#This Row],[ArtikelNR]],4)</f>
        <v>F035</v>
      </c>
      <c r="B420" s="35" t="str">
        <f>MID(Scharniere[[#This Row],[ArtikelNR]],5,3)</f>
        <v>139</v>
      </c>
      <c r="C420" s="37" t="str">
        <f>RIGHT(Scharniere[[#This Row],[ArtikelNR]],3)</f>
        <v>550</v>
      </c>
      <c r="D420" s="35">
        <f>IF(AND(Scharniere[[#This Row],[Gruppenschlüssel]]=select!$A$44,Scharniere[[#This Row],[Scharnierart]]=1)=TRUE,1,0)</f>
        <v>0</v>
      </c>
      <c r="E4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0" s="35">
        <f>IF(select!$F$57=IF(Scharniere[[#This Row],[mit Dämpfung]]=1,1,IF(Scharniere[[#This Row],[ohne Dämpfung]]=1,2,IF(Scharniere[[#This Row],[ohne Feder]]=1,3,0))),1,0)</f>
        <v>1</v>
      </c>
      <c r="G420" s="35">
        <f>IF(Scharniere[[#This Row],[Bohrbild]]=select!$V$43,1,0)</f>
        <v>0</v>
      </c>
      <c r="H420" s="35">
        <f>IF(IF(Scharniere[[#This Row],[Anschrauben]]=1,1,IF(Scharniere[[#This Row],[Einpressen]]=1,2,IF(Scharniere[[#This Row],[Quick]]=1,3,IF(Scharniere[[#This Row],[Werkzeuglos]]=1,4,0))))=select!$F$48,1,0)</f>
        <v>0</v>
      </c>
      <c r="I4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0" s="149">
        <f>IF(AND(Scharniere[[#This Row],[Scharnierart]]=2,Scharniere[[#This Row],[Gruppenschlüssel]]=select!$A$318)=TRUE,1,0)</f>
        <v>0</v>
      </c>
      <c r="K420" s="221">
        <f ca="1">IF(select!$O$424&lt;6,1,0)</f>
        <v>1</v>
      </c>
      <c r="L420" s="139">
        <f>IF(select!$A$362=IF(Scharniere[[#This Row],[mit Dämpfung]]=1,1,IF(Scharniere[[#This Row],[ohne Dämpfung]]=1,2,IF(Scharniere[[#This Row],[ohne Feder]]=1,3,0))),1,0)</f>
        <v>0</v>
      </c>
      <c r="M420" s="135">
        <f>IF(Scharniere[[#This Row],[Bohrbild]]=select!$O$334,1,0)</f>
        <v>0</v>
      </c>
      <c r="N420" s="135">
        <f>IF(IF(Scharniere[[#This Row],[Anschrauben]]=1,1,IF(Scharniere[[#This Row],[Einpressen]]=1,2,IF(Scharniere[[#This Row],[Quick]]=1,3,IF(Scharniere[[#This Row],[Werkzeuglos]]=1,4,0))))=select!$E$362,1,0)</f>
        <v>0</v>
      </c>
      <c r="O4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0" s="298">
        <f>IF(AND(Scharniere[[#This Row],[Scharnierart]]=3,Scharniere[[#This Row],[Gruppenschlüssel]]=select!$A$747)=TRUE,1,0)</f>
        <v>0</v>
      </c>
      <c r="Q420" s="298">
        <f ca="1">IF(select!$O$945&lt;6,1,0)</f>
        <v>1</v>
      </c>
      <c r="R420" s="298">
        <f>IF(select!$A$778=IF(Scharniere[[#This Row],[mit Dämpfung]]=1,1,IF(Scharniere[[#This Row],[ohne Dämpfung]]=1,2,IF(Scharniere[[#This Row],[ohne Feder]]=1,3,0))),1,0)</f>
        <v>0</v>
      </c>
      <c r="S420" s="298">
        <f>IF(Scharniere[[#This Row],[Bohrbild]]=select!$A$755,1,0)</f>
        <v>0</v>
      </c>
      <c r="T420" s="298">
        <f>IF(IF(Scharniere[[#This Row],[Anschrauben]]=1,1,IF(Scharniere[[#This Row],[Einpressen]]=1,2,IF(Scharniere[[#This Row],[Quick]]=1,3,IF(Scharniere[[#This Row],[Werkzeuglos]]=1,4,0))))=select!$A$769,1,0)</f>
        <v>0</v>
      </c>
      <c r="U4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0" s="359">
        <f>IF(AND(Scharniere[[#This Row],[Scharnierart]]=4,Scharniere[[#This Row],[Gruppenschlüssel]]=select!$A$981)=TRUE,1,0)</f>
        <v>0</v>
      </c>
      <c r="W420" s="359">
        <f ca="1">IF(select!$O$1185&lt;6,1,0)</f>
        <v>1</v>
      </c>
      <c r="X420" s="359">
        <f>IF(select!$A$1012=IF(Scharniere[[#This Row],[mit Dämpfung]]=1,1,IF(Scharniere[[#This Row],[ohne Dämpfung]]=1,2,IF(Scharniere[[#This Row],[ohne Feder]]=1,3,0))),1,0)</f>
        <v>0</v>
      </c>
      <c r="Y420" s="359">
        <f>IF(Scharniere[[#This Row],[Bohrbild]]=select!$A$989,1,0)</f>
        <v>0</v>
      </c>
      <c r="Z420" s="359">
        <f>IF(IF(Scharniere[[#This Row],[Anschrauben]]=1,1,IF(Scharniere[[#This Row],[Einpressen]]=1,2,IF(Scharniere[[#This Row],[Quick]]=1,3,IF(Scharniere[[#This Row],[Werkzeuglos]]=1,4,0))))=select!$A$1003,1,0)</f>
        <v>0</v>
      </c>
      <c r="AA4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0" s="359">
        <f ca="1">IF(select!$K$980="*",Scharniere[[#This Row],[AG Ges2]],Scharniere[[#This Row],[AG Ges1]])</f>
        <v>0</v>
      </c>
      <c r="AE420" s="451">
        <f ca="1">IF(AND(Scharniere[[#This Row],[Scharnierart]]=select!$A$1485,Scharniere[[#This Row],[Gruppenschlüssel]]=select!$B$1485)=TRUE,1,0)</f>
        <v>0</v>
      </c>
      <c r="AF420" s="451">
        <f ca="1">IF(AND(Scharniere[[#This Row],[Scharnierart]]=select!$A$1486,Scharniere[[#This Row],[Gruppenschlüssel]]=select!$B$1486)=TRUE,1,0)</f>
        <v>0</v>
      </c>
      <c r="AG420" s="451">
        <f ca="1">IF(AND(Scharniere[[#This Row],[Scharnierart]]=select!$A$1487,Scharniere[[#This Row],[Gruppenschlüssel]]=select!$B$1487)=TRUE,1,0)</f>
        <v>0</v>
      </c>
      <c r="AH420" s="451">
        <f ca="1">IF(AND(Scharniere[[#This Row],[Scharnierart]]=select!$A$1488,Scharniere[[#This Row],[Gruppenschlüssel]]=select!$B$1488)=TRUE,1,0)</f>
        <v>0</v>
      </c>
      <c r="AI420" s="451">
        <f ca="1">IF(SUM(Scharniere[[#This Row],[konf Scharnier 1]:[konf Scharnier 4]])&gt;0,1,0)</f>
        <v>0</v>
      </c>
      <c r="AJ420" s="451"/>
      <c r="AK420" s="451"/>
      <c r="AL420" s="451"/>
      <c r="AM420" s="451"/>
      <c r="AN420" s="451"/>
      <c r="AO420" s="146">
        <v>1</v>
      </c>
      <c r="AP420" s="146">
        <v>3</v>
      </c>
      <c r="AQ420" s="10" t="str">
        <f ca="1">Sprache!$A$115</f>
        <v>Tiomos Scharnier TT Impresso</v>
      </c>
      <c r="AR420" t="s">
        <v>1943</v>
      </c>
      <c r="AS420" t="str">
        <f ca="1">Sprache!$A$116</f>
        <v>Tiomos Impresso Scharniere</v>
      </c>
      <c r="AT420">
        <v>9.5</v>
      </c>
      <c r="AU420" t="s">
        <v>10</v>
      </c>
      <c r="AV420">
        <v>160</v>
      </c>
      <c r="AW420" s="10">
        <v>0</v>
      </c>
      <c r="AX420">
        <v>0</v>
      </c>
      <c r="AY420">
        <v>1</v>
      </c>
      <c r="AZ420" s="10">
        <v>0</v>
      </c>
      <c r="BA420">
        <v>0</v>
      </c>
      <c r="BB420">
        <v>0</v>
      </c>
      <c r="BC420">
        <v>1</v>
      </c>
      <c r="BD420" s="143" t="s">
        <v>218</v>
      </c>
      <c r="BG420"/>
    </row>
    <row r="421" spans="1:59" ht="14.25" customHeight="1" x14ac:dyDescent="0.25">
      <c r="A421" s="37" t="str">
        <f>LEFT(Scharniere[[#This Row],[ArtikelNR]],4)</f>
        <v>F035</v>
      </c>
      <c r="B421" s="35" t="str">
        <f>MID(Scharniere[[#This Row],[ArtikelNR]],5,3)</f>
        <v>139</v>
      </c>
      <c r="C421" s="37" t="str">
        <f>RIGHT(Scharniere[[#This Row],[ArtikelNR]],3)</f>
        <v>550</v>
      </c>
      <c r="D421" s="35">
        <f>IF(AND(Scharniere[[#This Row],[Gruppenschlüssel]]=select!$A$44,Scharniere[[#This Row],[Scharnierart]]=1)=TRUE,1,0)</f>
        <v>0</v>
      </c>
      <c r="E4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1" s="35">
        <f>IF(select!$F$57=IF(Scharniere[[#This Row],[mit Dämpfung]]=1,1,IF(Scharniere[[#This Row],[ohne Dämpfung]]=1,2,IF(Scharniere[[#This Row],[ohne Feder]]=1,3,0))),1,0)</f>
        <v>1</v>
      </c>
      <c r="G421" s="35">
        <f>IF(Scharniere[[#This Row],[Bohrbild]]=select!$V$43,1,0)</f>
        <v>0</v>
      </c>
      <c r="H421" s="35">
        <f>IF(IF(Scharniere[[#This Row],[Anschrauben]]=1,1,IF(Scharniere[[#This Row],[Einpressen]]=1,2,IF(Scharniere[[#This Row],[Quick]]=1,3,IF(Scharniere[[#This Row],[Werkzeuglos]]=1,4,0))))=select!$F$48,1,0)</f>
        <v>0</v>
      </c>
      <c r="I4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1" s="149">
        <f>IF(AND(Scharniere[[#This Row],[Scharnierart]]=2,Scharniere[[#This Row],[Gruppenschlüssel]]=select!$A$318)=TRUE,1,0)</f>
        <v>0</v>
      </c>
      <c r="K421" s="221">
        <f ca="1">IF(select!$O$424&lt;6,1,0)</f>
        <v>1</v>
      </c>
      <c r="L421" s="139">
        <f>IF(select!$A$362=IF(Scharniere[[#This Row],[mit Dämpfung]]=1,1,IF(Scharniere[[#This Row],[ohne Dämpfung]]=1,2,IF(Scharniere[[#This Row],[ohne Feder]]=1,3,0))),1,0)</f>
        <v>0</v>
      </c>
      <c r="M421" s="135">
        <f>IF(Scharniere[[#This Row],[Bohrbild]]=select!$O$334,1,0)</f>
        <v>0</v>
      </c>
      <c r="N421" s="135">
        <f>IF(IF(Scharniere[[#This Row],[Anschrauben]]=1,1,IF(Scharniere[[#This Row],[Einpressen]]=1,2,IF(Scharniere[[#This Row],[Quick]]=1,3,IF(Scharniere[[#This Row],[Werkzeuglos]]=1,4,0))))=select!$E$362,1,0)</f>
        <v>0</v>
      </c>
      <c r="O4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1" s="298">
        <f>IF(AND(Scharniere[[#This Row],[Scharnierart]]=3,Scharniere[[#This Row],[Gruppenschlüssel]]=select!$A$747)=TRUE,1,0)</f>
        <v>0</v>
      </c>
      <c r="Q421" s="298">
        <f ca="1">IF(select!$O$945&lt;6,1,0)</f>
        <v>1</v>
      </c>
      <c r="R421" s="298">
        <f>IF(select!$A$778=IF(Scharniere[[#This Row],[mit Dämpfung]]=1,1,IF(Scharniere[[#This Row],[ohne Dämpfung]]=1,2,IF(Scharniere[[#This Row],[ohne Feder]]=1,3,0))),1,0)</f>
        <v>0</v>
      </c>
      <c r="S421" s="298">
        <f>IF(Scharniere[[#This Row],[Bohrbild]]=select!$A$755,1,0)</f>
        <v>0</v>
      </c>
      <c r="T421" s="298">
        <f>IF(IF(Scharniere[[#This Row],[Anschrauben]]=1,1,IF(Scharniere[[#This Row],[Einpressen]]=1,2,IF(Scharniere[[#This Row],[Quick]]=1,3,IF(Scharniere[[#This Row],[Werkzeuglos]]=1,4,0))))=select!$A$769,1,0)</f>
        <v>0</v>
      </c>
      <c r="U4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1" s="359">
        <f>IF(AND(Scharniere[[#This Row],[Scharnierart]]=4,Scharniere[[#This Row],[Gruppenschlüssel]]=select!$A$981)=TRUE,1,0)</f>
        <v>0</v>
      </c>
      <c r="W421" s="359">
        <f ca="1">IF(select!$O$1185&lt;6,1,0)</f>
        <v>1</v>
      </c>
      <c r="X421" s="359">
        <f>IF(select!$A$1012=IF(Scharniere[[#This Row],[mit Dämpfung]]=1,1,IF(Scharniere[[#This Row],[ohne Dämpfung]]=1,2,IF(Scharniere[[#This Row],[ohne Feder]]=1,3,0))),1,0)</f>
        <v>0</v>
      </c>
      <c r="Y421" s="359">
        <f>IF(Scharniere[[#This Row],[Bohrbild]]=select!$A$989,1,0)</f>
        <v>0</v>
      </c>
      <c r="Z421" s="359">
        <f>IF(IF(Scharniere[[#This Row],[Anschrauben]]=1,1,IF(Scharniere[[#This Row],[Einpressen]]=1,2,IF(Scharniere[[#This Row],[Quick]]=1,3,IF(Scharniere[[#This Row],[Werkzeuglos]]=1,4,0))))=select!$A$1003,1,0)</f>
        <v>0</v>
      </c>
      <c r="AA4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1" s="359">
        <f ca="1">IF(select!$K$980="*",Scharniere[[#This Row],[AG Ges2]],Scharniere[[#This Row],[AG Ges1]])</f>
        <v>0</v>
      </c>
      <c r="AE421" s="451">
        <f ca="1">IF(AND(Scharniere[[#This Row],[Scharnierart]]=select!$A$1485,Scharniere[[#This Row],[Gruppenschlüssel]]=select!$B$1485)=TRUE,1,0)</f>
        <v>0</v>
      </c>
      <c r="AF421" s="451">
        <f ca="1">IF(AND(Scharniere[[#This Row],[Scharnierart]]=select!$A$1486,Scharniere[[#This Row],[Gruppenschlüssel]]=select!$B$1486)=TRUE,1,0)</f>
        <v>0</v>
      </c>
      <c r="AG421" s="451">
        <f ca="1">IF(AND(Scharniere[[#This Row],[Scharnierart]]=select!$A$1487,Scharniere[[#This Row],[Gruppenschlüssel]]=select!$B$1487)=TRUE,1,0)</f>
        <v>0</v>
      </c>
      <c r="AH421" s="451">
        <f ca="1">IF(AND(Scharniere[[#This Row],[Scharnierart]]=select!$A$1488,Scharniere[[#This Row],[Gruppenschlüssel]]=select!$B$1488)=TRUE,1,0)</f>
        <v>0</v>
      </c>
      <c r="AI421" s="451">
        <f ca="1">IF(SUM(Scharniere[[#This Row],[konf Scharnier 1]:[konf Scharnier 4]])&gt;0,1,0)</f>
        <v>0</v>
      </c>
      <c r="AJ421" s="451"/>
      <c r="AK421" s="451"/>
      <c r="AL421" s="451"/>
      <c r="AM421" s="451"/>
      <c r="AN421" s="451"/>
      <c r="AO421" s="146">
        <v>1</v>
      </c>
      <c r="AP421" s="146">
        <v>3</v>
      </c>
      <c r="AQ421" s="10" t="str">
        <f ca="1">Sprache!$A$115</f>
        <v>Tiomos Scharnier TT Impresso</v>
      </c>
      <c r="AR421" t="s">
        <v>1943</v>
      </c>
      <c r="AS421" t="str">
        <f ca="1">Sprache!$A$116</f>
        <v>Tiomos Impresso Scharniere</v>
      </c>
      <c r="AT421">
        <v>9.5</v>
      </c>
      <c r="AU421" t="s">
        <v>11</v>
      </c>
      <c r="AV421">
        <v>160</v>
      </c>
      <c r="AW421" s="10">
        <v>0</v>
      </c>
      <c r="AX421">
        <v>0</v>
      </c>
      <c r="AY421">
        <v>1</v>
      </c>
      <c r="AZ421" s="10">
        <v>0</v>
      </c>
      <c r="BA421">
        <v>0</v>
      </c>
      <c r="BB421">
        <v>0</v>
      </c>
      <c r="BC421">
        <v>1</v>
      </c>
      <c r="BD421" s="143" t="s">
        <v>218</v>
      </c>
      <c r="BG421"/>
    </row>
    <row r="422" spans="1:59" ht="14.25" customHeight="1" x14ac:dyDescent="0.25">
      <c r="A422" s="37" t="str">
        <f>LEFT(Scharniere[[#This Row],[ArtikelNR]],4)</f>
        <v>F045</v>
      </c>
      <c r="B422" s="35" t="str">
        <f>MID(Scharniere[[#This Row],[ArtikelNR]],5,3)</f>
        <v>138</v>
      </c>
      <c r="C422" s="37" t="str">
        <f>RIGHT(Scharniere[[#This Row],[ArtikelNR]],3)</f>
        <v>047</v>
      </c>
      <c r="D422" s="35">
        <f>IF(AND(Scharniere[[#This Row],[Gruppenschlüssel]]=select!$A$44,Scharniere[[#This Row],[Scharnierart]]=1)=TRUE,1,0)</f>
        <v>0</v>
      </c>
      <c r="E4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2" s="35">
        <f>IF(select!$F$57=IF(Scharniere[[#This Row],[mit Dämpfung]]=1,1,IF(Scharniere[[#This Row],[ohne Dämpfung]]=1,2,IF(Scharniere[[#This Row],[ohne Feder]]=1,3,0))),1,0)</f>
        <v>0</v>
      </c>
      <c r="G422" s="35">
        <f>IF(Scharniere[[#This Row],[Bohrbild]]=select!$V$43,1,0)</f>
        <v>1</v>
      </c>
      <c r="H422" s="35">
        <f>IF(IF(Scharniere[[#This Row],[Anschrauben]]=1,1,IF(Scharniere[[#This Row],[Einpressen]]=1,2,IF(Scharniere[[#This Row],[Quick]]=1,3,IF(Scharniere[[#This Row],[Werkzeuglos]]=1,4,0))))=select!$F$48,1,0)</f>
        <v>1</v>
      </c>
      <c r="I4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2" s="149">
        <f>IF(AND(Scharniere[[#This Row],[Scharnierart]]=2,Scharniere[[#This Row],[Gruppenschlüssel]]=select!$A$318)=TRUE,1,0)</f>
        <v>0</v>
      </c>
      <c r="K422" s="221">
        <f ca="1">IF(select!$O$424&lt;6,1,0)</f>
        <v>1</v>
      </c>
      <c r="L422" s="139">
        <f>IF(select!$A$362=IF(Scharniere[[#This Row],[mit Dämpfung]]=1,1,IF(Scharniere[[#This Row],[ohne Dämpfung]]=1,2,IF(Scharniere[[#This Row],[ohne Feder]]=1,3,0))),1,0)</f>
        <v>0</v>
      </c>
      <c r="M422" s="135">
        <f>IF(Scharniere[[#This Row],[Bohrbild]]=select!$O$334,1,0)</f>
        <v>1</v>
      </c>
      <c r="N422" s="135">
        <f>IF(IF(Scharniere[[#This Row],[Anschrauben]]=1,1,IF(Scharniere[[#This Row],[Einpressen]]=1,2,IF(Scharniere[[#This Row],[Quick]]=1,3,IF(Scharniere[[#This Row],[Werkzeuglos]]=1,4,0))))=select!$E$362,1,0)</f>
        <v>0</v>
      </c>
      <c r="O4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2" s="298">
        <f>IF(AND(Scharniere[[#This Row],[Scharnierart]]=3,Scharniere[[#This Row],[Gruppenschlüssel]]=select!$A$747)=TRUE,1,0)</f>
        <v>0</v>
      </c>
      <c r="Q422" s="298">
        <f ca="1">IF(select!$O$945&lt;6,1,0)</f>
        <v>1</v>
      </c>
      <c r="R422" s="298">
        <f>IF(select!$A$778=IF(Scharniere[[#This Row],[mit Dämpfung]]=1,1,IF(Scharniere[[#This Row],[ohne Dämpfung]]=1,2,IF(Scharniere[[#This Row],[ohne Feder]]=1,3,0))),1,0)</f>
        <v>1</v>
      </c>
      <c r="S422" s="298">
        <f>IF(Scharniere[[#This Row],[Bohrbild]]=select!$A$755,1,0)</f>
        <v>0</v>
      </c>
      <c r="T422" s="298">
        <f>IF(IF(Scharniere[[#This Row],[Anschrauben]]=1,1,IF(Scharniere[[#This Row],[Einpressen]]=1,2,IF(Scharniere[[#This Row],[Quick]]=1,3,IF(Scharniere[[#This Row],[Werkzeuglos]]=1,4,0))))=select!$A$769,1,0)</f>
        <v>0</v>
      </c>
      <c r="U4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2" s="359">
        <f>IF(AND(Scharniere[[#This Row],[Scharnierart]]=4,Scharniere[[#This Row],[Gruppenschlüssel]]=select!$A$981)=TRUE,1,0)</f>
        <v>0</v>
      </c>
      <c r="W422" s="359">
        <f ca="1">IF(select!$O$1185&lt;6,1,0)</f>
        <v>1</v>
      </c>
      <c r="X422" s="359">
        <f>IF(select!$A$1012=IF(Scharniere[[#This Row],[mit Dämpfung]]=1,1,IF(Scharniere[[#This Row],[ohne Dämpfung]]=1,2,IF(Scharniere[[#This Row],[ohne Feder]]=1,3,0))),1,0)</f>
        <v>1</v>
      </c>
      <c r="Y422" s="359">
        <f>IF(Scharniere[[#This Row],[Bohrbild]]=select!$A$989,1,0)</f>
        <v>0</v>
      </c>
      <c r="Z422" s="359">
        <f>IF(IF(Scharniere[[#This Row],[Anschrauben]]=1,1,IF(Scharniere[[#This Row],[Einpressen]]=1,2,IF(Scharniere[[#This Row],[Quick]]=1,3,IF(Scharniere[[#This Row],[Werkzeuglos]]=1,4,0))))=select!$A$1003,1,0)</f>
        <v>0</v>
      </c>
      <c r="AA4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2" s="359">
        <f ca="1">IF(select!$K$980="*",Scharniere[[#This Row],[AG Ges2]],Scharniere[[#This Row],[AG Ges1]])</f>
        <v>0</v>
      </c>
      <c r="AE422" s="451">
        <f ca="1">IF(AND(Scharniere[[#This Row],[Scharnierart]]=select!$A$1485,Scharniere[[#This Row],[Gruppenschlüssel]]=select!$B$1485)=TRUE,1,0)</f>
        <v>0</v>
      </c>
      <c r="AF422" s="451">
        <f ca="1">IF(AND(Scharniere[[#This Row],[Scharnierart]]=select!$A$1486,Scharniere[[#This Row],[Gruppenschlüssel]]=select!$B$1486)=TRUE,1,0)</f>
        <v>0</v>
      </c>
      <c r="AG422" s="451">
        <f ca="1">IF(AND(Scharniere[[#This Row],[Scharnierart]]=select!$A$1487,Scharniere[[#This Row],[Gruppenschlüssel]]=select!$B$1487)=TRUE,1,0)</f>
        <v>0</v>
      </c>
      <c r="AH422" s="451">
        <f ca="1">IF(AND(Scharniere[[#This Row],[Scharnierart]]=select!$A$1488,Scharniere[[#This Row],[Gruppenschlüssel]]=select!$B$1488)=TRUE,1,0)</f>
        <v>0</v>
      </c>
      <c r="AI422" s="451">
        <f ca="1">IF(SUM(Scharniere[[#This Row],[konf Scharnier 1]:[konf Scharnier 4]])&gt;0,1,0)</f>
        <v>0</v>
      </c>
      <c r="AJ422" s="451"/>
      <c r="AK422" s="451"/>
      <c r="AL422" s="451"/>
      <c r="AM422" s="451"/>
      <c r="AN422" s="451"/>
      <c r="AO422" s="146">
        <v>1</v>
      </c>
      <c r="AP422" s="146">
        <v>3</v>
      </c>
      <c r="AQ422" s="10" t="str">
        <f ca="1">Sprache!$A$110</f>
        <v>Tiomos Scharnier T Click-on</v>
      </c>
      <c r="AR422" t="str">
        <f ca="1">"160°, M-BB, K9.5, "&amp;Sprache!A181&amp;", ni"</f>
        <v>160°, M-BB, K9.5, Dübel, ni</v>
      </c>
      <c r="AS422" t="str">
        <f ca="1">Sprache!$A$103</f>
        <v>Tiomos Click-On Scharniere</v>
      </c>
      <c r="AT422">
        <v>9.5</v>
      </c>
      <c r="AU422" t="s">
        <v>8</v>
      </c>
      <c r="AV422">
        <v>160</v>
      </c>
      <c r="AW422" s="10">
        <v>0</v>
      </c>
      <c r="AX422">
        <v>1</v>
      </c>
      <c r="AY422">
        <v>0</v>
      </c>
      <c r="AZ422" s="10">
        <v>0</v>
      </c>
      <c r="BA422">
        <v>1</v>
      </c>
      <c r="BB422">
        <v>0</v>
      </c>
      <c r="BC422">
        <v>0</v>
      </c>
      <c r="BD422" s="143" t="s">
        <v>448</v>
      </c>
      <c r="BG422"/>
    </row>
    <row r="423" spans="1:59" ht="14.25" customHeight="1" x14ac:dyDescent="0.25">
      <c r="A423" s="37" t="str">
        <f>LEFT(Scharniere[[#This Row],[ArtikelNR]],4)</f>
        <v>F028</v>
      </c>
      <c r="B423" s="35" t="str">
        <f>MID(Scharniere[[#This Row],[ArtikelNR]],5,3)</f>
        <v>138</v>
      </c>
      <c r="C423" s="37" t="str">
        <f>RIGHT(Scharniere[[#This Row],[ArtikelNR]],3)</f>
        <v>140</v>
      </c>
      <c r="D423" s="35">
        <f>IF(AND(Scharniere[[#This Row],[Gruppenschlüssel]]=select!$A$44,Scharniere[[#This Row],[Scharnierart]]=1)=TRUE,1,0)</f>
        <v>0</v>
      </c>
      <c r="E4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3" s="35">
        <f>IF(select!$F$57=IF(Scharniere[[#This Row],[mit Dämpfung]]=1,1,IF(Scharniere[[#This Row],[ohne Dämpfung]]=1,2,IF(Scharniere[[#This Row],[ohne Feder]]=1,3,0))),1,0)</f>
        <v>0</v>
      </c>
      <c r="G423" s="35">
        <f>IF(Scharniere[[#This Row],[Bohrbild]]=select!$V$43,1,0)</f>
        <v>1</v>
      </c>
      <c r="H423" s="35">
        <f>IF(IF(Scharniere[[#This Row],[Anschrauben]]=1,1,IF(Scharniere[[#This Row],[Einpressen]]=1,2,IF(Scharniere[[#This Row],[Quick]]=1,3,IF(Scharniere[[#This Row],[Werkzeuglos]]=1,4,0))))=select!$F$48,1,0)</f>
        <v>1</v>
      </c>
      <c r="I4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3" s="149">
        <f>IF(AND(Scharniere[[#This Row],[Scharnierart]]=2,Scharniere[[#This Row],[Gruppenschlüssel]]=select!$A$318)=TRUE,1,0)</f>
        <v>0</v>
      </c>
      <c r="K423" s="221">
        <f ca="1">IF(select!$O$424&lt;6,1,0)</f>
        <v>1</v>
      </c>
      <c r="L423" s="139">
        <f>IF(select!$A$362=IF(Scharniere[[#This Row],[mit Dämpfung]]=1,1,IF(Scharniere[[#This Row],[ohne Dämpfung]]=1,2,IF(Scharniere[[#This Row],[ohne Feder]]=1,3,0))),1,0)</f>
        <v>1</v>
      </c>
      <c r="M423" s="135">
        <f>IF(Scharniere[[#This Row],[Bohrbild]]=select!$O$334,1,0)</f>
        <v>1</v>
      </c>
      <c r="N423" s="135">
        <f>IF(IF(Scharniere[[#This Row],[Anschrauben]]=1,1,IF(Scharniere[[#This Row],[Einpressen]]=1,2,IF(Scharniere[[#This Row],[Quick]]=1,3,IF(Scharniere[[#This Row],[Werkzeuglos]]=1,4,0))))=select!$E$362,1,0)</f>
        <v>0</v>
      </c>
      <c r="O4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3" s="298">
        <f>IF(AND(Scharniere[[#This Row],[Scharnierart]]=3,Scharniere[[#This Row],[Gruppenschlüssel]]=select!$A$747)=TRUE,1,0)</f>
        <v>0</v>
      </c>
      <c r="Q423" s="298">
        <f ca="1">IF(select!$O$945&lt;6,1,0)</f>
        <v>1</v>
      </c>
      <c r="R423" s="298">
        <f>IF(select!$A$778=IF(Scharniere[[#This Row],[mit Dämpfung]]=1,1,IF(Scharniere[[#This Row],[ohne Dämpfung]]=1,2,IF(Scharniere[[#This Row],[ohne Feder]]=1,3,0))),1,0)</f>
        <v>0</v>
      </c>
      <c r="S423" s="298">
        <f>IF(Scharniere[[#This Row],[Bohrbild]]=select!$A$755,1,0)</f>
        <v>0</v>
      </c>
      <c r="T423" s="298">
        <f>IF(IF(Scharniere[[#This Row],[Anschrauben]]=1,1,IF(Scharniere[[#This Row],[Einpressen]]=1,2,IF(Scharniere[[#This Row],[Quick]]=1,3,IF(Scharniere[[#This Row],[Werkzeuglos]]=1,4,0))))=select!$A$769,1,0)</f>
        <v>0</v>
      </c>
      <c r="U4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3" s="359">
        <f>IF(AND(Scharniere[[#This Row],[Scharnierart]]=4,Scharniere[[#This Row],[Gruppenschlüssel]]=select!$A$981)=TRUE,1,0)</f>
        <v>0</v>
      </c>
      <c r="W423" s="359">
        <f ca="1">IF(select!$O$1185&lt;6,1,0)</f>
        <v>1</v>
      </c>
      <c r="X423" s="359">
        <f>IF(select!$A$1012=IF(Scharniere[[#This Row],[mit Dämpfung]]=1,1,IF(Scharniere[[#This Row],[ohne Dämpfung]]=1,2,IF(Scharniere[[#This Row],[ohne Feder]]=1,3,0))),1,0)</f>
        <v>0</v>
      </c>
      <c r="Y423" s="359">
        <f>IF(Scharniere[[#This Row],[Bohrbild]]=select!$A$989,1,0)</f>
        <v>0</v>
      </c>
      <c r="Z423" s="359">
        <f>IF(IF(Scharniere[[#This Row],[Anschrauben]]=1,1,IF(Scharniere[[#This Row],[Einpressen]]=1,2,IF(Scharniere[[#This Row],[Quick]]=1,3,IF(Scharniere[[#This Row],[Werkzeuglos]]=1,4,0))))=select!$A$1003,1,0)</f>
        <v>0</v>
      </c>
      <c r="AA4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3" s="359">
        <f ca="1">IF(select!$K$980="*",Scharniere[[#This Row],[AG Ges2]],Scharniere[[#This Row],[AG Ges1]])</f>
        <v>0</v>
      </c>
      <c r="AE423" s="451">
        <f ca="1">IF(AND(Scharniere[[#This Row],[Scharnierart]]=select!$A$1485,Scharniere[[#This Row],[Gruppenschlüssel]]=select!$B$1485)=TRUE,1,0)</f>
        <v>0</v>
      </c>
      <c r="AF423" s="451">
        <f ca="1">IF(AND(Scharniere[[#This Row],[Scharnierart]]=select!$A$1486,Scharniere[[#This Row],[Gruppenschlüssel]]=select!$B$1486)=TRUE,1,0)</f>
        <v>0</v>
      </c>
      <c r="AG423" s="451">
        <f ca="1">IF(AND(Scharniere[[#This Row],[Scharnierart]]=select!$A$1487,Scharniere[[#This Row],[Gruppenschlüssel]]=select!$B$1487)=TRUE,1,0)</f>
        <v>0</v>
      </c>
      <c r="AH423" s="451">
        <f ca="1">IF(AND(Scharniere[[#This Row],[Scharnierart]]=select!$A$1488,Scharniere[[#This Row],[Gruppenschlüssel]]=select!$B$1488)=TRUE,1,0)</f>
        <v>0</v>
      </c>
      <c r="AI423" s="451">
        <f ca="1">IF(SUM(Scharniere[[#This Row],[konf Scharnier 1]:[konf Scharnier 4]])&gt;0,1,0)</f>
        <v>0</v>
      </c>
      <c r="AJ423" s="451"/>
      <c r="AK423" s="451"/>
      <c r="AL423" s="451"/>
      <c r="AM423" s="451"/>
      <c r="AN423" s="451"/>
      <c r="AO423" s="146">
        <v>1</v>
      </c>
      <c r="AP423" s="146">
        <v>3</v>
      </c>
      <c r="AQ423" s="10" t="str">
        <f ca="1">Sprache!$A$112</f>
        <v>Tiomos Scharnier TS Click-on</v>
      </c>
      <c r="AR423" t="str">
        <f ca="1">"160°, M-BB, K9.5, "&amp;Sprache!A181&amp;", ni"</f>
        <v>160°, M-BB, K9.5, Dübel, ni</v>
      </c>
      <c r="AS423" t="str">
        <f ca="1">Sprache!$A$103</f>
        <v>Tiomos Click-On Scharniere</v>
      </c>
      <c r="AT423">
        <v>9.5</v>
      </c>
      <c r="AU423" t="s">
        <v>8</v>
      </c>
      <c r="AV423">
        <v>160</v>
      </c>
      <c r="AW423" s="10">
        <v>1</v>
      </c>
      <c r="AX423">
        <v>0</v>
      </c>
      <c r="AY423">
        <v>0</v>
      </c>
      <c r="AZ423" s="10">
        <v>0</v>
      </c>
      <c r="BA423">
        <v>1</v>
      </c>
      <c r="BB423">
        <v>0</v>
      </c>
      <c r="BC423">
        <v>0</v>
      </c>
      <c r="BD423" s="143" t="s">
        <v>252</v>
      </c>
      <c r="BG423"/>
    </row>
    <row r="424" spans="1:59" ht="14.25" customHeight="1" x14ac:dyDescent="0.25">
      <c r="A424" s="37" t="str">
        <f>LEFT(Scharniere[[#This Row],[ArtikelNR]],4)</f>
        <v>F046</v>
      </c>
      <c r="B424" s="35" t="str">
        <f>MID(Scharniere[[#This Row],[ArtikelNR]],5,3)</f>
        <v>138</v>
      </c>
      <c r="C424" s="37" t="str">
        <f>RIGHT(Scharniere[[#This Row],[ArtikelNR]],3)</f>
        <v>231</v>
      </c>
      <c r="D424" s="35">
        <f>IF(AND(Scharniere[[#This Row],[Gruppenschlüssel]]=select!$A$44,Scharniere[[#This Row],[Scharnierart]]=1)=TRUE,1,0)</f>
        <v>0</v>
      </c>
      <c r="E4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4" s="35">
        <f>IF(select!$F$57=IF(Scharniere[[#This Row],[mit Dämpfung]]=1,1,IF(Scharniere[[#This Row],[ohne Dämpfung]]=1,2,IF(Scharniere[[#This Row],[ohne Feder]]=1,3,0))),1,0)</f>
        <v>1</v>
      </c>
      <c r="G424" s="35">
        <f>IF(Scharniere[[#This Row],[Bohrbild]]=select!$V$43,1,0)</f>
        <v>1</v>
      </c>
      <c r="H424" s="35">
        <f>IF(IF(Scharniere[[#This Row],[Anschrauben]]=1,1,IF(Scharniere[[#This Row],[Einpressen]]=1,2,IF(Scharniere[[#This Row],[Quick]]=1,3,IF(Scharniere[[#This Row],[Werkzeuglos]]=1,4,0))))=select!$F$48,1,0)</f>
        <v>1</v>
      </c>
      <c r="I4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4" s="149">
        <f>IF(AND(Scharniere[[#This Row],[Scharnierart]]=2,Scharniere[[#This Row],[Gruppenschlüssel]]=select!$A$318)=TRUE,1,0)</f>
        <v>0</v>
      </c>
      <c r="K424" s="221">
        <f ca="1">IF(select!$O$424&lt;6,1,0)</f>
        <v>1</v>
      </c>
      <c r="L424" s="139">
        <f>IF(select!$A$362=IF(Scharniere[[#This Row],[mit Dämpfung]]=1,1,IF(Scharniere[[#This Row],[ohne Dämpfung]]=1,2,IF(Scharniere[[#This Row],[ohne Feder]]=1,3,0))),1,0)</f>
        <v>0</v>
      </c>
      <c r="M424" s="135">
        <f>IF(Scharniere[[#This Row],[Bohrbild]]=select!$O$334,1,0)</f>
        <v>1</v>
      </c>
      <c r="N424" s="135">
        <f>IF(IF(Scharniere[[#This Row],[Anschrauben]]=1,1,IF(Scharniere[[#This Row],[Einpressen]]=1,2,IF(Scharniere[[#This Row],[Quick]]=1,3,IF(Scharniere[[#This Row],[Werkzeuglos]]=1,4,0))))=select!$E$362,1,0)</f>
        <v>0</v>
      </c>
      <c r="O4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4" s="298">
        <f>IF(AND(Scharniere[[#This Row],[Scharnierart]]=3,Scharniere[[#This Row],[Gruppenschlüssel]]=select!$A$747)=TRUE,1,0)</f>
        <v>0</v>
      </c>
      <c r="Q424" s="298">
        <f ca="1">IF(select!$O$945&lt;6,1,0)</f>
        <v>1</v>
      </c>
      <c r="R424" s="298">
        <f>IF(select!$A$778=IF(Scharniere[[#This Row],[mit Dämpfung]]=1,1,IF(Scharniere[[#This Row],[ohne Dämpfung]]=1,2,IF(Scharniere[[#This Row],[ohne Feder]]=1,3,0))),1,0)</f>
        <v>0</v>
      </c>
      <c r="S424" s="298">
        <f>IF(Scharniere[[#This Row],[Bohrbild]]=select!$A$755,1,0)</f>
        <v>0</v>
      </c>
      <c r="T424" s="298">
        <f>IF(IF(Scharniere[[#This Row],[Anschrauben]]=1,1,IF(Scharniere[[#This Row],[Einpressen]]=1,2,IF(Scharniere[[#This Row],[Quick]]=1,3,IF(Scharniere[[#This Row],[Werkzeuglos]]=1,4,0))))=select!$A$769,1,0)</f>
        <v>0</v>
      </c>
      <c r="U4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4" s="359">
        <f>IF(AND(Scharniere[[#This Row],[Scharnierart]]=4,Scharniere[[#This Row],[Gruppenschlüssel]]=select!$A$981)=TRUE,1,0)</f>
        <v>0</v>
      </c>
      <c r="W424" s="359">
        <f ca="1">IF(select!$O$1185&lt;6,1,0)</f>
        <v>1</v>
      </c>
      <c r="X424" s="359">
        <f>IF(select!$A$1012=IF(Scharniere[[#This Row],[mit Dämpfung]]=1,1,IF(Scharniere[[#This Row],[ohne Dämpfung]]=1,2,IF(Scharniere[[#This Row],[ohne Feder]]=1,3,0))),1,0)</f>
        <v>0</v>
      </c>
      <c r="Y424" s="359">
        <f>IF(Scharniere[[#This Row],[Bohrbild]]=select!$A$989,1,0)</f>
        <v>0</v>
      </c>
      <c r="Z424" s="359">
        <f>IF(IF(Scharniere[[#This Row],[Anschrauben]]=1,1,IF(Scharniere[[#This Row],[Einpressen]]=1,2,IF(Scharniere[[#This Row],[Quick]]=1,3,IF(Scharniere[[#This Row],[Werkzeuglos]]=1,4,0))))=select!$A$1003,1,0)</f>
        <v>0</v>
      </c>
      <c r="AA4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4" s="359">
        <f ca="1">IF(select!$K$980="*",Scharniere[[#This Row],[AG Ges2]],Scharniere[[#This Row],[AG Ges1]])</f>
        <v>0</v>
      </c>
      <c r="AE424" s="451">
        <f ca="1">IF(AND(Scharniere[[#This Row],[Scharnierart]]=select!$A$1485,Scharniere[[#This Row],[Gruppenschlüssel]]=select!$B$1485)=TRUE,1,0)</f>
        <v>0</v>
      </c>
      <c r="AF424" s="451">
        <f ca="1">IF(AND(Scharniere[[#This Row],[Scharnierart]]=select!$A$1486,Scharniere[[#This Row],[Gruppenschlüssel]]=select!$B$1486)=TRUE,1,0)</f>
        <v>0</v>
      </c>
      <c r="AG424" s="451">
        <f ca="1">IF(AND(Scharniere[[#This Row],[Scharnierart]]=select!$A$1487,Scharniere[[#This Row],[Gruppenschlüssel]]=select!$B$1487)=TRUE,1,0)</f>
        <v>0</v>
      </c>
      <c r="AH424" s="451">
        <f ca="1">IF(AND(Scharniere[[#This Row],[Scharnierart]]=select!$A$1488,Scharniere[[#This Row],[Gruppenschlüssel]]=select!$B$1488)=TRUE,1,0)</f>
        <v>0</v>
      </c>
      <c r="AI424" s="451">
        <f ca="1">IF(SUM(Scharniere[[#This Row],[konf Scharnier 1]:[konf Scharnier 4]])&gt;0,1,0)</f>
        <v>0</v>
      </c>
      <c r="AJ424" s="451"/>
      <c r="AK424" s="451"/>
      <c r="AL424" s="451"/>
      <c r="AM424" s="451"/>
      <c r="AN424" s="451"/>
      <c r="AO424" s="146">
        <v>1</v>
      </c>
      <c r="AP424" s="146">
        <v>3</v>
      </c>
      <c r="AQ424" s="10" t="str">
        <f ca="1">Sprache!$A$114</f>
        <v>Tiomos Scharnier TT Click-on</v>
      </c>
      <c r="AR424" t="str">
        <f ca="1">"160°, M-BB, K9.5, "&amp;Sprache!A181&amp;", ni"</f>
        <v>160°, M-BB, K9.5, Dübel, ni</v>
      </c>
      <c r="AS424" t="str">
        <f ca="1">Sprache!$A$103</f>
        <v>Tiomos Click-On Scharniere</v>
      </c>
      <c r="AT424">
        <v>9.5</v>
      </c>
      <c r="AU424" t="s">
        <v>8</v>
      </c>
      <c r="AV424">
        <v>160</v>
      </c>
      <c r="AW424" s="10">
        <v>0</v>
      </c>
      <c r="AX424">
        <v>0</v>
      </c>
      <c r="AY424">
        <v>1</v>
      </c>
      <c r="AZ424" s="10">
        <v>0</v>
      </c>
      <c r="BA424">
        <v>1</v>
      </c>
      <c r="BB424">
        <v>0</v>
      </c>
      <c r="BC424">
        <v>0</v>
      </c>
      <c r="BD424" s="143" t="s">
        <v>600</v>
      </c>
      <c r="BG424"/>
    </row>
    <row r="425" spans="1:59" ht="14.25" customHeight="1" x14ac:dyDescent="0.25">
      <c r="A425" s="37" t="str">
        <f>LEFT(Scharniere[[#This Row],[ArtikelNR]],4)</f>
        <v>F045</v>
      </c>
      <c r="B425" s="35" t="str">
        <f>MID(Scharniere[[#This Row],[ArtikelNR]],5,3)</f>
        <v>138</v>
      </c>
      <c r="C425" s="37" t="str">
        <f>RIGHT(Scharniere[[#This Row],[ArtikelNR]],3)</f>
        <v>044</v>
      </c>
      <c r="D425" s="35">
        <f>IF(AND(Scharniere[[#This Row],[Gruppenschlüssel]]=select!$A$44,Scharniere[[#This Row],[Scharnierart]]=1)=TRUE,1,0)</f>
        <v>0</v>
      </c>
      <c r="E4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5" s="35">
        <f>IF(select!$F$57=IF(Scharniere[[#This Row],[mit Dämpfung]]=1,1,IF(Scharniere[[#This Row],[ohne Dämpfung]]=1,2,IF(Scharniere[[#This Row],[ohne Feder]]=1,3,0))),1,0)</f>
        <v>0</v>
      </c>
      <c r="G425" s="35">
        <f>IF(Scharniere[[#This Row],[Bohrbild]]=select!$V$43,1,0)</f>
        <v>1</v>
      </c>
      <c r="H425" s="35">
        <f>IF(IF(Scharniere[[#This Row],[Anschrauben]]=1,1,IF(Scharniere[[#This Row],[Einpressen]]=1,2,IF(Scharniere[[#This Row],[Quick]]=1,3,IF(Scharniere[[#This Row],[Werkzeuglos]]=1,4,0))))=select!$F$48,1,0)</f>
        <v>0</v>
      </c>
      <c r="I4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5" s="149">
        <f>IF(AND(Scharniere[[#This Row],[Scharnierart]]=2,Scharniere[[#This Row],[Gruppenschlüssel]]=select!$A$318)=TRUE,1,0)</f>
        <v>0</v>
      </c>
      <c r="K425" s="221">
        <f ca="1">IF(select!$O$424&lt;6,1,0)</f>
        <v>1</v>
      </c>
      <c r="L425" s="139">
        <f>IF(select!$A$362=IF(Scharniere[[#This Row],[mit Dämpfung]]=1,1,IF(Scharniere[[#This Row],[ohne Dämpfung]]=1,2,IF(Scharniere[[#This Row],[ohne Feder]]=1,3,0))),1,0)</f>
        <v>0</v>
      </c>
      <c r="M425" s="135">
        <f>IF(Scharniere[[#This Row],[Bohrbild]]=select!$O$334,1,0)</f>
        <v>1</v>
      </c>
      <c r="N425" s="135">
        <f>IF(IF(Scharniere[[#This Row],[Anschrauben]]=1,1,IF(Scharniere[[#This Row],[Einpressen]]=1,2,IF(Scharniere[[#This Row],[Quick]]=1,3,IF(Scharniere[[#This Row],[Werkzeuglos]]=1,4,0))))=select!$E$362,1,0)</f>
        <v>1</v>
      </c>
      <c r="O4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5" s="298">
        <f>IF(AND(Scharniere[[#This Row],[Scharnierart]]=3,Scharniere[[#This Row],[Gruppenschlüssel]]=select!$A$747)=TRUE,1,0)</f>
        <v>0</v>
      </c>
      <c r="Q425" s="298">
        <f ca="1">IF(select!$O$945&lt;6,1,0)</f>
        <v>1</v>
      </c>
      <c r="R425" s="298">
        <f>IF(select!$A$778=IF(Scharniere[[#This Row],[mit Dämpfung]]=1,1,IF(Scharniere[[#This Row],[ohne Dämpfung]]=1,2,IF(Scharniere[[#This Row],[ohne Feder]]=1,3,0))),1,0)</f>
        <v>1</v>
      </c>
      <c r="S425" s="298">
        <f>IF(Scharniere[[#This Row],[Bohrbild]]=select!$A$755,1,0)</f>
        <v>0</v>
      </c>
      <c r="T425" s="298">
        <f>IF(IF(Scharniere[[#This Row],[Anschrauben]]=1,1,IF(Scharniere[[#This Row],[Einpressen]]=1,2,IF(Scharniere[[#This Row],[Quick]]=1,3,IF(Scharniere[[#This Row],[Werkzeuglos]]=1,4,0))))=select!$A$769,1,0)</f>
        <v>1</v>
      </c>
      <c r="U4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5" s="359">
        <f>IF(AND(Scharniere[[#This Row],[Scharnierart]]=4,Scharniere[[#This Row],[Gruppenschlüssel]]=select!$A$981)=TRUE,1,0)</f>
        <v>0</v>
      </c>
      <c r="W425" s="359">
        <f ca="1">IF(select!$O$1185&lt;6,1,0)</f>
        <v>1</v>
      </c>
      <c r="X425" s="359">
        <f>IF(select!$A$1012=IF(Scharniere[[#This Row],[mit Dämpfung]]=1,1,IF(Scharniere[[#This Row],[ohne Dämpfung]]=1,2,IF(Scharniere[[#This Row],[ohne Feder]]=1,3,0))),1,0)</f>
        <v>1</v>
      </c>
      <c r="Y425" s="359">
        <f>IF(Scharniere[[#This Row],[Bohrbild]]=select!$A$989,1,0)</f>
        <v>0</v>
      </c>
      <c r="Z425" s="359">
        <f>IF(IF(Scharniere[[#This Row],[Anschrauben]]=1,1,IF(Scharniere[[#This Row],[Einpressen]]=1,2,IF(Scharniere[[#This Row],[Quick]]=1,3,IF(Scharniere[[#This Row],[Werkzeuglos]]=1,4,0))))=select!$A$1003,1,0)</f>
        <v>1</v>
      </c>
      <c r="AA4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5" s="359">
        <f ca="1">IF(select!$K$980="*",Scharniere[[#This Row],[AG Ges2]],Scharniere[[#This Row],[AG Ges1]])</f>
        <v>0</v>
      </c>
      <c r="AE425" s="451">
        <f ca="1">IF(AND(Scharniere[[#This Row],[Scharnierart]]=select!$A$1485,Scharniere[[#This Row],[Gruppenschlüssel]]=select!$B$1485)=TRUE,1,0)</f>
        <v>0</v>
      </c>
      <c r="AF425" s="451">
        <f ca="1">IF(AND(Scharniere[[#This Row],[Scharnierart]]=select!$A$1486,Scharniere[[#This Row],[Gruppenschlüssel]]=select!$B$1486)=TRUE,1,0)</f>
        <v>0</v>
      </c>
      <c r="AG425" s="451">
        <f ca="1">IF(AND(Scharniere[[#This Row],[Scharnierart]]=select!$A$1487,Scharniere[[#This Row],[Gruppenschlüssel]]=select!$B$1487)=TRUE,1,0)</f>
        <v>0</v>
      </c>
      <c r="AH425" s="451">
        <f ca="1">IF(AND(Scharniere[[#This Row],[Scharnierart]]=select!$A$1488,Scharniere[[#This Row],[Gruppenschlüssel]]=select!$B$1488)=TRUE,1,0)</f>
        <v>0</v>
      </c>
      <c r="AI425" s="451">
        <f ca="1">IF(SUM(Scharniere[[#This Row],[konf Scharnier 1]:[konf Scharnier 4]])&gt;0,1,0)</f>
        <v>0</v>
      </c>
      <c r="AJ425" s="451"/>
      <c r="AK425" s="451"/>
      <c r="AL425" s="451"/>
      <c r="AM425" s="451"/>
      <c r="AN425" s="451"/>
      <c r="AO425" s="146">
        <v>1</v>
      </c>
      <c r="AP425" s="146">
        <v>3</v>
      </c>
      <c r="AQ425" s="10" t="str">
        <f ca="1">Sprache!$A$110</f>
        <v>Tiomos Scharnier T Click-on</v>
      </c>
      <c r="AR425" t="s">
        <v>1944</v>
      </c>
      <c r="AS425" t="str">
        <f ca="1">Sprache!$A$103</f>
        <v>Tiomos Click-On Scharniere</v>
      </c>
      <c r="AT425">
        <v>9.5</v>
      </c>
      <c r="AU425" t="s">
        <v>8</v>
      </c>
      <c r="AV425">
        <v>160</v>
      </c>
      <c r="AW425" s="10">
        <v>0</v>
      </c>
      <c r="AX425">
        <v>1</v>
      </c>
      <c r="AY425">
        <v>0</v>
      </c>
      <c r="AZ425" s="10">
        <v>1</v>
      </c>
      <c r="BA425">
        <v>0</v>
      </c>
      <c r="BB425">
        <v>0</v>
      </c>
      <c r="BC425">
        <v>0</v>
      </c>
      <c r="BD425" s="143" t="s">
        <v>445</v>
      </c>
      <c r="BG425"/>
    </row>
    <row r="426" spans="1:59" ht="14.25" customHeight="1" x14ac:dyDescent="0.25">
      <c r="A426" s="37" t="str">
        <f>LEFT(Scharniere[[#This Row],[ArtikelNR]],4)</f>
        <v>F028</v>
      </c>
      <c r="B426" s="35" t="str">
        <f>MID(Scharniere[[#This Row],[ArtikelNR]],5,3)</f>
        <v>138</v>
      </c>
      <c r="C426" s="37" t="str">
        <f>RIGHT(Scharniere[[#This Row],[ArtikelNR]],3)</f>
        <v>137</v>
      </c>
      <c r="D426" s="35">
        <f>IF(AND(Scharniere[[#This Row],[Gruppenschlüssel]]=select!$A$44,Scharniere[[#This Row],[Scharnierart]]=1)=TRUE,1,0)</f>
        <v>0</v>
      </c>
      <c r="E4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6" s="35">
        <f>IF(select!$F$57=IF(Scharniere[[#This Row],[mit Dämpfung]]=1,1,IF(Scharniere[[#This Row],[ohne Dämpfung]]=1,2,IF(Scharniere[[#This Row],[ohne Feder]]=1,3,0))),1,0)</f>
        <v>0</v>
      </c>
      <c r="G426" s="35">
        <f>IF(Scharniere[[#This Row],[Bohrbild]]=select!$V$43,1,0)</f>
        <v>1</v>
      </c>
      <c r="H426" s="35">
        <f>IF(IF(Scharniere[[#This Row],[Anschrauben]]=1,1,IF(Scharniere[[#This Row],[Einpressen]]=1,2,IF(Scharniere[[#This Row],[Quick]]=1,3,IF(Scharniere[[#This Row],[Werkzeuglos]]=1,4,0))))=select!$F$48,1,0)</f>
        <v>0</v>
      </c>
      <c r="I4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6" s="149">
        <f>IF(AND(Scharniere[[#This Row],[Scharnierart]]=2,Scharniere[[#This Row],[Gruppenschlüssel]]=select!$A$318)=TRUE,1,0)</f>
        <v>0</v>
      </c>
      <c r="K426" s="221">
        <f ca="1">IF(select!$O$424&lt;6,1,0)</f>
        <v>1</v>
      </c>
      <c r="L426" s="139">
        <f>IF(select!$A$362=IF(Scharniere[[#This Row],[mit Dämpfung]]=1,1,IF(Scharniere[[#This Row],[ohne Dämpfung]]=1,2,IF(Scharniere[[#This Row],[ohne Feder]]=1,3,0))),1,0)</f>
        <v>1</v>
      </c>
      <c r="M426" s="135">
        <f>IF(Scharniere[[#This Row],[Bohrbild]]=select!$O$334,1,0)</f>
        <v>1</v>
      </c>
      <c r="N426" s="135">
        <f>IF(IF(Scharniere[[#This Row],[Anschrauben]]=1,1,IF(Scharniere[[#This Row],[Einpressen]]=1,2,IF(Scharniere[[#This Row],[Quick]]=1,3,IF(Scharniere[[#This Row],[Werkzeuglos]]=1,4,0))))=select!$E$362,1,0)</f>
        <v>1</v>
      </c>
      <c r="O4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6" s="298">
        <f>IF(AND(Scharniere[[#This Row],[Scharnierart]]=3,Scharniere[[#This Row],[Gruppenschlüssel]]=select!$A$747)=TRUE,1,0)</f>
        <v>0</v>
      </c>
      <c r="Q426" s="298">
        <f ca="1">IF(select!$O$945&lt;6,1,0)</f>
        <v>1</v>
      </c>
      <c r="R426" s="298">
        <f>IF(select!$A$778=IF(Scharniere[[#This Row],[mit Dämpfung]]=1,1,IF(Scharniere[[#This Row],[ohne Dämpfung]]=1,2,IF(Scharniere[[#This Row],[ohne Feder]]=1,3,0))),1,0)</f>
        <v>0</v>
      </c>
      <c r="S426" s="298">
        <f>IF(Scharniere[[#This Row],[Bohrbild]]=select!$A$755,1,0)</f>
        <v>0</v>
      </c>
      <c r="T426" s="298">
        <f>IF(IF(Scharniere[[#This Row],[Anschrauben]]=1,1,IF(Scharniere[[#This Row],[Einpressen]]=1,2,IF(Scharniere[[#This Row],[Quick]]=1,3,IF(Scharniere[[#This Row],[Werkzeuglos]]=1,4,0))))=select!$A$769,1,0)</f>
        <v>1</v>
      </c>
      <c r="U4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6" s="359">
        <f>IF(AND(Scharniere[[#This Row],[Scharnierart]]=4,Scharniere[[#This Row],[Gruppenschlüssel]]=select!$A$981)=TRUE,1,0)</f>
        <v>0</v>
      </c>
      <c r="W426" s="359">
        <f ca="1">IF(select!$O$1185&lt;6,1,0)</f>
        <v>1</v>
      </c>
      <c r="X426" s="359">
        <f>IF(select!$A$1012=IF(Scharniere[[#This Row],[mit Dämpfung]]=1,1,IF(Scharniere[[#This Row],[ohne Dämpfung]]=1,2,IF(Scharniere[[#This Row],[ohne Feder]]=1,3,0))),1,0)</f>
        <v>0</v>
      </c>
      <c r="Y426" s="359">
        <f>IF(Scharniere[[#This Row],[Bohrbild]]=select!$A$989,1,0)</f>
        <v>0</v>
      </c>
      <c r="Z426" s="359">
        <f>IF(IF(Scharniere[[#This Row],[Anschrauben]]=1,1,IF(Scharniere[[#This Row],[Einpressen]]=1,2,IF(Scharniere[[#This Row],[Quick]]=1,3,IF(Scharniere[[#This Row],[Werkzeuglos]]=1,4,0))))=select!$A$1003,1,0)</f>
        <v>1</v>
      </c>
      <c r="AA4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6" s="359">
        <f ca="1">IF(select!$K$980="*",Scharniere[[#This Row],[AG Ges2]],Scharniere[[#This Row],[AG Ges1]])</f>
        <v>0</v>
      </c>
      <c r="AE426" s="451">
        <f ca="1">IF(AND(Scharniere[[#This Row],[Scharnierart]]=select!$A$1485,Scharniere[[#This Row],[Gruppenschlüssel]]=select!$B$1485)=TRUE,1,0)</f>
        <v>0</v>
      </c>
      <c r="AF426" s="451">
        <f ca="1">IF(AND(Scharniere[[#This Row],[Scharnierart]]=select!$A$1486,Scharniere[[#This Row],[Gruppenschlüssel]]=select!$B$1486)=TRUE,1,0)</f>
        <v>0</v>
      </c>
      <c r="AG426" s="451">
        <f ca="1">IF(AND(Scharniere[[#This Row],[Scharnierart]]=select!$A$1487,Scharniere[[#This Row],[Gruppenschlüssel]]=select!$B$1487)=TRUE,1,0)</f>
        <v>0</v>
      </c>
      <c r="AH426" s="451">
        <f ca="1">IF(AND(Scharniere[[#This Row],[Scharnierart]]=select!$A$1488,Scharniere[[#This Row],[Gruppenschlüssel]]=select!$B$1488)=TRUE,1,0)</f>
        <v>0</v>
      </c>
      <c r="AI426" s="451">
        <f ca="1">IF(SUM(Scharniere[[#This Row],[konf Scharnier 1]:[konf Scharnier 4]])&gt;0,1,0)</f>
        <v>0</v>
      </c>
      <c r="AJ426" s="451"/>
      <c r="AK426" s="451"/>
      <c r="AL426" s="451"/>
      <c r="AM426" s="451"/>
      <c r="AN426" s="451"/>
      <c r="AO426" s="146">
        <v>1</v>
      </c>
      <c r="AP426" s="146">
        <v>3</v>
      </c>
      <c r="AQ426" s="10" t="str">
        <f ca="1">Sprache!$A$112</f>
        <v>Tiomos Scharnier TS Click-on</v>
      </c>
      <c r="AR426" t="s">
        <v>1944</v>
      </c>
      <c r="AS426" t="str">
        <f ca="1">Sprache!$A$103</f>
        <v>Tiomos Click-On Scharniere</v>
      </c>
      <c r="AT426">
        <v>9.5</v>
      </c>
      <c r="AU426" s="34" t="s">
        <v>8</v>
      </c>
      <c r="AV426">
        <v>160</v>
      </c>
      <c r="AW426" s="10">
        <v>1</v>
      </c>
      <c r="AX426">
        <v>0</v>
      </c>
      <c r="AY426">
        <v>0</v>
      </c>
      <c r="AZ426" s="10">
        <v>1</v>
      </c>
      <c r="BA426">
        <v>0</v>
      </c>
      <c r="BB426">
        <v>0</v>
      </c>
      <c r="BC426">
        <v>0</v>
      </c>
      <c r="BD426" s="143" t="s">
        <v>249</v>
      </c>
      <c r="BG426"/>
    </row>
    <row r="427" spans="1:59" ht="14.25" customHeight="1" x14ac:dyDescent="0.25">
      <c r="A427" s="37" t="str">
        <f>LEFT(Scharniere[[#This Row],[ArtikelNR]],4)</f>
        <v>F046</v>
      </c>
      <c r="B427" s="35" t="str">
        <f>MID(Scharniere[[#This Row],[ArtikelNR]],5,3)</f>
        <v>138</v>
      </c>
      <c r="C427" s="37" t="str">
        <f>RIGHT(Scharniere[[#This Row],[ArtikelNR]],3)</f>
        <v>228</v>
      </c>
      <c r="D427" s="35">
        <f>IF(AND(Scharniere[[#This Row],[Gruppenschlüssel]]=select!$A$44,Scharniere[[#This Row],[Scharnierart]]=1)=TRUE,1,0)</f>
        <v>0</v>
      </c>
      <c r="E4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7" s="35">
        <f>IF(select!$F$57=IF(Scharniere[[#This Row],[mit Dämpfung]]=1,1,IF(Scharniere[[#This Row],[ohne Dämpfung]]=1,2,IF(Scharniere[[#This Row],[ohne Feder]]=1,3,0))),1,0)</f>
        <v>1</v>
      </c>
      <c r="G427" s="35">
        <f>IF(Scharniere[[#This Row],[Bohrbild]]=select!$V$43,1,0)</f>
        <v>1</v>
      </c>
      <c r="H427" s="35">
        <f>IF(IF(Scharniere[[#This Row],[Anschrauben]]=1,1,IF(Scharniere[[#This Row],[Einpressen]]=1,2,IF(Scharniere[[#This Row],[Quick]]=1,3,IF(Scharniere[[#This Row],[Werkzeuglos]]=1,4,0))))=select!$F$48,1,0)</f>
        <v>0</v>
      </c>
      <c r="I4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7" s="149">
        <f>IF(AND(Scharniere[[#This Row],[Scharnierart]]=2,Scharniere[[#This Row],[Gruppenschlüssel]]=select!$A$318)=TRUE,1,0)</f>
        <v>0</v>
      </c>
      <c r="K427" s="221">
        <f ca="1">IF(select!$O$424&lt;6,1,0)</f>
        <v>1</v>
      </c>
      <c r="L427" s="139">
        <f>IF(select!$A$362=IF(Scharniere[[#This Row],[mit Dämpfung]]=1,1,IF(Scharniere[[#This Row],[ohne Dämpfung]]=1,2,IF(Scharniere[[#This Row],[ohne Feder]]=1,3,0))),1,0)</f>
        <v>0</v>
      </c>
      <c r="M427" s="135">
        <f>IF(Scharniere[[#This Row],[Bohrbild]]=select!$O$334,1,0)</f>
        <v>1</v>
      </c>
      <c r="N427" s="135">
        <f>IF(IF(Scharniere[[#This Row],[Anschrauben]]=1,1,IF(Scharniere[[#This Row],[Einpressen]]=1,2,IF(Scharniere[[#This Row],[Quick]]=1,3,IF(Scharniere[[#This Row],[Werkzeuglos]]=1,4,0))))=select!$E$362,1,0)</f>
        <v>1</v>
      </c>
      <c r="O4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7" s="298">
        <f>IF(AND(Scharniere[[#This Row],[Scharnierart]]=3,Scharniere[[#This Row],[Gruppenschlüssel]]=select!$A$747)=TRUE,1,0)</f>
        <v>0</v>
      </c>
      <c r="Q427" s="298">
        <f ca="1">IF(select!$O$945&lt;6,1,0)</f>
        <v>1</v>
      </c>
      <c r="R427" s="298">
        <f>IF(select!$A$778=IF(Scharniere[[#This Row],[mit Dämpfung]]=1,1,IF(Scharniere[[#This Row],[ohne Dämpfung]]=1,2,IF(Scharniere[[#This Row],[ohne Feder]]=1,3,0))),1,0)</f>
        <v>0</v>
      </c>
      <c r="S427" s="298">
        <f>IF(Scharniere[[#This Row],[Bohrbild]]=select!$A$755,1,0)</f>
        <v>0</v>
      </c>
      <c r="T427" s="298">
        <f>IF(IF(Scharniere[[#This Row],[Anschrauben]]=1,1,IF(Scharniere[[#This Row],[Einpressen]]=1,2,IF(Scharniere[[#This Row],[Quick]]=1,3,IF(Scharniere[[#This Row],[Werkzeuglos]]=1,4,0))))=select!$A$769,1,0)</f>
        <v>1</v>
      </c>
      <c r="U4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7" s="359">
        <f>IF(AND(Scharniere[[#This Row],[Scharnierart]]=4,Scharniere[[#This Row],[Gruppenschlüssel]]=select!$A$981)=TRUE,1,0)</f>
        <v>0</v>
      </c>
      <c r="W427" s="359">
        <f ca="1">IF(select!$O$1185&lt;6,1,0)</f>
        <v>1</v>
      </c>
      <c r="X427" s="359">
        <f>IF(select!$A$1012=IF(Scharniere[[#This Row],[mit Dämpfung]]=1,1,IF(Scharniere[[#This Row],[ohne Dämpfung]]=1,2,IF(Scharniere[[#This Row],[ohne Feder]]=1,3,0))),1,0)</f>
        <v>0</v>
      </c>
      <c r="Y427" s="359">
        <f>IF(Scharniere[[#This Row],[Bohrbild]]=select!$A$989,1,0)</f>
        <v>0</v>
      </c>
      <c r="Z427" s="359">
        <f>IF(IF(Scharniere[[#This Row],[Anschrauben]]=1,1,IF(Scharniere[[#This Row],[Einpressen]]=1,2,IF(Scharniere[[#This Row],[Quick]]=1,3,IF(Scharniere[[#This Row],[Werkzeuglos]]=1,4,0))))=select!$A$1003,1,0)</f>
        <v>1</v>
      </c>
      <c r="AA4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7" s="359">
        <f ca="1">IF(select!$K$980="*",Scharniere[[#This Row],[AG Ges2]],Scharniere[[#This Row],[AG Ges1]])</f>
        <v>0</v>
      </c>
      <c r="AE427" s="451">
        <f ca="1">IF(AND(Scharniere[[#This Row],[Scharnierart]]=select!$A$1485,Scharniere[[#This Row],[Gruppenschlüssel]]=select!$B$1485)=TRUE,1,0)</f>
        <v>0</v>
      </c>
      <c r="AF427" s="451">
        <f ca="1">IF(AND(Scharniere[[#This Row],[Scharnierart]]=select!$A$1486,Scharniere[[#This Row],[Gruppenschlüssel]]=select!$B$1486)=TRUE,1,0)</f>
        <v>0</v>
      </c>
      <c r="AG427" s="451">
        <f ca="1">IF(AND(Scharniere[[#This Row],[Scharnierart]]=select!$A$1487,Scharniere[[#This Row],[Gruppenschlüssel]]=select!$B$1487)=TRUE,1,0)</f>
        <v>0</v>
      </c>
      <c r="AH427" s="451">
        <f ca="1">IF(AND(Scharniere[[#This Row],[Scharnierart]]=select!$A$1488,Scharniere[[#This Row],[Gruppenschlüssel]]=select!$B$1488)=TRUE,1,0)</f>
        <v>0</v>
      </c>
      <c r="AI427" s="451">
        <f ca="1">IF(SUM(Scharniere[[#This Row],[konf Scharnier 1]:[konf Scharnier 4]])&gt;0,1,0)</f>
        <v>0</v>
      </c>
      <c r="AJ427" s="451"/>
      <c r="AK427" s="451"/>
      <c r="AL427" s="451"/>
      <c r="AM427" s="451"/>
      <c r="AN427" s="451"/>
      <c r="AO427" s="146">
        <v>1</v>
      </c>
      <c r="AP427" s="146">
        <v>3</v>
      </c>
      <c r="AQ427" s="10" t="str">
        <f ca="1">Sprache!$A$114</f>
        <v>Tiomos Scharnier TT Click-on</v>
      </c>
      <c r="AR427" t="s">
        <v>1944</v>
      </c>
      <c r="AS427" t="str">
        <f ca="1">Sprache!$A$103</f>
        <v>Tiomos Click-On Scharniere</v>
      </c>
      <c r="AT427">
        <v>9.5</v>
      </c>
      <c r="AU427" s="34" t="s">
        <v>8</v>
      </c>
      <c r="AV427">
        <v>160</v>
      </c>
      <c r="AW427" s="10">
        <v>0</v>
      </c>
      <c r="AX427">
        <v>0</v>
      </c>
      <c r="AY427">
        <v>1</v>
      </c>
      <c r="AZ427" s="10">
        <v>1</v>
      </c>
      <c r="BA427">
        <v>0</v>
      </c>
      <c r="BB427">
        <v>0</v>
      </c>
      <c r="BC427">
        <v>0</v>
      </c>
      <c r="BD427" s="143" t="s">
        <v>597</v>
      </c>
      <c r="BG427"/>
    </row>
    <row r="428" spans="1:59" ht="14.25" customHeight="1" x14ac:dyDescent="0.25">
      <c r="A428" s="37" t="str">
        <f>LEFT(Scharniere[[#This Row],[ArtikelNR]],4)</f>
        <v>F034</v>
      </c>
      <c r="B428" s="35" t="str">
        <f>MID(Scharniere[[#This Row],[ArtikelNR]],5,3)</f>
        <v>139</v>
      </c>
      <c r="C428" s="37" t="str">
        <f>RIGHT(Scharniere[[#This Row],[ArtikelNR]],3)</f>
        <v>323</v>
      </c>
      <c r="D428" s="35">
        <f>IF(AND(Scharniere[[#This Row],[Gruppenschlüssel]]=select!$A$44,Scharniere[[#This Row],[Scharnierart]]=1)=TRUE,1,0)</f>
        <v>0</v>
      </c>
      <c r="E4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8" s="35">
        <f>IF(select!$F$57=IF(Scharniere[[#This Row],[mit Dämpfung]]=1,1,IF(Scharniere[[#This Row],[ohne Dämpfung]]=1,2,IF(Scharniere[[#This Row],[ohne Feder]]=1,3,0))),1,0)</f>
        <v>0</v>
      </c>
      <c r="G428" s="35">
        <f>IF(Scharniere[[#This Row],[Bohrbild]]=select!$V$43,1,0)</f>
        <v>1</v>
      </c>
      <c r="H428" s="35">
        <f>IF(IF(Scharniere[[#This Row],[Anschrauben]]=1,1,IF(Scharniere[[#This Row],[Einpressen]]=1,2,IF(Scharniere[[#This Row],[Quick]]=1,3,IF(Scharniere[[#This Row],[Werkzeuglos]]=1,4,0))))=select!$F$48,1,0)</f>
        <v>0</v>
      </c>
      <c r="I4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8" s="149">
        <f>IF(AND(Scharniere[[#This Row],[Scharnierart]]=2,Scharniere[[#This Row],[Gruppenschlüssel]]=select!$A$318)=TRUE,1,0)</f>
        <v>0</v>
      </c>
      <c r="K428" s="221">
        <f ca="1">IF(select!$O$424&lt;6,1,0)</f>
        <v>1</v>
      </c>
      <c r="L428" s="139">
        <f>IF(select!$A$362=IF(Scharniere[[#This Row],[mit Dämpfung]]=1,1,IF(Scharniere[[#This Row],[ohne Dämpfung]]=1,2,IF(Scharniere[[#This Row],[ohne Feder]]=1,3,0))),1,0)</f>
        <v>0</v>
      </c>
      <c r="M428" s="135">
        <f>IF(Scharniere[[#This Row],[Bohrbild]]=select!$O$334,1,0)</f>
        <v>1</v>
      </c>
      <c r="N428" s="135">
        <f>IF(IF(Scharniere[[#This Row],[Anschrauben]]=1,1,IF(Scharniere[[#This Row],[Einpressen]]=1,2,IF(Scharniere[[#This Row],[Quick]]=1,3,IF(Scharniere[[#This Row],[Werkzeuglos]]=1,4,0))))=select!$E$362,1,0)</f>
        <v>0</v>
      </c>
      <c r="O4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8" s="298">
        <f>IF(AND(Scharniere[[#This Row],[Scharnierart]]=3,Scharniere[[#This Row],[Gruppenschlüssel]]=select!$A$747)=TRUE,1,0)</f>
        <v>0</v>
      </c>
      <c r="Q428" s="298">
        <f ca="1">IF(select!$O$945&lt;6,1,0)</f>
        <v>1</v>
      </c>
      <c r="R428" s="298">
        <f>IF(select!$A$778=IF(Scharniere[[#This Row],[mit Dämpfung]]=1,1,IF(Scharniere[[#This Row],[ohne Dämpfung]]=1,2,IF(Scharniere[[#This Row],[ohne Feder]]=1,3,0))),1,0)</f>
        <v>1</v>
      </c>
      <c r="S428" s="298">
        <f>IF(Scharniere[[#This Row],[Bohrbild]]=select!$A$755,1,0)</f>
        <v>0</v>
      </c>
      <c r="T428" s="298">
        <f>IF(IF(Scharniere[[#This Row],[Anschrauben]]=1,1,IF(Scharniere[[#This Row],[Einpressen]]=1,2,IF(Scharniere[[#This Row],[Quick]]=1,3,IF(Scharniere[[#This Row],[Werkzeuglos]]=1,4,0))))=select!$A$769,1,0)</f>
        <v>0</v>
      </c>
      <c r="U4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8" s="359">
        <f>IF(AND(Scharniere[[#This Row],[Scharnierart]]=4,Scharniere[[#This Row],[Gruppenschlüssel]]=select!$A$981)=TRUE,1,0)</f>
        <v>0</v>
      </c>
      <c r="W428" s="359">
        <f ca="1">IF(select!$O$1185&lt;6,1,0)</f>
        <v>1</v>
      </c>
      <c r="X428" s="359">
        <f>IF(select!$A$1012=IF(Scharniere[[#This Row],[mit Dämpfung]]=1,1,IF(Scharniere[[#This Row],[ohne Dämpfung]]=1,2,IF(Scharniere[[#This Row],[ohne Feder]]=1,3,0))),1,0)</f>
        <v>1</v>
      </c>
      <c r="Y428" s="359">
        <f>IF(Scharniere[[#This Row],[Bohrbild]]=select!$A$989,1,0)</f>
        <v>0</v>
      </c>
      <c r="Z428" s="359">
        <f>IF(IF(Scharniere[[#This Row],[Anschrauben]]=1,1,IF(Scharniere[[#This Row],[Einpressen]]=1,2,IF(Scharniere[[#This Row],[Quick]]=1,3,IF(Scharniere[[#This Row],[Werkzeuglos]]=1,4,0))))=select!$A$1003,1,0)</f>
        <v>0</v>
      </c>
      <c r="AA4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8" s="359">
        <f ca="1">IF(select!$K$980="*",Scharniere[[#This Row],[AG Ges2]],Scharniere[[#This Row],[AG Ges1]])</f>
        <v>0</v>
      </c>
      <c r="AE428" s="451">
        <f ca="1">IF(AND(Scharniere[[#This Row],[Scharnierart]]=select!$A$1485,Scharniere[[#This Row],[Gruppenschlüssel]]=select!$B$1485)=TRUE,1,0)</f>
        <v>0</v>
      </c>
      <c r="AF428" s="451">
        <f ca="1">IF(AND(Scharniere[[#This Row],[Scharnierart]]=select!$A$1486,Scharniere[[#This Row],[Gruppenschlüssel]]=select!$B$1486)=TRUE,1,0)</f>
        <v>0</v>
      </c>
      <c r="AG428" s="451">
        <f ca="1">IF(AND(Scharniere[[#This Row],[Scharnierart]]=select!$A$1487,Scharniere[[#This Row],[Gruppenschlüssel]]=select!$B$1487)=TRUE,1,0)</f>
        <v>0</v>
      </c>
      <c r="AH428" s="451">
        <f ca="1">IF(AND(Scharniere[[#This Row],[Scharnierart]]=select!$A$1488,Scharniere[[#This Row],[Gruppenschlüssel]]=select!$B$1488)=TRUE,1,0)</f>
        <v>0</v>
      </c>
      <c r="AI428" s="451">
        <f ca="1">IF(SUM(Scharniere[[#This Row],[konf Scharnier 1]:[konf Scharnier 4]])&gt;0,1,0)</f>
        <v>0</v>
      </c>
      <c r="AJ428" s="451"/>
      <c r="AK428" s="451"/>
      <c r="AL428" s="451"/>
      <c r="AM428" s="451"/>
      <c r="AN428" s="451"/>
      <c r="AO428" s="146">
        <v>1</v>
      </c>
      <c r="AP428" s="146">
        <v>3</v>
      </c>
      <c r="AQ428" s="10" t="str">
        <f ca="1">Sprache!$A$111</f>
        <v>Tiomos Scharnier T Impresso</v>
      </c>
      <c r="AR428" t="s">
        <v>1945</v>
      </c>
      <c r="AS428" t="str">
        <f ca="1">Sprache!$A$116</f>
        <v>Tiomos Impresso Scharniere</v>
      </c>
      <c r="AT428">
        <v>9.5</v>
      </c>
      <c r="AU428" t="s">
        <v>8</v>
      </c>
      <c r="AV428">
        <v>160</v>
      </c>
      <c r="AW428" s="10">
        <v>0</v>
      </c>
      <c r="AX428">
        <v>1</v>
      </c>
      <c r="AY428">
        <v>0</v>
      </c>
      <c r="AZ428" s="10">
        <v>0</v>
      </c>
      <c r="BA428">
        <v>0</v>
      </c>
      <c r="BB428">
        <v>0</v>
      </c>
      <c r="BC428">
        <v>1</v>
      </c>
      <c r="BD428" s="143" t="s">
        <v>146</v>
      </c>
      <c r="BG428"/>
    </row>
    <row r="429" spans="1:59" ht="14.25" customHeight="1" x14ac:dyDescent="0.25">
      <c r="A429" s="37" t="str">
        <f>LEFT(Scharniere[[#This Row],[ArtikelNR]],4)</f>
        <v>F034</v>
      </c>
      <c r="B429" s="35" t="str">
        <f>MID(Scharniere[[#This Row],[ArtikelNR]],5,3)</f>
        <v>139</v>
      </c>
      <c r="C429" s="37" t="str">
        <f>RIGHT(Scharniere[[#This Row],[ArtikelNR]],3)</f>
        <v>323</v>
      </c>
      <c r="D429" s="35">
        <f>IF(AND(Scharniere[[#This Row],[Gruppenschlüssel]]=select!$A$44,Scharniere[[#This Row],[Scharnierart]]=1)=TRUE,1,0)</f>
        <v>0</v>
      </c>
      <c r="E4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29" s="35">
        <f>IF(select!$F$57=IF(Scharniere[[#This Row],[mit Dämpfung]]=1,1,IF(Scharniere[[#This Row],[ohne Dämpfung]]=1,2,IF(Scharniere[[#This Row],[ohne Feder]]=1,3,0))),1,0)</f>
        <v>0</v>
      </c>
      <c r="G429" s="35">
        <f>IF(Scharniere[[#This Row],[Bohrbild]]=select!$V$43,1,0)</f>
        <v>0</v>
      </c>
      <c r="H429" s="35">
        <f>IF(IF(Scharniere[[#This Row],[Anschrauben]]=1,1,IF(Scharniere[[#This Row],[Einpressen]]=1,2,IF(Scharniere[[#This Row],[Quick]]=1,3,IF(Scharniere[[#This Row],[Werkzeuglos]]=1,4,0))))=select!$F$48,1,0)</f>
        <v>0</v>
      </c>
      <c r="I4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29" s="149">
        <f>IF(AND(Scharniere[[#This Row],[Scharnierart]]=2,Scharniere[[#This Row],[Gruppenschlüssel]]=select!$A$318)=TRUE,1,0)</f>
        <v>0</v>
      </c>
      <c r="K429" s="221">
        <f ca="1">IF(select!$O$424&lt;6,1,0)</f>
        <v>1</v>
      </c>
      <c r="L429" s="139">
        <f>IF(select!$A$362=IF(Scharniere[[#This Row],[mit Dämpfung]]=1,1,IF(Scharniere[[#This Row],[ohne Dämpfung]]=1,2,IF(Scharniere[[#This Row],[ohne Feder]]=1,3,0))),1,0)</f>
        <v>0</v>
      </c>
      <c r="M429" s="135">
        <f>IF(Scharniere[[#This Row],[Bohrbild]]=select!$O$334,1,0)</f>
        <v>0</v>
      </c>
      <c r="N429" s="135">
        <f>IF(IF(Scharniere[[#This Row],[Anschrauben]]=1,1,IF(Scharniere[[#This Row],[Einpressen]]=1,2,IF(Scharniere[[#This Row],[Quick]]=1,3,IF(Scharniere[[#This Row],[Werkzeuglos]]=1,4,0))))=select!$E$362,1,0)</f>
        <v>0</v>
      </c>
      <c r="O4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29" s="298">
        <f>IF(AND(Scharniere[[#This Row],[Scharnierart]]=3,Scharniere[[#This Row],[Gruppenschlüssel]]=select!$A$747)=TRUE,1,0)</f>
        <v>0</v>
      </c>
      <c r="Q429" s="298">
        <f ca="1">IF(select!$O$945&lt;6,1,0)</f>
        <v>1</v>
      </c>
      <c r="R429" s="298">
        <f>IF(select!$A$778=IF(Scharniere[[#This Row],[mit Dämpfung]]=1,1,IF(Scharniere[[#This Row],[ohne Dämpfung]]=1,2,IF(Scharniere[[#This Row],[ohne Feder]]=1,3,0))),1,0)</f>
        <v>1</v>
      </c>
      <c r="S429" s="298">
        <f>IF(Scharniere[[#This Row],[Bohrbild]]=select!$A$755,1,0)</f>
        <v>0</v>
      </c>
      <c r="T429" s="298">
        <f>IF(IF(Scharniere[[#This Row],[Anschrauben]]=1,1,IF(Scharniere[[#This Row],[Einpressen]]=1,2,IF(Scharniere[[#This Row],[Quick]]=1,3,IF(Scharniere[[#This Row],[Werkzeuglos]]=1,4,0))))=select!$A$769,1,0)</f>
        <v>0</v>
      </c>
      <c r="U4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29" s="359">
        <f>IF(AND(Scharniere[[#This Row],[Scharnierart]]=4,Scharniere[[#This Row],[Gruppenschlüssel]]=select!$A$981)=TRUE,1,0)</f>
        <v>0</v>
      </c>
      <c r="W429" s="359">
        <f ca="1">IF(select!$O$1185&lt;6,1,0)</f>
        <v>1</v>
      </c>
      <c r="X429" s="359">
        <f>IF(select!$A$1012=IF(Scharniere[[#This Row],[mit Dämpfung]]=1,1,IF(Scharniere[[#This Row],[ohne Dämpfung]]=1,2,IF(Scharniere[[#This Row],[ohne Feder]]=1,3,0))),1,0)</f>
        <v>1</v>
      </c>
      <c r="Y429" s="359">
        <f>IF(Scharniere[[#This Row],[Bohrbild]]=select!$A$989,1,0)</f>
        <v>0</v>
      </c>
      <c r="Z429" s="359">
        <f>IF(IF(Scharniere[[#This Row],[Anschrauben]]=1,1,IF(Scharniere[[#This Row],[Einpressen]]=1,2,IF(Scharniere[[#This Row],[Quick]]=1,3,IF(Scharniere[[#This Row],[Werkzeuglos]]=1,4,0))))=select!$A$1003,1,0)</f>
        <v>0</v>
      </c>
      <c r="AA4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29" s="359">
        <f ca="1">IF(select!$K$980="*",Scharniere[[#This Row],[AG Ges2]],Scharniere[[#This Row],[AG Ges1]])</f>
        <v>0</v>
      </c>
      <c r="AE429" s="451">
        <f ca="1">IF(AND(Scharniere[[#This Row],[Scharnierart]]=select!$A$1485,Scharniere[[#This Row],[Gruppenschlüssel]]=select!$B$1485)=TRUE,1,0)</f>
        <v>0</v>
      </c>
      <c r="AF429" s="451">
        <f ca="1">IF(AND(Scharniere[[#This Row],[Scharnierart]]=select!$A$1486,Scharniere[[#This Row],[Gruppenschlüssel]]=select!$B$1486)=TRUE,1,0)</f>
        <v>0</v>
      </c>
      <c r="AG429" s="451">
        <f ca="1">IF(AND(Scharniere[[#This Row],[Scharnierart]]=select!$A$1487,Scharniere[[#This Row],[Gruppenschlüssel]]=select!$B$1487)=TRUE,1,0)</f>
        <v>0</v>
      </c>
      <c r="AH429" s="451">
        <f ca="1">IF(AND(Scharniere[[#This Row],[Scharnierart]]=select!$A$1488,Scharniere[[#This Row],[Gruppenschlüssel]]=select!$B$1488)=TRUE,1,0)</f>
        <v>0</v>
      </c>
      <c r="AI429" s="451">
        <f ca="1">IF(SUM(Scharniere[[#This Row],[konf Scharnier 1]:[konf Scharnier 4]])&gt;0,1,0)</f>
        <v>0</v>
      </c>
      <c r="AJ429" s="451"/>
      <c r="AK429" s="451"/>
      <c r="AL429" s="451"/>
      <c r="AM429" s="451"/>
      <c r="AN429" s="451"/>
      <c r="AO429" s="146">
        <v>1</v>
      </c>
      <c r="AP429" s="146">
        <v>3</v>
      </c>
      <c r="AQ429" s="10" t="str">
        <f ca="1">Sprache!$A$111</f>
        <v>Tiomos Scharnier T Impresso</v>
      </c>
      <c r="AR429" t="s">
        <v>1945</v>
      </c>
      <c r="AS429" t="str">
        <f ca="1">Sprache!$A$116</f>
        <v>Tiomos Impresso Scharniere</v>
      </c>
      <c r="AT429">
        <v>9.5</v>
      </c>
      <c r="AU429" s="34" t="s">
        <v>3</v>
      </c>
      <c r="AV429">
        <v>160</v>
      </c>
      <c r="AW429" s="10">
        <v>0</v>
      </c>
      <c r="AX429">
        <v>1</v>
      </c>
      <c r="AY429">
        <v>0</v>
      </c>
      <c r="AZ429" s="10">
        <v>0</v>
      </c>
      <c r="BA429">
        <v>0</v>
      </c>
      <c r="BB429">
        <v>0</v>
      </c>
      <c r="BC429">
        <v>1</v>
      </c>
      <c r="BD429" s="143" t="s">
        <v>146</v>
      </c>
      <c r="BG429"/>
    </row>
    <row r="430" spans="1:59" ht="14.25" customHeight="1" x14ac:dyDescent="0.25">
      <c r="A430" s="37" t="str">
        <f>LEFT(Scharniere[[#This Row],[ArtikelNR]],4)</f>
        <v>F017</v>
      </c>
      <c r="B430" s="35" t="str">
        <f>MID(Scharniere[[#This Row],[ArtikelNR]],5,3)</f>
        <v>139</v>
      </c>
      <c r="C430" s="37" t="str">
        <f>RIGHT(Scharniere[[#This Row],[ArtikelNR]],3)</f>
        <v>352</v>
      </c>
      <c r="D430" s="35">
        <f>IF(AND(Scharniere[[#This Row],[Gruppenschlüssel]]=select!$A$44,Scharniere[[#This Row],[Scharnierart]]=1)=TRUE,1,0)</f>
        <v>0</v>
      </c>
      <c r="E4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0" s="35">
        <f>IF(select!$F$57=IF(Scharniere[[#This Row],[mit Dämpfung]]=1,1,IF(Scharniere[[#This Row],[ohne Dämpfung]]=1,2,IF(Scharniere[[#This Row],[ohne Feder]]=1,3,0))),1,0)</f>
        <v>0</v>
      </c>
      <c r="G430" s="35">
        <f>IF(Scharniere[[#This Row],[Bohrbild]]=select!$V$43,1,0)</f>
        <v>1</v>
      </c>
      <c r="H430" s="35">
        <f>IF(IF(Scharniere[[#This Row],[Anschrauben]]=1,1,IF(Scharniere[[#This Row],[Einpressen]]=1,2,IF(Scharniere[[#This Row],[Quick]]=1,3,IF(Scharniere[[#This Row],[Werkzeuglos]]=1,4,0))))=select!$F$48,1,0)</f>
        <v>0</v>
      </c>
      <c r="I4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0" s="149">
        <f>IF(AND(Scharniere[[#This Row],[Scharnierart]]=2,Scharniere[[#This Row],[Gruppenschlüssel]]=select!$A$318)=TRUE,1,0)</f>
        <v>0</v>
      </c>
      <c r="K430" s="221">
        <f ca="1">IF(select!$O$424&lt;6,1,0)</f>
        <v>1</v>
      </c>
      <c r="L430" s="139">
        <f>IF(select!$A$362=IF(Scharniere[[#This Row],[mit Dämpfung]]=1,1,IF(Scharniere[[#This Row],[ohne Dämpfung]]=1,2,IF(Scharniere[[#This Row],[ohne Feder]]=1,3,0))),1,0)</f>
        <v>1</v>
      </c>
      <c r="M430" s="135">
        <f>IF(Scharniere[[#This Row],[Bohrbild]]=select!$O$334,1,0)</f>
        <v>1</v>
      </c>
      <c r="N430" s="135">
        <f>IF(IF(Scharniere[[#This Row],[Anschrauben]]=1,1,IF(Scharniere[[#This Row],[Einpressen]]=1,2,IF(Scharniere[[#This Row],[Quick]]=1,3,IF(Scharniere[[#This Row],[Werkzeuglos]]=1,4,0))))=select!$E$362,1,0)</f>
        <v>0</v>
      </c>
      <c r="O4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0" s="298">
        <f>IF(AND(Scharniere[[#This Row],[Scharnierart]]=3,Scharniere[[#This Row],[Gruppenschlüssel]]=select!$A$747)=TRUE,1,0)</f>
        <v>0</v>
      </c>
      <c r="Q430" s="298">
        <f ca="1">IF(select!$O$945&lt;6,1,0)</f>
        <v>1</v>
      </c>
      <c r="R430" s="298">
        <f>IF(select!$A$778=IF(Scharniere[[#This Row],[mit Dämpfung]]=1,1,IF(Scharniere[[#This Row],[ohne Dämpfung]]=1,2,IF(Scharniere[[#This Row],[ohne Feder]]=1,3,0))),1,0)</f>
        <v>0</v>
      </c>
      <c r="S430" s="298">
        <f>IF(Scharniere[[#This Row],[Bohrbild]]=select!$A$755,1,0)</f>
        <v>0</v>
      </c>
      <c r="T430" s="298">
        <f>IF(IF(Scharniere[[#This Row],[Anschrauben]]=1,1,IF(Scharniere[[#This Row],[Einpressen]]=1,2,IF(Scharniere[[#This Row],[Quick]]=1,3,IF(Scharniere[[#This Row],[Werkzeuglos]]=1,4,0))))=select!$A$769,1,0)</f>
        <v>0</v>
      </c>
      <c r="U4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0" s="359">
        <f>IF(AND(Scharniere[[#This Row],[Scharnierart]]=4,Scharniere[[#This Row],[Gruppenschlüssel]]=select!$A$981)=TRUE,1,0)</f>
        <v>0</v>
      </c>
      <c r="W430" s="359">
        <f ca="1">IF(select!$O$1185&lt;6,1,0)</f>
        <v>1</v>
      </c>
      <c r="X430" s="359">
        <f>IF(select!$A$1012=IF(Scharniere[[#This Row],[mit Dämpfung]]=1,1,IF(Scharniere[[#This Row],[ohne Dämpfung]]=1,2,IF(Scharniere[[#This Row],[ohne Feder]]=1,3,0))),1,0)</f>
        <v>0</v>
      </c>
      <c r="Y430" s="359">
        <f>IF(Scharniere[[#This Row],[Bohrbild]]=select!$A$989,1,0)</f>
        <v>0</v>
      </c>
      <c r="Z430" s="359">
        <f>IF(IF(Scharniere[[#This Row],[Anschrauben]]=1,1,IF(Scharniere[[#This Row],[Einpressen]]=1,2,IF(Scharniere[[#This Row],[Quick]]=1,3,IF(Scharniere[[#This Row],[Werkzeuglos]]=1,4,0))))=select!$A$1003,1,0)</f>
        <v>0</v>
      </c>
      <c r="AA4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0" s="359">
        <f ca="1">IF(select!$K$980="*",Scharniere[[#This Row],[AG Ges2]],Scharniere[[#This Row],[AG Ges1]])</f>
        <v>0</v>
      </c>
      <c r="AE430" s="451">
        <f ca="1">IF(AND(Scharniere[[#This Row],[Scharnierart]]=select!$A$1485,Scharniere[[#This Row],[Gruppenschlüssel]]=select!$B$1485)=TRUE,1,0)</f>
        <v>0</v>
      </c>
      <c r="AF430" s="451">
        <f ca="1">IF(AND(Scharniere[[#This Row],[Scharnierart]]=select!$A$1486,Scharniere[[#This Row],[Gruppenschlüssel]]=select!$B$1486)=TRUE,1,0)</f>
        <v>0</v>
      </c>
      <c r="AG430" s="451">
        <f ca="1">IF(AND(Scharniere[[#This Row],[Scharnierart]]=select!$A$1487,Scharniere[[#This Row],[Gruppenschlüssel]]=select!$B$1487)=TRUE,1,0)</f>
        <v>0</v>
      </c>
      <c r="AH430" s="451">
        <f ca="1">IF(AND(Scharniere[[#This Row],[Scharnierart]]=select!$A$1488,Scharniere[[#This Row],[Gruppenschlüssel]]=select!$B$1488)=TRUE,1,0)</f>
        <v>0</v>
      </c>
      <c r="AI430" s="451">
        <f ca="1">IF(SUM(Scharniere[[#This Row],[konf Scharnier 1]:[konf Scharnier 4]])&gt;0,1,0)</f>
        <v>0</v>
      </c>
      <c r="AJ430" s="451"/>
      <c r="AK430" s="451"/>
      <c r="AL430" s="451"/>
      <c r="AM430" s="451"/>
      <c r="AN430" s="451"/>
      <c r="AO430" s="146">
        <v>1</v>
      </c>
      <c r="AP430" s="146">
        <v>3</v>
      </c>
      <c r="AQ430" s="10" t="str">
        <f ca="1">Sprache!$A$113</f>
        <v>Tiomos Scharnier TS Impresso</v>
      </c>
      <c r="AR430" t="s">
        <v>1945</v>
      </c>
      <c r="AS430" t="str">
        <f ca="1">Sprache!$A$116</f>
        <v>Tiomos Impresso Scharniere</v>
      </c>
      <c r="AT430">
        <v>9.5</v>
      </c>
      <c r="AU430" s="34" t="s">
        <v>8</v>
      </c>
      <c r="AV430">
        <v>160</v>
      </c>
      <c r="AW430" s="10">
        <v>1</v>
      </c>
      <c r="AX430">
        <v>0</v>
      </c>
      <c r="AY430">
        <v>0</v>
      </c>
      <c r="AZ430" s="10">
        <v>0</v>
      </c>
      <c r="BA430">
        <v>0</v>
      </c>
      <c r="BB430">
        <v>0</v>
      </c>
      <c r="BC430">
        <v>1</v>
      </c>
      <c r="BD430" s="143" t="s">
        <v>77</v>
      </c>
      <c r="BG430"/>
    </row>
    <row r="431" spans="1:59" ht="14.25" customHeight="1" x14ac:dyDescent="0.25">
      <c r="A431" s="37" t="str">
        <f>LEFT(Scharniere[[#This Row],[ArtikelNR]],4)</f>
        <v>F017</v>
      </c>
      <c r="B431" s="35" t="str">
        <f>MID(Scharniere[[#This Row],[ArtikelNR]],5,3)</f>
        <v>139</v>
      </c>
      <c r="C431" s="37" t="str">
        <f>RIGHT(Scharniere[[#This Row],[ArtikelNR]],3)</f>
        <v>352</v>
      </c>
      <c r="D431" s="35">
        <f>IF(AND(Scharniere[[#This Row],[Gruppenschlüssel]]=select!$A$44,Scharniere[[#This Row],[Scharnierart]]=1)=TRUE,1,0)</f>
        <v>0</v>
      </c>
      <c r="E4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1" s="35">
        <f>IF(select!$F$57=IF(Scharniere[[#This Row],[mit Dämpfung]]=1,1,IF(Scharniere[[#This Row],[ohne Dämpfung]]=1,2,IF(Scharniere[[#This Row],[ohne Feder]]=1,3,0))),1,0)</f>
        <v>0</v>
      </c>
      <c r="G431" s="35">
        <f>IF(Scharniere[[#This Row],[Bohrbild]]=select!$V$43,1,0)</f>
        <v>0</v>
      </c>
      <c r="H431" s="35">
        <f>IF(IF(Scharniere[[#This Row],[Anschrauben]]=1,1,IF(Scharniere[[#This Row],[Einpressen]]=1,2,IF(Scharniere[[#This Row],[Quick]]=1,3,IF(Scharniere[[#This Row],[Werkzeuglos]]=1,4,0))))=select!$F$48,1,0)</f>
        <v>0</v>
      </c>
      <c r="I4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1" s="149">
        <f>IF(AND(Scharniere[[#This Row],[Scharnierart]]=2,Scharniere[[#This Row],[Gruppenschlüssel]]=select!$A$318)=TRUE,1,0)</f>
        <v>0</v>
      </c>
      <c r="K431" s="221">
        <f ca="1">IF(select!$O$424&lt;6,1,0)</f>
        <v>1</v>
      </c>
      <c r="L431" s="139">
        <f>IF(select!$A$362=IF(Scharniere[[#This Row],[mit Dämpfung]]=1,1,IF(Scharniere[[#This Row],[ohne Dämpfung]]=1,2,IF(Scharniere[[#This Row],[ohne Feder]]=1,3,0))),1,0)</f>
        <v>1</v>
      </c>
      <c r="M431" s="135">
        <f>IF(Scharniere[[#This Row],[Bohrbild]]=select!$O$334,1,0)</f>
        <v>0</v>
      </c>
      <c r="N431" s="135">
        <f>IF(IF(Scharniere[[#This Row],[Anschrauben]]=1,1,IF(Scharniere[[#This Row],[Einpressen]]=1,2,IF(Scharniere[[#This Row],[Quick]]=1,3,IF(Scharniere[[#This Row],[Werkzeuglos]]=1,4,0))))=select!$E$362,1,0)</f>
        <v>0</v>
      </c>
      <c r="O4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1" s="298">
        <f>IF(AND(Scharniere[[#This Row],[Scharnierart]]=3,Scharniere[[#This Row],[Gruppenschlüssel]]=select!$A$747)=TRUE,1,0)</f>
        <v>0</v>
      </c>
      <c r="Q431" s="298">
        <f ca="1">IF(select!$O$945&lt;6,1,0)</f>
        <v>1</v>
      </c>
      <c r="R431" s="298">
        <f>IF(select!$A$778=IF(Scharniere[[#This Row],[mit Dämpfung]]=1,1,IF(Scharniere[[#This Row],[ohne Dämpfung]]=1,2,IF(Scharniere[[#This Row],[ohne Feder]]=1,3,0))),1,0)</f>
        <v>0</v>
      </c>
      <c r="S431" s="298">
        <f>IF(Scharniere[[#This Row],[Bohrbild]]=select!$A$755,1,0)</f>
        <v>0</v>
      </c>
      <c r="T431" s="298">
        <f>IF(IF(Scharniere[[#This Row],[Anschrauben]]=1,1,IF(Scharniere[[#This Row],[Einpressen]]=1,2,IF(Scharniere[[#This Row],[Quick]]=1,3,IF(Scharniere[[#This Row],[Werkzeuglos]]=1,4,0))))=select!$A$769,1,0)</f>
        <v>0</v>
      </c>
      <c r="U4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1" s="359">
        <f>IF(AND(Scharniere[[#This Row],[Scharnierart]]=4,Scharniere[[#This Row],[Gruppenschlüssel]]=select!$A$981)=TRUE,1,0)</f>
        <v>0</v>
      </c>
      <c r="W431" s="359">
        <f ca="1">IF(select!$O$1185&lt;6,1,0)</f>
        <v>1</v>
      </c>
      <c r="X431" s="359">
        <f>IF(select!$A$1012=IF(Scharniere[[#This Row],[mit Dämpfung]]=1,1,IF(Scharniere[[#This Row],[ohne Dämpfung]]=1,2,IF(Scharniere[[#This Row],[ohne Feder]]=1,3,0))),1,0)</f>
        <v>0</v>
      </c>
      <c r="Y431" s="359">
        <f>IF(Scharniere[[#This Row],[Bohrbild]]=select!$A$989,1,0)</f>
        <v>0</v>
      </c>
      <c r="Z431" s="359">
        <f>IF(IF(Scharniere[[#This Row],[Anschrauben]]=1,1,IF(Scharniere[[#This Row],[Einpressen]]=1,2,IF(Scharniere[[#This Row],[Quick]]=1,3,IF(Scharniere[[#This Row],[Werkzeuglos]]=1,4,0))))=select!$A$1003,1,0)</f>
        <v>0</v>
      </c>
      <c r="AA4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1" s="359">
        <f ca="1">IF(select!$K$980="*",Scharniere[[#This Row],[AG Ges2]],Scharniere[[#This Row],[AG Ges1]])</f>
        <v>0</v>
      </c>
      <c r="AE431" s="451">
        <f ca="1">IF(AND(Scharniere[[#This Row],[Scharnierart]]=select!$A$1485,Scharniere[[#This Row],[Gruppenschlüssel]]=select!$B$1485)=TRUE,1,0)</f>
        <v>0</v>
      </c>
      <c r="AF431" s="451">
        <f ca="1">IF(AND(Scharniere[[#This Row],[Scharnierart]]=select!$A$1486,Scharniere[[#This Row],[Gruppenschlüssel]]=select!$B$1486)=TRUE,1,0)</f>
        <v>0</v>
      </c>
      <c r="AG431" s="451">
        <f ca="1">IF(AND(Scharniere[[#This Row],[Scharnierart]]=select!$A$1487,Scharniere[[#This Row],[Gruppenschlüssel]]=select!$B$1487)=TRUE,1,0)</f>
        <v>0</v>
      </c>
      <c r="AH431" s="451">
        <f ca="1">IF(AND(Scharniere[[#This Row],[Scharnierart]]=select!$A$1488,Scharniere[[#This Row],[Gruppenschlüssel]]=select!$B$1488)=TRUE,1,0)</f>
        <v>0</v>
      </c>
      <c r="AI431" s="451">
        <f ca="1">IF(SUM(Scharniere[[#This Row],[konf Scharnier 1]:[konf Scharnier 4]])&gt;0,1,0)</f>
        <v>0</v>
      </c>
      <c r="AJ431" s="451"/>
      <c r="AK431" s="451"/>
      <c r="AL431" s="451"/>
      <c r="AM431" s="451"/>
      <c r="AN431" s="451"/>
      <c r="AO431" s="146">
        <v>1</v>
      </c>
      <c r="AP431" s="146">
        <v>3</v>
      </c>
      <c r="AQ431" s="10" t="str">
        <f ca="1">Sprache!$A$113</f>
        <v>Tiomos Scharnier TS Impresso</v>
      </c>
      <c r="AR431" t="s">
        <v>1945</v>
      </c>
      <c r="AS431" t="str">
        <f ca="1">Sprache!$A$116</f>
        <v>Tiomos Impresso Scharniere</v>
      </c>
      <c r="AT431">
        <v>9.5</v>
      </c>
      <c r="AU431" s="34" t="s">
        <v>3</v>
      </c>
      <c r="AV431">
        <v>160</v>
      </c>
      <c r="AW431" s="10">
        <v>1</v>
      </c>
      <c r="AX431">
        <v>0</v>
      </c>
      <c r="AY431">
        <v>0</v>
      </c>
      <c r="AZ431" s="10">
        <v>0</v>
      </c>
      <c r="BA431">
        <v>0</v>
      </c>
      <c r="BB431">
        <v>0</v>
      </c>
      <c r="BC431">
        <v>1</v>
      </c>
      <c r="BD431" s="143" t="s">
        <v>77</v>
      </c>
      <c r="BG431"/>
    </row>
    <row r="432" spans="1:59" ht="14.25" customHeight="1" x14ac:dyDescent="0.25">
      <c r="A432" s="37" t="str">
        <f>LEFT(Scharniere[[#This Row],[ArtikelNR]],4)</f>
        <v>F035</v>
      </c>
      <c r="B432" s="35" t="str">
        <f>MID(Scharniere[[#This Row],[ArtikelNR]],5,3)</f>
        <v>139</v>
      </c>
      <c r="C432" s="37" t="str">
        <f>RIGHT(Scharniere[[#This Row],[ArtikelNR]],3)</f>
        <v>380</v>
      </c>
      <c r="D432" s="35">
        <f>IF(AND(Scharniere[[#This Row],[Gruppenschlüssel]]=select!$A$44,Scharniere[[#This Row],[Scharnierart]]=1)=TRUE,1,0)</f>
        <v>0</v>
      </c>
      <c r="E4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2" s="35">
        <f>IF(select!$F$57=IF(Scharniere[[#This Row],[mit Dämpfung]]=1,1,IF(Scharniere[[#This Row],[ohne Dämpfung]]=1,2,IF(Scharniere[[#This Row],[ohne Feder]]=1,3,0))),1,0)</f>
        <v>1</v>
      </c>
      <c r="G432" s="35">
        <f>IF(Scharniere[[#This Row],[Bohrbild]]=select!$V$43,1,0)</f>
        <v>1</v>
      </c>
      <c r="H432" s="35">
        <f>IF(IF(Scharniere[[#This Row],[Anschrauben]]=1,1,IF(Scharniere[[#This Row],[Einpressen]]=1,2,IF(Scharniere[[#This Row],[Quick]]=1,3,IF(Scharniere[[#This Row],[Werkzeuglos]]=1,4,0))))=select!$F$48,1,0)</f>
        <v>0</v>
      </c>
      <c r="I4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2" s="149">
        <f>IF(AND(Scharniere[[#This Row],[Scharnierart]]=2,Scharniere[[#This Row],[Gruppenschlüssel]]=select!$A$318)=TRUE,1,0)</f>
        <v>0</v>
      </c>
      <c r="K432" s="221">
        <f ca="1">IF(select!$O$424&lt;6,1,0)</f>
        <v>1</v>
      </c>
      <c r="L432" s="139">
        <f>IF(select!$A$362=IF(Scharniere[[#This Row],[mit Dämpfung]]=1,1,IF(Scharniere[[#This Row],[ohne Dämpfung]]=1,2,IF(Scharniere[[#This Row],[ohne Feder]]=1,3,0))),1,0)</f>
        <v>0</v>
      </c>
      <c r="M432" s="135">
        <f>IF(Scharniere[[#This Row],[Bohrbild]]=select!$O$334,1,0)</f>
        <v>1</v>
      </c>
      <c r="N432" s="135">
        <f>IF(IF(Scharniere[[#This Row],[Anschrauben]]=1,1,IF(Scharniere[[#This Row],[Einpressen]]=1,2,IF(Scharniere[[#This Row],[Quick]]=1,3,IF(Scharniere[[#This Row],[Werkzeuglos]]=1,4,0))))=select!$E$362,1,0)</f>
        <v>0</v>
      </c>
      <c r="O4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2" s="298">
        <f>IF(AND(Scharniere[[#This Row],[Scharnierart]]=3,Scharniere[[#This Row],[Gruppenschlüssel]]=select!$A$747)=TRUE,1,0)</f>
        <v>0</v>
      </c>
      <c r="Q432" s="298">
        <f ca="1">IF(select!$O$945&lt;6,1,0)</f>
        <v>1</v>
      </c>
      <c r="R432" s="298">
        <f>IF(select!$A$778=IF(Scharniere[[#This Row],[mit Dämpfung]]=1,1,IF(Scharniere[[#This Row],[ohne Dämpfung]]=1,2,IF(Scharniere[[#This Row],[ohne Feder]]=1,3,0))),1,0)</f>
        <v>0</v>
      </c>
      <c r="S432" s="298">
        <f>IF(Scharniere[[#This Row],[Bohrbild]]=select!$A$755,1,0)</f>
        <v>0</v>
      </c>
      <c r="T432" s="298">
        <f>IF(IF(Scharniere[[#This Row],[Anschrauben]]=1,1,IF(Scharniere[[#This Row],[Einpressen]]=1,2,IF(Scharniere[[#This Row],[Quick]]=1,3,IF(Scharniere[[#This Row],[Werkzeuglos]]=1,4,0))))=select!$A$769,1,0)</f>
        <v>0</v>
      </c>
      <c r="U4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2" s="359">
        <f>IF(AND(Scharniere[[#This Row],[Scharnierart]]=4,Scharniere[[#This Row],[Gruppenschlüssel]]=select!$A$981)=TRUE,1,0)</f>
        <v>0</v>
      </c>
      <c r="W432" s="359">
        <f ca="1">IF(select!$O$1185&lt;6,1,0)</f>
        <v>1</v>
      </c>
      <c r="X432" s="359">
        <f>IF(select!$A$1012=IF(Scharniere[[#This Row],[mit Dämpfung]]=1,1,IF(Scharniere[[#This Row],[ohne Dämpfung]]=1,2,IF(Scharniere[[#This Row],[ohne Feder]]=1,3,0))),1,0)</f>
        <v>0</v>
      </c>
      <c r="Y432" s="359">
        <f>IF(Scharniere[[#This Row],[Bohrbild]]=select!$A$989,1,0)</f>
        <v>0</v>
      </c>
      <c r="Z432" s="359">
        <f>IF(IF(Scharniere[[#This Row],[Anschrauben]]=1,1,IF(Scharniere[[#This Row],[Einpressen]]=1,2,IF(Scharniere[[#This Row],[Quick]]=1,3,IF(Scharniere[[#This Row],[Werkzeuglos]]=1,4,0))))=select!$A$1003,1,0)</f>
        <v>0</v>
      </c>
      <c r="AA4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2" s="359">
        <f ca="1">IF(select!$K$980="*",Scharniere[[#This Row],[AG Ges2]],Scharniere[[#This Row],[AG Ges1]])</f>
        <v>0</v>
      </c>
      <c r="AE432" s="451">
        <f ca="1">IF(AND(Scharniere[[#This Row],[Scharnierart]]=select!$A$1485,Scharniere[[#This Row],[Gruppenschlüssel]]=select!$B$1485)=TRUE,1,0)</f>
        <v>0</v>
      </c>
      <c r="AF432" s="451">
        <f ca="1">IF(AND(Scharniere[[#This Row],[Scharnierart]]=select!$A$1486,Scharniere[[#This Row],[Gruppenschlüssel]]=select!$B$1486)=TRUE,1,0)</f>
        <v>0</v>
      </c>
      <c r="AG432" s="451">
        <f ca="1">IF(AND(Scharniere[[#This Row],[Scharnierart]]=select!$A$1487,Scharniere[[#This Row],[Gruppenschlüssel]]=select!$B$1487)=TRUE,1,0)</f>
        <v>0</v>
      </c>
      <c r="AH432" s="451">
        <f ca="1">IF(AND(Scharniere[[#This Row],[Scharnierart]]=select!$A$1488,Scharniere[[#This Row],[Gruppenschlüssel]]=select!$B$1488)=TRUE,1,0)</f>
        <v>0</v>
      </c>
      <c r="AI432" s="451">
        <f ca="1">IF(SUM(Scharniere[[#This Row],[konf Scharnier 1]:[konf Scharnier 4]])&gt;0,1,0)</f>
        <v>0</v>
      </c>
      <c r="AJ432" s="451"/>
      <c r="AK432" s="451"/>
      <c r="AL432" s="451"/>
      <c r="AM432" s="451"/>
      <c r="AN432" s="451"/>
      <c r="AO432" s="146">
        <v>1</v>
      </c>
      <c r="AP432" s="146">
        <v>3</v>
      </c>
      <c r="AQ432" s="10" t="str">
        <f ca="1">Sprache!$A$115</f>
        <v>Tiomos Scharnier TT Impresso</v>
      </c>
      <c r="AR432" t="s">
        <v>1945</v>
      </c>
      <c r="AS432" t="str">
        <f ca="1">Sprache!$A$116</f>
        <v>Tiomos Impresso Scharniere</v>
      </c>
      <c r="AT432">
        <v>9.5</v>
      </c>
      <c r="AU432" s="34" t="s">
        <v>8</v>
      </c>
      <c r="AV432">
        <v>160</v>
      </c>
      <c r="AW432" s="10">
        <v>0</v>
      </c>
      <c r="AX432">
        <v>0</v>
      </c>
      <c r="AY432">
        <v>1</v>
      </c>
      <c r="AZ432" s="10">
        <v>0</v>
      </c>
      <c r="BA432">
        <v>0</v>
      </c>
      <c r="BB432">
        <v>0</v>
      </c>
      <c r="BC432">
        <v>1</v>
      </c>
      <c r="BD432" s="143" t="s">
        <v>190</v>
      </c>
      <c r="BG432"/>
    </row>
    <row r="433" spans="1:59" ht="14.25" customHeight="1" x14ac:dyDescent="0.25">
      <c r="A433" s="37" t="str">
        <f>LEFT(Scharniere[[#This Row],[ArtikelNR]],4)</f>
        <v>F035</v>
      </c>
      <c r="B433" s="35" t="str">
        <f>MID(Scharniere[[#This Row],[ArtikelNR]],5,3)</f>
        <v>139</v>
      </c>
      <c r="C433" s="37" t="str">
        <f>RIGHT(Scharniere[[#This Row],[ArtikelNR]],3)</f>
        <v>380</v>
      </c>
      <c r="D433" s="35">
        <f>IF(AND(Scharniere[[#This Row],[Gruppenschlüssel]]=select!$A$44,Scharniere[[#This Row],[Scharnierart]]=1)=TRUE,1,0)</f>
        <v>0</v>
      </c>
      <c r="E4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3" s="35">
        <f>IF(select!$F$57=IF(Scharniere[[#This Row],[mit Dämpfung]]=1,1,IF(Scharniere[[#This Row],[ohne Dämpfung]]=1,2,IF(Scharniere[[#This Row],[ohne Feder]]=1,3,0))),1,0)</f>
        <v>1</v>
      </c>
      <c r="G433" s="35">
        <f>IF(Scharniere[[#This Row],[Bohrbild]]=select!$V$43,1,0)</f>
        <v>0</v>
      </c>
      <c r="H433" s="35">
        <f>IF(IF(Scharniere[[#This Row],[Anschrauben]]=1,1,IF(Scharniere[[#This Row],[Einpressen]]=1,2,IF(Scharniere[[#This Row],[Quick]]=1,3,IF(Scharniere[[#This Row],[Werkzeuglos]]=1,4,0))))=select!$F$48,1,0)</f>
        <v>0</v>
      </c>
      <c r="I4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3" s="149">
        <f>IF(AND(Scharniere[[#This Row],[Scharnierart]]=2,Scharniere[[#This Row],[Gruppenschlüssel]]=select!$A$318)=TRUE,1,0)</f>
        <v>0</v>
      </c>
      <c r="K433" s="221">
        <f ca="1">IF(select!$O$424&lt;6,1,0)</f>
        <v>1</v>
      </c>
      <c r="L433" s="139">
        <f>IF(select!$A$362=IF(Scharniere[[#This Row],[mit Dämpfung]]=1,1,IF(Scharniere[[#This Row],[ohne Dämpfung]]=1,2,IF(Scharniere[[#This Row],[ohne Feder]]=1,3,0))),1,0)</f>
        <v>0</v>
      </c>
      <c r="M433" s="135">
        <f>IF(Scharniere[[#This Row],[Bohrbild]]=select!$O$334,1,0)</f>
        <v>0</v>
      </c>
      <c r="N433" s="135">
        <f>IF(IF(Scharniere[[#This Row],[Anschrauben]]=1,1,IF(Scharniere[[#This Row],[Einpressen]]=1,2,IF(Scharniere[[#This Row],[Quick]]=1,3,IF(Scharniere[[#This Row],[Werkzeuglos]]=1,4,0))))=select!$E$362,1,0)</f>
        <v>0</v>
      </c>
      <c r="O4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3" s="298">
        <f>IF(AND(Scharniere[[#This Row],[Scharnierart]]=3,Scharniere[[#This Row],[Gruppenschlüssel]]=select!$A$747)=TRUE,1,0)</f>
        <v>0</v>
      </c>
      <c r="Q433" s="298">
        <f ca="1">IF(select!$O$945&lt;6,1,0)</f>
        <v>1</v>
      </c>
      <c r="R433" s="298">
        <f>IF(select!$A$778=IF(Scharniere[[#This Row],[mit Dämpfung]]=1,1,IF(Scharniere[[#This Row],[ohne Dämpfung]]=1,2,IF(Scharniere[[#This Row],[ohne Feder]]=1,3,0))),1,0)</f>
        <v>0</v>
      </c>
      <c r="S433" s="298">
        <f>IF(Scharniere[[#This Row],[Bohrbild]]=select!$A$755,1,0)</f>
        <v>0</v>
      </c>
      <c r="T433" s="298">
        <f>IF(IF(Scharniere[[#This Row],[Anschrauben]]=1,1,IF(Scharniere[[#This Row],[Einpressen]]=1,2,IF(Scharniere[[#This Row],[Quick]]=1,3,IF(Scharniere[[#This Row],[Werkzeuglos]]=1,4,0))))=select!$A$769,1,0)</f>
        <v>0</v>
      </c>
      <c r="U4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3" s="359">
        <f>IF(AND(Scharniere[[#This Row],[Scharnierart]]=4,Scharniere[[#This Row],[Gruppenschlüssel]]=select!$A$981)=TRUE,1,0)</f>
        <v>0</v>
      </c>
      <c r="W433" s="359">
        <f ca="1">IF(select!$O$1185&lt;6,1,0)</f>
        <v>1</v>
      </c>
      <c r="X433" s="359">
        <f>IF(select!$A$1012=IF(Scharniere[[#This Row],[mit Dämpfung]]=1,1,IF(Scharniere[[#This Row],[ohne Dämpfung]]=1,2,IF(Scharniere[[#This Row],[ohne Feder]]=1,3,0))),1,0)</f>
        <v>0</v>
      </c>
      <c r="Y433" s="359">
        <f>IF(Scharniere[[#This Row],[Bohrbild]]=select!$A$989,1,0)</f>
        <v>0</v>
      </c>
      <c r="Z433" s="359">
        <f>IF(IF(Scharniere[[#This Row],[Anschrauben]]=1,1,IF(Scharniere[[#This Row],[Einpressen]]=1,2,IF(Scharniere[[#This Row],[Quick]]=1,3,IF(Scharniere[[#This Row],[Werkzeuglos]]=1,4,0))))=select!$A$1003,1,0)</f>
        <v>0</v>
      </c>
      <c r="AA4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3" s="359">
        <f ca="1">IF(select!$K$980="*",Scharniere[[#This Row],[AG Ges2]],Scharniere[[#This Row],[AG Ges1]])</f>
        <v>0</v>
      </c>
      <c r="AE433" s="451">
        <f ca="1">IF(AND(Scharniere[[#This Row],[Scharnierart]]=select!$A$1485,Scharniere[[#This Row],[Gruppenschlüssel]]=select!$B$1485)=TRUE,1,0)</f>
        <v>0</v>
      </c>
      <c r="AF433" s="451">
        <f ca="1">IF(AND(Scharniere[[#This Row],[Scharnierart]]=select!$A$1486,Scharniere[[#This Row],[Gruppenschlüssel]]=select!$B$1486)=TRUE,1,0)</f>
        <v>0</v>
      </c>
      <c r="AG433" s="451">
        <f ca="1">IF(AND(Scharniere[[#This Row],[Scharnierart]]=select!$A$1487,Scharniere[[#This Row],[Gruppenschlüssel]]=select!$B$1487)=TRUE,1,0)</f>
        <v>0</v>
      </c>
      <c r="AH433" s="451">
        <f ca="1">IF(AND(Scharniere[[#This Row],[Scharnierart]]=select!$A$1488,Scharniere[[#This Row],[Gruppenschlüssel]]=select!$B$1488)=TRUE,1,0)</f>
        <v>0</v>
      </c>
      <c r="AI433" s="451">
        <f ca="1">IF(SUM(Scharniere[[#This Row],[konf Scharnier 1]:[konf Scharnier 4]])&gt;0,1,0)</f>
        <v>0</v>
      </c>
      <c r="AJ433" s="451"/>
      <c r="AK433" s="451"/>
      <c r="AL433" s="451"/>
      <c r="AM433" s="451"/>
      <c r="AN433" s="451"/>
      <c r="AO433" s="146">
        <v>1</v>
      </c>
      <c r="AP433" s="146">
        <v>3</v>
      </c>
      <c r="AQ433" s="10" t="str">
        <f ca="1">Sprache!$A$115</f>
        <v>Tiomos Scharnier TT Impresso</v>
      </c>
      <c r="AR433" t="s">
        <v>1945</v>
      </c>
      <c r="AS433" t="str">
        <f ca="1">Sprache!$A$116</f>
        <v>Tiomos Impresso Scharniere</v>
      </c>
      <c r="AT433">
        <v>9.5</v>
      </c>
      <c r="AU433" s="34" t="s">
        <v>3</v>
      </c>
      <c r="AV433">
        <v>160</v>
      </c>
      <c r="AW433" s="10">
        <v>0</v>
      </c>
      <c r="AX433">
        <v>0</v>
      </c>
      <c r="AY433">
        <v>1</v>
      </c>
      <c r="AZ433" s="10">
        <v>0</v>
      </c>
      <c r="BA433">
        <v>0</v>
      </c>
      <c r="BB433">
        <v>0</v>
      </c>
      <c r="BC433">
        <v>1</v>
      </c>
      <c r="BD433" s="143" t="s">
        <v>190</v>
      </c>
      <c r="BG433"/>
    </row>
    <row r="434" spans="1:59" ht="14.25" customHeight="1" x14ac:dyDescent="0.25">
      <c r="A434" s="37" t="str">
        <f>LEFT(Scharniere[[#This Row],[ArtikelNR]],4)</f>
        <v>F045</v>
      </c>
      <c r="B434" s="35" t="str">
        <f>MID(Scharniere[[#This Row],[ArtikelNR]],5,3)</f>
        <v>138</v>
      </c>
      <c r="C434" s="37" t="str">
        <f>RIGHT(Scharniere[[#This Row],[ArtikelNR]],3)</f>
        <v>868</v>
      </c>
      <c r="D434" s="35">
        <f>IF(AND(Scharniere[[#This Row],[Gruppenschlüssel]]=select!$A$44,Scharniere[[#This Row],[Scharnierart]]=1)=TRUE,1,0)</f>
        <v>0</v>
      </c>
      <c r="E4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4" s="35">
        <f>IF(select!$F$57=IF(Scharniere[[#This Row],[mit Dämpfung]]=1,1,IF(Scharniere[[#This Row],[ohne Dämpfung]]=1,2,IF(Scharniere[[#This Row],[ohne Feder]]=1,3,0))),1,0)</f>
        <v>0</v>
      </c>
      <c r="G434" s="35">
        <f>IF(Scharniere[[#This Row],[Bohrbild]]=select!$V$43,1,0)</f>
        <v>0</v>
      </c>
      <c r="H434" s="35">
        <f>IF(IF(Scharniere[[#This Row],[Anschrauben]]=1,1,IF(Scharniere[[#This Row],[Einpressen]]=1,2,IF(Scharniere[[#This Row],[Quick]]=1,3,IF(Scharniere[[#This Row],[Werkzeuglos]]=1,4,0))))=select!$F$48,1,0)</f>
        <v>1</v>
      </c>
      <c r="I4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4" s="149">
        <f>IF(AND(Scharniere[[#This Row],[Scharnierart]]=2,Scharniere[[#This Row],[Gruppenschlüssel]]=select!$A$318)=TRUE,1,0)</f>
        <v>0</v>
      </c>
      <c r="K434" s="221">
        <f ca="1">IF(select!$O$424&lt;6,1,0)</f>
        <v>1</v>
      </c>
      <c r="L434" s="139">
        <f>IF(select!$A$362=IF(Scharniere[[#This Row],[mit Dämpfung]]=1,1,IF(Scharniere[[#This Row],[ohne Dämpfung]]=1,2,IF(Scharniere[[#This Row],[ohne Feder]]=1,3,0))),1,0)</f>
        <v>0</v>
      </c>
      <c r="M434" s="135">
        <f>IF(Scharniere[[#This Row],[Bohrbild]]=select!$O$334,1,0)</f>
        <v>0</v>
      </c>
      <c r="N434" s="135">
        <f>IF(IF(Scharniere[[#This Row],[Anschrauben]]=1,1,IF(Scharniere[[#This Row],[Einpressen]]=1,2,IF(Scharniere[[#This Row],[Quick]]=1,3,IF(Scharniere[[#This Row],[Werkzeuglos]]=1,4,0))))=select!$E$362,1,0)</f>
        <v>0</v>
      </c>
      <c r="O4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4" s="298">
        <f>IF(AND(Scharniere[[#This Row],[Scharnierart]]=3,Scharniere[[#This Row],[Gruppenschlüssel]]=select!$A$747)=TRUE,1,0)</f>
        <v>0</v>
      </c>
      <c r="Q434" s="298">
        <f ca="1">IF(select!$O$945&lt;6,1,0)</f>
        <v>1</v>
      </c>
      <c r="R434" s="298">
        <f>IF(select!$A$778=IF(Scharniere[[#This Row],[mit Dämpfung]]=1,1,IF(Scharniere[[#This Row],[ohne Dämpfung]]=1,2,IF(Scharniere[[#This Row],[ohne Feder]]=1,3,0))),1,0)</f>
        <v>1</v>
      </c>
      <c r="S434" s="298">
        <f>IF(Scharniere[[#This Row],[Bohrbild]]=select!$A$755,1,0)</f>
        <v>0</v>
      </c>
      <c r="T434" s="298">
        <f>IF(IF(Scharniere[[#This Row],[Anschrauben]]=1,1,IF(Scharniere[[#This Row],[Einpressen]]=1,2,IF(Scharniere[[#This Row],[Quick]]=1,3,IF(Scharniere[[#This Row],[Werkzeuglos]]=1,4,0))))=select!$A$769,1,0)</f>
        <v>0</v>
      </c>
      <c r="U4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4" s="359">
        <f>IF(AND(Scharniere[[#This Row],[Scharnierart]]=4,Scharniere[[#This Row],[Gruppenschlüssel]]=select!$A$981)=TRUE,1,0)</f>
        <v>0</v>
      </c>
      <c r="W434" s="359">
        <f ca="1">IF(select!$O$1185&lt;6,1,0)</f>
        <v>1</v>
      </c>
      <c r="X434" s="359">
        <f>IF(select!$A$1012=IF(Scharniere[[#This Row],[mit Dämpfung]]=1,1,IF(Scharniere[[#This Row],[ohne Dämpfung]]=1,2,IF(Scharniere[[#This Row],[ohne Feder]]=1,3,0))),1,0)</f>
        <v>1</v>
      </c>
      <c r="Y434" s="359">
        <f>IF(Scharniere[[#This Row],[Bohrbild]]=select!$A$989,1,0)</f>
        <v>0</v>
      </c>
      <c r="Z434" s="359">
        <f>IF(IF(Scharniere[[#This Row],[Anschrauben]]=1,1,IF(Scharniere[[#This Row],[Einpressen]]=1,2,IF(Scharniere[[#This Row],[Quick]]=1,3,IF(Scharniere[[#This Row],[Werkzeuglos]]=1,4,0))))=select!$A$1003,1,0)</f>
        <v>0</v>
      </c>
      <c r="AA4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4" s="359">
        <f ca="1">IF(select!$K$980="*",Scharniere[[#This Row],[AG Ges2]],Scharniere[[#This Row],[AG Ges1]])</f>
        <v>0</v>
      </c>
      <c r="AE434" s="451">
        <f ca="1">IF(AND(Scharniere[[#This Row],[Scharnierart]]=select!$A$1485,Scharniere[[#This Row],[Gruppenschlüssel]]=select!$B$1485)=TRUE,1,0)</f>
        <v>0</v>
      </c>
      <c r="AF434" s="451">
        <f ca="1">IF(AND(Scharniere[[#This Row],[Scharnierart]]=select!$A$1486,Scharniere[[#This Row],[Gruppenschlüssel]]=select!$B$1486)=TRUE,1,0)</f>
        <v>0</v>
      </c>
      <c r="AG434" s="451">
        <f ca="1">IF(AND(Scharniere[[#This Row],[Scharnierart]]=select!$A$1487,Scharniere[[#This Row],[Gruppenschlüssel]]=select!$B$1487)=TRUE,1,0)</f>
        <v>0</v>
      </c>
      <c r="AH434" s="451">
        <f ca="1">IF(AND(Scharniere[[#This Row],[Scharnierart]]=select!$A$1488,Scharniere[[#This Row],[Gruppenschlüssel]]=select!$B$1488)=TRUE,1,0)</f>
        <v>0</v>
      </c>
      <c r="AI434" s="451">
        <f ca="1">IF(SUM(Scharniere[[#This Row],[konf Scharnier 1]:[konf Scharnier 4]])&gt;0,1,0)</f>
        <v>0</v>
      </c>
      <c r="AJ434" s="451"/>
      <c r="AK434" s="451"/>
      <c r="AL434" s="451"/>
      <c r="AM434" s="451"/>
      <c r="AN434" s="451"/>
      <c r="AO434" s="146">
        <v>1</v>
      </c>
      <c r="AP434" s="146">
        <v>3</v>
      </c>
      <c r="AQ434" s="10" t="str">
        <f ca="1">Sprache!$A$110</f>
        <v>Tiomos Scharnier T Click-on</v>
      </c>
      <c r="AR434" t="str">
        <f ca="1">"160°, S-BB, K9.5, "&amp;Sprache!A181&amp;", ni"</f>
        <v>160°, S-BB, K9.5, Dübel, ni</v>
      </c>
      <c r="AS434" t="str">
        <f ca="1">Sprache!$A$103</f>
        <v>Tiomos Click-On Scharniere</v>
      </c>
      <c r="AT434">
        <v>9.5</v>
      </c>
      <c r="AU434" s="34" t="s">
        <v>11</v>
      </c>
      <c r="AV434">
        <v>160</v>
      </c>
      <c r="AW434" s="10">
        <v>0</v>
      </c>
      <c r="AX434">
        <v>1</v>
      </c>
      <c r="AY434">
        <v>0</v>
      </c>
      <c r="AZ434" s="10">
        <v>0</v>
      </c>
      <c r="BA434">
        <v>1</v>
      </c>
      <c r="BB434">
        <v>0</v>
      </c>
      <c r="BC434">
        <v>0</v>
      </c>
      <c r="BD434" s="143" t="s">
        <v>561</v>
      </c>
      <c r="BG434"/>
    </row>
    <row r="435" spans="1:59" ht="14.25" customHeight="1" x14ac:dyDescent="0.25">
      <c r="A435" s="37" t="str">
        <f>LEFT(Scharniere[[#This Row],[ArtikelNR]],4)</f>
        <v>F028</v>
      </c>
      <c r="B435" s="35" t="str">
        <f>MID(Scharniere[[#This Row],[ArtikelNR]],5,3)</f>
        <v>138</v>
      </c>
      <c r="C435" s="37" t="str">
        <f>RIGHT(Scharniere[[#This Row],[ArtikelNR]],3)</f>
        <v>930</v>
      </c>
      <c r="D435" s="35">
        <f>IF(AND(Scharniere[[#This Row],[Gruppenschlüssel]]=select!$A$44,Scharniere[[#This Row],[Scharnierart]]=1)=TRUE,1,0)</f>
        <v>0</v>
      </c>
      <c r="E4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5" s="35">
        <f>IF(select!$F$57=IF(Scharniere[[#This Row],[mit Dämpfung]]=1,1,IF(Scharniere[[#This Row],[ohne Dämpfung]]=1,2,IF(Scharniere[[#This Row],[ohne Feder]]=1,3,0))),1,0)</f>
        <v>0</v>
      </c>
      <c r="G435" s="35">
        <f>IF(Scharniere[[#This Row],[Bohrbild]]=select!$V$43,1,0)</f>
        <v>0</v>
      </c>
      <c r="H435" s="35">
        <f>IF(IF(Scharniere[[#This Row],[Anschrauben]]=1,1,IF(Scharniere[[#This Row],[Einpressen]]=1,2,IF(Scharniere[[#This Row],[Quick]]=1,3,IF(Scharniere[[#This Row],[Werkzeuglos]]=1,4,0))))=select!$F$48,1,0)</f>
        <v>1</v>
      </c>
      <c r="I4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5" s="149">
        <f>IF(AND(Scharniere[[#This Row],[Scharnierart]]=2,Scharniere[[#This Row],[Gruppenschlüssel]]=select!$A$318)=TRUE,1,0)</f>
        <v>0</v>
      </c>
      <c r="K435" s="221">
        <f ca="1">IF(select!$O$424&lt;6,1,0)</f>
        <v>1</v>
      </c>
      <c r="L435" s="139">
        <f>IF(select!$A$362=IF(Scharniere[[#This Row],[mit Dämpfung]]=1,1,IF(Scharniere[[#This Row],[ohne Dämpfung]]=1,2,IF(Scharniere[[#This Row],[ohne Feder]]=1,3,0))),1,0)</f>
        <v>1</v>
      </c>
      <c r="M435" s="135">
        <f>IF(Scharniere[[#This Row],[Bohrbild]]=select!$O$334,1,0)</f>
        <v>0</v>
      </c>
      <c r="N435" s="135">
        <f>IF(IF(Scharniere[[#This Row],[Anschrauben]]=1,1,IF(Scharniere[[#This Row],[Einpressen]]=1,2,IF(Scharniere[[#This Row],[Quick]]=1,3,IF(Scharniere[[#This Row],[Werkzeuglos]]=1,4,0))))=select!$E$362,1,0)</f>
        <v>0</v>
      </c>
      <c r="O4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5" s="298">
        <f>IF(AND(Scharniere[[#This Row],[Scharnierart]]=3,Scharniere[[#This Row],[Gruppenschlüssel]]=select!$A$747)=TRUE,1,0)</f>
        <v>0</v>
      </c>
      <c r="Q435" s="298">
        <f ca="1">IF(select!$O$945&lt;6,1,0)</f>
        <v>1</v>
      </c>
      <c r="R435" s="298">
        <f>IF(select!$A$778=IF(Scharniere[[#This Row],[mit Dämpfung]]=1,1,IF(Scharniere[[#This Row],[ohne Dämpfung]]=1,2,IF(Scharniere[[#This Row],[ohne Feder]]=1,3,0))),1,0)</f>
        <v>0</v>
      </c>
      <c r="S435" s="298">
        <f>IF(Scharniere[[#This Row],[Bohrbild]]=select!$A$755,1,0)</f>
        <v>0</v>
      </c>
      <c r="T435" s="298">
        <f>IF(IF(Scharniere[[#This Row],[Anschrauben]]=1,1,IF(Scharniere[[#This Row],[Einpressen]]=1,2,IF(Scharniere[[#This Row],[Quick]]=1,3,IF(Scharniere[[#This Row],[Werkzeuglos]]=1,4,0))))=select!$A$769,1,0)</f>
        <v>0</v>
      </c>
      <c r="U4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5" s="359">
        <f>IF(AND(Scharniere[[#This Row],[Scharnierart]]=4,Scharniere[[#This Row],[Gruppenschlüssel]]=select!$A$981)=TRUE,1,0)</f>
        <v>0</v>
      </c>
      <c r="W435" s="359">
        <f ca="1">IF(select!$O$1185&lt;6,1,0)</f>
        <v>1</v>
      </c>
      <c r="X435" s="359">
        <f>IF(select!$A$1012=IF(Scharniere[[#This Row],[mit Dämpfung]]=1,1,IF(Scharniere[[#This Row],[ohne Dämpfung]]=1,2,IF(Scharniere[[#This Row],[ohne Feder]]=1,3,0))),1,0)</f>
        <v>0</v>
      </c>
      <c r="Y435" s="359">
        <f>IF(Scharniere[[#This Row],[Bohrbild]]=select!$A$989,1,0)</f>
        <v>0</v>
      </c>
      <c r="Z435" s="359">
        <f>IF(IF(Scharniere[[#This Row],[Anschrauben]]=1,1,IF(Scharniere[[#This Row],[Einpressen]]=1,2,IF(Scharniere[[#This Row],[Quick]]=1,3,IF(Scharniere[[#This Row],[Werkzeuglos]]=1,4,0))))=select!$A$1003,1,0)</f>
        <v>0</v>
      </c>
      <c r="AA4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5" s="359">
        <f ca="1">IF(select!$K$980="*",Scharniere[[#This Row],[AG Ges2]],Scharniere[[#This Row],[AG Ges1]])</f>
        <v>0</v>
      </c>
      <c r="AE435" s="451">
        <f ca="1">IF(AND(Scharniere[[#This Row],[Scharnierart]]=select!$A$1485,Scharniere[[#This Row],[Gruppenschlüssel]]=select!$B$1485)=TRUE,1,0)</f>
        <v>0</v>
      </c>
      <c r="AF435" s="451">
        <f ca="1">IF(AND(Scharniere[[#This Row],[Scharnierart]]=select!$A$1486,Scharniere[[#This Row],[Gruppenschlüssel]]=select!$B$1486)=TRUE,1,0)</f>
        <v>0</v>
      </c>
      <c r="AG435" s="451">
        <f ca="1">IF(AND(Scharniere[[#This Row],[Scharnierart]]=select!$A$1487,Scharniere[[#This Row],[Gruppenschlüssel]]=select!$B$1487)=TRUE,1,0)</f>
        <v>0</v>
      </c>
      <c r="AH435" s="451">
        <f ca="1">IF(AND(Scharniere[[#This Row],[Scharnierart]]=select!$A$1488,Scharniere[[#This Row],[Gruppenschlüssel]]=select!$B$1488)=TRUE,1,0)</f>
        <v>0</v>
      </c>
      <c r="AI435" s="451">
        <f ca="1">IF(SUM(Scharniere[[#This Row],[konf Scharnier 1]:[konf Scharnier 4]])&gt;0,1,0)</f>
        <v>0</v>
      </c>
      <c r="AJ435" s="451"/>
      <c r="AK435" s="451"/>
      <c r="AL435" s="451"/>
      <c r="AM435" s="451"/>
      <c r="AN435" s="451"/>
      <c r="AO435" s="146">
        <v>1</v>
      </c>
      <c r="AP435" s="146">
        <v>3</v>
      </c>
      <c r="AQ435" s="10" t="str">
        <f ca="1">Sprache!$A$112</f>
        <v>Tiomos Scharnier TS Click-on</v>
      </c>
      <c r="AR435" t="str">
        <f ca="1">"160°, S-BB, K9.5, "&amp;Sprache!A181&amp;", ni"</f>
        <v>160°, S-BB, K9.5, Dübel, ni</v>
      </c>
      <c r="AS435" t="str">
        <f ca="1">Sprache!$A$103</f>
        <v>Tiomos Click-On Scharniere</v>
      </c>
      <c r="AT435">
        <v>9.5</v>
      </c>
      <c r="AU435" t="s">
        <v>11</v>
      </c>
      <c r="AV435">
        <v>160</v>
      </c>
      <c r="AW435" s="10">
        <v>1</v>
      </c>
      <c r="AX435">
        <v>0</v>
      </c>
      <c r="AY435">
        <v>0</v>
      </c>
      <c r="AZ435" s="10">
        <v>0</v>
      </c>
      <c r="BA435">
        <v>1</v>
      </c>
      <c r="BB435">
        <v>0</v>
      </c>
      <c r="BC435">
        <v>0</v>
      </c>
      <c r="BD435" s="143" t="s">
        <v>405</v>
      </c>
      <c r="BG435"/>
    </row>
    <row r="436" spans="1:59" ht="14.25" customHeight="1" x14ac:dyDescent="0.25">
      <c r="A436" s="37" t="str">
        <f>LEFT(Scharniere[[#This Row],[ArtikelNR]],4)</f>
        <v>F046</v>
      </c>
      <c r="B436" s="35" t="str">
        <f>MID(Scharniere[[#This Row],[ArtikelNR]],5,3)</f>
        <v>138</v>
      </c>
      <c r="C436" s="37" t="str">
        <f>RIGHT(Scharniere[[#This Row],[ArtikelNR]],3)</f>
        <v>990</v>
      </c>
      <c r="D436" s="35">
        <f>IF(AND(Scharniere[[#This Row],[Gruppenschlüssel]]=select!$A$44,Scharniere[[#This Row],[Scharnierart]]=1)=TRUE,1,0)</f>
        <v>0</v>
      </c>
      <c r="E4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6" s="35">
        <f>IF(select!$F$57=IF(Scharniere[[#This Row],[mit Dämpfung]]=1,1,IF(Scharniere[[#This Row],[ohne Dämpfung]]=1,2,IF(Scharniere[[#This Row],[ohne Feder]]=1,3,0))),1,0)</f>
        <v>1</v>
      </c>
      <c r="G436" s="35">
        <f>IF(Scharniere[[#This Row],[Bohrbild]]=select!$V$43,1,0)</f>
        <v>0</v>
      </c>
      <c r="H436" s="35">
        <f>IF(IF(Scharniere[[#This Row],[Anschrauben]]=1,1,IF(Scharniere[[#This Row],[Einpressen]]=1,2,IF(Scharniere[[#This Row],[Quick]]=1,3,IF(Scharniere[[#This Row],[Werkzeuglos]]=1,4,0))))=select!$F$48,1,0)</f>
        <v>1</v>
      </c>
      <c r="I4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6" s="149">
        <f>IF(AND(Scharniere[[#This Row],[Scharnierart]]=2,Scharniere[[#This Row],[Gruppenschlüssel]]=select!$A$318)=TRUE,1,0)</f>
        <v>0</v>
      </c>
      <c r="K436" s="221">
        <f ca="1">IF(select!$O$424&lt;6,1,0)</f>
        <v>1</v>
      </c>
      <c r="L436" s="139">
        <f>IF(select!$A$362=IF(Scharniere[[#This Row],[mit Dämpfung]]=1,1,IF(Scharniere[[#This Row],[ohne Dämpfung]]=1,2,IF(Scharniere[[#This Row],[ohne Feder]]=1,3,0))),1,0)</f>
        <v>0</v>
      </c>
      <c r="M436" s="135">
        <f>IF(Scharniere[[#This Row],[Bohrbild]]=select!$O$334,1,0)</f>
        <v>0</v>
      </c>
      <c r="N436" s="135">
        <f>IF(IF(Scharniere[[#This Row],[Anschrauben]]=1,1,IF(Scharniere[[#This Row],[Einpressen]]=1,2,IF(Scharniere[[#This Row],[Quick]]=1,3,IF(Scharniere[[#This Row],[Werkzeuglos]]=1,4,0))))=select!$E$362,1,0)</f>
        <v>0</v>
      </c>
      <c r="O4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6" s="298">
        <f>IF(AND(Scharniere[[#This Row],[Scharnierart]]=3,Scharniere[[#This Row],[Gruppenschlüssel]]=select!$A$747)=TRUE,1,0)</f>
        <v>0</v>
      </c>
      <c r="Q436" s="298">
        <f ca="1">IF(select!$O$945&lt;6,1,0)</f>
        <v>1</v>
      </c>
      <c r="R436" s="298">
        <f>IF(select!$A$778=IF(Scharniere[[#This Row],[mit Dämpfung]]=1,1,IF(Scharniere[[#This Row],[ohne Dämpfung]]=1,2,IF(Scharniere[[#This Row],[ohne Feder]]=1,3,0))),1,0)</f>
        <v>0</v>
      </c>
      <c r="S436" s="298">
        <f>IF(Scharniere[[#This Row],[Bohrbild]]=select!$A$755,1,0)</f>
        <v>0</v>
      </c>
      <c r="T436" s="298">
        <f>IF(IF(Scharniere[[#This Row],[Anschrauben]]=1,1,IF(Scharniere[[#This Row],[Einpressen]]=1,2,IF(Scharniere[[#This Row],[Quick]]=1,3,IF(Scharniere[[#This Row],[Werkzeuglos]]=1,4,0))))=select!$A$769,1,0)</f>
        <v>0</v>
      </c>
      <c r="U4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6" s="359">
        <f>IF(AND(Scharniere[[#This Row],[Scharnierart]]=4,Scharniere[[#This Row],[Gruppenschlüssel]]=select!$A$981)=TRUE,1,0)</f>
        <v>0</v>
      </c>
      <c r="W436" s="359">
        <f ca="1">IF(select!$O$1185&lt;6,1,0)</f>
        <v>1</v>
      </c>
      <c r="X436" s="359">
        <f>IF(select!$A$1012=IF(Scharniere[[#This Row],[mit Dämpfung]]=1,1,IF(Scharniere[[#This Row],[ohne Dämpfung]]=1,2,IF(Scharniere[[#This Row],[ohne Feder]]=1,3,0))),1,0)</f>
        <v>0</v>
      </c>
      <c r="Y436" s="359">
        <f>IF(Scharniere[[#This Row],[Bohrbild]]=select!$A$989,1,0)</f>
        <v>0</v>
      </c>
      <c r="Z436" s="359">
        <f>IF(IF(Scharniere[[#This Row],[Anschrauben]]=1,1,IF(Scharniere[[#This Row],[Einpressen]]=1,2,IF(Scharniere[[#This Row],[Quick]]=1,3,IF(Scharniere[[#This Row],[Werkzeuglos]]=1,4,0))))=select!$A$1003,1,0)</f>
        <v>0</v>
      </c>
      <c r="AA4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6" s="359">
        <f ca="1">IF(select!$K$980="*",Scharniere[[#This Row],[AG Ges2]],Scharniere[[#This Row],[AG Ges1]])</f>
        <v>0</v>
      </c>
      <c r="AE436" s="451">
        <f ca="1">IF(AND(Scharniere[[#This Row],[Scharnierart]]=select!$A$1485,Scharniere[[#This Row],[Gruppenschlüssel]]=select!$B$1485)=TRUE,1,0)</f>
        <v>0</v>
      </c>
      <c r="AF436" s="451">
        <f ca="1">IF(AND(Scharniere[[#This Row],[Scharnierart]]=select!$A$1486,Scharniere[[#This Row],[Gruppenschlüssel]]=select!$B$1486)=TRUE,1,0)</f>
        <v>0</v>
      </c>
      <c r="AG436" s="451">
        <f ca="1">IF(AND(Scharniere[[#This Row],[Scharnierart]]=select!$A$1487,Scharniere[[#This Row],[Gruppenschlüssel]]=select!$B$1487)=TRUE,1,0)</f>
        <v>0</v>
      </c>
      <c r="AH436" s="451">
        <f ca="1">IF(AND(Scharniere[[#This Row],[Scharnierart]]=select!$A$1488,Scharniere[[#This Row],[Gruppenschlüssel]]=select!$B$1488)=TRUE,1,0)</f>
        <v>0</v>
      </c>
      <c r="AI436" s="451">
        <f ca="1">IF(SUM(Scharniere[[#This Row],[konf Scharnier 1]:[konf Scharnier 4]])&gt;0,1,0)</f>
        <v>0</v>
      </c>
      <c r="AJ436" s="451"/>
      <c r="AK436" s="451"/>
      <c r="AL436" s="451"/>
      <c r="AM436" s="451"/>
      <c r="AN436" s="451"/>
      <c r="AO436" s="146">
        <v>1</v>
      </c>
      <c r="AP436" s="146">
        <v>3</v>
      </c>
      <c r="AQ436" s="10" t="str">
        <f ca="1">Sprache!$A$114</f>
        <v>Tiomos Scharnier TT Click-on</v>
      </c>
      <c r="AR436" t="str">
        <f ca="1">"160°, S-BB, K9.5, "&amp;Sprache!A181&amp;", ni"</f>
        <v>160°, S-BB, K9.5, Dübel, ni</v>
      </c>
      <c r="AS436" t="str">
        <f ca="1">Sprache!$A$103</f>
        <v>Tiomos Click-On Scharniere</v>
      </c>
      <c r="AT436">
        <v>9.5</v>
      </c>
      <c r="AU436" s="10" t="s">
        <v>11</v>
      </c>
      <c r="AV436">
        <v>160</v>
      </c>
      <c r="AW436" s="10">
        <v>0</v>
      </c>
      <c r="AX436">
        <v>0</v>
      </c>
      <c r="AY436">
        <v>1</v>
      </c>
      <c r="AZ436" s="10">
        <v>0</v>
      </c>
      <c r="BA436">
        <v>1</v>
      </c>
      <c r="BB436">
        <v>0</v>
      </c>
      <c r="BC436">
        <v>0</v>
      </c>
      <c r="BD436" s="143" t="s">
        <v>713</v>
      </c>
      <c r="BG436"/>
    </row>
    <row r="437" spans="1:59" ht="14.25" customHeight="1" x14ac:dyDescent="0.25">
      <c r="A437" s="37" t="str">
        <f>LEFT(Scharniere[[#This Row],[ArtikelNR]],4)</f>
        <v>F045</v>
      </c>
      <c r="B437" s="35" t="str">
        <f>MID(Scharniere[[#This Row],[ArtikelNR]],5,3)</f>
        <v>138</v>
      </c>
      <c r="C437" s="37" t="str">
        <f>RIGHT(Scharniere[[#This Row],[ArtikelNR]],3)</f>
        <v>865</v>
      </c>
      <c r="D437" s="35">
        <f>IF(AND(Scharniere[[#This Row],[Gruppenschlüssel]]=select!$A$44,Scharniere[[#This Row],[Scharnierart]]=1)=TRUE,1,0)</f>
        <v>0</v>
      </c>
      <c r="E4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7" s="35">
        <f>IF(select!$F$57=IF(Scharniere[[#This Row],[mit Dämpfung]]=1,1,IF(Scharniere[[#This Row],[ohne Dämpfung]]=1,2,IF(Scharniere[[#This Row],[ohne Feder]]=1,3,0))),1,0)</f>
        <v>0</v>
      </c>
      <c r="G437" s="35">
        <f>IF(Scharniere[[#This Row],[Bohrbild]]=select!$V$43,1,0)</f>
        <v>0</v>
      </c>
      <c r="H437" s="35">
        <f>IF(IF(Scharniere[[#This Row],[Anschrauben]]=1,1,IF(Scharniere[[#This Row],[Einpressen]]=1,2,IF(Scharniere[[#This Row],[Quick]]=1,3,IF(Scharniere[[#This Row],[Werkzeuglos]]=1,4,0))))=select!$F$48,1,0)</f>
        <v>0</v>
      </c>
      <c r="I4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7" s="149">
        <f>IF(AND(Scharniere[[#This Row],[Scharnierart]]=2,Scharniere[[#This Row],[Gruppenschlüssel]]=select!$A$318)=TRUE,1,0)</f>
        <v>0</v>
      </c>
      <c r="K437" s="221">
        <f ca="1">IF(select!$O$424&lt;6,1,0)</f>
        <v>1</v>
      </c>
      <c r="L437" s="139">
        <f>IF(select!$A$362=IF(Scharniere[[#This Row],[mit Dämpfung]]=1,1,IF(Scharniere[[#This Row],[ohne Dämpfung]]=1,2,IF(Scharniere[[#This Row],[ohne Feder]]=1,3,0))),1,0)</f>
        <v>0</v>
      </c>
      <c r="M437" s="135">
        <f>IF(Scharniere[[#This Row],[Bohrbild]]=select!$O$334,1,0)</f>
        <v>0</v>
      </c>
      <c r="N437" s="135">
        <f>IF(IF(Scharniere[[#This Row],[Anschrauben]]=1,1,IF(Scharniere[[#This Row],[Einpressen]]=1,2,IF(Scharniere[[#This Row],[Quick]]=1,3,IF(Scharniere[[#This Row],[Werkzeuglos]]=1,4,0))))=select!$E$362,1,0)</f>
        <v>1</v>
      </c>
      <c r="O4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7" s="298">
        <f>IF(AND(Scharniere[[#This Row],[Scharnierart]]=3,Scharniere[[#This Row],[Gruppenschlüssel]]=select!$A$747)=TRUE,1,0)</f>
        <v>0</v>
      </c>
      <c r="Q437" s="298">
        <f ca="1">IF(select!$O$945&lt;6,1,0)</f>
        <v>1</v>
      </c>
      <c r="R437" s="298">
        <f>IF(select!$A$778=IF(Scharniere[[#This Row],[mit Dämpfung]]=1,1,IF(Scharniere[[#This Row],[ohne Dämpfung]]=1,2,IF(Scharniere[[#This Row],[ohne Feder]]=1,3,0))),1,0)</f>
        <v>1</v>
      </c>
      <c r="S437" s="298">
        <f>IF(Scharniere[[#This Row],[Bohrbild]]=select!$A$755,1,0)</f>
        <v>0</v>
      </c>
      <c r="T437" s="298">
        <f>IF(IF(Scharniere[[#This Row],[Anschrauben]]=1,1,IF(Scharniere[[#This Row],[Einpressen]]=1,2,IF(Scharniere[[#This Row],[Quick]]=1,3,IF(Scharniere[[#This Row],[Werkzeuglos]]=1,4,0))))=select!$A$769,1,0)</f>
        <v>1</v>
      </c>
      <c r="U4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7" s="359">
        <f>IF(AND(Scharniere[[#This Row],[Scharnierart]]=4,Scharniere[[#This Row],[Gruppenschlüssel]]=select!$A$981)=TRUE,1,0)</f>
        <v>0</v>
      </c>
      <c r="W437" s="359">
        <f ca="1">IF(select!$O$1185&lt;6,1,0)</f>
        <v>1</v>
      </c>
      <c r="X437" s="359">
        <f>IF(select!$A$1012=IF(Scharniere[[#This Row],[mit Dämpfung]]=1,1,IF(Scharniere[[#This Row],[ohne Dämpfung]]=1,2,IF(Scharniere[[#This Row],[ohne Feder]]=1,3,0))),1,0)</f>
        <v>1</v>
      </c>
      <c r="Y437" s="359">
        <f>IF(Scharniere[[#This Row],[Bohrbild]]=select!$A$989,1,0)</f>
        <v>0</v>
      </c>
      <c r="Z437" s="359">
        <f>IF(IF(Scharniere[[#This Row],[Anschrauben]]=1,1,IF(Scharniere[[#This Row],[Einpressen]]=1,2,IF(Scharniere[[#This Row],[Quick]]=1,3,IF(Scharniere[[#This Row],[Werkzeuglos]]=1,4,0))))=select!$A$1003,1,0)</f>
        <v>1</v>
      </c>
      <c r="AA4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7" s="359">
        <f ca="1">IF(select!$K$980="*",Scharniere[[#This Row],[AG Ges2]],Scharniere[[#This Row],[AG Ges1]])</f>
        <v>0</v>
      </c>
      <c r="AE437" s="451">
        <f ca="1">IF(AND(Scharniere[[#This Row],[Scharnierart]]=select!$A$1485,Scharniere[[#This Row],[Gruppenschlüssel]]=select!$B$1485)=TRUE,1,0)</f>
        <v>0</v>
      </c>
      <c r="AF437" s="451">
        <f ca="1">IF(AND(Scharniere[[#This Row],[Scharnierart]]=select!$A$1486,Scharniere[[#This Row],[Gruppenschlüssel]]=select!$B$1486)=TRUE,1,0)</f>
        <v>0</v>
      </c>
      <c r="AG437" s="451">
        <f ca="1">IF(AND(Scharniere[[#This Row],[Scharnierart]]=select!$A$1487,Scharniere[[#This Row],[Gruppenschlüssel]]=select!$B$1487)=TRUE,1,0)</f>
        <v>0</v>
      </c>
      <c r="AH437" s="451">
        <f ca="1">IF(AND(Scharniere[[#This Row],[Scharnierart]]=select!$A$1488,Scharniere[[#This Row],[Gruppenschlüssel]]=select!$B$1488)=TRUE,1,0)</f>
        <v>0</v>
      </c>
      <c r="AI437" s="451">
        <f ca="1">IF(SUM(Scharniere[[#This Row],[konf Scharnier 1]:[konf Scharnier 4]])&gt;0,1,0)</f>
        <v>0</v>
      </c>
      <c r="AJ437" s="451"/>
      <c r="AK437" s="451"/>
      <c r="AL437" s="451"/>
      <c r="AM437" s="451"/>
      <c r="AN437" s="451"/>
      <c r="AO437" s="146">
        <v>1</v>
      </c>
      <c r="AP437" s="146">
        <v>3</v>
      </c>
      <c r="AQ437" s="10" t="str">
        <f ca="1">Sprache!$A$110</f>
        <v>Tiomos Scharnier T Click-on</v>
      </c>
      <c r="AR437" t="s">
        <v>1946</v>
      </c>
      <c r="AS437" t="str">
        <f ca="1">Sprache!$A$103</f>
        <v>Tiomos Click-On Scharniere</v>
      </c>
      <c r="AT437">
        <v>9.5</v>
      </c>
      <c r="AU437" s="34" t="s">
        <v>11</v>
      </c>
      <c r="AV437">
        <v>160</v>
      </c>
      <c r="AW437" s="10">
        <v>0</v>
      </c>
      <c r="AX437">
        <v>1</v>
      </c>
      <c r="AY437">
        <v>0</v>
      </c>
      <c r="AZ437" s="10">
        <v>1</v>
      </c>
      <c r="BA437">
        <v>0</v>
      </c>
      <c r="BB437">
        <v>0</v>
      </c>
      <c r="BC437">
        <v>0</v>
      </c>
      <c r="BD437" s="143" t="s">
        <v>558</v>
      </c>
      <c r="BG437"/>
    </row>
    <row r="438" spans="1:59" ht="14.25" customHeight="1" x14ac:dyDescent="0.25">
      <c r="A438" s="37" t="str">
        <f>LEFT(Scharniere[[#This Row],[ArtikelNR]],4)</f>
        <v>F028</v>
      </c>
      <c r="B438" s="35" t="str">
        <f>MID(Scharniere[[#This Row],[ArtikelNR]],5,3)</f>
        <v>138</v>
      </c>
      <c r="C438" s="37" t="str">
        <f>RIGHT(Scharniere[[#This Row],[ArtikelNR]],3)</f>
        <v>927</v>
      </c>
      <c r="D438" s="35">
        <f>IF(AND(Scharniere[[#This Row],[Gruppenschlüssel]]=select!$A$44,Scharniere[[#This Row],[Scharnierart]]=1)=TRUE,1,0)</f>
        <v>0</v>
      </c>
      <c r="E4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8" s="35">
        <f>IF(select!$F$57=IF(Scharniere[[#This Row],[mit Dämpfung]]=1,1,IF(Scharniere[[#This Row],[ohne Dämpfung]]=1,2,IF(Scharniere[[#This Row],[ohne Feder]]=1,3,0))),1,0)</f>
        <v>0</v>
      </c>
      <c r="G438" s="35">
        <f>IF(Scharniere[[#This Row],[Bohrbild]]=select!$V$43,1,0)</f>
        <v>0</v>
      </c>
      <c r="H438" s="35">
        <f>IF(IF(Scharniere[[#This Row],[Anschrauben]]=1,1,IF(Scharniere[[#This Row],[Einpressen]]=1,2,IF(Scharniere[[#This Row],[Quick]]=1,3,IF(Scharniere[[#This Row],[Werkzeuglos]]=1,4,0))))=select!$F$48,1,0)</f>
        <v>0</v>
      </c>
      <c r="I4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8" s="149">
        <f>IF(AND(Scharniere[[#This Row],[Scharnierart]]=2,Scharniere[[#This Row],[Gruppenschlüssel]]=select!$A$318)=TRUE,1,0)</f>
        <v>0</v>
      </c>
      <c r="K438" s="221">
        <f ca="1">IF(select!$O$424&lt;6,1,0)</f>
        <v>1</v>
      </c>
      <c r="L438" s="139">
        <f>IF(select!$A$362=IF(Scharniere[[#This Row],[mit Dämpfung]]=1,1,IF(Scharniere[[#This Row],[ohne Dämpfung]]=1,2,IF(Scharniere[[#This Row],[ohne Feder]]=1,3,0))),1,0)</f>
        <v>1</v>
      </c>
      <c r="M438" s="135">
        <f>IF(Scharniere[[#This Row],[Bohrbild]]=select!$O$334,1,0)</f>
        <v>0</v>
      </c>
      <c r="N438" s="135">
        <f>IF(IF(Scharniere[[#This Row],[Anschrauben]]=1,1,IF(Scharniere[[#This Row],[Einpressen]]=1,2,IF(Scharniere[[#This Row],[Quick]]=1,3,IF(Scharniere[[#This Row],[Werkzeuglos]]=1,4,0))))=select!$E$362,1,0)</f>
        <v>1</v>
      </c>
      <c r="O4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8" s="298">
        <f>IF(AND(Scharniere[[#This Row],[Scharnierart]]=3,Scharniere[[#This Row],[Gruppenschlüssel]]=select!$A$747)=TRUE,1,0)</f>
        <v>0</v>
      </c>
      <c r="Q438" s="298">
        <f ca="1">IF(select!$O$945&lt;6,1,0)</f>
        <v>1</v>
      </c>
      <c r="R438" s="298">
        <f>IF(select!$A$778=IF(Scharniere[[#This Row],[mit Dämpfung]]=1,1,IF(Scharniere[[#This Row],[ohne Dämpfung]]=1,2,IF(Scharniere[[#This Row],[ohne Feder]]=1,3,0))),1,0)</f>
        <v>0</v>
      </c>
      <c r="S438" s="298">
        <f>IF(Scharniere[[#This Row],[Bohrbild]]=select!$A$755,1,0)</f>
        <v>0</v>
      </c>
      <c r="T438" s="298">
        <f>IF(IF(Scharniere[[#This Row],[Anschrauben]]=1,1,IF(Scharniere[[#This Row],[Einpressen]]=1,2,IF(Scharniere[[#This Row],[Quick]]=1,3,IF(Scharniere[[#This Row],[Werkzeuglos]]=1,4,0))))=select!$A$769,1,0)</f>
        <v>1</v>
      </c>
      <c r="U4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8" s="359">
        <f>IF(AND(Scharniere[[#This Row],[Scharnierart]]=4,Scharniere[[#This Row],[Gruppenschlüssel]]=select!$A$981)=TRUE,1,0)</f>
        <v>0</v>
      </c>
      <c r="W438" s="359">
        <f ca="1">IF(select!$O$1185&lt;6,1,0)</f>
        <v>1</v>
      </c>
      <c r="X438" s="359">
        <f>IF(select!$A$1012=IF(Scharniere[[#This Row],[mit Dämpfung]]=1,1,IF(Scharniere[[#This Row],[ohne Dämpfung]]=1,2,IF(Scharniere[[#This Row],[ohne Feder]]=1,3,0))),1,0)</f>
        <v>0</v>
      </c>
      <c r="Y438" s="359">
        <f>IF(Scharniere[[#This Row],[Bohrbild]]=select!$A$989,1,0)</f>
        <v>0</v>
      </c>
      <c r="Z438" s="359">
        <f>IF(IF(Scharniere[[#This Row],[Anschrauben]]=1,1,IF(Scharniere[[#This Row],[Einpressen]]=1,2,IF(Scharniere[[#This Row],[Quick]]=1,3,IF(Scharniere[[#This Row],[Werkzeuglos]]=1,4,0))))=select!$A$1003,1,0)</f>
        <v>1</v>
      </c>
      <c r="AA4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8" s="359">
        <f ca="1">IF(select!$K$980="*",Scharniere[[#This Row],[AG Ges2]],Scharniere[[#This Row],[AG Ges1]])</f>
        <v>0</v>
      </c>
      <c r="AE438" s="451">
        <f ca="1">IF(AND(Scharniere[[#This Row],[Scharnierart]]=select!$A$1485,Scharniere[[#This Row],[Gruppenschlüssel]]=select!$B$1485)=TRUE,1,0)</f>
        <v>0</v>
      </c>
      <c r="AF438" s="451">
        <f ca="1">IF(AND(Scharniere[[#This Row],[Scharnierart]]=select!$A$1486,Scharniere[[#This Row],[Gruppenschlüssel]]=select!$B$1486)=TRUE,1,0)</f>
        <v>0</v>
      </c>
      <c r="AG438" s="451">
        <f ca="1">IF(AND(Scharniere[[#This Row],[Scharnierart]]=select!$A$1487,Scharniere[[#This Row],[Gruppenschlüssel]]=select!$B$1487)=TRUE,1,0)</f>
        <v>0</v>
      </c>
      <c r="AH438" s="451">
        <f ca="1">IF(AND(Scharniere[[#This Row],[Scharnierart]]=select!$A$1488,Scharniere[[#This Row],[Gruppenschlüssel]]=select!$B$1488)=TRUE,1,0)</f>
        <v>0</v>
      </c>
      <c r="AI438" s="451">
        <f ca="1">IF(SUM(Scharniere[[#This Row],[konf Scharnier 1]:[konf Scharnier 4]])&gt;0,1,0)</f>
        <v>0</v>
      </c>
      <c r="AJ438" s="451"/>
      <c r="AK438" s="451"/>
      <c r="AL438" s="451"/>
      <c r="AM438" s="451"/>
      <c r="AN438" s="451"/>
      <c r="AO438" s="146">
        <v>1</v>
      </c>
      <c r="AP438" s="146">
        <v>3</v>
      </c>
      <c r="AQ438" s="10" t="str">
        <f ca="1">Sprache!$A$112</f>
        <v>Tiomos Scharnier TS Click-on</v>
      </c>
      <c r="AR438" t="s">
        <v>1946</v>
      </c>
      <c r="AS438" t="str">
        <f ca="1">Sprache!$A$103</f>
        <v>Tiomos Click-On Scharniere</v>
      </c>
      <c r="AT438">
        <v>9.5</v>
      </c>
      <c r="AU438" t="s">
        <v>11</v>
      </c>
      <c r="AV438">
        <v>160</v>
      </c>
      <c r="AW438" s="10">
        <v>1</v>
      </c>
      <c r="AX438">
        <v>0</v>
      </c>
      <c r="AY438">
        <v>0</v>
      </c>
      <c r="AZ438" s="10">
        <v>1</v>
      </c>
      <c r="BA438">
        <v>0</v>
      </c>
      <c r="BB438">
        <v>0</v>
      </c>
      <c r="BC438">
        <v>0</v>
      </c>
      <c r="BD438" s="143" t="s">
        <v>402</v>
      </c>
      <c r="BG438"/>
    </row>
    <row r="439" spans="1:59" ht="14.25" customHeight="1" x14ac:dyDescent="0.25">
      <c r="A439" s="37" t="str">
        <f>LEFT(Scharniere[[#This Row],[ArtikelNR]],4)</f>
        <v>F046</v>
      </c>
      <c r="B439" s="35" t="str">
        <f>MID(Scharniere[[#This Row],[ArtikelNR]],5,3)</f>
        <v>138</v>
      </c>
      <c r="C439" s="37" t="str">
        <f>RIGHT(Scharniere[[#This Row],[ArtikelNR]],3)</f>
        <v>987</v>
      </c>
      <c r="D439" s="35">
        <f>IF(AND(Scharniere[[#This Row],[Gruppenschlüssel]]=select!$A$44,Scharniere[[#This Row],[Scharnierart]]=1)=TRUE,1,0)</f>
        <v>0</v>
      </c>
      <c r="E4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39" s="35">
        <f>IF(select!$F$57=IF(Scharniere[[#This Row],[mit Dämpfung]]=1,1,IF(Scharniere[[#This Row],[ohne Dämpfung]]=1,2,IF(Scharniere[[#This Row],[ohne Feder]]=1,3,0))),1,0)</f>
        <v>1</v>
      </c>
      <c r="G439" s="35">
        <f>IF(Scharniere[[#This Row],[Bohrbild]]=select!$V$43,1,0)</f>
        <v>0</v>
      </c>
      <c r="H439" s="35">
        <f>IF(IF(Scharniere[[#This Row],[Anschrauben]]=1,1,IF(Scharniere[[#This Row],[Einpressen]]=1,2,IF(Scharniere[[#This Row],[Quick]]=1,3,IF(Scharniere[[#This Row],[Werkzeuglos]]=1,4,0))))=select!$F$48,1,0)</f>
        <v>0</v>
      </c>
      <c r="I4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39" s="149">
        <f>IF(AND(Scharniere[[#This Row],[Scharnierart]]=2,Scharniere[[#This Row],[Gruppenschlüssel]]=select!$A$318)=TRUE,1,0)</f>
        <v>0</v>
      </c>
      <c r="K439" s="221">
        <f ca="1">IF(select!$O$424&lt;6,1,0)</f>
        <v>1</v>
      </c>
      <c r="L439" s="139">
        <f>IF(select!$A$362=IF(Scharniere[[#This Row],[mit Dämpfung]]=1,1,IF(Scharniere[[#This Row],[ohne Dämpfung]]=1,2,IF(Scharniere[[#This Row],[ohne Feder]]=1,3,0))),1,0)</f>
        <v>0</v>
      </c>
      <c r="M439" s="135">
        <f>IF(Scharniere[[#This Row],[Bohrbild]]=select!$O$334,1,0)</f>
        <v>0</v>
      </c>
      <c r="N439" s="135">
        <f>IF(IF(Scharniere[[#This Row],[Anschrauben]]=1,1,IF(Scharniere[[#This Row],[Einpressen]]=1,2,IF(Scharniere[[#This Row],[Quick]]=1,3,IF(Scharniere[[#This Row],[Werkzeuglos]]=1,4,0))))=select!$E$362,1,0)</f>
        <v>1</v>
      </c>
      <c r="O4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39" s="298">
        <f>IF(AND(Scharniere[[#This Row],[Scharnierart]]=3,Scharniere[[#This Row],[Gruppenschlüssel]]=select!$A$747)=TRUE,1,0)</f>
        <v>0</v>
      </c>
      <c r="Q439" s="298">
        <f ca="1">IF(select!$O$945&lt;6,1,0)</f>
        <v>1</v>
      </c>
      <c r="R439" s="298">
        <f>IF(select!$A$778=IF(Scharniere[[#This Row],[mit Dämpfung]]=1,1,IF(Scharniere[[#This Row],[ohne Dämpfung]]=1,2,IF(Scharniere[[#This Row],[ohne Feder]]=1,3,0))),1,0)</f>
        <v>0</v>
      </c>
      <c r="S439" s="298">
        <f>IF(Scharniere[[#This Row],[Bohrbild]]=select!$A$755,1,0)</f>
        <v>0</v>
      </c>
      <c r="T439" s="298">
        <f>IF(IF(Scharniere[[#This Row],[Anschrauben]]=1,1,IF(Scharniere[[#This Row],[Einpressen]]=1,2,IF(Scharniere[[#This Row],[Quick]]=1,3,IF(Scharniere[[#This Row],[Werkzeuglos]]=1,4,0))))=select!$A$769,1,0)</f>
        <v>1</v>
      </c>
      <c r="U4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39" s="359">
        <f>IF(AND(Scharniere[[#This Row],[Scharnierart]]=4,Scharniere[[#This Row],[Gruppenschlüssel]]=select!$A$981)=TRUE,1,0)</f>
        <v>0</v>
      </c>
      <c r="W439" s="359">
        <f ca="1">IF(select!$O$1185&lt;6,1,0)</f>
        <v>1</v>
      </c>
      <c r="X439" s="359">
        <f>IF(select!$A$1012=IF(Scharniere[[#This Row],[mit Dämpfung]]=1,1,IF(Scharniere[[#This Row],[ohne Dämpfung]]=1,2,IF(Scharniere[[#This Row],[ohne Feder]]=1,3,0))),1,0)</f>
        <v>0</v>
      </c>
      <c r="Y439" s="359">
        <f>IF(Scharniere[[#This Row],[Bohrbild]]=select!$A$989,1,0)</f>
        <v>0</v>
      </c>
      <c r="Z439" s="359">
        <f>IF(IF(Scharniere[[#This Row],[Anschrauben]]=1,1,IF(Scharniere[[#This Row],[Einpressen]]=1,2,IF(Scharniere[[#This Row],[Quick]]=1,3,IF(Scharniere[[#This Row],[Werkzeuglos]]=1,4,0))))=select!$A$1003,1,0)</f>
        <v>1</v>
      </c>
      <c r="AA4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39" s="359">
        <f ca="1">IF(select!$K$980="*",Scharniere[[#This Row],[AG Ges2]],Scharniere[[#This Row],[AG Ges1]])</f>
        <v>0</v>
      </c>
      <c r="AE439" s="451">
        <f ca="1">IF(AND(Scharniere[[#This Row],[Scharnierart]]=select!$A$1485,Scharniere[[#This Row],[Gruppenschlüssel]]=select!$B$1485)=TRUE,1,0)</f>
        <v>0</v>
      </c>
      <c r="AF439" s="451">
        <f ca="1">IF(AND(Scharniere[[#This Row],[Scharnierart]]=select!$A$1486,Scharniere[[#This Row],[Gruppenschlüssel]]=select!$B$1486)=TRUE,1,0)</f>
        <v>0</v>
      </c>
      <c r="AG439" s="451">
        <f ca="1">IF(AND(Scharniere[[#This Row],[Scharnierart]]=select!$A$1487,Scharniere[[#This Row],[Gruppenschlüssel]]=select!$B$1487)=TRUE,1,0)</f>
        <v>0</v>
      </c>
      <c r="AH439" s="451">
        <f ca="1">IF(AND(Scharniere[[#This Row],[Scharnierart]]=select!$A$1488,Scharniere[[#This Row],[Gruppenschlüssel]]=select!$B$1488)=TRUE,1,0)</f>
        <v>0</v>
      </c>
      <c r="AI439" s="451">
        <f ca="1">IF(SUM(Scharniere[[#This Row],[konf Scharnier 1]:[konf Scharnier 4]])&gt;0,1,0)</f>
        <v>0</v>
      </c>
      <c r="AJ439" s="451"/>
      <c r="AK439" s="451"/>
      <c r="AL439" s="451"/>
      <c r="AM439" s="451"/>
      <c r="AN439" s="451"/>
      <c r="AO439" s="146">
        <v>1</v>
      </c>
      <c r="AP439" s="146">
        <v>3</v>
      </c>
      <c r="AQ439" s="10" t="str">
        <f ca="1">Sprache!$A$114</f>
        <v>Tiomos Scharnier TT Click-on</v>
      </c>
      <c r="AR439" t="s">
        <v>1946</v>
      </c>
      <c r="AS439" t="str">
        <f ca="1">Sprache!$A$103</f>
        <v>Tiomos Click-On Scharniere</v>
      </c>
      <c r="AT439">
        <v>9.5</v>
      </c>
      <c r="AU439" s="10" t="s">
        <v>11</v>
      </c>
      <c r="AV439">
        <v>160</v>
      </c>
      <c r="AW439" s="10">
        <v>0</v>
      </c>
      <c r="AX439">
        <v>0</v>
      </c>
      <c r="AY439">
        <v>1</v>
      </c>
      <c r="AZ439" s="10">
        <v>1</v>
      </c>
      <c r="BA439">
        <v>0</v>
      </c>
      <c r="BB439">
        <v>0</v>
      </c>
      <c r="BC439">
        <v>0</v>
      </c>
      <c r="BD439" s="143" t="s">
        <v>710</v>
      </c>
      <c r="BG439"/>
    </row>
    <row r="440" spans="1:59" ht="14.25" customHeight="1" x14ac:dyDescent="0.25">
      <c r="A440" s="37" t="str">
        <f>LEFT(Scharniere[[#This Row],[ArtikelNR]],4)</f>
        <v>F045</v>
      </c>
      <c r="B440" s="35" t="str">
        <f>MID(Scharniere[[#This Row],[ArtikelNR]],5,3)</f>
        <v>138</v>
      </c>
      <c r="C440" s="37" t="str">
        <f>RIGHT(Scharniere[[#This Row],[ArtikelNR]],3)</f>
        <v>503</v>
      </c>
      <c r="D440" s="35">
        <f>IF(AND(Scharniere[[#This Row],[Gruppenschlüssel]]=select!$A$44,Scharniere[[#This Row],[Scharnierart]]=1)=TRUE,1,0)</f>
        <v>0</v>
      </c>
      <c r="E4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0" s="35">
        <f>IF(select!$F$57=IF(Scharniere[[#This Row],[mit Dämpfung]]=1,1,IF(Scharniere[[#This Row],[ohne Dämpfung]]=1,2,IF(Scharniere[[#This Row],[ohne Feder]]=1,3,0))),1,0)</f>
        <v>0</v>
      </c>
      <c r="G440" s="35">
        <f>IF(Scharniere[[#This Row],[Bohrbild]]=select!$V$43,1,0)</f>
        <v>0</v>
      </c>
      <c r="H440" s="35">
        <f>IF(IF(Scharniere[[#This Row],[Anschrauben]]=1,1,IF(Scharniere[[#This Row],[Einpressen]]=1,2,IF(Scharniere[[#This Row],[Quick]]=1,3,IF(Scharniere[[#This Row],[Werkzeuglos]]=1,4,0))))=select!$F$48,1,0)</f>
        <v>1</v>
      </c>
      <c r="I4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0" s="149">
        <f>IF(AND(Scharniere[[#This Row],[Scharnierart]]=2,Scharniere[[#This Row],[Gruppenschlüssel]]=select!$A$318)=TRUE,1,0)</f>
        <v>0</v>
      </c>
      <c r="K440" s="221">
        <f ca="1">IF(select!$O$424&lt;6,1,0)</f>
        <v>1</v>
      </c>
      <c r="L440" s="139">
        <f>IF(select!$A$362=IF(Scharniere[[#This Row],[mit Dämpfung]]=1,1,IF(Scharniere[[#This Row],[ohne Dämpfung]]=1,2,IF(Scharniere[[#This Row],[ohne Feder]]=1,3,0))),1,0)</f>
        <v>0</v>
      </c>
      <c r="M440" s="135">
        <f>IF(Scharniere[[#This Row],[Bohrbild]]=select!$O$334,1,0)</f>
        <v>0</v>
      </c>
      <c r="N440" s="135">
        <f>IF(IF(Scharniere[[#This Row],[Anschrauben]]=1,1,IF(Scharniere[[#This Row],[Einpressen]]=1,2,IF(Scharniere[[#This Row],[Quick]]=1,3,IF(Scharniere[[#This Row],[Werkzeuglos]]=1,4,0))))=select!$E$362,1,0)</f>
        <v>0</v>
      </c>
      <c r="O4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0" s="298">
        <f>IF(AND(Scharniere[[#This Row],[Scharnierart]]=3,Scharniere[[#This Row],[Gruppenschlüssel]]=select!$A$747)=TRUE,1,0)</f>
        <v>0</v>
      </c>
      <c r="Q440" s="298">
        <f ca="1">IF(select!$O$945&lt;6,1,0)</f>
        <v>1</v>
      </c>
      <c r="R440" s="298">
        <f>IF(select!$A$778=IF(Scharniere[[#This Row],[mit Dämpfung]]=1,1,IF(Scharniere[[#This Row],[ohne Dämpfung]]=1,2,IF(Scharniere[[#This Row],[ohne Feder]]=1,3,0))),1,0)</f>
        <v>1</v>
      </c>
      <c r="S440" s="298">
        <f>IF(Scharniere[[#This Row],[Bohrbild]]=select!$A$755,1,0)</f>
        <v>0</v>
      </c>
      <c r="T440" s="298">
        <f>IF(IF(Scharniere[[#This Row],[Anschrauben]]=1,1,IF(Scharniere[[#This Row],[Einpressen]]=1,2,IF(Scharniere[[#This Row],[Quick]]=1,3,IF(Scharniere[[#This Row],[Werkzeuglos]]=1,4,0))))=select!$A$769,1,0)</f>
        <v>0</v>
      </c>
      <c r="U4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0" s="359">
        <f>IF(AND(Scharniere[[#This Row],[Scharnierart]]=4,Scharniere[[#This Row],[Gruppenschlüssel]]=select!$A$981)=TRUE,1,0)</f>
        <v>0</v>
      </c>
      <c r="W440" s="359">
        <f ca="1">IF(select!$O$1185&lt;6,1,0)</f>
        <v>1</v>
      </c>
      <c r="X440" s="359">
        <f>IF(select!$A$1012=IF(Scharniere[[#This Row],[mit Dämpfung]]=1,1,IF(Scharniere[[#This Row],[ohne Dämpfung]]=1,2,IF(Scharniere[[#This Row],[ohne Feder]]=1,3,0))),1,0)</f>
        <v>1</v>
      </c>
      <c r="Y440" s="359">
        <f>IF(Scharniere[[#This Row],[Bohrbild]]=select!$A$989,1,0)</f>
        <v>0</v>
      </c>
      <c r="Z440" s="359">
        <f>IF(IF(Scharniere[[#This Row],[Anschrauben]]=1,1,IF(Scharniere[[#This Row],[Einpressen]]=1,2,IF(Scharniere[[#This Row],[Quick]]=1,3,IF(Scharniere[[#This Row],[Werkzeuglos]]=1,4,0))))=select!$A$1003,1,0)</f>
        <v>0</v>
      </c>
      <c r="AA4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0" s="359">
        <f ca="1">IF(select!$K$980="*",Scharniere[[#This Row],[AG Ges2]],Scharniere[[#This Row],[AG Ges1]])</f>
        <v>0</v>
      </c>
      <c r="AE440" s="451">
        <f ca="1">IF(AND(Scharniere[[#This Row],[Scharnierart]]=select!$A$1485,Scharniere[[#This Row],[Gruppenschlüssel]]=select!$B$1485)=TRUE,1,0)</f>
        <v>0</v>
      </c>
      <c r="AF440" s="451">
        <f ca="1">IF(AND(Scharniere[[#This Row],[Scharnierart]]=select!$A$1486,Scharniere[[#This Row],[Gruppenschlüssel]]=select!$B$1486)=TRUE,1,0)</f>
        <v>0</v>
      </c>
      <c r="AG440" s="451">
        <f ca="1">IF(AND(Scharniere[[#This Row],[Scharnierart]]=select!$A$1487,Scharniere[[#This Row],[Gruppenschlüssel]]=select!$B$1487)=TRUE,1,0)</f>
        <v>0</v>
      </c>
      <c r="AH440" s="451">
        <f ca="1">IF(AND(Scharniere[[#This Row],[Scharnierart]]=select!$A$1488,Scharniere[[#This Row],[Gruppenschlüssel]]=select!$B$1488)=TRUE,1,0)</f>
        <v>0</v>
      </c>
      <c r="AI440" s="451">
        <f ca="1">IF(SUM(Scharniere[[#This Row],[konf Scharnier 1]:[konf Scharnier 4]])&gt;0,1,0)</f>
        <v>0</v>
      </c>
      <c r="AJ440" s="451"/>
      <c r="AK440" s="451"/>
      <c r="AL440" s="451"/>
      <c r="AM440" s="451"/>
      <c r="AN440" s="451"/>
      <c r="AO440" s="146">
        <v>1</v>
      </c>
      <c r="AP440" s="146">
        <v>3</v>
      </c>
      <c r="AQ440" s="10" t="str">
        <f ca="1">Sprache!$A$110</f>
        <v>Tiomos Scharnier T Click-on</v>
      </c>
      <c r="AR440" t="str">
        <f ca="1">"160°, B-BB, K03, "&amp;Sprache!A181&amp;", ni"</f>
        <v>160°, B-BB, K03, Dübel, ni</v>
      </c>
      <c r="AS440" t="str">
        <f ca="1">Sprache!$A$103</f>
        <v>Tiomos Click-On Scharniere</v>
      </c>
      <c r="AT440">
        <v>3</v>
      </c>
      <c r="AU440" s="34" t="s">
        <v>3</v>
      </c>
      <c r="AV440">
        <v>160</v>
      </c>
      <c r="AW440" s="10">
        <v>0</v>
      </c>
      <c r="AX440">
        <v>1</v>
      </c>
      <c r="AY440">
        <v>0</v>
      </c>
      <c r="AZ440" s="10">
        <v>0</v>
      </c>
      <c r="BA440">
        <v>1</v>
      </c>
      <c r="BB440">
        <v>0</v>
      </c>
      <c r="BC440">
        <v>0</v>
      </c>
      <c r="BD440" s="143" t="s">
        <v>504</v>
      </c>
      <c r="BG440"/>
    </row>
    <row r="441" spans="1:59" ht="14.25" customHeight="1" x14ac:dyDescent="0.25">
      <c r="A441" s="37" t="str">
        <f>LEFT(Scharniere[[#This Row],[ArtikelNR]],4)</f>
        <v>F028</v>
      </c>
      <c r="B441" s="35" t="str">
        <f>MID(Scharniere[[#This Row],[ArtikelNR]],5,3)</f>
        <v>138</v>
      </c>
      <c r="C441" s="37" t="str">
        <f>RIGHT(Scharniere[[#This Row],[ArtikelNR]],3)</f>
        <v>565</v>
      </c>
      <c r="D441" s="35">
        <f>IF(AND(Scharniere[[#This Row],[Gruppenschlüssel]]=select!$A$44,Scharniere[[#This Row],[Scharnierart]]=1)=TRUE,1,0)</f>
        <v>0</v>
      </c>
      <c r="E4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1" s="35">
        <f>IF(select!$F$57=IF(Scharniere[[#This Row],[mit Dämpfung]]=1,1,IF(Scharniere[[#This Row],[ohne Dämpfung]]=1,2,IF(Scharniere[[#This Row],[ohne Feder]]=1,3,0))),1,0)</f>
        <v>0</v>
      </c>
      <c r="G441" s="35">
        <f>IF(Scharniere[[#This Row],[Bohrbild]]=select!$V$43,1,0)</f>
        <v>0</v>
      </c>
      <c r="H441" s="35">
        <f>IF(IF(Scharniere[[#This Row],[Anschrauben]]=1,1,IF(Scharniere[[#This Row],[Einpressen]]=1,2,IF(Scharniere[[#This Row],[Quick]]=1,3,IF(Scharniere[[#This Row],[Werkzeuglos]]=1,4,0))))=select!$F$48,1,0)</f>
        <v>1</v>
      </c>
      <c r="I4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1" s="149">
        <f>IF(AND(Scharniere[[#This Row],[Scharnierart]]=2,Scharniere[[#This Row],[Gruppenschlüssel]]=select!$A$318)=TRUE,1,0)</f>
        <v>0</v>
      </c>
      <c r="K441" s="221">
        <f ca="1">IF(select!$O$424&lt;6,1,0)</f>
        <v>1</v>
      </c>
      <c r="L441" s="139">
        <f>IF(select!$A$362=IF(Scharniere[[#This Row],[mit Dämpfung]]=1,1,IF(Scharniere[[#This Row],[ohne Dämpfung]]=1,2,IF(Scharniere[[#This Row],[ohne Feder]]=1,3,0))),1,0)</f>
        <v>1</v>
      </c>
      <c r="M441" s="135">
        <f>IF(Scharniere[[#This Row],[Bohrbild]]=select!$O$334,1,0)</f>
        <v>0</v>
      </c>
      <c r="N441" s="135">
        <f>IF(IF(Scharniere[[#This Row],[Anschrauben]]=1,1,IF(Scharniere[[#This Row],[Einpressen]]=1,2,IF(Scharniere[[#This Row],[Quick]]=1,3,IF(Scharniere[[#This Row],[Werkzeuglos]]=1,4,0))))=select!$E$362,1,0)</f>
        <v>0</v>
      </c>
      <c r="O4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1" s="298">
        <f>IF(AND(Scharniere[[#This Row],[Scharnierart]]=3,Scharniere[[#This Row],[Gruppenschlüssel]]=select!$A$747)=TRUE,1,0)</f>
        <v>0</v>
      </c>
      <c r="Q441" s="298">
        <f ca="1">IF(select!$O$945&lt;6,1,0)</f>
        <v>1</v>
      </c>
      <c r="R441" s="298">
        <f>IF(select!$A$778=IF(Scharniere[[#This Row],[mit Dämpfung]]=1,1,IF(Scharniere[[#This Row],[ohne Dämpfung]]=1,2,IF(Scharniere[[#This Row],[ohne Feder]]=1,3,0))),1,0)</f>
        <v>0</v>
      </c>
      <c r="S441" s="298">
        <f>IF(Scharniere[[#This Row],[Bohrbild]]=select!$A$755,1,0)</f>
        <v>0</v>
      </c>
      <c r="T441" s="298">
        <f>IF(IF(Scharniere[[#This Row],[Anschrauben]]=1,1,IF(Scharniere[[#This Row],[Einpressen]]=1,2,IF(Scharniere[[#This Row],[Quick]]=1,3,IF(Scharniere[[#This Row],[Werkzeuglos]]=1,4,0))))=select!$A$769,1,0)</f>
        <v>0</v>
      </c>
      <c r="U4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1" s="359">
        <f>IF(AND(Scharniere[[#This Row],[Scharnierart]]=4,Scharniere[[#This Row],[Gruppenschlüssel]]=select!$A$981)=TRUE,1,0)</f>
        <v>0</v>
      </c>
      <c r="W441" s="359">
        <f ca="1">IF(select!$O$1185&lt;6,1,0)</f>
        <v>1</v>
      </c>
      <c r="X441" s="359">
        <f>IF(select!$A$1012=IF(Scharniere[[#This Row],[mit Dämpfung]]=1,1,IF(Scharniere[[#This Row],[ohne Dämpfung]]=1,2,IF(Scharniere[[#This Row],[ohne Feder]]=1,3,0))),1,0)</f>
        <v>0</v>
      </c>
      <c r="Y441" s="359">
        <f>IF(Scharniere[[#This Row],[Bohrbild]]=select!$A$989,1,0)</f>
        <v>0</v>
      </c>
      <c r="Z441" s="359">
        <f>IF(IF(Scharniere[[#This Row],[Anschrauben]]=1,1,IF(Scharniere[[#This Row],[Einpressen]]=1,2,IF(Scharniere[[#This Row],[Quick]]=1,3,IF(Scharniere[[#This Row],[Werkzeuglos]]=1,4,0))))=select!$A$1003,1,0)</f>
        <v>0</v>
      </c>
      <c r="AA4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1" s="359">
        <f ca="1">IF(select!$K$980="*",Scharniere[[#This Row],[AG Ges2]],Scharniere[[#This Row],[AG Ges1]])</f>
        <v>0</v>
      </c>
      <c r="AE441" s="451">
        <f ca="1">IF(AND(Scharniere[[#This Row],[Scharnierart]]=select!$A$1485,Scharniere[[#This Row],[Gruppenschlüssel]]=select!$B$1485)=TRUE,1,0)</f>
        <v>0</v>
      </c>
      <c r="AF441" s="451">
        <f ca="1">IF(AND(Scharniere[[#This Row],[Scharnierart]]=select!$A$1486,Scharniere[[#This Row],[Gruppenschlüssel]]=select!$B$1486)=TRUE,1,0)</f>
        <v>0</v>
      </c>
      <c r="AG441" s="451">
        <f ca="1">IF(AND(Scharniere[[#This Row],[Scharnierart]]=select!$A$1487,Scharniere[[#This Row],[Gruppenschlüssel]]=select!$B$1487)=TRUE,1,0)</f>
        <v>0</v>
      </c>
      <c r="AH441" s="451">
        <f ca="1">IF(AND(Scharniere[[#This Row],[Scharnierart]]=select!$A$1488,Scharniere[[#This Row],[Gruppenschlüssel]]=select!$B$1488)=TRUE,1,0)</f>
        <v>0</v>
      </c>
      <c r="AI441" s="451">
        <f ca="1">IF(SUM(Scharniere[[#This Row],[konf Scharnier 1]:[konf Scharnier 4]])&gt;0,1,0)</f>
        <v>0</v>
      </c>
      <c r="AJ441" s="451"/>
      <c r="AK441" s="451"/>
      <c r="AL441" s="451"/>
      <c r="AM441" s="451"/>
      <c r="AN441" s="451"/>
      <c r="AO441" s="146">
        <v>1</v>
      </c>
      <c r="AP441" s="146">
        <v>3</v>
      </c>
      <c r="AQ441" s="10" t="str">
        <f ca="1">Sprache!$A$112</f>
        <v>Tiomos Scharnier TS Click-on</v>
      </c>
      <c r="AR441" t="str">
        <f ca="1">"160°, B-BB, K03, "&amp;Sprache!A181&amp;", ni"</f>
        <v>160°, B-BB, K03, Dübel, ni</v>
      </c>
      <c r="AS441" t="str">
        <f ca="1">Sprache!$A$103</f>
        <v>Tiomos Click-On Scharniere</v>
      </c>
      <c r="AT441">
        <v>3</v>
      </c>
      <c r="AU441" t="s">
        <v>3</v>
      </c>
      <c r="AV441">
        <v>160</v>
      </c>
      <c r="AW441" s="10">
        <v>1</v>
      </c>
      <c r="AX441">
        <v>0</v>
      </c>
      <c r="AY441">
        <v>0</v>
      </c>
      <c r="AZ441" s="10">
        <v>0</v>
      </c>
      <c r="BA441">
        <v>1</v>
      </c>
      <c r="BB441">
        <v>0</v>
      </c>
      <c r="BC441">
        <v>0</v>
      </c>
      <c r="BD441" s="143" t="s">
        <v>328</v>
      </c>
      <c r="BG441"/>
    </row>
    <row r="442" spans="1:59" ht="14.25" customHeight="1" x14ac:dyDescent="0.25">
      <c r="A442" s="37" t="str">
        <f>LEFT(Scharniere[[#This Row],[ArtikelNR]],4)</f>
        <v>F046</v>
      </c>
      <c r="B442" s="35" t="str">
        <f>MID(Scharniere[[#This Row],[ArtikelNR]],5,3)</f>
        <v>138</v>
      </c>
      <c r="C442" s="37" t="str">
        <f>RIGHT(Scharniere[[#This Row],[ArtikelNR]],3)</f>
        <v>625</v>
      </c>
      <c r="D442" s="35">
        <f>IF(AND(Scharniere[[#This Row],[Gruppenschlüssel]]=select!$A$44,Scharniere[[#This Row],[Scharnierart]]=1)=TRUE,1,0)</f>
        <v>0</v>
      </c>
      <c r="E4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2" s="35">
        <f>IF(select!$F$57=IF(Scharniere[[#This Row],[mit Dämpfung]]=1,1,IF(Scharniere[[#This Row],[ohne Dämpfung]]=1,2,IF(Scharniere[[#This Row],[ohne Feder]]=1,3,0))),1,0)</f>
        <v>1</v>
      </c>
      <c r="G442" s="35">
        <f>IF(Scharniere[[#This Row],[Bohrbild]]=select!$V$43,1,0)</f>
        <v>0</v>
      </c>
      <c r="H442" s="35">
        <f>IF(IF(Scharniere[[#This Row],[Anschrauben]]=1,1,IF(Scharniere[[#This Row],[Einpressen]]=1,2,IF(Scharniere[[#This Row],[Quick]]=1,3,IF(Scharniere[[#This Row],[Werkzeuglos]]=1,4,0))))=select!$F$48,1,0)</f>
        <v>1</v>
      </c>
      <c r="I4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2" s="149">
        <f>IF(AND(Scharniere[[#This Row],[Scharnierart]]=2,Scharniere[[#This Row],[Gruppenschlüssel]]=select!$A$318)=TRUE,1,0)</f>
        <v>0</v>
      </c>
      <c r="K442" s="221">
        <f ca="1">IF(select!$O$424&lt;6,1,0)</f>
        <v>1</v>
      </c>
      <c r="L442" s="139">
        <f>IF(select!$A$362=IF(Scharniere[[#This Row],[mit Dämpfung]]=1,1,IF(Scharniere[[#This Row],[ohne Dämpfung]]=1,2,IF(Scharniere[[#This Row],[ohne Feder]]=1,3,0))),1,0)</f>
        <v>0</v>
      </c>
      <c r="M442" s="135">
        <f>IF(Scharniere[[#This Row],[Bohrbild]]=select!$O$334,1,0)</f>
        <v>0</v>
      </c>
      <c r="N442" s="135">
        <f>IF(IF(Scharniere[[#This Row],[Anschrauben]]=1,1,IF(Scharniere[[#This Row],[Einpressen]]=1,2,IF(Scharniere[[#This Row],[Quick]]=1,3,IF(Scharniere[[#This Row],[Werkzeuglos]]=1,4,0))))=select!$E$362,1,0)</f>
        <v>0</v>
      </c>
      <c r="O4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2" s="298">
        <f>IF(AND(Scharniere[[#This Row],[Scharnierart]]=3,Scharniere[[#This Row],[Gruppenschlüssel]]=select!$A$747)=TRUE,1,0)</f>
        <v>0</v>
      </c>
      <c r="Q442" s="298">
        <f ca="1">IF(select!$O$945&lt;6,1,0)</f>
        <v>1</v>
      </c>
      <c r="R442" s="298">
        <f>IF(select!$A$778=IF(Scharniere[[#This Row],[mit Dämpfung]]=1,1,IF(Scharniere[[#This Row],[ohne Dämpfung]]=1,2,IF(Scharniere[[#This Row],[ohne Feder]]=1,3,0))),1,0)</f>
        <v>0</v>
      </c>
      <c r="S442" s="298">
        <f>IF(Scharniere[[#This Row],[Bohrbild]]=select!$A$755,1,0)</f>
        <v>0</v>
      </c>
      <c r="T442" s="298">
        <f>IF(IF(Scharniere[[#This Row],[Anschrauben]]=1,1,IF(Scharniere[[#This Row],[Einpressen]]=1,2,IF(Scharniere[[#This Row],[Quick]]=1,3,IF(Scharniere[[#This Row],[Werkzeuglos]]=1,4,0))))=select!$A$769,1,0)</f>
        <v>0</v>
      </c>
      <c r="U4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2" s="359">
        <f>IF(AND(Scharniere[[#This Row],[Scharnierart]]=4,Scharniere[[#This Row],[Gruppenschlüssel]]=select!$A$981)=TRUE,1,0)</f>
        <v>0</v>
      </c>
      <c r="W442" s="359">
        <f ca="1">IF(select!$O$1185&lt;6,1,0)</f>
        <v>1</v>
      </c>
      <c r="X442" s="359">
        <f>IF(select!$A$1012=IF(Scharniere[[#This Row],[mit Dämpfung]]=1,1,IF(Scharniere[[#This Row],[ohne Dämpfung]]=1,2,IF(Scharniere[[#This Row],[ohne Feder]]=1,3,0))),1,0)</f>
        <v>0</v>
      </c>
      <c r="Y442" s="359">
        <f>IF(Scharniere[[#This Row],[Bohrbild]]=select!$A$989,1,0)</f>
        <v>0</v>
      </c>
      <c r="Z442" s="359">
        <f>IF(IF(Scharniere[[#This Row],[Anschrauben]]=1,1,IF(Scharniere[[#This Row],[Einpressen]]=1,2,IF(Scharniere[[#This Row],[Quick]]=1,3,IF(Scharniere[[#This Row],[Werkzeuglos]]=1,4,0))))=select!$A$1003,1,0)</f>
        <v>0</v>
      </c>
      <c r="AA4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2" s="359">
        <f ca="1">IF(select!$K$980="*",Scharniere[[#This Row],[AG Ges2]],Scharniere[[#This Row],[AG Ges1]])</f>
        <v>0</v>
      </c>
      <c r="AE442" s="451">
        <f ca="1">IF(AND(Scharniere[[#This Row],[Scharnierart]]=select!$A$1485,Scharniere[[#This Row],[Gruppenschlüssel]]=select!$B$1485)=TRUE,1,0)</f>
        <v>0</v>
      </c>
      <c r="AF442" s="451">
        <f ca="1">IF(AND(Scharniere[[#This Row],[Scharnierart]]=select!$A$1486,Scharniere[[#This Row],[Gruppenschlüssel]]=select!$B$1486)=TRUE,1,0)</f>
        <v>0</v>
      </c>
      <c r="AG442" s="451">
        <f ca="1">IF(AND(Scharniere[[#This Row],[Scharnierart]]=select!$A$1487,Scharniere[[#This Row],[Gruppenschlüssel]]=select!$B$1487)=TRUE,1,0)</f>
        <v>0</v>
      </c>
      <c r="AH442" s="451">
        <f ca="1">IF(AND(Scharniere[[#This Row],[Scharnierart]]=select!$A$1488,Scharniere[[#This Row],[Gruppenschlüssel]]=select!$B$1488)=TRUE,1,0)</f>
        <v>0</v>
      </c>
      <c r="AI442" s="451">
        <f ca="1">IF(SUM(Scharniere[[#This Row],[konf Scharnier 1]:[konf Scharnier 4]])&gt;0,1,0)</f>
        <v>0</v>
      </c>
      <c r="AJ442" s="451"/>
      <c r="AK442" s="451"/>
      <c r="AL442" s="451"/>
      <c r="AM442" s="451"/>
      <c r="AN442" s="451"/>
      <c r="AO442" s="146">
        <v>1</v>
      </c>
      <c r="AP442" s="146">
        <v>3</v>
      </c>
      <c r="AQ442" s="10" t="str">
        <f ca="1">Sprache!$A$114</f>
        <v>Tiomos Scharnier TT Click-on</v>
      </c>
      <c r="AR442" t="str">
        <f ca="1">"160°, B-BB, K03, "&amp;Sprache!A181&amp;", ni"</f>
        <v>160°, B-BB, K03, Dübel, ni</v>
      </c>
      <c r="AS442" t="str">
        <f ca="1">Sprache!$A$103</f>
        <v>Tiomos Click-On Scharniere</v>
      </c>
      <c r="AT442">
        <v>3</v>
      </c>
      <c r="AU442" t="s">
        <v>3</v>
      </c>
      <c r="AV442">
        <v>160</v>
      </c>
      <c r="AW442" s="10">
        <v>0</v>
      </c>
      <c r="AX442">
        <v>0</v>
      </c>
      <c r="AY442">
        <v>1</v>
      </c>
      <c r="AZ442" s="10">
        <v>0</v>
      </c>
      <c r="BA442">
        <v>1</v>
      </c>
      <c r="BB442">
        <v>0</v>
      </c>
      <c r="BC442">
        <v>0</v>
      </c>
      <c r="BD442" s="143" t="s">
        <v>656</v>
      </c>
      <c r="BG442"/>
    </row>
    <row r="443" spans="1:59" ht="14.25" customHeight="1" x14ac:dyDescent="0.25">
      <c r="A443" s="37" t="str">
        <f>LEFT(Scharniere[[#This Row],[ArtikelNR]],4)</f>
        <v>F045</v>
      </c>
      <c r="B443" s="35" t="str">
        <f>MID(Scharniere[[#This Row],[ArtikelNR]],5,3)</f>
        <v>138</v>
      </c>
      <c r="C443" s="37" t="str">
        <f>RIGHT(Scharniere[[#This Row],[ArtikelNR]],3)</f>
        <v>500</v>
      </c>
      <c r="D443" s="35">
        <f>IF(AND(Scharniere[[#This Row],[Gruppenschlüssel]]=select!$A$44,Scharniere[[#This Row],[Scharnierart]]=1)=TRUE,1,0)</f>
        <v>0</v>
      </c>
      <c r="E4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3" s="35">
        <f>IF(select!$F$57=IF(Scharniere[[#This Row],[mit Dämpfung]]=1,1,IF(Scharniere[[#This Row],[ohne Dämpfung]]=1,2,IF(Scharniere[[#This Row],[ohne Feder]]=1,3,0))),1,0)</f>
        <v>0</v>
      </c>
      <c r="G443" s="35">
        <f>IF(Scharniere[[#This Row],[Bohrbild]]=select!$V$43,1,0)</f>
        <v>0</v>
      </c>
      <c r="H443" s="35">
        <f>IF(IF(Scharniere[[#This Row],[Anschrauben]]=1,1,IF(Scharniere[[#This Row],[Einpressen]]=1,2,IF(Scharniere[[#This Row],[Quick]]=1,3,IF(Scharniere[[#This Row],[Werkzeuglos]]=1,4,0))))=select!$F$48,1,0)</f>
        <v>0</v>
      </c>
      <c r="I4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3" s="149">
        <f>IF(AND(Scharniere[[#This Row],[Scharnierart]]=2,Scharniere[[#This Row],[Gruppenschlüssel]]=select!$A$318)=TRUE,1,0)</f>
        <v>0</v>
      </c>
      <c r="K443" s="221">
        <f ca="1">IF(select!$O$424&lt;6,1,0)</f>
        <v>1</v>
      </c>
      <c r="L443" s="139">
        <f>IF(select!$A$362=IF(Scharniere[[#This Row],[mit Dämpfung]]=1,1,IF(Scharniere[[#This Row],[ohne Dämpfung]]=1,2,IF(Scharniere[[#This Row],[ohne Feder]]=1,3,0))),1,0)</f>
        <v>0</v>
      </c>
      <c r="M443" s="135">
        <f>IF(Scharniere[[#This Row],[Bohrbild]]=select!$O$334,1,0)</f>
        <v>0</v>
      </c>
      <c r="N443" s="135">
        <f>IF(IF(Scharniere[[#This Row],[Anschrauben]]=1,1,IF(Scharniere[[#This Row],[Einpressen]]=1,2,IF(Scharniere[[#This Row],[Quick]]=1,3,IF(Scharniere[[#This Row],[Werkzeuglos]]=1,4,0))))=select!$E$362,1,0)</f>
        <v>1</v>
      </c>
      <c r="O4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3" s="298">
        <f>IF(AND(Scharniere[[#This Row],[Scharnierart]]=3,Scharniere[[#This Row],[Gruppenschlüssel]]=select!$A$747)=TRUE,1,0)</f>
        <v>0</v>
      </c>
      <c r="Q443" s="298">
        <f ca="1">IF(select!$O$945&lt;6,1,0)</f>
        <v>1</v>
      </c>
      <c r="R443" s="298">
        <f>IF(select!$A$778=IF(Scharniere[[#This Row],[mit Dämpfung]]=1,1,IF(Scharniere[[#This Row],[ohne Dämpfung]]=1,2,IF(Scharniere[[#This Row],[ohne Feder]]=1,3,0))),1,0)</f>
        <v>1</v>
      </c>
      <c r="S443" s="298">
        <f>IF(Scharniere[[#This Row],[Bohrbild]]=select!$A$755,1,0)</f>
        <v>0</v>
      </c>
      <c r="T443" s="298">
        <f>IF(IF(Scharniere[[#This Row],[Anschrauben]]=1,1,IF(Scharniere[[#This Row],[Einpressen]]=1,2,IF(Scharniere[[#This Row],[Quick]]=1,3,IF(Scharniere[[#This Row],[Werkzeuglos]]=1,4,0))))=select!$A$769,1,0)</f>
        <v>1</v>
      </c>
      <c r="U4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3" s="359">
        <f>IF(AND(Scharniere[[#This Row],[Scharnierart]]=4,Scharniere[[#This Row],[Gruppenschlüssel]]=select!$A$981)=TRUE,1,0)</f>
        <v>0</v>
      </c>
      <c r="W443" s="359">
        <f ca="1">IF(select!$O$1185&lt;6,1,0)</f>
        <v>1</v>
      </c>
      <c r="X443" s="359">
        <f>IF(select!$A$1012=IF(Scharniere[[#This Row],[mit Dämpfung]]=1,1,IF(Scharniere[[#This Row],[ohne Dämpfung]]=1,2,IF(Scharniere[[#This Row],[ohne Feder]]=1,3,0))),1,0)</f>
        <v>1</v>
      </c>
      <c r="Y443" s="359">
        <f>IF(Scharniere[[#This Row],[Bohrbild]]=select!$A$989,1,0)</f>
        <v>0</v>
      </c>
      <c r="Z443" s="359">
        <f>IF(IF(Scharniere[[#This Row],[Anschrauben]]=1,1,IF(Scharniere[[#This Row],[Einpressen]]=1,2,IF(Scharniere[[#This Row],[Quick]]=1,3,IF(Scharniere[[#This Row],[Werkzeuglos]]=1,4,0))))=select!$A$1003,1,0)</f>
        <v>1</v>
      </c>
      <c r="AA4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3" s="359">
        <f ca="1">IF(select!$K$980="*",Scharniere[[#This Row],[AG Ges2]],Scharniere[[#This Row],[AG Ges1]])</f>
        <v>0</v>
      </c>
      <c r="AE443" s="451">
        <f ca="1">IF(AND(Scharniere[[#This Row],[Scharnierart]]=select!$A$1485,Scharniere[[#This Row],[Gruppenschlüssel]]=select!$B$1485)=TRUE,1,0)</f>
        <v>0</v>
      </c>
      <c r="AF443" s="451">
        <f ca="1">IF(AND(Scharniere[[#This Row],[Scharnierart]]=select!$A$1486,Scharniere[[#This Row],[Gruppenschlüssel]]=select!$B$1486)=TRUE,1,0)</f>
        <v>0</v>
      </c>
      <c r="AG443" s="451">
        <f ca="1">IF(AND(Scharniere[[#This Row],[Scharnierart]]=select!$A$1487,Scharniere[[#This Row],[Gruppenschlüssel]]=select!$B$1487)=TRUE,1,0)</f>
        <v>0</v>
      </c>
      <c r="AH443" s="451">
        <f ca="1">IF(AND(Scharniere[[#This Row],[Scharnierart]]=select!$A$1488,Scharniere[[#This Row],[Gruppenschlüssel]]=select!$B$1488)=TRUE,1,0)</f>
        <v>0</v>
      </c>
      <c r="AI443" s="451">
        <f ca="1">IF(SUM(Scharniere[[#This Row],[konf Scharnier 1]:[konf Scharnier 4]])&gt;0,1,0)</f>
        <v>0</v>
      </c>
      <c r="AJ443" s="451"/>
      <c r="AK443" s="451"/>
      <c r="AL443" s="451"/>
      <c r="AM443" s="451"/>
      <c r="AN443" s="451"/>
      <c r="AO443" s="146">
        <v>1</v>
      </c>
      <c r="AP443" s="146">
        <v>3</v>
      </c>
      <c r="AQ443" s="10" t="str">
        <f ca="1">Sprache!$A$110</f>
        <v>Tiomos Scharnier T Click-on</v>
      </c>
      <c r="AR443" t="s">
        <v>325</v>
      </c>
      <c r="AS443" t="str">
        <f ca="1">Sprache!$A$103</f>
        <v>Tiomos Click-On Scharniere</v>
      </c>
      <c r="AT443">
        <v>3</v>
      </c>
      <c r="AU443" s="34" t="s">
        <v>3</v>
      </c>
      <c r="AV443">
        <v>160</v>
      </c>
      <c r="AW443" s="10">
        <v>0</v>
      </c>
      <c r="AX443">
        <v>1</v>
      </c>
      <c r="AY443">
        <v>0</v>
      </c>
      <c r="AZ443" s="10">
        <v>1</v>
      </c>
      <c r="BA443">
        <v>0</v>
      </c>
      <c r="BB443">
        <v>0</v>
      </c>
      <c r="BC443">
        <v>0</v>
      </c>
      <c r="BD443" s="143" t="s">
        <v>501</v>
      </c>
      <c r="BG443"/>
    </row>
    <row r="444" spans="1:59" ht="14.25" customHeight="1" x14ac:dyDescent="0.25">
      <c r="A444" s="37" t="str">
        <f>LEFT(Scharniere[[#This Row],[ArtikelNR]],4)</f>
        <v>F028</v>
      </c>
      <c r="B444" s="35" t="str">
        <f>MID(Scharniere[[#This Row],[ArtikelNR]],5,3)</f>
        <v>138</v>
      </c>
      <c r="C444" s="37" t="str">
        <f>RIGHT(Scharniere[[#This Row],[ArtikelNR]],3)</f>
        <v>562</v>
      </c>
      <c r="D444" s="35">
        <f>IF(AND(Scharniere[[#This Row],[Gruppenschlüssel]]=select!$A$44,Scharniere[[#This Row],[Scharnierart]]=1)=TRUE,1,0)</f>
        <v>0</v>
      </c>
      <c r="E4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4" s="35">
        <f>IF(select!$F$57=IF(Scharniere[[#This Row],[mit Dämpfung]]=1,1,IF(Scharniere[[#This Row],[ohne Dämpfung]]=1,2,IF(Scharniere[[#This Row],[ohne Feder]]=1,3,0))),1,0)</f>
        <v>0</v>
      </c>
      <c r="G444" s="35">
        <f>IF(Scharniere[[#This Row],[Bohrbild]]=select!$V$43,1,0)</f>
        <v>0</v>
      </c>
      <c r="H444" s="35">
        <f>IF(IF(Scharniere[[#This Row],[Anschrauben]]=1,1,IF(Scharniere[[#This Row],[Einpressen]]=1,2,IF(Scharniere[[#This Row],[Quick]]=1,3,IF(Scharniere[[#This Row],[Werkzeuglos]]=1,4,0))))=select!$F$48,1,0)</f>
        <v>0</v>
      </c>
      <c r="I4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4" s="149">
        <f>IF(AND(Scharniere[[#This Row],[Scharnierart]]=2,Scharniere[[#This Row],[Gruppenschlüssel]]=select!$A$318)=TRUE,1,0)</f>
        <v>0</v>
      </c>
      <c r="K444" s="221">
        <f ca="1">IF(select!$O$424&lt;6,1,0)</f>
        <v>1</v>
      </c>
      <c r="L444" s="139">
        <f>IF(select!$A$362=IF(Scharniere[[#This Row],[mit Dämpfung]]=1,1,IF(Scharniere[[#This Row],[ohne Dämpfung]]=1,2,IF(Scharniere[[#This Row],[ohne Feder]]=1,3,0))),1,0)</f>
        <v>1</v>
      </c>
      <c r="M444" s="135">
        <f>IF(Scharniere[[#This Row],[Bohrbild]]=select!$O$334,1,0)</f>
        <v>0</v>
      </c>
      <c r="N444" s="135">
        <f>IF(IF(Scharniere[[#This Row],[Anschrauben]]=1,1,IF(Scharniere[[#This Row],[Einpressen]]=1,2,IF(Scharniere[[#This Row],[Quick]]=1,3,IF(Scharniere[[#This Row],[Werkzeuglos]]=1,4,0))))=select!$E$362,1,0)</f>
        <v>1</v>
      </c>
      <c r="O4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4" s="298">
        <f>IF(AND(Scharniere[[#This Row],[Scharnierart]]=3,Scharniere[[#This Row],[Gruppenschlüssel]]=select!$A$747)=TRUE,1,0)</f>
        <v>0</v>
      </c>
      <c r="Q444" s="298">
        <f ca="1">IF(select!$O$945&lt;6,1,0)</f>
        <v>1</v>
      </c>
      <c r="R444" s="298">
        <f>IF(select!$A$778=IF(Scharniere[[#This Row],[mit Dämpfung]]=1,1,IF(Scharniere[[#This Row],[ohne Dämpfung]]=1,2,IF(Scharniere[[#This Row],[ohne Feder]]=1,3,0))),1,0)</f>
        <v>0</v>
      </c>
      <c r="S444" s="298">
        <f>IF(Scharniere[[#This Row],[Bohrbild]]=select!$A$755,1,0)</f>
        <v>0</v>
      </c>
      <c r="T444" s="298">
        <f>IF(IF(Scharniere[[#This Row],[Anschrauben]]=1,1,IF(Scharniere[[#This Row],[Einpressen]]=1,2,IF(Scharniere[[#This Row],[Quick]]=1,3,IF(Scharniere[[#This Row],[Werkzeuglos]]=1,4,0))))=select!$A$769,1,0)</f>
        <v>1</v>
      </c>
      <c r="U4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4" s="359">
        <f>IF(AND(Scharniere[[#This Row],[Scharnierart]]=4,Scharniere[[#This Row],[Gruppenschlüssel]]=select!$A$981)=TRUE,1,0)</f>
        <v>0</v>
      </c>
      <c r="W444" s="359">
        <f ca="1">IF(select!$O$1185&lt;6,1,0)</f>
        <v>1</v>
      </c>
      <c r="X444" s="359">
        <f>IF(select!$A$1012=IF(Scharniere[[#This Row],[mit Dämpfung]]=1,1,IF(Scharniere[[#This Row],[ohne Dämpfung]]=1,2,IF(Scharniere[[#This Row],[ohne Feder]]=1,3,0))),1,0)</f>
        <v>0</v>
      </c>
      <c r="Y444" s="359">
        <f>IF(Scharniere[[#This Row],[Bohrbild]]=select!$A$989,1,0)</f>
        <v>0</v>
      </c>
      <c r="Z444" s="359">
        <f>IF(IF(Scharniere[[#This Row],[Anschrauben]]=1,1,IF(Scharniere[[#This Row],[Einpressen]]=1,2,IF(Scharniere[[#This Row],[Quick]]=1,3,IF(Scharniere[[#This Row],[Werkzeuglos]]=1,4,0))))=select!$A$1003,1,0)</f>
        <v>1</v>
      </c>
      <c r="AA4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4" s="359">
        <f ca="1">IF(select!$K$980="*",Scharniere[[#This Row],[AG Ges2]],Scharniere[[#This Row],[AG Ges1]])</f>
        <v>0</v>
      </c>
      <c r="AE444" s="451">
        <f ca="1">IF(AND(Scharniere[[#This Row],[Scharnierart]]=select!$A$1485,Scharniere[[#This Row],[Gruppenschlüssel]]=select!$B$1485)=TRUE,1,0)</f>
        <v>0</v>
      </c>
      <c r="AF444" s="451">
        <f ca="1">IF(AND(Scharniere[[#This Row],[Scharnierart]]=select!$A$1486,Scharniere[[#This Row],[Gruppenschlüssel]]=select!$B$1486)=TRUE,1,0)</f>
        <v>0</v>
      </c>
      <c r="AG444" s="451">
        <f ca="1">IF(AND(Scharniere[[#This Row],[Scharnierart]]=select!$A$1487,Scharniere[[#This Row],[Gruppenschlüssel]]=select!$B$1487)=TRUE,1,0)</f>
        <v>0</v>
      </c>
      <c r="AH444" s="451">
        <f ca="1">IF(AND(Scharniere[[#This Row],[Scharnierart]]=select!$A$1488,Scharniere[[#This Row],[Gruppenschlüssel]]=select!$B$1488)=TRUE,1,0)</f>
        <v>0</v>
      </c>
      <c r="AI444" s="451">
        <f ca="1">IF(SUM(Scharniere[[#This Row],[konf Scharnier 1]:[konf Scharnier 4]])&gt;0,1,0)</f>
        <v>0</v>
      </c>
      <c r="AJ444" s="451"/>
      <c r="AK444" s="451"/>
      <c r="AL444" s="451"/>
      <c r="AM444" s="451"/>
      <c r="AN444" s="451"/>
      <c r="AO444" s="146">
        <v>1</v>
      </c>
      <c r="AP444" s="146">
        <v>3</v>
      </c>
      <c r="AQ444" s="10" t="str">
        <f ca="1">Sprache!$A$112</f>
        <v>Tiomos Scharnier TS Click-on</v>
      </c>
      <c r="AR444" t="s">
        <v>325</v>
      </c>
      <c r="AS444" t="str">
        <f ca="1">Sprache!$A$103</f>
        <v>Tiomos Click-On Scharniere</v>
      </c>
      <c r="AT444">
        <v>3</v>
      </c>
      <c r="AU444" s="34" t="s">
        <v>3</v>
      </c>
      <c r="AV444">
        <v>160</v>
      </c>
      <c r="AW444" s="10">
        <v>1</v>
      </c>
      <c r="AX444">
        <v>0</v>
      </c>
      <c r="AY444">
        <v>0</v>
      </c>
      <c r="AZ444" s="10">
        <v>1</v>
      </c>
      <c r="BA444">
        <v>0</v>
      </c>
      <c r="BB444">
        <v>0</v>
      </c>
      <c r="BC444">
        <v>0</v>
      </c>
      <c r="BD444" s="143" t="s">
        <v>324</v>
      </c>
      <c r="BG444"/>
    </row>
    <row r="445" spans="1:59" ht="14.25" customHeight="1" x14ac:dyDescent="0.25">
      <c r="A445" s="37" t="str">
        <f>LEFT(Scharniere[[#This Row],[ArtikelNR]],4)</f>
        <v>F046</v>
      </c>
      <c r="B445" s="35" t="str">
        <f>MID(Scharniere[[#This Row],[ArtikelNR]],5,3)</f>
        <v>138</v>
      </c>
      <c r="C445" s="37" t="str">
        <f>RIGHT(Scharniere[[#This Row],[ArtikelNR]],3)</f>
        <v>622</v>
      </c>
      <c r="D445" s="35">
        <f>IF(AND(Scharniere[[#This Row],[Gruppenschlüssel]]=select!$A$44,Scharniere[[#This Row],[Scharnierart]]=1)=TRUE,1,0)</f>
        <v>0</v>
      </c>
      <c r="E4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5" s="35">
        <f>IF(select!$F$57=IF(Scharniere[[#This Row],[mit Dämpfung]]=1,1,IF(Scharniere[[#This Row],[ohne Dämpfung]]=1,2,IF(Scharniere[[#This Row],[ohne Feder]]=1,3,0))),1,0)</f>
        <v>1</v>
      </c>
      <c r="G445" s="35">
        <f>IF(Scharniere[[#This Row],[Bohrbild]]=select!$V$43,1,0)</f>
        <v>0</v>
      </c>
      <c r="H445" s="35">
        <f>IF(IF(Scharniere[[#This Row],[Anschrauben]]=1,1,IF(Scharniere[[#This Row],[Einpressen]]=1,2,IF(Scharniere[[#This Row],[Quick]]=1,3,IF(Scharniere[[#This Row],[Werkzeuglos]]=1,4,0))))=select!$F$48,1,0)</f>
        <v>0</v>
      </c>
      <c r="I4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5" s="149">
        <f>IF(AND(Scharniere[[#This Row],[Scharnierart]]=2,Scharniere[[#This Row],[Gruppenschlüssel]]=select!$A$318)=TRUE,1,0)</f>
        <v>0</v>
      </c>
      <c r="K445" s="221">
        <f ca="1">IF(select!$O$424&lt;6,1,0)</f>
        <v>1</v>
      </c>
      <c r="L445" s="139">
        <f>IF(select!$A$362=IF(Scharniere[[#This Row],[mit Dämpfung]]=1,1,IF(Scharniere[[#This Row],[ohne Dämpfung]]=1,2,IF(Scharniere[[#This Row],[ohne Feder]]=1,3,0))),1,0)</f>
        <v>0</v>
      </c>
      <c r="M445" s="135">
        <f>IF(Scharniere[[#This Row],[Bohrbild]]=select!$O$334,1,0)</f>
        <v>0</v>
      </c>
      <c r="N445" s="135">
        <f>IF(IF(Scharniere[[#This Row],[Anschrauben]]=1,1,IF(Scharniere[[#This Row],[Einpressen]]=1,2,IF(Scharniere[[#This Row],[Quick]]=1,3,IF(Scharniere[[#This Row],[Werkzeuglos]]=1,4,0))))=select!$E$362,1,0)</f>
        <v>1</v>
      </c>
      <c r="O4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5" s="298">
        <f>IF(AND(Scharniere[[#This Row],[Scharnierart]]=3,Scharniere[[#This Row],[Gruppenschlüssel]]=select!$A$747)=TRUE,1,0)</f>
        <v>0</v>
      </c>
      <c r="Q445" s="298">
        <f ca="1">IF(select!$O$945&lt;6,1,0)</f>
        <v>1</v>
      </c>
      <c r="R445" s="298">
        <f>IF(select!$A$778=IF(Scharniere[[#This Row],[mit Dämpfung]]=1,1,IF(Scharniere[[#This Row],[ohne Dämpfung]]=1,2,IF(Scharniere[[#This Row],[ohne Feder]]=1,3,0))),1,0)</f>
        <v>0</v>
      </c>
      <c r="S445" s="298">
        <f>IF(Scharniere[[#This Row],[Bohrbild]]=select!$A$755,1,0)</f>
        <v>0</v>
      </c>
      <c r="T445" s="298">
        <f>IF(IF(Scharniere[[#This Row],[Anschrauben]]=1,1,IF(Scharniere[[#This Row],[Einpressen]]=1,2,IF(Scharniere[[#This Row],[Quick]]=1,3,IF(Scharniere[[#This Row],[Werkzeuglos]]=1,4,0))))=select!$A$769,1,0)</f>
        <v>1</v>
      </c>
      <c r="U4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5" s="359">
        <f>IF(AND(Scharniere[[#This Row],[Scharnierart]]=4,Scharniere[[#This Row],[Gruppenschlüssel]]=select!$A$981)=TRUE,1,0)</f>
        <v>0</v>
      </c>
      <c r="W445" s="359">
        <f ca="1">IF(select!$O$1185&lt;6,1,0)</f>
        <v>1</v>
      </c>
      <c r="X445" s="359">
        <f>IF(select!$A$1012=IF(Scharniere[[#This Row],[mit Dämpfung]]=1,1,IF(Scharniere[[#This Row],[ohne Dämpfung]]=1,2,IF(Scharniere[[#This Row],[ohne Feder]]=1,3,0))),1,0)</f>
        <v>0</v>
      </c>
      <c r="Y445" s="359">
        <f>IF(Scharniere[[#This Row],[Bohrbild]]=select!$A$989,1,0)</f>
        <v>0</v>
      </c>
      <c r="Z445" s="359">
        <f>IF(IF(Scharniere[[#This Row],[Anschrauben]]=1,1,IF(Scharniere[[#This Row],[Einpressen]]=1,2,IF(Scharniere[[#This Row],[Quick]]=1,3,IF(Scharniere[[#This Row],[Werkzeuglos]]=1,4,0))))=select!$A$1003,1,0)</f>
        <v>1</v>
      </c>
      <c r="AA4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5" s="359">
        <f ca="1">IF(select!$K$980="*",Scharniere[[#This Row],[AG Ges2]],Scharniere[[#This Row],[AG Ges1]])</f>
        <v>0</v>
      </c>
      <c r="AE445" s="451">
        <f ca="1">IF(AND(Scharniere[[#This Row],[Scharnierart]]=select!$A$1485,Scharniere[[#This Row],[Gruppenschlüssel]]=select!$B$1485)=TRUE,1,0)</f>
        <v>0</v>
      </c>
      <c r="AF445" s="451">
        <f ca="1">IF(AND(Scharniere[[#This Row],[Scharnierart]]=select!$A$1486,Scharniere[[#This Row],[Gruppenschlüssel]]=select!$B$1486)=TRUE,1,0)</f>
        <v>0</v>
      </c>
      <c r="AG445" s="451">
        <f ca="1">IF(AND(Scharniere[[#This Row],[Scharnierart]]=select!$A$1487,Scharniere[[#This Row],[Gruppenschlüssel]]=select!$B$1487)=TRUE,1,0)</f>
        <v>0</v>
      </c>
      <c r="AH445" s="451">
        <f ca="1">IF(AND(Scharniere[[#This Row],[Scharnierart]]=select!$A$1488,Scharniere[[#This Row],[Gruppenschlüssel]]=select!$B$1488)=TRUE,1,0)</f>
        <v>0</v>
      </c>
      <c r="AI445" s="451">
        <f ca="1">IF(SUM(Scharniere[[#This Row],[konf Scharnier 1]:[konf Scharnier 4]])&gt;0,1,0)</f>
        <v>0</v>
      </c>
      <c r="AJ445" s="451"/>
      <c r="AK445" s="451"/>
      <c r="AL445" s="451"/>
      <c r="AM445" s="451"/>
      <c r="AN445" s="451"/>
      <c r="AO445" s="146">
        <v>1</v>
      </c>
      <c r="AP445" s="146">
        <v>3</v>
      </c>
      <c r="AQ445" s="10" t="str">
        <f ca="1">Sprache!$A$114</f>
        <v>Tiomos Scharnier TT Click-on</v>
      </c>
      <c r="AR445" t="s">
        <v>325</v>
      </c>
      <c r="AS445" t="str">
        <f ca="1">Sprache!$A$103</f>
        <v>Tiomos Click-On Scharniere</v>
      </c>
      <c r="AT445">
        <v>3</v>
      </c>
      <c r="AU445" t="s">
        <v>3</v>
      </c>
      <c r="AV445">
        <v>160</v>
      </c>
      <c r="AW445" s="10">
        <v>0</v>
      </c>
      <c r="AX445">
        <v>0</v>
      </c>
      <c r="AY445">
        <v>1</v>
      </c>
      <c r="AZ445" s="10">
        <v>1</v>
      </c>
      <c r="BA445">
        <v>0</v>
      </c>
      <c r="BB445">
        <v>0</v>
      </c>
      <c r="BC445">
        <v>0</v>
      </c>
      <c r="BD445" s="143" t="s">
        <v>653</v>
      </c>
      <c r="BG445"/>
    </row>
    <row r="446" spans="1:59" ht="14.25" customHeight="1" x14ac:dyDescent="0.25">
      <c r="A446" s="37" t="str">
        <f>LEFT(Scharniere[[#This Row],[ArtikelNR]],4)</f>
        <v>F045</v>
      </c>
      <c r="B446" s="35" t="str">
        <f>MID(Scharniere[[#This Row],[ArtikelNR]],5,3)</f>
        <v>138</v>
      </c>
      <c r="C446" s="37" t="str">
        <f>RIGHT(Scharniere[[#This Row],[ArtikelNR]],3)</f>
        <v>321</v>
      </c>
      <c r="D446" s="35">
        <f>IF(AND(Scharniere[[#This Row],[Gruppenschlüssel]]=select!$A$44,Scharniere[[#This Row],[Scharnierart]]=1)=TRUE,1,0)</f>
        <v>0</v>
      </c>
      <c r="E4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6" s="35">
        <f>IF(select!$F$57=IF(Scharniere[[#This Row],[mit Dämpfung]]=1,1,IF(Scharniere[[#This Row],[ohne Dämpfung]]=1,2,IF(Scharniere[[#This Row],[ohne Feder]]=1,3,0))),1,0)</f>
        <v>0</v>
      </c>
      <c r="G446" s="35">
        <f>IF(Scharniere[[#This Row],[Bohrbild]]=select!$V$43,1,0)</f>
        <v>0</v>
      </c>
      <c r="H446" s="35">
        <f>IF(IF(Scharniere[[#This Row],[Anschrauben]]=1,1,IF(Scharniere[[#This Row],[Einpressen]]=1,2,IF(Scharniere[[#This Row],[Quick]]=1,3,IF(Scharniere[[#This Row],[Werkzeuglos]]=1,4,0))))=select!$F$48,1,0)</f>
        <v>1</v>
      </c>
      <c r="I4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6" s="149">
        <f>IF(AND(Scharniere[[#This Row],[Scharnierart]]=2,Scharniere[[#This Row],[Gruppenschlüssel]]=select!$A$318)=TRUE,1,0)</f>
        <v>0</v>
      </c>
      <c r="K446" s="221">
        <f ca="1">IF(select!$O$424&lt;6,1,0)</f>
        <v>1</v>
      </c>
      <c r="L446" s="139">
        <f>IF(select!$A$362=IF(Scharniere[[#This Row],[mit Dämpfung]]=1,1,IF(Scharniere[[#This Row],[ohne Dämpfung]]=1,2,IF(Scharniere[[#This Row],[ohne Feder]]=1,3,0))),1,0)</f>
        <v>0</v>
      </c>
      <c r="M446" s="135">
        <f>IF(Scharniere[[#This Row],[Bohrbild]]=select!$O$334,1,0)</f>
        <v>0</v>
      </c>
      <c r="N446" s="135">
        <f>IF(IF(Scharniere[[#This Row],[Anschrauben]]=1,1,IF(Scharniere[[#This Row],[Einpressen]]=1,2,IF(Scharniere[[#This Row],[Quick]]=1,3,IF(Scharniere[[#This Row],[Werkzeuglos]]=1,4,0))))=select!$E$362,1,0)</f>
        <v>0</v>
      </c>
      <c r="O4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6" s="298">
        <f>IF(AND(Scharniere[[#This Row],[Scharnierart]]=3,Scharniere[[#This Row],[Gruppenschlüssel]]=select!$A$747)=TRUE,1,0)</f>
        <v>0</v>
      </c>
      <c r="Q446" s="298">
        <f ca="1">IF(select!$O$945&lt;6,1,0)</f>
        <v>1</v>
      </c>
      <c r="R446" s="298">
        <f>IF(select!$A$778=IF(Scharniere[[#This Row],[mit Dämpfung]]=1,1,IF(Scharniere[[#This Row],[ohne Dämpfung]]=1,2,IF(Scharniere[[#This Row],[ohne Feder]]=1,3,0))),1,0)</f>
        <v>1</v>
      </c>
      <c r="S446" s="298">
        <f>IF(Scharniere[[#This Row],[Bohrbild]]=select!$A$755,1,0)</f>
        <v>0</v>
      </c>
      <c r="T446" s="298">
        <f>IF(IF(Scharniere[[#This Row],[Anschrauben]]=1,1,IF(Scharniere[[#This Row],[Einpressen]]=1,2,IF(Scharniere[[#This Row],[Quick]]=1,3,IF(Scharniere[[#This Row],[Werkzeuglos]]=1,4,0))))=select!$A$769,1,0)</f>
        <v>0</v>
      </c>
      <c r="U4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6" s="359">
        <f>IF(AND(Scharniere[[#This Row],[Scharnierart]]=4,Scharniere[[#This Row],[Gruppenschlüssel]]=select!$A$981)=TRUE,1,0)</f>
        <v>0</v>
      </c>
      <c r="W446" s="359">
        <f ca="1">IF(select!$O$1185&lt;6,1,0)</f>
        <v>1</v>
      </c>
      <c r="X446" s="359">
        <f>IF(select!$A$1012=IF(Scharniere[[#This Row],[mit Dämpfung]]=1,1,IF(Scharniere[[#This Row],[ohne Dämpfung]]=1,2,IF(Scharniere[[#This Row],[ohne Feder]]=1,3,0))),1,0)</f>
        <v>1</v>
      </c>
      <c r="Y446" s="359">
        <f>IF(Scharniere[[#This Row],[Bohrbild]]=select!$A$989,1,0)</f>
        <v>0</v>
      </c>
      <c r="Z446" s="359">
        <f>IF(IF(Scharniere[[#This Row],[Anschrauben]]=1,1,IF(Scharniere[[#This Row],[Einpressen]]=1,2,IF(Scharniere[[#This Row],[Quick]]=1,3,IF(Scharniere[[#This Row],[Werkzeuglos]]=1,4,0))))=select!$A$1003,1,0)</f>
        <v>0</v>
      </c>
      <c r="AA4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6" s="359">
        <f ca="1">IF(select!$K$980="*",Scharniere[[#This Row],[AG Ges2]],Scharniere[[#This Row],[AG Ges1]])</f>
        <v>0</v>
      </c>
      <c r="AE446" s="451">
        <f ca="1">IF(AND(Scharniere[[#This Row],[Scharnierart]]=select!$A$1485,Scharniere[[#This Row],[Gruppenschlüssel]]=select!$B$1485)=TRUE,1,0)</f>
        <v>0</v>
      </c>
      <c r="AF446" s="451">
        <f ca="1">IF(AND(Scharniere[[#This Row],[Scharnierart]]=select!$A$1486,Scharniere[[#This Row],[Gruppenschlüssel]]=select!$B$1486)=TRUE,1,0)</f>
        <v>0</v>
      </c>
      <c r="AG446" s="451">
        <f ca="1">IF(AND(Scharniere[[#This Row],[Scharnierart]]=select!$A$1487,Scharniere[[#This Row],[Gruppenschlüssel]]=select!$B$1487)=TRUE,1,0)</f>
        <v>0</v>
      </c>
      <c r="AH446" s="451">
        <f ca="1">IF(AND(Scharniere[[#This Row],[Scharnierart]]=select!$A$1488,Scharniere[[#This Row],[Gruppenschlüssel]]=select!$B$1488)=TRUE,1,0)</f>
        <v>0</v>
      </c>
      <c r="AI446" s="451">
        <f ca="1">IF(SUM(Scharniere[[#This Row],[konf Scharnier 1]:[konf Scharnier 4]])&gt;0,1,0)</f>
        <v>0</v>
      </c>
      <c r="AJ446" s="451"/>
      <c r="AK446" s="451"/>
      <c r="AL446" s="451"/>
      <c r="AM446" s="451"/>
      <c r="AN446" s="451"/>
      <c r="AO446" s="146">
        <v>1</v>
      </c>
      <c r="AP446" s="146">
        <v>3</v>
      </c>
      <c r="AQ446" s="10" t="str">
        <f ca="1">Sprache!$A$110</f>
        <v>Tiomos Scharnier T Click-on</v>
      </c>
      <c r="AR446" t="str">
        <f ca="1">"160°, G-BB, K03, "&amp;Sprache!A181&amp;", ni"</f>
        <v>160°, G-BB, K03, Dübel, ni</v>
      </c>
      <c r="AS446" t="str">
        <f ca="1">Sprache!$A$103</f>
        <v>Tiomos Click-On Scharniere</v>
      </c>
      <c r="AT446">
        <v>3</v>
      </c>
      <c r="AU446" t="s">
        <v>9</v>
      </c>
      <c r="AV446">
        <v>160</v>
      </c>
      <c r="AW446" s="10">
        <v>0</v>
      </c>
      <c r="AX446">
        <v>1</v>
      </c>
      <c r="AY446">
        <v>0</v>
      </c>
      <c r="AZ446" s="10">
        <v>0</v>
      </c>
      <c r="BA446">
        <v>1</v>
      </c>
      <c r="BB446">
        <v>0</v>
      </c>
      <c r="BC446">
        <v>0</v>
      </c>
      <c r="BD446" s="143" t="s">
        <v>475</v>
      </c>
      <c r="BG446"/>
    </row>
    <row r="447" spans="1:59" ht="14.25" customHeight="1" x14ac:dyDescent="0.25">
      <c r="A447" s="37" t="str">
        <f>LEFT(Scharniere[[#This Row],[ArtikelNR]],4)</f>
        <v>F028</v>
      </c>
      <c r="B447" s="35" t="str">
        <f>MID(Scharniere[[#This Row],[ArtikelNR]],5,3)</f>
        <v>138</v>
      </c>
      <c r="C447" s="37" t="str">
        <f>RIGHT(Scharniere[[#This Row],[ArtikelNR]],3)</f>
        <v>383</v>
      </c>
      <c r="D447" s="35">
        <f>IF(AND(Scharniere[[#This Row],[Gruppenschlüssel]]=select!$A$44,Scharniere[[#This Row],[Scharnierart]]=1)=TRUE,1,0)</f>
        <v>0</v>
      </c>
      <c r="E4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7" s="35">
        <f>IF(select!$F$57=IF(Scharniere[[#This Row],[mit Dämpfung]]=1,1,IF(Scharniere[[#This Row],[ohne Dämpfung]]=1,2,IF(Scharniere[[#This Row],[ohne Feder]]=1,3,0))),1,0)</f>
        <v>0</v>
      </c>
      <c r="G447" s="35">
        <f>IF(Scharniere[[#This Row],[Bohrbild]]=select!$V$43,1,0)</f>
        <v>0</v>
      </c>
      <c r="H447" s="35">
        <f>IF(IF(Scharniere[[#This Row],[Anschrauben]]=1,1,IF(Scharniere[[#This Row],[Einpressen]]=1,2,IF(Scharniere[[#This Row],[Quick]]=1,3,IF(Scharniere[[#This Row],[Werkzeuglos]]=1,4,0))))=select!$F$48,1,0)</f>
        <v>1</v>
      </c>
      <c r="I4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7" s="149">
        <f>IF(AND(Scharniere[[#This Row],[Scharnierart]]=2,Scharniere[[#This Row],[Gruppenschlüssel]]=select!$A$318)=TRUE,1,0)</f>
        <v>0</v>
      </c>
      <c r="K447" s="221">
        <f ca="1">IF(select!$O$424&lt;6,1,0)</f>
        <v>1</v>
      </c>
      <c r="L447" s="139">
        <f>IF(select!$A$362=IF(Scharniere[[#This Row],[mit Dämpfung]]=1,1,IF(Scharniere[[#This Row],[ohne Dämpfung]]=1,2,IF(Scharniere[[#This Row],[ohne Feder]]=1,3,0))),1,0)</f>
        <v>1</v>
      </c>
      <c r="M447" s="135">
        <f>IF(Scharniere[[#This Row],[Bohrbild]]=select!$O$334,1,0)</f>
        <v>0</v>
      </c>
      <c r="N447" s="135">
        <f>IF(IF(Scharniere[[#This Row],[Anschrauben]]=1,1,IF(Scharniere[[#This Row],[Einpressen]]=1,2,IF(Scharniere[[#This Row],[Quick]]=1,3,IF(Scharniere[[#This Row],[Werkzeuglos]]=1,4,0))))=select!$E$362,1,0)</f>
        <v>0</v>
      </c>
      <c r="O4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7" s="298">
        <f>IF(AND(Scharniere[[#This Row],[Scharnierart]]=3,Scharniere[[#This Row],[Gruppenschlüssel]]=select!$A$747)=TRUE,1,0)</f>
        <v>0</v>
      </c>
      <c r="Q447" s="298">
        <f ca="1">IF(select!$O$945&lt;6,1,0)</f>
        <v>1</v>
      </c>
      <c r="R447" s="298">
        <f>IF(select!$A$778=IF(Scharniere[[#This Row],[mit Dämpfung]]=1,1,IF(Scharniere[[#This Row],[ohne Dämpfung]]=1,2,IF(Scharniere[[#This Row],[ohne Feder]]=1,3,0))),1,0)</f>
        <v>0</v>
      </c>
      <c r="S447" s="298">
        <f>IF(Scharniere[[#This Row],[Bohrbild]]=select!$A$755,1,0)</f>
        <v>0</v>
      </c>
      <c r="T447" s="298">
        <f>IF(IF(Scharniere[[#This Row],[Anschrauben]]=1,1,IF(Scharniere[[#This Row],[Einpressen]]=1,2,IF(Scharniere[[#This Row],[Quick]]=1,3,IF(Scharniere[[#This Row],[Werkzeuglos]]=1,4,0))))=select!$A$769,1,0)</f>
        <v>0</v>
      </c>
      <c r="U4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7" s="359">
        <f>IF(AND(Scharniere[[#This Row],[Scharnierart]]=4,Scharniere[[#This Row],[Gruppenschlüssel]]=select!$A$981)=TRUE,1,0)</f>
        <v>0</v>
      </c>
      <c r="W447" s="359">
        <f ca="1">IF(select!$O$1185&lt;6,1,0)</f>
        <v>1</v>
      </c>
      <c r="X447" s="359">
        <f>IF(select!$A$1012=IF(Scharniere[[#This Row],[mit Dämpfung]]=1,1,IF(Scharniere[[#This Row],[ohne Dämpfung]]=1,2,IF(Scharniere[[#This Row],[ohne Feder]]=1,3,0))),1,0)</f>
        <v>0</v>
      </c>
      <c r="Y447" s="359">
        <f>IF(Scharniere[[#This Row],[Bohrbild]]=select!$A$989,1,0)</f>
        <v>0</v>
      </c>
      <c r="Z447" s="359">
        <f>IF(IF(Scharniere[[#This Row],[Anschrauben]]=1,1,IF(Scharniere[[#This Row],[Einpressen]]=1,2,IF(Scharniere[[#This Row],[Quick]]=1,3,IF(Scharniere[[#This Row],[Werkzeuglos]]=1,4,0))))=select!$A$1003,1,0)</f>
        <v>0</v>
      </c>
      <c r="AA4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7" s="359">
        <f ca="1">IF(select!$K$980="*",Scharniere[[#This Row],[AG Ges2]],Scharniere[[#This Row],[AG Ges1]])</f>
        <v>0</v>
      </c>
      <c r="AE447" s="451">
        <f ca="1">IF(AND(Scharniere[[#This Row],[Scharnierart]]=select!$A$1485,Scharniere[[#This Row],[Gruppenschlüssel]]=select!$B$1485)=TRUE,1,0)</f>
        <v>0</v>
      </c>
      <c r="AF447" s="451">
        <f ca="1">IF(AND(Scharniere[[#This Row],[Scharnierart]]=select!$A$1486,Scharniere[[#This Row],[Gruppenschlüssel]]=select!$B$1486)=TRUE,1,0)</f>
        <v>0</v>
      </c>
      <c r="AG447" s="451">
        <f ca="1">IF(AND(Scharniere[[#This Row],[Scharnierart]]=select!$A$1487,Scharniere[[#This Row],[Gruppenschlüssel]]=select!$B$1487)=TRUE,1,0)</f>
        <v>0</v>
      </c>
      <c r="AH447" s="451">
        <f ca="1">IF(AND(Scharniere[[#This Row],[Scharnierart]]=select!$A$1488,Scharniere[[#This Row],[Gruppenschlüssel]]=select!$B$1488)=TRUE,1,0)</f>
        <v>0</v>
      </c>
      <c r="AI447" s="451">
        <f ca="1">IF(SUM(Scharniere[[#This Row],[konf Scharnier 1]:[konf Scharnier 4]])&gt;0,1,0)</f>
        <v>0</v>
      </c>
      <c r="AJ447" s="451"/>
      <c r="AK447" s="451"/>
      <c r="AL447" s="451"/>
      <c r="AM447" s="451"/>
      <c r="AN447" s="451"/>
      <c r="AO447" s="146">
        <v>1</v>
      </c>
      <c r="AP447" s="146">
        <v>3</v>
      </c>
      <c r="AQ447" s="10" t="str">
        <f ca="1">Sprache!$A$112</f>
        <v>Tiomos Scharnier TS Click-on</v>
      </c>
      <c r="AR447" t="str">
        <f ca="1">"160°, G-BB, K03, "&amp;Sprache!A181&amp;", ni"</f>
        <v>160°, G-BB, K03, Dübel, ni</v>
      </c>
      <c r="AS447" t="str">
        <f ca="1">Sprache!$A$103</f>
        <v>Tiomos Click-On Scharniere</v>
      </c>
      <c r="AT447">
        <v>3</v>
      </c>
      <c r="AU447" s="34" t="s">
        <v>9</v>
      </c>
      <c r="AV447">
        <v>160</v>
      </c>
      <c r="AW447" s="10">
        <v>1</v>
      </c>
      <c r="AX447">
        <v>0</v>
      </c>
      <c r="AY447">
        <v>0</v>
      </c>
      <c r="AZ447" s="10">
        <v>0</v>
      </c>
      <c r="BA447">
        <v>1</v>
      </c>
      <c r="BB447">
        <v>0</v>
      </c>
      <c r="BC447">
        <v>0</v>
      </c>
      <c r="BD447" s="143" t="s">
        <v>289</v>
      </c>
      <c r="BG447"/>
    </row>
    <row r="448" spans="1:59" ht="14.25" customHeight="1" x14ac:dyDescent="0.25">
      <c r="A448" s="37" t="str">
        <f>LEFT(Scharniere[[#This Row],[ArtikelNR]],4)</f>
        <v>F046</v>
      </c>
      <c r="B448" s="35" t="str">
        <f>MID(Scharniere[[#This Row],[ArtikelNR]],5,3)</f>
        <v>138</v>
      </c>
      <c r="C448" s="37" t="str">
        <f>RIGHT(Scharniere[[#This Row],[ArtikelNR]],3)</f>
        <v>443</v>
      </c>
      <c r="D448" s="35">
        <f>IF(AND(Scharniere[[#This Row],[Gruppenschlüssel]]=select!$A$44,Scharniere[[#This Row],[Scharnierart]]=1)=TRUE,1,0)</f>
        <v>0</v>
      </c>
      <c r="E4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8" s="35">
        <f>IF(select!$F$57=IF(Scharniere[[#This Row],[mit Dämpfung]]=1,1,IF(Scharniere[[#This Row],[ohne Dämpfung]]=1,2,IF(Scharniere[[#This Row],[ohne Feder]]=1,3,0))),1,0)</f>
        <v>1</v>
      </c>
      <c r="G448" s="35">
        <f>IF(Scharniere[[#This Row],[Bohrbild]]=select!$V$43,1,0)</f>
        <v>0</v>
      </c>
      <c r="H448" s="35">
        <f>IF(IF(Scharniere[[#This Row],[Anschrauben]]=1,1,IF(Scharniere[[#This Row],[Einpressen]]=1,2,IF(Scharniere[[#This Row],[Quick]]=1,3,IF(Scharniere[[#This Row],[Werkzeuglos]]=1,4,0))))=select!$F$48,1,0)</f>
        <v>1</v>
      </c>
      <c r="I4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8" s="149">
        <f>IF(AND(Scharniere[[#This Row],[Scharnierart]]=2,Scharniere[[#This Row],[Gruppenschlüssel]]=select!$A$318)=TRUE,1,0)</f>
        <v>0</v>
      </c>
      <c r="K448" s="221">
        <f ca="1">IF(select!$O$424&lt;6,1,0)</f>
        <v>1</v>
      </c>
      <c r="L448" s="139">
        <f>IF(select!$A$362=IF(Scharniere[[#This Row],[mit Dämpfung]]=1,1,IF(Scharniere[[#This Row],[ohne Dämpfung]]=1,2,IF(Scharniere[[#This Row],[ohne Feder]]=1,3,0))),1,0)</f>
        <v>0</v>
      </c>
      <c r="M448" s="135">
        <f>IF(Scharniere[[#This Row],[Bohrbild]]=select!$O$334,1,0)</f>
        <v>0</v>
      </c>
      <c r="N448" s="135">
        <f>IF(IF(Scharniere[[#This Row],[Anschrauben]]=1,1,IF(Scharniere[[#This Row],[Einpressen]]=1,2,IF(Scharniere[[#This Row],[Quick]]=1,3,IF(Scharniere[[#This Row],[Werkzeuglos]]=1,4,0))))=select!$E$362,1,0)</f>
        <v>0</v>
      </c>
      <c r="O4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8" s="298">
        <f>IF(AND(Scharniere[[#This Row],[Scharnierart]]=3,Scharniere[[#This Row],[Gruppenschlüssel]]=select!$A$747)=TRUE,1,0)</f>
        <v>0</v>
      </c>
      <c r="Q448" s="298">
        <f ca="1">IF(select!$O$945&lt;6,1,0)</f>
        <v>1</v>
      </c>
      <c r="R448" s="298">
        <f>IF(select!$A$778=IF(Scharniere[[#This Row],[mit Dämpfung]]=1,1,IF(Scharniere[[#This Row],[ohne Dämpfung]]=1,2,IF(Scharniere[[#This Row],[ohne Feder]]=1,3,0))),1,0)</f>
        <v>0</v>
      </c>
      <c r="S448" s="298">
        <f>IF(Scharniere[[#This Row],[Bohrbild]]=select!$A$755,1,0)</f>
        <v>0</v>
      </c>
      <c r="T448" s="298">
        <f>IF(IF(Scharniere[[#This Row],[Anschrauben]]=1,1,IF(Scharniere[[#This Row],[Einpressen]]=1,2,IF(Scharniere[[#This Row],[Quick]]=1,3,IF(Scharniere[[#This Row],[Werkzeuglos]]=1,4,0))))=select!$A$769,1,0)</f>
        <v>0</v>
      </c>
      <c r="U4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8" s="359">
        <f>IF(AND(Scharniere[[#This Row],[Scharnierart]]=4,Scharniere[[#This Row],[Gruppenschlüssel]]=select!$A$981)=TRUE,1,0)</f>
        <v>0</v>
      </c>
      <c r="W448" s="359">
        <f ca="1">IF(select!$O$1185&lt;6,1,0)</f>
        <v>1</v>
      </c>
      <c r="X448" s="359">
        <f>IF(select!$A$1012=IF(Scharniere[[#This Row],[mit Dämpfung]]=1,1,IF(Scharniere[[#This Row],[ohne Dämpfung]]=1,2,IF(Scharniere[[#This Row],[ohne Feder]]=1,3,0))),1,0)</f>
        <v>0</v>
      </c>
      <c r="Y448" s="359">
        <f>IF(Scharniere[[#This Row],[Bohrbild]]=select!$A$989,1,0)</f>
        <v>0</v>
      </c>
      <c r="Z448" s="359">
        <f>IF(IF(Scharniere[[#This Row],[Anschrauben]]=1,1,IF(Scharniere[[#This Row],[Einpressen]]=1,2,IF(Scharniere[[#This Row],[Quick]]=1,3,IF(Scharniere[[#This Row],[Werkzeuglos]]=1,4,0))))=select!$A$1003,1,0)</f>
        <v>0</v>
      </c>
      <c r="AA4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8" s="359">
        <f ca="1">IF(select!$K$980="*",Scharniere[[#This Row],[AG Ges2]],Scharniere[[#This Row],[AG Ges1]])</f>
        <v>0</v>
      </c>
      <c r="AE448" s="451">
        <f ca="1">IF(AND(Scharniere[[#This Row],[Scharnierart]]=select!$A$1485,Scharniere[[#This Row],[Gruppenschlüssel]]=select!$B$1485)=TRUE,1,0)</f>
        <v>0</v>
      </c>
      <c r="AF448" s="451">
        <f ca="1">IF(AND(Scharniere[[#This Row],[Scharnierart]]=select!$A$1486,Scharniere[[#This Row],[Gruppenschlüssel]]=select!$B$1486)=TRUE,1,0)</f>
        <v>0</v>
      </c>
      <c r="AG448" s="451">
        <f ca="1">IF(AND(Scharniere[[#This Row],[Scharnierart]]=select!$A$1487,Scharniere[[#This Row],[Gruppenschlüssel]]=select!$B$1487)=TRUE,1,0)</f>
        <v>0</v>
      </c>
      <c r="AH448" s="451">
        <f ca="1">IF(AND(Scharniere[[#This Row],[Scharnierart]]=select!$A$1488,Scharniere[[#This Row],[Gruppenschlüssel]]=select!$B$1488)=TRUE,1,0)</f>
        <v>0</v>
      </c>
      <c r="AI448" s="451">
        <f ca="1">IF(SUM(Scharniere[[#This Row],[konf Scharnier 1]:[konf Scharnier 4]])&gt;0,1,0)</f>
        <v>0</v>
      </c>
      <c r="AJ448" s="451"/>
      <c r="AK448" s="451"/>
      <c r="AL448" s="451"/>
      <c r="AM448" s="451"/>
      <c r="AN448" s="451"/>
      <c r="AO448" s="146">
        <v>1</v>
      </c>
      <c r="AP448" s="146">
        <v>3</v>
      </c>
      <c r="AQ448" s="10" t="str">
        <f ca="1">Sprache!$A$114</f>
        <v>Tiomos Scharnier TT Click-on</v>
      </c>
      <c r="AR448" t="str">
        <f ca="1">"160°, G-BB, K03, "&amp;Sprache!A181&amp;", ni"</f>
        <v>160°, G-BB, K03, Dübel, ni</v>
      </c>
      <c r="AS448" t="str">
        <f ca="1">Sprache!$A$103</f>
        <v>Tiomos Click-On Scharniere</v>
      </c>
      <c r="AT448">
        <v>3</v>
      </c>
      <c r="AU448" t="s">
        <v>9</v>
      </c>
      <c r="AV448">
        <v>160</v>
      </c>
      <c r="AW448" s="10">
        <v>0</v>
      </c>
      <c r="AX448">
        <v>0</v>
      </c>
      <c r="AY448">
        <v>1</v>
      </c>
      <c r="AZ448" s="10">
        <v>0</v>
      </c>
      <c r="BA448">
        <v>1</v>
      </c>
      <c r="BB448">
        <v>0</v>
      </c>
      <c r="BC448">
        <v>0</v>
      </c>
      <c r="BD448" s="143" t="s">
        <v>627</v>
      </c>
      <c r="BG448"/>
    </row>
    <row r="449" spans="1:59" ht="14.25" customHeight="1" x14ac:dyDescent="0.25">
      <c r="A449" s="37" t="str">
        <f>LEFT(Scharniere[[#This Row],[ArtikelNR]],4)</f>
        <v>F045</v>
      </c>
      <c r="B449" s="35" t="str">
        <f>MID(Scharniere[[#This Row],[ArtikelNR]],5,3)</f>
        <v>138</v>
      </c>
      <c r="C449" s="37" t="str">
        <f>RIGHT(Scharniere[[#This Row],[ArtikelNR]],3)</f>
        <v>318</v>
      </c>
      <c r="D449" s="35">
        <f>IF(AND(Scharniere[[#This Row],[Gruppenschlüssel]]=select!$A$44,Scharniere[[#This Row],[Scharnierart]]=1)=TRUE,1,0)</f>
        <v>0</v>
      </c>
      <c r="E4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49" s="35">
        <f>IF(select!$F$57=IF(Scharniere[[#This Row],[mit Dämpfung]]=1,1,IF(Scharniere[[#This Row],[ohne Dämpfung]]=1,2,IF(Scharniere[[#This Row],[ohne Feder]]=1,3,0))),1,0)</f>
        <v>0</v>
      </c>
      <c r="G449" s="35">
        <f>IF(Scharniere[[#This Row],[Bohrbild]]=select!$V$43,1,0)</f>
        <v>0</v>
      </c>
      <c r="H449" s="35">
        <f>IF(IF(Scharniere[[#This Row],[Anschrauben]]=1,1,IF(Scharniere[[#This Row],[Einpressen]]=1,2,IF(Scharniere[[#This Row],[Quick]]=1,3,IF(Scharniere[[#This Row],[Werkzeuglos]]=1,4,0))))=select!$F$48,1,0)</f>
        <v>0</v>
      </c>
      <c r="I4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49" s="149">
        <f>IF(AND(Scharniere[[#This Row],[Scharnierart]]=2,Scharniere[[#This Row],[Gruppenschlüssel]]=select!$A$318)=TRUE,1,0)</f>
        <v>0</v>
      </c>
      <c r="K449" s="221">
        <f ca="1">IF(select!$O$424&lt;6,1,0)</f>
        <v>1</v>
      </c>
      <c r="L449" s="139">
        <f>IF(select!$A$362=IF(Scharniere[[#This Row],[mit Dämpfung]]=1,1,IF(Scharniere[[#This Row],[ohne Dämpfung]]=1,2,IF(Scharniere[[#This Row],[ohne Feder]]=1,3,0))),1,0)</f>
        <v>0</v>
      </c>
      <c r="M449" s="135">
        <f>IF(Scharniere[[#This Row],[Bohrbild]]=select!$O$334,1,0)</f>
        <v>0</v>
      </c>
      <c r="N449" s="135">
        <f>IF(IF(Scharniere[[#This Row],[Anschrauben]]=1,1,IF(Scharniere[[#This Row],[Einpressen]]=1,2,IF(Scharniere[[#This Row],[Quick]]=1,3,IF(Scharniere[[#This Row],[Werkzeuglos]]=1,4,0))))=select!$E$362,1,0)</f>
        <v>1</v>
      </c>
      <c r="O4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49" s="298">
        <f>IF(AND(Scharniere[[#This Row],[Scharnierart]]=3,Scharniere[[#This Row],[Gruppenschlüssel]]=select!$A$747)=TRUE,1,0)</f>
        <v>0</v>
      </c>
      <c r="Q449" s="298">
        <f ca="1">IF(select!$O$945&lt;6,1,0)</f>
        <v>1</v>
      </c>
      <c r="R449" s="298">
        <f>IF(select!$A$778=IF(Scharniere[[#This Row],[mit Dämpfung]]=1,1,IF(Scharniere[[#This Row],[ohne Dämpfung]]=1,2,IF(Scharniere[[#This Row],[ohne Feder]]=1,3,0))),1,0)</f>
        <v>1</v>
      </c>
      <c r="S449" s="298">
        <f>IF(Scharniere[[#This Row],[Bohrbild]]=select!$A$755,1,0)</f>
        <v>0</v>
      </c>
      <c r="T449" s="298">
        <f>IF(IF(Scharniere[[#This Row],[Anschrauben]]=1,1,IF(Scharniere[[#This Row],[Einpressen]]=1,2,IF(Scharniere[[#This Row],[Quick]]=1,3,IF(Scharniere[[#This Row],[Werkzeuglos]]=1,4,0))))=select!$A$769,1,0)</f>
        <v>1</v>
      </c>
      <c r="U4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49" s="359">
        <f>IF(AND(Scharniere[[#This Row],[Scharnierart]]=4,Scharniere[[#This Row],[Gruppenschlüssel]]=select!$A$981)=TRUE,1,0)</f>
        <v>0</v>
      </c>
      <c r="W449" s="359">
        <f ca="1">IF(select!$O$1185&lt;6,1,0)</f>
        <v>1</v>
      </c>
      <c r="X449" s="359">
        <f>IF(select!$A$1012=IF(Scharniere[[#This Row],[mit Dämpfung]]=1,1,IF(Scharniere[[#This Row],[ohne Dämpfung]]=1,2,IF(Scharniere[[#This Row],[ohne Feder]]=1,3,0))),1,0)</f>
        <v>1</v>
      </c>
      <c r="Y449" s="359">
        <f>IF(Scharniere[[#This Row],[Bohrbild]]=select!$A$989,1,0)</f>
        <v>0</v>
      </c>
      <c r="Z449" s="359">
        <f>IF(IF(Scharniere[[#This Row],[Anschrauben]]=1,1,IF(Scharniere[[#This Row],[Einpressen]]=1,2,IF(Scharniere[[#This Row],[Quick]]=1,3,IF(Scharniere[[#This Row],[Werkzeuglos]]=1,4,0))))=select!$A$1003,1,0)</f>
        <v>1</v>
      </c>
      <c r="AA4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49" s="359">
        <f ca="1">IF(select!$K$980="*",Scharniere[[#This Row],[AG Ges2]],Scharniere[[#This Row],[AG Ges1]])</f>
        <v>0</v>
      </c>
      <c r="AE449" s="451">
        <f ca="1">IF(AND(Scharniere[[#This Row],[Scharnierart]]=select!$A$1485,Scharniere[[#This Row],[Gruppenschlüssel]]=select!$B$1485)=TRUE,1,0)</f>
        <v>0</v>
      </c>
      <c r="AF449" s="451">
        <f ca="1">IF(AND(Scharniere[[#This Row],[Scharnierart]]=select!$A$1486,Scharniere[[#This Row],[Gruppenschlüssel]]=select!$B$1486)=TRUE,1,0)</f>
        <v>0</v>
      </c>
      <c r="AG449" s="451">
        <f ca="1">IF(AND(Scharniere[[#This Row],[Scharnierart]]=select!$A$1487,Scharniere[[#This Row],[Gruppenschlüssel]]=select!$B$1487)=TRUE,1,0)</f>
        <v>0</v>
      </c>
      <c r="AH449" s="451">
        <f ca="1">IF(AND(Scharniere[[#This Row],[Scharnierart]]=select!$A$1488,Scharniere[[#This Row],[Gruppenschlüssel]]=select!$B$1488)=TRUE,1,0)</f>
        <v>0</v>
      </c>
      <c r="AI449" s="451">
        <f ca="1">IF(SUM(Scharniere[[#This Row],[konf Scharnier 1]:[konf Scharnier 4]])&gt;0,1,0)</f>
        <v>0</v>
      </c>
      <c r="AJ449" s="451"/>
      <c r="AK449" s="451"/>
      <c r="AL449" s="451"/>
      <c r="AM449" s="451"/>
      <c r="AN449" s="451"/>
      <c r="AO449" s="146">
        <v>1</v>
      </c>
      <c r="AP449" s="146">
        <v>3</v>
      </c>
      <c r="AQ449" s="10" t="str">
        <f ca="1">Sprache!$A$110</f>
        <v>Tiomos Scharnier T Click-on</v>
      </c>
      <c r="AR449" t="s">
        <v>286</v>
      </c>
      <c r="AS449" t="str">
        <f ca="1">Sprache!$A$103</f>
        <v>Tiomos Click-On Scharniere</v>
      </c>
      <c r="AT449">
        <v>3</v>
      </c>
      <c r="AU449" t="s">
        <v>9</v>
      </c>
      <c r="AV449">
        <v>160</v>
      </c>
      <c r="AW449" s="10">
        <v>0</v>
      </c>
      <c r="AX449">
        <v>1</v>
      </c>
      <c r="AY449">
        <v>0</v>
      </c>
      <c r="AZ449" s="10">
        <v>1</v>
      </c>
      <c r="BA449">
        <v>0</v>
      </c>
      <c r="BB449">
        <v>0</v>
      </c>
      <c r="BC449">
        <v>0</v>
      </c>
      <c r="BD449" s="143" t="s">
        <v>472</v>
      </c>
      <c r="BG449"/>
    </row>
    <row r="450" spans="1:59" ht="14.25" customHeight="1" x14ac:dyDescent="0.25">
      <c r="A450" s="37" t="str">
        <f>LEFT(Scharniere[[#This Row],[ArtikelNR]],4)</f>
        <v>F028</v>
      </c>
      <c r="B450" s="35" t="str">
        <f>MID(Scharniere[[#This Row],[ArtikelNR]],5,3)</f>
        <v>138</v>
      </c>
      <c r="C450" s="37" t="str">
        <f>RIGHT(Scharniere[[#This Row],[ArtikelNR]],3)</f>
        <v>380</v>
      </c>
      <c r="D450" s="35">
        <f>IF(AND(Scharniere[[#This Row],[Gruppenschlüssel]]=select!$A$44,Scharniere[[#This Row],[Scharnierart]]=1)=TRUE,1,0)</f>
        <v>0</v>
      </c>
      <c r="E4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0" s="35">
        <f>IF(select!$F$57=IF(Scharniere[[#This Row],[mit Dämpfung]]=1,1,IF(Scharniere[[#This Row],[ohne Dämpfung]]=1,2,IF(Scharniere[[#This Row],[ohne Feder]]=1,3,0))),1,0)</f>
        <v>0</v>
      </c>
      <c r="G450" s="35">
        <f>IF(Scharniere[[#This Row],[Bohrbild]]=select!$V$43,1,0)</f>
        <v>0</v>
      </c>
      <c r="H450" s="35">
        <f>IF(IF(Scharniere[[#This Row],[Anschrauben]]=1,1,IF(Scharniere[[#This Row],[Einpressen]]=1,2,IF(Scharniere[[#This Row],[Quick]]=1,3,IF(Scharniere[[#This Row],[Werkzeuglos]]=1,4,0))))=select!$F$48,1,0)</f>
        <v>0</v>
      </c>
      <c r="I4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0" s="149">
        <f>IF(AND(Scharniere[[#This Row],[Scharnierart]]=2,Scharniere[[#This Row],[Gruppenschlüssel]]=select!$A$318)=TRUE,1,0)</f>
        <v>0</v>
      </c>
      <c r="K450" s="221">
        <f ca="1">IF(select!$O$424&lt;6,1,0)</f>
        <v>1</v>
      </c>
      <c r="L450" s="139">
        <f>IF(select!$A$362=IF(Scharniere[[#This Row],[mit Dämpfung]]=1,1,IF(Scharniere[[#This Row],[ohne Dämpfung]]=1,2,IF(Scharniere[[#This Row],[ohne Feder]]=1,3,0))),1,0)</f>
        <v>1</v>
      </c>
      <c r="M450" s="135">
        <f>IF(Scharniere[[#This Row],[Bohrbild]]=select!$O$334,1,0)</f>
        <v>0</v>
      </c>
      <c r="N450" s="135">
        <f>IF(IF(Scharniere[[#This Row],[Anschrauben]]=1,1,IF(Scharniere[[#This Row],[Einpressen]]=1,2,IF(Scharniere[[#This Row],[Quick]]=1,3,IF(Scharniere[[#This Row],[Werkzeuglos]]=1,4,0))))=select!$E$362,1,0)</f>
        <v>1</v>
      </c>
      <c r="O4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0" s="298">
        <f>IF(AND(Scharniere[[#This Row],[Scharnierart]]=3,Scharniere[[#This Row],[Gruppenschlüssel]]=select!$A$747)=TRUE,1,0)</f>
        <v>0</v>
      </c>
      <c r="Q450" s="298">
        <f ca="1">IF(select!$O$945&lt;6,1,0)</f>
        <v>1</v>
      </c>
      <c r="R450" s="298">
        <f>IF(select!$A$778=IF(Scharniere[[#This Row],[mit Dämpfung]]=1,1,IF(Scharniere[[#This Row],[ohne Dämpfung]]=1,2,IF(Scharniere[[#This Row],[ohne Feder]]=1,3,0))),1,0)</f>
        <v>0</v>
      </c>
      <c r="S450" s="298">
        <f>IF(Scharniere[[#This Row],[Bohrbild]]=select!$A$755,1,0)</f>
        <v>0</v>
      </c>
      <c r="T450" s="298">
        <f>IF(IF(Scharniere[[#This Row],[Anschrauben]]=1,1,IF(Scharniere[[#This Row],[Einpressen]]=1,2,IF(Scharniere[[#This Row],[Quick]]=1,3,IF(Scharniere[[#This Row],[Werkzeuglos]]=1,4,0))))=select!$A$769,1,0)</f>
        <v>1</v>
      </c>
      <c r="U4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0" s="359">
        <f>IF(AND(Scharniere[[#This Row],[Scharnierart]]=4,Scharniere[[#This Row],[Gruppenschlüssel]]=select!$A$981)=TRUE,1,0)</f>
        <v>0</v>
      </c>
      <c r="W450" s="359">
        <f ca="1">IF(select!$O$1185&lt;6,1,0)</f>
        <v>1</v>
      </c>
      <c r="X450" s="359">
        <f>IF(select!$A$1012=IF(Scharniere[[#This Row],[mit Dämpfung]]=1,1,IF(Scharniere[[#This Row],[ohne Dämpfung]]=1,2,IF(Scharniere[[#This Row],[ohne Feder]]=1,3,0))),1,0)</f>
        <v>0</v>
      </c>
      <c r="Y450" s="359">
        <f>IF(Scharniere[[#This Row],[Bohrbild]]=select!$A$989,1,0)</f>
        <v>0</v>
      </c>
      <c r="Z450" s="359">
        <f>IF(IF(Scharniere[[#This Row],[Anschrauben]]=1,1,IF(Scharniere[[#This Row],[Einpressen]]=1,2,IF(Scharniere[[#This Row],[Quick]]=1,3,IF(Scharniere[[#This Row],[Werkzeuglos]]=1,4,0))))=select!$A$1003,1,0)</f>
        <v>1</v>
      </c>
      <c r="AA4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0" s="359">
        <f ca="1">IF(select!$K$980="*",Scharniere[[#This Row],[AG Ges2]],Scharniere[[#This Row],[AG Ges1]])</f>
        <v>0</v>
      </c>
      <c r="AE450" s="451">
        <f ca="1">IF(AND(Scharniere[[#This Row],[Scharnierart]]=select!$A$1485,Scharniere[[#This Row],[Gruppenschlüssel]]=select!$B$1485)=TRUE,1,0)</f>
        <v>0</v>
      </c>
      <c r="AF450" s="451">
        <f ca="1">IF(AND(Scharniere[[#This Row],[Scharnierart]]=select!$A$1486,Scharniere[[#This Row],[Gruppenschlüssel]]=select!$B$1486)=TRUE,1,0)</f>
        <v>0</v>
      </c>
      <c r="AG450" s="451">
        <f ca="1">IF(AND(Scharniere[[#This Row],[Scharnierart]]=select!$A$1487,Scharniere[[#This Row],[Gruppenschlüssel]]=select!$B$1487)=TRUE,1,0)</f>
        <v>0</v>
      </c>
      <c r="AH450" s="451">
        <f ca="1">IF(AND(Scharniere[[#This Row],[Scharnierart]]=select!$A$1488,Scharniere[[#This Row],[Gruppenschlüssel]]=select!$B$1488)=TRUE,1,0)</f>
        <v>0</v>
      </c>
      <c r="AI450" s="451">
        <f ca="1">IF(SUM(Scharniere[[#This Row],[konf Scharnier 1]:[konf Scharnier 4]])&gt;0,1,0)</f>
        <v>0</v>
      </c>
      <c r="AJ450" s="451"/>
      <c r="AK450" s="451"/>
      <c r="AL450" s="451"/>
      <c r="AM450" s="451"/>
      <c r="AN450" s="451"/>
      <c r="AO450" s="146">
        <v>1</v>
      </c>
      <c r="AP450" s="146">
        <v>3</v>
      </c>
      <c r="AQ450" s="10" t="str">
        <f ca="1">Sprache!$A$112</f>
        <v>Tiomos Scharnier TS Click-on</v>
      </c>
      <c r="AR450" t="s">
        <v>286</v>
      </c>
      <c r="AS450" t="str">
        <f ca="1">Sprache!$A$103</f>
        <v>Tiomos Click-On Scharniere</v>
      </c>
      <c r="AT450">
        <v>3</v>
      </c>
      <c r="AU450" t="s">
        <v>9</v>
      </c>
      <c r="AV450">
        <v>160</v>
      </c>
      <c r="AW450" s="10">
        <v>1</v>
      </c>
      <c r="AX450">
        <v>0</v>
      </c>
      <c r="AY450">
        <v>0</v>
      </c>
      <c r="AZ450" s="10">
        <v>1</v>
      </c>
      <c r="BA450">
        <v>0</v>
      </c>
      <c r="BB450">
        <v>0</v>
      </c>
      <c r="BC450">
        <v>0</v>
      </c>
      <c r="BD450" s="143" t="s">
        <v>285</v>
      </c>
      <c r="BG450"/>
    </row>
    <row r="451" spans="1:59" ht="14.25" customHeight="1" x14ac:dyDescent="0.25">
      <c r="A451" s="37" t="str">
        <f>LEFT(Scharniere[[#This Row],[ArtikelNR]],4)</f>
        <v>F046</v>
      </c>
      <c r="B451" s="35" t="str">
        <f>MID(Scharniere[[#This Row],[ArtikelNR]],5,3)</f>
        <v>138</v>
      </c>
      <c r="C451" s="37" t="str">
        <f>RIGHT(Scharniere[[#This Row],[ArtikelNR]],3)</f>
        <v>440</v>
      </c>
      <c r="D451" s="35">
        <f>IF(AND(Scharniere[[#This Row],[Gruppenschlüssel]]=select!$A$44,Scharniere[[#This Row],[Scharnierart]]=1)=TRUE,1,0)</f>
        <v>0</v>
      </c>
      <c r="E4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1" s="35">
        <f>IF(select!$F$57=IF(Scharniere[[#This Row],[mit Dämpfung]]=1,1,IF(Scharniere[[#This Row],[ohne Dämpfung]]=1,2,IF(Scharniere[[#This Row],[ohne Feder]]=1,3,0))),1,0)</f>
        <v>1</v>
      </c>
      <c r="G451" s="35">
        <f>IF(Scharniere[[#This Row],[Bohrbild]]=select!$V$43,1,0)</f>
        <v>0</v>
      </c>
      <c r="H451" s="35">
        <f>IF(IF(Scharniere[[#This Row],[Anschrauben]]=1,1,IF(Scharniere[[#This Row],[Einpressen]]=1,2,IF(Scharniere[[#This Row],[Quick]]=1,3,IF(Scharniere[[#This Row],[Werkzeuglos]]=1,4,0))))=select!$F$48,1,0)</f>
        <v>0</v>
      </c>
      <c r="I4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1" s="149">
        <f>IF(AND(Scharniere[[#This Row],[Scharnierart]]=2,Scharniere[[#This Row],[Gruppenschlüssel]]=select!$A$318)=TRUE,1,0)</f>
        <v>0</v>
      </c>
      <c r="K451" s="221">
        <f ca="1">IF(select!$O$424&lt;6,1,0)</f>
        <v>1</v>
      </c>
      <c r="L451" s="139">
        <f>IF(select!$A$362=IF(Scharniere[[#This Row],[mit Dämpfung]]=1,1,IF(Scharniere[[#This Row],[ohne Dämpfung]]=1,2,IF(Scharniere[[#This Row],[ohne Feder]]=1,3,0))),1,0)</f>
        <v>0</v>
      </c>
      <c r="M451" s="135">
        <f>IF(Scharniere[[#This Row],[Bohrbild]]=select!$O$334,1,0)</f>
        <v>0</v>
      </c>
      <c r="N451" s="135">
        <f>IF(IF(Scharniere[[#This Row],[Anschrauben]]=1,1,IF(Scharniere[[#This Row],[Einpressen]]=1,2,IF(Scharniere[[#This Row],[Quick]]=1,3,IF(Scharniere[[#This Row],[Werkzeuglos]]=1,4,0))))=select!$E$362,1,0)</f>
        <v>1</v>
      </c>
      <c r="O4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1" s="298">
        <f>IF(AND(Scharniere[[#This Row],[Scharnierart]]=3,Scharniere[[#This Row],[Gruppenschlüssel]]=select!$A$747)=TRUE,1,0)</f>
        <v>0</v>
      </c>
      <c r="Q451" s="298">
        <f ca="1">IF(select!$O$945&lt;6,1,0)</f>
        <v>1</v>
      </c>
      <c r="R451" s="298">
        <f>IF(select!$A$778=IF(Scharniere[[#This Row],[mit Dämpfung]]=1,1,IF(Scharniere[[#This Row],[ohne Dämpfung]]=1,2,IF(Scharniere[[#This Row],[ohne Feder]]=1,3,0))),1,0)</f>
        <v>0</v>
      </c>
      <c r="S451" s="298">
        <f>IF(Scharniere[[#This Row],[Bohrbild]]=select!$A$755,1,0)</f>
        <v>0</v>
      </c>
      <c r="T451" s="298">
        <f>IF(IF(Scharniere[[#This Row],[Anschrauben]]=1,1,IF(Scharniere[[#This Row],[Einpressen]]=1,2,IF(Scharniere[[#This Row],[Quick]]=1,3,IF(Scharniere[[#This Row],[Werkzeuglos]]=1,4,0))))=select!$A$769,1,0)</f>
        <v>1</v>
      </c>
      <c r="U4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1" s="359">
        <f>IF(AND(Scharniere[[#This Row],[Scharnierart]]=4,Scharniere[[#This Row],[Gruppenschlüssel]]=select!$A$981)=TRUE,1,0)</f>
        <v>0</v>
      </c>
      <c r="W451" s="359">
        <f ca="1">IF(select!$O$1185&lt;6,1,0)</f>
        <v>1</v>
      </c>
      <c r="X451" s="359">
        <f>IF(select!$A$1012=IF(Scharniere[[#This Row],[mit Dämpfung]]=1,1,IF(Scharniere[[#This Row],[ohne Dämpfung]]=1,2,IF(Scharniere[[#This Row],[ohne Feder]]=1,3,0))),1,0)</f>
        <v>0</v>
      </c>
      <c r="Y451" s="359">
        <f>IF(Scharniere[[#This Row],[Bohrbild]]=select!$A$989,1,0)</f>
        <v>0</v>
      </c>
      <c r="Z451" s="359">
        <f>IF(IF(Scharniere[[#This Row],[Anschrauben]]=1,1,IF(Scharniere[[#This Row],[Einpressen]]=1,2,IF(Scharniere[[#This Row],[Quick]]=1,3,IF(Scharniere[[#This Row],[Werkzeuglos]]=1,4,0))))=select!$A$1003,1,0)</f>
        <v>1</v>
      </c>
      <c r="AA4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1" s="359">
        <f ca="1">IF(select!$K$980="*",Scharniere[[#This Row],[AG Ges2]],Scharniere[[#This Row],[AG Ges1]])</f>
        <v>0</v>
      </c>
      <c r="AE451" s="451">
        <f ca="1">IF(AND(Scharniere[[#This Row],[Scharnierart]]=select!$A$1485,Scharniere[[#This Row],[Gruppenschlüssel]]=select!$B$1485)=TRUE,1,0)</f>
        <v>0</v>
      </c>
      <c r="AF451" s="451">
        <f ca="1">IF(AND(Scharniere[[#This Row],[Scharnierart]]=select!$A$1486,Scharniere[[#This Row],[Gruppenschlüssel]]=select!$B$1486)=TRUE,1,0)</f>
        <v>0</v>
      </c>
      <c r="AG451" s="451">
        <f ca="1">IF(AND(Scharniere[[#This Row],[Scharnierart]]=select!$A$1487,Scharniere[[#This Row],[Gruppenschlüssel]]=select!$B$1487)=TRUE,1,0)</f>
        <v>0</v>
      </c>
      <c r="AH451" s="451">
        <f ca="1">IF(AND(Scharniere[[#This Row],[Scharnierart]]=select!$A$1488,Scharniere[[#This Row],[Gruppenschlüssel]]=select!$B$1488)=TRUE,1,0)</f>
        <v>0</v>
      </c>
      <c r="AI451" s="451">
        <f ca="1">IF(SUM(Scharniere[[#This Row],[konf Scharnier 1]:[konf Scharnier 4]])&gt;0,1,0)</f>
        <v>0</v>
      </c>
      <c r="AJ451" s="451"/>
      <c r="AK451" s="451"/>
      <c r="AL451" s="451"/>
      <c r="AM451" s="451"/>
      <c r="AN451" s="451"/>
      <c r="AO451" s="146">
        <v>1</v>
      </c>
      <c r="AP451" s="146">
        <v>3</v>
      </c>
      <c r="AQ451" s="10" t="str">
        <f ca="1">Sprache!$A$114</f>
        <v>Tiomos Scharnier TT Click-on</v>
      </c>
      <c r="AR451" t="s">
        <v>286</v>
      </c>
      <c r="AS451" t="str">
        <f ca="1">Sprache!$A$103</f>
        <v>Tiomos Click-On Scharniere</v>
      </c>
      <c r="AT451">
        <v>3</v>
      </c>
      <c r="AU451" t="s">
        <v>9</v>
      </c>
      <c r="AV451">
        <v>160</v>
      </c>
      <c r="AW451" s="10">
        <v>0</v>
      </c>
      <c r="AX451">
        <v>0</v>
      </c>
      <c r="AY451">
        <v>1</v>
      </c>
      <c r="AZ451" s="10">
        <v>1</v>
      </c>
      <c r="BA451">
        <v>0</v>
      </c>
      <c r="BB451">
        <v>0</v>
      </c>
      <c r="BC451">
        <v>0</v>
      </c>
      <c r="BD451" s="143" t="s">
        <v>624</v>
      </c>
      <c r="BG451"/>
    </row>
    <row r="452" spans="1:59" ht="14.25" customHeight="1" x14ac:dyDescent="0.25">
      <c r="A452" s="37" t="str">
        <f>LEFT(Scharniere[[#This Row],[ArtikelNR]],4)</f>
        <v>F034</v>
      </c>
      <c r="B452" s="35" t="str">
        <f>MID(Scharniere[[#This Row],[ArtikelNR]],5,3)</f>
        <v>139</v>
      </c>
      <c r="C452" s="37" t="str">
        <f>RIGHT(Scharniere[[#This Row],[ArtikelNR]],3)</f>
        <v>407</v>
      </c>
      <c r="D452" s="35">
        <f>IF(AND(Scharniere[[#This Row],[Gruppenschlüssel]]=select!$A$44,Scharniere[[#This Row],[Scharnierart]]=1)=TRUE,1,0)</f>
        <v>0</v>
      </c>
      <c r="E4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2" s="35">
        <f>IF(select!$F$57=IF(Scharniere[[#This Row],[mit Dämpfung]]=1,1,IF(Scharniere[[#This Row],[ohne Dämpfung]]=1,2,IF(Scharniere[[#This Row],[ohne Feder]]=1,3,0))),1,0)</f>
        <v>0</v>
      </c>
      <c r="G452" s="35">
        <f>IF(Scharniere[[#This Row],[Bohrbild]]=select!$V$43,1,0)</f>
        <v>0</v>
      </c>
      <c r="H452" s="35">
        <f>IF(IF(Scharniere[[#This Row],[Anschrauben]]=1,1,IF(Scharniere[[#This Row],[Einpressen]]=1,2,IF(Scharniere[[#This Row],[Quick]]=1,3,IF(Scharniere[[#This Row],[Werkzeuglos]]=1,4,0))))=select!$F$48,1,0)</f>
        <v>0</v>
      </c>
      <c r="I4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2" s="149">
        <f>IF(AND(Scharniere[[#This Row],[Scharnierart]]=2,Scharniere[[#This Row],[Gruppenschlüssel]]=select!$A$318)=TRUE,1,0)</f>
        <v>0</v>
      </c>
      <c r="K452" s="221">
        <f ca="1">IF(select!$O$424&lt;6,1,0)</f>
        <v>1</v>
      </c>
      <c r="L452" s="139">
        <f>IF(select!$A$362=IF(Scharniere[[#This Row],[mit Dämpfung]]=1,1,IF(Scharniere[[#This Row],[ohne Dämpfung]]=1,2,IF(Scharniere[[#This Row],[ohne Feder]]=1,3,0))),1,0)</f>
        <v>0</v>
      </c>
      <c r="M452" s="135">
        <f>IF(Scharniere[[#This Row],[Bohrbild]]=select!$O$334,1,0)</f>
        <v>0</v>
      </c>
      <c r="N452" s="135">
        <f>IF(IF(Scharniere[[#This Row],[Anschrauben]]=1,1,IF(Scharniere[[#This Row],[Einpressen]]=1,2,IF(Scharniere[[#This Row],[Quick]]=1,3,IF(Scharniere[[#This Row],[Werkzeuglos]]=1,4,0))))=select!$E$362,1,0)</f>
        <v>0</v>
      </c>
      <c r="O4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2" s="298">
        <f>IF(AND(Scharniere[[#This Row],[Scharnierart]]=3,Scharniere[[#This Row],[Gruppenschlüssel]]=select!$A$747)=TRUE,1,0)</f>
        <v>0</v>
      </c>
      <c r="Q452" s="298">
        <f ca="1">IF(select!$O$945&lt;6,1,0)</f>
        <v>1</v>
      </c>
      <c r="R452" s="298">
        <f>IF(select!$A$778=IF(Scharniere[[#This Row],[mit Dämpfung]]=1,1,IF(Scharniere[[#This Row],[ohne Dämpfung]]=1,2,IF(Scharniere[[#This Row],[ohne Feder]]=1,3,0))),1,0)</f>
        <v>1</v>
      </c>
      <c r="S452" s="298">
        <f>IF(Scharniere[[#This Row],[Bohrbild]]=select!$A$755,1,0)</f>
        <v>0</v>
      </c>
      <c r="T452" s="298">
        <f>IF(IF(Scharniere[[#This Row],[Anschrauben]]=1,1,IF(Scharniere[[#This Row],[Einpressen]]=1,2,IF(Scharniere[[#This Row],[Quick]]=1,3,IF(Scharniere[[#This Row],[Werkzeuglos]]=1,4,0))))=select!$A$769,1,0)</f>
        <v>0</v>
      </c>
      <c r="U4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2" s="359">
        <f>IF(AND(Scharniere[[#This Row],[Scharnierart]]=4,Scharniere[[#This Row],[Gruppenschlüssel]]=select!$A$981)=TRUE,1,0)</f>
        <v>0</v>
      </c>
      <c r="W452" s="359">
        <f ca="1">IF(select!$O$1185&lt;6,1,0)</f>
        <v>1</v>
      </c>
      <c r="X452" s="359">
        <f>IF(select!$A$1012=IF(Scharniere[[#This Row],[mit Dämpfung]]=1,1,IF(Scharniere[[#This Row],[ohne Dämpfung]]=1,2,IF(Scharniere[[#This Row],[ohne Feder]]=1,3,0))),1,0)</f>
        <v>1</v>
      </c>
      <c r="Y452" s="359">
        <f>IF(Scharniere[[#This Row],[Bohrbild]]=select!$A$989,1,0)</f>
        <v>0</v>
      </c>
      <c r="Z452" s="359">
        <f>IF(IF(Scharniere[[#This Row],[Anschrauben]]=1,1,IF(Scharniere[[#This Row],[Einpressen]]=1,2,IF(Scharniere[[#This Row],[Quick]]=1,3,IF(Scharniere[[#This Row],[Werkzeuglos]]=1,4,0))))=select!$A$1003,1,0)</f>
        <v>0</v>
      </c>
      <c r="AA4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2" s="359">
        <f ca="1">IF(select!$K$980="*",Scharniere[[#This Row],[AG Ges2]],Scharniere[[#This Row],[AG Ges1]])</f>
        <v>0</v>
      </c>
      <c r="AE452" s="451">
        <f ca="1">IF(AND(Scharniere[[#This Row],[Scharnierart]]=select!$A$1485,Scharniere[[#This Row],[Gruppenschlüssel]]=select!$B$1485)=TRUE,1,0)</f>
        <v>0</v>
      </c>
      <c r="AF452" s="451">
        <f ca="1">IF(AND(Scharniere[[#This Row],[Scharnierart]]=select!$A$1486,Scharniere[[#This Row],[Gruppenschlüssel]]=select!$B$1486)=TRUE,1,0)</f>
        <v>0</v>
      </c>
      <c r="AG452" s="451">
        <f ca="1">IF(AND(Scharniere[[#This Row],[Scharnierart]]=select!$A$1487,Scharniere[[#This Row],[Gruppenschlüssel]]=select!$B$1487)=TRUE,1,0)</f>
        <v>0</v>
      </c>
      <c r="AH452" s="451">
        <f ca="1">IF(AND(Scharniere[[#This Row],[Scharnierart]]=select!$A$1488,Scharniere[[#This Row],[Gruppenschlüssel]]=select!$B$1488)=TRUE,1,0)</f>
        <v>0</v>
      </c>
      <c r="AI452" s="451">
        <f ca="1">IF(SUM(Scharniere[[#This Row],[konf Scharnier 1]:[konf Scharnier 4]])&gt;0,1,0)</f>
        <v>0</v>
      </c>
      <c r="AJ452" s="451"/>
      <c r="AK452" s="451"/>
      <c r="AL452" s="451"/>
      <c r="AM452" s="451"/>
      <c r="AN452" s="451"/>
      <c r="AO452" s="146">
        <v>1</v>
      </c>
      <c r="AP452" s="146">
        <v>3</v>
      </c>
      <c r="AQ452" s="10" t="str">
        <f ca="1">Sprache!$A$111</f>
        <v>Tiomos Scharnier T Impresso</v>
      </c>
      <c r="AR452" t="s">
        <v>100</v>
      </c>
      <c r="AS452" t="str">
        <f ca="1">Sprache!$A$116</f>
        <v>Tiomos Impresso Scharniere</v>
      </c>
      <c r="AT452">
        <v>3</v>
      </c>
      <c r="AU452" t="s">
        <v>9</v>
      </c>
      <c r="AV452">
        <v>160</v>
      </c>
      <c r="AW452" s="10">
        <v>0</v>
      </c>
      <c r="AX452">
        <v>1</v>
      </c>
      <c r="AY452">
        <v>0</v>
      </c>
      <c r="AZ452" s="10">
        <v>0</v>
      </c>
      <c r="BA452">
        <v>0</v>
      </c>
      <c r="BB452">
        <v>0</v>
      </c>
      <c r="BC452">
        <v>1</v>
      </c>
      <c r="BD452" s="143" t="s">
        <v>159</v>
      </c>
      <c r="BG452"/>
    </row>
    <row r="453" spans="1:59" ht="14.25" customHeight="1" x14ac:dyDescent="0.25">
      <c r="A453" s="37" t="str">
        <f>LEFT(Scharniere[[#This Row],[ArtikelNR]],4)</f>
        <v>F034</v>
      </c>
      <c r="B453" s="35" t="str">
        <f>MID(Scharniere[[#This Row],[ArtikelNR]],5,3)</f>
        <v>139</v>
      </c>
      <c r="C453" s="37" t="str">
        <f>RIGHT(Scharniere[[#This Row],[ArtikelNR]],3)</f>
        <v>407</v>
      </c>
      <c r="D453" s="35">
        <f>IF(AND(Scharniere[[#This Row],[Gruppenschlüssel]]=select!$A$44,Scharniere[[#This Row],[Scharnierart]]=1)=TRUE,1,0)</f>
        <v>0</v>
      </c>
      <c r="E4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3" s="35">
        <f>IF(select!$F$57=IF(Scharniere[[#This Row],[mit Dämpfung]]=1,1,IF(Scharniere[[#This Row],[ohne Dämpfung]]=1,2,IF(Scharniere[[#This Row],[ohne Feder]]=1,3,0))),1,0)</f>
        <v>0</v>
      </c>
      <c r="G453" s="35">
        <f>IF(Scharniere[[#This Row],[Bohrbild]]=select!$V$43,1,0)</f>
        <v>0</v>
      </c>
      <c r="H453" s="35">
        <f>IF(IF(Scharniere[[#This Row],[Anschrauben]]=1,1,IF(Scharniere[[#This Row],[Einpressen]]=1,2,IF(Scharniere[[#This Row],[Quick]]=1,3,IF(Scharniere[[#This Row],[Werkzeuglos]]=1,4,0))))=select!$F$48,1,0)</f>
        <v>0</v>
      </c>
      <c r="I4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3" s="149">
        <f>IF(AND(Scharniere[[#This Row],[Scharnierart]]=2,Scharniere[[#This Row],[Gruppenschlüssel]]=select!$A$318)=TRUE,1,0)</f>
        <v>0</v>
      </c>
      <c r="K453" s="221">
        <f ca="1">IF(select!$O$424&lt;6,1,0)</f>
        <v>1</v>
      </c>
      <c r="L453" s="139">
        <f>IF(select!$A$362=IF(Scharniere[[#This Row],[mit Dämpfung]]=1,1,IF(Scharniere[[#This Row],[ohne Dämpfung]]=1,2,IF(Scharniere[[#This Row],[ohne Feder]]=1,3,0))),1,0)</f>
        <v>0</v>
      </c>
      <c r="M453" s="135">
        <f>IF(Scharniere[[#This Row],[Bohrbild]]=select!$O$334,1,0)</f>
        <v>0</v>
      </c>
      <c r="N453" s="135">
        <f>IF(IF(Scharniere[[#This Row],[Anschrauben]]=1,1,IF(Scharniere[[#This Row],[Einpressen]]=1,2,IF(Scharniere[[#This Row],[Quick]]=1,3,IF(Scharniere[[#This Row],[Werkzeuglos]]=1,4,0))))=select!$E$362,1,0)</f>
        <v>0</v>
      </c>
      <c r="O4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3" s="298">
        <f>IF(AND(Scharniere[[#This Row],[Scharnierart]]=3,Scharniere[[#This Row],[Gruppenschlüssel]]=select!$A$747)=TRUE,1,0)</f>
        <v>0</v>
      </c>
      <c r="Q453" s="298">
        <f ca="1">IF(select!$O$945&lt;6,1,0)</f>
        <v>1</v>
      </c>
      <c r="R453" s="298">
        <f>IF(select!$A$778=IF(Scharniere[[#This Row],[mit Dämpfung]]=1,1,IF(Scharniere[[#This Row],[ohne Dämpfung]]=1,2,IF(Scharniere[[#This Row],[ohne Feder]]=1,3,0))),1,0)</f>
        <v>1</v>
      </c>
      <c r="S453" s="298">
        <f>IF(Scharniere[[#This Row],[Bohrbild]]=select!$A$755,1,0)</f>
        <v>0</v>
      </c>
      <c r="T453" s="298">
        <f>IF(IF(Scharniere[[#This Row],[Anschrauben]]=1,1,IF(Scharniere[[#This Row],[Einpressen]]=1,2,IF(Scharniere[[#This Row],[Quick]]=1,3,IF(Scharniere[[#This Row],[Werkzeuglos]]=1,4,0))))=select!$A$769,1,0)</f>
        <v>0</v>
      </c>
      <c r="U4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3" s="359">
        <f>IF(AND(Scharniere[[#This Row],[Scharnierart]]=4,Scharniere[[#This Row],[Gruppenschlüssel]]=select!$A$981)=TRUE,1,0)</f>
        <v>0</v>
      </c>
      <c r="W453" s="359">
        <f ca="1">IF(select!$O$1185&lt;6,1,0)</f>
        <v>1</v>
      </c>
      <c r="X453" s="359">
        <f>IF(select!$A$1012=IF(Scharniere[[#This Row],[mit Dämpfung]]=1,1,IF(Scharniere[[#This Row],[ohne Dämpfung]]=1,2,IF(Scharniere[[#This Row],[ohne Feder]]=1,3,0))),1,0)</f>
        <v>1</v>
      </c>
      <c r="Y453" s="359">
        <f>IF(Scharniere[[#This Row],[Bohrbild]]=select!$A$989,1,0)</f>
        <v>0</v>
      </c>
      <c r="Z453" s="359">
        <f>IF(IF(Scharniere[[#This Row],[Anschrauben]]=1,1,IF(Scharniere[[#This Row],[Einpressen]]=1,2,IF(Scharniere[[#This Row],[Quick]]=1,3,IF(Scharniere[[#This Row],[Werkzeuglos]]=1,4,0))))=select!$A$1003,1,0)</f>
        <v>0</v>
      </c>
      <c r="AA4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3" s="359">
        <f ca="1">IF(select!$K$980="*",Scharniere[[#This Row],[AG Ges2]],Scharniere[[#This Row],[AG Ges1]])</f>
        <v>0</v>
      </c>
      <c r="AE453" s="451">
        <f ca="1">IF(AND(Scharniere[[#This Row],[Scharnierart]]=select!$A$1485,Scharniere[[#This Row],[Gruppenschlüssel]]=select!$B$1485)=TRUE,1,0)</f>
        <v>0</v>
      </c>
      <c r="AF453" s="451">
        <f ca="1">IF(AND(Scharniere[[#This Row],[Scharnierart]]=select!$A$1486,Scharniere[[#This Row],[Gruppenschlüssel]]=select!$B$1486)=TRUE,1,0)</f>
        <v>0</v>
      </c>
      <c r="AG453" s="451">
        <f ca="1">IF(AND(Scharniere[[#This Row],[Scharnierart]]=select!$A$1487,Scharniere[[#This Row],[Gruppenschlüssel]]=select!$B$1487)=TRUE,1,0)</f>
        <v>0</v>
      </c>
      <c r="AH453" s="451">
        <f ca="1">IF(AND(Scharniere[[#This Row],[Scharnierart]]=select!$A$1488,Scharniere[[#This Row],[Gruppenschlüssel]]=select!$B$1488)=TRUE,1,0)</f>
        <v>0</v>
      </c>
      <c r="AI453" s="451">
        <f ca="1">IF(SUM(Scharniere[[#This Row],[konf Scharnier 1]:[konf Scharnier 4]])&gt;0,1,0)</f>
        <v>0</v>
      </c>
      <c r="AJ453" s="451"/>
      <c r="AK453" s="451"/>
      <c r="AL453" s="451"/>
      <c r="AM453" s="451"/>
      <c r="AN453" s="451"/>
      <c r="AO453" s="146">
        <v>1</v>
      </c>
      <c r="AP453" s="146">
        <v>3</v>
      </c>
      <c r="AQ453" s="10" t="str">
        <f ca="1">Sprache!$A$111</f>
        <v>Tiomos Scharnier T Impresso</v>
      </c>
      <c r="AR453" t="s">
        <v>100</v>
      </c>
      <c r="AS453" t="str">
        <f ca="1">Sprache!$A$116</f>
        <v>Tiomos Impresso Scharniere</v>
      </c>
      <c r="AT453">
        <v>3</v>
      </c>
      <c r="AU453" t="s">
        <v>3</v>
      </c>
      <c r="AV453">
        <v>160</v>
      </c>
      <c r="AW453" s="10">
        <v>0</v>
      </c>
      <c r="AX453">
        <v>1</v>
      </c>
      <c r="AY453">
        <v>0</v>
      </c>
      <c r="AZ453" s="10">
        <v>0</v>
      </c>
      <c r="BA453">
        <v>0</v>
      </c>
      <c r="BB453">
        <v>0</v>
      </c>
      <c r="BC453">
        <v>1</v>
      </c>
      <c r="BD453" s="143" t="s">
        <v>159</v>
      </c>
      <c r="BG453"/>
    </row>
    <row r="454" spans="1:59" ht="14.25" customHeight="1" x14ac:dyDescent="0.25">
      <c r="A454" s="37" t="str">
        <f>LEFT(Scharniere[[#This Row],[ArtikelNR]],4)</f>
        <v>F017</v>
      </c>
      <c r="B454" s="35" t="str">
        <f>MID(Scharniere[[#This Row],[ArtikelNR]],5,3)</f>
        <v>139</v>
      </c>
      <c r="C454" s="37" t="str">
        <f>RIGHT(Scharniere[[#This Row],[ArtikelNR]],3)</f>
        <v>436</v>
      </c>
      <c r="D454" s="35">
        <f>IF(AND(Scharniere[[#This Row],[Gruppenschlüssel]]=select!$A$44,Scharniere[[#This Row],[Scharnierart]]=1)=TRUE,1,0)</f>
        <v>0</v>
      </c>
      <c r="E4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4" s="35">
        <f>IF(select!$F$57=IF(Scharniere[[#This Row],[mit Dämpfung]]=1,1,IF(Scharniere[[#This Row],[ohne Dämpfung]]=1,2,IF(Scharniere[[#This Row],[ohne Feder]]=1,3,0))),1,0)</f>
        <v>0</v>
      </c>
      <c r="G454" s="35">
        <f>IF(Scharniere[[#This Row],[Bohrbild]]=select!$V$43,1,0)</f>
        <v>0</v>
      </c>
      <c r="H454" s="35">
        <f>IF(IF(Scharniere[[#This Row],[Anschrauben]]=1,1,IF(Scharniere[[#This Row],[Einpressen]]=1,2,IF(Scharniere[[#This Row],[Quick]]=1,3,IF(Scharniere[[#This Row],[Werkzeuglos]]=1,4,0))))=select!$F$48,1,0)</f>
        <v>0</v>
      </c>
      <c r="I4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4" s="149">
        <f>IF(AND(Scharniere[[#This Row],[Scharnierart]]=2,Scharniere[[#This Row],[Gruppenschlüssel]]=select!$A$318)=TRUE,1,0)</f>
        <v>0</v>
      </c>
      <c r="K454" s="221">
        <f ca="1">IF(select!$O$424&lt;6,1,0)</f>
        <v>1</v>
      </c>
      <c r="L454" s="139">
        <f>IF(select!$A$362=IF(Scharniere[[#This Row],[mit Dämpfung]]=1,1,IF(Scharniere[[#This Row],[ohne Dämpfung]]=1,2,IF(Scharniere[[#This Row],[ohne Feder]]=1,3,0))),1,0)</f>
        <v>1</v>
      </c>
      <c r="M454" s="135">
        <f>IF(Scharniere[[#This Row],[Bohrbild]]=select!$O$334,1,0)</f>
        <v>0</v>
      </c>
      <c r="N454" s="135">
        <f>IF(IF(Scharniere[[#This Row],[Anschrauben]]=1,1,IF(Scharniere[[#This Row],[Einpressen]]=1,2,IF(Scharniere[[#This Row],[Quick]]=1,3,IF(Scharniere[[#This Row],[Werkzeuglos]]=1,4,0))))=select!$E$362,1,0)</f>
        <v>0</v>
      </c>
      <c r="O4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4" s="298">
        <f>IF(AND(Scharniere[[#This Row],[Scharnierart]]=3,Scharniere[[#This Row],[Gruppenschlüssel]]=select!$A$747)=TRUE,1,0)</f>
        <v>0</v>
      </c>
      <c r="Q454" s="298">
        <f ca="1">IF(select!$O$945&lt;6,1,0)</f>
        <v>1</v>
      </c>
      <c r="R454" s="298">
        <f>IF(select!$A$778=IF(Scharniere[[#This Row],[mit Dämpfung]]=1,1,IF(Scharniere[[#This Row],[ohne Dämpfung]]=1,2,IF(Scharniere[[#This Row],[ohne Feder]]=1,3,0))),1,0)</f>
        <v>0</v>
      </c>
      <c r="S454" s="298">
        <f>IF(Scharniere[[#This Row],[Bohrbild]]=select!$A$755,1,0)</f>
        <v>0</v>
      </c>
      <c r="T454" s="298">
        <f>IF(IF(Scharniere[[#This Row],[Anschrauben]]=1,1,IF(Scharniere[[#This Row],[Einpressen]]=1,2,IF(Scharniere[[#This Row],[Quick]]=1,3,IF(Scharniere[[#This Row],[Werkzeuglos]]=1,4,0))))=select!$A$769,1,0)</f>
        <v>0</v>
      </c>
      <c r="U4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4" s="359">
        <f>IF(AND(Scharniere[[#This Row],[Scharnierart]]=4,Scharniere[[#This Row],[Gruppenschlüssel]]=select!$A$981)=TRUE,1,0)</f>
        <v>0</v>
      </c>
      <c r="W454" s="359">
        <f ca="1">IF(select!$O$1185&lt;6,1,0)</f>
        <v>1</v>
      </c>
      <c r="X454" s="359">
        <f>IF(select!$A$1012=IF(Scharniere[[#This Row],[mit Dämpfung]]=1,1,IF(Scharniere[[#This Row],[ohne Dämpfung]]=1,2,IF(Scharniere[[#This Row],[ohne Feder]]=1,3,0))),1,0)</f>
        <v>0</v>
      </c>
      <c r="Y454" s="359">
        <f>IF(Scharniere[[#This Row],[Bohrbild]]=select!$A$989,1,0)</f>
        <v>0</v>
      </c>
      <c r="Z454" s="359">
        <f>IF(IF(Scharniere[[#This Row],[Anschrauben]]=1,1,IF(Scharniere[[#This Row],[Einpressen]]=1,2,IF(Scharniere[[#This Row],[Quick]]=1,3,IF(Scharniere[[#This Row],[Werkzeuglos]]=1,4,0))))=select!$A$1003,1,0)</f>
        <v>0</v>
      </c>
      <c r="AA4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4" s="359">
        <f ca="1">IF(select!$K$980="*",Scharniere[[#This Row],[AG Ges2]],Scharniere[[#This Row],[AG Ges1]])</f>
        <v>0</v>
      </c>
      <c r="AE454" s="451">
        <f ca="1">IF(AND(Scharniere[[#This Row],[Scharnierart]]=select!$A$1485,Scharniere[[#This Row],[Gruppenschlüssel]]=select!$B$1485)=TRUE,1,0)</f>
        <v>0</v>
      </c>
      <c r="AF454" s="451">
        <f ca="1">IF(AND(Scharniere[[#This Row],[Scharnierart]]=select!$A$1486,Scharniere[[#This Row],[Gruppenschlüssel]]=select!$B$1486)=TRUE,1,0)</f>
        <v>0</v>
      </c>
      <c r="AG454" s="451">
        <f ca="1">IF(AND(Scharniere[[#This Row],[Scharnierart]]=select!$A$1487,Scharniere[[#This Row],[Gruppenschlüssel]]=select!$B$1487)=TRUE,1,0)</f>
        <v>0</v>
      </c>
      <c r="AH454" s="451">
        <f ca="1">IF(AND(Scharniere[[#This Row],[Scharnierart]]=select!$A$1488,Scharniere[[#This Row],[Gruppenschlüssel]]=select!$B$1488)=TRUE,1,0)</f>
        <v>0</v>
      </c>
      <c r="AI454" s="451">
        <f ca="1">IF(SUM(Scharniere[[#This Row],[konf Scharnier 1]:[konf Scharnier 4]])&gt;0,1,0)</f>
        <v>0</v>
      </c>
      <c r="AJ454" s="451"/>
      <c r="AK454" s="451"/>
      <c r="AL454" s="451"/>
      <c r="AM454" s="451"/>
      <c r="AN454" s="451"/>
      <c r="AO454" s="146">
        <v>1</v>
      </c>
      <c r="AP454" s="146">
        <v>3</v>
      </c>
      <c r="AQ454" s="10" t="str">
        <f ca="1">Sprache!$A$113</f>
        <v>Tiomos Scharnier TS Impresso</v>
      </c>
      <c r="AR454" t="s">
        <v>100</v>
      </c>
      <c r="AS454" t="str">
        <f ca="1">Sprache!$A$116</f>
        <v>Tiomos Impresso Scharniere</v>
      </c>
      <c r="AT454">
        <v>3</v>
      </c>
      <c r="AU454" s="34" t="s">
        <v>9</v>
      </c>
      <c r="AV454">
        <v>160</v>
      </c>
      <c r="AW454" s="10">
        <v>1</v>
      </c>
      <c r="AX454">
        <v>0</v>
      </c>
      <c r="AY454">
        <v>0</v>
      </c>
      <c r="AZ454" s="10">
        <v>0</v>
      </c>
      <c r="BA454">
        <v>0</v>
      </c>
      <c r="BB454">
        <v>0</v>
      </c>
      <c r="BC454">
        <v>1</v>
      </c>
      <c r="BD454" s="143" t="s">
        <v>99</v>
      </c>
      <c r="BG454"/>
    </row>
    <row r="455" spans="1:59" ht="14.25" customHeight="1" x14ac:dyDescent="0.25">
      <c r="A455" s="37" t="str">
        <f>LEFT(Scharniere[[#This Row],[ArtikelNR]],4)</f>
        <v>F017</v>
      </c>
      <c r="B455" s="35" t="str">
        <f>MID(Scharniere[[#This Row],[ArtikelNR]],5,3)</f>
        <v>139</v>
      </c>
      <c r="C455" s="37" t="str">
        <f>RIGHT(Scharniere[[#This Row],[ArtikelNR]],3)</f>
        <v>436</v>
      </c>
      <c r="D455" s="35">
        <f>IF(AND(Scharniere[[#This Row],[Gruppenschlüssel]]=select!$A$44,Scharniere[[#This Row],[Scharnierart]]=1)=TRUE,1,0)</f>
        <v>0</v>
      </c>
      <c r="E4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5" s="35">
        <f>IF(select!$F$57=IF(Scharniere[[#This Row],[mit Dämpfung]]=1,1,IF(Scharniere[[#This Row],[ohne Dämpfung]]=1,2,IF(Scharniere[[#This Row],[ohne Feder]]=1,3,0))),1,0)</f>
        <v>0</v>
      </c>
      <c r="G455" s="35">
        <f>IF(Scharniere[[#This Row],[Bohrbild]]=select!$V$43,1,0)</f>
        <v>0</v>
      </c>
      <c r="H455" s="35">
        <f>IF(IF(Scharniere[[#This Row],[Anschrauben]]=1,1,IF(Scharniere[[#This Row],[Einpressen]]=1,2,IF(Scharniere[[#This Row],[Quick]]=1,3,IF(Scharniere[[#This Row],[Werkzeuglos]]=1,4,0))))=select!$F$48,1,0)</f>
        <v>0</v>
      </c>
      <c r="I4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5" s="149">
        <f>IF(AND(Scharniere[[#This Row],[Scharnierart]]=2,Scharniere[[#This Row],[Gruppenschlüssel]]=select!$A$318)=TRUE,1,0)</f>
        <v>0</v>
      </c>
      <c r="K455" s="221">
        <f ca="1">IF(select!$O$424&lt;6,1,0)</f>
        <v>1</v>
      </c>
      <c r="L455" s="139">
        <f>IF(select!$A$362=IF(Scharniere[[#This Row],[mit Dämpfung]]=1,1,IF(Scharniere[[#This Row],[ohne Dämpfung]]=1,2,IF(Scharniere[[#This Row],[ohne Feder]]=1,3,0))),1,0)</f>
        <v>1</v>
      </c>
      <c r="M455" s="135">
        <f>IF(Scharniere[[#This Row],[Bohrbild]]=select!$O$334,1,0)</f>
        <v>0</v>
      </c>
      <c r="N455" s="135">
        <f>IF(IF(Scharniere[[#This Row],[Anschrauben]]=1,1,IF(Scharniere[[#This Row],[Einpressen]]=1,2,IF(Scharniere[[#This Row],[Quick]]=1,3,IF(Scharniere[[#This Row],[Werkzeuglos]]=1,4,0))))=select!$E$362,1,0)</f>
        <v>0</v>
      </c>
      <c r="O4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5" s="298">
        <f>IF(AND(Scharniere[[#This Row],[Scharnierart]]=3,Scharniere[[#This Row],[Gruppenschlüssel]]=select!$A$747)=TRUE,1,0)</f>
        <v>0</v>
      </c>
      <c r="Q455" s="298">
        <f ca="1">IF(select!$O$945&lt;6,1,0)</f>
        <v>1</v>
      </c>
      <c r="R455" s="298">
        <f>IF(select!$A$778=IF(Scharniere[[#This Row],[mit Dämpfung]]=1,1,IF(Scharniere[[#This Row],[ohne Dämpfung]]=1,2,IF(Scharniere[[#This Row],[ohne Feder]]=1,3,0))),1,0)</f>
        <v>0</v>
      </c>
      <c r="S455" s="298">
        <f>IF(Scharniere[[#This Row],[Bohrbild]]=select!$A$755,1,0)</f>
        <v>0</v>
      </c>
      <c r="T455" s="298">
        <f>IF(IF(Scharniere[[#This Row],[Anschrauben]]=1,1,IF(Scharniere[[#This Row],[Einpressen]]=1,2,IF(Scharniere[[#This Row],[Quick]]=1,3,IF(Scharniere[[#This Row],[Werkzeuglos]]=1,4,0))))=select!$A$769,1,0)</f>
        <v>0</v>
      </c>
      <c r="U4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5" s="359">
        <f>IF(AND(Scharniere[[#This Row],[Scharnierart]]=4,Scharniere[[#This Row],[Gruppenschlüssel]]=select!$A$981)=TRUE,1,0)</f>
        <v>0</v>
      </c>
      <c r="W455" s="359">
        <f ca="1">IF(select!$O$1185&lt;6,1,0)</f>
        <v>1</v>
      </c>
      <c r="X455" s="359">
        <f>IF(select!$A$1012=IF(Scharniere[[#This Row],[mit Dämpfung]]=1,1,IF(Scharniere[[#This Row],[ohne Dämpfung]]=1,2,IF(Scharniere[[#This Row],[ohne Feder]]=1,3,0))),1,0)</f>
        <v>0</v>
      </c>
      <c r="Y455" s="359">
        <f>IF(Scharniere[[#This Row],[Bohrbild]]=select!$A$989,1,0)</f>
        <v>0</v>
      </c>
      <c r="Z455" s="359">
        <f>IF(IF(Scharniere[[#This Row],[Anschrauben]]=1,1,IF(Scharniere[[#This Row],[Einpressen]]=1,2,IF(Scharniere[[#This Row],[Quick]]=1,3,IF(Scharniere[[#This Row],[Werkzeuglos]]=1,4,0))))=select!$A$1003,1,0)</f>
        <v>0</v>
      </c>
      <c r="AA4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5" s="359">
        <f ca="1">IF(select!$K$980="*",Scharniere[[#This Row],[AG Ges2]],Scharniere[[#This Row],[AG Ges1]])</f>
        <v>0</v>
      </c>
      <c r="AE455" s="451">
        <f ca="1">IF(AND(Scharniere[[#This Row],[Scharnierart]]=select!$A$1485,Scharniere[[#This Row],[Gruppenschlüssel]]=select!$B$1485)=TRUE,1,0)</f>
        <v>0</v>
      </c>
      <c r="AF455" s="451">
        <f ca="1">IF(AND(Scharniere[[#This Row],[Scharnierart]]=select!$A$1486,Scharniere[[#This Row],[Gruppenschlüssel]]=select!$B$1486)=TRUE,1,0)</f>
        <v>0</v>
      </c>
      <c r="AG455" s="451">
        <f ca="1">IF(AND(Scharniere[[#This Row],[Scharnierart]]=select!$A$1487,Scharniere[[#This Row],[Gruppenschlüssel]]=select!$B$1487)=TRUE,1,0)</f>
        <v>0</v>
      </c>
      <c r="AH455" s="451">
        <f ca="1">IF(AND(Scharniere[[#This Row],[Scharnierart]]=select!$A$1488,Scharniere[[#This Row],[Gruppenschlüssel]]=select!$B$1488)=TRUE,1,0)</f>
        <v>0</v>
      </c>
      <c r="AI455" s="451">
        <f ca="1">IF(SUM(Scharniere[[#This Row],[konf Scharnier 1]:[konf Scharnier 4]])&gt;0,1,0)</f>
        <v>0</v>
      </c>
      <c r="AJ455" s="451"/>
      <c r="AK455" s="451"/>
      <c r="AL455" s="451"/>
      <c r="AM455" s="451"/>
      <c r="AN455" s="451"/>
      <c r="AO455" s="146">
        <v>1</v>
      </c>
      <c r="AP455" s="146">
        <v>3</v>
      </c>
      <c r="AQ455" s="10" t="str">
        <f ca="1">Sprache!$A$113</f>
        <v>Tiomos Scharnier TS Impresso</v>
      </c>
      <c r="AR455" t="s">
        <v>100</v>
      </c>
      <c r="AS455" t="str">
        <f ca="1">Sprache!$A$116</f>
        <v>Tiomos Impresso Scharniere</v>
      </c>
      <c r="AT455">
        <v>3</v>
      </c>
      <c r="AU455" t="s">
        <v>3</v>
      </c>
      <c r="AV455">
        <v>160</v>
      </c>
      <c r="AW455" s="10">
        <v>1</v>
      </c>
      <c r="AX455">
        <v>0</v>
      </c>
      <c r="AY455">
        <v>0</v>
      </c>
      <c r="AZ455" s="10">
        <v>0</v>
      </c>
      <c r="BA455">
        <v>0</v>
      </c>
      <c r="BB455">
        <v>0</v>
      </c>
      <c r="BC455">
        <v>1</v>
      </c>
      <c r="BD455" s="143" t="s">
        <v>99</v>
      </c>
      <c r="BG455"/>
    </row>
    <row r="456" spans="1:59" ht="14.25" customHeight="1" x14ac:dyDescent="0.25">
      <c r="A456" s="37" t="str">
        <f>LEFT(Scharniere[[#This Row],[ArtikelNR]],4)</f>
        <v>F035</v>
      </c>
      <c r="B456" s="35" t="str">
        <f>MID(Scharniere[[#This Row],[ArtikelNR]],5,3)</f>
        <v>139</v>
      </c>
      <c r="C456" s="37" t="str">
        <f>RIGHT(Scharniere[[#This Row],[ArtikelNR]],3)</f>
        <v>464</v>
      </c>
      <c r="D456" s="35">
        <f>IF(AND(Scharniere[[#This Row],[Gruppenschlüssel]]=select!$A$44,Scharniere[[#This Row],[Scharnierart]]=1)=TRUE,1,0)</f>
        <v>0</v>
      </c>
      <c r="E4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6" s="35">
        <f>IF(select!$F$57=IF(Scharniere[[#This Row],[mit Dämpfung]]=1,1,IF(Scharniere[[#This Row],[ohne Dämpfung]]=1,2,IF(Scharniere[[#This Row],[ohne Feder]]=1,3,0))),1,0)</f>
        <v>1</v>
      </c>
      <c r="G456" s="35">
        <f>IF(Scharniere[[#This Row],[Bohrbild]]=select!$V$43,1,0)</f>
        <v>0</v>
      </c>
      <c r="H456" s="35">
        <f>IF(IF(Scharniere[[#This Row],[Anschrauben]]=1,1,IF(Scharniere[[#This Row],[Einpressen]]=1,2,IF(Scharniere[[#This Row],[Quick]]=1,3,IF(Scharniere[[#This Row],[Werkzeuglos]]=1,4,0))))=select!$F$48,1,0)</f>
        <v>0</v>
      </c>
      <c r="I4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6" s="149">
        <f>IF(AND(Scharniere[[#This Row],[Scharnierart]]=2,Scharniere[[#This Row],[Gruppenschlüssel]]=select!$A$318)=TRUE,1,0)</f>
        <v>0</v>
      </c>
      <c r="K456" s="221">
        <f ca="1">IF(select!$O$424&lt;6,1,0)</f>
        <v>1</v>
      </c>
      <c r="L456" s="139">
        <f>IF(select!$A$362=IF(Scharniere[[#This Row],[mit Dämpfung]]=1,1,IF(Scharniere[[#This Row],[ohne Dämpfung]]=1,2,IF(Scharniere[[#This Row],[ohne Feder]]=1,3,0))),1,0)</f>
        <v>0</v>
      </c>
      <c r="M456" s="135">
        <f>IF(Scharniere[[#This Row],[Bohrbild]]=select!$O$334,1,0)</f>
        <v>0</v>
      </c>
      <c r="N456" s="135">
        <f>IF(IF(Scharniere[[#This Row],[Anschrauben]]=1,1,IF(Scharniere[[#This Row],[Einpressen]]=1,2,IF(Scharniere[[#This Row],[Quick]]=1,3,IF(Scharniere[[#This Row],[Werkzeuglos]]=1,4,0))))=select!$E$362,1,0)</f>
        <v>0</v>
      </c>
      <c r="O4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6" s="298">
        <f>IF(AND(Scharniere[[#This Row],[Scharnierart]]=3,Scharniere[[#This Row],[Gruppenschlüssel]]=select!$A$747)=TRUE,1,0)</f>
        <v>0</v>
      </c>
      <c r="Q456" s="298">
        <f ca="1">IF(select!$O$945&lt;6,1,0)</f>
        <v>1</v>
      </c>
      <c r="R456" s="298">
        <f>IF(select!$A$778=IF(Scharniere[[#This Row],[mit Dämpfung]]=1,1,IF(Scharniere[[#This Row],[ohne Dämpfung]]=1,2,IF(Scharniere[[#This Row],[ohne Feder]]=1,3,0))),1,0)</f>
        <v>0</v>
      </c>
      <c r="S456" s="298">
        <f>IF(Scharniere[[#This Row],[Bohrbild]]=select!$A$755,1,0)</f>
        <v>0</v>
      </c>
      <c r="T456" s="298">
        <f>IF(IF(Scharniere[[#This Row],[Anschrauben]]=1,1,IF(Scharniere[[#This Row],[Einpressen]]=1,2,IF(Scharniere[[#This Row],[Quick]]=1,3,IF(Scharniere[[#This Row],[Werkzeuglos]]=1,4,0))))=select!$A$769,1,0)</f>
        <v>0</v>
      </c>
      <c r="U4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6" s="359">
        <f>IF(AND(Scharniere[[#This Row],[Scharnierart]]=4,Scharniere[[#This Row],[Gruppenschlüssel]]=select!$A$981)=TRUE,1,0)</f>
        <v>0</v>
      </c>
      <c r="W456" s="359">
        <f ca="1">IF(select!$O$1185&lt;6,1,0)</f>
        <v>1</v>
      </c>
      <c r="X456" s="359">
        <f>IF(select!$A$1012=IF(Scharniere[[#This Row],[mit Dämpfung]]=1,1,IF(Scharniere[[#This Row],[ohne Dämpfung]]=1,2,IF(Scharniere[[#This Row],[ohne Feder]]=1,3,0))),1,0)</f>
        <v>0</v>
      </c>
      <c r="Y456" s="359">
        <f>IF(Scharniere[[#This Row],[Bohrbild]]=select!$A$989,1,0)</f>
        <v>0</v>
      </c>
      <c r="Z456" s="359">
        <f>IF(IF(Scharniere[[#This Row],[Anschrauben]]=1,1,IF(Scharniere[[#This Row],[Einpressen]]=1,2,IF(Scharniere[[#This Row],[Quick]]=1,3,IF(Scharniere[[#This Row],[Werkzeuglos]]=1,4,0))))=select!$A$1003,1,0)</f>
        <v>0</v>
      </c>
      <c r="AA4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6" s="359">
        <f ca="1">IF(select!$K$980="*",Scharniere[[#This Row],[AG Ges2]],Scharniere[[#This Row],[AG Ges1]])</f>
        <v>0</v>
      </c>
      <c r="AE456" s="451">
        <f ca="1">IF(AND(Scharniere[[#This Row],[Scharnierart]]=select!$A$1485,Scharniere[[#This Row],[Gruppenschlüssel]]=select!$B$1485)=TRUE,1,0)</f>
        <v>0</v>
      </c>
      <c r="AF456" s="451">
        <f ca="1">IF(AND(Scharniere[[#This Row],[Scharnierart]]=select!$A$1486,Scharniere[[#This Row],[Gruppenschlüssel]]=select!$B$1486)=TRUE,1,0)</f>
        <v>0</v>
      </c>
      <c r="AG456" s="451">
        <f ca="1">IF(AND(Scharniere[[#This Row],[Scharnierart]]=select!$A$1487,Scharniere[[#This Row],[Gruppenschlüssel]]=select!$B$1487)=TRUE,1,0)</f>
        <v>0</v>
      </c>
      <c r="AH456" s="451">
        <f ca="1">IF(AND(Scharniere[[#This Row],[Scharnierart]]=select!$A$1488,Scharniere[[#This Row],[Gruppenschlüssel]]=select!$B$1488)=TRUE,1,0)</f>
        <v>0</v>
      </c>
      <c r="AI456" s="451">
        <f ca="1">IF(SUM(Scharniere[[#This Row],[konf Scharnier 1]:[konf Scharnier 4]])&gt;0,1,0)</f>
        <v>0</v>
      </c>
      <c r="AJ456" s="451"/>
      <c r="AK456" s="451"/>
      <c r="AL456" s="451"/>
      <c r="AM456" s="451"/>
      <c r="AN456" s="451"/>
      <c r="AO456" s="146">
        <v>1</v>
      </c>
      <c r="AP456" s="146">
        <v>3</v>
      </c>
      <c r="AQ456" s="10" t="str">
        <f ca="1">Sprache!$A$115</f>
        <v>Tiomos Scharnier TT Impresso</v>
      </c>
      <c r="AR456" t="s">
        <v>100</v>
      </c>
      <c r="AS456" t="str">
        <f ca="1">Sprache!$A$116</f>
        <v>Tiomos Impresso Scharniere</v>
      </c>
      <c r="AT456">
        <v>3</v>
      </c>
      <c r="AU456" t="s">
        <v>9</v>
      </c>
      <c r="AV456">
        <v>160</v>
      </c>
      <c r="AW456" s="10">
        <v>0</v>
      </c>
      <c r="AX456">
        <v>0</v>
      </c>
      <c r="AY456">
        <v>1</v>
      </c>
      <c r="AZ456" s="10">
        <v>0</v>
      </c>
      <c r="BA456">
        <v>0</v>
      </c>
      <c r="BB456">
        <v>0</v>
      </c>
      <c r="BC456">
        <v>1</v>
      </c>
      <c r="BD456" s="143" t="s">
        <v>203</v>
      </c>
      <c r="BG456"/>
    </row>
    <row r="457" spans="1:59" ht="14.25" customHeight="1" x14ac:dyDescent="0.25">
      <c r="A457" s="37" t="str">
        <f>LEFT(Scharniere[[#This Row],[ArtikelNR]],4)</f>
        <v>F035</v>
      </c>
      <c r="B457" s="35" t="str">
        <f>MID(Scharniere[[#This Row],[ArtikelNR]],5,3)</f>
        <v>139</v>
      </c>
      <c r="C457" s="37" t="str">
        <f>RIGHT(Scharniere[[#This Row],[ArtikelNR]],3)</f>
        <v>464</v>
      </c>
      <c r="D457" s="35">
        <f>IF(AND(Scharniere[[#This Row],[Gruppenschlüssel]]=select!$A$44,Scharniere[[#This Row],[Scharnierart]]=1)=TRUE,1,0)</f>
        <v>0</v>
      </c>
      <c r="E4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7" s="35">
        <f>IF(select!$F$57=IF(Scharniere[[#This Row],[mit Dämpfung]]=1,1,IF(Scharniere[[#This Row],[ohne Dämpfung]]=1,2,IF(Scharniere[[#This Row],[ohne Feder]]=1,3,0))),1,0)</f>
        <v>1</v>
      </c>
      <c r="G457" s="35">
        <f>IF(Scharniere[[#This Row],[Bohrbild]]=select!$V$43,1,0)</f>
        <v>0</v>
      </c>
      <c r="H457" s="35">
        <f>IF(IF(Scharniere[[#This Row],[Anschrauben]]=1,1,IF(Scharniere[[#This Row],[Einpressen]]=1,2,IF(Scharniere[[#This Row],[Quick]]=1,3,IF(Scharniere[[#This Row],[Werkzeuglos]]=1,4,0))))=select!$F$48,1,0)</f>
        <v>0</v>
      </c>
      <c r="I4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7" s="149">
        <f>IF(AND(Scharniere[[#This Row],[Scharnierart]]=2,Scharniere[[#This Row],[Gruppenschlüssel]]=select!$A$318)=TRUE,1,0)</f>
        <v>0</v>
      </c>
      <c r="K457" s="221">
        <f ca="1">IF(select!$O$424&lt;6,1,0)</f>
        <v>1</v>
      </c>
      <c r="L457" s="139">
        <f>IF(select!$A$362=IF(Scharniere[[#This Row],[mit Dämpfung]]=1,1,IF(Scharniere[[#This Row],[ohne Dämpfung]]=1,2,IF(Scharniere[[#This Row],[ohne Feder]]=1,3,0))),1,0)</f>
        <v>0</v>
      </c>
      <c r="M457" s="135">
        <f>IF(Scharniere[[#This Row],[Bohrbild]]=select!$O$334,1,0)</f>
        <v>0</v>
      </c>
      <c r="N457" s="135">
        <f>IF(IF(Scharniere[[#This Row],[Anschrauben]]=1,1,IF(Scharniere[[#This Row],[Einpressen]]=1,2,IF(Scharniere[[#This Row],[Quick]]=1,3,IF(Scharniere[[#This Row],[Werkzeuglos]]=1,4,0))))=select!$E$362,1,0)</f>
        <v>0</v>
      </c>
      <c r="O4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7" s="298">
        <f>IF(AND(Scharniere[[#This Row],[Scharnierart]]=3,Scharniere[[#This Row],[Gruppenschlüssel]]=select!$A$747)=TRUE,1,0)</f>
        <v>0</v>
      </c>
      <c r="Q457" s="298">
        <f ca="1">IF(select!$O$945&lt;6,1,0)</f>
        <v>1</v>
      </c>
      <c r="R457" s="298">
        <f>IF(select!$A$778=IF(Scharniere[[#This Row],[mit Dämpfung]]=1,1,IF(Scharniere[[#This Row],[ohne Dämpfung]]=1,2,IF(Scharniere[[#This Row],[ohne Feder]]=1,3,0))),1,0)</f>
        <v>0</v>
      </c>
      <c r="S457" s="298">
        <f>IF(Scharniere[[#This Row],[Bohrbild]]=select!$A$755,1,0)</f>
        <v>0</v>
      </c>
      <c r="T457" s="298">
        <f>IF(IF(Scharniere[[#This Row],[Anschrauben]]=1,1,IF(Scharniere[[#This Row],[Einpressen]]=1,2,IF(Scharniere[[#This Row],[Quick]]=1,3,IF(Scharniere[[#This Row],[Werkzeuglos]]=1,4,0))))=select!$A$769,1,0)</f>
        <v>0</v>
      </c>
      <c r="U4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7" s="359">
        <f>IF(AND(Scharniere[[#This Row],[Scharnierart]]=4,Scharniere[[#This Row],[Gruppenschlüssel]]=select!$A$981)=TRUE,1,0)</f>
        <v>0</v>
      </c>
      <c r="W457" s="359">
        <f ca="1">IF(select!$O$1185&lt;6,1,0)</f>
        <v>1</v>
      </c>
      <c r="X457" s="359">
        <f>IF(select!$A$1012=IF(Scharniere[[#This Row],[mit Dämpfung]]=1,1,IF(Scharniere[[#This Row],[ohne Dämpfung]]=1,2,IF(Scharniere[[#This Row],[ohne Feder]]=1,3,0))),1,0)</f>
        <v>0</v>
      </c>
      <c r="Y457" s="359">
        <f>IF(Scharniere[[#This Row],[Bohrbild]]=select!$A$989,1,0)</f>
        <v>0</v>
      </c>
      <c r="Z457" s="359">
        <f>IF(IF(Scharniere[[#This Row],[Anschrauben]]=1,1,IF(Scharniere[[#This Row],[Einpressen]]=1,2,IF(Scharniere[[#This Row],[Quick]]=1,3,IF(Scharniere[[#This Row],[Werkzeuglos]]=1,4,0))))=select!$A$1003,1,0)</f>
        <v>0</v>
      </c>
      <c r="AA4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7" s="359">
        <f ca="1">IF(select!$K$980="*",Scharniere[[#This Row],[AG Ges2]],Scharniere[[#This Row],[AG Ges1]])</f>
        <v>0</v>
      </c>
      <c r="AE457" s="451">
        <f ca="1">IF(AND(Scharniere[[#This Row],[Scharnierart]]=select!$A$1485,Scharniere[[#This Row],[Gruppenschlüssel]]=select!$B$1485)=TRUE,1,0)</f>
        <v>0</v>
      </c>
      <c r="AF457" s="451">
        <f ca="1">IF(AND(Scharniere[[#This Row],[Scharnierart]]=select!$A$1486,Scharniere[[#This Row],[Gruppenschlüssel]]=select!$B$1486)=TRUE,1,0)</f>
        <v>0</v>
      </c>
      <c r="AG457" s="451">
        <f ca="1">IF(AND(Scharniere[[#This Row],[Scharnierart]]=select!$A$1487,Scharniere[[#This Row],[Gruppenschlüssel]]=select!$B$1487)=TRUE,1,0)</f>
        <v>0</v>
      </c>
      <c r="AH457" s="451">
        <f ca="1">IF(AND(Scharniere[[#This Row],[Scharnierart]]=select!$A$1488,Scharniere[[#This Row],[Gruppenschlüssel]]=select!$B$1488)=TRUE,1,0)</f>
        <v>0</v>
      </c>
      <c r="AI457" s="451">
        <f ca="1">IF(SUM(Scharniere[[#This Row],[konf Scharnier 1]:[konf Scharnier 4]])&gt;0,1,0)</f>
        <v>0</v>
      </c>
      <c r="AJ457" s="451"/>
      <c r="AK457" s="451"/>
      <c r="AL457" s="451"/>
      <c r="AM457" s="451"/>
      <c r="AN457" s="451"/>
      <c r="AO457" s="146">
        <v>1</v>
      </c>
      <c r="AP457" s="146">
        <v>3</v>
      </c>
      <c r="AQ457" s="10" t="str">
        <f ca="1">Sprache!$A$115</f>
        <v>Tiomos Scharnier TT Impresso</v>
      </c>
      <c r="AR457" t="s">
        <v>100</v>
      </c>
      <c r="AS457" t="str">
        <f ca="1">Sprache!$A$116</f>
        <v>Tiomos Impresso Scharniere</v>
      </c>
      <c r="AT457">
        <v>3</v>
      </c>
      <c r="AU457" t="s">
        <v>3</v>
      </c>
      <c r="AV457">
        <v>160</v>
      </c>
      <c r="AW457" s="10">
        <v>0</v>
      </c>
      <c r="AX457">
        <v>0</v>
      </c>
      <c r="AY457">
        <v>1</v>
      </c>
      <c r="AZ457" s="10">
        <v>0</v>
      </c>
      <c r="BA457">
        <v>0</v>
      </c>
      <c r="BB457">
        <v>0</v>
      </c>
      <c r="BC457">
        <v>1</v>
      </c>
      <c r="BD457" s="143" t="s">
        <v>203</v>
      </c>
      <c r="BG457"/>
    </row>
    <row r="458" spans="1:59" ht="14.25" customHeight="1" x14ac:dyDescent="0.25">
      <c r="A458" s="37" t="str">
        <f>LEFT(Scharniere[[#This Row],[ArtikelNR]],4)</f>
        <v>F045</v>
      </c>
      <c r="B458" s="35" t="str">
        <f>MID(Scharniere[[#This Row],[ArtikelNR]],5,3)</f>
        <v>138</v>
      </c>
      <c r="C458" s="37" t="str">
        <f>RIGHT(Scharniere[[#This Row],[ArtikelNR]],3)</f>
        <v>685</v>
      </c>
      <c r="D458" s="35">
        <f>IF(AND(Scharniere[[#This Row],[Gruppenschlüssel]]=select!$A$44,Scharniere[[#This Row],[Scharnierart]]=1)=TRUE,1,0)</f>
        <v>0</v>
      </c>
      <c r="E4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8" s="35">
        <f>IF(select!$F$57=IF(Scharniere[[#This Row],[mit Dämpfung]]=1,1,IF(Scharniere[[#This Row],[ohne Dämpfung]]=1,2,IF(Scharniere[[#This Row],[ohne Feder]]=1,3,0))),1,0)</f>
        <v>0</v>
      </c>
      <c r="G458" s="35">
        <f>IF(Scharniere[[#This Row],[Bohrbild]]=select!$V$43,1,0)</f>
        <v>0</v>
      </c>
      <c r="H458" s="35">
        <f>IF(IF(Scharniere[[#This Row],[Anschrauben]]=1,1,IF(Scharniere[[#This Row],[Einpressen]]=1,2,IF(Scharniere[[#This Row],[Quick]]=1,3,IF(Scharniere[[#This Row],[Werkzeuglos]]=1,4,0))))=select!$F$48,1,0)</f>
        <v>1</v>
      </c>
      <c r="I4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8" s="149">
        <f>IF(AND(Scharniere[[#This Row],[Scharnierart]]=2,Scharniere[[#This Row],[Gruppenschlüssel]]=select!$A$318)=TRUE,1,0)</f>
        <v>0</v>
      </c>
      <c r="K458" s="221">
        <f ca="1">IF(select!$O$424&lt;6,1,0)</f>
        <v>1</v>
      </c>
      <c r="L458" s="139">
        <f>IF(select!$A$362=IF(Scharniere[[#This Row],[mit Dämpfung]]=1,1,IF(Scharniere[[#This Row],[ohne Dämpfung]]=1,2,IF(Scharniere[[#This Row],[ohne Feder]]=1,3,0))),1,0)</f>
        <v>0</v>
      </c>
      <c r="M458" s="135">
        <f>IF(Scharniere[[#This Row],[Bohrbild]]=select!$O$334,1,0)</f>
        <v>0</v>
      </c>
      <c r="N458" s="135">
        <f>IF(IF(Scharniere[[#This Row],[Anschrauben]]=1,1,IF(Scharniere[[#This Row],[Einpressen]]=1,2,IF(Scharniere[[#This Row],[Quick]]=1,3,IF(Scharniere[[#This Row],[Werkzeuglos]]=1,4,0))))=select!$E$362,1,0)</f>
        <v>0</v>
      </c>
      <c r="O4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8" s="298">
        <f>IF(AND(Scharniere[[#This Row],[Scharnierart]]=3,Scharniere[[#This Row],[Gruppenschlüssel]]=select!$A$747)=TRUE,1,0)</f>
        <v>0</v>
      </c>
      <c r="Q458" s="298">
        <f ca="1">IF(select!$O$945&lt;6,1,0)</f>
        <v>1</v>
      </c>
      <c r="R458" s="298">
        <f>IF(select!$A$778=IF(Scharniere[[#This Row],[mit Dämpfung]]=1,1,IF(Scharniere[[#This Row],[ohne Dämpfung]]=1,2,IF(Scharniere[[#This Row],[ohne Feder]]=1,3,0))),1,0)</f>
        <v>1</v>
      </c>
      <c r="S458" s="298">
        <f>IF(Scharniere[[#This Row],[Bohrbild]]=select!$A$755,1,0)</f>
        <v>0</v>
      </c>
      <c r="T458" s="298">
        <f>IF(IF(Scharniere[[#This Row],[Anschrauben]]=1,1,IF(Scharniere[[#This Row],[Einpressen]]=1,2,IF(Scharniere[[#This Row],[Quick]]=1,3,IF(Scharniere[[#This Row],[Werkzeuglos]]=1,4,0))))=select!$A$769,1,0)</f>
        <v>0</v>
      </c>
      <c r="U4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8" s="359">
        <f>IF(AND(Scharniere[[#This Row],[Scharnierart]]=4,Scharniere[[#This Row],[Gruppenschlüssel]]=select!$A$981)=TRUE,1,0)</f>
        <v>0</v>
      </c>
      <c r="W458" s="359">
        <f ca="1">IF(select!$O$1185&lt;6,1,0)</f>
        <v>1</v>
      </c>
      <c r="X458" s="359">
        <f>IF(select!$A$1012=IF(Scharniere[[#This Row],[mit Dämpfung]]=1,1,IF(Scharniere[[#This Row],[ohne Dämpfung]]=1,2,IF(Scharniere[[#This Row],[ohne Feder]]=1,3,0))),1,0)</f>
        <v>1</v>
      </c>
      <c r="Y458" s="359">
        <f>IF(Scharniere[[#This Row],[Bohrbild]]=select!$A$989,1,0)</f>
        <v>0</v>
      </c>
      <c r="Z458" s="359">
        <f>IF(IF(Scharniere[[#This Row],[Anschrauben]]=1,1,IF(Scharniere[[#This Row],[Einpressen]]=1,2,IF(Scharniere[[#This Row],[Quick]]=1,3,IF(Scharniere[[#This Row],[Werkzeuglos]]=1,4,0))))=select!$A$1003,1,0)</f>
        <v>0</v>
      </c>
      <c r="AA4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8" s="359">
        <f ca="1">IF(select!$K$980="*",Scharniere[[#This Row],[AG Ges2]],Scharniere[[#This Row],[AG Ges1]])</f>
        <v>0</v>
      </c>
      <c r="AE458" s="451">
        <f ca="1">IF(AND(Scharniere[[#This Row],[Scharnierart]]=select!$A$1485,Scharniere[[#This Row],[Gruppenschlüssel]]=select!$B$1485)=TRUE,1,0)</f>
        <v>0</v>
      </c>
      <c r="AF458" s="451">
        <f ca="1">IF(AND(Scharniere[[#This Row],[Scharnierart]]=select!$A$1486,Scharniere[[#This Row],[Gruppenschlüssel]]=select!$B$1486)=TRUE,1,0)</f>
        <v>0</v>
      </c>
      <c r="AG458" s="451">
        <f ca="1">IF(AND(Scharniere[[#This Row],[Scharnierart]]=select!$A$1487,Scharniere[[#This Row],[Gruppenschlüssel]]=select!$B$1487)=TRUE,1,0)</f>
        <v>0</v>
      </c>
      <c r="AH458" s="451">
        <f ca="1">IF(AND(Scharniere[[#This Row],[Scharnierart]]=select!$A$1488,Scharniere[[#This Row],[Gruppenschlüssel]]=select!$B$1488)=TRUE,1,0)</f>
        <v>0</v>
      </c>
      <c r="AI458" s="451">
        <f ca="1">IF(SUM(Scharniere[[#This Row],[konf Scharnier 1]:[konf Scharnier 4]])&gt;0,1,0)</f>
        <v>0</v>
      </c>
      <c r="AJ458" s="451"/>
      <c r="AK458" s="451"/>
      <c r="AL458" s="451"/>
      <c r="AM458" s="451"/>
      <c r="AN458" s="451"/>
      <c r="AO458" s="146">
        <v>1</v>
      </c>
      <c r="AP458" s="146">
        <v>3</v>
      </c>
      <c r="AQ458" s="10" t="str">
        <f ca="1">Sprache!$A$110</f>
        <v>Tiomos Scharnier T Click-on</v>
      </c>
      <c r="AR458" t="str">
        <f ca="1">"160°, H-BB, K03, "&amp;Sprache!A181&amp;", ni"</f>
        <v>160°, H-BB, K03, Dübel, ni</v>
      </c>
      <c r="AS458" t="str">
        <f ca="1">Sprache!$A$103</f>
        <v>Tiomos Click-On Scharniere</v>
      </c>
      <c r="AT458">
        <v>3</v>
      </c>
      <c r="AU458" s="34" t="s">
        <v>10</v>
      </c>
      <c r="AV458">
        <v>160</v>
      </c>
      <c r="AW458" s="10">
        <v>0</v>
      </c>
      <c r="AX458">
        <v>1</v>
      </c>
      <c r="AY458">
        <v>0</v>
      </c>
      <c r="AZ458" s="10">
        <v>0</v>
      </c>
      <c r="BA458">
        <v>1</v>
      </c>
      <c r="BB458">
        <v>0</v>
      </c>
      <c r="BC458">
        <v>0</v>
      </c>
      <c r="BD458" s="143" t="s">
        <v>532</v>
      </c>
      <c r="BG458"/>
    </row>
    <row r="459" spans="1:59" ht="14.25" customHeight="1" x14ac:dyDescent="0.25">
      <c r="A459" s="37" t="str">
        <f>LEFT(Scharniere[[#This Row],[ArtikelNR]],4)</f>
        <v>F028</v>
      </c>
      <c r="B459" s="35" t="str">
        <f>MID(Scharniere[[#This Row],[ArtikelNR]],5,3)</f>
        <v>138</v>
      </c>
      <c r="C459" s="37" t="str">
        <f>RIGHT(Scharniere[[#This Row],[ArtikelNR]],3)</f>
        <v>747</v>
      </c>
      <c r="D459" s="35">
        <f>IF(AND(Scharniere[[#This Row],[Gruppenschlüssel]]=select!$A$44,Scharniere[[#This Row],[Scharnierart]]=1)=TRUE,1,0)</f>
        <v>0</v>
      </c>
      <c r="E4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59" s="35">
        <f>IF(select!$F$57=IF(Scharniere[[#This Row],[mit Dämpfung]]=1,1,IF(Scharniere[[#This Row],[ohne Dämpfung]]=1,2,IF(Scharniere[[#This Row],[ohne Feder]]=1,3,0))),1,0)</f>
        <v>0</v>
      </c>
      <c r="G459" s="35">
        <f>IF(Scharniere[[#This Row],[Bohrbild]]=select!$V$43,1,0)</f>
        <v>0</v>
      </c>
      <c r="H459" s="35">
        <f>IF(IF(Scharniere[[#This Row],[Anschrauben]]=1,1,IF(Scharniere[[#This Row],[Einpressen]]=1,2,IF(Scharniere[[#This Row],[Quick]]=1,3,IF(Scharniere[[#This Row],[Werkzeuglos]]=1,4,0))))=select!$F$48,1,0)</f>
        <v>1</v>
      </c>
      <c r="I4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59" s="149">
        <f>IF(AND(Scharniere[[#This Row],[Scharnierart]]=2,Scharniere[[#This Row],[Gruppenschlüssel]]=select!$A$318)=TRUE,1,0)</f>
        <v>0</v>
      </c>
      <c r="K459" s="221">
        <f ca="1">IF(select!$O$424&lt;6,1,0)</f>
        <v>1</v>
      </c>
      <c r="L459" s="139">
        <f>IF(select!$A$362=IF(Scharniere[[#This Row],[mit Dämpfung]]=1,1,IF(Scharniere[[#This Row],[ohne Dämpfung]]=1,2,IF(Scharniere[[#This Row],[ohne Feder]]=1,3,0))),1,0)</f>
        <v>1</v>
      </c>
      <c r="M459" s="135">
        <f>IF(Scharniere[[#This Row],[Bohrbild]]=select!$O$334,1,0)</f>
        <v>0</v>
      </c>
      <c r="N459" s="135">
        <f>IF(IF(Scharniere[[#This Row],[Anschrauben]]=1,1,IF(Scharniere[[#This Row],[Einpressen]]=1,2,IF(Scharniere[[#This Row],[Quick]]=1,3,IF(Scharniere[[#This Row],[Werkzeuglos]]=1,4,0))))=select!$E$362,1,0)</f>
        <v>0</v>
      </c>
      <c r="O4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59" s="298">
        <f>IF(AND(Scharniere[[#This Row],[Scharnierart]]=3,Scharniere[[#This Row],[Gruppenschlüssel]]=select!$A$747)=TRUE,1,0)</f>
        <v>0</v>
      </c>
      <c r="Q459" s="298">
        <f ca="1">IF(select!$O$945&lt;6,1,0)</f>
        <v>1</v>
      </c>
      <c r="R459" s="298">
        <f>IF(select!$A$778=IF(Scharniere[[#This Row],[mit Dämpfung]]=1,1,IF(Scharniere[[#This Row],[ohne Dämpfung]]=1,2,IF(Scharniere[[#This Row],[ohne Feder]]=1,3,0))),1,0)</f>
        <v>0</v>
      </c>
      <c r="S459" s="298">
        <f>IF(Scharniere[[#This Row],[Bohrbild]]=select!$A$755,1,0)</f>
        <v>0</v>
      </c>
      <c r="T459" s="298">
        <f>IF(IF(Scharniere[[#This Row],[Anschrauben]]=1,1,IF(Scharniere[[#This Row],[Einpressen]]=1,2,IF(Scharniere[[#This Row],[Quick]]=1,3,IF(Scharniere[[#This Row],[Werkzeuglos]]=1,4,0))))=select!$A$769,1,0)</f>
        <v>0</v>
      </c>
      <c r="U4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59" s="359">
        <f>IF(AND(Scharniere[[#This Row],[Scharnierart]]=4,Scharniere[[#This Row],[Gruppenschlüssel]]=select!$A$981)=TRUE,1,0)</f>
        <v>0</v>
      </c>
      <c r="W459" s="359">
        <f ca="1">IF(select!$O$1185&lt;6,1,0)</f>
        <v>1</v>
      </c>
      <c r="X459" s="359">
        <f>IF(select!$A$1012=IF(Scharniere[[#This Row],[mit Dämpfung]]=1,1,IF(Scharniere[[#This Row],[ohne Dämpfung]]=1,2,IF(Scharniere[[#This Row],[ohne Feder]]=1,3,0))),1,0)</f>
        <v>0</v>
      </c>
      <c r="Y459" s="359">
        <f>IF(Scharniere[[#This Row],[Bohrbild]]=select!$A$989,1,0)</f>
        <v>0</v>
      </c>
      <c r="Z459" s="359">
        <f>IF(IF(Scharniere[[#This Row],[Anschrauben]]=1,1,IF(Scharniere[[#This Row],[Einpressen]]=1,2,IF(Scharniere[[#This Row],[Quick]]=1,3,IF(Scharniere[[#This Row],[Werkzeuglos]]=1,4,0))))=select!$A$1003,1,0)</f>
        <v>0</v>
      </c>
      <c r="AA4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59" s="359">
        <f ca="1">IF(select!$K$980="*",Scharniere[[#This Row],[AG Ges2]],Scharniere[[#This Row],[AG Ges1]])</f>
        <v>0</v>
      </c>
      <c r="AE459" s="451">
        <f ca="1">IF(AND(Scharniere[[#This Row],[Scharnierart]]=select!$A$1485,Scharniere[[#This Row],[Gruppenschlüssel]]=select!$B$1485)=TRUE,1,0)</f>
        <v>0</v>
      </c>
      <c r="AF459" s="451">
        <f ca="1">IF(AND(Scharniere[[#This Row],[Scharnierart]]=select!$A$1486,Scharniere[[#This Row],[Gruppenschlüssel]]=select!$B$1486)=TRUE,1,0)</f>
        <v>0</v>
      </c>
      <c r="AG459" s="451">
        <f ca="1">IF(AND(Scharniere[[#This Row],[Scharnierart]]=select!$A$1487,Scharniere[[#This Row],[Gruppenschlüssel]]=select!$B$1487)=TRUE,1,0)</f>
        <v>0</v>
      </c>
      <c r="AH459" s="451">
        <f ca="1">IF(AND(Scharniere[[#This Row],[Scharnierart]]=select!$A$1488,Scharniere[[#This Row],[Gruppenschlüssel]]=select!$B$1488)=TRUE,1,0)</f>
        <v>0</v>
      </c>
      <c r="AI459" s="451">
        <f ca="1">IF(SUM(Scharniere[[#This Row],[konf Scharnier 1]:[konf Scharnier 4]])&gt;0,1,0)</f>
        <v>0</v>
      </c>
      <c r="AJ459" s="451"/>
      <c r="AK459" s="451"/>
      <c r="AL459" s="451"/>
      <c r="AM459" s="451"/>
      <c r="AN459" s="451"/>
      <c r="AO459" s="146">
        <v>1</v>
      </c>
      <c r="AP459" s="146">
        <v>3</v>
      </c>
      <c r="AQ459" s="10" t="str">
        <f ca="1">Sprache!$A$112</f>
        <v>Tiomos Scharnier TS Click-on</v>
      </c>
      <c r="AR459" t="str">
        <f ca="1">"160°, H-BB, K03, "&amp;Sprache!A181&amp;", ni"</f>
        <v>160°, H-BB, K03, Dübel, ni</v>
      </c>
      <c r="AS459" t="str">
        <f ca="1">Sprache!$A$103</f>
        <v>Tiomos Click-On Scharniere</v>
      </c>
      <c r="AT459">
        <v>3</v>
      </c>
      <c r="AU459" t="s">
        <v>10</v>
      </c>
      <c r="AV459">
        <v>160</v>
      </c>
      <c r="AW459" s="10">
        <v>1</v>
      </c>
      <c r="AX459">
        <v>0</v>
      </c>
      <c r="AY459">
        <v>0</v>
      </c>
      <c r="AZ459" s="10">
        <v>0</v>
      </c>
      <c r="BA459">
        <v>1</v>
      </c>
      <c r="BB459">
        <v>0</v>
      </c>
      <c r="BC459">
        <v>0</v>
      </c>
      <c r="BD459" s="143" t="s">
        <v>366</v>
      </c>
      <c r="BG459"/>
    </row>
    <row r="460" spans="1:59" ht="14.25" customHeight="1" x14ac:dyDescent="0.25">
      <c r="A460" s="37" t="str">
        <f>LEFT(Scharniere[[#This Row],[ArtikelNR]],4)</f>
        <v>F046</v>
      </c>
      <c r="B460" s="35" t="str">
        <f>MID(Scharniere[[#This Row],[ArtikelNR]],5,3)</f>
        <v>138</v>
      </c>
      <c r="C460" s="37" t="str">
        <f>RIGHT(Scharniere[[#This Row],[ArtikelNR]],3)</f>
        <v>807</v>
      </c>
      <c r="D460" s="35">
        <f>IF(AND(Scharniere[[#This Row],[Gruppenschlüssel]]=select!$A$44,Scharniere[[#This Row],[Scharnierart]]=1)=TRUE,1,0)</f>
        <v>0</v>
      </c>
      <c r="E4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0" s="35">
        <f>IF(select!$F$57=IF(Scharniere[[#This Row],[mit Dämpfung]]=1,1,IF(Scharniere[[#This Row],[ohne Dämpfung]]=1,2,IF(Scharniere[[#This Row],[ohne Feder]]=1,3,0))),1,0)</f>
        <v>1</v>
      </c>
      <c r="G460" s="35">
        <f>IF(Scharniere[[#This Row],[Bohrbild]]=select!$V$43,1,0)</f>
        <v>0</v>
      </c>
      <c r="H460" s="35">
        <f>IF(IF(Scharniere[[#This Row],[Anschrauben]]=1,1,IF(Scharniere[[#This Row],[Einpressen]]=1,2,IF(Scharniere[[#This Row],[Quick]]=1,3,IF(Scharniere[[#This Row],[Werkzeuglos]]=1,4,0))))=select!$F$48,1,0)</f>
        <v>1</v>
      </c>
      <c r="I4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0" s="149">
        <f>IF(AND(Scharniere[[#This Row],[Scharnierart]]=2,Scharniere[[#This Row],[Gruppenschlüssel]]=select!$A$318)=TRUE,1,0)</f>
        <v>0</v>
      </c>
      <c r="K460" s="221">
        <f ca="1">IF(select!$O$424&lt;6,1,0)</f>
        <v>1</v>
      </c>
      <c r="L460" s="139">
        <f>IF(select!$A$362=IF(Scharniere[[#This Row],[mit Dämpfung]]=1,1,IF(Scharniere[[#This Row],[ohne Dämpfung]]=1,2,IF(Scharniere[[#This Row],[ohne Feder]]=1,3,0))),1,0)</f>
        <v>0</v>
      </c>
      <c r="M460" s="135">
        <f>IF(Scharniere[[#This Row],[Bohrbild]]=select!$O$334,1,0)</f>
        <v>0</v>
      </c>
      <c r="N460" s="135">
        <f>IF(IF(Scharniere[[#This Row],[Anschrauben]]=1,1,IF(Scharniere[[#This Row],[Einpressen]]=1,2,IF(Scharniere[[#This Row],[Quick]]=1,3,IF(Scharniere[[#This Row],[Werkzeuglos]]=1,4,0))))=select!$E$362,1,0)</f>
        <v>0</v>
      </c>
      <c r="O4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0" s="298">
        <f>IF(AND(Scharniere[[#This Row],[Scharnierart]]=3,Scharniere[[#This Row],[Gruppenschlüssel]]=select!$A$747)=TRUE,1,0)</f>
        <v>0</v>
      </c>
      <c r="Q460" s="298">
        <f ca="1">IF(select!$O$945&lt;6,1,0)</f>
        <v>1</v>
      </c>
      <c r="R460" s="298">
        <f>IF(select!$A$778=IF(Scharniere[[#This Row],[mit Dämpfung]]=1,1,IF(Scharniere[[#This Row],[ohne Dämpfung]]=1,2,IF(Scharniere[[#This Row],[ohne Feder]]=1,3,0))),1,0)</f>
        <v>0</v>
      </c>
      <c r="S460" s="298">
        <f>IF(Scharniere[[#This Row],[Bohrbild]]=select!$A$755,1,0)</f>
        <v>0</v>
      </c>
      <c r="T460" s="298">
        <f>IF(IF(Scharniere[[#This Row],[Anschrauben]]=1,1,IF(Scharniere[[#This Row],[Einpressen]]=1,2,IF(Scharniere[[#This Row],[Quick]]=1,3,IF(Scharniere[[#This Row],[Werkzeuglos]]=1,4,0))))=select!$A$769,1,0)</f>
        <v>0</v>
      </c>
      <c r="U4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0" s="359">
        <f>IF(AND(Scharniere[[#This Row],[Scharnierart]]=4,Scharniere[[#This Row],[Gruppenschlüssel]]=select!$A$981)=TRUE,1,0)</f>
        <v>0</v>
      </c>
      <c r="W460" s="359">
        <f ca="1">IF(select!$O$1185&lt;6,1,0)</f>
        <v>1</v>
      </c>
      <c r="X460" s="359">
        <f>IF(select!$A$1012=IF(Scharniere[[#This Row],[mit Dämpfung]]=1,1,IF(Scharniere[[#This Row],[ohne Dämpfung]]=1,2,IF(Scharniere[[#This Row],[ohne Feder]]=1,3,0))),1,0)</f>
        <v>0</v>
      </c>
      <c r="Y460" s="359">
        <f>IF(Scharniere[[#This Row],[Bohrbild]]=select!$A$989,1,0)</f>
        <v>0</v>
      </c>
      <c r="Z460" s="359">
        <f>IF(IF(Scharniere[[#This Row],[Anschrauben]]=1,1,IF(Scharniere[[#This Row],[Einpressen]]=1,2,IF(Scharniere[[#This Row],[Quick]]=1,3,IF(Scharniere[[#This Row],[Werkzeuglos]]=1,4,0))))=select!$A$1003,1,0)</f>
        <v>0</v>
      </c>
      <c r="AA4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0" s="359">
        <f ca="1">IF(select!$K$980="*",Scharniere[[#This Row],[AG Ges2]],Scharniere[[#This Row],[AG Ges1]])</f>
        <v>0</v>
      </c>
      <c r="AE460" s="451">
        <f ca="1">IF(AND(Scharniere[[#This Row],[Scharnierart]]=select!$A$1485,Scharniere[[#This Row],[Gruppenschlüssel]]=select!$B$1485)=TRUE,1,0)</f>
        <v>0</v>
      </c>
      <c r="AF460" s="451">
        <f ca="1">IF(AND(Scharniere[[#This Row],[Scharnierart]]=select!$A$1486,Scharniere[[#This Row],[Gruppenschlüssel]]=select!$B$1486)=TRUE,1,0)</f>
        <v>0</v>
      </c>
      <c r="AG460" s="451">
        <f ca="1">IF(AND(Scharniere[[#This Row],[Scharnierart]]=select!$A$1487,Scharniere[[#This Row],[Gruppenschlüssel]]=select!$B$1487)=TRUE,1,0)</f>
        <v>0</v>
      </c>
      <c r="AH460" s="451">
        <f ca="1">IF(AND(Scharniere[[#This Row],[Scharnierart]]=select!$A$1488,Scharniere[[#This Row],[Gruppenschlüssel]]=select!$B$1488)=TRUE,1,0)</f>
        <v>0</v>
      </c>
      <c r="AI460" s="451">
        <f ca="1">IF(SUM(Scharniere[[#This Row],[konf Scharnier 1]:[konf Scharnier 4]])&gt;0,1,0)</f>
        <v>0</v>
      </c>
      <c r="AJ460" s="451"/>
      <c r="AK460" s="451"/>
      <c r="AL460" s="451"/>
      <c r="AM460" s="451"/>
      <c r="AN460" s="451"/>
      <c r="AO460" s="146">
        <v>1</v>
      </c>
      <c r="AP460" s="146">
        <v>3</v>
      </c>
      <c r="AQ460" s="10" t="str">
        <f ca="1">Sprache!$A$114</f>
        <v>Tiomos Scharnier TT Click-on</v>
      </c>
      <c r="AR460" t="str">
        <f ca="1">"160°, H-BB, K03, "&amp;Sprache!A181&amp;", ni"</f>
        <v>160°, H-BB, K03, Dübel, ni</v>
      </c>
      <c r="AS460" t="str">
        <f ca="1">Sprache!$A$103</f>
        <v>Tiomos Click-On Scharniere</v>
      </c>
      <c r="AT460">
        <v>3</v>
      </c>
      <c r="AU460" s="34" t="s">
        <v>10</v>
      </c>
      <c r="AV460">
        <v>160</v>
      </c>
      <c r="AW460" s="10">
        <v>0</v>
      </c>
      <c r="AX460">
        <v>0</v>
      </c>
      <c r="AY460">
        <v>1</v>
      </c>
      <c r="AZ460" s="10">
        <v>0</v>
      </c>
      <c r="BA460">
        <v>1</v>
      </c>
      <c r="BB460">
        <v>0</v>
      </c>
      <c r="BC460">
        <v>0</v>
      </c>
      <c r="BD460" s="143" t="s">
        <v>684</v>
      </c>
      <c r="BG460"/>
    </row>
    <row r="461" spans="1:59" ht="14.25" customHeight="1" x14ac:dyDescent="0.25">
      <c r="A461" s="37" t="str">
        <f>LEFT(Scharniere[[#This Row],[ArtikelNR]],4)</f>
        <v>F045</v>
      </c>
      <c r="B461" s="35" t="str">
        <f>MID(Scharniere[[#This Row],[ArtikelNR]],5,3)</f>
        <v>138</v>
      </c>
      <c r="C461" s="37" t="str">
        <f>RIGHT(Scharniere[[#This Row],[ArtikelNR]],3)</f>
        <v>682</v>
      </c>
      <c r="D461" s="35">
        <f>IF(AND(Scharniere[[#This Row],[Gruppenschlüssel]]=select!$A$44,Scharniere[[#This Row],[Scharnierart]]=1)=TRUE,1,0)</f>
        <v>0</v>
      </c>
      <c r="E4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1" s="35">
        <f>IF(select!$F$57=IF(Scharniere[[#This Row],[mit Dämpfung]]=1,1,IF(Scharniere[[#This Row],[ohne Dämpfung]]=1,2,IF(Scharniere[[#This Row],[ohne Feder]]=1,3,0))),1,0)</f>
        <v>0</v>
      </c>
      <c r="G461" s="35">
        <f>IF(Scharniere[[#This Row],[Bohrbild]]=select!$V$43,1,0)</f>
        <v>0</v>
      </c>
      <c r="H461" s="35">
        <f>IF(IF(Scharniere[[#This Row],[Anschrauben]]=1,1,IF(Scharniere[[#This Row],[Einpressen]]=1,2,IF(Scharniere[[#This Row],[Quick]]=1,3,IF(Scharniere[[#This Row],[Werkzeuglos]]=1,4,0))))=select!$F$48,1,0)</f>
        <v>0</v>
      </c>
      <c r="I4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1" s="149">
        <f>IF(AND(Scharniere[[#This Row],[Scharnierart]]=2,Scharniere[[#This Row],[Gruppenschlüssel]]=select!$A$318)=TRUE,1,0)</f>
        <v>0</v>
      </c>
      <c r="K461" s="221">
        <f ca="1">IF(select!$O$424&lt;6,1,0)</f>
        <v>1</v>
      </c>
      <c r="L461" s="139">
        <f>IF(select!$A$362=IF(Scharniere[[#This Row],[mit Dämpfung]]=1,1,IF(Scharniere[[#This Row],[ohne Dämpfung]]=1,2,IF(Scharniere[[#This Row],[ohne Feder]]=1,3,0))),1,0)</f>
        <v>0</v>
      </c>
      <c r="M461" s="135">
        <f>IF(Scharniere[[#This Row],[Bohrbild]]=select!$O$334,1,0)</f>
        <v>0</v>
      </c>
      <c r="N461" s="135">
        <f>IF(IF(Scharniere[[#This Row],[Anschrauben]]=1,1,IF(Scharniere[[#This Row],[Einpressen]]=1,2,IF(Scharniere[[#This Row],[Quick]]=1,3,IF(Scharniere[[#This Row],[Werkzeuglos]]=1,4,0))))=select!$E$362,1,0)</f>
        <v>1</v>
      </c>
      <c r="O4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1" s="298">
        <f>IF(AND(Scharniere[[#This Row],[Scharnierart]]=3,Scharniere[[#This Row],[Gruppenschlüssel]]=select!$A$747)=TRUE,1,0)</f>
        <v>0</v>
      </c>
      <c r="Q461" s="298">
        <f ca="1">IF(select!$O$945&lt;6,1,0)</f>
        <v>1</v>
      </c>
      <c r="R461" s="298">
        <f>IF(select!$A$778=IF(Scharniere[[#This Row],[mit Dämpfung]]=1,1,IF(Scharniere[[#This Row],[ohne Dämpfung]]=1,2,IF(Scharniere[[#This Row],[ohne Feder]]=1,3,0))),1,0)</f>
        <v>1</v>
      </c>
      <c r="S461" s="298">
        <f>IF(Scharniere[[#This Row],[Bohrbild]]=select!$A$755,1,0)</f>
        <v>0</v>
      </c>
      <c r="T461" s="298">
        <f>IF(IF(Scharniere[[#This Row],[Anschrauben]]=1,1,IF(Scharniere[[#This Row],[Einpressen]]=1,2,IF(Scharniere[[#This Row],[Quick]]=1,3,IF(Scharniere[[#This Row],[Werkzeuglos]]=1,4,0))))=select!$A$769,1,0)</f>
        <v>1</v>
      </c>
      <c r="U4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1" s="359">
        <f>IF(AND(Scharniere[[#This Row],[Scharnierart]]=4,Scharniere[[#This Row],[Gruppenschlüssel]]=select!$A$981)=TRUE,1,0)</f>
        <v>0</v>
      </c>
      <c r="W461" s="359">
        <f ca="1">IF(select!$O$1185&lt;6,1,0)</f>
        <v>1</v>
      </c>
      <c r="X461" s="359">
        <f>IF(select!$A$1012=IF(Scharniere[[#This Row],[mit Dämpfung]]=1,1,IF(Scharniere[[#This Row],[ohne Dämpfung]]=1,2,IF(Scharniere[[#This Row],[ohne Feder]]=1,3,0))),1,0)</f>
        <v>1</v>
      </c>
      <c r="Y461" s="359">
        <f>IF(Scharniere[[#This Row],[Bohrbild]]=select!$A$989,1,0)</f>
        <v>0</v>
      </c>
      <c r="Z461" s="359">
        <f>IF(IF(Scharniere[[#This Row],[Anschrauben]]=1,1,IF(Scharniere[[#This Row],[Einpressen]]=1,2,IF(Scharniere[[#This Row],[Quick]]=1,3,IF(Scharniere[[#This Row],[Werkzeuglos]]=1,4,0))))=select!$A$1003,1,0)</f>
        <v>1</v>
      </c>
      <c r="AA4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1" s="359">
        <f ca="1">IF(select!$K$980="*",Scharniere[[#This Row],[AG Ges2]],Scharniere[[#This Row],[AG Ges1]])</f>
        <v>0</v>
      </c>
      <c r="AE461" s="451">
        <f ca="1">IF(AND(Scharniere[[#This Row],[Scharnierart]]=select!$A$1485,Scharniere[[#This Row],[Gruppenschlüssel]]=select!$B$1485)=TRUE,1,0)</f>
        <v>0</v>
      </c>
      <c r="AF461" s="451">
        <f ca="1">IF(AND(Scharniere[[#This Row],[Scharnierart]]=select!$A$1486,Scharniere[[#This Row],[Gruppenschlüssel]]=select!$B$1486)=TRUE,1,0)</f>
        <v>0</v>
      </c>
      <c r="AG461" s="451">
        <f ca="1">IF(AND(Scharniere[[#This Row],[Scharnierart]]=select!$A$1487,Scharniere[[#This Row],[Gruppenschlüssel]]=select!$B$1487)=TRUE,1,0)</f>
        <v>0</v>
      </c>
      <c r="AH461" s="451">
        <f ca="1">IF(AND(Scharniere[[#This Row],[Scharnierart]]=select!$A$1488,Scharniere[[#This Row],[Gruppenschlüssel]]=select!$B$1488)=TRUE,1,0)</f>
        <v>0</v>
      </c>
      <c r="AI461" s="451">
        <f ca="1">IF(SUM(Scharniere[[#This Row],[konf Scharnier 1]:[konf Scharnier 4]])&gt;0,1,0)</f>
        <v>0</v>
      </c>
      <c r="AJ461" s="451"/>
      <c r="AK461" s="451"/>
      <c r="AL461" s="451"/>
      <c r="AM461" s="451"/>
      <c r="AN461" s="451"/>
      <c r="AO461" s="146">
        <v>1</v>
      </c>
      <c r="AP461" s="146">
        <v>3</v>
      </c>
      <c r="AQ461" s="10" t="str">
        <f ca="1">Sprache!$A$110</f>
        <v>Tiomos Scharnier T Click-on</v>
      </c>
      <c r="AR461" t="s">
        <v>363</v>
      </c>
      <c r="AS461" t="str">
        <f ca="1">Sprache!$A$103</f>
        <v>Tiomos Click-On Scharniere</v>
      </c>
      <c r="AT461">
        <v>3</v>
      </c>
      <c r="AU461" s="34" t="s">
        <v>10</v>
      </c>
      <c r="AV461">
        <v>160</v>
      </c>
      <c r="AW461" s="10">
        <v>0</v>
      </c>
      <c r="AX461">
        <v>1</v>
      </c>
      <c r="AY461">
        <v>0</v>
      </c>
      <c r="AZ461" s="10">
        <v>1</v>
      </c>
      <c r="BA461">
        <v>0</v>
      </c>
      <c r="BB461">
        <v>0</v>
      </c>
      <c r="BC461">
        <v>0</v>
      </c>
      <c r="BD461" s="143" t="s">
        <v>529</v>
      </c>
      <c r="BG461"/>
    </row>
    <row r="462" spans="1:59" ht="14.25" customHeight="1" x14ac:dyDescent="0.25">
      <c r="A462" s="37" t="str">
        <f>LEFT(Scharniere[[#This Row],[ArtikelNR]],4)</f>
        <v>F028</v>
      </c>
      <c r="B462" s="35" t="str">
        <f>MID(Scharniere[[#This Row],[ArtikelNR]],5,3)</f>
        <v>138</v>
      </c>
      <c r="C462" s="37" t="str">
        <f>RIGHT(Scharniere[[#This Row],[ArtikelNR]],3)</f>
        <v>744</v>
      </c>
      <c r="D462" s="35">
        <f>IF(AND(Scharniere[[#This Row],[Gruppenschlüssel]]=select!$A$44,Scharniere[[#This Row],[Scharnierart]]=1)=TRUE,1,0)</f>
        <v>0</v>
      </c>
      <c r="E4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2" s="35">
        <f>IF(select!$F$57=IF(Scharniere[[#This Row],[mit Dämpfung]]=1,1,IF(Scharniere[[#This Row],[ohne Dämpfung]]=1,2,IF(Scharniere[[#This Row],[ohne Feder]]=1,3,0))),1,0)</f>
        <v>0</v>
      </c>
      <c r="G462" s="35">
        <f>IF(Scharniere[[#This Row],[Bohrbild]]=select!$V$43,1,0)</f>
        <v>0</v>
      </c>
      <c r="H462" s="35">
        <f>IF(IF(Scharniere[[#This Row],[Anschrauben]]=1,1,IF(Scharniere[[#This Row],[Einpressen]]=1,2,IF(Scharniere[[#This Row],[Quick]]=1,3,IF(Scharniere[[#This Row],[Werkzeuglos]]=1,4,0))))=select!$F$48,1,0)</f>
        <v>0</v>
      </c>
      <c r="I4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2" s="149">
        <f>IF(AND(Scharniere[[#This Row],[Scharnierart]]=2,Scharniere[[#This Row],[Gruppenschlüssel]]=select!$A$318)=TRUE,1,0)</f>
        <v>0</v>
      </c>
      <c r="K462" s="221">
        <f ca="1">IF(select!$O$424&lt;6,1,0)</f>
        <v>1</v>
      </c>
      <c r="L462" s="139">
        <f>IF(select!$A$362=IF(Scharniere[[#This Row],[mit Dämpfung]]=1,1,IF(Scharniere[[#This Row],[ohne Dämpfung]]=1,2,IF(Scharniere[[#This Row],[ohne Feder]]=1,3,0))),1,0)</f>
        <v>1</v>
      </c>
      <c r="M462" s="135">
        <f>IF(Scharniere[[#This Row],[Bohrbild]]=select!$O$334,1,0)</f>
        <v>0</v>
      </c>
      <c r="N462" s="135">
        <f>IF(IF(Scharniere[[#This Row],[Anschrauben]]=1,1,IF(Scharniere[[#This Row],[Einpressen]]=1,2,IF(Scharniere[[#This Row],[Quick]]=1,3,IF(Scharniere[[#This Row],[Werkzeuglos]]=1,4,0))))=select!$E$362,1,0)</f>
        <v>1</v>
      </c>
      <c r="O4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2" s="298">
        <f>IF(AND(Scharniere[[#This Row],[Scharnierart]]=3,Scharniere[[#This Row],[Gruppenschlüssel]]=select!$A$747)=TRUE,1,0)</f>
        <v>0</v>
      </c>
      <c r="Q462" s="298">
        <f ca="1">IF(select!$O$945&lt;6,1,0)</f>
        <v>1</v>
      </c>
      <c r="R462" s="298">
        <f>IF(select!$A$778=IF(Scharniere[[#This Row],[mit Dämpfung]]=1,1,IF(Scharniere[[#This Row],[ohne Dämpfung]]=1,2,IF(Scharniere[[#This Row],[ohne Feder]]=1,3,0))),1,0)</f>
        <v>0</v>
      </c>
      <c r="S462" s="298">
        <f>IF(Scharniere[[#This Row],[Bohrbild]]=select!$A$755,1,0)</f>
        <v>0</v>
      </c>
      <c r="T462" s="298">
        <f>IF(IF(Scharniere[[#This Row],[Anschrauben]]=1,1,IF(Scharniere[[#This Row],[Einpressen]]=1,2,IF(Scharniere[[#This Row],[Quick]]=1,3,IF(Scharniere[[#This Row],[Werkzeuglos]]=1,4,0))))=select!$A$769,1,0)</f>
        <v>1</v>
      </c>
      <c r="U4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2" s="359">
        <f>IF(AND(Scharniere[[#This Row],[Scharnierart]]=4,Scharniere[[#This Row],[Gruppenschlüssel]]=select!$A$981)=TRUE,1,0)</f>
        <v>0</v>
      </c>
      <c r="W462" s="359">
        <f ca="1">IF(select!$O$1185&lt;6,1,0)</f>
        <v>1</v>
      </c>
      <c r="X462" s="359">
        <f>IF(select!$A$1012=IF(Scharniere[[#This Row],[mit Dämpfung]]=1,1,IF(Scharniere[[#This Row],[ohne Dämpfung]]=1,2,IF(Scharniere[[#This Row],[ohne Feder]]=1,3,0))),1,0)</f>
        <v>0</v>
      </c>
      <c r="Y462" s="359">
        <f>IF(Scharniere[[#This Row],[Bohrbild]]=select!$A$989,1,0)</f>
        <v>0</v>
      </c>
      <c r="Z462" s="359">
        <f>IF(IF(Scharniere[[#This Row],[Anschrauben]]=1,1,IF(Scharniere[[#This Row],[Einpressen]]=1,2,IF(Scharniere[[#This Row],[Quick]]=1,3,IF(Scharniere[[#This Row],[Werkzeuglos]]=1,4,0))))=select!$A$1003,1,0)</f>
        <v>1</v>
      </c>
      <c r="AA4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2" s="359">
        <f ca="1">IF(select!$K$980="*",Scharniere[[#This Row],[AG Ges2]],Scharniere[[#This Row],[AG Ges1]])</f>
        <v>0</v>
      </c>
      <c r="AE462" s="451">
        <f ca="1">IF(AND(Scharniere[[#This Row],[Scharnierart]]=select!$A$1485,Scharniere[[#This Row],[Gruppenschlüssel]]=select!$B$1485)=TRUE,1,0)</f>
        <v>0</v>
      </c>
      <c r="AF462" s="451">
        <f ca="1">IF(AND(Scharniere[[#This Row],[Scharnierart]]=select!$A$1486,Scharniere[[#This Row],[Gruppenschlüssel]]=select!$B$1486)=TRUE,1,0)</f>
        <v>0</v>
      </c>
      <c r="AG462" s="451">
        <f ca="1">IF(AND(Scharniere[[#This Row],[Scharnierart]]=select!$A$1487,Scharniere[[#This Row],[Gruppenschlüssel]]=select!$B$1487)=TRUE,1,0)</f>
        <v>0</v>
      </c>
      <c r="AH462" s="451">
        <f ca="1">IF(AND(Scharniere[[#This Row],[Scharnierart]]=select!$A$1488,Scharniere[[#This Row],[Gruppenschlüssel]]=select!$B$1488)=TRUE,1,0)</f>
        <v>0</v>
      </c>
      <c r="AI462" s="451">
        <f ca="1">IF(SUM(Scharniere[[#This Row],[konf Scharnier 1]:[konf Scharnier 4]])&gt;0,1,0)</f>
        <v>0</v>
      </c>
      <c r="AJ462" s="451"/>
      <c r="AK462" s="451"/>
      <c r="AL462" s="451"/>
      <c r="AM462" s="451"/>
      <c r="AN462" s="451"/>
      <c r="AO462" s="146">
        <v>1</v>
      </c>
      <c r="AP462" s="146">
        <v>3</v>
      </c>
      <c r="AQ462" s="10" t="str">
        <f ca="1">Sprache!$A$112</f>
        <v>Tiomos Scharnier TS Click-on</v>
      </c>
      <c r="AR462" t="s">
        <v>363</v>
      </c>
      <c r="AS462" t="str">
        <f ca="1">Sprache!$A$103</f>
        <v>Tiomos Click-On Scharniere</v>
      </c>
      <c r="AT462">
        <v>3</v>
      </c>
      <c r="AU462" t="s">
        <v>10</v>
      </c>
      <c r="AV462">
        <v>160</v>
      </c>
      <c r="AW462" s="10">
        <v>1</v>
      </c>
      <c r="AX462">
        <v>0</v>
      </c>
      <c r="AY462">
        <v>0</v>
      </c>
      <c r="AZ462" s="10">
        <v>1</v>
      </c>
      <c r="BA462">
        <v>0</v>
      </c>
      <c r="BB462">
        <v>0</v>
      </c>
      <c r="BC462">
        <v>0</v>
      </c>
      <c r="BD462" s="143" t="s">
        <v>362</v>
      </c>
      <c r="BG462"/>
    </row>
    <row r="463" spans="1:59" ht="14.25" customHeight="1" x14ac:dyDescent="0.25">
      <c r="A463" s="37" t="str">
        <f>LEFT(Scharniere[[#This Row],[ArtikelNR]],4)</f>
        <v>F046</v>
      </c>
      <c r="B463" s="35" t="str">
        <f>MID(Scharniere[[#This Row],[ArtikelNR]],5,3)</f>
        <v>138</v>
      </c>
      <c r="C463" s="37" t="str">
        <f>RIGHT(Scharniere[[#This Row],[ArtikelNR]],3)</f>
        <v>804</v>
      </c>
      <c r="D463" s="35">
        <f>IF(AND(Scharniere[[#This Row],[Gruppenschlüssel]]=select!$A$44,Scharniere[[#This Row],[Scharnierart]]=1)=TRUE,1,0)</f>
        <v>0</v>
      </c>
      <c r="E4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3" s="35">
        <f>IF(select!$F$57=IF(Scharniere[[#This Row],[mit Dämpfung]]=1,1,IF(Scharniere[[#This Row],[ohne Dämpfung]]=1,2,IF(Scharniere[[#This Row],[ohne Feder]]=1,3,0))),1,0)</f>
        <v>1</v>
      </c>
      <c r="G463" s="35">
        <f>IF(Scharniere[[#This Row],[Bohrbild]]=select!$V$43,1,0)</f>
        <v>0</v>
      </c>
      <c r="H463" s="35">
        <f>IF(IF(Scharniere[[#This Row],[Anschrauben]]=1,1,IF(Scharniere[[#This Row],[Einpressen]]=1,2,IF(Scharniere[[#This Row],[Quick]]=1,3,IF(Scharniere[[#This Row],[Werkzeuglos]]=1,4,0))))=select!$F$48,1,0)</f>
        <v>0</v>
      </c>
      <c r="I4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3" s="149">
        <f>IF(AND(Scharniere[[#This Row],[Scharnierart]]=2,Scharniere[[#This Row],[Gruppenschlüssel]]=select!$A$318)=TRUE,1,0)</f>
        <v>0</v>
      </c>
      <c r="K463" s="221">
        <f ca="1">IF(select!$O$424&lt;6,1,0)</f>
        <v>1</v>
      </c>
      <c r="L463" s="139">
        <f>IF(select!$A$362=IF(Scharniere[[#This Row],[mit Dämpfung]]=1,1,IF(Scharniere[[#This Row],[ohne Dämpfung]]=1,2,IF(Scharniere[[#This Row],[ohne Feder]]=1,3,0))),1,0)</f>
        <v>0</v>
      </c>
      <c r="M463" s="135">
        <f>IF(Scharniere[[#This Row],[Bohrbild]]=select!$O$334,1,0)</f>
        <v>0</v>
      </c>
      <c r="N463" s="135">
        <f>IF(IF(Scharniere[[#This Row],[Anschrauben]]=1,1,IF(Scharniere[[#This Row],[Einpressen]]=1,2,IF(Scharniere[[#This Row],[Quick]]=1,3,IF(Scharniere[[#This Row],[Werkzeuglos]]=1,4,0))))=select!$E$362,1,0)</f>
        <v>1</v>
      </c>
      <c r="O4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3" s="298">
        <f>IF(AND(Scharniere[[#This Row],[Scharnierart]]=3,Scharniere[[#This Row],[Gruppenschlüssel]]=select!$A$747)=TRUE,1,0)</f>
        <v>0</v>
      </c>
      <c r="Q463" s="298">
        <f ca="1">IF(select!$O$945&lt;6,1,0)</f>
        <v>1</v>
      </c>
      <c r="R463" s="298">
        <f>IF(select!$A$778=IF(Scharniere[[#This Row],[mit Dämpfung]]=1,1,IF(Scharniere[[#This Row],[ohne Dämpfung]]=1,2,IF(Scharniere[[#This Row],[ohne Feder]]=1,3,0))),1,0)</f>
        <v>0</v>
      </c>
      <c r="S463" s="298">
        <f>IF(Scharniere[[#This Row],[Bohrbild]]=select!$A$755,1,0)</f>
        <v>0</v>
      </c>
      <c r="T463" s="298">
        <f>IF(IF(Scharniere[[#This Row],[Anschrauben]]=1,1,IF(Scharniere[[#This Row],[Einpressen]]=1,2,IF(Scharniere[[#This Row],[Quick]]=1,3,IF(Scharniere[[#This Row],[Werkzeuglos]]=1,4,0))))=select!$A$769,1,0)</f>
        <v>1</v>
      </c>
      <c r="U4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3" s="359">
        <f>IF(AND(Scharniere[[#This Row],[Scharnierart]]=4,Scharniere[[#This Row],[Gruppenschlüssel]]=select!$A$981)=TRUE,1,0)</f>
        <v>0</v>
      </c>
      <c r="W463" s="359">
        <f ca="1">IF(select!$O$1185&lt;6,1,0)</f>
        <v>1</v>
      </c>
      <c r="X463" s="359">
        <f>IF(select!$A$1012=IF(Scharniere[[#This Row],[mit Dämpfung]]=1,1,IF(Scharniere[[#This Row],[ohne Dämpfung]]=1,2,IF(Scharniere[[#This Row],[ohne Feder]]=1,3,0))),1,0)</f>
        <v>0</v>
      </c>
      <c r="Y463" s="359">
        <f>IF(Scharniere[[#This Row],[Bohrbild]]=select!$A$989,1,0)</f>
        <v>0</v>
      </c>
      <c r="Z463" s="359">
        <f>IF(IF(Scharniere[[#This Row],[Anschrauben]]=1,1,IF(Scharniere[[#This Row],[Einpressen]]=1,2,IF(Scharniere[[#This Row],[Quick]]=1,3,IF(Scharniere[[#This Row],[Werkzeuglos]]=1,4,0))))=select!$A$1003,1,0)</f>
        <v>1</v>
      </c>
      <c r="AA4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3" s="359">
        <f ca="1">IF(select!$K$980="*",Scharniere[[#This Row],[AG Ges2]],Scharniere[[#This Row],[AG Ges1]])</f>
        <v>0</v>
      </c>
      <c r="AE463" s="451">
        <f ca="1">IF(AND(Scharniere[[#This Row],[Scharnierart]]=select!$A$1485,Scharniere[[#This Row],[Gruppenschlüssel]]=select!$B$1485)=TRUE,1,0)</f>
        <v>0</v>
      </c>
      <c r="AF463" s="451">
        <f ca="1">IF(AND(Scharniere[[#This Row],[Scharnierart]]=select!$A$1486,Scharniere[[#This Row],[Gruppenschlüssel]]=select!$B$1486)=TRUE,1,0)</f>
        <v>0</v>
      </c>
      <c r="AG463" s="451">
        <f ca="1">IF(AND(Scharniere[[#This Row],[Scharnierart]]=select!$A$1487,Scharniere[[#This Row],[Gruppenschlüssel]]=select!$B$1487)=TRUE,1,0)</f>
        <v>0</v>
      </c>
      <c r="AH463" s="451">
        <f ca="1">IF(AND(Scharniere[[#This Row],[Scharnierart]]=select!$A$1488,Scharniere[[#This Row],[Gruppenschlüssel]]=select!$B$1488)=TRUE,1,0)</f>
        <v>0</v>
      </c>
      <c r="AI463" s="451">
        <f ca="1">IF(SUM(Scharniere[[#This Row],[konf Scharnier 1]:[konf Scharnier 4]])&gt;0,1,0)</f>
        <v>0</v>
      </c>
      <c r="AJ463" s="451"/>
      <c r="AK463" s="451"/>
      <c r="AL463" s="451"/>
      <c r="AM463" s="451"/>
      <c r="AN463" s="451"/>
      <c r="AO463" s="146">
        <v>1</v>
      </c>
      <c r="AP463" s="146">
        <v>3</v>
      </c>
      <c r="AQ463" s="10" t="str">
        <f ca="1">Sprache!$A$114</f>
        <v>Tiomos Scharnier TT Click-on</v>
      </c>
      <c r="AR463" t="s">
        <v>363</v>
      </c>
      <c r="AS463" t="str">
        <f ca="1">Sprache!$A$103</f>
        <v>Tiomos Click-On Scharniere</v>
      </c>
      <c r="AT463">
        <v>3</v>
      </c>
      <c r="AU463" t="s">
        <v>10</v>
      </c>
      <c r="AV463">
        <v>160</v>
      </c>
      <c r="AW463" s="10">
        <v>0</v>
      </c>
      <c r="AX463">
        <v>0</v>
      </c>
      <c r="AY463">
        <v>1</v>
      </c>
      <c r="AZ463" s="10">
        <v>1</v>
      </c>
      <c r="BA463">
        <v>0</v>
      </c>
      <c r="BB463">
        <v>0</v>
      </c>
      <c r="BC463">
        <v>0</v>
      </c>
      <c r="BD463" s="143" t="s">
        <v>681</v>
      </c>
      <c r="BG463"/>
    </row>
    <row r="464" spans="1:59" ht="14.25" customHeight="1" x14ac:dyDescent="0.25">
      <c r="A464" s="37" t="str">
        <f>LEFT(Scharniere[[#This Row],[ArtikelNR]],4)</f>
        <v>F034</v>
      </c>
      <c r="B464" s="35" t="str">
        <f>MID(Scharniere[[#This Row],[ArtikelNR]],5,3)</f>
        <v>139</v>
      </c>
      <c r="C464" s="37" t="str">
        <f>RIGHT(Scharniere[[#This Row],[ArtikelNR]],3)</f>
        <v>492</v>
      </c>
      <c r="D464" s="35">
        <f>IF(AND(Scharniere[[#This Row],[Gruppenschlüssel]]=select!$A$44,Scharniere[[#This Row],[Scharnierart]]=1)=TRUE,1,0)</f>
        <v>0</v>
      </c>
      <c r="E4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4" s="35">
        <f>IF(select!$F$57=IF(Scharniere[[#This Row],[mit Dämpfung]]=1,1,IF(Scharniere[[#This Row],[ohne Dämpfung]]=1,2,IF(Scharniere[[#This Row],[ohne Feder]]=1,3,0))),1,0)</f>
        <v>0</v>
      </c>
      <c r="G464" s="35">
        <f>IF(Scharniere[[#This Row],[Bohrbild]]=select!$V$43,1,0)</f>
        <v>0</v>
      </c>
      <c r="H464" s="35">
        <f>IF(IF(Scharniere[[#This Row],[Anschrauben]]=1,1,IF(Scharniere[[#This Row],[Einpressen]]=1,2,IF(Scharniere[[#This Row],[Quick]]=1,3,IF(Scharniere[[#This Row],[Werkzeuglos]]=1,4,0))))=select!$F$48,1,0)</f>
        <v>0</v>
      </c>
      <c r="I4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4" s="149">
        <f>IF(AND(Scharniere[[#This Row],[Scharnierart]]=2,Scharniere[[#This Row],[Gruppenschlüssel]]=select!$A$318)=TRUE,1,0)</f>
        <v>0</v>
      </c>
      <c r="K464" s="221">
        <f ca="1">IF(select!$O$424&lt;6,1,0)</f>
        <v>1</v>
      </c>
      <c r="L464" s="139">
        <f>IF(select!$A$362=IF(Scharniere[[#This Row],[mit Dämpfung]]=1,1,IF(Scharniere[[#This Row],[ohne Dämpfung]]=1,2,IF(Scharniere[[#This Row],[ohne Feder]]=1,3,0))),1,0)</f>
        <v>0</v>
      </c>
      <c r="M464" s="135">
        <f>IF(Scharniere[[#This Row],[Bohrbild]]=select!$O$334,1,0)</f>
        <v>0</v>
      </c>
      <c r="N464" s="135">
        <f>IF(IF(Scharniere[[#This Row],[Anschrauben]]=1,1,IF(Scharniere[[#This Row],[Einpressen]]=1,2,IF(Scharniere[[#This Row],[Quick]]=1,3,IF(Scharniere[[#This Row],[Werkzeuglos]]=1,4,0))))=select!$E$362,1,0)</f>
        <v>0</v>
      </c>
      <c r="O4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4" s="298">
        <f>IF(AND(Scharniere[[#This Row],[Scharnierart]]=3,Scharniere[[#This Row],[Gruppenschlüssel]]=select!$A$747)=TRUE,1,0)</f>
        <v>0</v>
      </c>
      <c r="Q464" s="298">
        <f ca="1">IF(select!$O$945&lt;6,1,0)</f>
        <v>1</v>
      </c>
      <c r="R464" s="298">
        <f>IF(select!$A$778=IF(Scharniere[[#This Row],[mit Dämpfung]]=1,1,IF(Scharniere[[#This Row],[ohne Dämpfung]]=1,2,IF(Scharniere[[#This Row],[ohne Feder]]=1,3,0))),1,0)</f>
        <v>1</v>
      </c>
      <c r="S464" s="298">
        <f>IF(Scharniere[[#This Row],[Bohrbild]]=select!$A$755,1,0)</f>
        <v>0</v>
      </c>
      <c r="T464" s="298">
        <f>IF(IF(Scharniere[[#This Row],[Anschrauben]]=1,1,IF(Scharniere[[#This Row],[Einpressen]]=1,2,IF(Scharniere[[#This Row],[Quick]]=1,3,IF(Scharniere[[#This Row],[Werkzeuglos]]=1,4,0))))=select!$A$769,1,0)</f>
        <v>0</v>
      </c>
      <c r="U4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4" s="359">
        <f>IF(AND(Scharniere[[#This Row],[Scharnierart]]=4,Scharniere[[#This Row],[Gruppenschlüssel]]=select!$A$981)=TRUE,1,0)</f>
        <v>0</v>
      </c>
      <c r="W464" s="359">
        <f ca="1">IF(select!$O$1185&lt;6,1,0)</f>
        <v>1</v>
      </c>
      <c r="X464" s="359">
        <f>IF(select!$A$1012=IF(Scharniere[[#This Row],[mit Dämpfung]]=1,1,IF(Scharniere[[#This Row],[ohne Dämpfung]]=1,2,IF(Scharniere[[#This Row],[ohne Feder]]=1,3,0))),1,0)</f>
        <v>1</v>
      </c>
      <c r="Y464" s="359">
        <f>IF(Scharniere[[#This Row],[Bohrbild]]=select!$A$989,1,0)</f>
        <v>0</v>
      </c>
      <c r="Z464" s="359">
        <f>IF(IF(Scharniere[[#This Row],[Anschrauben]]=1,1,IF(Scharniere[[#This Row],[Einpressen]]=1,2,IF(Scharniere[[#This Row],[Quick]]=1,3,IF(Scharniere[[#This Row],[Werkzeuglos]]=1,4,0))))=select!$A$1003,1,0)</f>
        <v>0</v>
      </c>
      <c r="AA4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4" s="359">
        <f ca="1">IF(select!$K$980="*",Scharniere[[#This Row],[AG Ges2]],Scharniere[[#This Row],[AG Ges1]])</f>
        <v>0</v>
      </c>
      <c r="AE464" s="451">
        <f ca="1">IF(AND(Scharniere[[#This Row],[Scharnierart]]=select!$A$1485,Scharniere[[#This Row],[Gruppenschlüssel]]=select!$B$1485)=TRUE,1,0)</f>
        <v>0</v>
      </c>
      <c r="AF464" s="451">
        <f ca="1">IF(AND(Scharniere[[#This Row],[Scharnierart]]=select!$A$1486,Scharniere[[#This Row],[Gruppenschlüssel]]=select!$B$1486)=TRUE,1,0)</f>
        <v>0</v>
      </c>
      <c r="AG464" s="451">
        <f ca="1">IF(AND(Scharniere[[#This Row],[Scharnierart]]=select!$A$1487,Scharniere[[#This Row],[Gruppenschlüssel]]=select!$B$1487)=TRUE,1,0)</f>
        <v>0</v>
      </c>
      <c r="AH464" s="451">
        <f ca="1">IF(AND(Scharniere[[#This Row],[Scharnierart]]=select!$A$1488,Scharniere[[#This Row],[Gruppenschlüssel]]=select!$B$1488)=TRUE,1,0)</f>
        <v>0</v>
      </c>
      <c r="AI464" s="451">
        <f ca="1">IF(SUM(Scharniere[[#This Row],[konf Scharnier 1]:[konf Scharnier 4]])&gt;0,1,0)</f>
        <v>0</v>
      </c>
      <c r="AJ464" s="451"/>
      <c r="AK464" s="451"/>
      <c r="AL464" s="451"/>
      <c r="AM464" s="451"/>
      <c r="AN464" s="451"/>
      <c r="AO464" s="146">
        <v>1</v>
      </c>
      <c r="AP464" s="146">
        <v>3</v>
      </c>
      <c r="AQ464" s="10" t="str">
        <f ca="1">Sprache!$A$111</f>
        <v>Tiomos Scharnier T Impresso</v>
      </c>
      <c r="AR464" t="s">
        <v>124</v>
      </c>
      <c r="AS464" t="str">
        <f ca="1">Sprache!$A$116</f>
        <v>Tiomos Impresso Scharniere</v>
      </c>
      <c r="AT464">
        <v>3</v>
      </c>
      <c r="AU464" s="10" t="s">
        <v>10</v>
      </c>
      <c r="AV464">
        <v>160</v>
      </c>
      <c r="AW464" s="10">
        <v>0</v>
      </c>
      <c r="AX464">
        <v>1</v>
      </c>
      <c r="AY464">
        <v>0</v>
      </c>
      <c r="AZ464" s="10">
        <v>0</v>
      </c>
      <c r="BA464">
        <v>0</v>
      </c>
      <c r="BB464">
        <v>0</v>
      </c>
      <c r="BC464">
        <v>1</v>
      </c>
      <c r="BD464" s="143" t="s">
        <v>173</v>
      </c>
      <c r="BG464"/>
    </row>
    <row r="465" spans="1:59" ht="14.25" customHeight="1" x14ac:dyDescent="0.25">
      <c r="A465" s="37" t="str">
        <f>LEFT(Scharniere[[#This Row],[ArtikelNR]],4)</f>
        <v>F034</v>
      </c>
      <c r="B465" s="35" t="str">
        <f>MID(Scharniere[[#This Row],[ArtikelNR]],5,3)</f>
        <v>139</v>
      </c>
      <c r="C465" s="37" t="str">
        <f>RIGHT(Scharniere[[#This Row],[ArtikelNR]],3)</f>
        <v>492</v>
      </c>
      <c r="D465" s="35">
        <f>IF(AND(Scharniere[[#This Row],[Gruppenschlüssel]]=select!$A$44,Scharniere[[#This Row],[Scharnierart]]=1)=TRUE,1,0)</f>
        <v>0</v>
      </c>
      <c r="E4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5" s="35">
        <f>IF(select!$F$57=IF(Scharniere[[#This Row],[mit Dämpfung]]=1,1,IF(Scharniere[[#This Row],[ohne Dämpfung]]=1,2,IF(Scharniere[[#This Row],[ohne Feder]]=1,3,0))),1,0)</f>
        <v>0</v>
      </c>
      <c r="G465" s="35">
        <f>IF(Scharniere[[#This Row],[Bohrbild]]=select!$V$43,1,0)</f>
        <v>0</v>
      </c>
      <c r="H465" s="35">
        <f>IF(IF(Scharniere[[#This Row],[Anschrauben]]=1,1,IF(Scharniere[[#This Row],[Einpressen]]=1,2,IF(Scharniere[[#This Row],[Quick]]=1,3,IF(Scharniere[[#This Row],[Werkzeuglos]]=1,4,0))))=select!$F$48,1,0)</f>
        <v>0</v>
      </c>
      <c r="I4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5" s="149">
        <f>IF(AND(Scharniere[[#This Row],[Scharnierart]]=2,Scharniere[[#This Row],[Gruppenschlüssel]]=select!$A$318)=TRUE,1,0)</f>
        <v>0</v>
      </c>
      <c r="K465" s="221">
        <f ca="1">IF(select!$O$424&lt;6,1,0)</f>
        <v>1</v>
      </c>
      <c r="L465" s="139">
        <f>IF(select!$A$362=IF(Scharniere[[#This Row],[mit Dämpfung]]=1,1,IF(Scharniere[[#This Row],[ohne Dämpfung]]=1,2,IF(Scharniere[[#This Row],[ohne Feder]]=1,3,0))),1,0)</f>
        <v>0</v>
      </c>
      <c r="M465" s="135">
        <f>IF(Scharniere[[#This Row],[Bohrbild]]=select!$O$334,1,0)</f>
        <v>0</v>
      </c>
      <c r="N465" s="135">
        <f>IF(IF(Scharniere[[#This Row],[Anschrauben]]=1,1,IF(Scharniere[[#This Row],[Einpressen]]=1,2,IF(Scharniere[[#This Row],[Quick]]=1,3,IF(Scharniere[[#This Row],[Werkzeuglos]]=1,4,0))))=select!$E$362,1,0)</f>
        <v>0</v>
      </c>
      <c r="O4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5" s="298">
        <f>IF(AND(Scharniere[[#This Row],[Scharnierart]]=3,Scharniere[[#This Row],[Gruppenschlüssel]]=select!$A$747)=TRUE,1,0)</f>
        <v>0</v>
      </c>
      <c r="Q465" s="298">
        <f ca="1">IF(select!$O$945&lt;6,1,0)</f>
        <v>1</v>
      </c>
      <c r="R465" s="298">
        <f>IF(select!$A$778=IF(Scharniere[[#This Row],[mit Dämpfung]]=1,1,IF(Scharniere[[#This Row],[ohne Dämpfung]]=1,2,IF(Scharniere[[#This Row],[ohne Feder]]=1,3,0))),1,0)</f>
        <v>1</v>
      </c>
      <c r="S465" s="298">
        <f>IF(Scharniere[[#This Row],[Bohrbild]]=select!$A$755,1,0)</f>
        <v>0</v>
      </c>
      <c r="T465" s="298">
        <f>IF(IF(Scharniere[[#This Row],[Anschrauben]]=1,1,IF(Scharniere[[#This Row],[Einpressen]]=1,2,IF(Scharniere[[#This Row],[Quick]]=1,3,IF(Scharniere[[#This Row],[Werkzeuglos]]=1,4,0))))=select!$A$769,1,0)</f>
        <v>0</v>
      </c>
      <c r="U4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5" s="359">
        <f>IF(AND(Scharniere[[#This Row],[Scharnierart]]=4,Scharniere[[#This Row],[Gruppenschlüssel]]=select!$A$981)=TRUE,1,0)</f>
        <v>0</v>
      </c>
      <c r="W465" s="359">
        <f ca="1">IF(select!$O$1185&lt;6,1,0)</f>
        <v>1</v>
      </c>
      <c r="X465" s="359">
        <f>IF(select!$A$1012=IF(Scharniere[[#This Row],[mit Dämpfung]]=1,1,IF(Scharniere[[#This Row],[ohne Dämpfung]]=1,2,IF(Scharniere[[#This Row],[ohne Feder]]=1,3,0))),1,0)</f>
        <v>1</v>
      </c>
      <c r="Y465" s="359">
        <f>IF(Scharniere[[#This Row],[Bohrbild]]=select!$A$989,1,0)</f>
        <v>0</v>
      </c>
      <c r="Z465" s="359">
        <f>IF(IF(Scharniere[[#This Row],[Anschrauben]]=1,1,IF(Scharniere[[#This Row],[Einpressen]]=1,2,IF(Scharniere[[#This Row],[Quick]]=1,3,IF(Scharniere[[#This Row],[Werkzeuglos]]=1,4,0))))=select!$A$1003,1,0)</f>
        <v>0</v>
      </c>
      <c r="AA4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5" s="359">
        <f ca="1">IF(select!$K$980="*",Scharniere[[#This Row],[AG Ges2]],Scharniere[[#This Row],[AG Ges1]])</f>
        <v>0</v>
      </c>
      <c r="AE465" s="451">
        <f ca="1">IF(AND(Scharniere[[#This Row],[Scharnierart]]=select!$A$1485,Scharniere[[#This Row],[Gruppenschlüssel]]=select!$B$1485)=TRUE,1,0)</f>
        <v>0</v>
      </c>
      <c r="AF465" s="451">
        <f ca="1">IF(AND(Scharniere[[#This Row],[Scharnierart]]=select!$A$1486,Scharniere[[#This Row],[Gruppenschlüssel]]=select!$B$1486)=TRUE,1,0)</f>
        <v>0</v>
      </c>
      <c r="AG465" s="451">
        <f ca="1">IF(AND(Scharniere[[#This Row],[Scharnierart]]=select!$A$1487,Scharniere[[#This Row],[Gruppenschlüssel]]=select!$B$1487)=TRUE,1,0)</f>
        <v>0</v>
      </c>
      <c r="AH465" s="451">
        <f ca="1">IF(AND(Scharniere[[#This Row],[Scharnierart]]=select!$A$1488,Scharniere[[#This Row],[Gruppenschlüssel]]=select!$B$1488)=TRUE,1,0)</f>
        <v>0</v>
      </c>
      <c r="AI465" s="451">
        <f ca="1">IF(SUM(Scharniere[[#This Row],[konf Scharnier 1]:[konf Scharnier 4]])&gt;0,1,0)</f>
        <v>0</v>
      </c>
      <c r="AJ465" s="451"/>
      <c r="AK465" s="451"/>
      <c r="AL465" s="451"/>
      <c r="AM465" s="451"/>
      <c r="AN465" s="451"/>
      <c r="AO465" s="146">
        <v>1</v>
      </c>
      <c r="AP465" s="146">
        <v>3</v>
      </c>
      <c r="AQ465" s="10" t="str">
        <f ca="1">Sprache!$A$111</f>
        <v>Tiomos Scharnier T Impresso</v>
      </c>
      <c r="AR465" t="s">
        <v>124</v>
      </c>
      <c r="AS465" t="str">
        <f ca="1">Sprache!$A$116</f>
        <v>Tiomos Impresso Scharniere</v>
      </c>
      <c r="AT465">
        <v>3</v>
      </c>
      <c r="AU465" t="s">
        <v>11</v>
      </c>
      <c r="AV465">
        <v>160</v>
      </c>
      <c r="AW465" s="10">
        <v>0</v>
      </c>
      <c r="AX465">
        <v>1</v>
      </c>
      <c r="AY465">
        <v>0</v>
      </c>
      <c r="AZ465" s="10">
        <v>0</v>
      </c>
      <c r="BA465">
        <v>0</v>
      </c>
      <c r="BB465">
        <v>0</v>
      </c>
      <c r="BC465">
        <v>1</v>
      </c>
      <c r="BD465" s="143" t="s">
        <v>173</v>
      </c>
      <c r="BG465"/>
    </row>
    <row r="466" spans="1:59" ht="14.25" customHeight="1" x14ac:dyDescent="0.25">
      <c r="A466" s="37" t="str">
        <f>LEFT(Scharniere[[#This Row],[ArtikelNR]],4)</f>
        <v>F017</v>
      </c>
      <c r="B466" s="35" t="str">
        <f>MID(Scharniere[[#This Row],[ArtikelNR]],5,3)</f>
        <v>139</v>
      </c>
      <c r="C466" s="37" t="str">
        <f>RIGHT(Scharniere[[#This Row],[ArtikelNR]],3)</f>
        <v>521</v>
      </c>
      <c r="D466" s="35">
        <f>IF(AND(Scharniere[[#This Row],[Gruppenschlüssel]]=select!$A$44,Scharniere[[#This Row],[Scharnierart]]=1)=TRUE,1,0)</f>
        <v>0</v>
      </c>
      <c r="E4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6" s="35">
        <f>IF(select!$F$57=IF(Scharniere[[#This Row],[mit Dämpfung]]=1,1,IF(Scharniere[[#This Row],[ohne Dämpfung]]=1,2,IF(Scharniere[[#This Row],[ohne Feder]]=1,3,0))),1,0)</f>
        <v>0</v>
      </c>
      <c r="G466" s="35">
        <f>IF(Scharniere[[#This Row],[Bohrbild]]=select!$V$43,1,0)</f>
        <v>0</v>
      </c>
      <c r="H466" s="35">
        <f>IF(IF(Scharniere[[#This Row],[Anschrauben]]=1,1,IF(Scharniere[[#This Row],[Einpressen]]=1,2,IF(Scharniere[[#This Row],[Quick]]=1,3,IF(Scharniere[[#This Row],[Werkzeuglos]]=1,4,0))))=select!$F$48,1,0)</f>
        <v>0</v>
      </c>
      <c r="I4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6" s="149">
        <f>IF(AND(Scharniere[[#This Row],[Scharnierart]]=2,Scharniere[[#This Row],[Gruppenschlüssel]]=select!$A$318)=TRUE,1,0)</f>
        <v>0</v>
      </c>
      <c r="K466" s="221">
        <f ca="1">IF(select!$O$424&lt;6,1,0)</f>
        <v>1</v>
      </c>
      <c r="L466" s="139">
        <f>IF(select!$A$362=IF(Scharniere[[#This Row],[mit Dämpfung]]=1,1,IF(Scharniere[[#This Row],[ohne Dämpfung]]=1,2,IF(Scharniere[[#This Row],[ohne Feder]]=1,3,0))),1,0)</f>
        <v>1</v>
      </c>
      <c r="M466" s="135">
        <f>IF(Scharniere[[#This Row],[Bohrbild]]=select!$O$334,1,0)</f>
        <v>0</v>
      </c>
      <c r="N466" s="135">
        <f>IF(IF(Scharniere[[#This Row],[Anschrauben]]=1,1,IF(Scharniere[[#This Row],[Einpressen]]=1,2,IF(Scharniere[[#This Row],[Quick]]=1,3,IF(Scharniere[[#This Row],[Werkzeuglos]]=1,4,0))))=select!$E$362,1,0)</f>
        <v>0</v>
      </c>
      <c r="O4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6" s="298">
        <f>IF(AND(Scharniere[[#This Row],[Scharnierart]]=3,Scharniere[[#This Row],[Gruppenschlüssel]]=select!$A$747)=TRUE,1,0)</f>
        <v>0</v>
      </c>
      <c r="Q466" s="298">
        <f ca="1">IF(select!$O$945&lt;6,1,0)</f>
        <v>1</v>
      </c>
      <c r="R466" s="298">
        <f>IF(select!$A$778=IF(Scharniere[[#This Row],[mit Dämpfung]]=1,1,IF(Scharniere[[#This Row],[ohne Dämpfung]]=1,2,IF(Scharniere[[#This Row],[ohne Feder]]=1,3,0))),1,0)</f>
        <v>0</v>
      </c>
      <c r="S466" s="298">
        <f>IF(Scharniere[[#This Row],[Bohrbild]]=select!$A$755,1,0)</f>
        <v>0</v>
      </c>
      <c r="T466" s="298">
        <f>IF(IF(Scharniere[[#This Row],[Anschrauben]]=1,1,IF(Scharniere[[#This Row],[Einpressen]]=1,2,IF(Scharniere[[#This Row],[Quick]]=1,3,IF(Scharniere[[#This Row],[Werkzeuglos]]=1,4,0))))=select!$A$769,1,0)</f>
        <v>0</v>
      </c>
      <c r="U4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6" s="359">
        <f>IF(AND(Scharniere[[#This Row],[Scharnierart]]=4,Scharniere[[#This Row],[Gruppenschlüssel]]=select!$A$981)=TRUE,1,0)</f>
        <v>0</v>
      </c>
      <c r="W466" s="359">
        <f ca="1">IF(select!$O$1185&lt;6,1,0)</f>
        <v>1</v>
      </c>
      <c r="X466" s="359">
        <f>IF(select!$A$1012=IF(Scharniere[[#This Row],[mit Dämpfung]]=1,1,IF(Scharniere[[#This Row],[ohne Dämpfung]]=1,2,IF(Scharniere[[#This Row],[ohne Feder]]=1,3,0))),1,0)</f>
        <v>0</v>
      </c>
      <c r="Y466" s="359">
        <f>IF(Scharniere[[#This Row],[Bohrbild]]=select!$A$989,1,0)</f>
        <v>0</v>
      </c>
      <c r="Z466" s="359">
        <f>IF(IF(Scharniere[[#This Row],[Anschrauben]]=1,1,IF(Scharniere[[#This Row],[Einpressen]]=1,2,IF(Scharniere[[#This Row],[Quick]]=1,3,IF(Scharniere[[#This Row],[Werkzeuglos]]=1,4,0))))=select!$A$1003,1,0)</f>
        <v>0</v>
      </c>
      <c r="AA4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6" s="359">
        <f ca="1">IF(select!$K$980="*",Scharniere[[#This Row],[AG Ges2]],Scharniere[[#This Row],[AG Ges1]])</f>
        <v>0</v>
      </c>
      <c r="AE466" s="451">
        <f ca="1">IF(AND(Scharniere[[#This Row],[Scharnierart]]=select!$A$1485,Scharniere[[#This Row],[Gruppenschlüssel]]=select!$B$1485)=TRUE,1,0)</f>
        <v>0</v>
      </c>
      <c r="AF466" s="451">
        <f ca="1">IF(AND(Scharniere[[#This Row],[Scharnierart]]=select!$A$1486,Scharniere[[#This Row],[Gruppenschlüssel]]=select!$B$1486)=TRUE,1,0)</f>
        <v>0</v>
      </c>
      <c r="AG466" s="451">
        <f ca="1">IF(AND(Scharniere[[#This Row],[Scharnierart]]=select!$A$1487,Scharniere[[#This Row],[Gruppenschlüssel]]=select!$B$1487)=TRUE,1,0)</f>
        <v>0</v>
      </c>
      <c r="AH466" s="451">
        <f ca="1">IF(AND(Scharniere[[#This Row],[Scharnierart]]=select!$A$1488,Scharniere[[#This Row],[Gruppenschlüssel]]=select!$B$1488)=TRUE,1,0)</f>
        <v>0</v>
      </c>
      <c r="AI466" s="451">
        <f ca="1">IF(SUM(Scharniere[[#This Row],[konf Scharnier 1]:[konf Scharnier 4]])&gt;0,1,0)</f>
        <v>0</v>
      </c>
      <c r="AJ466" s="451"/>
      <c r="AK466" s="451"/>
      <c r="AL466" s="451"/>
      <c r="AM466" s="451"/>
      <c r="AN466" s="451"/>
      <c r="AO466" s="146">
        <v>1</v>
      </c>
      <c r="AP466" s="146">
        <v>3</v>
      </c>
      <c r="AQ466" s="10" t="str">
        <f ca="1">Sprache!$A$113</f>
        <v>Tiomos Scharnier TS Impresso</v>
      </c>
      <c r="AR466" t="s">
        <v>124</v>
      </c>
      <c r="AS466" t="str">
        <f ca="1">Sprache!$A$116</f>
        <v>Tiomos Impresso Scharniere</v>
      </c>
      <c r="AT466">
        <v>3</v>
      </c>
      <c r="AU466" s="34" t="s">
        <v>10</v>
      </c>
      <c r="AV466">
        <v>160</v>
      </c>
      <c r="AW466" s="10">
        <v>1</v>
      </c>
      <c r="AX466">
        <v>0</v>
      </c>
      <c r="AY466">
        <v>0</v>
      </c>
      <c r="AZ466" s="10">
        <v>0</v>
      </c>
      <c r="BA466">
        <v>0</v>
      </c>
      <c r="BB466">
        <v>0</v>
      </c>
      <c r="BC466">
        <v>1</v>
      </c>
      <c r="BD466" s="143" t="s">
        <v>123</v>
      </c>
      <c r="BG466"/>
    </row>
    <row r="467" spans="1:59" ht="14.25" customHeight="1" x14ac:dyDescent="0.25">
      <c r="A467" s="37" t="str">
        <f>LEFT(Scharniere[[#This Row],[ArtikelNR]],4)</f>
        <v>F017</v>
      </c>
      <c r="B467" s="35" t="str">
        <f>MID(Scharniere[[#This Row],[ArtikelNR]],5,3)</f>
        <v>139</v>
      </c>
      <c r="C467" s="37" t="str">
        <f>RIGHT(Scharniere[[#This Row],[ArtikelNR]],3)</f>
        <v>521</v>
      </c>
      <c r="D467" s="35">
        <f>IF(AND(Scharniere[[#This Row],[Gruppenschlüssel]]=select!$A$44,Scharniere[[#This Row],[Scharnierart]]=1)=TRUE,1,0)</f>
        <v>0</v>
      </c>
      <c r="E4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7" s="35">
        <f>IF(select!$F$57=IF(Scharniere[[#This Row],[mit Dämpfung]]=1,1,IF(Scharniere[[#This Row],[ohne Dämpfung]]=1,2,IF(Scharniere[[#This Row],[ohne Feder]]=1,3,0))),1,0)</f>
        <v>0</v>
      </c>
      <c r="G467" s="35">
        <f>IF(Scharniere[[#This Row],[Bohrbild]]=select!$V$43,1,0)</f>
        <v>0</v>
      </c>
      <c r="H467" s="35">
        <f>IF(IF(Scharniere[[#This Row],[Anschrauben]]=1,1,IF(Scharniere[[#This Row],[Einpressen]]=1,2,IF(Scharniere[[#This Row],[Quick]]=1,3,IF(Scharniere[[#This Row],[Werkzeuglos]]=1,4,0))))=select!$F$48,1,0)</f>
        <v>0</v>
      </c>
      <c r="I4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7" s="149">
        <f>IF(AND(Scharniere[[#This Row],[Scharnierart]]=2,Scharniere[[#This Row],[Gruppenschlüssel]]=select!$A$318)=TRUE,1,0)</f>
        <v>0</v>
      </c>
      <c r="K467" s="221">
        <f ca="1">IF(select!$O$424&lt;6,1,0)</f>
        <v>1</v>
      </c>
      <c r="L467" s="139">
        <f>IF(select!$A$362=IF(Scharniere[[#This Row],[mit Dämpfung]]=1,1,IF(Scharniere[[#This Row],[ohne Dämpfung]]=1,2,IF(Scharniere[[#This Row],[ohne Feder]]=1,3,0))),1,0)</f>
        <v>1</v>
      </c>
      <c r="M467" s="135">
        <f>IF(Scharniere[[#This Row],[Bohrbild]]=select!$O$334,1,0)</f>
        <v>0</v>
      </c>
      <c r="N467" s="135">
        <f>IF(IF(Scharniere[[#This Row],[Anschrauben]]=1,1,IF(Scharniere[[#This Row],[Einpressen]]=1,2,IF(Scharniere[[#This Row],[Quick]]=1,3,IF(Scharniere[[#This Row],[Werkzeuglos]]=1,4,0))))=select!$E$362,1,0)</f>
        <v>0</v>
      </c>
      <c r="O4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7" s="298">
        <f>IF(AND(Scharniere[[#This Row],[Scharnierart]]=3,Scharniere[[#This Row],[Gruppenschlüssel]]=select!$A$747)=TRUE,1,0)</f>
        <v>0</v>
      </c>
      <c r="Q467" s="298">
        <f ca="1">IF(select!$O$945&lt;6,1,0)</f>
        <v>1</v>
      </c>
      <c r="R467" s="298">
        <f>IF(select!$A$778=IF(Scharniere[[#This Row],[mit Dämpfung]]=1,1,IF(Scharniere[[#This Row],[ohne Dämpfung]]=1,2,IF(Scharniere[[#This Row],[ohne Feder]]=1,3,0))),1,0)</f>
        <v>0</v>
      </c>
      <c r="S467" s="298">
        <f>IF(Scharniere[[#This Row],[Bohrbild]]=select!$A$755,1,0)</f>
        <v>0</v>
      </c>
      <c r="T467" s="298">
        <f>IF(IF(Scharniere[[#This Row],[Anschrauben]]=1,1,IF(Scharniere[[#This Row],[Einpressen]]=1,2,IF(Scharniere[[#This Row],[Quick]]=1,3,IF(Scharniere[[#This Row],[Werkzeuglos]]=1,4,0))))=select!$A$769,1,0)</f>
        <v>0</v>
      </c>
      <c r="U4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7" s="359">
        <f>IF(AND(Scharniere[[#This Row],[Scharnierart]]=4,Scharniere[[#This Row],[Gruppenschlüssel]]=select!$A$981)=TRUE,1,0)</f>
        <v>0</v>
      </c>
      <c r="W467" s="359">
        <f ca="1">IF(select!$O$1185&lt;6,1,0)</f>
        <v>1</v>
      </c>
      <c r="X467" s="359">
        <f>IF(select!$A$1012=IF(Scharniere[[#This Row],[mit Dämpfung]]=1,1,IF(Scharniere[[#This Row],[ohne Dämpfung]]=1,2,IF(Scharniere[[#This Row],[ohne Feder]]=1,3,0))),1,0)</f>
        <v>0</v>
      </c>
      <c r="Y467" s="359">
        <f>IF(Scharniere[[#This Row],[Bohrbild]]=select!$A$989,1,0)</f>
        <v>0</v>
      </c>
      <c r="Z467" s="359">
        <f>IF(IF(Scharniere[[#This Row],[Anschrauben]]=1,1,IF(Scharniere[[#This Row],[Einpressen]]=1,2,IF(Scharniere[[#This Row],[Quick]]=1,3,IF(Scharniere[[#This Row],[Werkzeuglos]]=1,4,0))))=select!$A$1003,1,0)</f>
        <v>0</v>
      </c>
      <c r="AA4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7" s="359">
        <f ca="1">IF(select!$K$980="*",Scharniere[[#This Row],[AG Ges2]],Scharniere[[#This Row],[AG Ges1]])</f>
        <v>0</v>
      </c>
      <c r="AE467" s="451">
        <f ca="1">IF(AND(Scharniere[[#This Row],[Scharnierart]]=select!$A$1485,Scharniere[[#This Row],[Gruppenschlüssel]]=select!$B$1485)=TRUE,1,0)</f>
        <v>0</v>
      </c>
      <c r="AF467" s="451">
        <f ca="1">IF(AND(Scharniere[[#This Row],[Scharnierart]]=select!$A$1486,Scharniere[[#This Row],[Gruppenschlüssel]]=select!$B$1486)=TRUE,1,0)</f>
        <v>0</v>
      </c>
      <c r="AG467" s="451">
        <f ca="1">IF(AND(Scharniere[[#This Row],[Scharnierart]]=select!$A$1487,Scharniere[[#This Row],[Gruppenschlüssel]]=select!$B$1487)=TRUE,1,0)</f>
        <v>0</v>
      </c>
      <c r="AH467" s="451">
        <f ca="1">IF(AND(Scharniere[[#This Row],[Scharnierart]]=select!$A$1488,Scharniere[[#This Row],[Gruppenschlüssel]]=select!$B$1488)=TRUE,1,0)</f>
        <v>0</v>
      </c>
      <c r="AI467" s="451">
        <f ca="1">IF(SUM(Scharniere[[#This Row],[konf Scharnier 1]:[konf Scharnier 4]])&gt;0,1,0)</f>
        <v>0</v>
      </c>
      <c r="AJ467" s="451"/>
      <c r="AK467" s="451"/>
      <c r="AL467" s="451"/>
      <c r="AM467" s="451"/>
      <c r="AN467" s="451"/>
      <c r="AO467" s="146">
        <v>1</v>
      </c>
      <c r="AP467" s="146">
        <v>3</v>
      </c>
      <c r="AQ467" s="10" t="str">
        <f ca="1">Sprache!$A$113</f>
        <v>Tiomos Scharnier TS Impresso</v>
      </c>
      <c r="AR467" t="s">
        <v>124</v>
      </c>
      <c r="AS467" t="str">
        <f ca="1">Sprache!$A$116</f>
        <v>Tiomos Impresso Scharniere</v>
      </c>
      <c r="AT467">
        <v>3</v>
      </c>
      <c r="AU467" s="10" t="s">
        <v>11</v>
      </c>
      <c r="AV467">
        <v>160</v>
      </c>
      <c r="AW467" s="10">
        <v>1</v>
      </c>
      <c r="AX467">
        <v>0</v>
      </c>
      <c r="AY467">
        <v>0</v>
      </c>
      <c r="AZ467" s="10">
        <v>0</v>
      </c>
      <c r="BA467">
        <v>0</v>
      </c>
      <c r="BB467">
        <v>0</v>
      </c>
      <c r="BC467">
        <v>1</v>
      </c>
      <c r="BD467" s="143" t="s">
        <v>123</v>
      </c>
      <c r="BG467"/>
    </row>
    <row r="468" spans="1:59" ht="14.25" customHeight="1" x14ac:dyDescent="0.25">
      <c r="A468" s="37" t="str">
        <f>LEFT(Scharniere[[#This Row],[ArtikelNR]],4)</f>
        <v>F035</v>
      </c>
      <c r="B468" s="35" t="str">
        <f>MID(Scharniere[[#This Row],[ArtikelNR]],5,3)</f>
        <v>139</v>
      </c>
      <c r="C468" s="37" t="str">
        <f>RIGHT(Scharniere[[#This Row],[ArtikelNR]],3)</f>
        <v>549</v>
      </c>
      <c r="D468" s="35">
        <f>IF(AND(Scharniere[[#This Row],[Gruppenschlüssel]]=select!$A$44,Scharniere[[#This Row],[Scharnierart]]=1)=TRUE,1,0)</f>
        <v>0</v>
      </c>
      <c r="E4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8" s="35">
        <f>IF(select!$F$57=IF(Scharniere[[#This Row],[mit Dämpfung]]=1,1,IF(Scharniere[[#This Row],[ohne Dämpfung]]=1,2,IF(Scharniere[[#This Row],[ohne Feder]]=1,3,0))),1,0)</f>
        <v>1</v>
      </c>
      <c r="G468" s="35">
        <f>IF(Scharniere[[#This Row],[Bohrbild]]=select!$V$43,1,0)</f>
        <v>0</v>
      </c>
      <c r="H468" s="35">
        <f>IF(IF(Scharniere[[#This Row],[Anschrauben]]=1,1,IF(Scharniere[[#This Row],[Einpressen]]=1,2,IF(Scharniere[[#This Row],[Quick]]=1,3,IF(Scharniere[[#This Row],[Werkzeuglos]]=1,4,0))))=select!$F$48,1,0)</f>
        <v>0</v>
      </c>
      <c r="I4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8" s="149">
        <f>IF(AND(Scharniere[[#This Row],[Scharnierart]]=2,Scharniere[[#This Row],[Gruppenschlüssel]]=select!$A$318)=TRUE,1,0)</f>
        <v>0</v>
      </c>
      <c r="K468" s="221">
        <f ca="1">IF(select!$O$424&lt;6,1,0)</f>
        <v>1</v>
      </c>
      <c r="L468" s="139">
        <f>IF(select!$A$362=IF(Scharniere[[#This Row],[mit Dämpfung]]=1,1,IF(Scharniere[[#This Row],[ohne Dämpfung]]=1,2,IF(Scharniere[[#This Row],[ohne Feder]]=1,3,0))),1,0)</f>
        <v>0</v>
      </c>
      <c r="M468" s="135">
        <f>IF(Scharniere[[#This Row],[Bohrbild]]=select!$O$334,1,0)</f>
        <v>0</v>
      </c>
      <c r="N468" s="135">
        <f>IF(IF(Scharniere[[#This Row],[Anschrauben]]=1,1,IF(Scharniere[[#This Row],[Einpressen]]=1,2,IF(Scharniere[[#This Row],[Quick]]=1,3,IF(Scharniere[[#This Row],[Werkzeuglos]]=1,4,0))))=select!$E$362,1,0)</f>
        <v>0</v>
      </c>
      <c r="O4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8" s="298">
        <f>IF(AND(Scharniere[[#This Row],[Scharnierart]]=3,Scharniere[[#This Row],[Gruppenschlüssel]]=select!$A$747)=TRUE,1,0)</f>
        <v>0</v>
      </c>
      <c r="Q468" s="298">
        <f ca="1">IF(select!$O$945&lt;6,1,0)</f>
        <v>1</v>
      </c>
      <c r="R468" s="298">
        <f>IF(select!$A$778=IF(Scharniere[[#This Row],[mit Dämpfung]]=1,1,IF(Scharniere[[#This Row],[ohne Dämpfung]]=1,2,IF(Scharniere[[#This Row],[ohne Feder]]=1,3,0))),1,0)</f>
        <v>0</v>
      </c>
      <c r="S468" s="298">
        <f>IF(Scharniere[[#This Row],[Bohrbild]]=select!$A$755,1,0)</f>
        <v>0</v>
      </c>
      <c r="T468" s="298">
        <f>IF(IF(Scharniere[[#This Row],[Anschrauben]]=1,1,IF(Scharniere[[#This Row],[Einpressen]]=1,2,IF(Scharniere[[#This Row],[Quick]]=1,3,IF(Scharniere[[#This Row],[Werkzeuglos]]=1,4,0))))=select!$A$769,1,0)</f>
        <v>0</v>
      </c>
      <c r="U4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8" s="359">
        <f>IF(AND(Scharniere[[#This Row],[Scharnierart]]=4,Scharniere[[#This Row],[Gruppenschlüssel]]=select!$A$981)=TRUE,1,0)</f>
        <v>0</v>
      </c>
      <c r="W468" s="359">
        <f ca="1">IF(select!$O$1185&lt;6,1,0)</f>
        <v>1</v>
      </c>
      <c r="X468" s="359">
        <f>IF(select!$A$1012=IF(Scharniere[[#This Row],[mit Dämpfung]]=1,1,IF(Scharniere[[#This Row],[ohne Dämpfung]]=1,2,IF(Scharniere[[#This Row],[ohne Feder]]=1,3,0))),1,0)</f>
        <v>0</v>
      </c>
      <c r="Y468" s="359">
        <f>IF(Scharniere[[#This Row],[Bohrbild]]=select!$A$989,1,0)</f>
        <v>0</v>
      </c>
      <c r="Z468" s="359">
        <f>IF(IF(Scharniere[[#This Row],[Anschrauben]]=1,1,IF(Scharniere[[#This Row],[Einpressen]]=1,2,IF(Scharniere[[#This Row],[Quick]]=1,3,IF(Scharniere[[#This Row],[Werkzeuglos]]=1,4,0))))=select!$A$1003,1,0)</f>
        <v>0</v>
      </c>
      <c r="AA4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8" s="359">
        <f ca="1">IF(select!$K$980="*",Scharniere[[#This Row],[AG Ges2]],Scharniere[[#This Row],[AG Ges1]])</f>
        <v>0</v>
      </c>
      <c r="AE468" s="451">
        <f ca="1">IF(AND(Scharniere[[#This Row],[Scharnierart]]=select!$A$1485,Scharniere[[#This Row],[Gruppenschlüssel]]=select!$B$1485)=TRUE,1,0)</f>
        <v>0</v>
      </c>
      <c r="AF468" s="451">
        <f ca="1">IF(AND(Scharniere[[#This Row],[Scharnierart]]=select!$A$1486,Scharniere[[#This Row],[Gruppenschlüssel]]=select!$B$1486)=TRUE,1,0)</f>
        <v>0</v>
      </c>
      <c r="AG468" s="451">
        <f ca="1">IF(AND(Scharniere[[#This Row],[Scharnierart]]=select!$A$1487,Scharniere[[#This Row],[Gruppenschlüssel]]=select!$B$1487)=TRUE,1,0)</f>
        <v>0</v>
      </c>
      <c r="AH468" s="451">
        <f ca="1">IF(AND(Scharniere[[#This Row],[Scharnierart]]=select!$A$1488,Scharniere[[#This Row],[Gruppenschlüssel]]=select!$B$1488)=TRUE,1,0)</f>
        <v>0</v>
      </c>
      <c r="AI468" s="451">
        <f ca="1">IF(SUM(Scharniere[[#This Row],[konf Scharnier 1]:[konf Scharnier 4]])&gt;0,1,0)</f>
        <v>0</v>
      </c>
      <c r="AJ468" s="451"/>
      <c r="AK468" s="451"/>
      <c r="AL468" s="451"/>
      <c r="AM468" s="451"/>
      <c r="AN468" s="451"/>
      <c r="AO468" s="146">
        <v>1</v>
      </c>
      <c r="AP468" s="146">
        <v>3</v>
      </c>
      <c r="AQ468" s="10" t="str">
        <f ca="1">Sprache!$A$115</f>
        <v>Tiomos Scharnier TT Impresso</v>
      </c>
      <c r="AR468" t="s">
        <v>124</v>
      </c>
      <c r="AS468" t="str">
        <f ca="1">Sprache!$A$116</f>
        <v>Tiomos Impresso Scharniere</v>
      </c>
      <c r="AT468">
        <v>3</v>
      </c>
      <c r="AU468" s="34" t="s">
        <v>10</v>
      </c>
      <c r="AV468">
        <v>160</v>
      </c>
      <c r="AW468" s="10">
        <v>0</v>
      </c>
      <c r="AX468">
        <v>0</v>
      </c>
      <c r="AY468">
        <v>1</v>
      </c>
      <c r="AZ468" s="10">
        <v>0</v>
      </c>
      <c r="BA468">
        <v>0</v>
      </c>
      <c r="BB468">
        <v>0</v>
      </c>
      <c r="BC468">
        <v>1</v>
      </c>
      <c r="BD468" s="143" t="s">
        <v>217</v>
      </c>
      <c r="BG468"/>
    </row>
    <row r="469" spans="1:59" ht="14.25" customHeight="1" x14ac:dyDescent="0.25">
      <c r="A469" s="37" t="str">
        <f>LEFT(Scharniere[[#This Row],[ArtikelNR]],4)</f>
        <v>F035</v>
      </c>
      <c r="B469" s="35" t="str">
        <f>MID(Scharniere[[#This Row],[ArtikelNR]],5,3)</f>
        <v>139</v>
      </c>
      <c r="C469" s="37" t="str">
        <f>RIGHT(Scharniere[[#This Row],[ArtikelNR]],3)</f>
        <v>549</v>
      </c>
      <c r="D469" s="35">
        <f>IF(AND(Scharniere[[#This Row],[Gruppenschlüssel]]=select!$A$44,Scharniere[[#This Row],[Scharnierart]]=1)=TRUE,1,0)</f>
        <v>0</v>
      </c>
      <c r="E4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69" s="35">
        <f>IF(select!$F$57=IF(Scharniere[[#This Row],[mit Dämpfung]]=1,1,IF(Scharniere[[#This Row],[ohne Dämpfung]]=1,2,IF(Scharniere[[#This Row],[ohne Feder]]=1,3,0))),1,0)</f>
        <v>1</v>
      </c>
      <c r="G469" s="35">
        <f>IF(Scharniere[[#This Row],[Bohrbild]]=select!$V$43,1,0)</f>
        <v>0</v>
      </c>
      <c r="H469" s="35">
        <f>IF(IF(Scharniere[[#This Row],[Anschrauben]]=1,1,IF(Scharniere[[#This Row],[Einpressen]]=1,2,IF(Scharniere[[#This Row],[Quick]]=1,3,IF(Scharniere[[#This Row],[Werkzeuglos]]=1,4,0))))=select!$F$48,1,0)</f>
        <v>0</v>
      </c>
      <c r="I4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69" s="149">
        <f>IF(AND(Scharniere[[#This Row],[Scharnierart]]=2,Scharniere[[#This Row],[Gruppenschlüssel]]=select!$A$318)=TRUE,1,0)</f>
        <v>0</v>
      </c>
      <c r="K469" s="221">
        <f ca="1">IF(select!$O$424&lt;6,1,0)</f>
        <v>1</v>
      </c>
      <c r="L469" s="139">
        <f>IF(select!$A$362=IF(Scharniere[[#This Row],[mit Dämpfung]]=1,1,IF(Scharniere[[#This Row],[ohne Dämpfung]]=1,2,IF(Scharniere[[#This Row],[ohne Feder]]=1,3,0))),1,0)</f>
        <v>0</v>
      </c>
      <c r="M469" s="135">
        <f>IF(Scharniere[[#This Row],[Bohrbild]]=select!$O$334,1,0)</f>
        <v>0</v>
      </c>
      <c r="N469" s="135">
        <f>IF(IF(Scharniere[[#This Row],[Anschrauben]]=1,1,IF(Scharniere[[#This Row],[Einpressen]]=1,2,IF(Scharniere[[#This Row],[Quick]]=1,3,IF(Scharniere[[#This Row],[Werkzeuglos]]=1,4,0))))=select!$E$362,1,0)</f>
        <v>0</v>
      </c>
      <c r="O4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69" s="298">
        <f>IF(AND(Scharniere[[#This Row],[Scharnierart]]=3,Scharniere[[#This Row],[Gruppenschlüssel]]=select!$A$747)=TRUE,1,0)</f>
        <v>0</v>
      </c>
      <c r="Q469" s="298">
        <f ca="1">IF(select!$O$945&lt;6,1,0)</f>
        <v>1</v>
      </c>
      <c r="R469" s="298">
        <f>IF(select!$A$778=IF(Scharniere[[#This Row],[mit Dämpfung]]=1,1,IF(Scharniere[[#This Row],[ohne Dämpfung]]=1,2,IF(Scharniere[[#This Row],[ohne Feder]]=1,3,0))),1,0)</f>
        <v>0</v>
      </c>
      <c r="S469" s="298">
        <f>IF(Scharniere[[#This Row],[Bohrbild]]=select!$A$755,1,0)</f>
        <v>0</v>
      </c>
      <c r="T469" s="298">
        <f>IF(IF(Scharniere[[#This Row],[Anschrauben]]=1,1,IF(Scharniere[[#This Row],[Einpressen]]=1,2,IF(Scharniere[[#This Row],[Quick]]=1,3,IF(Scharniere[[#This Row],[Werkzeuglos]]=1,4,0))))=select!$A$769,1,0)</f>
        <v>0</v>
      </c>
      <c r="U4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69" s="359">
        <f>IF(AND(Scharniere[[#This Row],[Scharnierart]]=4,Scharniere[[#This Row],[Gruppenschlüssel]]=select!$A$981)=TRUE,1,0)</f>
        <v>0</v>
      </c>
      <c r="W469" s="359">
        <f ca="1">IF(select!$O$1185&lt;6,1,0)</f>
        <v>1</v>
      </c>
      <c r="X469" s="359">
        <f>IF(select!$A$1012=IF(Scharniere[[#This Row],[mit Dämpfung]]=1,1,IF(Scharniere[[#This Row],[ohne Dämpfung]]=1,2,IF(Scharniere[[#This Row],[ohne Feder]]=1,3,0))),1,0)</f>
        <v>0</v>
      </c>
      <c r="Y469" s="359">
        <f>IF(Scharniere[[#This Row],[Bohrbild]]=select!$A$989,1,0)</f>
        <v>0</v>
      </c>
      <c r="Z469" s="359">
        <f>IF(IF(Scharniere[[#This Row],[Anschrauben]]=1,1,IF(Scharniere[[#This Row],[Einpressen]]=1,2,IF(Scharniere[[#This Row],[Quick]]=1,3,IF(Scharniere[[#This Row],[Werkzeuglos]]=1,4,0))))=select!$A$1003,1,0)</f>
        <v>0</v>
      </c>
      <c r="AA4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69" s="359">
        <f ca="1">IF(select!$K$980="*",Scharniere[[#This Row],[AG Ges2]],Scharniere[[#This Row],[AG Ges1]])</f>
        <v>0</v>
      </c>
      <c r="AE469" s="451">
        <f ca="1">IF(AND(Scharniere[[#This Row],[Scharnierart]]=select!$A$1485,Scharniere[[#This Row],[Gruppenschlüssel]]=select!$B$1485)=TRUE,1,0)</f>
        <v>0</v>
      </c>
      <c r="AF469" s="451">
        <f ca="1">IF(AND(Scharniere[[#This Row],[Scharnierart]]=select!$A$1486,Scharniere[[#This Row],[Gruppenschlüssel]]=select!$B$1486)=TRUE,1,0)</f>
        <v>0</v>
      </c>
      <c r="AG469" s="451">
        <f ca="1">IF(AND(Scharniere[[#This Row],[Scharnierart]]=select!$A$1487,Scharniere[[#This Row],[Gruppenschlüssel]]=select!$B$1487)=TRUE,1,0)</f>
        <v>0</v>
      </c>
      <c r="AH469" s="451">
        <f ca="1">IF(AND(Scharniere[[#This Row],[Scharnierart]]=select!$A$1488,Scharniere[[#This Row],[Gruppenschlüssel]]=select!$B$1488)=TRUE,1,0)</f>
        <v>0</v>
      </c>
      <c r="AI469" s="451">
        <f ca="1">IF(SUM(Scharniere[[#This Row],[konf Scharnier 1]:[konf Scharnier 4]])&gt;0,1,0)</f>
        <v>0</v>
      </c>
      <c r="AJ469" s="451"/>
      <c r="AK469" s="451"/>
      <c r="AL469" s="451"/>
      <c r="AM469" s="451"/>
      <c r="AN469" s="451"/>
      <c r="AO469" s="146">
        <v>1</v>
      </c>
      <c r="AP469" s="146">
        <v>3</v>
      </c>
      <c r="AQ469" s="10" t="str">
        <f ca="1">Sprache!$A$115</f>
        <v>Tiomos Scharnier TT Impresso</v>
      </c>
      <c r="AR469" t="s">
        <v>124</v>
      </c>
      <c r="AS469" t="str">
        <f ca="1">Sprache!$A$116</f>
        <v>Tiomos Impresso Scharniere</v>
      </c>
      <c r="AT469">
        <v>3</v>
      </c>
      <c r="AU469" s="34" t="s">
        <v>11</v>
      </c>
      <c r="AV469">
        <v>160</v>
      </c>
      <c r="AW469" s="10">
        <v>0</v>
      </c>
      <c r="AX469">
        <v>0</v>
      </c>
      <c r="AY469">
        <v>1</v>
      </c>
      <c r="AZ469" s="10">
        <v>0</v>
      </c>
      <c r="BA469">
        <v>0</v>
      </c>
      <c r="BB469">
        <v>0</v>
      </c>
      <c r="BC469">
        <v>1</v>
      </c>
      <c r="BD469" s="143" t="s">
        <v>217</v>
      </c>
      <c r="BG469"/>
    </row>
    <row r="470" spans="1:59" ht="14.25" customHeight="1" x14ac:dyDescent="0.25">
      <c r="A470" s="37" t="str">
        <f>LEFT(Scharniere[[#This Row],[ArtikelNR]],4)</f>
        <v>F045</v>
      </c>
      <c r="B470" s="35" t="str">
        <f>MID(Scharniere[[#This Row],[ArtikelNR]],5,3)</f>
        <v>138</v>
      </c>
      <c r="C470" s="37" t="str">
        <f>RIGHT(Scharniere[[#This Row],[ArtikelNR]],3)</f>
        <v>046</v>
      </c>
      <c r="D470" s="35">
        <f>IF(AND(Scharniere[[#This Row],[Gruppenschlüssel]]=select!$A$44,Scharniere[[#This Row],[Scharnierart]]=1)=TRUE,1,0)</f>
        <v>0</v>
      </c>
      <c r="E4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0" s="35">
        <f>IF(select!$F$57=IF(Scharniere[[#This Row],[mit Dämpfung]]=1,1,IF(Scharniere[[#This Row],[ohne Dämpfung]]=1,2,IF(Scharniere[[#This Row],[ohne Feder]]=1,3,0))),1,0)</f>
        <v>0</v>
      </c>
      <c r="G470" s="35">
        <f>IF(Scharniere[[#This Row],[Bohrbild]]=select!$V$43,1,0)</f>
        <v>1</v>
      </c>
      <c r="H470" s="35">
        <f>IF(IF(Scharniere[[#This Row],[Anschrauben]]=1,1,IF(Scharniere[[#This Row],[Einpressen]]=1,2,IF(Scharniere[[#This Row],[Quick]]=1,3,IF(Scharniere[[#This Row],[Werkzeuglos]]=1,4,0))))=select!$F$48,1,0)</f>
        <v>1</v>
      </c>
      <c r="I4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0" s="149">
        <f>IF(AND(Scharniere[[#This Row],[Scharnierart]]=2,Scharniere[[#This Row],[Gruppenschlüssel]]=select!$A$318)=TRUE,1,0)</f>
        <v>0</v>
      </c>
      <c r="K470" s="221">
        <f ca="1">IF(select!$O$424&lt;6,1,0)</f>
        <v>1</v>
      </c>
      <c r="L470" s="139">
        <f>IF(select!$A$362=IF(Scharniere[[#This Row],[mit Dämpfung]]=1,1,IF(Scharniere[[#This Row],[ohne Dämpfung]]=1,2,IF(Scharniere[[#This Row],[ohne Feder]]=1,3,0))),1,0)</f>
        <v>0</v>
      </c>
      <c r="M470" s="135">
        <f>IF(Scharniere[[#This Row],[Bohrbild]]=select!$O$334,1,0)</f>
        <v>1</v>
      </c>
      <c r="N470" s="135">
        <f>IF(IF(Scharniere[[#This Row],[Anschrauben]]=1,1,IF(Scharniere[[#This Row],[Einpressen]]=1,2,IF(Scharniere[[#This Row],[Quick]]=1,3,IF(Scharniere[[#This Row],[Werkzeuglos]]=1,4,0))))=select!$E$362,1,0)</f>
        <v>0</v>
      </c>
      <c r="O4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0" s="298">
        <f>IF(AND(Scharniere[[#This Row],[Scharnierart]]=3,Scharniere[[#This Row],[Gruppenschlüssel]]=select!$A$747)=TRUE,1,0)</f>
        <v>0</v>
      </c>
      <c r="Q470" s="298">
        <f ca="1">IF(select!$O$945&lt;6,1,0)</f>
        <v>1</v>
      </c>
      <c r="R470" s="298">
        <f>IF(select!$A$778=IF(Scharniere[[#This Row],[mit Dämpfung]]=1,1,IF(Scharniere[[#This Row],[ohne Dämpfung]]=1,2,IF(Scharniere[[#This Row],[ohne Feder]]=1,3,0))),1,0)</f>
        <v>1</v>
      </c>
      <c r="S470" s="298">
        <f>IF(Scharniere[[#This Row],[Bohrbild]]=select!$A$755,1,0)</f>
        <v>0</v>
      </c>
      <c r="T470" s="298">
        <f>IF(IF(Scharniere[[#This Row],[Anschrauben]]=1,1,IF(Scharniere[[#This Row],[Einpressen]]=1,2,IF(Scharniere[[#This Row],[Quick]]=1,3,IF(Scharniere[[#This Row],[Werkzeuglos]]=1,4,0))))=select!$A$769,1,0)</f>
        <v>0</v>
      </c>
      <c r="U4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0" s="359">
        <f>IF(AND(Scharniere[[#This Row],[Scharnierart]]=4,Scharniere[[#This Row],[Gruppenschlüssel]]=select!$A$981)=TRUE,1,0)</f>
        <v>0</v>
      </c>
      <c r="W470" s="359">
        <f ca="1">IF(select!$O$1185&lt;6,1,0)</f>
        <v>1</v>
      </c>
      <c r="X470" s="359">
        <f>IF(select!$A$1012=IF(Scharniere[[#This Row],[mit Dämpfung]]=1,1,IF(Scharniere[[#This Row],[ohne Dämpfung]]=1,2,IF(Scharniere[[#This Row],[ohne Feder]]=1,3,0))),1,0)</f>
        <v>1</v>
      </c>
      <c r="Y470" s="359">
        <f>IF(Scharniere[[#This Row],[Bohrbild]]=select!$A$989,1,0)</f>
        <v>0</v>
      </c>
      <c r="Z470" s="359">
        <f>IF(IF(Scharniere[[#This Row],[Anschrauben]]=1,1,IF(Scharniere[[#This Row],[Einpressen]]=1,2,IF(Scharniere[[#This Row],[Quick]]=1,3,IF(Scharniere[[#This Row],[Werkzeuglos]]=1,4,0))))=select!$A$1003,1,0)</f>
        <v>0</v>
      </c>
      <c r="AA4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0" s="359">
        <f ca="1">IF(select!$K$980="*",Scharniere[[#This Row],[AG Ges2]],Scharniere[[#This Row],[AG Ges1]])</f>
        <v>0</v>
      </c>
      <c r="AE470" s="451">
        <f ca="1">IF(AND(Scharniere[[#This Row],[Scharnierart]]=select!$A$1485,Scharniere[[#This Row],[Gruppenschlüssel]]=select!$B$1485)=TRUE,1,0)</f>
        <v>0</v>
      </c>
      <c r="AF470" s="451">
        <f ca="1">IF(AND(Scharniere[[#This Row],[Scharnierart]]=select!$A$1486,Scharniere[[#This Row],[Gruppenschlüssel]]=select!$B$1486)=TRUE,1,0)</f>
        <v>0</v>
      </c>
      <c r="AG470" s="451">
        <f ca="1">IF(AND(Scharniere[[#This Row],[Scharnierart]]=select!$A$1487,Scharniere[[#This Row],[Gruppenschlüssel]]=select!$B$1487)=TRUE,1,0)</f>
        <v>0</v>
      </c>
      <c r="AH470" s="451">
        <f ca="1">IF(AND(Scharniere[[#This Row],[Scharnierart]]=select!$A$1488,Scharniere[[#This Row],[Gruppenschlüssel]]=select!$B$1488)=TRUE,1,0)</f>
        <v>0</v>
      </c>
      <c r="AI470" s="451">
        <f ca="1">IF(SUM(Scharniere[[#This Row],[konf Scharnier 1]:[konf Scharnier 4]])&gt;0,1,0)</f>
        <v>0</v>
      </c>
      <c r="AJ470" s="451"/>
      <c r="AK470" s="451"/>
      <c r="AL470" s="451"/>
      <c r="AM470" s="451"/>
      <c r="AN470" s="451"/>
      <c r="AO470" s="146">
        <v>1</v>
      </c>
      <c r="AP470" s="146">
        <v>3</v>
      </c>
      <c r="AQ470" s="10" t="str">
        <f ca="1">Sprache!$A$110</f>
        <v>Tiomos Scharnier T Click-on</v>
      </c>
      <c r="AR470" t="str">
        <f ca="1">"160°, M-BB, K03, "&amp;Sprache!A181&amp;", ni"</f>
        <v>160°, M-BB, K03, Dübel, ni</v>
      </c>
      <c r="AS470" t="str">
        <f ca="1">Sprache!$A$103</f>
        <v>Tiomos Click-On Scharniere</v>
      </c>
      <c r="AT470">
        <v>3</v>
      </c>
      <c r="AU470" t="s">
        <v>8</v>
      </c>
      <c r="AV470">
        <v>160</v>
      </c>
      <c r="AW470" s="10">
        <v>0</v>
      </c>
      <c r="AX470">
        <v>1</v>
      </c>
      <c r="AY470">
        <v>0</v>
      </c>
      <c r="AZ470" s="10">
        <v>0</v>
      </c>
      <c r="BA470">
        <v>1</v>
      </c>
      <c r="BB470">
        <v>0</v>
      </c>
      <c r="BC470">
        <v>0</v>
      </c>
      <c r="BD470" s="143" t="s">
        <v>447</v>
      </c>
      <c r="BG470"/>
    </row>
    <row r="471" spans="1:59" ht="14.25" customHeight="1" x14ac:dyDescent="0.25">
      <c r="A471" s="37" t="str">
        <f>LEFT(Scharniere[[#This Row],[ArtikelNR]],4)</f>
        <v>F028</v>
      </c>
      <c r="B471" s="35" t="str">
        <f>MID(Scharniere[[#This Row],[ArtikelNR]],5,3)</f>
        <v>138</v>
      </c>
      <c r="C471" s="37" t="str">
        <f>RIGHT(Scharniere[[#This Row],[ArtikelNR]],3)</f>
        <v>139</v>
      </c>
      <c r="D471" s="35">
        <f>IF(AND(Scharniere[[#This Row],[Gruppenschlüssel]]=select!$A$44,Scharniere[[#This Row],[Scharnierart]]=1)=TRUE,1,0)</f>
        <v>0</v>
      </c>
      <c r="E4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1" s="35">
        <f>IF(select!$F$57=IF(Scharniere[[#This Row],[mit Dämpfung]]=1,1,IF(Scharniere[[#This Row],[ohne Dämpfung]]=1,2,IF(Scharniere[[#This Row],[ohne Feder]]=1,3,0))),1,0)</f>
        <v>0</v>
      </c>
      <c r="G471" s="35">
        <f>IF(Scharniere[[#This Row],[Bohrbild]]=select!$V$43,1,0)</f>
        <v>1</v>
      </c>
      <c r="H471" s="35">
        <f>IF(IF(Scharniere[[#This Row],[Anschrauben]]=1,1,IF(Scharniere[[#This Row],[Einpressen]]=1,2,IF(Scharniere[[#This Row],[Quick]]=1,3,IF(Scharniere[[#This Row],[Werkzeuglos]]=1,4,0))))=select!$F$48,1,0)</f>
        <v>1</v>
      </c>
      <c r="I4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1" s="149">
        <f>IF(AND(Scharniere[[#This Row],[Scharnierart]]=2,Scharniere[[#This Row],[Gruppenschlüssel]]=select!$A$318)=TRUE,1,0)</f>
        <v>0</v>
      </c>
      <c r="K471" s="221">
        <f ca="1">IF(select!$O$424&lt;6,1,0)</f>
        <v>1</v>
      </c>
      <c r="L471" s="139">
        <f>IF(select!$A$362=IF(Scharniere[[#This Row],[mit Dämpfung]]=1,1,IF(Scharniere[[#This Row],[ohne Dämpfung]]=1,2,IF(Scharniere[[#This Row],[ohne Feder]]=1,3,0))),1,0)</f>
        <v>1</v>
      </c>
      <c r="M471" s="135">
        <f>IF(Scharniere[[#This Row],[Bohrbild]]=select!$O$334,1,0)</f>
        <v>1</v>
      </c>
      <c r="N471" s="135">
        <f>IF(IF(Scharniere[[#This Row],[Anschrauben]]=1,1,IF(Scharniere[[#This Row],[Einpressen]]=1,2,IF(Scharniere[[#This Row],[Quick]]=1,3,IF(Scharniere[[#This Row],[Werkzeuglos]]=1,4,0))))=select!$E$362,1,0)</f>
        <v>0</v>
      </c>
      <c r="O4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1" s="298">
        <f>IF(AND(Scharniere[[#This Row],[Scharnierart]]=3,Scharniere[[#This Row],[Gruppenschlüssel]]=select!$A$747)=TRUE,1,0)</f>
        <v>0</v>
      </c>
      <c r="Q471" s="298">
        <f ca="1">IF(select!$O$945&lt;6,1,0)</f>
        <v>1</v>
      </c>
      <c r="R471" s="298">
        <f>IF(select!$A$778=IF(Scharniere[[#This Row],[mit Dämpfung]]=1,1,IF(Scharniere[[#This Row],[ohne Dämpfung]]=1,2,IF(Scharniere[[#This Row],[ohne Feder]]=1,3,0))),1,0)</f>
        <v>0</v>
      </c>
      <c r="S471" s="298">
        <f>IF(Scharniere[[#This Row],[Bohrbild]]=select!$A$755,1,0)</f>
        <v>0</v>
      </c>
      <c r="T471" s="298">
        <f>IF(IF(Scharniere[[#This Row],[Anschrauben]]=1,1,IF(Scharniere[[#This Row],[Einpressen]]=1,2,IF(Scharniere[[#This Row],[Quick]]=1,3,IF(Scharniere[[#This Row],[Werkzeuglos]]=1,4,0))))=select!$A$769,1,0)</f>
        <v>0</v>
      </c>
      <c r="U4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1" s="359">
        <f>IF(AND(Scharniere[[#This Row],[Scharnierart]]=4,Scharniere[[#This Row],[Gruppenschlüssel]]=select!$A$981)=TRUE,1,0)</f>
        <v>0</v>
      </c>
      <c r="W471" s="359">
        <f ca="1">IF(select!$O$1185&lt;6,1,0)</f>
        <v>1</v>
      </c>
      <c r="X471" s="359">
        <f>IF(select!$A$1012=IF(Scharniere[[#This Row],[mit Dämpfung]]=1,1,IF(Scharniere[[#This Row],[ohne Dämpfung]]=1,2,IF(Scharniere[[#This Row],[ohne Feder]]=1,3,0))),1,0)</f>
        <v>0</v>
      </c>
      <c r="Y471" s="359">
        <f>IF(Scharniere[[#This Row],[Bohrbild]]=select!$A$989,1,0)</f>
        <v>0</v>
      </c>
      <c r="Z471" s="359">
        <f>IF(IF(Scharniere[[#This Row],[Anschrauben]]=1,1,IF(Scharniere[[#This Row],[Einpressen]]=1,2,IF(Scharniere[[#This Row],[Quick]]=1,3,IF(Scharniere[[#This Row],[Werkzeuglos]]=1,4,0))))=select!$A$1003,1,0)</f>
        <v>0</v>
      </c>
      <c r="AA4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1" s="359">
        <f ca="1">IF(select!$K$980="*",Scharniere[[#This Row],[AG Ges2]],Scharniere[[#This Row],[AG Ges1]])</f>
        <v>0</v>
      </c>
      <c r="AE471" s="451">
        <f ca="1">IF(AND(Scharniere[[#This Row],[Scharnierart]]=select!$A$1485,Scharniere[[#This Row],[Gruppenschlüssel]]=select!$B$1485)=TRUE,1,0)</f>
        <v>0</v>
      </c>
      <c r="AF471" s="451">
        <f ca="1">IF(AND(Scharniere[[#This Row],[Scharnierart]]=select!$A$1486,Scharniere[[#This Row],[Gruppenschlüssel]]=select!$B$1486)=TRUE,1,0)</f>
        <v>0</v>
      </c>
      <c r="AG471" s="451">
        <f ca="1">IF(AND(Scharniere[[#This Row],[Scharnierart]]=select!$A$1487,Scharniere[[#This Row],[Gruppenschlüssel]]=select!$B$1487)=TRUE,1,0)</f>
        <v>0</v>
      </c>
      <c r="AH471" s="451">
        <f ca="1">IF(AND(Scharniere[[#This Row],[Scharnierart]]=select!$A$1488,Scharniere[[#This Row],[Gruppenschlüssel]]=select!$B$1488)=TRUE,1,0)</f>
        <v>0</v>
      </c>
      <c r="AI471" s="451">
        <f ca="1">IF(SUM(Scharniere[[#This Row],[konf Scharnier 1]:[konf Scharnier 4]])&gt;0,1,0)</f>
        <v>0</v>
      </c>
      <c r="AJ471" s="451"/>
      <c r="AK471" s="451"/>
      <c r="AL471" s="451"/>
      <c r="AM471" s="451"/>
      <c r="AN471" s="451"/>
      <c r="AO471" s="146">
        <v>1</v>
      </c>
      <c r="AP471" s="146">
        <v>3</v>
      </c>
      <c r="AQ471" s="10" t="str">
        <f ca="1">Sprache!$A$112</f>
        <v>Tiomos Scharnier TS Click-on</v>
      </c>
      <c r="AR471" t="str">
        <f ca="1">"160°, M-BB, K03, "&amp;Sprache!A181&amp;", ni"</f>
        <v>160°, M-BB, K03, Dübel, ni</v>
      </c>
      <c r="AS471" t="str">
        <f ca="1">Sprache!$A$103</f>
        <v>Tiomos Click-On Scharniere</v>
      </c>
      <c r="AT471">
        <v>3</v>
      </c>
      <c r="AU471" s="34" t="s">
        <v>8</v>
      </c>
      <c r="AV471">
        <v>160</v>
      </c>
      <c r="AW471" s="10">
        <v>1</v>
      </c>
      <c r="AX471">
        <v>0</v>
      </c>
      <c r="AY471">
        <v>0</v>
      </c>
      <c r="AZ471" s="10">
        <v>0</v>
      </c>
      <c r="BA471">
        <v>1</v>
      </c>
      <c r="BB471">
        <v>0</v>
      </c>
      <c r="BC471">
        <v>0</v>
      </c>
      <c r="BD471" s="143" t="s">
        <v>251</v>
      </c>
      <c r="BG471"/>
    </row>
    <row r="472" spans="1:59" ht="14.25" customHeight="1" x14ac:dyDescent="0.25">
      <c r="A472" s="37" t="str">
        <f>LEFT(Scharniere[[#This Row],[ArtikelNR]],4)</f>
        <v>F046</v>
      </c>
      <c r="B472" s="35" t="str">
        <f>MID(Scharniere[[#This Row],[ArtikelNR]],5,3)</f>
        <v>138</v>
      </c>
      <c r="C472" s="37" t="str">
        <f>RIGHT(Scharniere[[#This Row],[ArtikelNR]],3)</f>
        <v>230</v>
      </c>
      <c r="D472" s="35">
        <f>IF(AND(Scharniere[[#This Row],[Gruppenschlüssel]]=select!$A$44,Scharniere[[#This Row],[Scharnierart]]=1)=TRUE,1,0)</f>
        <v>0</v>
      </c>
      <c r="E4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2" s="35">
        <f>IF(select!$F$57=IF(Scharniere[[#This Row],[mit Dämpfung]]=1,1,IF(Scharniere[[#This Row],[ohne Dämpfung]]=1,2,IF(Scharniere[[#This Row],[ohne Feder]]=1,3,0))),1,0)</f>
        <v>1</v>
      </c>
      <c r="G472" s="35">
        <f>IF(Scharniere[[#This Row],[Bohrbild]]=select!$V$43,1,0)</f>
        <v>1</v>
      </c>
      <c r="H472" s="35">
        <f>IF(IF(Scharniere[[#This Row],[Anschrauben]]=1,1,IF(Scharniere[[#This Row],[Einpressen]]=1,2,IF(Scharniere[[#This Row],[Quick]]=1,3,IF(Scharniere[[#This Row],[Werkzeuglos]]=1,4,0))))=select!$F$48,1,0)</f>
        <v>1</v>
      </c>
      <c r="I4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2" s="149">
        <f>IF(AND(Scharniere[[#This Row],[Scharnierart]]=2,Scharniere[[#This Row],[Gruppenschlüssel]]=select!$A$318)=TRUE,1,0)</f>
        <v>0</v>
      </c>
      <c r="K472" s="221">
        <f ca="1">IF(select!$O$424&lt;6,1,0)</f>
        <v>1</v>
      </c>
      <c r="L472" s="139">
        <f>IF(select!$A$362=IF(Scharniere[[#This Row],[mit Dämpfung]]=1,1,IF(Scharniere[[#This Row],[ohne Dämpfung]]=1,2,IF(Scharniere[[#This Row],[ohne Feder]]=1,3,0))),1,0)</f>
        <v>0</v>
      </c>
      <c r="M472" s="135">
        <f>IF(Scharniere[[#This Row],[Bohrbild]]=select!$O$334,1,0)</f>
        <v>1</v>
      </c>
      <c r="N472" s="135">
        <f>IF(IF(Scharniere[[#This Row],[Anschrauben]]=1,1,IF(Scharniere[[#This Row],[Einpressen]]=1,2,IF(Scharniere[[#This Row],[Quick]]=1,3,IF(Scharniere[[#This Row],[Werkzeuglos]]=1,4,0))))=select!$E$362,1,0)</f>
        <v>0</v>
      </c>
      <c r="O4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2" s="298">
        <f>IF(AND(Scharniere[[#This Row],[Scharnierart]]=3,Scharniere[[#This Row],[Gruppenschlüssel]]=select!$A$747)=TRUE,1,0)</f>
        <v>0</v>
      </c>
      <c r="Q472" s="298">
        <f ca="1">IF(select!$O$945&lt;6,1,0)</f>
        <v>1</v>
      </c>
      <c r="R472" s="298">
        <f>IF(select!$A$778=IF(Scharniere[[#This Row],[mit Dämpfung]]=1,1,IF(Scharniere[[#This Row],[ohne Dämpfung]]=1,2,IF(Scharniere[[#This Row],[ohne Feder]]=1,3,0))),1,0)</f>
        <v>0</v>
      </c>
      <c r="S472" s="298">
        <f>IF(Scharniere[[#This Row],[Bohrbild]]=select!$A$755,1,0)</f>
        <v>0</v>
      </c>
      <c r="T472" s="298">
        <f>IF(IF(Scharniere[[#This Row],[Anschrauben]]=1,1,IF(Scharniere[[#This Row],[Einpressen]]=1,2,IF(Scharniere[[#This Row],[Quick]]=1,3,IF(Scharniere[[#This Row],[Werkzeuglos]]=1,4,0))))=select!$A$769,1,0)</f>
        <v>0</v>
      </c>
      <c r="U4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2" s="359">
        <f>IF(AND(Scharniere[[#This Row],[Scharnierart]]=4,Scharniere[[#This Row],[Gruppenschlüssel]]=select!$A$981)=TRUE,1,0)</f>
        <v>0</v>
      </c>
      <c r="W472" s="359">
        <f ca="1">IF(select!$O$1185&lt;6,1,0)</f>
        <v>1</v>
      </c>
      <c r="X472" s="359">
        <f>IF(select!$A$1012=IF(Scharniere[[#This Row],[mit Dämpfung]]=1,1,IF(Scharniere[[#This Row],[ohne Dämpfung]]=1,2,IF(Scharniere[[#This Row],[ohne Feder]]=1,3,0))),1,0)</f>
        <v>0</v>
      </c>
      <c r="Y472" s="359">
        <f>IF(Scharniere[[#This Row],[Bohrbild]]=select!$A$989,1,0)</f>
        <v>0</v>
      </c>
      <c r="Z472" s="359">
        <f>IF(IF(Scharniere[[#This Row],[Anschrauben]]=1,1,IF(Scharniere[[#This Row],[Einpressen]]=1,2,IF(Scharniere[[#This Row],[Quick]]=1,3,IF(Scharniere[[#This Row],[Werkzeuglos]]=1,4,0))))=select!$A$1003,1,0)</f>
        <v>0</v>
      </c>
      <c r="AA4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2" s="359">
        <f ca="1">IF(select!$K$980="*",Scharniere[[#This Row],[AG Ges2]],Scharniere[[#This Row],[AG Ges1]])</f>
        <v>0</v>
      </c>
      <c r="AE472" s="451">
        <f ca="1">IF(AND(Scharniere[[#This Row],[Scharnierart]]=select!$A$1485,Scharniere[[#This Row],[Gruppenschlüssel]]=select!$B$1485)=TRUE,1,0)</f>
        <v>0</v>
      </c>
      <c r="AF472" s="451">
        <f ca="1">IF(AND(Scharniere[[#This Row],[Scharnierart]]=select!$A$1486,Scharniere[[#This Row],[Gruppenschlüssel]]=select!$B$1486)=TRUE,1,0)</f>
        <v>0</v>
      </c>
      <c r="AG472" s="451">
        <f ca="1">IF(AND(Scharniere[[#This Row],[Scharnierart]]=select!$A$1487,Scharniere[[#This Row],[Gruppenschlüssel]]=select!$B$1487)=TRUE,1,0)</f>
        <v>0</v>
      </c>
      <c r="AH472" s="451">
        <f ca="1">IF(AND(Scharniere[[#This Row],[Scharnierart]]=select!$A$1488,Scharniere[[#This Row],[Gruppenschlüssel]]=select!$B$1488)=TRUE,1,0)</f>
        <v>0</v>
      </c>
      <c r="AI472" s="451">
        <f ca="1">IF(SUM(Scharniere[[#This Row],[konf Scharnier 1]:[konf Scharnier 4]])&gt;0,1,0)</f>
        <v>0</v>
      </c>
      <c r="AJ472" s="451"/>
      <c r="AK472" s="451"/>
      <c r="AL472" s="451"/>
      <c r="AM472" s="451"/>
      <c r="AN472" s="451"/>
      <c r="AO472" s="146">
        <v>1</v>
      </c>
      <c r="AP472" s="146">
        <v>3</v>
      </c>
      <c r="AQ472" s="10" t="str">
        <f ca="1">Sprache!$A$114</f>
        <v>Tiomos Scharnier TT Click-on</v>
      </c>
      <c r="AR472" t="str">
        <f ca="1">"160°, M-BB, K03, "&amp;Sprache!A181&amp;", ni"</f>
        <v>160°, M-BB, K03, Dübel, ni</v>
      </c>
      <c r="AS472" t="str">
        <f ca="1">Sprache!$A$103</f>
        <v>Tiomos Click-On Scharniere</v>
      </c>
      <c r="AT472">
        <v>3</v>
      </c>
      <c r="AU472" s="34" t="s">
        <v>8</v>
      </c>
      <c r="AV472">
        <v>160</v>
      </c>
      <c r="AW472" s="10">
        <v>0</v>
      </c>
      <c r="AX472">
        <v>0</v>
      </c>
      <c r="AY472">
        <v>1</v>
      </c>
      <c r="AZ472" s="10">
        <v>0</v>
      </c>
      <c r="BA472">
        <v>1</v>
      </c>
      <c r="BB472">
        <v>0</v>
      </c>
      <c r="BC472">
        <v>0</v>
      </c>
      <c r="BD472" s="143" t="s">
        <v>599</v>
      </c>
      <c r="BG472"/>
    </row>
    <row r="473" spans="1:59" ht="14.25" customHeight="1" x14ac:dyDescent="0.25">
      <c r="A473" s="37" t="str">
        <f>LEFT(Scharniere[[#This Row],[ArtikelNR]],4)</f>
        <v>F045</v>
      </c>
      <c r="B473" s="35" t="str">
        <f>MID(Scharniere[[#This Row],[ArtikelNR]],5,3)</f>
        <v>138</v>
      </c>
      <c r="C473" s="37" t="str">
        <f>RIGHT(Scharniere[[#This Row],[ArtikelNR]],3)</f>
        <v>043</v>
      </c>
      <c r="D473" s="35">
        <f>IF(AND(Scharniere[[#This Row],[Gruppenschlüssel]]=select!$A$44,Scharniere[[#This Row],[Scharnierart]]=1)=TRUE,1,0)</f>
        <v>0</v>
      </c>
      <c r="E4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3" s="35">
        <f>IF(select!$F$57=IF(Scharniere[[#This Row],[mit Dämpfung]]=1,1,IF(Scharniere[[#This Row],[ohne Dämpfung]]=1,2,IF(Scharniere[[#This Row],[ohne Feder]]=1,3,0))),1,0)</f>
        <v>0</v>
      </c>
      <c r="G473" s="35">
        <f>IF(Scharniere[[#This Row],[Bohrbild]]=select!$V$43,1,0)</f>
        <v>1</v>
      </c>
      <c r="H473" s="35">
        <f>IF(IF(Scharniere[[#This Row],[Anschrauben]]=1,1,IF(Scharniere[[#This Row],[Einpressen]]=1,2,IF(Scharniere[[#This Row],[Quick]]=1,3,IF(Scharniere[[#This Row],[Werkzeuglos]]=1,4,0))))=select!$F$48,1,0)</f>
        <v>0</v>
      </c>
      <c r="I4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3" s="149">
        <f>IF(AND(Scharniere[[#This Row],[Scharnierart]]=2,Scharniere[[#This Row],[Gruppenschlüssel]]=select!$A$318)=TRUE,1,0)</f>
        <v>0</v>
      </c>
      <c r="K473" s="221">
        <f ca="1">IF(select!$O$424&lt;6,1,0)</f>
        <v>1</v>
      </c>
      <c r="L473" s="139">
        <f>IF(select!$A$362=IF(Scharniere[[#This Row],[mit Dämpfung]]=1,1,IF(Scharniere[[#This Row],[ohne Dämpfung]]=1,2,IF(Scharniere[[#This Row],[ohne Feder]]=1,3,0))),1,0)</f>
        <v>0</v>
      </c>
      <c r="M473" s="135">
        <f>IF(Scharniere[[#This Row],[Bohrbild]]=select!$O$334,1,0)</f>
        <v>1</v>
      </c>
      <c r="N473" s="135">
        <f>IF(IF(Scharniere[[#This Row],[Anschrauben]]=1,1,IF(Scharniere[[#This Row],[Einpressen]]=1,2,IF(Scharniere[[#This Row],[Quick]]=1,3,IF(Scharniere[[#This Row],[Werkzeuglos]]=1,4,0))))=select!$E$362,1,0)</f>
        <v>1</v>
      </c>
      <c r="O4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3" s="298">
        <f>IF(AND(Scharniere[[#This Row],[Scharnierart]]=3,Scharniere[[#This Row],[Gruppenschlüssel]]=select!$A$747)=TRUE,1,0)</f>
        <v>0</v>
      </c>
      <c r="Q473" s="298">
        <f ca="1">IF(select!$O$945&lt;6,1,0)</f>
        <v>1</v>
      </c>
      <c r="R473" s="298">
        <f>IF(select!$A$778=IF(Scharniere[[#This Row],[mit Dämpfung]]=1,1,IF(Scharniere[[#This Row],[ohne Dämpfung]]=1,2,IF(Scharniere[[#This Row],[ohne Feder]]=1,3,0))),1,0)</f>
        <v>1</v>
      </c>
      <c r="S473" s="298">
        <f>IF(Scharniere[[#This Row],[Bohrbild]]=select!$A$755,1,0)</f>
        <v>0</v>
      </c>
      <c r="T473" s="298">
        <f>IF(IF(Scharniere[[#This Row],[Anschrauben]]=1,1,IF(Scharniere[[#This Row],[Einpressen]]=1,2,IF(Scharniere[[#This Row],[Quick]]=1,3,IF(Scharniere[[#This Row],[Werkzeuglos]]=1,4,0))))=select!$A$769,1,0)</f>
        <v>1</v>
      </c>
      <c r="U4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3" s="359">
        <f>IF(AND(Scharniere[[#This Row],[Scharnierart]]=4,Scharniere[[#This Row],[Gruppenschlüssel]]=select!$A$981)=TRUE,1,0)</f>
        <v>0</v>
      </c>
      <c r="W473" s="359">
        <f ca="1">IF(select!$O$1185&lt;6,1,0)</f>
        <v>1</v>
      </c>
      <c r="X473" s="359">
        <f>IF(select!$A$1012=IF(Scharniere[[#This Row],[mit Dämpfung]]=1,1,IF(Scharniere[[#This Row],[ohne Dämpfung]]=1,2,IF(Scharniere[[#This Row],[ohne Feder]]=1,3,0))),1,0)</f>
        <v>1</v>
      </c>
      <c r="Y473" s="359">
        <f>IF(Scharniere[[#This Row],[Bohrbild]]=select!$A$989,1,0)</f>
        <v>0</v>
      </c>
      <c r="Z473" s="359">
        <f>IF(IF(Scharniere[[#This Row],[Anschrauben]]=1,1,IF(Scharniere[[#This Row],[Einpressen]]=1,2,IF(Scharniere[[#This Row],[Quick]]=1,3,IF(Scharniere[[#This Row],[Werkzeuglos]]=1,4,0))))=select!$A$1003,1,0)</f>
        <v>1</v>
      </c>
      <c r="AA4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3" s="359">
        <f ca="1">IF(select!$K$980="*",Scharniere[[#This Row],[AG Ges2]],Scharniere[[#This Row],[AG Ges1]])</f>
        <v>0</v>
      </c>
      <c r="AE473" s="451">
        <f ca="1">IF(AND(Scharniere[[#This Row],[Scharnierart]]=select!$A$1485,Scharniere[[#This Row],[Gruppenschlüssel]]=select!$B$1485)=TRUE,1,0)</f>
        <v>0</v>
      </c>
      <c r="AF473" s="451">
        <f ca="1">IF(AND(Scharniere[[#This Row],[Scharnierart]]=select!$A$1486,Scharniere[[#This Row],[Gruppenschlüssel]]=select!$B$1486)=TRUE,1,0)</f>
        <v>0</v>
      </c>
      <c r="AG473" s="451">
        <f ca="1">IF(AND(Scharniere[[#This Row],[Scharnierart]]=select!$A$1487,Scharniere[[#This Row],[Gruppenschlüssel]]=select!$B$1487)=TRUE,1,0)</f>
        <v>0</v>
      </c>
      <c r="AH473" s="451">
        <f ca="1">IF(AND(Scharniere[[#This Row],[Scharnierart]]=select!$A$1488,Scharniere[[#This Row],[Gruppenschlüssel]]=select!$B$1488)=TRUE,1,0)</f>
        <v>0</v>
      </c>
      <c r="AI473" s="451">
        <f ca="1">IF(SUM(Scharniere[[#This Row],[konf Scharnier 1]:[konf Scharnier 4]])&gt;0,1,0)</f>
        <v>0</v>
      </c>
      <c r="AJ473" s="451"/>
      <c r="AK473" s="451"/>
      <c r="AL473" s="451"/>
      <c r="AM473" s="451"/>
      <c r="AN473" s="451"/>
      <c r="AO473" s="146">
        <v>1</v>
      </c>
      <c r="AP473" s="146">
        <v>3</v>
      </c>
      <c r="AQ473" s="10" t="str">
        <f ca="1">Sprache!$A$110</f>
        <v>Tiomos Scharnier T Click-on</v>
      </c>
      <c r="AR473" t="s">
        <v>248</v>
      </c>
      <c r="AS473" t="str">
        <f ca="1">Sprache!$A$103</f>
        <v>Tiomos Click-On Scharniere</v>
      </c>
      <c r="AT473">
        <v>3</v>
      </c>
      <c r="AU473" t="s">
        <v>8</v>
      </c>
      <c r="AV473">
        <v>160</v>
      </c>
      <c r="AW473" s="10">
        <v>0</v>
      </c>
      <c r="AX473">
        <v>1</v>
      </c>
      <c r="AY473">
        <v>0</v>
      </c>
      <c r="AZ473" s="10">
        <v>1</v>
      </c>
      <c r="BA473">
        <v>0</v>
      </c>
      <c r="BB473">
        <v>0</v>
      </c>
      <c r="BC473">
        <v>0</v>
      </c>
      <c r="BD473" s="143" t="s">
        <v>444</v>
      </c>
      <c r="BG473"/>
    </row>
    <row r="474" spans="1:59" ht="14.25" customHeight="1" x14ac:dyDescent="0.25">
      <c r="A474" s="37" t="str">
        <f>LEFT(Scharniere[[#This Row],[ArtikelNR]],4)</f>
        <v>F028</v>
      </c>
      <c r="B474" s="35" t="str">
        <f>MID(Scharniere[[#This Row],[ArtikelNR]],5,3)</f>
        <v>138</v>
      </c>
      <c r="C474" s="37" t="str">
        <f>RIGHT(Scharniere[[#This Row],[ArtikelNR]],3)</f>
        <v>136</v>
      </c>
      <c r="D474" s="35">
        <f>IF(AND(Scharniere[[#This Row],[Gruppenschlüssel]]=select!$A$44,Scharniere[[#This Row],[Scharnierart]]=1)=TRUE,1,0)</f>
        <v>0</v>
      </c>
      <c r="E4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4" s="35">
        <f>IF(select!$F$57=IF(Scharniere[[#This Row],[mit Dämpfung]]=1,1,IF(Scharniere[[#This Row],[ohne Dämpfung]]=1,2,IF(Scharniere[[#This Row],[ohne Feder]]=1,3,0))),1,0)</f>
        <v>0</v>
      </c>
      <c r="G474" s="35">
        <f>IF(Scharniere[[#This Row],[Bohrbild]]=select!$V$43,1,0)</f>
        <v>1</v>
      </c>
      <c r="H474" s="35">
        <f>IF(IF(Scharniere[[#This Row],[Anschrauben]]=1,1,IF(Scharniere[[#This Row],[Einpressen]]=1,2,IF(Scharniere[[#This Row],[Quick]]=1,3,IF(Scharniere[[#This Row],[Werkzeuglos]]=1,4,0))))=select!$F$48,1,0)</f>
        <v>0</v>
      </c>
      <c r="I4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4" s="149">
        <f>IF(AND(Scharniere[[#This Row],[Scharnierart]]=2,Scharniere[[#This Row],[Gruppenschlüssel]]=select!$A$318)=TRUE,1,0)</f>
        <v>0</v>
      </c>
      <c r="K474" s="221">
        <f ca="1">IF(select!$O$424&lt;6,1,0)</f>
        <v>1</v>
      </c>
      <c r="L474" s="139">
        <f>IF(select!$A$362=IF(Scharniere[[#This Row],[mit Dämpfung]]=1,1,IF(Scharniere[[#This Row],[ohne Dämpfung]]=1,2,IF(Scharniere[[#This Row],[ohne Feder]]=1,3,0))),1,0)</f>
        <v>1</v>
      </c>
      <c r="M474" s="135">
        <f>IF(Scharniere[[#This Row],[Bohrbild]]=select!$O$334,1,0)</f>
        <v>1</v>
      </c>
      <c r="N474" s="135">
        <f>IF(IF(Scharniere[[#This Row],[Anschrauben]]=1,1,IF(Scharniere[[#This Row],[Einpressen]]=1,2,IF(Scharniere[[#This Row],[Quick]]=1,3,IF(Scharniere[[#This Row],[Werkzeuglos]]=1,4,0))))=select!$E$362,1,0)</f>
        <v>1</v>
      </c>
      <c r="O4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4" s="298">
        <f>IF(AND(Scharniere[[#This Row],[Scharnierart]]=3,Scharniere[[#This Row],[Gruppenschlüssel]]=select!$A$747)=TRUE,1,0)</f>
        <v>0</v>
      </c>
      <c r="Q474" s="298">
        <f ca="1">IF(select!$O$945&lt;6,1,0)</f>
        <v>1</v>
      </c>
      <c r="R474" s="298">
        <f>IF(select!$A$778=IF(Scharniere[[#This Row],[mit Dämpfung]]=1,1,IF(Scharniere[[#This Row],[ohne Dämpfung]]=1,2,IF(Scharniere[[#This Row],[ohne Feder]]=1,3,0))),1,0)</f>
        <v>0</v>
      </c>
      <c r="S474" s="298">
        <f>IF(Scharniere[[#This Row],[Bohrbild]]=select!$A$755,1,0)</f>
        <v>0</v>
      </c>
      <c r="T474" s="298">
        <f>IF(IF(Scharniere[[#This Row],[Anschrauben]]=1,1,IF(Scharniere[[#This Row],[Einpressen]]=1,2,IF(Scharniere[[#This Row],[Quick]]=1,3,IF(Scharniere[[#This Row],[Werkzeuglos]]=1,4,0))))=select!$A$769,1,0)</f>
        <v>1</v>
      </c>
      <c r="U4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4" s="359">
        <f>IF(AND(Scharniere[[#This Row],[Scharnierart]]=4,Scharniere[[#This Row],[Gruppenschlüssel]]=select!$A$981)=TRUE,1,0)</f>
        <v>0</v>
      </c>
      <c r="W474" s="359">
        <f ca="1">IF(select!$O$1185&lt;6,1,0)</f>
        <v>1</v>
      </c>
      <c r="X474" s="359">
        <f>IF(select!$A$1012=IF(Scharniere[[#This Row],[mit Dämpfung]]=1,1,IF(Scharniere[[#This Row],[ohne Dämpfung]]=1,2,IF(Scharniere[[#This Row],[ohne Feder]]=1,3,0))),1,0)</f>
        <v>0</v>
      </c>
      <c r="Y474" s="359">
        <f>IF(Scharniere[[#This Row],[Bohrbild]]=select!$A$989,1,0)</f>
        <v>0</v>
      </c>
      <c r="Z474" s="359">
        <f>IF(IF(Scharniere[[#This Row],[Anschrauben]]=1,1,IF(Scharniere[[#This Row],[Einpressen]]=1,2,IF(Scharniere[[#This Row],[Quick]]=1,3,IF(Scharniere[[#This Row],[Werkzeuglos]]=1,4,0))))=select!$A$1003,1,0)</f>
        <v>1</v>
      </c>
      <c r="AA4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4" s="359">
        <f ca="1">IF(select!$K$980="*",Scharniere[[#This Row],[AG Ges2]],Scharniere[[#This Row],[AG Ges1]])</f>
        <v>0</v>
      </c>
      <c r="AE474" s="451">
        <f ca="1">IF(AND(Scharniere[[#This Row],[Scharnierart]]=select!$A$1485,Scharniere[[#This Row],[Gruppenschlüssel]]=select!$B$1485)=TRUE,1,0)</f>
        <v>0</v>
      </c>
      <c r="AF474" s="451">
        <f ca="1">IF(AND(Scharniere[[#This Row],[Scharnierart]]=select!$A$1486,Scharniere[[#This Row],[Gruppenschlüssel]]=select!$B$1486)=TRUE,1,0)</f>
        <v>0</v>
      </c>
      <c r="AG474" s="451">
        <f ca="1">IF(AND(Scharniere[[#This Row],[Scharnierart]]=select!$A$1487,Scharniere[[#This Row],[Gruppenschlüssel]]=select!$B$1487)=TRUE,1,0)</f>
        <v>0</v>
      </c>
      <c r="AH474" s="451">
        <f ca="1">IF(AND(Scharniere[[#This Row],[Scharnierart]]=select!$A$1488,Scharniere[[#This Row],[Gruppenschlüssel]]=select!$B$1488)=TRUE,1,0)</f>
        <v>0</v>
      </c>
      <c r="AI474" s="451">
        <f ca="1">IF(SUM(Scharniere[[#This Row],[konf Scharnier 1]:[konf Scharnier 4]])&gt;0,1,0)</f>
        <v>0</v>
      </c>
      <c r="AJ474" s="451"/>
      <c r="AK474" s="451"/>
      <c r="AL474" s="451"/>
      <c r="AM474" s="451"/>
      <c r="AN474" s="451"/>
      <c r="AO474" s="146">
        <v>1</v>
      </c>
      <c r="AP474" s="146">
        <v>3</v>
      </c>
      <c r="AQ474" s="10" t="str">
        <f ca="1">Sprache!$A$112</f>
        <v>Tiomos Scharnier TS Click-on</v>
      </c>
      <c r="AR474" t="s">
        <v>248</v>
      </c>
      <c r="AS474" t="str">
        <f ca="1">Sprache!$A$103</f>
        <v>Tiomos Click-On Scharniere</v>
      </c>
      <c r="AT474">
        <v>3</v>
      </c>
      <c r="AU474" t="s">
        <v>8</v>
      </c>
      <c r="AV474">
        <v>160</v>
      </c>
      <c r="AW474" s="10">
        <v>1</v>
      </c>
      <c r="AX474">
        <v>0</v>
      </c>
      <c r="AY474">
        <v>0</v>
      </c>
      <c r="AZ474" s="10">
        <v>1</v>
      </c>
      <c r="BA474">
        <v>0</v>
      </c>
      <c r="BB474">
        <v>0</v>
      </c>
      <c r="BC474">
        <v>0</v>
      </c>
      <c r="BD474" s="143" t="s">
        <v>247</v>
      </c>
      <c r="BG474"/>
    </row>
    <row r="475" spans="1:59" ht="14.25" customHeight="1" x14ac:dyDescent="0.25">
      <c r="A475" s="37" t="str">
        <f>LEFT(Scharniere[[#This Row],[ArtikelNR]],4)</f>
        <v>F046</v>
      </c>
      <c r="B475" s="35" t="str">
        <f>MID(Scharniere[[#This Row],[ArtikelNR]],5,3)</f>
        <v>138</v>
      </c>
      <c r="C475" s="37" t="str">
        <f>RIGHT(Scharniere[[#This Row],[ArtikelNR]],3)</f>
        <v>227</v>
      </c>
      <c r="D475" s="35">
        <f>IF(AND(Scharniere[[#This Row],[Gruppenschlüssel]]=select!$A$44,Scharniere[[#This Row],[Scharnierart]]=1)=TRUE,1,0)</f>
        <v>0</v>
      </c>
      <c r="E4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5" s="35">
        <f>IF(select!$F$57=IF(Scharniere[[#This Row],[mit Dämpfung]]=1,1,IF(Scharniere[[#This Row],[ohne Dämpfung]]=1,2,IF(Scharniere[[#This Row],[ohne Feder]]=1,3,0))),1,0)</f>
        <v>1</v>
      </c>
      <c r="G475" s="35">
        <f>IF(Scharniere[[#This Row],[Bohrbild]]=select!$V$43,1,0)</f>
        <v>1</v>
      </c>
      <c r="H475" s="35">
        <f>IF(IF(Scharniere[[#This Row],[Anschrauben]]=1,1,IF(Scharniere[[#This Row],[Einpressen]]=1,2,IF(Scharniere[[#This Row],[Quick]]=1,3,IF(Scharniere[[#This Row],[Werkzeuglos]]=1,4,0))))=select!$F$48,1,0)</f>
        <v>0</v>
      </c>
      <c r="I4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5" s="149">
        <f>IF(AND(Scharniere[[#This Row],[Scharnierart]]=2,Scharniere[[#This Row],[Gruppenschlüssel]]=select!$A$318)=TRUE,1,0)</f>
        <v>0</v>
      </c>
      <c r="K475" s="221">
        <f ca="1">IF(select!$O$424&lt;6,1,0)</f>
        <v>1</v>
      </c>
      <c r="L475" s="139">
        <f>IF(select!$A$362=IF(Scharniere[[#This Row],[mit Dämpfung]]=1,1,IF(Scharniere[[#This Row],[ohne Dämpfung]]=1,2,IF(Scharniere[[#This Row],[ohne Feder]]=1,3,0))),1,0)</f>
        <v>0</v>
      </c>
      <c r="M475" s="135">
        <f>IF(Scharniere[[#This Row],[Bohrbild]]=select!$O$334,1,0)</f>
        <v>1</v>
      </c>
      <c r="N475" s="135">
        <f>IF(IF(Scharniere[[#This Row],[Anschrauben]]=1,1,IF(Scharniere[[#This Row],[Einpressen]]=1,2,IF(Scharniere[[#This Row],[Quick]]=1,3,IF(Scharniere[[#This Row],[Werkzeuglos]]=1,4,0))))=select!$E$362,1,0)</f>
        <v>1</v>
      </c>
      <c r="O4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5" s="298">
        <f>IF(AND(Scharniere[[#This Row],[Scharnierart]]=3,Scharniere[[#This Row],[Gruppenschlüssel]]=select!$A$747)=TRUE,1,0)</f>
        <v>0</v>
      </c>
      <c r="Q475" s="298">
        <f ca="1">IF(select!$O$945&lt;6,1,0)</f>
        <v>1</v>
      </c>
      <c r="R475" s="298">
        <f>IF(select!$A$778=IF(Scharniere[[#This Row],[mit Dämpfung]]=1,1,IF(Scharniere[[#This Row],[ohne Dämpfung]]=1,2,IF(Scharniere[[#This Row],[ohne Feder]]=1,3,0))),1,0)</f>
        <v>0</v>
      </c>
      <c r="S475" s="298">
        <f>IF(Scharniere[[#This Row],[Bohrbild]]=select!$A$755,1,0)</f>
        <v>0</v>
      </c>
      <c r="T475" s="298">
        <f>IF(IF(Scharniere[[#This Row],[Anschrauben]]=1,1,IF(Scharniere[[#This Row],[Einpressen]]=1,2,IF(Scharniere[[#This Row],[Quick]]=1,3,IF(Scharniere[[#This Row],[Werkzeuglos]]=1,4,0))))=select!$A$769,1,0)</f>
        <v>1</v>
      </c>
      <c r="U4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5" s="359">
        <f>IF(AND(Scharniere[[#This Row],[Scharnierart]]=4,Scharniere[[#This Row],[Gruppenschlüssel]]=select!$A$981)=TRUE,1,0)</f>
        <v>0</v>
      </c>
      <c r="W475" s="359">
        <f ca="1">IF(select!$O$1185&lt;6,1,0)</f>
        <v>1</v>
      </c>
      <c r="X475" s="359">
        <f>IF(select!$A$1012=IF(Scharniere[[#This Row],[mit Dämpfung]]=1,1,IF(Scharniere[[#This Row],[ohne Dämpfung]]=1,2,IF(Scharniere[[#This Row],[ohne Feder]]=1,3,0))),1,0)</f>
        <v>0</v>
      </c>
      <c r="Y475" s="359">
        <f>IF(Scharniere[[#This Row],[Bohrbild]]=select!$A$989,1,0)</f>
        <v>0</v>
      </c>
      <c r="Z475" s="359">
        <f>IF(IF(Scharniere[[#This Row],[Anschrauben]]=1,1,IF(Scharniere[[#This Row],[Einpressen]]=1,2,IF(Scharniere[[#This Row],[Quick]]=1,3,IF(Scharniere[[#This Row],[Werkzeuglos]]=1,4,0))))=select!$A$1003,1,0)</f>
        <v>1</v>
      </c>
      <c r="AA4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5" s="359">
        <f ca="1">IF(select!$K$980="*",Scharniere[[#This Row],[AG Ges2]],Scharniere[[#This Row],[AG Ges1]])</f>
        <v>0</v>
      </c>
      <c r="AE475" s="451">
        <f ca="1">IF(AND(Scharniere[[#This Row],[Scharnierart]]=select!$A$1485,Scharniere[[#This Row],[Gruppenschlüssel]]=select!$B$1485)=TRUE,1,0)</f>
        <v>0</v>
      </c>
      <c r="AF475" s="451">
        <f ca="1">IF(AND(Scharniere[[#This Row],[Scharnierart]]=select!$A$1486,Scharniere[[#This Row],[Gruppenschlüssel]]=select!$B$1486)=TRUE,1,0)</f>
        <v>0</v>
      </c>
      <c r="AG475" s="451">
        <f ca="1">IF(AND(Scharniere[[#This Row],[Scharnierart]]=select!$A$1487,Scharniere[[#This Row],[Gruppenschlüssel]]=select!$B$1487)=TRUE,1,0)</f>
        <v>0</v>
      </c>
      <c r="AH475" s="451">
        <f ca="1">IF(AND(Scharniere[[#This Row],[Scharnierart]]=select!$A$1488,Scharniere[[#This Row],[Gruppenschlüssel]]=select!$B$1488)=TRUE,1,0)</f>
        <v>0</v>
      </c>
      <c r="AI475" s="451">
        <f ca="1">IF(SUM(Scharniere[[#This Row],[konf Scharnier 1]:[konf Scharnier 4]])&gt;0,1,0)</f>
        <v>0</v>
      </c>
      <c r="AJ475" s="451"/>
      <c r="AK475" s="451"/>
      <c r="AL475" s="451"/>
      <c r="AM475" s="451"/>
      <c r="AN475" s="451"/>
      <c r="AO475" s="146">
        <v>1</v>
      </c>
      <c r="AP475" s="146">
        <v>3</v>
      </c>
      <c r="AQ475" s="10" t="str">
        <f ca="1">Sprache!$A$114</f>
        <v>Tiomos Scharnier TT Click-on</v>
      </c>
      <c r="AR475" t="s">
        <v>248</v>
      </c>
      <c r="AS475" t="str">
        <f ca="1">Sprache!$A$103</f>
        <v>Tiomos Click-On Scharniere</v>
      </c>
      <c r="AT475">
        <v>3</v>
      </c>
      <c r="AU475" s="34" t="s">
        <v>8</v>
      </c>
      <c r="AV475">
        <v>160</v>
      </c>
      <c r="AW475" s="10">
        <v>0</v>
      </c>
      <c r="AX475">
        <v>0</v>
      </c>
      <c r="AY475">
        <v>1</v>
      </c>
      <c r="AZ475" s="10">
        <v>1</v>
      </c>
      <c r="BA475">
        <v>0</v>
      </c>
      <c r="BB475">
        <v>0</v>
      </c>
      <c r="BC475">
        <v>0</v>
      </c>
      <c r="BD475" s="143" t="s">
        <v>596</v>
      </c>
      <c r="BG475"/>
    </row>
    <row r="476" spans="1:59" ht="14.25" customHeight="1" x14ac:dyDescent="0.25">
      <c r="A476" s="37" t="str">
        <f>LEFT(Scharniere[[#This Row],[ArtikelNR]],4)</f>
        <v>F034</v>
      </c>
      <c r="B476" s="35" t="str">
        <f>MID(Scharniere[[#This Row],[ArtikelNR]],5,3)</f>
        <v>139</v>
      </c>
      <c r="C476" s="37" t="str">
        <f>RIGHT(Scharniere[[#This Row],[ArtikelNR]],3)</f>
        <v>322</v>
      </c>
      <c r="D476" s="35">
        <f>IF(AND(Scharniere[[#This Row],[Gruppenschlüssel]]=select!$A$44,Scharniere[[#This Row],[Scharnierart]]=1)=TRUE,1,0)</f>
        <v>0</v>
      </c>
      <c r="E4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6" s="35">
        <f>IF(select!$F$57=IF(Scharniere[[#This Row],[mit Dämpfung]]=1,1,IF(Scharniere[[#This Row],[ohne Dämpfung]]=1,2,IF(Scharniere[[#This Row],[ohne Feder]]=1,3,0))),1,0)</f>
        <v>0</v>
      </c>
      <c r="G476" s="35">
        <f>IF(Scharniere[[#This Row],[Bohrbild]]=select!$V$43,1,0)</f>
        <v>1</v>
      </c>
      <c r="H476" s="35">
        <f>IF(IF(Scharniere[[#This Row],[Anschrauben]]=1,1,IF(Scharniere[[#This Row],[Einpressen]]=1,2,IF(Scharniere[[#This Row],[Quick]]=1,3,IF(Scharniere[[#This Row],[Werkzeuglos]]=1,4,0))))=select!$F$48,1,0)</f>
        <v>0</v>
      </c>
      <c r="I4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6" s="149">
        <f>IF(AND(Scharniere[[#This Row],[Scharnierart]]=2,Scharniere[[#This Row],[Gruppenschlüssel]]=select!$A$318)=TRUE,1,0)</f>
        <v>0</v>
      </c>
      <c r="K476" s="221">
        <f ca="1">IF(select!$O$424&lt;6,1,0)</f>
        <v>1</v>
      </c>
      <c r="L476" s="139">
        <f>IF(select!$A$362=IF(Scharniere[[#This Row],[mit Dämpfung]]=1,1,IF(Scharniere[[#This Row],[ohne Dämpfung]]=1,2,IF(Scharniere[[#This Row],[ohne Feder]]=1,3,0))),1,0)</f>
        <v>0</v>
      </c>
      <c r="M476" s="135">
        <f>IF(Scharniere[[#This Row],[Bohrbild]]=select!$O$334,1,0)</f>
        <v>1</v>
      </c>
      <c r="N476" s="135">
        <f>IF(IF(Scharniere[[#This Row],[Anschrauben]]=1,1,IF(Scharniere[[#This Row],[Einpressen]]=1,2,IF(Scharniere[[#This Row],[Quick]]=1,3,IF(Scharniere[[#This Row],[Werkzeuglos]]=1,4,0))))=select!$E$362,1,0)</f>
        <v>0</v>
      </c>
      <c r="O4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6" s="298">
        <f>IF(AND(Scharniere[[#This Row],[Scharnierart]]=3,Scharniere[[#This Row],[Gruppenschlüssel]]=select!$A$747)=TRUE,1,0)</f>
        <v>0</v>
      </c>
      <c r="Q476" s="298">
        <f ca="1">IF(select!$O$945&lt;6,1,0)</f>
        <v>1</v>
      </c>
      <c r="R476" s="298">
        <f>IF(select!$A$778=IF(Scharniere[[#This Row],[mit Dämpfung]]=1,1,IF(Scharniere[[#This Row],[ohne Dämpfung]]=1,2,IF(Scharniere[[#This Row],[ohne Feder]]=1,3,0))),1,0)</f>
        <v>1</v>
      </c>
      <c r="S476" s="298">
        <f>IF(Scharniere[[#This Row],[Bohrbild]]=select!$A$755,1,0)</f>
        <v>0</v>
      </c>
      <c r="T476" s="298">
        <f>IF(IF(Scharniere[[#This Row],[Anschrauben]]=1,1,IF(Scharniere[[#This Row],[Einpressen]]=1,2,IF(Scharniere[[#This Row],[Quick]]=1,3,IF(Scharniere[[#This Row],[Werkzeuglos]]=1,4,0))))=select!$A$769,1,0)</f>
        <v>0</v>
      </c>
      <c r="U4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6" s="359">
        <f>IF(AND(Scharniere[[#This Row],[Scharnierart]]=4,Scharniere[[#This Row],[Gruppenschlüssel]]=select!$A$981)=TRUE,1,0)</f>
        <v>0</v>
      </c>
      <c r="W476" s="359">
        <f ca="1">IF(select!$O$1185&lt;6,1,0)</f>
        <v>1</v>
      </c>
      <c r="X476" s="359">
        <f>IF(select!$A$1012=IF(Scharniere[[#This Row],[mit Dämpfung]]=1,1,IF(Scharniere[[#This Row],[ohne Dämpfung]]=1,2,IF(Scharniere[[#This Row],[ohne Feder]]=1,3,0))),1,0)</f>
        <v>1</v>
      </c>
      <c r="Y476" s="359">
        <f>IF(Scharniere[[#This Row],[Bohrbild]]=select!$A$989,1,0)</f>
        <v>0</v>
      </c>
      <c r="Z476" s="359">
        <f>IF(IF(Scharniere[[#This Row],[Anschrauben]]=1,1,IF(Scharniere[[#This Row],[Einpressen]]=1,2,IF(Scharniere[[#This Row],[Quick]]=1,3,IF(Scharniere[[#This Row],[Werkzeuglos]]=1,4,0))))=select!$A$1003,1,0)</f>
        <v>0</v>
      </c>
      <c r="AA4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6" s="359">
        <f ca="1">IF(select!$K$980="*",Scharniere[[#This Row],[AG Ges2]],Scharniere[[#This Row],[AG Ges1]])</f>
        <v>0</v>
      </c>
      <c r="AE476" s="451">
        <f ca="1">IF(AND(Scharniere[[#This Row],[Scharnierart]]=select!$A$1485,Scharniere[[#This Row],[Gruppenschlüssel]]=select!$B$1485)=TRUE,1,0)</f>
        <v>0</v>
      </c>
      <c r="AF476" s="451">
        <f ca="1">IF(AND(Scharniere[[#This Row],[Scharnierart]]=select!$A$1486,Scharniere[[#This Row],[Gruppenschlüssel]]=select!$B$1486)=TRUE,1,0)</f>
        <v>0</v>
      </c>
      <c r="AG476" s="451">
        <f ca="1">IF(AND(Scharniere[[#This Row],[Scharnierart]]=select!$A$1487,Scharniere[[#This Row],[Gruppenschlüssel]]=select!$B$1487)=TRUE,1,0)</f>
        <v>0</v>
      </c>
      <c r="AH476" s="451">
        <f ca="1">IF(AND(Scharniere[[#This Row],[Scharnierart]]=select!$A$1488,Scharniere[[#This Row],[Gruppenschlüssel]]=select!$B$1488)=TRUE,1,0)</f>
        <v>0</v>
      </c>
      <c r="AI476" s="451">
        <f ca="1">IF(SUM(Scharniere[[#This Row],[konf Scharnier 1]:[konf Scharnier 4]])&gt;0,1,0)</f>
        <v>0</v>
      </c>
      <c r="AJ476" s="451"/>
      <c r="AK476" s="451"/>
      <c r="AL476" s="451"/>
      <c r="AM476" s="451"/>
      <c r="AN476" s="451"/>
      <c r="AO476" s="146">
        <v>1</v>
      </c>
      <c r="AP476" s="146">
        <v>3</v>
      </c>
      <c r="AQ476" s="10" t="str">
        <f ca="1">Sprache!$A$111</f>
        <v>Tiomos Scharnier T Impresso</v>
      </c>
      <c r="AR476" t="s">
        <v>76</v>
      </c>
      <c r="AS476" t="str">
        <f ca="1">Sprache!$A$116</f>
        <v>Tiomos Impresso Scharniere</v>
      </c>
      <c r="AT476">
        <v>3</v>
      </c>
      <c r="AU476" t="s">
        <v>8</v>
      </c>
      <c r="AV476">
        <v>160</v>
      </c>
      <c r="AW476" s="10">
        <v>0</v>
      </c>
      <c r="AX476">
        <v>1</v>
      </c>
      <c r="AY476">
        <v>0</v>
      </c>
      <c r="AZ476" s="10">
        <v>0</v>
      </c>
      <c r="BA476">
        <v>0</v>
      </c>
      <c r="BB476">
        <v>0</v>
      </c>
      <c r="BC476">
        <v>1</v>
      </c>
      <c r="BD476" s="143" t="s">
        <v>145</v>
      </c>
      <c r="BG476"/>
    </row>
    <row r="477" spans="1:59" ht="14.25" customHeight="1" x14ac:dyDescent="0.25">
      <c r="A477" s="37" t="str">
        <f>LEFT(Scharniere[[#This Row],[ArtikelNR]],4)</f>
        <v>F034</v>
      </c>
      <c r="B477" s="35" t="str">
        <f>MID(Scharniere[[#This Row],[ArtikelNR]],5,3)</f>
        <v>139</v>
      </c>
      <c r="C477" s="37" t="str">
        <f>RIGHT(Scharniere[[#This Row],[ArtikelNR]],3)</f>
        <v>322</v>
      </c>
      <c r="D477" s="35">
        <f>IF(AND(Scharniere[[#This Row],[Gruppenschlüssel]]=select!$A$44,Scharniere[[#This Row],[Scharnierart]]=1)=TRUE,1,0)</f>
        <v>0</v>
      </c>
      <c r="E4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7" s="35">
        <f>IF(select!$F$57=IF(Scharniere[[#This Row],[mit Dämpfung]]=1,1,IF(Scharniere[[#This Row],[ohne Dämpfung]]=1,2,IF(Scharniere[[#This Row],[ohne Feder]]=1,3,0))),1,0)</f>
        <v>0</v>
      </c>
      <c r="G477" s="35">
        <f>IF(Scharniere[[#This Row],[Bohrbild]]=select!$V$43,1,0)</f>
        <v>0</v>
      </c>
      <c r="H477" s="35">
        <f>IF(IF(Scharniere[[#This Row],[Anschrauben]]=1,1,IF(Scharniere[[#This Row],[Einpressen]]=1,2,IF(Scharniere[[#This Row],[Quick]]=1,3,IF(Scharniere[[#This Row],[Werkzeuglos]]=1,4,0))))=select!$F$48,1,0)</f>
        <v>0</v>
      </c>
      <c r="I4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7" s="149">
        <f>IF(AND(Scharniere[[#This Row],[Scharnierart]]=2,Scharniere[[#This Row],[Gruppenschlüssel]]=select!$A$318)=TRUE,1,0)</f>
        <v>0</v>
      </c>
      <c r="K477" s="221">
        <f ca="1">IF(select!$O$424&lt;6,1,0)</f>
        <v>1</v>
      </c>
      <c r="L477" s="139">
        <f>IF(select!$A$362=IF(Scharniere[[#This Row],[mit Dämpfung]]=1,1,IF(Scharniere[[#This Row],[ohne Dämpfung]]=1,2,IF(Scharniere[[#This Row],[ohne Feder]]=1,3,0))),1,0)</f>
        <v>0</v>
      </c>
      <c r="M477" s="135">
        <f>IF(Scharniere[[#This Row],[Bohrbild]]=select!$O$334,1,0)</f>
        <v>0</v>
      </c>
      <c r="N477" s="135">
        <f>IF(IF(Scharniere[[#This Row],[Anschrauben]]=1,1,IF(Scharniere[[#This Row],[Einpressen]]=1,2,IF(Scharniere[[#This Row],[Quick]]=1,3,IF(Scharniere[[#This Row],[Werkzeuglos]]=1,4,0))))=select!$E$362,1,0)</f>
        <v>0</v>
      </c>
      <c r="O4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7" s="298">
        <f>IF(AND(Scharniere[[#This Row],[Scharnierart]]=3,Scharniere[[#This Row],[Gruppenschlüssel]]=select!$A$747)=TRUE,1,0)</f>
        <v>0</v>
      </c>
      <c r="Q477" s="298">
        <f ca="1">IF(select!$O$945&lt;6,1,0)</f>
        <v>1</v>
      </c>
      <c r="R477" s="298">
        <f>IF(select!$A$778=IF(Scharniere[[#This Row],[mit Dämpfung]]=1,1,IF(Scharniere[[#This Row],[ohne Dämpfung]]=1,2,IF(Scharniere[[#This Row],[ohne Feder]]=1,3,0))),1,0)</f>
        <v>1</v>
      </c>
      <c r="S477" s="298">
        <f>IF(Scharniere[[#This Row],[Bohrbild]]=select!$A$755,1,0)</f>
        <v>0</v>
      </c>
      <c r="T477" s="298">
        <f>IF(IF(Scharniere[[#This Row],[Anschrauben]]=1,1,IF(Scharniere[[#This Row],[Einpressen]]=1,2,IF(Scharniere[[#This Row],[Quick]]=1,3,IF(Scharniere[[#This Row],[Werkzeuglos]]=1,4,0))))=select!$A$769,1,0)</f>
        <v>0</v>
      </c>
      <c r="U4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7" s="359">
        <f>IF(AND(Scharniere[[#This Row],[Scharnierart]]=4,Scharniere[[#This Row],[Gruppenschlüssel]]=select!$A$981)=TRUE,1,0)</f>
        <v>0</v>
      </c>
      <c r="W477" s="359">
        <f ca="1">IF(select!$O$1185&lt;6,1,0)</f>
        <v>1</v>
      </c>
      <c r="X477" s="359">
        <f>IF(select!$A$1012=IF(Scharniere[[#This Row],[mit Dämpfung]]=1,1,IF(Scharniere[[#This Row],[ohne Dämpfung]]=1,2,IF(Scharniere[[#This Row],[ohne Feder]]=1,3,0))),1,0)</f>
        <v>1</v>
      </c>
      <c r="Y477" s="359">
        <f>IF(Scharniere[[#This Row],[Bohrbild]]=select!$A$989,1,0)</f>
        <v>0</v>
      </c>
      <c r="Z477" s="359">
        <f>IF(IF(Scharniere[[#This Row],[Anschrauben]]=1,1,IF(Scharniere[[#This Row],[Einpressen]]=1,2,IF(Scharniere[[#This Row],[Quick]]=1,3,IF(Scharniere[[#This Row],[Werkzeuglos]]=1,4,0))))=select!$A$1003,1,0)</f>
        <v>0</v>
      </c>
      <c r="AA4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7" s="359">
        <f ca="1">IF(select!$K$980="*",Scharniere[[#This Row],[AG Ges2]],Scharniere[[#This Row],[AG Ges1]])</f>
        <v>0</v>
      </c>
      <c r="AE477" s="451">
        <f ca="1">IF(AND(Scharniere[[#This Row],[Scharnierart]]=select!$A$1485,Scharniere[[#This Row],[Gruppenschlüssel]]=select!$B$1485)=TRUE,1,0)</f>
        <v>0</v>
      </c>
      <c r="AF477" s="451">
        <f ca="1">IF(AND(Scharniere[[#This Row],[Scharnierart]]=select!$A$1486,Scharniere[[#This Row],[Gruppenschlüssel]]=select!$B$1486)=TRUE,1,0)</f>
        <v>0</v>
      </c>
      <c r="AG477" s="451">
        <f ca="1">IF(AND(Scharniere[[#This Row],[Scharnierart]]=select!$A$1487,Scharniere[[#This Row],[Gruppenschlüssel]]=select!$B$1487)=TRUE,1,0)</f>
        <v>0</v>
      </c>
      <c r="AH477" s="451">
        <f ca="1">IF(AND(Scharniere[[#This Row],[Scharnierart]]=select!$A$1488,Scharniere[[#This Row],[Gruppenschlüssel]]=select!$B$1488)=TRUE,1,0)</f>
        <v>0</v>
      </c>
      <c r="AI477" s="451">
        <f ca="1">IF(SUM(Scharniere[[#This Row],[konf Scharnier 1]:[konf Scharnier 4]])&gt;0,1,0)</f>
        <v>0</v>
      </c>
      <c r="AJ477" s="451"/>
      <c r="AK477" s="451"/>
      <c r="AL477" s="451"/>
      <c r="AM477" s="451"/>
      <c r="AN477" s="451"/>
      <c r="AO477" s="146">
        <v>1</v>
      </c>
      <c r="AP477" s="146">
        <v>3</v>
      </c>
      <c r="AQ477" s="10" t="str">
        <f ca="1">Sprache!$A$111</f>
        <v>Tiomos Scharnier T Impresso</v>
      </c>
      <c r="AR477" t="s">
        <v>76</v>
      </c>
      <c r="AS477" t="str">
        <f ca="1">Sprache!$A$116</f>
        <v>Tiomos Impresso Scharniere</v>
      </c>
      <c r="AT477">
        <v>3</v>
      </c>
      <c r="AU477" t="s">
        <v>3</v>
      </c>
      <c r="AV477">
        <v>160</v>
      </c>
      <c r="AW477" s="10">
        <v>0</v>
      </c>
      <c r="AX477">
        <v>1</v>
      </c>
      <c r="AY477">
        <v>0</v>
      </c>
      <c r="AZ477" s="10">
        <v>0</v>
      </c>
      <c r="BA477">
        <v>0</v>
      </c>
      <c r="BB477">
        <v>0</v>
      </c>
      <c r="BC477">
        <v>1</v>
      </c>
      <c r="BD477" s="143" t="s">
        <v>145</v>
      </c>
      <c r="BG477"/>
    </row>
    <row r="478" spans="1:59" ht="14.25" customHeight="1" x14ac:dyDescent="0.25">
      <c r="A478" s="37" t="str">
        <f>LEFT(Scharniere[[#This Row],[ArtikelNR]],4)</f>
        <v>F017</v>
      </c>
      <c r="B478" s="35" t="str">
        <f>MID(Scharniere[[#This Row],[ArtikelNR]],5,3)</f>
        <v>139</v>
      </c>
      <c r="C478" s="37" t="str">
        <f>RIGHT(Scharniere[[#This Row],[ArtikelNR]],3)</f>
        <v>351</v>
      </c>
      <c r="D478" s="35">
        <f>IF(AND(Scharniere[[#This Row],[Gruppenschlüssel]]=select!$A$44,Scharniere[[#This Row],[Scharnierart]]=1)=TRUE,1,0)</f>
        <v>0</v>
      </c>
      <c r="E4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8" s="35">
        <f>IF(select!$F$57=IF(Scharniere[[#This Row],[mit Dämpfung]]=1,1,IF(Scharniere[[#This Row],[ohne Dämpfung]]=1,2,IF(Scharniere[[#This Row],[ohne Feder]]=1,3,0))),1,0)</f>
        <v>0</v>
      </c>
      <c r="G478" s="35">
        <f>IF(Scharniere[[#This Row],[Bohrbild]]=select!$V$43,1,0)</f>
        <v>1</v>
      </c>
      <c r="H478" s="35">
        <f>IF(IF(Scharniere[[#This Row],[Anschrauben]]=1,1,IF(Scharniere[[#This Row],[Einpressen]]=1,2,IF(Scharniere[[#This Row],[Quick]]=1,3,IF(Scharniere[[#This Row],[Werkzeuglos]]=1,4,0))))=select!$F$48,1,0)</f>
        <v>0</v>
      </c>
      <c r="I4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8" s="149">
        <f>IF(AND(Scharniere[[#This Row],[Scharnierart]]=2,Scharniere[[#This Row],[Gruppenschlüssel]]=select!$A$318)=TRUE,1,0)</f>
        <v>0</v>
      </c>
      <c r="K478" s="221">
        <f ca="1">IF(select!$O$424&lt;6,1,0)</f>
        <v>1</v>
      </c>
      <c r="L478" s="139">
        <f>IF(select!$A$362=IF(Scharniere[[#This Row],[mit Dämpfung]]=1,1,IF(Scharniere[[#This Row],[ohne Dämpfung]]=1,2,IF(Scharniere[[#This Row],[ohne Feder]]=1,3,0))),1,0)</f>
        <v>1</v>
      </c>
      <c r="M478" s="135">
        <f>IF(Scharniere[[#This Row],[Bohrbild]]=select!$O$334,1,0)</f>
        <v>1</v>
      </c>
      <c r="N478" s="135">
        <f>IF(IF(Scharniere[[#This Row],[Anschrauben]]=1,1,IF(Scharniere[[#This Row],[Einpressen]]=1,2,IF(Scharniere[[#This Row],[Quick]]=1,3,IF(Scharniere[[#This Row],[Werkzeuglos]]=1,4,0))))=select!$E$362,1,0)</f>
        <v>0</v>
      </c>
      <c r="O4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8" s="298">
        <f>IF(AND(Scharniere[[#This Row],[Scharnierart]]=3,Scharniere[[#This Row],[Gruppenschlüssel]]=select!$A$747)=TRUE,1,0)</f>
        <v>0</v>
      </c>
      <c r="Q478" s="298">
        <f ca="1">IF(select!$O$945&lt;6,1,0)</f>
        <v>1</v>
      </c>
      <c r="R478" s="298">
        <f>IF(select!$A$778=IF(Scharniere[[#This Row],[mit Dämpfung]]=1,1,IF(Scharniere[[#This Row],[ohne Dämpfung]]=1,2,IF(Scharniere[[#This Row],[ohne Feder]]=1,3,0))),1,0)</f>
        <v>0</v>
      </c>
      <c r="S478" s="298">
        <f>IF(Scharniere[[#This Row],[Bohrbild]]=select!$A$755,1,0)</f>
        <v>0</v>
      </c>
      <c r="T478" s="298">
        <f>IF(IF(Scharniere[[#This Row],[Anschrauben]]=1,1,IF(Scharniere[[#This Row],[Einpressen]]=1,2,IF(Scharniere[[#This Row],[Quick]]=1,3,IF(Scharniere[[#This Row],[Werkzeuglos]]=1,4,0))))=select!$A$769,1,0)</f>
        <v>0</v>
      </c>
      <c r="U4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8" s="359">
        <f>IF(AND(Scharniere[[#This Row],[Scharnierart]]=4,Scharniere[[#This Row],[Gruppenschlüssel]]=select!$A$981)=TRUE,1,0)</f>
        <v>0</v>
      </c>
      <c r="W478" s="359">
        <f ca="1">IF(select!$O$1185&lt;6,1,0)</f>
        <v>1</v>
      </c>
      <c r="X478" s="359">
        <f>IF(select!$A$1012=IF(Scharniere[[#This Row],[mit Dämpfung]]=1,1,IF(Scharniere[[#This Row],[ohne Dämpfung]]=1,2,IF(Scharniere[[#This Row],[ohne Feder]]=1,3,0))),1,0)</f>
        <v>0</v>
      </c>
      <c r="Y478" s="359">
        <f>IF(Scharniere[[#This Row],[Bohrbild]]=select!$A$989,1,0)</f>
        <v>0</v>
      </c>
      <c r="Z478" s="359">
        <f>IF(IF(Scharniere[[#This Row],[Anschrauben]]=1,1,IF(Scharniere[[#This Row],[Einpressen]]=1,2,IF(Scharniere[[#This Row],[Quick]]=1,3,IF(Scharniere[[#This Row],[Werkzeuglos]]=1,4,0))))=select!$A$1003,1,0)</f>
        <v>0</v>
      </c>
      <c r="AA4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8" s="359">
        <f ca="1">IF(select!$K$980="*",Scharniere[[#This Row],[AG Ges2]],Scharniere[[#This Row],[AG Ges1]])</f>
        <v>0</v>
      </c>
      <c r="AE478" s="451">
        <f ca="1">IF(AND(Scharniere[[#This Row],[Scharnierart]]=select!$A$1485,Scharniere[[#This Row],[Gruppenschlüssel]]=select!$B$1485)=TRUE,1,0)</f>
        <v>0</v>
      </c>
      <c r="AF478" s="451">
        <f ca="1">IF(AND(Scharniere[[#This Row],[Scharnierart]]=select!$A$1486,Scharniere[[#This Row],[Gruppenschlüssel]]=select!$B$1486)=TRUE,1,0)</f>
        <v>0</v>
      </c>
      <c r="AG478" s="451">
        <f ca="1">IF(AND(Scharniere[[#This Row],[Scharnierart]]=select!$A$1487,Scharniere[[#This Row],[Gruppenschlüssel]]=select!$B$1487)=TRUE,1,0)</f>
        <v>0</v>
      </c>
      <c r="AH478" s="451">
        <f ca="1">IF(AND(Scharniere[[#This Row],[Scharnierart]]=select!$A$1488,Scharniere[[#This Row],[Gruppenschlüssel]]=select!$B$1488)=TRUE,1,0)</f>
        <v>0</v>
      </c>
      <c r="AI478" s="451">
        <f ca="1">IF(SUM(Scharniere[[#This Row],[konf Scharnier 1]:[konf Scharnier 4]])&gt;0,1,0)</f>
        <v>0</v>
      </c>
      <c r="AJ478" s="451"/>
      <c r="AK478" s="451"/>
      <c r="AL478" s="451"/>
      <c r="AM478" s="451"/>
      <c r="AN478" s="451"/>
      <c r="AO478" s="146">
        <v>1</v>
      </c>
      <c r="AP478" s="146">
        <v>3</v>
      </c>
      <c r="AQ478" s="10" t="str">
        <f ca="1">Sprache!$A$113</f>
        <v>Tiomos Scharnier TS Impresso</v>
      </c>
      <c r="AR478" t="s">
        <v>76</v>
      </c>
      <c r="AS478" t="str">
        <f ca="1">Sprache!$A$116</f>
        <v>Tiomos Impresso Scharniere</v>
      </c>
      <c r="AT478">
        <v>3</v>
      </c>
      <c r="AU478" s="34" t="s">
        <v>8</v>
      </c>
      <c r="AV478">
        <v>160</v>
      </c>
      <c r="AW478" s="10">
        <v>1</v>
      </c>
      <c r="AX478">
        <v>0</v>
      </c>
      <c r="AY478">
        <v>0</v>
      </c>
      <c r="AZ478" s="10">
        <v>0</v>
      </c>
      <c r="BA478">
        <v>0</v>
      </c>
      <c r="BB478">
        <v>0</v>
      </c>
      <c r="BC478">
        <v>1</v>
      </c>
      <c r="BD478" s="143" t="s">
        <v>75</v>
      </c>
      <c r="BG478"/>
    </row>
    <row r="479" spans="1:59" ht="14.25" customHeight="1" x14ac:dyDescent="0.25">
      <c r="A479" s="37" t="str">
        <f>LEFT(Scharniere[[#This Row],[ArtikelNR]],4)</f>
        <v>F017</v>
      </c>
      <c r="B479" s="35" t="str">
        <f>MID(Scharniere[[#This Row],[ArtikelNR]],5,3)</f>
        <v>139</v>
      </c>
      <c r="C479" s="37" t="str">
        <f>RIGHT(Scharniere[[#This Row],[ArtikelNR]],3)</f>
        <v>351</v>
      </c>
      <c r="D479" s="35">
        <f>IF(AND(Scharniere[[#This Row],[Gruppenschlüssel]]=select!$A$44,Scharniere[[#This Row],[Scharnierart]]=1)=TRUE,1,0)</f>
        <v>0</v>
      </c>
      <c r="E4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79" s="35">
        <f>IF(select!$F$57=IF(Scharniere[[#This Row],[mit Dämpfung]]=1,1,IF(Scharniere[[#This Row],[ohne Dämpfung]]=1,2,IF(Scharniere[[#This Row],[ohne Feder]]=1,3,0))),1,0)</f>
        <v>0</v>
      </c>
      <c r="G479" s="35">
        <f>IF(Scharniere[[#This Row],[Bohrbild]]=select!$V$43,1,0)</f>
        <v>0</v>
      </c>
      <c r="H479" s="35">
        <f>IF(IF(Scharniere[[#This Row],[Anschrauben]]=1,1,IF(Scharniere[[#This Row],[Einpressen]]=1,2,IF(Scharniere[[#This Row],[Quick]]=1,3,IF(Scharniere[[#This Row],[Werkzeuglos]]=1,4,0))))=select!$F$48,1,0)</f>
        <v>0</v>
      </c>
      <c r="I4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79" s="149">
        <f>IF(AND(Scharniere[[#This Row],[Scharnierart]]=2,Scharniere[[#This Row],[Gruppenschlüssel]]=select!$A$318)=TRUE,1,0)</f>
        <v>0</v>
      </c>
      <c r="K479" s="221">
        <f ca="1">IF(select!$O$424&lt;6,1,0)</f>
        <v>1</v>
      </c>
      <c r="L479" s="139">
        <f>IF(select!$A$362=IF(Scharniere[[#This Row],[mit Dämpfung]]=1,1,IF(Scharniere[[#This Row],[ohne Dämpfung]]=1,2,IF(Scharniere[[#This Row],[ohne Feder]]=1,3,0))),1,0)</f>
        <v>1</v>
      </c>
      <c r="M479" s="135">
        <f>IF(Scharniere[[#This Row],[Bohrbild]]=select!$O$334,1,0)</f>
        <v>0</v>
      </c>
      <c r="N479" s="135">
        <f>IF(IF(Scharniere[[#This Row],[Anschrauben]]=1,1,IF(Scharniere[[#This Row],[Einpressen]]=1,2,IF(Scharniere[[#This Row],[Quick]]=1,3,IF(Scharniere[[#This Row],[Werkzeuglos]]=1,4,0))))=select!$E$362,1,0)</f>
        <v>0</v>
      </c>
      <c r="O4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79" s="298">
        <f>IF(AND(Scharniere[[#This Row],[Scharnierart]]=3,Scharniere[[#This Row],[Gruppenschlüssel]]=select!$A$747)=TRUE,1,0)</f>
        <v>0</v>
      </c>
      <c r="Q479" s="298">
        <f ca="1">IF(select!$O$945&lt;6,1,0)</f>
        <v>1</v>
      </c>
      <c r="R479" s="298">
        <f>IF(select!$A$778=IF(Scharniere[[#This Row],[mit Dämpfung]]=1,1,IF(Scharniere[[#This Row],[ohne Dämpfung]]=1,2,IF(Scharniere[[#This Row],[ohne Feder]]=1,3,0))),1,0)</f>
        <v>0</v>
      </c>
      <c r="S479" s="298">
        <f>IF(Scharniere[[#This Row],[Bohrbild]]=select!$A$755,1,0)</f>
        <v>0</v>
      </c>
      <c r="T479" s="298">
        <f>IF(IF(Scharniere[[#This Row],[Anschrauben]]=1,1,IF(Scharniere[[#This Row],[Einpressen]]=1,2,IF(Scharniere[[#This Row],[Quick]]=1,3,IF(Scharniere[[#This Row],[Werkzeuglos]]=1,4,0))))=select!$A$769,1,0)</f>
        <v>0</v>
      </c>
      <c r="U4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79" s="359">
        <f>IF(AND(Scharniere[[#This Row],[Scharnierart]]=4,Scharniere[[#This Row],[Gruppenschlüssel]]=select!$A$981)=TRUE,1,0)</f>
        <v>0</v>
      </c>
      <c r="W479" s="359">
        <f ca="1">IF(select!$O$1185&lt;6,1,0)</f>
        <v>1</v>
      </c>
      <c r="X479" s="359">
        <f>IF(select!$A$1012=IF(Scharniere[[#This Row],[mit Dämpfung]]=1,1,IF(Scharniere[[#This Row],[ohne Dämpfung]]=1,2,IF(Scharniere[[#This Row],[ohne Feder]]=1,3,0))),1,0)</f>
        <v>0</v>
      </c>
      <c r="Y479" s="359">
        <f>IF(Scharniere[[#This Row],[Bohrbild]]=select!$A$989,1,0)</f>
        <v>0</v>
      </c>
      <c r="Z479" s="359">
        <f>IF(IF(Scharniere[[#This Row],[Anschrauben]]=1,1,IF(Scharniere[[#This Row],[Einpressen]]=1,2,IF(Scharniere[[#This Row],[Quick]]=1,3,IF(Scharniere[[#This Row],[Werkzeuglos]]=1,4,0))))=select!$A$1003,1,0)</f>
        <v>0</v>
      </c>
      <c r="AA4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79" s="359">
        <f ca="1">IF(select!$K$980="*",Scharniere[[#This Row],[AG Ges2]],Scharniere[[#This Row],[AG Ges1]])</f>
        <v>0</v>
      </c>
      <c r="AE479" s="451">
        <f ca="1">IF(AND(Scharniere[[#This Row],[Scharnierart]]=select!$A$1485,Scharniere[[#This Row],[Gruppenschlüssel]]=select!$B$1485)=TRUE,1,0)</f>
        <v>0</v>
      </c>
      <c r="AF479" s="451">
        <f ca="1">IF(AND(Scharniere[[#This Row],[Scharnierart]]=select!$A$1486,Scharniere[[#This Row],[Gruppenschlüssel]]=select!$B$1486)=TRUE,1,0)</f>
        <v>0</v>
      </c>
      <c r="AG479" s="451">
        <f ca="1">IF(AND(Scharniere[[#This Row],[Scharnierart]]=select!$A$1487,Scharniere[[#This Row],[Gruppenschlüssel]]=select!$B$1487)=TRUE,1,0)</f>
        <v>0</v>
      </c>
      <c r="AH479" s="451">
        <f ca="1">IF(AND(Scharniere[[#This Row],[Scharnierart]]=select!$A$1488,Scharniere[[#This Row],[Gruppenschlüssel]]=select!$B$1488)=TRUE,1,0)</f>
        <v>0</v>
      </c>
      <c r="AI479" s="451">
        <f ca="1">IF(SUM(Scharniere[[#This Row],[konf Scharnier 1]:[konf Scharnier 4]])&gt;0,1,0)</f>
        <v>0</v>
      </c>
      <c r="AJ479" s="451"/>
      <c r="AK479" s="451"/>
      <c r="AL479" s="451"/>
      <c r="AM479" s="451"/>
      <c r="AN479" s="451"/>
      <c r="AO479" s="146">
        <v>1</v>
      </c>
      <c r="AP479" s="146">
        <v>3</v>
      </c>
      <c r="AQ479" s="10" t="str">
        <f ca="1">Sprache!$A$113</f>
        <v>Tiomos Scharnier TS Impresso</v>
      </c>
      <c r="AR479" t="s">
        <v>76</v>
      </c>
      <c r="AS479" t="str">
        <f ca="1">Sprache!$A$116</f>
        <v>Tiomos Impresso Scharniere</v>
      </c>
      <c r="AT479">
        <v>3</v>
      </c>
      <c r="AU479" t="s">
        <v>3</v>
      </c>
      <c r="AV479">
        <v>160</v>
      </c>
      <c r="AW479" s="10">
        <v>1</v>
      </c>
      <c r="AX479">
        <v>0</v>
      </c>
      <c r="AY479">
        <v>0</v>
      </c>
      <c r="AZ479" s="10">
        <v>0</v>
      </c>
      <c r="BA479">
        <v>0</v>
      </c>
      <c r="BB479">
        <v>0</v>
      </c>
      <c r="BC479">
        <v>1</v>
      </c>
      <c r="BD479" s="143" t="s">
        <v>75</v>
      </c>
      <c r="BG479"/>
    </row>
    <row r="480" spans="1:59" ht="14.25" customHeight="1" x14ac:dyDescent="0.25">
      <c r="A480" s="37" t="str">
        <f>LEFT(Scharniere[[#This Row],[ArtikelNR]],4)</f>
        <v>F035</v>
      </c>
      <c r="B480" s="35" t="str">
        <f>MID(Scharniere[[#This Row],[ArtikelNR]],5,3)</f>
        <v>139</v>
      </c>
      <c r="C480" s="37" t="str">
        <f>RIGHT(Scharniere[[#This Row],[ArtikelNR]],3)</f>
        <v>379</v>
      </c>
      <c r="D480" s="35">
        <f>IF(AND(Scharniere[[#This Row],[Gruppenschlüssel]]=select!$A$44,Scharniere[[#This Row],[Scharnierart]]=1)=TRUE,1,0)</f>
        <v>0</v>
      </c>
      <c r="E4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0" s="35">
        <f>IF(select!$F$57=IF(Scharniere[[#This Row],[mit Dämpfung]]=1,1,IF(Scharniere[[#This Row],[ohne Dämpfung]]=1,2,IF(Scharniere[[#This Row],[ohne Feder]]=1,3,0))),1,0)</f>
        <v>1</v>
      </c>
      <c r="G480" s="35">
        <f>IF(Scharniere[[#This Row],[Bohrbild]]=select!$V$43,1,0)</f>
        <v>1</v>
      </c>
      <c r="H480" s="35">
        <f>IF(IF(Scharniere[[#This Row],[Anschrauben]]=1,1,IF(Scharniere[[#This Row],[Einpressen]]=1,2,IF(Scharniere[[#This Row],[Quick]]=1,3,IF(Scharniere[[#This Row],[Werkzeuglos]]=1,4,0))))=select!$F$48,1,0)</f>
        <v>0</v>
      </c>
      <c r="I4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0" s="149">
        <f>IF(AND(Scharniere[[#This Row],[Scharnierart]]=2,Scharniere[[#This Row],[Gruppenschlüssel]]=select!$A$318)=TRUE,1,0)</f>
        <v>0</v>
      </c>
      <c r="K480" s="221">
        <f ca="1">IF(select!$O$424&lt;6,1,0)</f>
        <v>1</v>
      </c>
      <c r="L480" s="139">
        <f>IF(select!$A$362=IF(Scharniere[[#This Row],[mit Dämpfung]]=1,1,IF(Scharniere[[#This Row],[ohne Dämpfung]]=1,2,IF(Scharniere[[#This Row],[ohne Feder]]=1,3,0))),1,0)</f>
        <v>0</v>
      </c>
      <c r="M480" s="135">
        <f>IF(Scharniere[[#This Row],[Bohrbild]]=select!$O$334,1,0)</f>
        <v>1</v>
      </c>
      <c r="N480" s="135">
        <f>IF(IF(Scharniere[[#This Row],[Anschrauben]]=1,1,IF(Scharniere[[#This Row],[Einpressen]]=1,2,IF(Scharniere[[#This Row],[Quick]]=1,3,IF(Scharniere[[#This Row],[Werkzeuglos]]=1,4,0))))=select!$E$362,1,0)</f>
        <v>0</v>
      </c>
      <c r="O4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0" s="298">
        <f>IF(AND(Scharniere[[#This Row],[Scharnierart]]=3,Scharniere[[#This Row],[Gruppenschlüssel]]=select!$A$747)=TRUE,1,0)</f>
        <v>0</v>
      </c>
      <c r="Q480" s="298">
        <f ca="1">IF(select!$O$945&lt;6,1,0)</f>
        <v>1</v>
      </c>
      <c r="R480" s="298">
        <f>IF(select!$A$778=IF(Scharniere[[#This Row],[mit Dämpfung]]=1,1,IF(Scharniere[[#This Row],[ohne Dämpfung]]=1,2,IF(Scharniere[[#This Row],[ohne Feder]]=1,3,0))),1,0)</f>
        <v>0</v>
      </c>
      <c r="S480" s="298">
        <f>IF(Scharniere[[#This Row],[Bohrbild]]=select!$A$755,1,0)</f>
        <v>0</v>
      </c>
      <c r="T480" s="298">
        <f>IF(IF(Scharniere[[#This Row],[Anschrauben]]=1,1,IF(Scharniere[[#This Row],[Einpressen]]=1,2,IF(Scharniere[[#This Row],[Quick]]=1,3,IF(Scharniere[[#This Row],[Werkzeuglos]]=1,4,0))))=select!$A$769,1,0)</f>
        <v>0</v>
      </c>
      <c r="U4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0" s="359">
        <f>IF(AND(Scharniere[[#This Row],[Scharnierart]]=4,Scharniere[[#This Row],[Gruppenschlüssel]]=select!$A$981)=TRUE,1,0)</f>
        <v>0</v>
      </c>
      <c r="W480" s="359">
        <f ca="1">IF(select!$O$1185&lt;6,1,0)</f>
        <v>1</v>
      </c>
      <c r="X480" s="359">
        <f>IF(select!$A$1012=IF(Scharniere[[#This Row],[mit Dämpfung]]=1,1,IF(Scharniere[[#This Row],[ohne Dämpfung]]=1,2,IF(Scharniere[[#This Row],[ohne Feder]]=1,3,0))),1,0)</f>
        <v>0</v>
      </c>
      <c r="Y480" s="359">
        <f>IF(Scharniere[[#This Row],[Bohrbild]]=select!$A$989,1,0)</f>
        <v>0</v>
      </c>
      <c r="Z480" s="359">
        <f>IF(IF(Scharniere[[#This Row],[Anschrauben]]=1,1,IF(Scharniere[[#This Row],[Einpressen]]=1,2,IF(Scharniere[[#This Row],[Quick]]=1,3,IF(Scharniere[[#This Row],[Werkzeuglos]]=1,4,0))))=select!$A$1003,1,0)</f>
        <v>0</v>
      </c>
      <c r="AA4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0" s="359">
        <f ca="1">IF(select!$K$980="*",Scharniere[[#This Row],[AG Ges2]],Scharniere[[#This Row],[AG Ges1]])</f>
        <v>0</v>
      </c>
      <c r="AE480" s="451">
        <f ca="1">IF(AND(Scharniere[[#This Row],[Scharnierart]]=select!$A$1485,Scharniere[[#This Row],[Gruppenschlüssel]]=select!$B$1485)=TRUE,1,0)</f>
        <v>0</v>
      </c>
      <c r="AF480" s="451">
        <f ca="1">IF(AND(Scharniere[[#This Row],[Scharnierart]]=select!$A$1486,Scharniere[[#This Row],[Gruppenschlüssel]]=select!$B$1486)=TRUE,1,0)</f>
        <v>0</v>
      </c>
      <c r="AG480" s="451">
        <f ca="1">IF(AND(Scharniere[[#This Row],[Scharnierart]]=select!$A$1487,Scharniere[[#This Row],[Gruppenschlüssel]]=select!$B$1487)=TRUE,1,0)</f>
        <v>0</v>
      </c>
      <c r="AH480" s="451">
        <f ca="1">IF(AND(Scharniere[[#This Row],[Scharnierart]]=select!$A$1488,Scharniere[[#This Row],[Gruppenschlüssel]]=select!$B$1488)=TRUE,1,0)</f>
        <v>0</v>
      </c>
      <c r="AI480" s="451">
        <f ca="1">IF(SUM(Scharniere[[#This Row],[konf Scharnier 1]:[konf Scharnier 4]])&gt;0,1,0)</f>
        <v>0</v>
      </c>
      <c r="AJ480" s="451"/>
      <c r="AK480" s="451"/>
      <c r="AL480" s="451"/>
      <c r="AM480" s="451"/>
      <c r="AN480" s="451"/>
      <c r="AO480" s="146">
        <v>1</v>
      </c>
      <c r="AP480" s="146">
        <v>3</v>
      </c>
      <c r="AQ480" s="10" t="str">
        <f ca="1">Sprache!$A$115</f>
        <v>Tiomos Scharnier TT Impresso</v>
      </c>
      <c r="AR480" t="s">
        <v>76</v>
      </c>
      <c r="AS480" t="str">
        <f ca="1">Sprache!$A$116</f>
        <v>Tiomos Impresso Scharniere</v>
      </c>
      <c r="AT480">
        <v>3</v>
      </c>
      <c r="AU480" t="s">
        <v>8</v>
      </c>
      <c r="AV480">
        <v>160</v>
      </c>
      <c r="AW480" s="10">
        <v>0</v>
      </c>
      <c r="AX480">
        <v>0</v>
      </c>
      <c r="AY480">
        <v>1</v>
      </c>
      <c r="AZ480" s="10">
        <v>0</v>
      </c>
      <c r="BA480">
        <v>0</v>
      </c>
      <c r="BB480">
        <v>0</v>
      </c>
      <c r="BC480">
        <v>1</v>
      </c>
      <c r="BD480" s="143" t="s">
        <v>189</v>
      </c>
      <c r="BG480"/>
    </row>
    <row r="481" spans="1:59" ht="14.25" customHeight="1" x14ac:dyDescent="0.25">
      <c r="A481" s="37" t="str">
        <f>LEFT(Scharniere[[#This Row],[ArtikelNR]],4)</f>
        <v>F035</v>
      </c>
      <c r="B481" s="35" t="str">
        <f>MID(Scharniere[[#This Row],[ArtikelNR]],5,3)</f>
        <v>139</v>
      </c>
      <c r="C481" s="37" t="str">
        <f>RIGHT(Scharniere[[#This Row],[ArtikelNR]],3)</f>
        <v>379</v>
      </c>
      <c r="D481" s="35">
        <f>IF(AND(Scharniere[[#This Row],[Gruppenschlüssel]]=select!$A$44,Scharniere[[#This Row],[Scharnierart]]=1)=TRUE,1,0)</f>
        <v>0</v>
      </c>
      <c r="E4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1" s="35">
        <f>IF(select!$F$57=IF(Scharniere[[#This Row],[mit Dämpfung]]=1,1,IF(Scharniere[[#This Row],[ohne Dämpfung]]=1,2,IF(Scharniere[[#This Row],[ohne Feder]]=1,3,0))),1,0)</f>
        <v>1</v>
      </c>
      <c r="G481" s="35">
        <f>IF(Scharniere[[#This Row],[Bohrbild]]=select!$V$43,1,0)</f>
        <v>0</v>
      </c>
      <c r="H481" s="35">
        <f>IF(IF(Scharniere[[#This Row],[Anschrauben]]=1,1,IF(Scharniere[[#This Row],[Einpressen]]=1,2,IF(Scharniere[[#This Row],[Quick]]=1,3,IF(Scharniere[[#This Row],[Werkzeuglos]]=1,4,0))))=select!$F$48,1,0)</f>
        <v>0</v>
      </c>
      <c r="I4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1" s="149">
        <f>IF(AND(Scharniere[[#This Row],[Scharnierart]]=2,Scharniere[[#This Row],[Gruppenschlüssel]]=select!$A$318)=TRUE,1,0)</f>
        <v>0</v>
      </c>
      <c r="K481" s="221">
        <f ca="1">IF(select!$O$424&lt;6,1,0)</f>
        <v>1</v>
      </c>
      <c r="L481" s="139">
        <f>IF(select!$A$362=IF(Scharniere[[#This Row],[mit Dämpfung]]=1,1,IF(Scharniere[[#This Row],[ohne Dämpfung]]=1,2,IF(Scharniere[[#This Row],[ohne Feder]]=1,3,0))),1,0)</f>
        <v>0</v>
      </c>
      <c r="M481" s="135">
        <f>IF(Scharniere[[#This Row],[Bohrbild]]=select!$O$334,1,0)</f>
        <v>0</v>
      </c>
      <c r="N481" s="135">
        <f>IF(IF(Scharniere[[#This Row],[Anschrauben]]=1,1,IF(Scharniere[[#This Row],[Einpressen]]=1,2,IF(Scharniere[[#This Row],[Quick]]=1,3,IF(Scharniere[[#This Row],[Werkzeuglos]]=1,4,0))))=select!$E$362,1,0)</f>
        <v>0</v>
      </c>
      <c r="O4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1" s="298">
        <f>IF(AND(Scharniere[[#This Row],[Scharnierart]]=3,Scharniere[[#This Row],[Gruppenschlüssel]]=select!$A$747)=TRUE,1,0)</f>
        <v>0</v>
      </c>
      <c r="Q481" s="298">
        <f ca="1">IF(select!$O$945&lt;6,1,0)</f>
        <v>1</v>
      </c>
      <c r="R481" s="298">
        <f>IF(select!$A$778=IF(Scharniere[[#This Row],[mit Dämpfung]]=1,1,IF(Scharniere[[#This Row],[ohne Dämpfung]]=1,2,IF(Scharniere[[#This Row],[ohne Feder]]=1,3,0))),1,0)</f>
        <v>0</v>
      </c>
      <c r="S481" s="298">
        <f>IF(Scharniere[[#This Row],[Bohrbild]]=select!$A$755,1,0)</f>
        <v>0</v>
      </c>
      <c r="T481" s="298">
        <f>IF(IF(Scharniere[[#This Row],[Anschrauben]]=1,1,IF(Scharniere[[#This Row],[Einpressen]]=1,2,IF(Scharniere[[#This Row],[Quick]]=1,3,IF(Scharniere[[#This Row],[Werkzeuglos]]=1,4,0))))=select!$A$769,1,0)</f>
        <v>0</v>
      </c>
      <c r="U4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1" s="359">
        <f>IF(AND(Scharniere[[#This Row],[Scharnierart]]=4,Scharniere[[#This Row],[Gruppenschlüssel]]=select!$A$981)=TRUE,1,0)</f>
        <v>0</v>
      </c>
      <c r="W481" s="359">
        <f ca="1">IF(select!$O$1185&lt;6,1,0)</f>
        <v>1</v>
      </c>
      <c r="X481" s="359">
        <f>IF(select!$A$1012=IF(Scharniere[[#This Row],[mit Dämpfung]]=1,1,IF(Scharniere[[#This Row],[ohne Dämpfung]]=1,2,IF(Scharniere[[#This Row],[ohne Feder]]=1,3,0))),1,0)</f>
        <v>0</v>
      </c>
      <c r="Y481" s="359">
        <f>IF(Scharniere[[#This Row],[Bohrbild]]=select!$A$989,1,0)</f>
        <v>0</v>
      </c>
      <c r="Z481" s="359">
        <f>IF(IF(Scharniere[[#This Row],[Anschrauben]]=1,1,IF(Scharniere[[#This Row],[Einpressen]]=1,2,IF(Scharniere[[#This Row],[Quick]]=1,3,IF(Scharniere[[#This Row],[Werkzeuglos]]=1,4,0))))=select!$A$1003,1,0)</f>
        <v>0</v>
      </c>
      <c r="AA4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1" s="359">
        <f ca="1">IF(select!$K$980="*",Scharniere[[#This Row],[AG Ges2]],Scharniere[[#This Row],[AG Ges1]])</f>
        <v>0</v>
      </c>
      <c r="AE481" s="451">
        <f ca="1">IF(AND(Scharniere[[#This Row],[Scharnierart]]=select!$A$1485,Scharniere[[#This Row],[Gruppenschlüssel]]=select!$B$1485)=TRUE,1,0)</f>
        <v>0</v>
      </c>
      <c r="AF481" s="451">
        <f ca="1">IF(AND(Scharniere[[#This Row],[Scharnierart]]=select!$A$1486,Scharniere[[#This Row],[Gruppenschlüssel]]=select!$B$1486)=TRUE,1,0)</f>
        <v>0</v>
      </c>
      <c r="AG481" s="451">
        <f ca="1">IF(AND(Scharniere[[#This Row],[Scharnierart]]=select!$A$1487,Scharniere[[#This Row],[Gruppenschlüssel]]=select!$B$1487)=TRUE,1,0)</f>
        <v>0</v>
      </c>
      <c r="AH481" s="451">
        <f ca="1">IF(AND(Scharniere[[#This Row],[Scharnierart]]=select!$A$1488,Scharniere[[#This Row],[Gruppenschlüssel]]=select!$B$1488)=TRUE,1,0)</f>
        <v>0</v>
      </c>
      <c r="AI481" s="451">
        <f ca="1">IF(SUM(Scharniere[[#This Row],[konf Scharnier 1]:[konf Scharnier 4]])&gt;0,1,0)</f>
        <v>0</v>
      </c>
      <c r="AJ481" s="451"/>
      <c r="AK481" s="451"/>
      <c r="AL481" s="451"/>
      <c r="AM481" s="451"/>
      <c r="AN481" s="451"/>
      <c r="AO481" s="146">
        <v>1</v>
      </c>
      <c r="AP481" s="146">
        <v>3</v>
      </c>
      <c r="AQ481" s="10" t="str">
        <f ca="1">Sprache!$A$115</f>
        <v>Tiomos Scharnier TT Impresso</v>
      </c>
      <c r="AR481" t="s">
        <v>76</v>
      </c>
      <c r="AS481" t="str">
        <f ca="1">Sprache!$A$116</f>
        <v>Tiomos Impresso Scharniere</v>
      </c>
      <c r="AT481">
        <v>3</v>
      </c>
      <c r="AU481" s="34" t="s">
        <v>3</v>
      </c>
      <c r="AV481">
        <v>160</v>
      </c>
      <c r="AW481" s="10">
        <v>0</v>
      </c>
      <c r="AX481">
        <v>0</v>
      </c>
      <c r="AY481">
        <v>1</v>
      </c>
      <c r="AZ481" s="10">
        <v>0</v>
      </c>
      <c r="BA481">
        <v>0</v>
      </c>
      <c r="BB481">
        <v>0</v>
      </c>
      <c r="BC481">
        <v>1</v>
      </c>
      <c r="BD481" s="143" t="s">
        <v>189</v>
      </c>
      <c r="BG481"/>
    </row>
    <row r="482" spans="1:59" ht="14.25" customHeight="1" x14ac:dyDescent="0.25">
      <c r="A482" s="37" t="str">
        <f>LEFT(Scharniere[[#This Row],[ArtikelNR]],4)</f>
        <v>F045</v>
      </c>
      <c r="B482" s="35" t="str">
        <f>MID(Scharniere[[#This Row],[ArtikelNR]],5,3)</f>
        <v>138</v>
      </c>
      <c r="C482" s="37" t="str">
        <f>RIGHT(Scharniere[[#This Row],[ArtikelNR]],3)</f>
        <v>867</v>
      </c>
      <c r="D482" s="35">
        <f>IF(AND(Scharniere[[#This Row],[Gruppenschlüssel]]=select!$A$44,Scharniere[[#This Row],[Scharnierart]]=1)=TRUE,1,0)</f>
        <v>0</v>
      </c>
      <c r="E4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2" s="35">
        <f>IF(select!$F$57=IF(Scharniere[[#This Row],[mit Dämpfung]]=1,1,IF(Scharniere[[#This Row],[ohne Dämpfung]]=1,2,IF(Scharniere[[#This Row],[ohne Feder]]=1,3,0))),1,0)</f>
        <v>0</v>
      </c>
      <c r="G482" s="35">
        <f>IF(Scharniere[[#This Row],[Bohrbild]]=select!$V$43,1,0)</f>
        <v>0</v>
      </c>
      <c r="H482" s="35">
        <f>IF(IF(Scharniere[[#This Row],[Anschrauben]]=1,1,IF(Scharniere[[#This Row],[Einpressen]]=1,2,IF(Scharniere[[#This Row],[Quick]]=1,3,IF(Scharniere[[#This Row],[Werkzeuglos]]=1,4,0))))=select!$F$48,1,0)</f>
        <v>1</v>
      </c>
      <c r="I4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2" s="149">
        <f>IF(AND(Scharniere[[#This Row],[Scharnierart]]=2,Scharniere[[#This Row],[Gruppenschlüssel]]=select!$A$318)=TRUE,1,0)</f>
        <v>0</v>
      </c>
      <c r="K482" s="221">
        <f ca="1">IF(select!$O$424&lt;6,1,0)</f>
        <v>1</v>
      </c>
      <c r="L482" s="139">
        <f>IF(select!$A$362=IF(Scharniere[[#This Row],[mit Dämpfung]]=1,1,IF(Scharniere[[#This Row],[ohne Dämpfung]]=1,2,IF(Scharniere[[#This Row],[ohne Feder]]=1,3,0))),1,0)</f>
        <v>0</v>
      </c>
      <c r="M482" s="135">
        <f>IF(Scharniere[[#This Row],[Bohrbild]]=select!$O$334,1,0)</f>
        <v>0</v>
      </c>
      <c r="N482" s="135">
        <f>IF(IF(Scharniere[[#This Row],[Anschrauben]]=1,1,IF(Scharniere[[#This Row],[Einpressen]]=1,2,IF(Scharniere[[#This Row],[Quick]]=1,3,IF(Scharniere[[#This Row],[Werkzeuglos]]=1,4,0))))=select!$E$362,1,0)</f>
        <v>0</v>
      </c>
      <c r="O4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2" s="298">
        <f>IF(AND(Scharniere[[#This Row],[Scharnierart]]=3,Scharniere[[#This Row],[Gruppenschlüssel]]=select!$A$747)=TRUE,1,0)</f>
        <v>0</v>
      </c>
      <c r="Q482" s="298">
        <f ca="1">IF(select!$O$945&lt;6,1,0)</f>
        <v>1</v>
      </c>
      <c r="R482" s="298">
        <f>IF(select!$A$778=IF(Scharniere[[#This Row],[mit Dämpfung]]=1,1,IF(Scharniere[[#This Row],[ohne Dämpfung]]=1,2,IF(Scharniere[[#This Row],[ohne Feder]]=1,3,0))),1,0)</f>
        <v>1</v>
      </c>
      <c r="S482" s="298">
        <f>IF(Scharniere[[#This Row],[Bohrbild]]=select!$A$755,1,0)</f>
        <v>0</v>
      </c>
      <c r="T482" s="298">
        <f>IF(IF(Scharniere[[#This Row],[Anschrauben]]=1,1,IF(Scharniere[[#This Row],[Einpressen]]=1,2,IF(Scharniere[[#This Row],[Quick]]=1,3,IF(Scharniere[[#This Row],[Werkzeuglos]]=1,4,0))))=select!$A$769,1,0)</f>
        <v>0</v>
      </c>
      <c r="U4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2" s="359">
        <f>IF(AND(Scharniere[[#This Row],[Scharnierart]]=4,Scharniere[[#This Row],[Gruppenschlüssel]]=select!$A$981)=TRUE,1,0)</f>
        <v>0</v>
      </c>
      <c r="W482" s="359">
        <f ca="1">IF(select!$O$1185&lt;6,1,0)</f>
        <v>1</v>
      </c>
      <c r="X482" s="359">
        <f>IF(select!$A$1012=IF(Scharniere[[#This Row],[mit Dämpfung]]=1,1,IF(Scharniere[[#This Row],[ohne Dämpfung]]=1,2,IF(Scharniere[[#This Row],[ohne Feder]]=1,3,0))),1,0)</f>
        <v>1</v>
      </c>
      <c r="Y482" s="359">
        <f>IF(Scharniere[[#This Row],[Bohrbild]]=select!$A$989,1,0)</f>
        <v>0</v>
      </c>
      <c r="Z482" s="359">
        <f>IF(IF(Scharniere[[#This Row],[Anschrauben]]=1,1,IF(Scharniere[[#This Row],[Einpressen]]=1,2,IF(Scharniere[[#This Row],[Quick]]=1,3,IF(Scharniere[[#This Row],[Werkzeuglos]]=1,4,0))))=select!$A$1003,1,0)</f>
        <v>0</v>
      </c>
      <c r="AA4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2" s="359">
        <f ca="1">IF(select!$K$980="*",Scharniere[[#This Row],[AG Ges2]],Scharniere[[#This Row],[AG Ges1]])</f>
        <v>0</v>
      </c>
      <c r="AE482" s="451">
        <f ca="1">IF(AND(Scharniere[[#This Row],[Scharnierart]]=select!$A$1485,Scharniere[[#This Row],[Gruppenschlüssel]]=select!$B$1485)=TRUE,1,0)</f>
        <v>0</v>
      </c>
      <c r="AF482" s="451">
        <f ca="1">IF(AND(Scharniere[[#This Row],[Scharnierart]]=select!$A$1486,Scharniere[[#This Row],[Gruppenschlüssel]]=select!$B$1486)=TRUE,1,0)</f>
        <v>0</v>
      </c>
      <c r="AG482" s="451">
        <f ca="1">IF(AND(Scharniere[[#This Row],[Scharnierart]]=select!$A$1487,Scharniere[[#This Row],[Gruppenschlüssel]]=select!$B$1487)=TRUE,1,0)</f>
        <v>0</v>
      </c>
      <c r="AH482" s="451">
        <f ca="1">IF(AND(Scharniere[[#This Row],[Scharnierart]]=select!$A$1488,Scharniere[[#This Row],[Gruppenschlüssel]]=select!$B$1488)=TRUE,1,0)</f>
        <v>0</v>
      </c>
      <c r="AI482" s="451">
        <f ca="1">IF(SUM(Scharniere[[#This Row],[konf Scharnier 1]:[konf Scharnier 4]])&gt;0,1,0)</f>
        <v>0</v>
      </c>
      <c r="AJ482" s="451"/>
      <c r="AK482" s="451"/>
      <c r="AL482" s="451"/>
      <c r="AM482" s="451"/>
      <c r="AN482" s="451"/>
      <c r="AO482" s="146">
        <v>1</v>
      </c>
      <c r="AP482" s="146">
        <v>3</v>
      </c>
      <c r="AQ482" s="10" t="str">
        <f ca="1">Sprache!$A$110</f>
        <v>Tiomos Scharnier T Click-on</v>
      </c>
      <c r="AR482" t="str">
        <f ca="1">"160°, S-BB, K03, "&amp;Sprache!A181&amp;", ni"</f>
        <v>160°, S-BB, K03, Dübel, ni</v>
      </c>
      <c r="AS482" t="str">
        <f ca="1">Sprache!$A$103</f>
        <v>Tiomos Click-On Scharniere</v>
      </c>
      <c r="AT482">
        <v>3</v>
      </c>
      <c r="AU482" t="s">
        <v>11</v>
      </c>
      <c r="AV482">
        <v>160</v>
      </c>
      <c r="AW482" s="10">
        <v>0</v>
      </c>
      <c r="AX482">
        <v>1</v>
      </c>
      <c r="AY482">
        <v>0</v>
      </c>
      <c r="AZ482" s="10">
        <v>0</v>
      </c>
      <c r="BA482">
        <v>1</v>
      </c>
      <c r="BB482">
        <v>0</v>
      </c>
      <c r="BC482">
        <v>0</v>
      </c>
      <c r="BD482" s="143" t="s">
        <v>560</v>
      </c>
      <c r="BG482"/>
    </row>
    <row r="483" spans="1:59" ht="14.25" customHeight="1" x14ac:dyDescent="0.25">
      <c r="A483" s="37" t="str">
        <f>LEFT(Scharniere[[#This Row],[ArtikelNR]],4)</f>
        <v>F028</v>
      </c>
      <c r="B483" s="35" t="str">
        <f>MID(Scharniere[[#This Row],[ArtikelNR]],5,3)</f>
        <v>138</v>
      </c>
      <c r="C483" s="37" t="str">
        <f>RIGHT(Scharniere[[#This Row],[ArtikelNR]],3)</f>
        <v>929</v>
      </c>
      <c r="D483" s="35">
        <f>IF(AND(Scharniere[[#This Row],[Gruppenschlüssel]]=select!$A$44,Scharniere[[#This Row],[Scharnierart]]=1)=TRUE,1,0)</f>
        <v>0</v>
      </c>
      <c r="E4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3" s="35">
        <f>IF(select!$F$57=IF(Scharniere[[#This Row],[mit Dämpfung]]=1,1,IF(Scharniere[[#This Row],[ohne Dämpfung]]=1,2,IF(Scharniere[[#This Row],[ohne Feder]]=1,3,0))),1,0)</f>
        <v>0</v>
      </c>
      <c r="G483" s="35">
        <f>IF(Scharniere[[#This Row],[Bohrbild]]=select!$V$43,1,0)</f>
        <v>0</v>
      </c>
      <c r="H483" s="35">
        <f>IF(IF(Scharniere[[#This Row],[Anschrauben]]=1,1,IF(Scharniere[[#This Row],[Einpressen]]=1,2,IF(Scharniere[[#This Row],[Quick]]=1,3,IF(Scharniere[[#This Row],[Werkzeuglos]]=1,4,0))))=select!$F$48,1,0)</f>
        <v>1</v>
      </c>
      <c r="I4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3" s="149">
        <f>IF(AND(Scharniere[[#This Row],[Scharnierart]]=2,Scharniere[[#This Row],[Gruppenschlüssel]]=select!$A$318)=TRUE,1,0)</f>
        <v>0</v>
      </c>
      <c r="K483" s="221">
        <f ca="1">IF(select!$O$424&lt;6,1,0)</f>
        <v>1</v>
      </c>
      <c r="L483" s="139">
        <f>IF(select!$A$362=IF(Scharniere[[#This Row],[mit Dämpfung]]=1,1,IF(Scharniere[[#This Row],[ohne Dämpfung]]=1,2,IF(Scharniere[[#This Row],[ohne Feder]]=1,3,0))),1,0)</f>
        <v>1</v>
      </c>
      <c r="M483" s="135">
        <f>IF(Scharniere[[#This Row],[Bohrbild]]=select!$O$334,1,0)</f>
        <v>0</v>
      </c>
      <c r="N483" s="135">
        <f>IF(IF(Scharniere[[#This Row],[Anschrauben]]=1,1,IF(Scharniere[[#This Row],[Einpressen]]=1,2,IF(Scharniere[[#This Row],[Quick]]=1,3,IF(Scharniere[[#This Row],[Werkzeuglos]]=1,4,0))))=select!$E$362,1,0)</f>
        <v>0</v>
      </c>
      <c r="O4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3" s="298">
        <f>IF(AND(Scharniere[[#This Row],[Scharnierart]]=3,Scharniere[[#This Row],[Gruppenschlüssel]]=select!$A$747)=TRUE,1,0)</f>
        <v>0</v>
      </c>
      <c r="Q483" s="298">
        <f ca="1">IF(select!$O$945&lt;6,1,0)</f>
        <v>1</v>
      </c>
      <c r="R483" s="298">
        <f>IF(select!$A$778=IF(Scharniere[[#This Row],[mit Dämpfung]]=1,1,IF(Scharniere[[#This Row],[ohne Dämpfung]]=1,2,IF(Scharniere[[#This Row],[ohne Feder]]=1,3,0))),1,0)</f>
        <v>0</v>
      </c>
      <c r="S483" s="298">
        <f>IF(Scharniere[[#This Row],[Bohrbild]]=select!$A$755,1,0)</f>
        <v>0</v>
      </c>
      <c r="T483" s="298">
        <f>IF(IF(Scharniere[[#This Row],[Anschrauben]]=1,1,IF(Scharniere[[#This Row],[Einpressen]]=1,2,IF(Scharniere[[#This Row],[Quick]]=1,3,IF(Scharniere[[#This Row],[Werkzeuglos]]=1,4,0))))=select!$A$769,1,0)</f>
        <v>0</v>
      </c>
      <c r="U4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3" s="359">
        <f>IF(AND(Scharniere[[#This Row],[Scharnierart]]=4,Scharniere[[#This Row],[Gruppenschlüssel]]=select!$A$981)=TRUE,1,0)</f>
        <v>0</v>
      </c>
      <c r="W483" s="359">
        <f ca="1">IF(select!$O$1185&lt;6,1,0)</f>
        <v>1</v>
      </c>
      <c r="X483" s="359">
        <f>IF(select!$A$1012=IF(Scharniere[[#This Row],[mit Dämpfung]]=1,1,IF(Scharniere[[#This Row],[ohne Dämpfung]]=1,2,IF(Scharniere[[#This Row],[ohne Feder]]=1,3,0))),1,0)</f>
        <v>0</v>
      </c>
      <c r="Y483" s="359">
        <f>IF(Scharniere[[#This Row],[Bohrbild]]=select!$A$989,1,0)</f>
        <v>0</v>
      </c>
      <c r="Z483" s="359">
        <f>IF(IF(Scharniere[[#This Row],[Anschrauben]]=1,1,IF(Scharniere[[#This Row],[Einpressen]]=1,2,IF(Scharniere[[#This Row],[Quick]]=1,3,IF(Scharniere[[#This Row],[Werkzeuglos]]=1,4,0))))=select!$A$1003,1,0)</f>
        <v>0</v>
      </c>
      <c r="AA4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3" s="359">
        <f ca="1">IF(select!$K$980="*",Scharniere[[#This Row],[AG Ges2]],Scharniere[[#This Row],[AG Ges1]])</f>
        <v>0</v>
      </c>
      <c r="AE483" s="451">
        <f ca="1">IF(AND(Scharniere[[#This Row],[Scharnierart]]=select!$A$1485,Scharniere[[#This Row],[Gruppenschlüssel]]=select!$B$1485)=TRUE,1,0)</f>
        <v>0</v>
      </c>
      <c r="AF483" s="451">
        <f ca="1">IF(AND(Scharniere[[#This Row],[Scharnierart]]=select!$A$1486,Scharniere[[#This Row],[Gruppenschlüssel]]=select!$B$1486)=TRUE,1,0)</f>
        <v>0</v>
      </c>
      <c r="AG483" s="451">
        <f ca="1">IF(AND(Scharniere[[#This Row],[Scharnierart]]=select!$A$1487,Scharniere[[#This Row],[Gruppenschlüssel]]=select!$B$1487)=TRUE,1,0)</f>
        <v>0</v>
      </c>
      <c r="AH483" s="451">
        <f ca="1">IF(AND(Scharniere[[#This Row],[Scharnierart]]=select!$A$1488,Scharniere[[#This Row],[Gruppenschlüssel]]=select!$B$1488)=TRUE,1,0)</f>
        <v>0</v>
      </c>
      <c r="AI483" s="451">
        <f ca="1">IF(SUM(Scharniere[[#This Row],[konf Scharnier 1]:[konf Scharnier 4]])&gt;0,1,0)</f>
        <v>0</v>
      </c>
      <c r="AJ483" s="451"/>
      <c r="AK483" s="451"/>
      <c r="AL483" s="451"/>
      <c r="AM483" s="451"/>
      <c r="AN483" s="451"/>
      <c r="AO483" s="146">
        <v>1</v>
      </c>
      <c r="AP483" s="146">
        <v>3</v>
      </c>
      <c r="AQ483" s="10" t="str">
        <f ca="1">Sprache!$A$112</f>
        <v>Tiomos Scharnier TS Click-on</v>
      </c>
      <c r="AR483" t="str">
        <f ca="1">"160°, S-BB, K03, "&amp;Sprache!A181&amp;", ni"</f>
        <v>160°, S-BB, K03, Dübel, ni</v>
      </c>
      <c r="AS483" t="str">
        <f ca="1">Sprache!$A$103</f>
        <v>Tiomos Click-On Scharniere</v>
      </c>
      <c r="AT483">
        <v>3</v>
      </c>
      <c r="AU483" t="s">
        <v>11</v>
      </c>
      <c r="AV483">
        <v>160</v>
      </c>
      <c r="AW483" s="10">
        <v>1</v>
      </c>
      <c r="AX483">
        <v>0</v>
      </c>
      <c r="AY483">
        <v>0</v>
      </c>
      <c r="AZ483" s="10">
        <v>0</v>
      </c>
      <c r="BA483">
        <v>1</v>
      </c>
      <c r="BB483">
        <v>0</v>
      </c>
      <c r="BC483">
        <v>0</v>
      </c>
      <c r="BD483" s="143" t="s">
        <v>404</v>
      </c>
      <c r="BG483"/>
    </row>
    <row r="484" spans="1:59" ht="14.25" customHeight="1" x14ac:dyDescent="0.25">
      <c r="A484" s="37" t="str">
        <f>LEFT(Scharniere[[#This Row],[ArtikelNR]],4)</f>
        <v>F046</v>
      </c>
      <c r="B484" s="35" t="str">
        <f>MID(Scharniere[[#This Row],[ArtikelNR]],5,3)</f>
        <v>138</v>
      </c>
      <c r="C484" s="37" t="str">
        <f>RIGHT(Scharniere[[#This Row],[ArtikelNR]],3)</f>
        <v>989</v>
      </c>
      <c r="D484" s="35">
        <f>IF(AND(Scharniere[[#This Row],[Gruppenschlüssel]]=select!$A$44,Scharniere[[#This Row],[Scharnierart]]=1)=TRUE,1,0)</f>
        <v>0</v>
      </c>
      <c r="E4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4" s="35">
        <f>IF(select!$F$57=IF(Scharniere[[#This Row],[mit Dämpfung]]=1,1,IF(Scharniere[[#This Row],[ohne Dämpfung]]=1,2,IF(Scharniere[[#This Row],[ohne Feder]]=1,3,0))),1,0)</f>
        <v>1</v>
      </c>
      <c r="G484" s="35">
        <f>IF(Scharniere[[#This Row],[Bohrbild]]=select!$V$43,1,0)</f>
        <v>0</v>
      </c>
      <c r="H484" s="35">
        <f>IF(IF(Scharniere[[#This Row],[Anschrauben]]=1,1,IF(Scharniere[[#This Row],[Einpressen]]=1,2,IF(Scharniere[[#This Row],[Quick]]=1,3,IF(Scharniere[[#This Row],[Werkzeuglos]]=1,4,0))))=select!$F$48,1,0)</f>
        <v>1</v>
      </c>
      <c r="I4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4" s="149">
        <f>IF(AND(Scharniere[[#This Row],[Scharnierart]]=2,Scharniere[[#This Row],[Gruppenschlüssel]]=select!$A$318)=TRUE,1,0)</f>
        <v>0</v>
      </c>
      <c r="K484" s="221">
        <f ca="1">IF(select!$O$424&lt;6,1,0)</f>
        <v>1</v>
      </c>
      <c r="L484" s="139">
        <f>IF(select!$A$362=IF(Scharniere[[#This Row],[mit Dämpfung]]=1,1,IF(Scharniere[[#This Row],[ohne Dämpfung]]=1,2,IF(Scharniere[[#This Row],[ohne Feder]]=1,3,0))),1,0)</f>
        <v>0</v>
      </c>
      <c r="M484" s="135">
        <f>IF(Scharniere[[#This Row],[Bohrbild]]=select!$O$334,1,0)</f>
        <v>0</v>
      </c>
      <c r="N484" s="135">
        <f>IF(IF(Scharniere[[#This Row],[Anschrauben]]=1,1,IF(Scharniere[[#This Row],[Einpressen]]=1,2,IF(Scharniere[[#This Row],[Quick]]=1,3,IF(Scharniere[[#This Row],[Werkzeuglos]]=1,4,0))))=select!$E$362,1,0)</f>
        <v>0</v>
      </c>
      <c r="O4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4" s="298">
        <f>IF(AND(Scharniere[[#This Row],[Scharnierart]]=3,Scharniere[[#This Row],[Gruppenschlüssel]]=select!$A$747)=TRUE,1,0)</f>
        <v>0</v>
      </c>
      <c r="Q484" s="298">
        <f ca="1">IF(select!$O$945&lt;6,1,0)</f>
        <v>1</v>
      </c>
      <c r="R484" s="298">
        <f>IF(select!$A$778=IF(Scharniere[[#This Row],[mit Dämpfung]]=1,1,IF(Scharniere[[#This Row],[ohne Dämpfung]]=1,2,IF(Scharniere[[#This Row],[ohne Feder]]=1,3,0))),1,0)</f>
        <v>0</v>
      </c>
      <c r="S484" s="298">
        <f>IF(Scharniere[[#This Row],[Bohrbild]]=select!$A$755,1,0)</f>
        <v>0</v>
      </c>
      <c r="T484" s="298">
        <f>IF(IF(Scharniere[[#This Row],[Anschrauben]]=1,1,IF(Scharniere[[#This Row],[Einpressen]]=1,2,IF(Scharniere[[#This Row],[Quick]]=1,3,IF(Scharniere[[#This Row],[Werkzeuglos]]=1,4,0))))=select!$A$769,1,0)</f>
        <v>0</v>
      </c>
      <c r="U4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4" s="359">
        <f>IF(AND(Scharniere[[#This Row],[Scharnierart]]=4,Scharniere[[#This Row],[Gruppenschlüssel]]=select!$A$981)=TRUE,1,0)</f>
        <v>0</v>
      </c>
      <c r="W484" s="359">
        <f ca="1">IF(select!$O$1185&lt;6,1,0)</f>
        <v>1</v>
      </c>
      <c r="X484" s="359">
        <f>IF(select!$A$1012=IF(Scharniere[[#This Row],[mit Dämpfung]]=1,1,IF(Scharniere[[#This Row],[ohne Dämpfung]]=1,2,IF(Scharniere[[#This Row],[ohne Feder]]=1,3,0))),1,0)</f>
        <v>0</v>
      </c>
      <c r="Y484" s="359">
        <f>IF(Scharniere[[#This Row],[Bohrbild]]=select!$A$989,1,0)</f>
        <v>0</v>
      </c>
      <c r="Z484" s="359">
        <f>IF(IF(Scharniere[[#This Row],[Anschrauben]]=1,1,IF(Scharniere[[#This Row],[Einpressen]]=1,2,IF(Scharniere[[#This Row],[Quick]]=1,3,IF(Scharniere[[#This Row],[Werkzeuglos]]=1,4,0))))=select!$A$1003,1,0)</f>
        <v>0</v>
      </c>
      <c r="AA4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4" s="359">
        <f ca="1">IF(select!$K$980="*",Scharniere[[#This Row],[AG Ges2]],Scharniere[[#This Row],[AG Ges1]])</f>
        <v>0</v>
      </c>
      <c r="AE484" s="451">
        <f ca="1">IF(AND(Scharniere[[#This Row],[Scharnierart]]=select!$A$1485,Scharniere[[#This Row],[Gruppenschlüssel]]=select!$B$1485)=TRUE,1,0)</f>
        <v>0</v>
      </c>
      <c r="AF484" s="451">
        <f ca="1">IF(AND(Scharniere[[#This Row],[Scharnierart]]=select!$A$1486,Scharniere[[#This Row],[Gruppenschlüssel]]=select!$B$1486)=TRUE,1,0)</f>
        <v>0</v>
      </c>
      <c r="AG484" s="451">
        <f ca="1">IF(AND(Scharniere[[#This Row],[Scharnierart]]=select!$A$1487,Scharniere[[#This Row],[Gruppenschlüssel]]=select!$B$1487)=TRUE,1,0)</f>
        <v>0</v>
      </c>
      <c r="AH484" s="451">
        <f ca="1">IF(AND(Scharniere[[#This Row],[Scharnierart]]=select!$A$1488,Scharniere[[#This Row],[Gruppenschlüssel]]=select!$B$1488)=TRUE,1,0)</f>
        <v>0</v>
      </c>
      <c r="AI484" s="451">
        <f ca="1">IF(SUM(Scharniere[[#This Row],[konf Scharnier 1]:[konf Scharnier 4]])&gt;0,1,0)</f>
        <v>0</v>
      </c>
      <c r="AJ484" s="451"/>
      <c r="AK484" s="451"/>
      <c r="AL484" s="451"/>
      <c r="AM484" s="451"/>
      <c r="AN484" s="451"/>
      <c r="AO484" s="146">
        <v>1</v>
      </c>
      <c r="AP484" s="146">
        <v>3</v>
      </c>
      <c r="AQ484" s="10" t="str">
        <f ca="1">Sprache!$A$114</f>
        <v>Tiomos Scharnier TT Click-on</v>
      </c>
      <c r="AR484" t="str">
        <f ca="1">"160°, S-BB, K03, "&amp;Sprache!A181&amp;", ni"</f>
        <v>160°, S-BB, K03, Dübel, ni</v>
      </c>
      <c r="AS484" t="str">
        <f ca="1">Sprache!$A$103</f>
        <v>Tiomos Click-On Scharniere</v>
      </c>
      <c r="AT484">
        <v>3</v>
      </c>
      <c r="AU484" t="s">
        <v>11</v>
      </c>
      <c r="AV484">
        <v>160</v>
      </c>
      <c r="AW484" s="10">
        <v>0</v>
      </c>
      <c r="AX484">
        <v>0</v>
      </c>
      <c r="AY484">
        <v>1</v>
      </c>
      <c r="AZ484" s="10">
        <v>0</v>
      </c>
      <c r="BA484">
        <v>1</v>
      </c>
      <c r="BB484">
        <v>0</v>
      </c>
      <c r="BC484">
        <v>0</v>
      </c>
      <c r="BD484" s="143" t="s">
        <v>712</v>
      </c>
      <c r="BG484"/>
    </row>
    <row r="485" spans="1:59" ht="14.25" customHeight="1" x14ac:dyDescent="0.25">
      <c r="A485" s="37" t="str">
        <f>LEFT(Scharniere[[#This Row],[ArtikelNR]],4)</f>
        <v>F045</v>
      </c>
      <c r="B485" s="35" t="str">
        <f>MID(Scharniere[[#This Row],[ArtikelNR]],5,3)</f>
        <v>138</v>
      </c>
      <c r="C485" s="37" t="str">
        <f>RIGHT(Scharniere[[#This Row],[ArtikelNR]],3)</f>
        <v>864</v>
      </c>
      <c r="D485" s="35">
        <f>IF(AND(Scharniere[[#This Row],[Gruppenschlüssel]]=select!$A$44,Scharniere[[#This Row],[Scharnierart]]=1)=TRUE,1,0)</f>
        <v>0</v>
      </c>
      <c r="E4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5" s="35">
        <f>IF(select!$F$57=IF(Scharniere[[#This Row],[mit Dämpfung]]=1,1,IF(Scharniere[[#This Row],[ohne Dämpfung]]=1,2,IF(Scharniere[[#This Row],[ohne Feder]]=1,3,0))),1,0)</f>
        <v>0</v>
      </c>
      <c r="G485" s="35">
        <f>IF(Scharniere[[#This Row],[Bohrbild]]=select!$V$43,1,0)</f>
        <v>0</v>
      </c>
      <c r="H485" s="35">
        <f>IF(IF(Scharniere[[#This Row],[Anschrauben]]=1,1,IF(Scharniere[[#This Row],[Einpressen]]=1,2,IF(Scharniere[[#This Row],[Quick]]=1,3,IF(Scharniere[[#This Row],[Werkzeuglos]]=1,4,0))))=select!$F$48,1,0)</f>
        <v>0</v>
      </c>
      <c r="I4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5" s="149">
        <f>IF(AND(Scharniere[[#This Row],[Scharnierart]]=2,Scharniere[[#This Row],[Gruppenschlüssel]]=select!$A$318)=TRUE,1,0)</f>
        <v>0</v>
      </c>
      <c r="K485" s="221">
        <f ca="1">IF(select!$O$424&lt;6,1,0)</f>
        <v>1</v>
      </c>
      <c r="L485" s="139">
        <f>IF(select!$A$362=IF(Scharniere[[#This Row],[mit Dämpfung]]=1,1,IF(Scharniere[[#This Row],[ohne Dämpfung]]=1,2,IF(Scharniere[[#This Row],[ohne Feder]]=1,3,0))),1,0)</f>
        <v>0</v>
      </c>
      <c r="M485" s="135">
        <f>IF(Scharniere[[#This Row],[Bohrbild]]=select!$O$334,1,0)</f>
        <v>0</v>
      </c>
      <c r="N485" s="135">
        <f>IF(IF(Scharniere[[#This Row],[Anschrauben]]=1,1,IF(Scharniere[[#This Row],[Einpressen]]=1,2,IF(Scharniere[[#This Row],[Quick]]=1,3,IF(Scharniere[[#This Row],[Werkzeuglos]]=1,4,0))))=select!$E$362,1,0)</f>
        <v>1</v>
      </c>
      <c r="O4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5" s="298">
        <f>IF(AND(Scharniere[[#This Row],[Scharnierart]]=3,Scharniere[[#This Row],[Gruppenschlüssel]]=select!$A$747)=TRUE,1,0)</f>
        <v>0</v>
      </c>
      <c r="Q485" s="298">
        <f ca="1">IF(select!$O$945&lt;6,1,0)</f>
        <v>1</v>
      </c>
      <c r="R485" s="298">
        <f>IF(select!$A$778=IF(Scharniere[[#This Row],[mit Dämpfung]]=1,1,IF(Scharniere[[#This Row],[ohne Dämpfung]]=1,2,IF(Scharniere[[#This Row],[ohne Feder]]=1,3,0))),1,0)</f>
        <v>1</v>
      </c>
      <c r="S485" s="298">
        <f>IF(Scharniere[[#This Row],[Bohrbild]]=select!$A$755,1,0)</f>
        <v>0</v>
      </c>
      <c r="T485" s="298">
        <f>IF(IF(Scharniere[[#This Row],[Anschrauben]]=1,1,IF(Scharniere[[#This Row],[Einpressen]]=1,2,IF(Scharniere[[#This Row],[Quick]]=1,3,IF(Scharniere[[#This Row],[Werkzeuglos]]=1,4,0))))=select!$A$769,1,0)</f>
        <v>1</v>
      </c>
      <c r="U4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5" s="359">
        <f>IF(AND(Scharniere[[#This Row],[Scharnierart]]=4,Scharniere[[#This Row],[Gruppenschlüssel]]=select!$A$981)=TRUE,1,0)</f>
        <v>0</v>
      </c>
      <c r="W485" s="359">
        <f ca="1">IF(select!$O$1185&lt;6,1,0)</f>
        <v>1</v>
      </c>
      <c r="X485" s="359">
        <f>IF(select!$A$1012=IF(Scharniere[[#This Row],[mit Dämpfung]]=1,1,IF(Scharniere[[#This Row],[ohne Dämpfung]]=1,2,IF(Scharniere[[#This Row],[ohne Feder]]=1,3,0))),1,0)</f>
        <v>1</v>
      </c>
      <c r="Y485" s="359">
        <f>IF(Scharniere[[#This Row],[Bohrbild]]=select!$A$989,1,0)</f>
        <v>0</v>
      </c>
      <c r="Z485" s="359">
        <f>IF(IF(Scharniere[[#This Row],[Anschrauben]]=1,1,IF(Scharniere[[#This Row],[Einpressen]]=1,2,IF(Scharniere[[#This Row],[Quick]]=1,3,IF(Scharniere[[#This Row],[Werkzeuglos]]=1,4,0))))=select!$A$1003,1,0)</f>
        <v>1</v>
      </c>
      <c r="AA4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5" s="359">
        <f ca="1">IF(select!$K$980="*",Scharniere[[#This Row],[AG Ges2]],Scharniere[[#This Row],[AG Ges1]])</f>
        <v>0</v>
      </c>
      <c r="AE485" s="451">
        <f ca="1">IF(AND(Scharniere[[#This Row],[Scharnierart]]=select!$A$1485,Scharniere[[#This Row],[Gruppenschlüssel]]=select!$B$1485)=TRUE,1,0)</f>
        <v>0</v>
      </c>
      <c r="AF485" s="451">
        <f ca="1">IF(AND(Scharniere[[#This Row],[Scharnierart]]=select!$A$1486,Scharniere[[#This Row],[Gruppenschlüssel]]=select!$B$1486)=TRUE,1,0)</f>
        <v>0</v>
      </c>
      <c r="AG485" s="451">
        <f ca="1">IF(AND(Scharniere[[#This Row],[Scharnierart]]=select!$A$1487,Scharniere[[#This Row],[Gruppenschlüssel]]=select!$B$1487)=TRUE,1,0)</f>
        <v>0</v>
      </c>
      <c r="AH485" s="451">
        <f ca="1">IF(AND(Scharniere[[#This Row],[Scharnierart]]=select!$A$1488,Scharniere[[#This Row],[Gruppenschlüssel]]=select!$B$1488)=TRUE,1,0)</f>
        <v>0</v>
      </c>
      <c r="AI485" s="451">
        <f ca="1">IF(SUM(Scharniere[[#This Row],[konf Scharnier 1]:[konf Scharnier 4]])&gt;0,1,0)</f>
        <v>0</v>
      </c>
      <c r="AJ485" s="451"/>
      <c r="AK485" s="451"/>
      <c r="AL485" s="451"/>
      <c r="AM485" s="451"/>
      <c r="AN485" s="451"/>
      <c r="AO485" s="146">
        <v>1</v>
      </c>
      <c r="AP485" s="146">
        <v>3</v>
      </c>
      <c r="AQ485" s="10" t="str">
        <f ca="1">Sprache!$A$110</f>
        <v>Tiomos Scharnier T Click-on</v>
      </c>
      <c r="AR485" t="s">
        <v>401</v>
      </c>
      <c r="AS485" t="str">
        <f ca="1">Sprache!$A$103</f>
        <v>Tiomos Click-On Scharniere</v>
      </c>
      <c r="AT485">
        <v>3</v>
      </c>
      <c r="AU485" t="s">
        <v>11</v>
      </c>
      <c r="AV485">
        <v>160</v>
      </c>
      <c r="AW485" s="10">
        <v>0</v>
      </c>
      <c r="AX485">
        <v>1</v>
      </c>
      <c r="AY485">
        <v>0</v>
      </c>
      <c r="AZ485" s="10">
        <v>1</v>
      </c>
      <c r="BA485">
        <v>0</v>
      </c>
      <c r="BB485">
        <v>0</v>
      </c>
      <c r="BC485">
        <v>0</v>
      </c>
      <c r="BD485" s="143" t="s">
        <v>557</v>
      </c>
      <c r="BG485"/>
    </row>
    <row r="486" spans="1:59" ht="14.25" customHeight="1" x14ac:dyDescent="0.25">
      <c r="A486" s="37" t="str">
        <f>LEFT(Scharniere[[#This Row],[ArtikelNR]],4)</f>
        <v>F028</v>
      </c>
      <c r="B486" s="35" t="str">
        <f>MID(Scharniere[[#This Row],[ArtikelNR]],5,3)</f>
        <v>138</v>
      </c>
      <c r="C486" s="37" t="str">
        <f>RIGHT(Scharniere[[#This Row],[ArtikelNR]],3)</f>
        <v>926</v>
      </c>
      <c r="D486" s="35">
        <f>IF(AND(Scharniere[[#This Row],[Gruppenschlüssel]]=select!$A$44,Scharniere[[#This Row],[Scharnierart]]=1)=TRUE,1,0)</f>
        <v>0</v>
      </c>
      <c r="E4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6" s="35">
        <f>IF(select!$F$57=IF(Scharniere[[#This Row],[mit Dämpfung]]=1,1,IF(Scharniere[[#This Row],[ohne Dämpfung]]=1,2,IF(Scharniere[[#This Row],[ohne Feder]]=1,3,0))),1,0)</f>
        <v>0</v>
      </c>
      <c r="G486" s="35">
        <f>IF(Scharniere[[#This Row],[Bohrbild]]=select!$V$43,1,0)</f>
        <v>0</v>
      </c>
      <c r="H486" s="35">
        <f>IF(IF(Scharniere[[#This Row],[Anschrauben]]=1,1,IF(Scharniere[[#This Row],[Einpressen]]=1,2,IF(Scharniere[[#This Row],[Quick]]=1,3,IF(Scharniere[[#This Row],[Werkzeuglos]]=1,4,0))))=select!$F$48,1,0)</f>
        <v>0</v>
      </c>
      <c r="I4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6" s="149">
        <f>IF(AND(Scharniere[[#This Row],[Scharnierart]]=2,Scharniere[[#This Row],[Gruppenschlüssel]]=select!$A$318)=TRUE,1,0)</f>
        <v>0</v>
      </c>
      <c r="K486" s="221">
        <f ca="1">IF(select!$O$424&lt;6,1,0)</f>
        <v>1</v>
      </c>
      <c r="L486" s="139">
        <f>IF(select!$A$362=IF(Scharniere[[#This Row],[mit Dämpfung]]=1,1,IF(Scharniere[[#This Row],[ohne Dämpfung]]=1,2,IF(Scharniere[[#This Row],[ohne Feder]]=1,3,0))),1,0)</f>
        <v>1</v>
      </c>
      <c r="M486" s="135">
        <f>IF(Scharniere[[#This Row],[Bohrbild]]=select!$O$334,1,0)</f>
        <v>0</v>
      </c>
      <c r="N486" s="135">
        <f>IF(IF(Scharniere[[#This Row],[Anschrauben]]=1,1,IF(Scharniere[[#This Row],[Einpressen]]=1,2,IF(Scharniere[[#This Row],[Quick]]=1,3,IF(Scharniere[[#This Row],[Werkzeuglos]]=1,4,0))))=select!$E$362,1,0)</f>
        <v>1</v>
      </c>
      <c r="O4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6" s="298">
        <f>IF(AND(Scharniere[[#This Row],[Scharnierart]]=3,Scharniere[[#This Row],[Gruppenschlüssel]]=select!$A$747)=TRUE,1,0)</f>
        <v>0</v>
      </c>
      <c r="Q486" s="298">
        <f ca="1">IF(select!$O$945&lt;6,1,0)</f>
        <v>1</v>
      </c>
      <c r="R486" s="298">
        <f>IF(select!$A$778=IF(Scharniere[[#This Row],[mit Dämpfung]]=1,1,IF(Scharniere[[#This Row],[ohne Dämpfung]]=1,2,IF(Scharniere[[#This Row],[ohne Feder]]=1,3,0))),1,0)</f>
        <v>0</v>
      </c>
      <c r="S486" s="298">
        <f>IF(Scharniere[[#This Row],[Bohrbild]]=select!$A$755,1,0)</f>
        <v>0</v>
      </c>
      <c r="T486" s="298">
        <f>IF(IF(Scharniere[[#This Row],[Anschrauben]]=1,1,IF(Scharniere[[#This Row],[Einpressen]]=1,2,IF(Scharniere[[#This Row],[Quick]]=1,3,IF(Scharniere[[#This Row],[Werkzeuglos]]=1,4,0))))=select!$A$769,1,0)</f>
        <v>1</v>
      </c>
      <c r="U4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6" s="359">
        <f>IF(AND(Scharniere[[#This Row],[Scharnierart]]=4,Scharniere[[#This Row],[Gruppenschlüssel]]=select!$A$981)=TRUE,1,0)</f>
        <v>0</v>
      </c>
      <c r="W486" s="359">
        <f ca="1">IF(select!$O$1185&lt;6,1,0)</f>
        <v>1</v>
      </c>
      <c r="X486" s="359">
        <f>IF(select!$A$1012=IF(Scharniere[[#This Row],[mit Dämpfung]]=1,1,IF(Scharniere[[#This Row],[ohne Dämpfung]]=1,2,IF(Scharniere[[#This Row],[ohne Feder]]=1,3,0))),1,0)</f>
        <v>0</v>
      </c>
      <c r="Y486" s="359">
        <f>IF(Scharniere[[#This Row],[Bohrbild]]=select!$A$989,1,0)</f>
        <v>0</v>
      </c>
      <c r="Z486" s="359">
        <f>IF(IF(Scharniere[[#This Row],[Anschrauben]]=1,1,IF(Scharniere[[#This Row],[Einpressen]]=1,2,IF(Scharniere[[#This Row],[Quick]]=1,3,IF(Scharniere[[#This Row],[Werkzeuglos]]=1,4,0))))=select!$A$1003,1,0)</f>
        <v>1</v>
      </c>
      <c r="AA4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6" s="359">
        <f ca="1">IF(select!$K$980="*",Scharniere[[#This Row],[AG Ges2]],Scharniere[[#This Row],[AG Ges1]])</f>
        <v>0</v>
      </c>
      <c r="AE486" s="451">
        <f ca="1">IF(AND(Scharniere[[#This Row],[Scharnierart]]=select!$A$1485,Scharniere[[#This Row],[Gruppenschlüssel]]=select!$B$1485)=TRUE,1,0)</f>
        <v>0</v>
      </c>
      <c r="AF486" s="451">
        <f ca="1">IF(AND(Scharniere[[#This Row],[Scharnierart]]=select!$A$1486,Scharniere[[#This Row],[Gruppenschlüssel]]=select!$B$1486)=TRUE,1,0)</f>
        <v>0</v>
      </c>
      <c r="AG486" s="451">
        <f ca="1">IF(AND(Scharniere[[#This Row],[Scharnierart]]=select!$A$1487,Scharniere[[#This Row],[Gruppenschlüssel]]=select!$B$1487)=TRUE,1,0)</f>
        <v>0</v>
      </c>
      <c r="AH486" s="451">
        <f ca="1">IF(AND(Scharniere[[#This Row],[Scharnierart]]=select!$A$1488,Scharniere[[#This Row],[Gruppenschlüssel]]=select!$B$1488)=TRUE,1,0)</f>
        <v>0</v>
      </c>
      <c r="AI486" s="451">
        <f ca="1">IF(SUM(Scharniere[[#This Row],[konf Scharnier 1]:[konf Scharnier 4]])&gt;0,1,0)</f>
        <v>0</v>
      </c>
      <c r="AJ486" s="451"/>
      <c r="AK486" s="451"/>
      <c r="AL486" s="451"/>
      <c r="AM486" s="451"/>
      <c r="AN486" s="451"/>
      <c r="AO486" s="146">
        <v>1</v>
      </c>
      <c r="AP486" s="146">
        <v>3</v>
      </c>
      <c r="AQ486" s="10" t="str">
        <f ca="1">Sprache!$A$112</f>
        <v>Tiomos Scharnier TS Click-on</v>
      </c>
      <c r="AR486" t="s">
        <v>401</v>
      </c>
      <c r="AS486" t="str">
        <f ca="1">Sprache!$A$103</f>
        <v>Tiomos Click-On Scharniere</v>
      </c>
      <c r="AT486">
        <v>3</v>
      </c>
      <c r="AU486" t="s">
        <v>11</v>
      </c>
      <c r="AV486">
        <v>160</v>
      </c>
      <c r="AW486" s="10">
        <v>1</v>
      </c>
      <c r="AX486">
        <v>0</v>
      </c>
      <c r="AY486">
        <v>0</v>
      </c>
      <c r="AZ486" s="10">
        <v>1</v>
      </c>
      <c r="BA486">
        <v>0</v>
      </c>
      <c r="BB486">
        <v>0</v>
      </c>
      <c r="BC486">
        <v>0</v>
      </c>
      <c r="BD486" s="143" t="s">
        <v>400</v>
      </c>
      <c r="BG486"/>
    </row>
    <row r="487" spans="1:59" ht="14.25" customHeight="1" x14ac:dyDescent="0.25">
      <c r="A487" s="37" t="str">
        <f>LEFT(Scharniere[[#This Row],[ArtikelNR]],4)</f>
        <v>F046</v>
      </c>
      <c r="B487" s="35" t="str">
        <f>MID(Scharniere[[#This Row],[ArtikelNR]],5,3)</f>
        <v>138</v>
      </c>
      <c r="C487" s="37" t="str">
        <f>RIGHT(Scharniere[[#This Row],[ArtikelNR]],3)</f>
        <v>986</v>
      </c>
      <c r="D487" s="35">
        <f>IF(AND(Scharniere[[#This Row],[Gruppenschlüssel]]=select!$A$44,Scharniere[[#This Row],[Scharnierart]]=1)=TRUE,1,0)</f>
        <v>0</v>
      </c>
      <c r="E4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487" s="35">
        <f>IF(select!$F$57=IF(Scharniere[[#This Row],[mit Dämpfung]]=1,1,IF(Scharniere[[#This Row],[ohne Dämpfung]]=1,2,IF(Scharniere[[#This Row],[ohne Feder]]=1,3,0))),1,0)</f>
        <v>1</v>
      </c>
      <c r="G487" s="35">
        <f>IF(Scharniere[[#This Row],[Bohrbild]]=select!$V$43,1,0)</f>
        <v>0</v>
      </c>
      <c r="H487" s="35">
        <f>IF(IF(Scharniere[[#This Row],[Anschrauben]]=1,1,IF(Scharniere[[#This Row],[Einpressen]]=1,2,IF(Scharniere[[#This Row],[Quick]]=1,3,IF(Scharniere[[#This Row],[Werkzeuglos]]=1,4,0))))=select!$F$48,1,0)</f>
        <v>0</v>
      </c>
      <c r="I4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7" s="149">
        <f>IF(AND(Scharniere[[#This Row],[Scharnierart]]=2,Scharniere[[#This Row],[Gruppenschlüssel]]=select!$A$318)=TRUE,1,0)</f>
        <v>0</v>
      </c>
      <c r="K487" s="221">
        <f ca="1">IF(select!$O$424&lt;6,1,0)</f>
        <v>1</v>
      </c>
      <c r="L487" s="139">
        <f>IF(select!$A$362=IF(Scharniere[[#This Row],[mit Dämpfung]]=1,1,IF(Scharniere[[#This Row],[ohne Dämpfung]]=1,2,IF(Scharniere[[#This Row],[ohne Feder]]=1,3,0))),1,0)</f>
        <v>0</v>
      </c>
      <c r="M487" s="135">
        <f>IF(Scharniere[[#This Row],[Bohrbild]]=select!$O$334,1,0)</f>
        <v>0</v>
      </c>
      <c r="N487" s="135">
        <f>IF(IF(Scharniere[[#This Row],[Anschrauben]]=1,1,IF(Scharniere[[#This Row],[Einpressen]]=1,2,IF(Scharniere[[#This Row],[Quick]]=1,3,IF(Scharniere[[#This Row],[Werkzeuglos]]=1,4,0))))=select!$E$362,1,0)</f>
        <v>1</v>
      </c>
      <c r="O4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7" s="298">
        <f>IF(AND(Scharniere[[#This Row],[Scharnierart]]=3,Scharniere[[#This Row],[Gruppenschlüssel]]=select!$A$747)=TRUE,1,0)</f>
        <v>0</v>
      </c>
      <c r="Q487" s="298">
        <f ca="1">IF(select!$O$945&lt;6,1,0)</f>
        <v>1</v>
      </c>
      <c r="R487" s="298">
        <f>IF(select!$A$778=IF(Scharniere[[#This Row],[mit Dämpfung]]=1,1,IF(Scharniere[[#This Row],[ohne Dämpfung]]=1,2,IF(Scharniere[[#This Row],[ohne Feder]]=1,3,0))),1,0)</f>
        <v>0</v>
      </c>
      <c r="S487" s="298">
        <f>IF(Scharniere[[#This Row],[Bohrbild]]=select!$A$755,1,0)</f>
        <v>0</v>
      </c>
      <c r="T487" s="298">
        <f>IF(IF(Scharniere[[#This Row],[Anschrauben]]=1,1,IF(Scharniere[[#This Row],[Einpressen]]=1,2,IF(Scharniere[[#This Row],[Quick]]=1,3,IF(Scharniere[[#This Row],[Werkzeuglos]]=1,4,0))))=select!$A$769,1,0)</f>
        <v>1</v>
      </c>
      <c r="U4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7" s="359">
        <f>IF(AND(Scharniere[[#This Row],[Scharnierart]]=4,Scharniere[[#This Row],[Gruppenschlüssel]]=select!$A$981)=TRUE,1,0)</f>
        <v>0</v>
      </c>
      <c r="W487" s="359">
        <f ca="1">IF(select!$O$1185&lt;6,1,0)</f>
        <v>1</v>
      </c>
      <c r="X487" s="359">
        <f>IF(select!$A$1012=IF(Scharniere[[#This Row],[mit Dämpfung]]=1,1,IF(Scharniere[[#This Row],[ohne Dämpfung]]=1,2,IF(Scharniere[[#This Row],[ohne Feder]]=1,3,0))),1,0)</f>
        <v>0</v>
      </c>
      <c r="Y487" s="359">
        <f>IF(Scharniere[[#This Row],[Bohrbild]]=select!$A$989,1,0)</f>
        <v>0</v>
      </c>
      <c r="Z487" s="359">
        <f>IF(IF(Scharniere[[#This Row],[Anschrauben]]=1,1,IF(Scharniere[[#This Row],[Einpressen]]=1,2,IF(Scharniere[[#This Row],[Quick]]=1,3,IF(Scharniere[[#This Row],[Werkzeuglos]]=1,4,0))))=select!$A$1003,1,0)</f>
        <v>1</v>
      </c>
      <c r="AA4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7" s="359">
        <f ca="1">IF(select!$K$980="*",Scharniere[[#This Row],[AG Ges2]],Scharniere[[#This Row],[AG Ges1]])</f>
        <v>0</v>
      </c>
      <c r="AE487" s="451">
        <f ca="1">IF(AND(Scharniere[[#This Row],[Scharnierart]]=select!$A$1485,Scharniere[[#This Row],[Gruppenschlüssel]]=select!$B$1485)=TRUE,1,0)</f>
        <v>0</v>
      </c>
      <c r="AF487" s="451">
        <f ca="1">IF(AND(Scharniere[[#This Row],[Scharnierart]]=select!$A$1486,Scharniere[[#This Row],[Gruppenschlüssel]]=select!$B$1486)=TRUE,1,0)</f>
        <v>0</v>
      </c>
      <c r="AG487" s="451">
        <f ca="1">IF(AND(Scharniere[[#This Row],[Scharnierart]]=select!$A$1487,Scharniere[[#This Row],[Gruppenschlüssel]]=select!$B$1487)=TRUE,1,0)</f>
        <v>0</v>
      </c>
      <c r="AH487" s="451">
        <f ca="1">IF(AND(Scharniere[[#This Row],[Scharnierart]]=select!$A$1488,Scharniere[[#This Row],[Gruppenschlüssel]]=select!$B$1488)=TRUE,1,0)</f>
        <v>0</v>
      </c>
      <c r="AI487" s="451">
        <f ca="1">IF(SUM(Scharniere[[#This Row],[konf Scharnier 1]:[konf Scharnier 4]])&gt;0,1,0)</f>
        <v>0</v>
      </c>
      <c r="AJ487" s="451"/>
      <c r="AK487" s="451"/>
      <c r="AL487" s="451"/>
      <c r="AM487" s="451"/>
      <c r="AN487" s="451"/>
      <c r="AO487" s="146">
        <v>1</v>
      </c>
      <c r="AP487" s="146">
        <v>3</v>
      </c>
      <c r="AQ487" s="10" t="str">
        <f ca="1">Sprache!$A$114</f>
        <v>Tiomos Scharnier TT Click-on</v>
      </c>
      <c r="AR487" t="s">
        <v>401</v>
      </c>
      <c r="AS487" t="str">
        <f ca="1">Sprache!$A$103</f>
        <v>Tiomos Click-On Scharniere</v>
      </c>
      <c r="AT487">
        <v>3</v>
      </c>
      <c r="AU487" t="s">
        <v>11</v>
      </c>
      <c r="AV487">
        <v>160</v>
      </c>
      <c r="AW487" s="10">
        <v>0</v>
      </c>
      <c r="AX487">
        <v>0</v>
      </c>
      <c r="AY487">
        <v>1</v>
      </c>
      <c r="AZ487" s="10">
        <v>1</v>
      </c>
      <c r="BA487">
        <v>0</v>
      </c>
      <c r="BB487">
        <v>0</v>
      </c>
      <c r="BC487">
        <v>0</v>
      </c>
      <c r="BD487" s="143" t="s">
        <v>709</v>
      </c>
      <c r="BG487"/>
    </row>
    <row r="488" spans="1:59" ht="14.25" customHeight="1" x14ac:dyDescent="0.25">
      <c r="A488" s="37" t="str">
        <f>LEFT(Scharniere[[#This Row],[ArtikelNR]],4)</f>
        <v>F045</v>
      </c>
      <c r="B488" s="35" t="str">
        <f>MID(Scharniere[[#This Row],[ArtikelNR]],5,3)</f>
        <v>138</v>
      </c>
      <c r="C488" s="37" t="str">
        <f>RIGHT(Scharniere[[#This Row],[ArtikelNR]],3)</f>
        <v>502</v>
      </c>
      <c r="D488" s="35">
        <f>IF(AND(Scharniere[[#This Row],[Gruppenschlüssel]]=select!$A$44,Scharniere[[#This Row],[Scharnierart]]=1)=TRUE,1,0)</f>
        <v>0</v>
      </c>
      <c r="E4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88" s="35">
        <f>IF(select!$F$57=IF(Scharniere[[#This Row],[mit Dämpfung]]=1,1,IF(Scharniere[[#This Row],[ohne Dämpfung]]=1,2,IF(Scharniere[[#This Row],[ohne Feder]]=1,3,0))),1,0)</f>
        <v>0</v>
      </c>
      <c r="G488" s="35">
        <f>IF(Scharniere[[#This Row],[Bohrbild]]=select!$V$43,1,0)</f>
        <v>0</v>
      </c>
      <c r="H488" s="35">
        <f>IF(IF(Scharniere[[#This Row],[Anschrauben]]=1,1,IF(Scharniere[[#This Row],[Einpressen]]=1,2,IF(Scharniere[[#This Row],[Quick]]=1,3,IF(Scharniere[[#This Row],[Werkzeuglos]]=1,4,0))))=select!$F$48,1,0)</f>
        <v>1</v>
      </c>
      <c r="I4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8" s="149">
        <f>IF(AND(Scharniere[[#This Row],[Scharnierart]]=2,Scharniere[[#This Row],[Gruppenschlüssel]]=select!$A$318)=TRUE,1,0)</f>
        <v>0</v>
      </c>
      <c r="K488" s="221">
        <f ca="1">IF(select!$O$424&lt;6,1,0)</f>
        <v>1</v>
      </c>
      <c r="L488" s="139">
        <f>IF(select!$A$362=IF(Scharniere[[#This Row],[mit Dämpfung]]=1,1,IF(Scharniere[[#This Row],[ohne Dämpfung]]=1,2,IF(Scharniere[[#This Row],[ohne Feder]]=1,3,0))),1,0)</f>
        <v>0</v>
      </c>
      <c r="M488" s="135">
        <f>IF(Scharniere[[#This Row],[Bohrbild]]=select!$O$334,1,0)</f>
        <v>0</v>
      </c>
      <c r="N488" s="135">
        <f>IF(IF(Scharniere[[#This Row],[Anschrauben]]=1,1,IF(Scharniere[[#This Row],[Einpressen]]=1,2,IF(Scharniere[[#This Row],[Quick]]=1,3,IF(Scharniere[[#This Row],[Werkzeuglos]]=1,4,0))))=select!$E$362,1,0)</f>
        <v>0</v>
      </c>
      <c r="O4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8" s="298">
        <f>IF(AND(Scharniere[[#This Row],[Scharnierart]]=3,Scharniere[[#This Row],[Gruppenschlüssel]]=select!$A$747)=TRUE,1,0)</f>
        <v>0</v>
      </c>
      <c r="Q488" s="298">
        <f ca="1">IF(select!$O$945&lt;6,1,0)</f>
        <v>1</v>
      </c>
      <c r="R488" s="298">
        <f>IF(select!$A$778=IF(Scharniere[[#This Row],[mit Dämpfung]]=1,1,IF(Scharniere[[#This Row],[ohne Dämpfung]]=1,2,IF(Scharniere[[#This Row],[ohne Feder]]=1,3,0))),1,0)</f>
        <v>1</v>
      </c>
      <c r="S488" s="298">
        <f>IF(Scharniere[[#This Row],[Bohrbild]]=select!$A$755,1,0)</f>
        <v>0</v>
      </c>
      <c r="T488" s="298">
        <f>IF(IF(Scharniere[[#This Row],[Anschrauben]]=1,1,IF(Scharniere[[#This Row],[Einpressen]]=1,2,IF(Scharniere[[#This Row],[Quick]]=1,3,IF(Scharniere[[#This Row],[Werkzeuglos]]=1,4,0))))=select!$A$769,1,0)</f>
        <v>0</v>
      </c>
      <c r="U4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8" s="359">
        <f>IF(AND(Scharniere[[#This Row],[Scharnierart]]=4,Scharniere[[#This Row],[Gruppenschlüssel]]=select!$A$981)=TRUE,1,0)</f>
        <v>0</v>
      </c>
      <c r="W488" s="359">
        <f ca="1">IF(select!$O$1185&lt;6,1,0)</f>
        <v>1</v>
      </c>
      <c r="X488" s="359">
        <f>IF(select!$A$1012=IF(Scharniere[[#This Row],[mit Dämpfung]]=1,1,IF(Scharniere[[#This Row],[ohne Dämpfung]]=1,2,IF(Scharniere[[#This Row],[ohne Feder]]=1,3,0))),1,0)</f>
        <v>1</v>
      </c>
      <c r="Y488" s="359">
        <f>IF(Scharniere[[#This Row],[Bohrbild]]=select!$A$989,1,0)</f>
        <v>0</v>
      </c>
      <c r="Z488" s="359">
        <f>IF(IF(Scharniere[[#This Row],[Anschrauben]]=1,1,IF(Scharniere[[#This Row],[Einpressen]]=1,2,IF(Scharniere[[#This Row],[Quick]]=1,3,IF(Scharniere[[#This Row],[Werkzeuglos]]=1,4,0))))=select!$A$1003,1,0)</f>
        <v>0</v>
      </c>
      <c r="AA4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8" s="359">
        <f ca="1">IF(select!$K$980="*",Scharniere[[#This Row],[AG Ges2]],Scharniere[[#This Row],[AG Ges1]])</f>
        <v>0</v>
      </c>
      <c r="AE488" s="451">
        <f ca="1">IF(AND(Scharniere[[#This Row],[Scharnierart]]=select!$A$1485,Scharniere[[#This Row],[Gruppenschlüssel]]=select!$B$1485)=TRUE,1,0)</f>
        <v>0</v>
      </c>
      <c r="AF488" s="451">
        <f ca="1">IF(AND(Scharniere[[#This Row],[Scharnierart]]=select!$A$1486,Scharniere[[#This Row],[Gruppenschlüssel]]=select!$B$1486)=TRUE,1,0)</f>
        <v>0</v>
      </c>
      <c r="AG488" s="451">
        <f ca="1">IF(AND(Scharniere[[#This Row],[Scharnierart]]=select!$A$1487,Scharniere[[#This Row],[Gruppenschlüssel]]=select!$B$1487)=TRUE,1,0)</f>
        <v>0</v>
      </c>
      <c r="AH488" s="451">
        <f ca="1">IF(AND(Scharniere[[#This Row],[Scharnierart]]=select!$A$1488,Scharniere[[#This Row],[Gruppenschlüssel]]=select!$B$1488)=TRUE,1,0)</f>
        <v>0</v>
      </c>
      <c r="AI488" s="451">
        <f ca="1">IF(SUM(Scharniere[[#This Row],[konf Scharnier 1]:[konf Scharnier 4]])&gt;0,1,0)</f>
        <v>0</v>
      </c>
      <c r="AJ488" s="451"/>
      <c r="AK488" s="451"/>
      <c r="AL488" s="451"/>
      <c r="AM488" s="451"/>
      <c r="AN488" s="451"/>
      <c r="AO488" s="146">
        <v>1</v>
      </c>
      <c r="AP488" s="146">
        <v>3</v>
      </c>
      <c r="AQ488" s="10" t="str">
        <f ca="1">Sprache!$A$110</f>
        <v>Tiomos Scharnier T Click-on</v>
      </c>
      <c r="AR488" t="str">
        <f ca="1">"160°, B-BB, K00, "&amp;Sprache!A181&amp;", ni"</f>
        <v>160°, B-BB, K00, Dübel, ni</v>
      </c>
      <c r="AS488" t="str">
        <f ca="1">Sprache!$A$103</f>
        <v>Tiomos Click-On Scharniere</v>
      </c>
      <c r="AT488">
        <v>0</v>
      </c>
      <c r="AU488" s="34" t="s">
        <v>3</v>
      </c>
      <c r="AV488">
        <v>160</v>
      </c>
      <c r="AW488" s="10">
        <v>0</v>
      </c>
      <c r="AX488">
        <v>1</v>
      </c>
      <c r="AY488">
        <v>0</v>
      </c>
      <c r="AZ488" s="10">
        <v>0</v>
      </c>
      <c r="BA488">
        <v>1</v>
      </c>
      <c r="BB488">
        <v>0</v>
      </c>
      <c r="BC488">
        <v>0</v>
      </c>
      <c r="BD488" s="143" t="s">
        <v>503</v>
      </c>
      <c r="BG488"/>
    </row>
    <row r="489" spans="1:59" ht="14.25" customHeight="1" x14ac:dyDescent="0.25">
      <c r="A489" s="37" t="str">
        <f>LEFT(Scharniere[[#This Row],[ArtikelNR]],4)</f>
        <v>F028</v>
      </c>
      <c r="B489" s="35" t="str">
        <f>MID(Scharniere[[#This Row],[ArtikelNR]],5,3)</f>
        <v>138</v>
      </c>
      <c r="C489" s="37" t="str">
        <f>RIGHT(Scharniere[[#This Row],[ArtikelNR]],3)</f>
        <v>564</v>
      </c>
      <c r="D489" s="35">
        <f>IF(AND(Scharniere[[#This Row],[Gruppenschlüssel]]=select!$A$44,Scharniere[[#This Row],[Scharnierart]]=1)=TRUE,1,0)</f>
        <v>0</v>
      </c>
      <c r="E4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89" s="35">
        <f>IF(select!$F$57=IF(Scharniere[[#This Row],[mit Dämpfung]]=1,1,IF(Scharniere[[#This Row],[ohne Dämpfung]]=1,2,IF(Scharniere[[#This Row],[ohne Feder]]=1,3,0))),1,0)</f>
        <v>0</v>
      </c>
      <c r="G489" s="35">
        <f>IF(Scharniere[[#This Row],[Bohrbild]]=select!$V$43,1,0)</f>
        <v>0</v>
      </c>
      <c r="H489" s="35">
        <f>IF(IF(Scharniere[[#This Row],[Anschrauben]]=1,1,IF(Scharniere[[#This Row],[Einpressen]]=1,2,IF(Scharniere[[#This Row],[Quick]]=1,3,IF(Scharniere[[#This Row],[Werkzeuglos]]=1,4,0))))=select!$F$48,1,0)</f>
        <v>1</v>
      </c>
      <c r="I4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89" s="149">
        <f>IF(AND(Scharniere[[#This Row],[Scharnierart]]=2,Scharniere[[#This Row],[Gruppenschlüssel]]=select!$A$318)=TRUE,1,0)</f>
        <v>0</v>
      </c>
      <c r="K489" s="221">
        <f ca="1">IF(select!$O$424&lt;6,1,0)</f>
        <v>1</v>
      </c>
      <c r="L489" s="139">
        <f>IF(select!$A$362=IF(Scharniere[[#This Row],[mit Dämpfung]]=1,1,IF(Scharniere[[#This Row],[ohne Dämpfung]]=1,2,IF(Scharniere[[#This Row],[ohne Feder]]=1,3,0))),1,0)</f>
        <v>1</v>
      </c>
      <c r="M489" s="135">
        <f>IF(Scharniere[[#This Row],[Bohrbild]]=select!$O$334,1,0)</f>
        <v>0</v>
      </c>
      <c r="N489" s="135">
        <f>IF(IF(Scharniere[[#This Row],[Anschrauben]]=1,1,IF(Scharniere[[#This Row],[Einpressen]]=1,2,IF(Scharniere[[#This Row],[Quick]]=1,3,IF(Scharniere[[#This Row],[Werkzeuglos]]=1,4,0))))=select!$E$362,1,0)</f>
        <v>0</v>
      </c>
      <c r="O4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89" s="298">
        <f>IF(AND(Scharniere[[#This Row],[Scharnierart]]=3,Scharniere[[#This Row],[Gruppenschlüssel]]=select!$A$747)=TRUE,1,0)</f>
        <v>0</v>
      </c>
      <c r="Q489" s="298">
        <f ca="1">IF(select!$O$945&lt;6,1,0)</f>
        <v>1</v>
      </c>
      <c r="R489" s="298">
        <f>IF(select!$A$778=IF(Scharniere[[#This Row],[mit Dämpfung]]=1,1,IF(Scharniere[[#This Row],[ohne Dämpfung]]=1,2,IF(Scharniere[[#This Row],[ohne Feder]]=1,3,0))),1,0)</f>
        <v>0</v>
      </c>
      <c r="S489" s="298">
        <f>IF(Scharniere[[#This Row],[Bohrbild]]=select!$A$755,1,0)</f>
        <v>0</v>
      </c>
      <c r="T489" s="298">
        <f>IF(IF(Scharniere[[#This Row],[Anschrauben]]=1,1,IF(Scharniere[[#This Row],[Einpressen]]=1,2,IF(Scharniere[[#This Row],[Quick]]=1,3,IF(Scharniere[[#This Row],[Werkzeuglos]]=1,4,0))))=select!$A$769,1,0)</f>
        <v>0</v>
      </c>
      <c r="U4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89" s="359">
        <f>IF(AND(Scharniere[[#This Row],[Scharnierart]]=4,Scharniere[[#This Row],[Gruppenschlüssel]]=select!$A$981)=TRUE,1,0)</f>
        <v>0</v>
      </c>
      <c r="W489" s="359">
        <f ca="1">IF(select!$O$1185&lt;6,1,0)</f>
        <v>1</v>
      </c>
      <c r="X489" s="359">
        <f>IF(select!$A$1012=IF(Scharniere[[#This Row],[mit Dämpfung]]=1,1,IF(Scharniere[[#This Row],[ohne Dämpfung]]=1,2,IF(Scharniere[[#This Row],[ohne Feder]]=1,3,0))),1,0)</f>
        <v>0</v>
      </c>
      <c r="Y489" s="359">
        <f>IF(Scharniere[[#This Row],[Bohrbild]]=select!$A$989,1,0)</f>
        <v>0</v>
      </c>
      <c r="Z489" s="359">
        <f>IF(IF(Scharniere[[#This Row],[Anschrauben]]=1,1,IF(Scharniere[[#This Row],[Einpressen]]=1,2,IF(Scharniere[[#This Row],[Quick]]=1,3,IF(Scharniere[[#This Row],[Werkzeuglos]]=1,4,0))))=select!$A$1003,1,0)</f>
        <v>0</v>
      </c>
      <c r="AA4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89" s="359">
        <f ca="1">IF(select!$K$980="*",Scharniere[[#This Row],[AG Ges2]],Scharniere[[#This Row],[AG Ges1]])</f>
        <v>0</v>
      </c>
      <c r="AE489" s="451">
        <f ca="1">IF(AND(Scharniere[[#This Row],[Scharnierart]]=select!$A$1485,Scharniere[[#This Row],[Gruppenschlüssel]]=select!$B$1485)=TRUE,1,0)</f>
        <v>0</v>
      </c>
      <c r="AF489" s="451">
        <f ca="1">IF(AND(Scharniere[[#This Row],[Scharnierart]]=select!$A$1486,Scharniere[[#This Row],[Gruppenschlüssel]]=select!$B$1486)=TRUE,1,0)</f>
        <v>0</v>
      </c>
      <c r="AG489" s="451">
        <f ca="1">IF(AND(Scharniere[[#This Row],[Scharnierart]]=select!$A$1487,Scharniere[[#This Row],[Gruppenschlüssel]]=select!$B$1487)=TRUE,1,0)</f>
        <v>0</v>
      </c>
      <c r="AH489" s="451">
        <f ca="1">IF(AND(Scharniere[[#This Row],[Scharnierart]]=select!$A$1488,Scharniere[[#This Row],[Gruppenschlüssel]]=select!$B$1488)=TRUE,1,0)</f>
        <v>0</v>
      </c>
      <c r="AI489" s="451">
        <f ca="1">IF(SUM(Scharniere[[#This Row],[konf Scharnier 1]:[konf Scharnier 4]])&gt;0,1,0)</f>
        <v>0</v>
      </c>
      <c r="AJ489" s="451"/>
      <c r="AK489" s="451"/>
      <c r="AL489" s="451"/>
      <c r="AM489" s="451"/>
      <c r="AN489" s="451"/>
      <c r="AO489" s="146">
        <v>1</v>
      </c>
      <c r="AP489" s="146">
        <v>3</v>
      </c>
      <c r="AQ489" s="10" t="str">
        <f ca="1">Sprache!$A$112</f>
        <v>Tiomos Scharnier TS Click-on</v>
      </c>
      <c r="AR489" t="str">
        <f ca="1">"160°, B-BB, K00, "&amp;Sprache!A181&amp;", ni"</f>
        <v>160°, B-BB, K00, Dübel, ni</v>
      </c>
      <c r="AS489" t="str">
        <f ca="1">Sprache!$A$103</f>
        <v>Tiomos Click-On Scharniere</v>
      </c>
      <c r="AT489">
        <v>0</v>
      </c>
      <c r="AU489" s="34" t="s">
        <v>3</v>
      </c>
      <c r="AV489">
        <v>160</v>
      </c>
      <c r="AW489" s="10">
        <v>1</v>
      </c>
      <c r="AX489">
        <v>0</v>
      </c>
      <c r="AY489">
        <v>0</v>
      </c>
      <c r="AZ489" s="10">
        <v>0</v>
      </c>
      <c r="BA489">
        <v>1</v>
      </c>
      <c r="BB489">
        <v>0</v>
      </c>
      <c r="BC489">
        <v>0</v>
      </c>
      <c r="BD489" s="143" t="s">
        <v>327</v>
      </c>
      <c r="BG489"/>
    </row>
    <row r="490" spans="1:59" ht="14.25" customHeight="1" x14ac:dyDescent="0.25">
      <c r="A490" s="37" t="str">
        <f>LEFT(Scharniere[[#This Row],[ArtikelNR]],4)</f>
        <v>F046</v>
      </c>
      <c r="B490" s="35" t="str">
        <f>MID(Scharniere[[#This Row],[ArtikelNR]],5,3)</f>
        <v>138</v>
      </c>
      <c r="C490" s="37" t="str">
        <f>RIGHT(Scharniere[[#This Row],[ArtikelNR]],3)</f>
        <v>624</v>
      </c>
      <c r="D490" s="35">
        <f>IF(AND(Scharniere[[#This Row],[Gruppenschlüssel]]=select!$A$44,Scharniere[[#This Row],[Scharnierart]]=1)=TRUE,1,0)</f>
        <v>0</v>
      </c>
      <c r="E4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0" s="35">
        <f>IF(select!$F$57=IF(Scharniere[[#This Row],[mit Dämpfung]]=1,1,IF(Scharniere[[#This Row],[ohne Dämpfung]]=1,2,IF(Scharniere[[#This Row],[ohne Feder]]=1,3,0))),1,0)</f>
        <v>1</v>
      </c>
      <c r="G490" s="35">
        <f>IF(Scharniere[[#This Row],[Bohrbild]]=select!$V$43,1,0)</f>
        <v>0</v>
      </c>
      <c r="H490" s="35">
        <f>IF(IF(Scharniere[[#This Row],[Anschrauben]]=1,1,IF(Scharniere[[#This Row],[Einpressen]]=1,2,IF(Scharniere[[#This Row],[Quick]]=1,3,IF(Scharniere[[#This Row],[Werkzeuglos]]=1,4,0))))=select!$F$48,1,0)</f>
        <v>1</v>
      </c>
      <c r="I4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0" s="149">
        <f>IF(AND(Scharniere[[#This Row],[Scharnierart]]=2,Scharniere[[#This Row],[Gruppenschlüssel]]=select!$A$318)=TRUE,1,0)</f>
        <v>0</v>
      </c>
      <c r="K490" s="221">
        <f ca="1">IF(select!$O$424&lt;6,1,0)</f>
        <v>1</v>
      </c>
      <c r="L490" s="139">
        <f>IF(select!$A$362=IF(Scharniere[[#This Row],[mit Dämpfung]]=1,1,IF(Scharniere[[#This Row],[ohne Dämpfung]]=1,2,IF(Scharniere[[#This Row],[ohne Feder]]=1,3,0))),1,0)</f>
        <v>0</v>
      </c>
      <c r="M490" s="135">
        <f>IF(Scharniere[[#This Row],[Bohrbild]]=select!$O$334,1,0)</f>
        <v>0</v>
      </c>
      <c r="N490" s="135">
        <f>IF(IF(Scharniere[[#This Row],[Anschrauben]]=1,1,IF(Scharniere[[#This Row],[Einpressen]]=1,2,IF(Scharniere[[#This Row],[Quick]]=1,3,IF(Scharniere[[#This Row],[Werkzeuglos]]=1,4,0))))=select!$E$362,1,0)</f>
        <v>0</v>
      </c>
      <c r="O4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0" s="298">
        <f>IF(AND(Scharniere[[#This Row],[Scharnierart]]=3,Scharniere[[#This Row],[Gruppenschlüssel]]=select!$A$747)=TRUE,1,0)</f>
        <v>0</v>
      </c>
      <c r="Q490" s="298">
        <f ca="1">IF(select!$O$945&lt;6,1,0)</f>
        <v>1</v>
      </c>
      <c r="R490" s="298">
        <f>IF(select!$A$778=IF(Scharniere[[#This Row],[mit Dämpfung]]=1,1,IF(Scharniere[[#This Row],[ohne Dämpfung]]=1,2,IF(Scharniere[[#This Row],[ohne Feder]]=1,3,0))),1,0)</f>
        <v>0</v>
      </c>
      <c r="S490" s="298">
        <f>IF(Scharniere[[#This Row],[Bohrbild]]=select!$A$755,1,0)</f>
        <v>0</v>
      </c>
      <c r="T490" s="298">
        <f>IF(IF(Scharniere[[#This Row],[Anschrauben]]=1,1,IF(Scharniere[[#This Row],[Einpressen]]=1,2,IF(Scharniere[[#This Row],[Quick]]=1,3,IF(Scharniere[[#This Row],[Werkzeuglos]]=1,4,0))))=select!$A$769,1,0)</f>
        <v>0</v>
      </c>
      <c r="U4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0" s="359">
        <f>IF(AND(Scharniere[[#This Row],[Scharnierart]]=4,Scharniere[[#This Row],[Gruppenschlüssel]]=select!$A$981)=TRUE,1,0)</f>
        <v>0</v>
      </c>
      <c r="W490" s="359">
        <f ca="1">IF(select!$O$1185&lt;6,1,0)</f>
        <v>1</v>
      </c>
      <c r="X490" s="359">
        <f>IF(select!$A$1012=IF(Scharniere[[#This Row],[mit Dämpfung]]=1,1,IF(Scharniere[[#This Row],[ohne Dämpfung]]=1,2,IF(Scharniere[[#This Row],[ohne Feder]]=1,3,0))),1,0)</f>
        <v>0</v>
      </c>
      <c r="Y490" s="359">
        <f>IF(Scharniere[[#This Row],[Bohrbild]]=select!$A$989,1,0)</f>
        <v>0</v>
      </c>
      <c r="Z490" s="359">
        <f>IF(IF(Scharniere[[#This Row],[Anschrauben]]=1,1,IF(Scharniere[[#This Row],[Einpressen]]=1,2,IF(Scharniere[[#This Row],[Quick]]=1,3,IF(Scharniere[[#This Row],[Werkzeuglos]]=1,4,0))))=select!$A$1003,1,0)</f>
        <v>0</v>
      </c>
      <c r="AA4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0" s="359">
        <f ca="1">IF(select!$K$980="*",Scharniere[[#This Row],[AG Ges2]],Scharniere[[#This Row],[AG Ges1]])</f>
        <v>0</v>
      </c>
      <c r="AE490" s="451">
        <f ca="1">IF(AND(Scharniere[[#This Row],[Scharnierart]]=select!$A$1485,Scharniere[[#This Row],[Gruppenschlüssel]]=select!$B$1485)=TRUE,1,0)</f>
        <v>0</v>
      </c>
      <c r="AF490" s="451">
        <f ca="1">IF(AND(Scharniere[[#This Row],[Scharnierart]]=select!$A$1486,Scharniere[[#This Row],[Gruppenschlüssel]]=select!$B$1486)=TRUE,1,0)</f>
        <v>0</v>
      </c>
      <c r="AG490" s="451">
        <f ca="1">IF(AND(Scharniere[[#This Row],[Scharnierart]]=select!$A$1487,Scharniere[[#This Row],[Gruppenschlüssel]]=select!$B$1487)=TRUE,1,0)</f>
        <v>0</v>
      </c>
      <c r="AH490" s="451">
        <f ca="1">IF(AND(Scharniere[[#This Row],[Scharnierart]]=select!$A$1488,Scharniere[[#This Row],[Gruppenschlüssel]]=select!$B$1488)=TRUE,1,0)</f>
        <v>0</v>
      </c>
      <c r="AI490" s="451">
        <f ca="1">IF(SUM(Scharniere[[#This Row],[konf Scharnier 1]:[konf Scharnier 4]])&gt;0,1,0)</f>
        <v>0</v>
      </c>
      <c r="AJ490" s="451"/>
      <c r="AK490" s="451"/>
      <c r="AL490" s="451"/>
      <c r="AM490" s="451"/>
      <c r="AN490" s="451"/>
      <c r="AO490" s="146">
        <v>1</v>
      </c>
      <c r="AP490" s="146">
        <v>3</v>
      </c>
      <c r="AQ490" s="10" t="str">
        <f ca="1">Sprache!$A$114</f>
        <v>Tiomos Scharnier TT Click-on</v>
      </c>
      <c r="AR490" t="str">
        <f ca="1">"160°, B-BB, K00, "&amp;Sprache!A181&amp;", ni"</f>
        <v>160°, B-BB, K00, Dübel, ni</v>
      </c>
      <c r="AS490" t="str">
        <f ca="1">Sprache!$A$103</f>
        <v>Tiomos Click-On Scharniere</v>
      </c>
      <c r="AT490">
        <v>0</v>
      </c>
      <c r="AU490" s="34" t="s">
        <v>3</v>
      </c>
      <c r="AV490">
        <v>160</v>
      </c>
      <c r="AW490" s="10">
        <v>0</v>
      </c>
      <c r="AX490">
        <v>0</v>
      </c>
      <c r="AY490">
        <v>1</v>
      </c>
      <c r="AZ490" s="10">
        <v>0</v>
      </c>
      <c r="BA490">
        <v>1</v>
      </c>
      <c r="BB490">
        <v>0</v>
      </c>
      <c r="BC490">
        <v>0</v>
      </c>
      <c r="BD490" s="143" t="s">
        <v>655</v>
      </c>
      <c r="BG490"/>
    </row>
    <row r="491" spans="1:59" ht="14.25" customHeight="1" x14ac:dyDescent="0.25">
      <c r="A491" s="37" t="str">
        <f>LEFT(Scharniere[[#This Row],[ArtikelNR]],4)</f>
        <v>F045</v>
      </c>
      <c r="B491" s="35" t="str">
        <f>MID(Scharniere[[#This Row],[ArtikelNR]],5,3)</f>
        <v>138</v>
      </c>
      <c r="C491" s="37" t="str">
        <f>RIGHT(Scharniere[[#This Row],[ArtikelNR]],3)</f>
        <v>499</v>
      </c>
      <c r="D491" s="35">
        <f>IF(AND(Scharniere[[#This Row],[Gruppenschlüssel]]=select!$A$44,Scharniere[[#This Row],[Scharnierart]]=1)=TRUE,1,0)</f>
        <v>0</v>
      </c>
      <c r="E4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1" s="35">
        <f>IF(select!$F$57=IF(Scharniere[[#This Row],[mit Dämpfung]]=1,1,IF(Scharniere[[#This Row],[ohne Dämpfung]]=1,2,IF(Scharniere[[#This Row],[ohne Feder]]=1,3,0))),1,0)</f>
        <v>0</v>
      </c>
      <c r="G491" s="35">
        <f>IF(Scharniere[[#This Row],[Bohrbild]]=select!$V$43,1,0)</f>
        <v>0</v>
      </c>
      <c r="H491" s="35">
        <f>IF(IF(Scharniere[[#This Row],[Anschrauben]]=1,1,IF(Scharniere[[#This Row],[Einpressen]]=1,2,IF(Scharniere[[#This Row],[Quick]]=1,3,IF(Scharniere[[#This Row],[Werkzeuglos]]=1,4,0))))=select!$F$48,1,0)</f>
        <v>0</v>
      </c>
      <c r="I4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1" s="149">
        <f>IF(AND(Scharniere[[#This Row],[Scharnierart]]=2,Scharniere[[#This Row],[Gruppenschlüssel]]=select!$A$318)=TRUE,1,0)</f>
        <v>0</v>
      </c>
      <c r="K491" s="221">
        <f ca="1">IF(select!$O$424&lt;6,1,0)</f>
        <v>1</v>
      </c>
      <c r="L491" s="139">
        <f>IF(select!$A$362=IF(Scharniere[[#This Row],[mit Dämpfung]]=1,1,IF(Scharniere[[#This Row],[ohne Dämpfung]]=1,2,IF(Scharniere[[#This Row],[ohne Feder]]=1,3,0))),1,0)</f>
        <v>0</v>
      </c>
      <c r="M491" s="135">
        <f>IF(Scharniere[[#This Row],[Bohrbild]]=select!$O$334,1,0)</f>
        <v>0</v>
      </c>
      <c r="N491" s="135">
        <f>IF(IF(Scharniere[[#This Row],[Anschrauben]]=1,1,IF(Scharniere[[#This Row],[Einpressen]]=1,2,IF(Scharniere[[#This Row],[Quick]]=1,3,IF(Scharniere[[#This Row],[Werkzeuglos]]=1,4,0))))=select!$E$362,1,0)</f>
        <v>1</v>
      </c>
      <c r="O4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1" s="298">
        <f>IF(AND(Scharniere[[#This Row],[Scharnierart]]=3,Scharniere[[#This Row],[Gruppenschlüssel]]=select!$A$747)=TRUE,1,0)</f>
        <v>0</v>
      </c>
      <c r="Q491" s="298">
        <f ca="1">IF(select!$O$945&lt;6,1,0)</f>
        <v>1</v>
      </c>
      <c r="R491" s="298">
        <f>IF(select!$A$778=IF(Scharniere[[#This Row],[mit Dämpfung]]=1,1,IF(Scharniere[[#This Row],[ohne Dämpfung]]=1,2,IF(Scharniere[[#This Row],[ohne Feder]]=1,3,0))),1,0)</f>
        <v>1</v>
      </c>
      <c r="S491" s="298">
        <f>IF(Scharniere[[#This Row],[Bohrbild]]=select!$A$755,1,0)</f>
        <v>0</v>
      </c>
      <c r="T491" s="298">
        <f>IF(IF(Scharniere[[#This Row],[Anschrauben]]=1,1,IF(Scharniere[[#This Row],[Einpressen]]=1,2,IF(Scharniere[[#This Row],[Quick]]=1,3,IF(Scharniere[[#This Row],[Werkzeuglos]]=1,4,0))))=select!$A$769,1,0)</f>
        <v>1</v>
      </c>
      <c r="U4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1" s="359">
        <f>IF(AND(Scharniere[[#This Row],[Scharnierart]]=4,Scharniere[[#This Row],[Gruppenschlüssel]]=select!$A$981)=TRUE,1,0)</f>
        <v>0</v>
      </c>
      <c r="W491" s="359">
        <f ca="1">IF(select!$O$1185&lt;6,1,0)</f>
        <v>1</v>
      </c>
      <c r="X491" s="359">
        <f>IF(select!$A$1012=IF(Scharniere[[#This Row],[mit Dämpfung]]=1,1,IF(Scharniere[[#This Row],[ohne Dämpfung]]=1,2,IF(Scharniere[[#This Row],[ohne Feder]]=1,3,0))),1,0)</f>
        <v>1</v>
      </c>
      <c r="Y491" s="359">
        <f>IF(Scharniere[[#This Row],[Bohrbild]]=select!$A$989,1,0)</f>
        <v>0</v>
      </c>
      <c r="Z491" s="359">
        <f>IF(IF(Scharniere[[#This Row],[Anschrauben]]=1,1,IF(Scharniere[[#This Row],[Einpressen]]=1,2,IF(Scharniere[[#This Row],[Quick]]=1,3,IF(Scharniere[[#This Row],[Werkzeuglos]]=1,4,0))))=select!$A$1003,1,0)</f>
        <v>1</v>
      </c>
      <c r="AA4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1" s="359">
        <f ca="1">IF(select!$K$980="*",Scharniere[[#This Row],[AG Ges2]],Scharniere[[#This Row],[AG Ges1]])</f>
        <v>0</v>
      </c>
      <c r="AE491" s="451">
        <f ca="1">IF(AND(Scharniere[[#This Row],[Scharnierart]]=select!$A$1485,Scharniere[[#This Row],[Gruppenschlüssel]]=select!$B$1485)=TRUE,1,0)</f>
        <v>0</v>
      </c>
      <c r="AF491" s="451">
        <f ca="1">IF(AND(Scharniere[[#This Row],[Scharnierart]]=select!$A$1486,Scharniere[[#This Row],[Gruppenschlüssel]]=select!$B$1486)=TRUE,1,0)</f>
        <v>0</v>
      </c>
      <c r="AG491" s="451">
        <f ca="1">IF(AND(Scharniere[[#This Row],[Scharnierart]]=select!$A$1487,Scharniere[[#This Row],[Gruppenschlüssel]]=select!$B$1487)=TRUE,1,0)</f>
        <v>0</v>
      </c>
      <c r="AH491" s="451">
        <f ca="1">IF(AND(Scharniere[[#This Row],[Scharnierart]]=select!$A$1488,Scharniere[[#This Row],[Gruppenschlüssel]]=select!$B$1488)=TRUE,1,0)</f>
        <v>0</v>
      </c>
      <c r="AI491" s="451">
        <f ca="1">IF(SUM(Scharniere[[#This Row],[konf Scharnier 1]:[konf Scharnier 4]])&gt;0,1,0)</f>
        <v>0</v>
      </c>
      <c r="AJ491" s="451"/>
      <c r="AK491" s="451"/>
      <c r="AL491" s="451"/>
      <c r="AM491" s="451"/>
      <c r="AN491" s="451"/>
      <c r="AO491" s="146">
        <v>1</v>
      </c>
      <c r="AP491" s="146">
        <v>3</v>
      </c>
      <c r="AQ491" s="10" t="str">
        <f ca="1">Sprache!$A$110</f>
        <v>Tiomos Scharnier T Click-on</v>
      </c>
      <c r="AR491" t="s">
        <v>323</v>
      </c>
      <c r="AS491" t="str">
        <f ca="1">Sprache!$A$103</f>
        <v>Tiomos Click-On Scharniere</v>
      </c>
      <c r="AT491">
        <v>0</v>
      </c>
      <c r="AU491" s="34" t="s">
        <v>3</v>
      </c>
      <c r="AV491">
        <v>160</v>
      </c>
      <c r="AW491" s="10">
        <v>0</v>
      </c>
      <c r="AX491">
        <v>1</v>
      </c>
      <c r="AY491">
        <v>0</v>
      </c>
      <c r="AZ491" s="10">
        <v>1</v>
      </c>
      <c r="BA491">
        <v>0</v>
      </c>
      <c r="BB491">
        <v>0</v>
      </c>
      <c r="BC491">
        <v>0</v>
      </c>
      <c r="BD491" s="143" t="s">
        <v>500</v>
      </c>
      <c r="BG491"/>
    </row>
    <row r="492" spans="1:59" ht="14.25" customHeight="1" x14ac:dyDescent="0.25">
      <c r="A492" s="37" t="str">
        <f>LEFT(Scharniere[[#This Row],[ArtikelNR]],4)</f>
        <v>F028</v>
      </c>
      <c r="B492" s="35" t="str">
        <f>MID(Scharniere[[#This Row],[ArtikelNR]],5,3)</f>
        <v>138</v>
      </c>
      <c r="C492" s="37" t="str">
        <f>RIGHT(Scharniere[[#This Row],[ArtikelNR]],3)</f>
        <v>561</v>
      </c>
      <c r="D492" s="35">
        <f>IF(AND(Scharniere[[#This Row],[Gruppenschlüssel]]=select!$A$44,Scharniere[[#This Row],[Scharnierart]]=1)=TRUE,1,0)</f>
        <v>0</v>
      </c>
      <c r="E4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2" s="35">
        <f>IF(select!$F$57=IF(Scharniere[[#This Row],[mit Dämpfung]]=1,1,IF(Scharniere[[#This Row],[ohne Dämpfung]]=1,2,IF(Scharniere[[#This Row],[ohne Feder]]=1,3,0))),1,0)</f>
        <v>0</v>
      </c>
      <c r="G492" s="35">
        <f>IF(Scharniere[[#This Row],[Bohrbild]]=select!$V$43,1,0)</f>
        <v>0</v>
      </c>
      <c r="H492" s="35">
        <f>IF(IF(Scharniere[[#This Row],[Anschrauben]]=1,1,IF(Scharniere[[#This Row],[Einpressen]]=1,2,IF(Scharniere[[#This Row],[Quick]]=1,3,IF(Scharniere[[#This Row],[Werkzeuglos]]=1,4,0))))=select!$F$48,1,0)</f>
        <v>0</v>
      </c>
      <c r="I4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2" s="149">
        <f>IF(AND(Scharniere[[#This Row],[Scharnierart]]=2,Scharniere[[#This Row],[Gruppenschlüssel]]=select!$A$318)=TRUE,1,0)</f>
        <v>0</v>
      </c>
      <c r="K492" s="221">
        <f ca="1">IF(select!$O$424&lt;6,1,0)</f>
        <v>1</v>
      </c>
      <c r="L492" s="139">
        <f>IF(select!$A$362=IF(Scharniere[[#This Row],[mit Dämpfung]]=1,1,IF(Scharniere[[#This Row],[ohne Dämpfung]]=1,2,IF(Scharniere[[#This Row],[ohne Feder]]=1,3,0))),1,0)</f>
        <v>1</v>
      </c>
      <c r="M492" s="135">
        <f>IF(Scharniere[[#This Row],[Bohrbild]]=select!$O$334,1,0)</f>
        <v>0</v>
      </c>
      <c r="N492" s="135">
        <f>IF(IF(Scharniere[[#This Row],[Anschrauben]]=1,1,IF(Scharniere[[#This Row],[Einpressen]]=1,2,IF(Scharniere[[#This Row],[Quick]]=1,3,IF(Scharniere[[#This Row],[Werkzeuglos]]=1,4,0))))=select!$E$362,1,0)</f>
        <v>1</v>
      </c>
      <c r="O4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2" s="298">
        <f>IF(AND(Scharniere[[#This Row],[Scharnierart]]=3,Scharniere[[#This Row],[Gruppenschlüssel]]=select!$A$747)=TRUE,1,0)</f>
        <v>0</v>
      </c>
      <c r="Q492" s="298">
        <f ca="1">IF(select!$O$945&lt;6,1,0)</f>
        <v>1</v>
      </c>
      <c r="R492" s="298">
        <f>IF(select!$A$778=IF(Scharniere[[#This Row],[mit Dämpfung]]=1,1,IF(Scharniere[[#This Row],[ohne Dämpfung]]=1,2,IF(Scharniere[[#This Row],[ohne Feder]]=1,3,0))),1,0)</f>
        <v>0</v>
      </c>
      <c r="S492" s="298">
        <f>IF(Scharniere[[#This Row],[Bohrbild]]=select!$A$755,1,0)</f>
        <v>0</v>
      </c>
      <c r="T492" s="298">
        <f>IF(IF(Scharniere[[#This Row],[Anschrauben]]=1,1,IF(Scharniere[[#This Row],[Einpressen]]=1,2,IF(Scharniere[[#This Row],[Quick]]=1,3,IF(Scharniere[[#This Row],[Werkzeuglos]]=1,4,0))))=select!$A$769,1,0)</f>
        <v>1</v>
      </c>
      <c r="U4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2" s="359">
        <f>IF(AND(Scharniere[[#This Row],[Scharnierart]]=4,Scharniere[[#This Row],[Gruppenschlüssel]]=select!$A$981)=TRUE,1,0)</f>
        <v>0</v>
      </c>
      <c r="W492" s="359">
        <f ca="1">IF(select!$O$1185&lt;6,1,0)</f>
        <v>1</v>
      </c>
      <c r="X492" s="359">
        <f>IF(select!$A$1012=IF(Scharniere[[#This Row],[mit Dämpfung]]=1,1,IF(Scharniere[[#This Row],[ohne Dämpfung]]=1,2,IF(Scharniere[[#This Row],[ohne Feder]]=1,3,0))),1,0)</f>
        <v>0</v>
      </c>
      <c r="Y492" s="359">
        <f>IF(Scharniere[[#This Row],[Bohrbild]]=select!$A$989,1,0)</f>
        <v>0</v>
      </c>
      <c r="Z492" s="359">
        <f>IF(IF(Scharniere[[#This Row],[Anschrauben]]=1,1,IF(Scharniere[[#This Row],[Einpressen]]=1,2,IF(Scharniere[[#This Row],[Quick]]=1,3,IF(Scharniere[[#This Row],[Werkzeuglos]]=1,4,0))))=select!$A$1003,1,0)</f>
        <v>1</v>
      </c>
      <c r="AA4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2" s="359">
        <f ca="1">IF(select!$K$980="*",Scharniere[[#This Row],[AG Ges2]],Scharniere[[#This Row],[AG Ges1]])</f>
        <v>0</v>
      </c>
      <c r="AE492" s="451">
        <f ca="1">IF(AND(Scharniere[[#This Row],[Scharnierart]]=select!$A$1485,Scharniere[[#This Row],[Gruppenschlüssel]]=select!$B$1485)=TRUE,1,0)</f>
        <v>0</v>
      </c>
      <c r="AF492" s="451">
        <f ca="1">IF(AND(Scharniere[[#This Row],[Scharnierart]]=select!$A$1486,Scharniere[[#This Row],[Gruppenschlüssel]]=select!$B$1486)=TRUE,1,0)</f>
        <v>0</v>
      </c>
      <c r="AG492" s="451">
        <f ca="1">IF(AND(Scharniere[[#This Row],[Scharnierart]]=select!$A$1487,Scharniere[[#This Row],[Gruppenschlüssel]]=select!$B$1487)=TRUE,1,0)</f>
        <v>0</v>
      </c>
      <c r="AH492" s="451">
        <f ca="1">IF(AND(Scharniere[[#This Row],[Scharnierart]]=select!$A$1488,Scharniere[[#This Row],[Gruppenschlüssel]]=select!$B$1488)=TRUE,1,0)</f>
        <v>0</v>
      </c>
      <c r="AI492" s="451">
        <f ca="1">IF(SUM(Scharniere[[#This Row],[konf Scharnier 1]:[konf Scharnier 4]])&gt;0,1,0)</f>
        <v>0</v>
      </c>
      <c r="AJ492" s="451"/>
      <c r="AK492" s="451"/>
      <c r="AL492" s="451"/>
      <c r="AM492" s="451"/>
      <c r="AN492" s="451"/>
      <c r="AO492" s="146">
        <v>1</v>
      </c>
      <c r="AP492" s="146">
        <v>3</v>
      </c>
      <c r="AQ492" s="10" t="str">
        <f ca="1">Sprache!$A$112</f>
        <v>Tiomos Scharnier TS Click-on</v>
      </c>
      <c r="AR492" t="s">
        <v>323</v>
      </c>
      <c r="AS492" t="str">
        <f ca="1">Sprache!$A$103</f>
        <v>Tiomos Click-On Scharniere</v>
      </c>
      <c r="AT492">
        <v>0</v>
      </c>
      <c r="AU492" s="34" t="s">
        <v>3</v>
      </c>
      <c r="AV492">
        <v>160</v>
      </c>
      <c r="AW492" s="10">
        <v>1</v>
      </c>
      <c r="AX492">
        <v>0</v>
      </c>
      <c r="AY492">
        <v>0</v>
      </c>
      <c r="AZ492" s="10">
        <v>1</v>
      </c>
      <c r="BA492">
        <v>0</v>
      </c>
      <c r="BB492">
        <v>0</v>
      </c>
      <c r="BC492">
        <v>0</v>
      </c>
      <c r="BD492" s="143" t="s">
        <v>322</v>
      </c>
      <c r="BG492"/>
    </row>
    <row r="493" spans="1:59" ht="14.25" customHeight="1" x14ac:dyDescent="0.25">
      <c r="A493" s="37" t="str">
        <f>LEFT(Scharniere[[#This Row],[ArtikelNR]],4)</f>
        <v>F046</v>
      </c>
      <c r="B493" s="35" t="str">
        <f>MID(Scharniere[[#This Row],[ArtikelNR]],5,3)</f>
        <v>138</v>
      </c>
      <c r="C493" s="37" t="str">
        <f>RIGHT(Scharniere[[#This Row],[ArtikelNR]],3)</f>
        <v>621</v>
      </c>
      <c r="D493" s="35">
        <f>IF(AND(Scharniere[[#This Row],[Gruppenschlüssel]]=select!$A$44,Scharniere[[#This Row],[Scharnierart]]=1)=TRUE,1,0)</f>
        <v>0</v>
      </c>
      <c r="E4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3" s="35">
        <f>IF(select!$F$57=IF(Scharniere[[#This Row],[mit Dämpfung]]=1,1,IF(Scharniere[[#This Row],[ohne Dämpfung]]=1,2,IF(Scharniere[[#This Row],[ohne Feder]]=1,3,0))),1,0)</f>
        <v>1</v>
      </c>
      <c r="G493" s="35">
        <f>IF(Scharniere[[#This Row],[Bohrbild]]=select!$V$43,1,0)</f>
        <v>0</v>
      </c>
      <c r="H493" s="35">
        <f>IF(IF(Scharniere[[#This Row],[Anschrauben]]=1,1,IF(Scharniere[[#This Row],[Einpressen]]=1,2,IF(Scharniere[[#This Row],[Quick]]=1,3,IF(Scharniere[[#This Row],[Werkzeuglos]]=1,4,0))))=select!$F$48,1,0)</f>
        <v>0</v>
      </c>
      <c r="I4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3" s="149">
        <f>IF(AND(Scharniere[[#This Row],[Scharnierart]]=2,Scharniere[[#This Row],[Gruppenschlüssel]]=select!$A$318)=TRUE,1,0)</f>
        <v>0</v>
      </c>
      <c r="K493" s="221">
        <f ca="1">IF(select!$O$424&lt;6,1,0)</f>
        <v>1</v>
      </c>
      <c r="L493" s="139">
        <f>IF(select!$A$362=IF(Scharniere[[#This Row],[mit Dämpfung]]=1,1,IF(Scharniere[[#This Row],[ohne Dämpfung]]=1,2,IF(Scharniere[[#This Row],[ohne Feder]]=1,3,0))),1,0)</f>
        <v>0</v>
      </c>
      <c r="M493" s="135">
        <f>IF(Scharniere[[#This Row],[Bohrbild]]=select!$O$334,1,0)</f>
        <v>0</v>
      </c>
      <c r="N493" s="135">
        <f>IF(IF(Scharniere[[#This Row],[Anschrauben]]=1,1,IF(Scharniere[[#This Row],[Einpressen]]=1,2,IF(Scharniere[[#This Row],[Quick]]=1,3,IF(Scharniere[[#This Row],[Werkzeuglos]]=1,4,0))))=select!$E$362,1,0)</f>
        <v>1</v>
      </c>
      <c r="O4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3" s="298">
        <f>IF(AND(Scharniere[[#This Row],[Scharnierart]]=3,Scharniere[[#This Row],[Gruppenschlüssel]]=select!$A$747)=TRUE,1,0)</f>
        <v>0</v>
      </c>
      <c r="Q493" s="298">
        <f ca="1">IF(select!$O$945&lt;6,1,0)</f>
        <v>1</v>
      </c>
      <c r="R493" s="298">
        <f>IF(select!$A$778=IF(Scharniere[[#This Row],[mit Dämpfung]]=1,1,IF(Scharniere[[#This Row],[ohne Dämpfung]]=1,2,IF(Scharniere[[#This Row],[ohne Feder]]=1,3,0))),1,0)</f>
        <v>0</v>
      </c>
      <c r="S493" s="298">
        <f>IF(Scharniere[[#This Row],[Bohrbild]]=select!$A$755,1,0)</f>
        <v>0</v>
      </c>
      <c r="T493" s="298">
        <f>IF(IF(Scharniere[[#This Row],[Anschrauben]]=1,1,IF(Scharniere[[#This Row],[Einpressen]]=1,2,IF(Scharniere[[#This Row],[Quick]]=1,3,IF(Scharniere[[#This Row],[Werkzeuglos]]=1,4,0))))=select!$A$769,1,0)</f>
        <v>1</v>
      </c>
      <c r="U4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3" s="359">
        <f>IF(AND(Scharniere[[#This Row],[Scharnierart]]=4,Scharniere[[#This Row],[Gruppenschlüssel]]=select!$A$981)=TRUE,1,0)</f>
        <v>0</v>
      </c>
      <c r="W493" s="359">
        <f ca="1">IF(select!$O$1185&lt;6,1,0)</f>
        <v>1</v>
      </c>
      <c r="X493" s="359">
        <f>IF(select!$A$1012=IF(Scharniere[[#This Row],[mit Dämpfung]]=1,1,IF(Scharniere[[#This Row],[ohne Dämpfung]]=1,2,IF(Scharniere[[#This Row],[ohne Feder]]=1,3,0))),1,0)</f>
        <v>0</v>
      </c>
      <c r="Y493" s="359">
        <f>IF(Scharniere[[#This Row],[Bohrbild]]=select!$A$989,1,0)</f>
        <v>0</v>
      </c>
      <c r="Z493" s="359">
        <f>IF(IF(Scharniere[[#This Row],[Anschrauben]]=1,1,IF(Scharniere[[#This Row],[Einpressen]]=1,2,IF(Scharniere[[#This Row],[Quick]]=1,3,IF(Scharniere[[#This Row],[Werkzeuglos]]=1,4,0))))=select!$A$1003,1,0)</f>
        <v>1</v>
      </c>
      <c r="AA4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3" s="359">
        <f ca="1">IF(select!$K$980="*",Scharniere[[#This Row],[AG Ges2]],Scharniere[[#This Row],[AG Ges1]])</f>
        <v>0</v>
      </c>
      <c r="AE493" s="451">
        <f ca="1">IF(AND(Scharniere[[#This Row],[Scharnierart]]=select!$A$1485,Scharniere[[#This Row],[Gruppenschlüssel]]=select!$B$1485)=TRUE,1,0)</f>
        <v>0</v>
      </c>
      <c r="AF493" s="451">
        <f ca="1">IF(AND(Scharniere[[#This Row],[Scharnierart]]=select!$A$1486,Scharniere[[#This Row],[Gruppenschlüssel]]=select!$B$1486)=TRUE,1,0)</f>
        <v>0</v>
      </c>
      <c r="AG493" s="451">
        <f ca="1">IF(AND(Scharniere[[#This Row],[Scharnierart]]=select!$A$1487,Scharniere[[#This Row],[Gruppenschlüssel]]=select!$B$1487)=TRUE,1,0)</f>
        <v>0</v>
      </c>
      <c r="AH493" s="451">
        <f ca="1">IF(AND(Scharniere[[#This Row],[Scharnierart]]=select!$A$1488,Scharniere[[#This Row],[Gruppenschlüssel]]=select!$B$1488)=TRUE,1,0)</f>
        <v>0</v>
      </c>
      <c r="AI493" s="451">
        <f ca="1">IF(SUM(Scharniere[[#This Row],[konf Scharnier 1]:[konf Scharnier 4]])&gt;0,1,0)</f>
        <v>0</v>
      </c>
      <c r="AJ493" s="451"/>
      <c r="AK493" s="451"/>
      <c r="AL493" s="451"/>
      <c r="AM493" s="451"/>
      <c r="AN493" s="451"/>
      <c r="AO493" s="146">
        <v>1</v>
      </c>
      <c r="AP493" s="146">
        <v>3</v>
      </c>
      <c r="AQ493" s="10" t="str">
        <f ca="1">Sprache!$A$114</f>
        <v>Tiomos Scharnier TT Click-on</v>
      </c>
      <c r="AR493" t="s">
        <v>323</v>
      </c>
      <c r="AS493" t="str">
        <f ca="1">Sprache!$A$103</f>
        <v>Tiomos Click-On Scharniere</v>
      </c>
      <c r="AT493">
        <v>0</v>
      </c>
      <c r="AU493" s="34" t="s">
        <v>3</v>
      </c>
      <c r="AV493">
        <v>160</v>
      </c>
      <c r="AW493" s="10">
        <v>0</v>
      </c>
      <c r="AX493">
        <v>0</v>
      </c>
      <c r="AY493">
        <v>1</v>
      </c>
      <c r="AZ493" s="10">
        <v>1</v>
      </c>
      <c r="BA493">
        <v>0</v>
      </c>
      <c r="BB493">
        <v>0</v>
      </c>
      <c r="BC493">
        <v>0</v>
      </c>
      <c r="BD493" s="143" t="s">
        <v>652</v>
      </c>
      <c r="BG493"/>
    </row>
    <row r="494" spans="1:59" ht="14.25" customHeight="1" x14ac:dyDescent="0.25">
      <c r="A494" s="37" t="str">
        <f>LEFT(Scharniere[[#This Row],[ArtikelNR]],4)</f>
        <v>F045</v>
      </c>
      <c r="B494" s="35" t="str">
        <f>MID(Scharniere[[#This Row],[ArtikelNR]],5,3)</f>
        <v>138</v>
      </c>
      <c r="C494" s="37" t="str">
        <f>RIGHT(Scharniere[[#This Row],[ArtikelNR]],3)</f>
        <v>320</v>
      </c>
      <c r="D494" s="35">
        <f>IF(AND(Scharniere[[#This Row],[Gruppenschlüssel]]=select!$A$44,Scharniere[[#This Row],[Scharnierart]]=1)=TRUE,1,0)</f>
        <v>0</v>
      </c>
      <c r="E4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4" s="35">
        <f>IF(select!$F$57=IF(Scharniere[[#This Row],[mit Dämpfung]]=1,1,IF(Scharniere[[#This Row],[ohne Dämpfung]]=1,2,IF(Scharniere[[#This Row],[ohne Feder]]=1,3,0))),1,0)</f>
        <v>0</v>
      </c>
      <c r="G494" s="35">
        <f>IF(Scharniere[[#This Row],[Bohrbild]]=select!$V$43,1,0)</f>
        <v>0</v>
      </c>
      <c r="H494" s="35">
        <f>IF(IF(Scharniere[[#This Row],[Anschrauben]]=1,1,IF(Scharniere[[#This Row],[Einpressen]]=1,2,IF(Scharniere[[#This Row],[Quick]]=1,3,IF(Scharniere[[#This Row],[Werkzeuglos]]=1,4,0))))=select!$F$48,1,0)</f>
        <v>1</v>
      </c>
      <c r="I4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4" s="149">
        <f>IF(AND(Scharniere[[#This Row],[Scharnierart]]=2,Scharniere[[#This Row],[Gruppenschlüssel]]=select!$A$318)=TRUE,1,0)</f>
        <v>0</v>
      </c>
      <c r="K494" s="221">
        <f ca="1">IF(select!$O$424&lt;6,1,0)</f>
        <v>1</v>
      </c>
      <c r="L494" s="139">
        <f>IF(select!$A$362=IF(Scharniere[[#This Row],[mit Dämpfung]]=1,1,IF(Scharniere[[#This Row],[ohne Dämpfung]]=1,2,IF(Scharniere[[#This Row],[ohne Feder]]=1,3,0))),1,0)</f>
        <v>0</v>
      </c>
      <c r="M494" s="135">
        <f>IF(Scharniere[[#This Row],[Bohrbild]]=select!$O$334,1,0)</f>
        <v>0</v>
      </c>
      <c r="N494" s="135">
        <f>IF(IF(Scharniere[[#This Row],[Anschrauben]]=1,1,IF(Scharniere[[#This Row],[Einpressen]]=1,2,IF(Scharniere[[#This Row],[Quick]]=1,3,IF(Scharniere[[#This Row],[Werkzeuglos]]=1,4,0))))=select!$E$362,1,0)</f>
        <v>0</v>
      </c>
      <c r="O4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4" s="298">
        <f>IF(AND(Scharniere[[#This Row],[Scharnierart]]=3,Scharniere[[#This Row],[Gruppenschlüssel]]=select!$A$747)=TRUE,1,0)</f>
        <v>0</v>
      </c>
      <c r="Q494" s="298">
        <f ca="1">IF(select!$O$945&lt;6,1,0)</f>
        <v>1</v>
      </c>
      <c r="R494" s="298">
        <f>IF(select!$A$778=IF(Scharniere[[#This Row],[mit Dämpfung]]=1,1,IF(Scharniere[[#This Row],[ohne Dämpfung]]=1,2,IF(Scharniere[[#This Row],[ohne Feder]]=1,3,0))),1,0)</f>
        <v>1</v>
      </c>
      <c r="S494" s="298">
        <f>IF(Scharniere[[#This Row],[Bohrbild]]=select!$A$755,1,0)</f>
        <v>0</v>
      </c>
      <c r="T494" s="298">
        <f>IF(IF(Scharniere[[#This Row],[Anschrauben]]=1,1,IF(Scharniere[[#This Row],[Einpressen]]=1,2,IF(Scharniere[[#This Row],[Quick]]=1,3,IF(Scharniere[[#This Row],[Werkzeuglos]]=1,4,0))))=select!$A$769,1,0)</f>
        <v>0</v>
      </c>
      <c r="U4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4" s="359">
        <f>IF(AND(Scharniere[[#This Row],[Scharnierart]]=4,Scharniere[[#This Row],[Gruppenschlüssel]]=select!$A$981)=TRUE,1,0)</f>
        <v>0</v>
      </c>
      <c r="W494" s="359">
        <f ca="1">IF(select!$O$1185&lt;6,1,0)</f>
        <v>1</v>
      </c>
      <c r="X494" s="359">
        <f>IF(select!$A$1012=IF(Scharniere[[#This Row],[mit Dämpfung]]=1,1,IF(Scharniere[[#This Row],[ohne Dämpfung]]=1,2,IF(Scharniere[[#This Row],[ohne Feder]]=1,3,0))),1,0)</f>
        <v>1</v>
      </c>
      <c r="Y494" s="359">
        <f>IF(Scharniere[[#This Row],[Bohrbild]]=select!$A$989,1,0)</f>
        <v>0</v>
      </c>
      <c r="Z494" s="359">
        <f>IF(IF(Scharniere[[#This Row],[Anschrauben]]=1,1,IF(Scharniere[[#This Row],[Einpressen]]=1,2,IF(Scharniere[[#This Row],[Quick]]=1,3,IF(Scharniere[[#This Row],[Werkzeuglos]]=1,4,0))))=select!$A$1003,1,0)</f>
        <v>0</v>
      </c>
      <c r="AA4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4" s="359">
        <f ca="1">IF(select!$K$980="*",Scharniere[[#This Row],[AG Ges2]],Scharniere[[#This Row],[AG Ges1]])</f>
        <v>0</v>
      </c>
      <c r="AE494" s="451">
        <f ca="1">IF(AND(Scharniere[[#This Row],[Scharnierart]]=select!$A$1485,Scharniere[[#This Row],[Gruppenschlüssel]]=select!$B$1485)=TRUE,1,0)</f>
        <v>0</v>
      </c>
      <c r="AF494" s="451">
        <f ca="1">IF(AND(Scharniere[[#This Row],[Scharnierart]]=select!$A$1486,Scharniere[[#This Row],[Gruppenschlüssel]]=select!$B$1486)=TRUE,1,0)</f>
        <v>0</v>
      </c>
      <c r="AG494" s="451">
        <f ca="1">IF(AND(Scharniere[[#This Row],[Scharnierart]]=select!$A$1487,Scharniere[[#This Row],[Gruppenschlüssel]]=select!$B$1487)=TRUE,1,0)</f>
        <v>0</v>
      </c>
      <c r="AH494" s="451">
        <f ca="1">IF(AND(Scharniere[[#This Row],[Scharnierart]]=select!$A$1488,Scharniere[[#This Row],[Gruppenschlüssel]]=select!$B$1488)=TRUE,1,0)</f>
        <v>0</v>
      </c>
      <c r="AI494" s="451">
        <f ca="1">IF(SUM(Scharniere[[#This Row],[konf Scharnier 1]:[konf Scharnier 4]])&gt;0,1,0)</f>
        <v>0</v>
      </c>
      <c r="AJ494" s="451"/>
      <c r="AK494" s="451"/>
      <c r="AL494" s="451"/>
      <c r="AM494" s="451"/>
      <c r="AN494" s="451"/>
      <c r="AO494" s="146">
        <v>1</v>
      </c>
      <c r="AP494" s="146">
        <v>3</v>
      </c>
      <c r="AQ494" s="10" t="str">
        <f ca="1">Sprache!$A$110</f>
        <v>Tiomos Scharnier T Click-on</v>
      </c>
      <c r="AR494" t="str">
        <f ca="1">"160°, G-BB, K00, "&amp;Sprache!A181&amp;", ni"</f>
        <v>160°, G-BB, K00, Dübel, ni</v>
      </c>
      <c r="AS494" t="str">
        <f ca="1">Sprache!$A$103</f>
        <v>Tiomos Click-On Scharniere</v>
      </c>
      <c r="AT494">
        <v>0</v>
      </c>
      <c r="AU494" s="10" t="s">
        <v>9</v>
      </c>
      <c r="AV494">
        <v>160</v>
      </c>
      <c r="AW494" s="10">
        <v>0</v>
      </c>
      <c r="AX494">
        <v>1</v>
      </c>
      <c r="AY494">
        <v>0</v>
      </c>
      <c r="AZ494" s="10">
        <v>0</v>
      </c>
      <c r="BA494">
        <v>1</v>
      </c>
      <c r="BB494">
        <v>0</v>
      </c>
      <c r="BC494">
        <v>0</v>
      </c>
      <c r="BD494" s="143" t="s">
        <v>474</v>
      </c>
      <c r="BG494"/>
    </row>
    <row r="495" spans="1:59" ht="14.25" customHeight="1" x14ac:dyDescent="0.25">
      <c r="A495" s="37" t="str">
        <f>LEFT(Scharniere[[#This Row],[ArtikelNR]],4)</f>
        <v>F028</v>
      </c>
      <c r="B495" s="35" t="str">
        <f>MID(Scharniere[[#This Row],[ArtikelNR]],5,3)</f>
        <v>138</v>
      </c>
      <c r="C495" s="37" t="str">
        <f>RIGHT(Scharniere[[#This Row],[ArtikelNR]],3)</f>
        <v>382</v>
      </c>
      <c r="D495" s="35">
        <f>IF(AND(Scharniere[[#This Row],[Gruppenschlüssel]]=select!$A$44,Scharniere[[#This Row],[Scharnierart]]=1)=TRUE,1,0)</f>
        <v>0</v>
      </c>
      <c r="E4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5" s="35">
        <f>IF(select!$F$57=IF(Scharniere[[#This Row],[mit Dämpfung]]=1,1,IF(Scharniere[[#This Row],[ohne Dämpfung]]=1,2,IF(Scharniere[[#This Row],[ohne Feder]]=1,3,0))),1,0)</f>
        <v>0</v>
      </c>
      <c r="G495" s="35">
        <f>IF(Scharniere[[#This Row],[Bohrbild]]=select!$V$43,1,0)</f>
        <v>0</v>
      </c>
      <c r="H495" s="35">
        <f>IF(IF(Scharniere[[#This Row],[Anschrauben]]=1,1,IF(Scharniere[[#This Row],[Einpressen]]=1,2,IF(Scharniere[[#This Row],[Quick]]=1,3,IF(Scharniere[[#This Row],[Werkzeuglos]]=1,4,0))))=select!$F$48,1,0)</f>
        <v>1</v>
      </c>
      <c r="I4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5" s="149">
        <f>IF(AND(Scharniere[[#This Row],[Scharnierart]]=2,Scharniere[[#This Row],[Gruppenschlüssel]]=select!$A$318)=TRUE,1,0)</f>
        <v>0</v>
      </c>
      <c r="K495" s="221">
        <f ca="1">IF(select!$O$424&lt;6,1,0)</f>
        <v>1</v>
      </c>
      <c r="L495" s="139">
        <f>IF(select!$A$362=IF(Scharniere[[#This Row],[mit Dämpfung]]=1,1,IF(Scharniere[[#This Row],[ohne Dämpfung]]=1,2,IF(Scharniere[[#This Row],[ohne Feder]]=1,3,0))),1,0)</f>
        <v>1</v>
      </c>
      <c r="M495" s="135">
        <f>IF(Scharniere[[#This Row],[Bohrbild]]=select!$O$334,1,0)</f>
        <v>0</v>
      </c>
      <c r="N495" s="135">
        <f>IF(IF(Scharniere[[#This Row],[Anschrauben]]=1,1,IF(Scharniere[[#This Row],[Einpressen]]=1,2,IF(Scharniere[[#This Row],[Quick]]=1,3,IF(Scharniere[[#This Row],[Werkzeuglos]]=1,4,0))))=select!$E$362,1,0)</f>
        <v>0</v>
      </c>
      <c r="O4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5" s="298">
        <f>IF(AND(Scharniere[[#This Row],[Scharnierart]]=3,Scharniere[[#This Row],[Gruppenschlüssel]]=select!$A$747)=TRUE,1,0)</f>
        <v>0</v>
      </c>
      <c r="Q495" s="298">
        <f ca="1">IF(select!$O$945&lt;6,1,0)</f>
        <v>1</v>
      </c>
      <c r="R495" s="298">
        <f>IF(select!$A$778=IF(Scharniere[[#This Row],[mit Dämpfung]]=1,1,IF(Scharniere[[#This Row],[ohne Dämpfung]]=1,2,IF(Scharniere[[#This Row],[ohne Feder]]=1,3,0))),1,0)</f>
        <v>0</v>
      </c>
      <c r="S495" s="298">
        <f>IF(Scharniere[[#This Row],[Bohrbild]]=select!$A$755,1,0)</f>
        <v>0</v>
      </c>
      <c r="T495" s="298">
        <f>IF(IF(Scharniere[[#This Row],[Anschrauben]]=1,1,IF(Scharniere[[#This Row],[Einpressen]]=1,2,IF(Scharniere[[#This Row],[Quick]]=1,3,IF(Scharniere[[#This Row],[Werkzeuglos]]=1,4,0))))=select!$A$769,1,0)</f>
        <v>0</v>
      </c>
      <c r="U4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5" s="359">
        <f>IF(AND(Scharniere[[#This Row],[Scharnierart]]=4,Scharniere[[#This Row],[Gruppenschlüssel]]=select!$A$981)=TRUE,1,0)</f>
        <v>0</v>
      </c>
      <c r="W495" s="359">
        <f ca="1">IF(select!$O$1185&lt;6,1,0)</f>
        <v>1</v>
      </c>
      <c r="X495" s="359">
        <f>IF(select!$A$1012=IF(Scharniere[[#This Row],[mit Dämpfung]]=1,1,IF(Scharniere[[#This Row],[ohne Dämpfung]]=1,2,IF(Scharniere[[#This Row],[ohne Feder]]=1,3,0))),1,0)</f>
        <v>0</v>
      </c>
      <c r="Y495" s="359">
        <f>IF(Scharniere[[#This Row],[Bohrbild]]=select!$A$989,1,0)</f>
        <v>0</v>
      </c>
      <c r="Z495" s="359">
        <f>IF(IF(Scharniere[[#This Row],[Anschrauben]]=1,1,IF(Scharniere[[#This Row],[Einpressen]]=1,2,IF(Scharniere[[#This Row],[Quick]]=1,3,IF(Scharniere[[#This Row],[Werkzeuglos]]=1,4,0))))=select!$A$1003,1,0)</f>
        <v>0</v>
      </c>
      <c r="AA4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5" s="359">
        <f ca="1">IF(select!$K$980="*",Scharniere[[#This Row],[AG Ges2]],Scharniere[[#This Row],[AG Ges1]])</f>
        <v>0</v>
      </c>
      <c r="AE495" s="451">
        <f ca="1">IF(AND(Scharniere[[#This Row],[Scharnierart]]=select!$A$1485,Scharniere[[#This Row],[Gruppenschlüssel]]=select!$B$1485)=TRUE,1,0)</f>
        <v>0</v>
      </c>
      <c r="AF495" s="451">
        <f ca="1">IF(AND(Scharniere[[#This Row],[Scharnierart]]=select!$A$1486,Scharniere[[#This Row],[Gruppenschlüssel]]=select!$B$1486)=TRUE,1,0)</f>
        <v>0</v>
      </c>
      <c r="AG495" s="451">
        <f ca="1">IF(AND(Scharniere[[#This Row],[Scharnierart]]=select!$A$1487,Scharniere[[#This Row],[Gruppenschlüssel]]=select!$B$1487)=TRUE,1,0)</f>
        <v>0</v>
      </c>
      <c r="AH495" s="451">
        <f ca="1">IF(AND(Scharniere[[#This Row],[Scharnierart]]=select!$A$1488,Scharniere[[#This Row],[Gruppenschlüssel]]=select!$B$1488)=TRUE,1,0)</f>
        <v>0</v>
      </c>
      <c r="AI495" s="451">
        <f ca="1">IF(SUM(Scharniere[[#This Row],[konf Scharnier 1]:[konf Scharnier 4]])&gt;0,1,0)</f>
        <v>0</v>
      </c>
      <c r="AJ495" s="451"/>
      <c r="AK495" s="451"/>
      <c r="AL495" s="451"/>
      <c r="AM495" s="451"/>
      <c r="AN495" s="451"/>
      <c r="AO495" s="146">
        <v>1</v>
      </c>
      <c r="AP495" s="146">
        <v>3</v>
      </c>
      <c r="AQ495" s="10" t="str">
        <f ca="1">Sprache!$A$112</f>
        <v>Tiomos Scharnier TS Click-on</v>
      </c>
      <c r="AR495" t="str">
        <f ca="1">"160°, G-BB, K00, "&amp;Sprache!A181&amp;", ni"</f>
        <v>160°, G-BB, K00, Dübel, ni</v>
      </c>
      <c r="AS495" t="str">
        <f ca="1">Sprache!$A$103</f>
        <v>Tiomos Click-On Scharniere</v>
      </c>
      <c r="AT495">
        <v>0</v>
      </c>
      <c r="AU495" s="34" t="s">
        <v>9</v>
      </c>
      <c r="AV495">
        <v>160</v>
      </c>
      <c r="AW495" s="10">
        <v>1</v>
      </c>
      <c r="AX495">
        <v>0</v>
      </c>
      <c r="AY495">
        <v>0</v>
      </c>
      <c r="AZ495" s="10">
        <v>0</v>
      </c>
      <c r="BA495">
        <v>1</v>
      </c>
      <c r="BB495">
        <v>0</v>
      </c>
      <c r="BC495">
        <v>0</v>
      </c>
      <c r="BD495" s="143" t="s">
        <v>288</v>
      </c>
      <c r="BG495"/>
    </row>
    <row r="496" spans="1:59" ht="14.25" customHeight="1" x14ac:dyDescent="0.25">
      <c r="A496" s="37" t="str">
        <f>LEFT(Scharniere[[#This Row],[ArtikelNR]],4)</f>
        <v>F046</v>
      </c>
      <c r="B496" s="35" t="str">
        <f>MID(Scharniere[[#This Row],[ArtikelNR]],5,3)</f>
        <v>138</v>
      </c>
      <c r="C496" s="37" t="str">
        <f>RIGHT(Scharniere[[#This Row],[ArtikelNR]],3)</f>
        <v>442</v>
      </c>
      <c r="D496" s="35">
        <f>IF(AND(Scharniere[[#This Row],[Gruppenschlüssel]]=select!$A$44,Scharniere[[#This Row],[Scharnierart]]=1)=TRUE,1,0)</f>
        <v>0</v>
      </c>
      <c r="E4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6" s="35">
        <f>IF(select!$F$57=IF(Scharniere[[#This Row],[mit Dämpfung]]=1,1,IF(Scharniere[[#This Row],[ohne Dämpfung]]=1,2,IF(Scharniere[[#This Row],[ohne Feder]]=1,3,0))),1,0)</f>
        <v>1</v>
      </c>
      <c r="G496" s="35">
        <f>IF(Scharniere[[#This Row],[Bohrbild]]=select!$V$43,1,0)</f>
        <v>0</v>
      </c>
      <c r="H496" s="35">
        <f>IF(IF(Scharniere[[#This Row],[Anschrauben]]=1,1,IF(Scharniere[[#This Row],[Einpressen]]=1,2,IF(Scharniere[[#This Row],[Quick]]=1,3,IF(Scharniere[[#This Row],[Werkzeuglos]]=1,4,0))))=select!$F$48,1,0)</f>
        <v>1</v>
      </c>
      <c r="I4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6" s="149">
        <f>IF(AND(Scharniere[[#This Row],[Scharnierart]]=2,Scharniere[[#This Row],[Gruppenschlüssel]]=select!$A$318)=TRUE,1,0)</f>
        <v>0</v>
      </c>
      <c r="K496" s="221">
        <f ca="1">IF(select!$O$424&lt;6,1,0)</f>
        <v>1</v>
      </c>
      <c r="L496" s="139">
        <f>IF(select!$A$362=IF(Scharniere[[#This Row],[mit Dämpfung]]=1,1,IF(Scharniere[[#This Row],[ohne Dämpfung]]=1,2,IF(Scharniere[[#This Row],[ohne Feder]]=1,3,0))),1,0)</f>
        <v>0</v>
      </c>
      <c r="M496" s="135">
        <f>IF(Scharniere[[#This Row],[Bohrbild]]=select!$O$334,1,0)</f>
        <v>0</v>
      </c>
      <c r="N496" s="135">
        <f>IF(IF(Scharniere[[#This Row],[Anschrauben]]=1,1,IF(Scharniere[[#This Row],[Einpressen]]=1,2,IF(Scharniere[[#This Row],[Quick]]=1,3,IF(Scharniere[[#This Row],[Werkzeuglos]]=1,4,0))))=select!$E$362,1,0)</f>
        <v>0</v>
      </c>
      <c r="O4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6" s="298">
        <f>IF(AND(Scharniere[[#This Row],[Scharnierart]]=3,Scharniere[[#This Row],[Gruppenschlüssel]]=select!$A$747)=TRUE,1,0)</f>
        <v>0</v>
      </c>
      <c r="Q496" s="298">
        <f ca="1">IF(select!$O$945&lt;6,1,0)</f>
        <v>1</v>
      </c>
      <c r="R496" s="298">
        <f>IF(select!$A$778=IF(Scharniere[[#This Row],[mit Dämpfung]]=1,1,IF(Scharniere[[#This Row],[ohne Dämpfung]]=1,2,IF(Scharniere[[#This Row],[ohne Feder]]=1,3,0))),1,0)</f>
        <v>0</v>
      </c>
      <c r="S496" s="298">
        <f>IF(Scharniere[[#This Row],[Bohrbild]]=select!$A$755,1,0)</f>
        <v>0</v>
      </c>
      <c r="T496" s="298">
        <f>IF(IF(Scharniere[[#This Row],[Anschrauben]]=1,1,IF(Scharniere[[#This Row],[Einpressen]]=1,2,IF(Scharniere[[#This Row],[Quick]]=1,3,IF(Scharniere[[#This Row],[Werkzeuglos]]=1,4,0))))=select!$A$769,1,0)</f>
        <v>0</v>
      </c>
      <c r="U4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6" s="359">
        <f>IF(AND(Scharniere[[#This Row],[Scharnierart]]=4,Scharniere[[#This Row],[Gruppenschlüssel]]=select!$A$981)=TRUE,1,0)</f>
        <v>0</v>
      </c>
      <c r="W496" s="359">
        <f ca="1">IF(select!$O$1185&lt;6,1,0)</f>
        <v>1</v>
      </c>
      <c r="X496" s="359">
        <f>IF(select!$A$1012=IF(Scharniere[[#This Row],[mit Dämpfung]]=1,1,IF(Scharniere[[#This Row],[ohne Dämpfung]]=1,2,IF(Scharniere[[#This Row],[ohne Feder]]=1,3,0))),1,0)</f>
        <v>0</v>
      </c>
      <c r="Y496" s="359">
        <f>IF(Scharniere[[#This Row],[Bohrbild]]=select!$A$989,1,0)</f>
        <v>0</v>
      </c>
      <c r="Z496" s="359">
        <f>IF(IF(Scharniere[[#This Row],[Anschrauben]]=1,1,IF(Scharniere[[#This Row],[Einpressen]]=1,2,IF(Scharniere[[#This Row],[Quick]]=1,3,IF(Scharniere[[#This Row],[Werkzeuglos]]=1,4,0))))=select!$A$1003,1,0)</f>
        <v>0</v>
      </c>
      <c r="AA4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6" s="359">
        <f ca="1">IF(select!$K$980="*",Scharniere[[#This Row],[AG Ges2]],Scharniere[[#This Row],[AG Ges1]])</f>
        <v>0</v>
      </c>
      <c r="AE496" s="451">
        <f ca="1">IF(AND(Scharniere[[#This Row],[Scharnierart]]=select!$A$1485,Scharniere[[#This Row],[Gruppenschlüssel]]=select!$B$1485)=TRUE,1,0)</f>
        <v>0</v>
      </c>
      <c r="AF496" s="451">
        <f ca="1">IF(AND(Scharniere[[#This Row],[Scharnierart]]=select!$A$1486,Scharniere[[#This Row],[Gruppenschlüssel]]=select!$B$1486)=TRUE,1,0)</f>
        <v>0</v>
      </c>
      <c r="AG496" s="451">
        <f ca="1">IF(AND(Scharniere[[#This Row],[Scharnierart]]=select!$A$1487,Scharniere[[#This Row],[Gruppenschlüssel]]=select!$B$1487)=TRUE,1,0)</f>
        <v>0</v>
      </c>
      <c r="AH496" s="451">
        <f ca="1">IF(AND(Scharniere[[#This Row],[Scharnierart]]=select!$A$1488,Scharniere[[#This Row],[Gruppenschlüssel]]=select!$B$1488)=TRUE,1,0)</f>
        <v>0</v>
      </c>
      <c r="AI496" s="451">
        <f ca="1">IF(SUM(Scharniere[[#This Row],[konf Scharnier 1]:[konf Scharnier 4]])&gt;0,1,0)</f>
        <v>0</v>
      </c>
      <c r="AJ496" s="451"/>
      <c r="AK496" s="451"/>
      <c r="AL496" s="451"/>
      <c r="AM496" s="451"/>
      <c r="AN496" s="451"/>
      <c r="AO496" s="146">
        <v>1</v>
      </c>
      <c r="AP496" s="146">
        <v>3</v>
      </c>
      <c r="AQ496" s="10" t="str">
        <f ca="1">Sprache!$A$114</f>
        <v>Tiomos Scharnier TT Click-on</v>
      </c>
      <c r="AR496" t="str">
        <f ca="1">"160°, G-BB, K00, "&amp;Sprache!A181&amp;", ni"</f>
        <v>160°, G-BB, K00, Dübel, ni</v>
      </c>
      <c r="AS496" t="str">
        <f ca="1">Sprache!$A$103</f>
        <v>Tiomos Click-On Scharniere</v>
      </c>
      <c r="AT496">
        <v>0</v>
      </c>
      <c r="AU496" s="34" t="s">
        <v>9</v>
      </c>
      <c r="AV496">
        <v>160</v>
      </c>
      <c r="AW496" s="10">
        <v>0</v>
      </c>
      <c r="AX496">
        <v>0</v>
      </c>
      <c r="AY496">
        <v>1</v>
      </c>
      <c r="AZ496" s="10">
        <v>0</v>
      </c>
      <c r="BA496">
        <v>1</v>
      </c>
      <c r="BB496">
        <v>0</v>
      </c>
      <c r="BC496">
        <v>0</v>
      </c>
      <c r="BD496" s="143" t="s">
        <v>626</v>
      </c>
      <c r="BG496"/>
    </row>
    <row r="497" spans="1:59" ht="14.25" customHeight="1" x14ac:dyDescent="0.25">
      <c r="A497" s="37" t="str">
        <f>LEFT(Scharniere[[#This Row],[ArtikelNR]],4)</f>
        <v>F045</v>
      </c>
      <c r="B497" s="35" t="str">
        <f>MID(Scharniere[[#This Row],[ArtikelNR]],5,3)</f>
        <v>138</v>
      </c>
      <c r="C497" s="37" t="str">
        <f>RIGHT(Scharniere[[#This Row],[ArtikelNR]],3)</f>
        <v>317</v>
      </c>
      <c r="D497" s="35">
        <f>IF(AND(Scharniere[[#This Row],[Gruppenschlüssel]]=select!$A$44,Scharniere[[#This Row],[Scharnierart]]=1)=TRUE,1,0)</f>
        <v>0</v>
      </c>
      <c r="E4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7" s="35">
        <f>IF(select!$F$57=IF(Scharniere[[#This Row],[mit Dämpfung]]=1,1,IF(Scharniere[[#This Row],[ohne Dämpfung]]=1,2,IF(Scharniere[[#This Row],[ohne Feder]]=1,3,0))),1,0)</f>
        <v>0</v>
      </c>
      <c r="G497" s="35">
        <f>IF(Scharniere[[#This Row],[Bohrbild]]=select!$V$43,1,0)</f>
        <v>0</v>
      </c>
      <c r="H497" s="35">
        <f>IF(IF(Scharniere[[#This Row],[Anschrauben]]=1,1,IF(Scharniere[[#This Row],[Einpressen]]=1,2,IF(Scharniere[[#This Row],[Quick]]=1,3,IF(Scharniere[[#This Row],[Werkzeuglos]]=1,4,0))))=select!$F$48,1,0)</f>
        <v>0</v>
      </c>
      <c r="I4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7" s="149">
        <f>IF(AND(Scharniere[[#This Row],[Scharnierart]]=2,Scharniere[[#This Row],[Gruppenschlüssel]]=select!$A$318)=TRUE,1,0)</f>
        <v>0</v>
      </c>
      <c r="K497" s="221">
        <f ca="1">IF(select!$O$424&lt;6,1,0)</f>
        <v>1</v>
      </c>
      <c r="L497" s="139">
        <f>IF(select!$A$362=IF(Scharniere[[#This Row],[mit Dämpfung]]=1,1,IF(Scharniere[[#This Row],[ohne Dämpfung]]=1,2,IF(Scharniere[[#This Row],[ohne Feder]]=1,3,0))),1,0)</f>
        <v>0</v>
      </c>
      <c r="M497" s="135">
        <f>IF(Scharniere[[#This Row],[Bohrbild]]=select!$O$334,1,0)</f>
        <v>0</v>
      </c>
      <c r="N497" s="135">
        <f>IF(IF(Scharniere[[#This Row],[Anschrauben]]=1,1,IF(Scharniere[[#This Row],[Einpressen]]=1,2,IF(Scharniere[[#This Row],[Quick]]=1,3,IF(Scharniere[[#This Row],[Werkzeuglos]]=1,4,0))))=select!$E$362,1,0)</f>
        <v>1</v>
      </c>
      <c r="O4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7" s="298">
        <f>IF(AND(Scharniere[[#This Row],[Scharnierart]]=3,Scharniere[[#This Row],[Gruppenschlüssel]]=select!$A$747)=TRUE,1,0)</f>
        <v>0</v>
      </c>
      <c r="Q497" s="298">
        <f ca="1">IF(select!$O$945&lt;6,1,0)</f>
        <v>1</v>
      </c>
      <c r="R497" s="298">
        <f>IF(select!$A$778=IF(Scharniere[[#This Row],[mit Dämpfung]]=1,1,IF(Scharniere[[#This Row],[ohne Dämpfung]]=1,2,IF(Scharniere[[#This Row],[ohne Feder]]=1,3,0))),1,0)</f>
        <v>1</v>
      </c>
      <c r="S497" s="298">
        <f>IF(Scharniere[[#This Row],[Bohrbild]]=select!$A$755,1,0)</f>
        <v>0</v>
      </c>
      <c r="T497" s="298">
        <f>IF(IF(Scharniere[[#This Row],[Anschrauben]]=1,1,IF(Scharniere[[#This Row],[Einpressen]]=1,2,IF(Scharniere[[#This Row],[Quick]]=1,3,IF(Scharniere[[#This Row],[Werkzeuglos]]=1,4,0))))=select!$A$769,1,0)</f>
        <v>1</v>
      </c>
      <c r="U4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7" s="359">
        <f>IF(AND(Scharniere[[#This Row],[Scharnierart]]=4,Scharniere[[#This Row],[Gruppenschlüssel]]=select!$A$981)=TRUE,1,0)</f>
        <v>0</v>
      </c>
      <c r="W497" s="359">
        <f ca="1">IF(select!$O$1185&lt;6,1,0)</f>
        <v>1</v>
      </c>
      <c r="X497" s="359">
        <f>IF(select!$A$1012=IF(Scharniere[[#This Row],[mit Dämpfung]]=1,1,IF(Scharniere[[#This Row],[ohne Dämpfung]]=1,2,IF(Scharniere[[#This Row],[ohne Feder]]=1,3,0))),1,0)</f>
        <v>1</v>
      </c>
      <c r="Y497" s="359">
        <f>IF(Scharniere[[#This Row],[Bohrbild]]=select!$A$989,1,0)</f>
        <v>0</v>
      </c>
      <c r="Z497" s="359">
        <f>IF(IF(Scharniere[[#This Row],[Anschrauben]]=1,1,IF(Scharniere[[#This Row],[Einpressen]]=1,2,IF(Scharniere[[#This Row],[Quick]]=1,3,IF(Scharniere[[#This Row],[Werkzeuglos]]=1,4,0))))=select!$A$1003,1,0)</f>
        <v>1</v>
      </c>
      <c r="AA4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7" s="359">
        <f ca="1">IF(select!$K$980="*",Scharniere[[#This Row],[AG Ges2]],Scharniere[[#This Row],[AG Ges1]])</f>
        <v>0</v>
      </c>
      <c r="AE497" s="451">
        <f ca="1">IF(AND(Scharniere[[#This Row],[Scharnierart]]=select!$A$1485,Scharniere[[#This Row],[Gruppenschlüssel]]=select!$B$1485)=TRUE,1,0)</f>
        <v>0</v>
      </c>
      <c r="AF497" s="451">
        <f ca="1">IF(AND(Scharniere[[#This Row],[Scharnierart]]=select!$A$1486,Scharniere[[#This Row],[Gruppenschlüssel]]=select!$B$1486)=TRUE,1,0)</f>
        <v>0</v>
      </c>
      <c r="AG497" s="451">
        <f ca="1">IF(AND(Scharniere[[#This Row],[Scharnierart]]=select!$A$1487,Scharniere[[#This Row],[Gruppenschlüssel]]=select!$B$1487)=TRUE,1,0)</f>
        <v>0</v>
      </c>
      <c r="AH497" s="451">
        <f ca="1">IF(AND(Scharniere[[#This Row],[Scharnierart]]=select!$A$1488,Scharniere[[#This Row],[Gruppenschlüssel]]=select!$B$1488)=TRUE,1,0)</f>
        <v>0</v>
      </c>
      <c r="AI497" s="451">
        <f ca="1">IF(SUM(Scharniere[[#This Row],[konf Scharnier 1]:[konf Scharnier 4]])&gt;0,1,0)</f>
        <v>0</v>
      </c>
      <c r="AJ497" s="451"/>
      <c r="AK497" s="451"/>
      <c r="AL497" s="451"/>
      <c r="AM497" s="451"/>
      <c r="AN497" s="451"/>
      <c r="AO497" s="146">
        <v>1</v>
      </c>
      <c r="AP497" s="146">
        <v>3</v>
      </c>
      <c r="AQ497" s="10" t="str">
        <f ca="1">Sprache!$A$110</f>
        <v>Tiomos Scharnier T Click-on</v>
      </c>
      <c r="AR497" t="s">
        <v>284</v>
      </c>
      <c r="AS497" t="str">
        <f ca="1">Sprache!$A$103</f>
        <v>Tiomos Click-On Scharniere</v>
      </c>
      <c r="AT497">
        <v>0</v>
      </c>
      <c r="AU497" s="10" t="s">
        <v>9</v>
      </c>
      <c r="AV497">
        <v>160</v>
      </c>
      <c r="AW497" s="10">
        <v>0</v>
      </c>
      <c r="AX497">
        <v>1</v>
      </c>
      <c r="AY497">
        <v>0</v>
      </c>
      <c r="AZ497" s="10">
        <v>1</v>
      </c>
      <c r="BA497">
        <v>0</v>
      </c>
      <c r="BB497">
        <v>0</v>
      </c>
      <c r="BC497">
        <v>0</v>
      </c>
      <c r="BD497" s="143" t="s">
        <v>471</v>
      </c>
      <c r="BG497"/>
    </row>
    <row r="498" spans="1:59" ht="14.25" customHeight="1" x14ac:dyDescent="0.25">
      <c r="A498" s="37" t="str">
        <f>LEFT(Scharniere[[#This Row],[ArtikelNR]],4)</f>
        <v>F028</v>
      </c>
      <c r="B498" s="35" t="str">
        <f>MID(Scharniere[[#This Row],[ArtikelNR]],5,3)</f>
        <v>138</v>
      </c>
      <c r="C498" s="37" t="str">
        <f>RIGHT(Scharniere[[#This Row],[ArtikelNR]],3)</f>
        <v>379</v>
      </c>
      <c r="D498" s="35">
        <f>IF(AND(Scharniere[[#This Row],[Gruppenschlüssel]]=select!$A$44,Scharniere[[#This Row],[Scharnierart]]=1)=TRUE,1,0)</f>
        <v>0</v>
      </c>
      <c r="E4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8" s="35">
        <f>IF(select!$F$57=IF(Scharniere[[#This Row],[mit Dämpfung]]=1,1,IF(Scharniere[[#This Row],[ohne Dämpfung]]=1,2,IF(Scharniere[[#This Row],[ohne Feder]]=1,3,0))),1,0)</f>
        <v>0</v>
      </c>
      <c r="G498" s="35">
        <f>IF(Scharniere[[#This Row],[Bohrbild]]=select!$V$43,1,0)</f>
        <v>0</v>
      </c>
      <c r="H498" s="35">
        <f>IF(IF(Scharniere[[#This Row],[Anschrauben]]=1,1,IF(Scharniere[[#This Row],[Einpressen]]=1,2,IF(Scharniere[[#This Row],[Quick]]=1,3,IF(Scharniere[[#This Row],[Werkzeuglos]]=1,4,0))))=select!$F$48,1,0)</f>
        <v>0</v>
      </c>
      <c r="I4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8" s="149">
        <f>IF(AND(Scharniere[[#This Row],[Scharnierart]]=2,Scharniere[[#This Row],[Gruppenschlüssel]]=select!$A$318)=TRUE,1,0)</f>
        <v>0</v>
      </c>
      <c r="K498" s="221">
        <f ca="1">IF(select!$O$424&lt;6,1,0)</f>
        <v>1</v>
      </c>
      <c r="L498" s="139">
        <f>IF(select!$A$362=IF(Scharniere[[#This Row],[mit Dämpfung]]=1,1,IF(Scharniere[[#This Row],[ohne Dämpfung]]=1,2,IF(Scharniere[[#This Row],[ohne Feder]]=1,3,0))),1,0)</f>
        <v>1</v>
      </c>
      <c r="M498" s="135">
        <f>IF(Scharniere[[#This Row],[Bohrbild]]=select!$O$334,1,0)</f>
        <v>0</v>
      </c>
      <c r="N498" s="135">
        <f>IF(IF(Scharniere[[#This Row],[Anschrauben]]=1,1,IF(Scharniere[[#This Row],[Einpressen]]=1,2,IF(Scharniere[[#This Row],[Quick]]=1,3,IF(Scharniere[[#This Row],[Werkzeuglos]]=1,4,0))))=select!$E$362,1,0)</f>
        <v>1</v>
      </c>
      <c r="O4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8" s="298">
        <f>IF(AND(Scharniere[[#This Row],[Scharnierart]]=3,Scharniere[[#This Row],[Gruppenschlüssel]]=select!$A$747)=TRUE,1,0)</f>
        <v>0</v>
      </c>
      <c r="Q498" s="298">
        <f ca="1">IF(select!$O$945&lt;6,1,0)</f>
        <v>1</v>
      </c>
      <c r="R498" s="298">
        <f>IF(select!$A$778=IF(Scharniere[[#This Row],[mit Dämpfung]]=1,1,IF(Scharniere[[#This Row],[ohne Dämpfung]]=1,2,IF(Scharniere[[#This Row],[ohne Feder]]=1,3,0))),1,0)</f>
        <v>0</v>
      </c>
      <c r="S498" s="298">
        <f>IF(Scharniere[[#This Row],[Bohrbild]]=select!$A$755,1,0)</f>
        <v>0</v>
      </c>
      <c r="T498" s="298">
        <f>IF(IF(Scharniere[[#This Row],[Anschrauben]]=1,1,IF(Scharniere[[#This Row],[Einpressen]]=1,2,IF(Scharniere[[#This Row],[Quick]]=1,3,IF(Scharniere[[#This Row],[Werkzeuglos]]=1,4,0))))=select!$A$769,1,0)</f>
        <v>1</v>
      </c>
      <c r="U4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8" s="359">
        <f>IF(AND(Scharniere[[#This Row],[Scharnierart]]=4,Scharniere[[#This Row],[Gruppenschlüssel]]=select!$A$981)=TRUE,1,0)</f>
        <v>0</v>
      </c>
      <c r="W498" s="359">
        <f ca="1">IF(select!$O$1185&lt;6,1,0)</f>
        <v>1</v>
      </c>
      <c r="X498" s="359">
        <f>IF(select!$A$1012=IF(Scharniere[[#This Row],[mit Dämpfung]]=1,1,IF(Scharniere[[#This Row],[ohne Dämpfung]]=1,2,IF(Scharniere[[#This Row],[ohne Feder]]=1,3,0))),1,0)</f>
        <v>0</v>
      </c>
      <c r="Y498" s="359">
        <f>IF(Scharniere[[#This Row],[Bohrbild]]=select!$A$989,1,0)</f>
        <v>0</v>
      </c>
      <c r="Z498" s="359">
        <f>IF(IF(Scharniere[[#This Row],[Anschrauben]]=1,1,IF(Scharniere[[#This Row],[Einpressen]]=1,2,IF(Scharniere[[#This Row],[Quick]]=1,3,IF(Scharniere[[#This Row],[Werkzeuglos]]=1,4,0))))=select!$A$1003,1,0)</f>
        <v>1</v>
      </c>
      <c r="AA4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8" s="359">
        <f ca="1">IF(select!$K$980="*",Scharniere[[#This Row],[AG Ges2]],Scharniere[[#This Row],[AG Ges1]])</f>
        <v>0</v>
      </c>
      <c r="AE498" s="451">
        <f ca="1">IF(AND(Scharniere[[#This Row],[Scharnierart]]=select!$A$1485,Scharniere[[#This Row],[Gruppenschlüssel]]=select!$B$1485)=TRUE,1,0)</f>
        <v>0</v>
      </c>
      <c r="AF498" s="451">
        <f ca="1">IF(AND(Scharniere[[#This Row],[Scharnierart]]=select!$A$1486,Scharniere[[#This Row],[Gruppenschlüssel]]=select!$B$1486)=TRUE,1,0)</f>
        <v>0</v>
      </c>
      <c r="AG498" s="451">
        <f ca="1">IF(AND(Scharniere[[#This Row],[Scharnierart]]=select!$A$1487,Scharniere[[#This Row],[Gruppenschlüssel]]=select!$B$1487)=TRUE,1,0)</f>
        <v>0</v>
      </c>
      <c r="AH498" s="451">
        <f ca="1">IF(AND(Scharniere[[#This Row],[Scharnierart]]=select!$A$1488,Scharniere[[#This Row],[Gruppenschlüssel]]=select!$B$1488)=TRUE,1,0)</f>
        <v>0</v>
      </c>
      <c r="AI498" s="451">
        <f ca="1">IF(SUM(Scharniere[[#This Row],[konf Scharnier 1]:[konf Scharnier 4]])&gt;0,1,0)</f>
        <v>0</v>
      </c>
      <c r="AJ498" s="451"/>
      <c r="AK498" s="451"/>
      <c r="AL498" s="451"/>
      <c r="AM498" s="451"/>
      <c r="AN498" s="451"/>
      <c r="AO498" s="146">
        <v>1</v>
      </c>
      <c r="AP498" s="146">
        <v>3</v>
      </c>
      <c r="AQ498" s="10" t="str">
        <f ca="1">Sprache!$A$112</f>
        <v>Tiomos Scharnier TS Click-on</v>
      </c>
      <c r="AR498" t="s">
        <v>284</v>
      </c>
      <c r="AS498" t="str">
        <f ca="1">Sprache!$A$103</f>
        <v>Tiomos Click-On Scharniere</v>
      </c>
      <c r="AT498">
        <v>0</v>
      </c>
      <c r="AU498" s="34" t="s">
        <v>9</v>
      </c>
      <c r="AV498">
        <v>160</v>
      </c>
      <c r="AW498" s="10">
        <v>1</v>
      </c>
      <c r="AX498">
        <v>0</v>
      </c>
      <c r="AY498">
        <v>0</v>
      </c>
      <c r="AZ498" s="10">
        <v>1</v>
      </c>
      <c r="BA498">
        <v>0</v>
      </c>
      <c r="BB498">
        <v>0</v>
      </c>
      <c r="BC498">
        <v>0</v>
      </c>
      <c r="BD498" s="143" t="s">
        <v>283</v>
      </c>
      <c r="BG498"/>
    </row>
    <row r="499" spans="1:59" ht="14.25" customHeight="1" x14ac:dyDescent="0.25">
      <c r="A499" s="37" t="str">
        <f>LEFT(Scharniere[[#This Row],[ArtikelNR]],4)</f>
        <v>F046</v>
      </c>
      <c r="B499" s="35" t="str">
        <f>MID(Scharniere[[#This Row],[ArtikelNR]],5,3)</f>
        <v>138</v>
      </c>
      <c r="C499" s="37" t="str">
        <f>RIGHT(Scharniere[[#This Row],[ArtikelNR]],3)</f>
        <v>439</v>
      </c>
      <c r="D499" s="35">
        <f>IF(AND(Scharniere[[#This Row],[Gruppenschlüssel]]=select!$A$44,Scharniere[[#This Row],[Scharnierart]]=1)=TRUE,1,0)</f>
        <v>0</v>
      </c>
      <c r="E4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499" s="35">
        <f>IF(select!$F$57=IF(Scharniere[[#This Row],[mit Dämpfung]]=1,1,IF(Scharniere[[#This Row],[ohne Dämpfung]]=1,2,IF(Scharniere[[#This Row],[ohne Feder]]=1,3,0))),1,0)</f>
        <v>1</v>
      </c>
      <c r="G499" s="35">
        <f>IF(Scharniere[[#This Row],[Bohrbild]]=select!$V$43,1,0)</f>
        <v>0</v>
      </c>
      <c r="H499" s="35">
        <f>IF(IF(Scharniere[[#This Row],[Anschrauben]]=1,1,IF(Scharniere[[#This Row],[Einpressen]]=1,2,IF(Scharniere[[#This Row],[Quick]]=1,3,IF(Scharniere[[#This Row],[Werkzeuglos]]=1,4,0))))=select!$F$48,1,0)</f>
        <v>0</v>
      </c>
      <c r="I4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499" s="149">
        <f>IF(AND(Scharniere[[#This Row],[Scharnierart]]=2,Scharniere[[#This Row],[Gruppenschlüssel]]=select!$A$318)=TRUE,1,0)</f>
        <v>0</v>
      </c>
      <c r="K499" s="221">
        <f ca="1">IF(select!$O$424&lt;6,1,0)</f>
        <v>1</v>
      </c>
      <c r="L499" s="139">
        <f>IF(select!$A$362=IF(Scharniere[[#This Row],[mit Dämpfung]]=1,1,IF(Scharniere[[#This Row],[ohne Dämpfung]]=1,2,IF(Scharniere[[#This Row],[ohne Feder]]=1,3,0))),1,0)</f>
        <v>0</v>
      </c>
      <c r="M499" s="135">
        <f>IF(Scharniere[[#This Row],[Bohrbild]]=select!$O$334,1,0)</f>
        <v>0</v>
      </c>
      <c r="N499" s="135">
        <f>IF(IF(Scharniere[[#This Row],[Anschrauben]]=1,1,IF(Scharniere[[#This Row],[Einpressen]]=1,2,IF(Scharniere[[#This Row],[Quick]]=1,3,IF(Scharniere[[#This Row],[Werkzeuglos]]=1,4,0))))=select!$E$362,1,0)</f>
        <v>1</v>
      </c>
      <c r="O4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499" s="298">
        <f>IF(AND(Scharniere[[#This Row],[Scharnierart]]=3,Scharniere[[#This Row],[Gruppenschlüssel]]=select!$A$747)=TRUE,1,0)</f>
        <v>0</v>
      </c>
      <c r="Q499" s="298">
        <f ca="1">IF(select!$O$945&lt;6,1,0)</f>
        <v>1</v>
      </c>
      <c r="R499" s="298">
        <f>IF(select!$A$778=IF(Scharniere[[#This Row],[mit Dämpfung]]=1,1,IF(Scharniere[[#This Row],[ohne Dämpfung]]=1,2,IF(Scharniere[[#This Row],[ohne Feder]]=1,3,0))),1,0)</f>
        <v>0</v>
      </c>
      <c r="S499" s="298">
        <f>IF(Scharniere[[#This Row],[Bohrbild]]=select!$A$755,1,0)</f>
        <v>0</v>
      </c>
      <c r="T499" s="298">
        <f>IF(IF(Scharniere[[#This Row],[Anschrauben]]=1,1,IF(Scharniere[[#This Row],[Einpressen]]=1,2,IF(Scharniere[[#This Row],[Quick]]=1,3,IF(Scharniere[[#This Row],[Werkzeuglos]]=1,4,0))))=select!$A$769,1,0)</f>
        <v>1</v>
      </c>
      <c r="U4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499" s="359">
        <f>IF(AND(Scharniere[[#This Row],[Scharnierart]]=4,Scharniere[[#This Row],[Gruppenschlüssel]]=select!$A$981)=TRUE,1,0)</f>
        <v>0</v>
      </c>
      <c r="W499" s="359">
        <f ca="1">IF(select!$O$1185&lt;6,1,0)</f>
        <v>1</v>
      </c>
      <c r="X499" s="359">
        <f>IF(select!$A$1012=IF(Scharniere[[#This Row],[mit Dämpfung]]=1,1,IF(Scharniere[[#This Row],[ohne Dämpfung]]=1,2,IF(Scharniere[[#This Row],[ohne Feder]]=1,3,0))),1,0)</f>
        <v>0</v>
      </c>
      <c r="Y499" s="359">
        <f>IF(Scharniere[[#This Row],[Bohrbild]]=select!$A$989,1,0)</f>
        <v>0</v>
      </c>
      <c r="Z499" s="359">
        <f>IF(IF(Scharniere[[#This Row],[Anschrauben]]=1,1,IF(Scharniere[[#This Row],[Einpressen]]=1,2,IF(Scharniere[[#This Row],[Quick]]=1,3,IF(Scharniere[[#This Row],[Werkzeuglos]]=1,4,0))))=select!$A$1003,1,0)</f>
        <v>1</v>
      </c>
      <c r="AA4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4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4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499" s="359">
        <f ca="1">IF(select!$K$980="*",Scharniere[[#This Row],[AG Ges2]],Scharniere[[#This Row],[AG Ges1]])</f>
        <v>0</v>
      </c>
      <c r="AE499" s="451">
        <f ca="1">IF(AND(Scharniere[[#This Row],[Scharnierart]]=select!$A$1485,Scharniere[[#This Row],[Gruppenschlüssel]]=select!$B$1485)=TRUE,1,0)</f>
        <v>0</v>
      </c>
      <c r="AF499" s="451">
        <f ca="1">IF(AND(Scharniere[[#This Row],[Scharnierart]]=select!$A$1486,Scharniere[[#This Row],[Gruppenschlüssel]]=select!$B$1486)=TRUE,1,0)</f>
        <v>0</v>
      </c>
      <c r="AG499" s="451">
        <f ca="1">IF(AND(Scharniere[[#This Row],[Scharnierart]]=select!$A$1487,Scharniere[[#This Row],[Gruppenschlüssel]]=select!$B$1487)=TRUE,1,0)</f>
        <v>0</v>
      </c>
      <c r="AH499" s="451">
        <f ca="1">IF(AND(Scharniere[[#This Row],[Scharnierart]]=select!$A$1488,Scharniere[[#This Row],[Gruppenschlüssel]]=select!$B$1488)=TRUE,1,0)</f>
        <v>0</v>
      </c>
      <c r="AI499" s="451">
        <f ca="1">IF(SUM(Scharniere[[#This Row],[konf Scharnier 1]:[konf Scharnier 4]])&gt;0,1,0)</f>
        <v>0</v>
      </c>
      <c r="AJ499" s="451"/>
      <c r="AK499" s="451"/>
      <c r="AL499" s="451"/>
      <c r="AM499" s="451"/>
      <c r="AN499" s="451"/>
      <c r="AO499" s="146">
        <v>1</v>
      </c>
      <c r="AP499" s="146">
        <v>3</v>
      </c>
      <c r="AQ499" s="10" t="str">
        <f ca="1">Sprache!$A$114</f>
        <v>Tiomos Scharnier TT Click-on</v>
      </c>
      <c r="AR499" t="s">
        <v>284</v>
      </c>
      <c r="AS499" t="str">
        <f ca="1">Sprache!$A$103</f>
        <v>Tiomos Click-On Scharniere</v>
      </c>
      <c r="AT499">
        <v>0</v>
      </c>
      <c r="AU499" s="34" t="s">
        <v>9</v>
      </c>
      <c r="AV499">
        <v>160</v>
      </c>
      <c r="AW499" s="10">
        <v>0</v>
      </c>
      <c r="AX499">
        <v>0</v>
      </c>
      <c r="AY499">
        <v>1</v>
      </c>
      <c r="AZ499" s="10">
        <v>1</v>
      </c>
      <c r="BA499">
        <v>0</v>
      </c>
      <c r="BB499">
        <v>0</v>
      </c>
      <c r="BC499">
        <v>0</v>
      </c>
      <c r="BD499" s="143" t="s">
        <v>623</v>
      </c>
      <c r="BG499"/>
    </row>
    <row r="500" spans="1:59" ht="14.25" customHeight="1" x14ac:dyDescent="0.25">
      <c r="A500" s="37" t="str">
        <f>LEFT(Scharniere[[#This Row],[ArtikelNR]],4)</f>
        <v>F034</v>
      </c>
      <c r="B500" s="35" t="str">
        <f>MID(Scharniere[[#This Row],[ArtikelNR]],5,3)</f>
        <v>139</v>
      </c>
      <c r="C500" s="37" t="str">
        <f>RIGHT(Scharniere[[#This Row],[ArtikelNR]],3)</f>
        <v>406</v>
      </c>
      <c r="D500" s="35">
        <f>IF(AND(Scharniere[[#This Row],[Gruppenschlüssel]]=select!$A$44,Scharniere[[#This Row],[Scharnierart]]=1)=TRUE,1,0)</f>
        <v>0</v>
      </c>
      <c r="E5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0" s="35">
        <f>IF(select!$F$57=IF(Scharniere[[#This Row],[mit Dämpfung]]=1,1,IF(Scharniere[[#This Row],[ohne Dämpfung]]=1,2,IF(Scharniere[[#This Row],[ohne Feder]]=1,3,0))),1,0)</f>
        <v>0</v>
      </c>
      <c r="G500" s="35">
        <f>IF(Scharniere[[#This Row],[Bohrbild]]=select!$V$43,1,0)</f>
        <v>0</v>
      </c>
      <c r="H500" s="35">
        <f>IF(IF(Scharniere[[#This Row],[Anschrauben]]=1,1,IF(Scharniere[[#This Row],[Einpressen]]=1,2,IF(Scharniere[[#This Row],[Quick]]=1,3,IF(Scharniere[[#This Row],[Werkzeuglos]]=1,4,0))))=select!$F$48,1,0)</f>
        <v>0</v>
      </c>
      <c r="I5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0" s="149">
        <f>IF(AND(Scharniere[[#This Row],[Scharnierart]]=2,Scharniere[[#This Row],[Gruppenschlüssel]]=select!$A$318)=TRUE,1,0)</f>
        <v>0</v>
      </c>
      <c r="K500" s="221">
        <f ca="1">IF(select!$O$424&lt;6,1,0)</f>
        <v>1</v>
      </c>
      <c r="L500" s="139">
        <f>IF(select!$A$362=IF(Scharniere[[#This Row],[mit Dämpfung]]=1,1,IF(Scharniere[[#This Row],[ohne Dämpfung]]=1,2,IF(Scharniere[[#This Row],[ohne Feder]]=1,3,0))),1,0)</f>
        <v>0</v>
      </c>
      <c r="M500" s="135">
        <f>IF(Scharniere[[#This Row],[Bohrbild]]=select!$O$334,1,0)</f>
        <v>0</v>
      </c>
      <c r="N500" s="135">
        <f>IF(IF(Scharniere[[#This Row],[Anschrauben]]=1,1,IF(Scharniere[[#This Row],[Einpressen]]=1,2,IF(Scharniere[[#This Row],[Quick]]=1,3,IF(Scharniere[[#This Row],[Werkzeuglos]]=1,4,0))))=select!$E$362,1,0)</f>
        <v>0</v>
      </c>
      <c r="O5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0" s="298">
        <f>IF(AND(Scharniere[[#This Row],[Scharnierart]]=3,Scharniere[[#This Row],[Gruppenschlüssel]]=select!$A$747)=TRUE,1,0)</f>
        <v>0</v>
      </c>
      <c r="Q500" s="298">
        <f ca="1">IF(select!$O$945&lt;6,1,0)</f>
        <v>1</v>
      </c>
      <c r="R500" s="298">
        <f>IF(select!$A$778=IF(Scharniere[[#This Row],[mit Dämpfung]]=1,1,IF(Scharniere[[#This Row],[ohne Dämpfung]]=1,2,IF(Scharniere[[#This Row],[ohne Feder]]=1,3,0))),1,0)</f>
        <v>1</v>
      </c>
      <c r="S500" s="298">
        <f>IF(Scharniere[[#This Row],[Bohrbild]]=select!$A$755,1,0)</f>
        <v>0</v>
      </c>
      <c r="T500" s="298">
        <f>IF(IF(Scharniere[[#This Row],[Anschrauben]]=1,1,IF(Scharniere[[#This Row],[Einpressen]]=1,2,IF(Scharniere[[#This Row],[Quick]]=1,3,IF(Scharniere[[#This Row],[Werkzeuglos]]=1,4,0))))=select!$A$769,1,0)</f>
        <v>0</v>
      </c>
      <c r="U5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0" s="359">
        <f>IF(AND(Scharniere[[#This Row],[Scharnierart]]=4,Scharniere[[#This Row],[Gruppenschlüssel]]=select!$A$981)=TRUE,1,0)</f>
        <v>0</v>
      </c>
      <c r="W500" s="359">
        <f ca="1">IF(select!$O$1185&lt;6,1,0)</f>
        <v>1</v>
      </c>
      <c r="X500" s="359">
        <f>IF(select!$A$1012=IF(Scharniere[[#This Row],[mit Dämpfung]]=1,1,IF(Scharniere[[#This Row],[ohne Dämpfung]]=1,2,IF(Scharniere[[#This Row],[ohne Feder]]=1,3,0))),1,0)</f>
        <v>1</v>
      </c>
      <c r="Y500" s="359">
        <f>IF(Scharniere[[#This Row],[Bohrbild]]=select!$A$989,1,0)</f>
        <v>0</v>
      </c>
      <c r="Z500" s="359">
        <f>IF(IF(Scharniere[[#This Row],[Anschrauben]]=1,1,IF(Scharniere[[#This Row],[Einpressen]]=1,2,IF(Scharniere[[#This Row],[Quick]]=1,3,IF(Scharniere[[#This Row],[Werkzeuglos]]=1,4,0))))=select!$A$1003,1,0)</f>
        <v>0</v>
      </c>
      <c r="AA5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0" s="359">
        <f ca="1">IF(select!$K$980="*",Scharniere[[#This Row],[AG Ges2]],Scharniere[[#This Row],[AG Ges1]])</f>
        <v>0</v>
      </c>
      <c r="AE500" s="451">
        <f ca="1">IF(AND(Scharniere[[#This Row],[Scharnierart]]=select!$A$1485,Scharniere[[#This Row],[Gruppenschlüssel]]=select!$B$1485)=TRUE,1,0)</f>
        <v>0</v>
      </c>
      <c r="AF500" s="451">
        <f ca="1">IF(AND(Scharniere[[#This Row],[Scharnierart]]=select!$A$1486,Scharniere[[#This Row],[Gruppenschlüssel]]=select!$B$1486)=TRUE,1,0)</f>
        <v>0</v>
      </c>
      <c r="AG500" s="451">
        <f ca="1">IF(AND(Scharniere[[#This Row],[Scharnierart]]=select!$A$1487,Scharniere[[#This Row],[Gruppenschlüssel]]=select!$B$1487)=TRUE,1,0)</f>
        <v>0</v>
      </c>
      <c r="AH500" s="451">
        <f ca="1">IF(AND(Scharniere[[#This Row],[Scharnierart]]=select!$A$1488,Scharniere[[#This Row],[Gruppenschlüssel]]=select!$B$1488)=TRUE,1,0)</f>
        <v>0</v>
      </c>
      <c r="AI500" s="451">
        <f ca="1">IF(SUM(Scharniere[[#This Row],[konf Scharnier 1]:[konf Scharnier 4]])&gt;0,1,0)</f>
        <v>0</v>
      </c>
      <c r="AJ500" s="451"/>
      <c r="AK500" s="451"/>
      <c r="AL500" s="451"/>
      <c r="AM500" s="451"/>
      <c r="AN500" s="451"/>
      <c r="AO500" s="146">
        <v>1</v>
      </c>
      <c r="AP500" s="146">
        <v>3</v>
      </c>
      <c r="AQ500" s="10" t="str">
        <f ca="1">Sprache!$A$111</f>
        <v>Tiomos Scharnier T Impresso</v>
      </c>
      <c r="AR500" t="s">
        <v>98</v>
      </c>
      <c r="AS500" t="str">
        <f ca="1">Sprache!$A$116</f>
        <v>Tiomos Impresso Scharniere</v>
      </c>
      <c r="AT500">
        <v>0</v>
      </c>
      <c r="AU500" s="34" t="s">
        <v>9</v>
      </c>
      <c r="AV500">
        <v>160</v>
      </c>
      <c r="AW500" s="10">
        <v>0</v>
      </c>
      <c r="AX500">
        <v>1</v>
      </c>
      <c r="AY500">
        <v>0</v>
      </c>
      <c r="AZ500" s="10">
        <v>0</v>
      </c>
      <c r="BA500">
        <v>0</v>
      </c>
      <c r="BB500">
        <v>0</v>
      </c>
      <c r="BC500">
        <v>1</v>
      </c>
      <c r="BD500" s="143" t="s">
        <v>158</v>
      </c>
      <c r="BG500"/>
    </row>
    <row r="501" spans="1:59" ht="14.25" customHeight="1" x14ac:dyDescent="0.25">
      <c r="A501" s="37" t="str">
        <f>LEFT(Scharniere[[#This Row],[ArtikelNR]],4)</f>
        <v>F034</v>
      </c>
      <c r="B501" s="35" t="str">
        <f>MID(Scharniere[[#This Row],[ArtikelNR]],5,3)</f>
        <v>139</v>
      </c>
      <c r="C501" s="37" t="str">
        <f>RIGHT(Scharniere[[#This Row],[ArtikelNR]],3)</f>
        <v>406</v>
      </c>
      <c r="D501" s="35">
        <f>IF(AND(Scharniere[[#This Row],[Gruppenschlüssel]]=select!$A$44,Scharniere[[#This Row],[Scharnierart]]=1)=TRUE,1,0)</f>
        <v>0</v>
      </c>
      <c r="E5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1" s="35">
        <f>IF(select!$F$57=IF(Scharniere[[#This Row],[mit Dämpfung]]=1,1,IF(Scharniere[[#This Row],[ohne Dämpfung]]=1,2,IF(Scharniere[[#This Row],[ohne Feder]]=1,3,0))),1,0)</f>
        <v>0</v>
      </c>
      <c r="G501" s="35">
        <f>IF(Scharniere[[#This Row],[Bohrbild]]=select!$V$43,1,0)</f>
        <v>0</v>
      </c>
      <c r="H501" s="35">
        <f>IF(IF(Scharniere[[#This Row],[Anschrauben]]=1,1,IF(Scharniere[[#This Row],[Einpressen]]=1,2,IF(Scharniere[[#This Row],[Quick]]=1,3,IF(Scharniere[[#This Row],[Werkzeuglos]]=1,4,0))))=select!$F$48,1,0)</f>
        <v>0</v>
      </c>
      <c r="I5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1" s="149">
        <f>IF(AND(Scharniere[[#This Row],[Scharnierart]]=2,Scharniere[[#This Row],[Gruppenschlüssel]]=select!$A$318)=TRUE,1,0)</f>
        <v>0</v>
      </c>
      <c r="K501" s="221">
        <f ca="1">IF(select!$O$424&lt;6,1,0)</f>
        <v>1</v>
      </c>
      <c r="L501" s="139">
        <f>IF(select!$A$362=IF(Scharniere[[#This Row],[mit Dämpfung]]=1,1,IF(Scharniere[[#This Row],[ohne Dämpfung]]=1,2,IF(Scharniere[[#This Row],[ohne Feder]]=1,3,0))),1,0)</f>
        <v>0</v>
      </c>
      <c r="M501" s="135">
        <f>IF(Scharniere[[#This Row],[Bohrbild]]=select!$O$334,1,0)</f>
        <v>0</v>
      </c>
      <c r="N501" s="135">
        <f>IF(IF(Scharniere[[#This Row],[Anschrauben]]=1,1,IF(Scharniere[[#This Row],[Einpressen]]=1,2,IF(Scharniere[[#This Row],[Quick]]=1,3,IF(Scharniere[[#This Row],[Werkzeuglos]]=1,4,0))))=select!$E$362,1,0)</f>
        <v>0</v>
      </c>
      <c r="O5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1" s="298">
        <f>IF(AND(Scharniere[[#This Row],[Scharnierart]]=3,Scharniere[[#This Row],[Gruppenschlüssel]]=select!$A$747)=TRUE,1,0)</f>
        <v>0</v>
      </c>
      <c r="Q501" s="298">
        <f ca="1">IF(select!$O$945&lt;6,1,0)</f>
        <v>1</v>
      </c>
      <c r="R501" s="298">
        <f>IF(select!$A$778=IF(Scharniere[[#This Row],[mit Dämpfung]]=1,1,IF(Scharniere[[#This Row],[ohne Dämpfung]]=1,2,IF(Scharniere[[#This Row],[ohne Feder]]=1,3,0))),1,0)</f>
        <v>1</v>
      </c>
      <c r="S501" s="298">
        <f>IF(Scharniere[[#This Row],[Bohrbild]]=select!$A$755,1,0)</f>
        <v>0</v>
      </c>
      <c r="T501" s="298">
        <f>IF(IF(Scharniere[[#This Row],[Anschrauben]]=1,1,IF(Scharniere[[#This Row],[Einpressen]]=1,2,IF(Scharniere[[#This Row],[Quick]]=1,3,IF(Scharniere[[#This Row],[Werkzeuglos]]=1,4,0))))=select!$A$769,1,0)</f>
        <v>0</v>
      </c>
      <c r="U5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1" s="359">
        <f>IF(AND(Scharniere[[#This Row],[Scharnierart]]=4,Scharniere[[#This Row],[Gruppenschlüssel]]=select!$A$981)=TRUE,1,0)</f>
        <v>0</v>
      </c>
      <c r="W501" s="359">
        <f ca="1">IF(select!$O$1185&lt;6,1,0)</f>
        <v>1</v>
      </c>
      <c r="X501" s="359">
        <f>IF(select!$A$1012=IF(Scharniere[[#This Row],[mit Dämpfung]]=1,1,IF(Scharniere[[#This Row],[ohne Dämpfung]]=1,2,IF(Scharniere[[#This Row],[ohne Feder]]=1,3,0))),1,0)</f>
        <v>1</v>
      </c>
      <c r="Y501" s="359">
        <f>IF(Scharniere[[#This Row],[Bohrbild]]=select!$A$989,1,0)</f>
        <v>0</v>
      </c>
      <c r="Z501" s="359">
        <f>IF(IF(Scharniere[[#This Row],[Anschrauben]]=1,1,IF(Scharniere[[#This Row],[Einpressen]]=1,2,IF(Scharniere[[#This Row],[Quick]]=1,3,IF(Scharniere[[#This Row],[Werkzeuglos]]=1,4,0))))=select!$A$1003,1,0)</f>
        <v>0</v>
      </c>
      <c r="AA5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1" s="359">
        <f ca="1">IF(select!$K$980="*",Scharniere[[#This Row],[AG Ges2]],Scharniere[[#This Row],[AG Ges1]])</f>
        <v>0</v>
      </c>
      <c r="AE501" s="451">
        <f ca="1">IF(AND(Scharniere[[#This Row],[Scharnierart]]=select!$A$1485,Scharniere[[#This Row],[Gruppenschlüssel]]=select!$B$1485)=TRUE,1,0)</f>
        <v>0</v>
      </c>
      <c r="AF501" s="451">
        <f ca="1">IF(AND(Scharniere[[#This Row],[Scharnierart]]=select!$A$1486,Scharniere[[#This Row],[Gruppenschlüssel]]=select!$B$1486)=TRUE,1,0)</f>
        <v>0</v>
      </c>
      <c r="AG501" s="451">
        <f ca="1">IF(AND(Scharniere[[#This Row],[Scharnierart]]=select!$A$1487,Scharniere[[#This Row],[Gruppenschlüssel]]=select!$B$1487)=TRUE,1,0)</f>
        <v>0</v>
      </c>
      <c r="AH501" s="451">
        <f ca="1">IF(AND(Scharniere[[#This Row],[Scharnierart]]=select!$A$1488,Scharniere[[#This Row],[Gruppenschlüssel]]=select!$B$1488)=TRUE,1,0)</f>
        <v>0</v>
      </c>
      <c r="AI501" s="451">
        <f ca="1">IF(SUM(Scharniere[[#This Row],[konf Scharnier 1]:[konf Scharnier 4]])&gt;0,1,0)</f>
        <v>0</v>
      </c>
      <c r="AJ501" s="451"/>
      <c r="AK501" s="451"/>
      <c r="AL501" s="451"/>
      <c r="AM501" s="451"/>
      <c r="AN501" s="451"/>
      <c r="AO501" s="146">
        <v>1</v>
      </c>
      <c r="AP501" s="146">
        <v>3</v>
      </c>
      <c r="AQ501" s="10" t="str">
        <f ca="1">Sprache!$A$111</f>
        <v>Tiomos Scharnier T Impresso</v>
      </c>
      <c r="AR501" t="s">
        <v>98</v>
      </c>
      <c r="AS501" t="str">
        <f ca="1">Sprache!$A$116</f>
        <v>Tiomos Impresso Scharniere</v>
      </c>
      <c r="AT501">
        <v>0</v>
      </c>
      <c r="AU501" s="34" t="s">
        <v>3</v>
      </c>
      <c r="AV501">
        <v>160</v>
      </c>
      <c r="AW501" s="10">
        <v>0</v>
      </c>
      <c r="AX501">
        <v>1</v>
      </c>
      <c r="AY501">
        <v>0</v>
      </c>
      <c r="AZ501" s="10">
        <v>0</v>
      </c>
      <c r="BA501">
        <v>0</v>
      </c>
      <c r="BB501">
        <v>0</v>
      </c>
      <c r="BC501">
        <v>1</v>
      </c>
      <c r="BD501" s="143" t="s">
        <v>158</v>
      </c>
      <c r="BG501"/>
    </row>
    <row r="502" spans="1:59" ht="14.25" customHeight="1" x14ac:dyDescent="0.25">
      <c r="A502" s="37" t="str">
        <f>LEFT(Scharniere[[#This Row],[ArtikelNR]],4)</f>
        <v>F017</v>
      </c>
      <c r="B502" s="35" t="str">
        <f>MID(Scharniere[[#This Row],[ArtikelNR]],5,3)</f>
        <v>139</v>
      </c>
      <c r="C502" s="37" t="str">
        <f>RIGHT(Scharniere[[#This Row],[ArtikelNR]],3)</f>
        <v>435</v>
      </c>
      <c r="D502" s="35">
        <f>IF(AND(Scharniere[[#This Row],[Gruppenschlüssel]]=select!$A$44,Scharniere[[#This Row],[Scharnierart]]=1)=TRUE,1,0)</f>
        <v>0</v>
      </c>
      <c r="E5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2" s="35">
        <f>IF(select!$F$57=IF(Scharniere[[#This Row],[mit Dämpfung]]=1,1,IF(Scharniere[[#This Row],[ohne Dämpfung]]=1,2,IF(Scharniere[[#This Row],[ohne Feder]]=1,3,0))),1,0)</f>
        <v>0</v>
      </c>
      <c r="G502" s="35">
        <f>IF(Scharniere[[#This Row],[Bohrbild]]=select!$V$43,1,0)</f>
        <v>0</v>
      </c>
      <c r="H502" s="35">
        <f>IF(IF(Scharniere[[#This Row],[Anschrauben]]=1,1,IF(Scharniere[[#This Row],[Einpressen]]=1,2,IF(Scharniere[[#This Row],[Quick]]=1,3,IF(Scharniere[[#This Row],[Werkzeuglos]]=1,4,0))))=select!$F$48,1,0)</f>
        <v>0</v>
      </c>
      <c r="I5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2" s="149">
        <f>IF(AND(Scharniere[[#This Row],[Scharnierart]]=2,Scharniere[[#This Row],[Gruppenschlüssel]]=select!$A$318)=TRUE,1,0)</f>
        <v>0</v>
      </c>
      <c r="K502" s="221">
        <f ca="1">IF(select!$O$424&lt;6,1,0)</f>
        <v>1</v>
      </c>
      <c r="L502" s="139">
        <f>IF(select!$A$362=IF(Scharniere[[#This Row],[mit Dämpfung]]=1,1,IF(Scharniere[[#This Row],[ohne Dämpfung]]=1,2,IF(Scharniere[[#This Row],[ohne Feder]]=1,3,0))),1,0)</f>
        <v>1</v>
      </c>
      <c r="M502" s="135">
        <f>IF(Scharniere[[#This Row],[Bohrbild]]=select!$O$334,1,0)</f>
        <v>0</v>
      </c>
      <c r="N502" s="135">
        <f>IF(IF(Scharniere[[#This Row],[Anschrauben]]=1,1,IF(Scharniere[[#This Row],[Einpressen]]=1,2,IF(Scharniere[[#This Row],[Quick]]=1,3,IF(Scharniere[[#This Row],[Werkzeuglos]]=1,4,0))))=select!$E$362,1,0)</f>
        <v>0</v>
      </c>
      <c r="O5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2" s="298">
        <f>IF(AND(Scharniere[[#This Row],[Scharnierart]]=3,Scharniere[[#This Row],[Gruppenschlüssel]]=select!$A$747)=TRUE,1,0)</f>
        <v>0</v>
      </c>
      <c r="Q502" s="298">
        <f ca="1">IF(select!$O$945&lt;6,1,0)</f>
        <v>1</v>
      </c>
      <c r="R502" s="298">
        <f>IF(select!$A$778=IF(Scharniere[[#This Row],[mit Dämpfung]]=1,1,IF(Scharniere[[#This Row],[ohne Dämpfung]]=1,2,IF(Scharniere[[#This Row],[ohne Feder]]=1,3,0))),1,0)</f>
        <v>0</v>
      </c>
      <c r="S502" s="298">
        <f>IF(Scharniere[[#This Row],[Bohrbild]]=select!$A$755,1,0)</f>
        <v>0</v>
      </c>
      <c r="T502" s="298">
        <f>IF(IF(Scharniere[[#This Row],[Anschrauben]]=1,1,IF(Scharniere[[#This Row],[Einpressen]]=1,2,IF(Scharniere[[#This Row],[Quick]]=1,3,IF(Scharniere[[#This Row],[Werkzeuglos]]=1,4,0))))=select!$A$769,1,0)</f>
        <v>0</v>
      </c>
      <c r="U5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2" s="359">
        <f>IF(AND(Scharniere[[#This Row],[Scharnierart]]=4,Scharniere[[#This Row],[Gruppenschlüssel]]=select!$A$981)=TRUE,1,0)</f>
        <v>0</v>
      </c>
      <c r="W502" s="359">
        <f ca="1">IF(select!$O$1185&lt;6,1,0)</f>
        <v>1</v>
      </c>
      <c r="X502" s="359">
        <f>IF(select!$A$1012=IF(Scharniere[[#This Row],[mit Dämpfung]]=1,1,IF(Scharniere[[#This Row],[ohne Dämpfung]]=1,2,IF(Scharniere[[#This Row],[ohne Feder]]=1,3,0))),1,0)</f>
        <v>0</v>
      </c>
      <c r="Y502" s="359">
        <f>IF(Scharniere[[#This Row],[Bohrbild]]=select!$A$989,1,0)</f>
        <v>0</v>
      </c>
      <c r="Z502" s="359">
        <f>IF(IF(Scharniere[[#This Row],[Anschrauben]]=1,1,IF(Scharniere[[#This Row],[Einpressen]]=1,2,IF(Scharniere[[#This Row],[Quick]]=1,3,IF(Scharniere[[#This Row],[Werkzeuglos]]=1,4,0))))=select!$A$1003,1,0)</f>
        <v>0</v>
      </c>
      <c r="AA5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2" s="359">
        <f ca="1">IF(select!$K$980="*",Scharniere[[#This Row],[AG Ges2]],Scharniere[[#This Row],[AG Ges1]])</f>
        <v>0</v>
      </c>
      <c r="AE502" s="451">
        <f ca="1">IF(AND(Scharniere[[#This Row],[Scharnierart]]=select!$A$1485,Scharniere[[#This Row],[Gruppenschlüssel]]=select!$B$1485)=TRUE,1,0)</f>
        <v>0</v>
      </c>
      <c r="AF502" s="451">
        <f ca="1">IF(AND(Scharniere[[#This Row],[Scharnierart]]=select!$A$1486,Scharniere[[#This Row],[Gruppenschlüssel]]=select!$B$1486)=TRUE,1,0)</f>
        <v>0</v>
      </c>
      <c r="AG502" s="451">
        <f ca="1">IF(AND(Scharniere[[#This Row],[Scharnierart]]=select!$A$1487,Scharniere[[#This Row],[Gruppenschlüssel]]=select!$B$1487)=TRUE,1,0)</f>
        <v>0</v>
      </c>
      <c r="AH502" s="451">
        <f ca="1">IF(AND(Scharniere[[#This Row],[Scharnierart]]=select!$A$1488,Scharniere[[#This Row],[Gruppenschlüssel]]=select!$B$1488)=TRUE,1,0)</f>
        <v>0</v>
      </c>
      <c r="AI502" s="451">
        <f ca="1">IF(SUM(Scharniere[[#This Row],[konf Scharnier 1]:[konf Scharnier 4]])&gt;0,1,0)</f>
        <v>0</v>
      </c>
      <c r="AJ502" s="451"/>
      <c r="AK502" s="451"/>
      <c r="AL502" s="451"/>
      <c r="AM502" s="451"/>
      <c r="AN502" s="451"/>
      <c r="AO502" s="146">
        <v>1</v>
      </c>
      <c r="AP502" s="146">
        <v>3</v>
      </c>
      <c r="AQ502" s="10" t="str">
        <f ca="1">Sprache!$A$113</f>
        <v>Tiomos Scharnier TS Impresso</v>
      </c>
      <c r="AR502" t="s">
        <v>98</v>
      </c>
      <c r="AS502" t="str">
        <f ca="1">Sprache!$A$116</f>
        <v>Tiomos Impresso Scharniere</v>
      </c>
      <c r="AT502">
        <v>0</v>
      </c>
      <c r="AU502" s="34" t="s">
        <v>9</v>
      </c>
      <c r="AV502">
        <v>160</v>
      </c>
      <c r="AW502" s="10">
        <v>1</v>
      </c>
      <c r="AX502">
        <v>0</v>
      </c>
      <c r="AY502">
        <v>0</v>
      </c>
      <c r="AZ502" s="10">
        <v>0</v>
      </c>
      <c r="BA502">
        <v>0</v>
      </c>
      <c r="BB502">
        <v>0</v>
      </c>
      <c r="BC502">
        <v>1</v>
      </c>
      <c r="BD502" s="143" t="s">
        <v>97</v>
      </c>
      <c r="BG502"/>
    </row>
    <row r="503" spans="1:59" ht="14.25" customHeight="1" x14ac:dyDescent="0.25">
      <c r="A503" s="37" t="str">
        <f>LEFT(Scharniere[[#This Row],[ArtikelNR]],4)</f>
        <v>F017</v>
      </c>
      <c r="B503" s="35" t="str">
        <f>MID(Scharniere[[#This Row],[ArtikelNR]],5,3)</f>
        <v>139</v>
      </c>
      <c r="C503" s="37" t="str">
        <f>RIGHT(Scharniere[[#This Row],[ArtikelNR]],3)</f>
        <v>435</v>
      </c>
      <c r="D503" s="35">
        <f>IF(AND(Scharniere[[#This Row],[Gruppenschlüssel]]=select!$A$44,Scharniere[[#This Row],[Scharnierart]]=1)=TRUE,1,0)</f>
        <v>0</v>
      </c>
      <c r="E5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3" s="35">
        <f>IF(select!$F$57=IF(Scharniere[[#This Row],[mit Dämpfung]]=1,1,IF(Scharniere[[#This Row],[ohne Dämpfung]]=1,2,IF(Scharniere[[#This Row],[ohne Feder]]=1,3,0))),1,0)</f>
        <v>0</v>
      </c>
      <c r="G503" s="35">
        <f>IF(Scharniere[[#This Row],[Bohrbild]]=select!$V$43,1,0)</f>
        <v>0</v>
      </c>
      <c r="H503" s="35">
        <f>IF(IF(Scharniere[[#This Row],[Anschrauben]]=1,1,IF(Scharniere[[#This Row],[Einpressen]]=1,2,IF(Scharniere[[#This Row],[Quick]]=1,3,IF(Scharniere[[#This Row],[Werkzeuglos]]=1,4,0))))=select!$F$48,1,0)</f>
        <v>0</v>
      </c>
      <c r="I5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3" s="149">
        <f>IF(AND(Scharniere[[#This Row],[Scharnierart]]=2,Scharniere[[#This Row],[Gruppenschlüssel]]=select!$A$318)=TRUE,1,0)</f>
        <v>0</v>
      </c>
      <c r="K503" s="221">
        <f ca="1">IF(select!$O$424&lt;6,1,0)</f>
        <v>1</v>
      </c>
      <c r="L503" s="139">
        <f>IF(select!$A$362=IF(Scharniere[[#This Row],[mit Dämpfung]]=1,1,IF(Scharniere[[#This Row],[ohne Dämpfung]]=1,2,IF(Scharniere[[#This Row],[ohne Feder]]=1,3,0))),1,0)</f>
        <v>1</v>
      </c>
      <c r="M503" s="135">
        <f>IF(Scharniere[[#This Row],[Bohrbild]]=select!$O$334,1,0)</f>
        <v>0</v>
      </c>
      <c r="N503" s="135">
        <f>IF(IF(Scharniere[[#This Row],[Anschrauben]]=1,1,IF(Scharniere[[#This Row],[Einpressen]]=1,2,IF(Scharniere[[#This Row],[Quick]]=1,3,IF(Scharniere[[#This Row],[Werkzeuglos]]=1,4,0))))=select!$E$362,1,0)</f>
        <v>0</v>
      </c>
      <c r="O5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3" s="298">
        <f>IF(AND(Scharniere[[#This Row],[Scharnierart]]=3,Scharniere[[#This Row],[Gruppenschlüssel]]=select!$A$747)=TRUE,1,0)</f>
        <v>0</v>
      </c>
      <c r="Q503" s="298">
        <f ca="1">IF(select!$O$945&lt;6,1,0)</f>
        <v>1</v>
      </c>
      <c r="R503" s="298">
        <f>IF(select!$A$778=IF(Scharniere[[#This Row],[mit Dämpfung]]=1,1,IF(Scharniere[[#This Row],[ohne Dämpfung]]=1,2,IF(Scharniere[[#This Row],[ohne Feder]]=1,3,0))),1,0)</f>
        <v>0</v>
      </c>
      <c r="S503" s="298">
        <f>IF(Scharniere[[#This Row],[Bohrbild]]=select!$A$755,1,0)</f>
        <v>0</v>
      </c>
      <c r="T503" s="298">
        <f>IF(IF(Scharniere[[#This Row],[Anschrauben]]=1,1,IF(Scharniere[[#This Row],[Einpressen]]=1,2,IF(Scharniere[[#This Row],[Quick]]=1,3,IF(Scharniere[[#This Row],[Werkzeuglos]]=1,4,0))))=select!$A$769,1,0)</f>
        <v>0</v>
      </c>
      <c r="U5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3" s="359">
        <f>IF(AND(Scharniere[[#This Row],[Scharnierart]]=4,Scharniere[[#This Row],[Gruppenschlüssel]]=select!$A$981)=TRUE,1,0)</f>
        <v>0</v>
      </c>
      <c r="W503" s="359">
        <f ca="1">IF(select!$O$1185&lt;6,1,0)</f>
        <v>1</v>
      </c>
      <c r="X503" s="359">
        <f>IF(select!$A$1012=IF(Scharniere[[#This Row],[mit Dämpfung]]=1,1,IF(Scharniere[[#This Row],[ohne Dämpfung]]=1,2,IF(Scharniere[[#This Row],[ohne Feder]]=1,3,0))),1,0)</f>
        <v>0</v>
      </c>
      <c r="Y503" s="359">
        <f>IF(Scharniere[[#This Row],[Bohrbild]]=select!$A$989,1,0)</f>
        <v>0</v>
      </c>
      <c r="Z503" s="359">
        <f>IF(IF(Scharniere[[#This Row],[Anschrauben]]=1,1,IF(Scharniere[[#This Row],[Einpressen]]=1,2,IF(Scharniere[[#This Row],[Quick]]=1,3,IF(Scharniere[[#This Row],[Werkzeuglos]]=1,4,0))))=select!$A$1003,1,0)</f>
        <v>0</v>
      </c>
      <c r="AA5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3" s="359">
        <f ca="1">IF(select!$K$980="*",Scharniere[[#This Row],[AG Ges2]],Scharniere[[#This Row],[AG Ges1]])</f>
        <v>0</v>
      </c>
      <c r="AE503" s="451">
        <f ca="1">IF(AND(Scharniere[[#This Row],[Scharnierart]]=select!$A$1485,Scharniere[[#This Row],[Gruppenschlüssel]]=select!$B$1485)=TRUE,1,0)</f>
        <v>0</v>
      </c>
      <c r="AF503" s="451">
        <f ca="1">IF(AND(Scharniere[[#This Row],[Scharnierart]]=select!$A$1486,Scharniere[[#This Row],[Gruppenschlüssel]]=select!$B$1486)=TRUE,1,0)</f>
        <v>0</v>
      </c>
      <c r="AG503" s="451">
        <f ca="1">IF(AND(Scharniere[[#This Row],[Scharnierart]]=select!$A$1487,Scharniere[[#This Row],[Gruppenschlüssel]]=select!$B$1487)=TRUE,1,0)</f>
        <v>0</v>
      </c>
      <c r="AH503" s="451">
        <f ca="1">IF(AND(Scharniere[[#This Row],[Scharnierart]]=select!$A$1488,Scharniere[[#This Row],[Gruppenschlüssel]]=select!$B$1488)=TRUE,1,0)</f>
        <v>0</v>
      </c>
      <c r="AI503" s="451">
        <f ca="1">IF(SUM(Scharniere[[#This Row],[konf Scharnier 1]:[konf Scharnier 4]])&gt;0,1,0)</f>
        <v>0</v>
      </c>
      <c r="AJ503" s="451"/>
      <c r="AK503" s="451"/>
      <c r="AL503" s="451"/>
      <c r="AM503" s="451"/>
      <c r="AN503" s="451"/>
      <c r="AO503" s="146">
        <v>1</v>
      </c>
      <c r="AP503" s="146">
        <v>3</v>
      </c>
      <c r="AQ503" s="10" t="str">
        <f ca="1">Sprache!$A$113</f>
        <v>Tiomos Scharnier TS Impresso</v>
      </c>
      <c r="AR503" t="s">
        <v>98</v>
      </c>
      <c r="AS503" t="str">
        <f ca="1">Sprache!$A$116</f>
        <v>Tiomos Impresso Scharniere</v>
      </c>
      <c r="AT503">
        <v>0</v>
      </c>
      <c r="AU503" s="34" t="s">
        <v>3</v>
      </c>
      <c r="AV503">
        <v>160</v>
      </c>
      <c r="AW503" s="10">
        <v>1</v>
      </c>
      <c r="AX503">
        <v>0</v>
      </c>
      <c r="AY503">
        <v>0</v>
      </c>
      <c r="AZ503" s="10">
        <v>0</v>
      </c>
      <c r="BA503">
        <v>0</v>
      </c>
      <c r="BB503">
        <v>0</v>
      </c>
      <c r="BC503">
        <v>1</v>
      </c>
      <c r="BD503" s="143" t="s">
        <v>97</v>
      </c>
      <c r="BG503"/>
    </row>
    <row r="504" spans="1:59" ht="14.25" customHeight="1" x14ac:dyDescent="0.25">
      <c r="A504" s="37" t="str">
        <f>LEFT(Scharniere[[#This Row],[ArtikelNR]],4)</f>
        <v>F035</v>
      </c>
      <c r="B504" s="35" t="str">
        <f>MID(Scharniere[[#This Row],[ArtikelNR]],5,3)</f>
        <v>139</v>
      </c>
      <c r="C504" s="37" t="str">
        <f>RIGHT(Scharniere[[#This Row],[ArtikelNR]],3)</f>
        <v>463</v>
      </c>
      <c r="D504" s="35">
        <f>IF(AND(Scharniere[[#This Row],[Gruppenschlüssel]]=select!$A$44,Scharniere[[#This Row],[Scharnierart]]=1)=TRUE,1,0)</f>
        <v>0</v>
      </c>
      <c r="E5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4" s="35">
        <f>IF(select!$F$57=IF(Scharniere[[#This Row],[mit Dämpfung]]=1,1,IF(Scharniere[[#This Row],[ohne Dämpfung]]=1,2,IF(Scharniere[[#This Row],[ohne Feder]]=1,3,0))),1,0)</f>
        <v>1</v>
      </c>
      <c r="G504" s="35">
        <f>IF(Scharniere[[#This Row],[Bohrbild]]=select!$V$43,1,0)</f>
        <v>0</v>
      </c>
      <c r="H504" s="35">
        <f>IF(IF(Scharniere[[#This Row],[Anschrauben]]=1,1,IF(Scharniere[[#This Row],[Einpressen]]=1,2,IF(Scharniere[[#This Row],[Quick]]=1,3,IF(Scharniere[[#This Row],[Werkzeuglos]]=1,4,0))))=select!$F$48,1,0)</f>
        <v>0</v>
      </c>
      <c r="I5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4" s="149">
        <f>IF(AND(Scharniere[[#This Row],[Scharnierart]]=2,Scharniere[[#This Row],[Gruppenschlüssel]]=select!$A$318)=TRUE,1,0)</f>
        <v>0</v>
      </c>
      <c r="K504" s="221">
        <f ca="1">IF(select!$O$424&lt;6,1,0)</f>
        <v>1</v>
      </c>
      <c r="L504" s="139">
        <f>IF(select!$A$362=IF(Scharniere[[#This Row],[mit Dämpfung]]=1,1,IF(Scharniere[[#This Row],[ohne Dämpfung]]=1,2,IF(Scharniere[[#This Row],[ohne Feder]]=1,3,0))),1,0)</f>
        <v>0</v>
      </c>
      <c r="M504" s="135">
        <f>IF(Scharniere[[#This Row],[Bohrbild]]=select!$O$334,1,0)</f>
        <v>0</v>
      </c>
      <c r="N504" s="135">
        <f>IF(IF(Scharniere[[#This Row],[Anschrauben]]=1,1,IF(Scharniere[[#This Row],[Einpressen]]=1,2,IF(Scharniere[[#This Row],[Quick]]=1,3,IF(Scharniere[[#This Row],[Werkzeuglos]]=1,4,0))))=select!$E$362,1,0)</f>
        <v>0</v>
      </c>
      <c r="O5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4" s="298">
        <f>IF(AND(Scharniere[[#This Row],[Scharnierart]]=3,Scharniere[[#This Row],[Gruppenschlüssel]]=select!$A$747)=TRUE,1,0)</f>
        <v>0</v>
      </c>
      <c r="Q504" s="298">
        <f ca="1">IF(select!$O$945&lt;6,1,0)</f>
        <v>1</v>
      </c>
      <c r="R504" s="298">
        <f>IF(select!$A$778=IF(Scharniere[[#This Row],[mit Dämpfung]]=1,1,IF(Scharniere[[#This Row],[ohne Dämpfung]]=1,2,IF(Scharniere[[#This Row],[ohne Feder]]=1,3,0))),1,0)</f>
        <v>0</v>
      </c>
      <c r="S504" s="298">
        <f>IF(Scharniere[[#This Row],[Bohrbild]]=select!$A$755,1,0)</f>
        <v>0</v>
      </c>
      <c r="T504" s="298">
        <f>IF(IF(Scharniere[[#This Row],[Anschrauben]]=1,1,IF(Scharniere[[#This Row],[Einpressen]]=1,2,IF(Scharniere[[#This Row],[Quick]]=1,3,IF(Scharniere[[#This Row],[Werkzeuglos]]=1,4,0))))=select!$A$769,1,0)</f>
        <v>0</v>
      </c>
      <c r="U5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4" s="359">
        <f>IF(AND(Scharniere[[#This Row],[Scharnierart]]=4,Scharniere[[#This Row],[Gruppenschlüssel]]=select!$A$981)=TRUE,1,0)</f>
        <v>0</v>
      </c>
      <c r="W504" s="359">
        <f ca="1">IF(select!$O$1185&lt;6,1,0)</f>
        <v>1</v>
      </c>
      <c r="X504" s="359">
        <f>IF(select!$A$1012=IF(Scharniere[[#This Row],[mit Dämpfung]]=1,1,IF(Scharniere[[#This Row],[ohne Dämpfung]]=1,2,IF(Scharniere[[#This Row],[ohne Feder]]=1,3,0))),1,0)</f>
        <v>0</v>
      </c>
      <c r="Y504" s="359">
        <f>IF(Scharniere[[#This Row],[Bohrbild]]=select!$A$989,1,0)</f>
        <v>0</v>
      </c>
      <c r="Z504" s="359">
        <f>IF(IF(Scharniere[[#This Row],[Anschrauben]]=1,1,IF(Scharniere[[#This Row],[Einpressen]]=1,2,IF(Scharniere[[#This Row],[Quick]]=1,3,IF(Scharniere[[#This Row],[Werkzeuglos]]=1,4,0))))=select!$A$1003,1,0)</f>
        <v>0</v>
      </c>
      <c r="AA5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4" s="359">
        <f ca="1">IF(select!$K$980="*",Scharniere[[#This Row],[AG Ges2]],Scharniere[[#This Row],[AG Ges1]])</f>
        <v>0</v>
      </c>
      <c r="AE504" s="451">
        <f ca="1">IF(AND(Scharniere[[#This Row],[Scharnierart]]=select!$A$1485,Scharniere[[#This Row],[Gruppenschlüssel]]=select!$B$1485)=TRUE,1,0)</f>
        <v>0</v>
      </c>
      <c r="AF504" s="451">
        <f ca="1">IF(AND(Scharniere[[#This Row],[Scharnierart]]=select!$A$1486,Scharniere[[#This Row],[Gruppenschlüssel]]=select!$B$1486)=TRUE,1,0)</f>
        <v>0</v>
      </c>
      <c r="AG504" s="451">
        <f ca="1">IF(AND(Scharniere[[#This Row],[Scharnierart]]=select!$A$1487,Scharniere[[#This Row],[Gruppenschlüssel]]=select!$B$1487)=TRUE,1,0)</f>
        <v>0</v>
      </c>
      <c r="AH504" s="451">
        <f ca="1">IF(AND(Scharniere[[#This Row],[Scharnierart]]=select!$A$1488,Scharniere[[#This Row],[Gruppenschlüssel]]=select!$B$1488)=TRUE,1,0)</f>
        <v>0</v>
      </c>
      <c r="AI504" s="451">
        <f ca="1">IF(SUM(Scharniere[[#This Row],[konf Scharnier 1]:[konf Scharnier 4]])&gt;0,1,0)</f>
        <v>0</v>
      </c>
      <c r="AJ504" s="451"/>
      <c r="AK504" s="451"/>
      <c r="AL504" s="451"/>
      <c r="AM504" s="451"/>
      <c r="AN504" s="451"/>
      <c r="AO504" s="146">
        <v>1</v>
      </c>
      <c r="AP504" s="146">
        <v>3</v>
      </c>
      <c r="AQ504" s="10" t="str">
        <f ca="1">Sprache!$A$115</f>
        <v>Tiomos Scharnier TT Impresso</v>
      </c>
      <c r="AR504" t="s">
        <v>98</v>
      </c>
      <c r="AS504" t="str">
        <f ca="1">Sprache!$A$116</f>
        <v>Tiomos Impresso Scharniere</v>
      </c>
      <c r="AT504">
        <v>0</v>
      </c>
      <c r="AU504" s="34" t="s">
        <v>9</v>
      </c>
      <c r="AV504">
        <v>160</v>
      </c>
      <c r="AW504" s="10">
        <v>0</v>
      </c>
      <c r="AX504">
        <v>0</v>
      </c>
      <c r="AY504">
        <v>1</v>
      </c>
      <c r="AZ504" s="10">
        <v>0</v>
      </c>
      <c r="BA504">
        <v>0</v>
      </c>
      <c r="BB504">
        <v>0</v>
      </c>
      <c r="BC504">
        <v>1</v>
      </c>
      <c r="BD504" s="143" t="s">
        <v>202</v>
      </c>
      <c r="BG504"/>
    </row>
    <row r="505" spans="1:59" ht="14.25" customHeight="1" x14ac:dyDescent="0.25">
      <c r="A505" s="37" t="str">
        <f>LEFT(Scharniere[[#This Row],[ArtikelNR]],4)</f>
        <v>F035</v>
      </c>
      <c r="B505" s="35" t="str">
        <f>MID(Scharniere[[#This Row],[ArtikelNR]],5,3)</f>
        <v>139</v>
      </c>
      <c r="C505" s="37" t="str">
        <f>RIGHT(Scharniere[[#This Row],[ArtikelNR]],3)</f>
        <v>463</v>
      </c>
      <c r="D505" s="35">
        <f>IF(AND(Scharniere[[#This Row],[Gruppenschlüssel]]=select!$A$44,Scharniere[[#This Row],[Scharnierart]]=1)=TRUE,1,0)</f>
        <v>0</v>
      </c>
      <c r="E5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5" s="35">
        <f>IF(select!$F$57=IF(Scharniere[[#This Row],[mit Dämpfung]]=1,1,IF(Scharniere[[#This Row],[ohne Dämpfung]]=1,2,IF(Scharniere[[#This Row],[ohne Feder]]=1,3,0))),1,0)</f>
        <v>1</v>
      </c>
      <c r="G505" s="35">
        <f>IF(Scharniere[[#This Row],[Bohrbild]]=select!$V$43,1,0)</f>
        <v>0</v>
      </c>
      <c r="H505" s="35">
        <f>IF(IF(Scharniere[[#This Row],[Anschrauben]]=1,1,IF(Scharniere[[#This Row],[Einpressen]]=1,2,IF(Scharniere[[#This Row],[Quick]]=1,3,IF(Scharniere[[#This Row],[Werkzeuglos]]=1,4,0))))=select!$F$48,1,0)</f>
        <v>0</v>
      </c>
      <c r="I5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5" s="149">
        <f>IF(AND(Scharniere[[#This Row],[Scharnierart]]=2,Scharniere[[#This Row],[Gruppenschlüssel]]=select!$A$318)=TRUE,1,0)</f>
        <v>0</v>
      </c>
      <c r="K505" s="221">
        <f ca="1">IF(select!$O$424&lt;6,1,0)</f>
        <v>1</v>
      </c>
      <c r="L505" s="139">
        <f>IF(select!$A$362=IF(Scharniere[[#This Row],[mit Dämpfung]]=1,1,IF(Scharniere[[#This Row],[ohne Dämpfung]]=1,2,IF(Scharniere[[#This Row],[ohne Feder]]=1,3,0))),1,0)</f>
        <v>0</v>
      </c>
      <c r="M505" s="135">
        <f>IF(Scharniere[[#This Row],[Bohrbild]]=select!$O$334,1,0)</f>
        <v>0</v>
      </c>
      <c r="N505" s="135">
        <f>IF(IF(Scharniere[[#This Row],[Anschrauben]]=1,1,IF(Scharniere[[#This Row],[Einpressen]]=1,2,IF(Scharniere[[#This Row],[Quick]]=1,3,IF(Scharniere[[#This Row],[Werkzeuglos]]=1,4,0))))=select!$E$362,1,0)</f>
        <v>0</v>
      </c>
      <c r="O5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5" s="298">
        <f>IF(AND(Scharniere[[#This Row],[Scharnierart]]=3,Scharniere[[#This Row],[Gruppenschlüssel]]=select!$A$747)=TRUE,1,0)</f>
        <v>0</v>
      </c>
      <c r="Q505" s="298">
        <f ca="1">IF(select!$O$945&lt;6,1,0)</f>
        <v>1</v>
      </c>
      <c r="R505" s="298">
        <f>IF(select!$A$778=IF(Scharniere[[#This Row],[mit Dämpfung]]=1,1,IF(Scharniere[[#This Row],[ohne Dämpfung]]=1,2,IF(Scharniere[[#This Row],[ohne Feder]]=1,3,0))),1,0)</f>
        <v>0</v>
      </c>
      <c r="S505" s="298">
        <f>IF(Scharniere[[#This Row],[Bohrbild]]=select!$A$755,1,0)</f>
        <v>0</v>
      </c>
      <c r="T505" s="298">
        <f>IF(IF(Scharniere[[#This Row],[Anschrauben]]=1,1,IF(Scharniere[[#This Row],[Einpressen]]=1,2,IF(Scharniere[[#This Row],[Quick]]=1,3,IF(Scharniere[[#This Row],[Werkzeuglos]]=1,4,0))))=select!$A$769,1,0)</f>
        <v>0</v>
      </c>
      <c r="U5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5" s="359">
        <f>IF(AND(Scharniere[[#This Row],[Scharnierart]]=4,Scharniere[[#This Row],[Gruppenschlüssel]]=select!$A$981)=TRUE,1,0)</f>
        <v>0</v>
      </c>
      <c r="W505" s="359">
        <f ca="1">IF(select!$O$1185&lt;6,1,0)</f>
        <v>1</v>
      </c>
      <c r="X505" s="359">
        <f>IF(select!$A$1012=IF(Scharniere[[#This Row],[mit Dämpfung]]=1,1,IF(Scharniere[[#This Row],[ohne Dämpfung]]=1,2,IF(Scharniere[[#This Row],[ohne Feder]]=1,3,0))),1,0)</f>
        <v>0</v>
      </c>
      <c r="Y505" s="359">
        <f>IF(Scharniere[[#This Row],[Bohrbild]]=select!$A$989,1,0)</f>
        <v>0</v>
      </c>
      <c r="Z505" s="359">
        <f>IF(IF(Scharniere[[#This Row],[Anschrauben]]=1,1,IF(Scharniere[[#This Row],[Einpressen]]=1,2,IF(Scharniere[[#This Row],[Quick]]=1,3,IF(Scharniere[[#This Row],[Werkzeuglos]]=1,4,0))))=select!$A$1003,1,0)</f>
        <v>0</v>
      </c>
      <c r="AA5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5" s="359">
        <f ca="1">IF(select!$K$980="*",Scharniere[[#This Row],[AG Ges2]],Scharniere[[#This Row],[AG Ges1]])</f>
        <v>0</v>
      </c>
      <c r="AE505" s="451">
        <f ca="1">IF(AND(Scharniere[[#This Row],[Scharnierart]]=select!$A$1485,Scharniere[[#This Row],[Gruppenschlüssel]]=select!$B$1485)=TRUE,1,0)</f>
        <v>0</v>
      </c>
      <c r="AF505" s="451">
        <f ca="1">IF(AND(Scharniere[[#This Row],[Scharnierart]]=select!$A$1486,Scharniere[[#This Row],[Gruppenschlüssel]]=select!$B$1486)=TRUE,1,0)</f>
        <v>0</v>
      </c>
      <c r="AG505" s="451">
        <f ca="1">IF(AND(Scharniere[[#This Row],[Scharnierart]]=select!$A$1487,Scharniere[[#This Row],[Gruppenschlüssel]]=select!$B$1487)=TRUE,1,0)</f>
        <v>0</v>
      </c>
      <c r="AH505" s="451">
        <f ca="1">IF(AND(Scharniere[[#This Row],[Scharnierart]]=select!$A$1488,Scharniere[[#This Row],[Gruppenschlüssel]]=select!$B$1488)=TRUE,1,0)</f>
        <v>0</v>
      </c>
      <c r="AI505" s="451">
        <f ca="1">IF(SUM(Scharniere[[#This Row],[konf Scharnier 1]:[konf Scharnier 4]])&gt;0,1,0)</f>
        <v>0</v>
      </c>
      <c r="AJ505" s="451"/>
      <c r="AK505" s="451"/>
      <c r="AL505" s="451"/>
      <c r="AM505" s="451"/>
      <c r="AN505" s="451"/>
      <c r="AO505" s="146">
        <v>1</v>
      </c>
      <c r="AP505" s="146">
        <v>3</v>
      </c>
      <c r="AQ505" s="10" t="str">
        <f ca="1">Sprache!$A$115</f>
        <v>Tiomos Scharnier TT Impresso</v>
      </c>
      <c r="AR505" t="s">
        <v>98</v>
      </c>
      <c r="AS505" t="str">
        <f ca="1">Sprache!$A$116</f>
        <v>Tiomos Impresso Scharniere</v>
      </c>
      <c r="AT505">
        <v>0</v>
      </c>
      <c r="AU505" s="34" t="s">
        <v>3</v>
      </c>
      <c r="AV505">
        <v>160</v>
      </c>
      <c r="AW505" s="10">
        <v>0</v>
      </c>
      <c r="AX505">
        <v>0</v>
      </c>
      <c r="AY505">
        <v>1</v>
      </c>
      <c r="AZ505" s="10">
        <v>0</v>
      </c>
      <c r="BA505">
        <v>0</v>
      </c>
      <c r="BB505">
        <v>0</v>
      </c>
      <c r="BC505">
        <v>1</v>
      </c>
      <c r="BD505" s="143" t="s">
        <v>202</v>
      </c>
      <c r="BG505"/>
    </row>
    <row r="506" spans="1:59" ht="14.25" customHeight="1" x14ac:dyDescent="0.25">
      <c r="A506" s="37" t="str">
        <f>LEFT(Scharniere[[#This Row],[ArtikelNR]],4)</f>
        <v>F045</v>
      </c>
      <c r="B506" s="35" t="str">
        <f>MID(Scharniere[[#This Row],[ArtikelNR]],5,3)</f>
        <v>138</v>
      </c>
      <c r="C506" s="37" t="str">
        <f>RIGHT(Scharniere[[#This Row],[ArtikelNR]],3)</f>
        <v>684</v>
      </c>
      <c r="D506" s="35">
        <f>IF(AND(Scharniere[[#This Row],[Gruppenschlüssel]]=select!$A$44,Scharniere[[#This Row],[Scharnierart]]=1)=TRUE,1,0)</f>
        <v>0</v>
      </c>
      <c r="E5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6" s="35">
        <f>IF(select!$F$57=IF(Scharniere[[#This Row],[mit Dämpfung]]=1,1,IF(Scharniere[[#This Row],[ohne Dämpfung]]=1,2,IF(Scharniere[[#This Row],[ohne Feder]]=1,3,0))),1,0)</f>
        <v>0</v>
      </c>
      <c r="G506" s="35">
        <f>IF(Scharniere[[#This Row],[Bohrbild]]=select!$V$43,1,0)</f>
        <v>0</v>
      </c>
      <c r="H506" s="35">
        <f>IF(IF(Scharniere[[#This Row],[Anschrauben]]=1,1,IF(Scharniere[[#This Row],[Einpressen]]=1,2,IF(Scharniere[[#This Row],[Quick]]=1,3,IF(Scharniere[[#This Row],[Werkzeuglos]]=1,4,0))))=select!$F$48,1,0)</f>
        <v>1</v>
      </c>
      <c r="I5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6" s="149">
        <f>IF(AND(Scharniere[[#This Row],[Scharnierart]]=2,Scharniere[[#This Row],[Gruppenschlüssel]]=select!$A$318)=TRUE,1,0)</f>
        <v>0</v>
      </c>
      <c r="K506" s="221">
        <f ca="1">IF(select!$O$424&lt;6,1,0)</f>
        <v>1</v>
      </c>
      <c r="L506" s="139">
        <f>IF(select!$A$362=IF(Scharniere[[#This Row],[mit Dämpfung]]=1,1,IF(Scharniere[[#This Row],[ohne Dämpfung]]=1,2,IF(Scharniere[[#This Row],[ohne Feder]]=1,3,0))),1,0)</f>
        <v>0</v>
      </c>
      <c r="M506" s="135">
        <f>IF(Scharniere[[#This Row],[Bohrbild]]=select!$O$334,1,0)</f>
        <v>0</v>
      </c>
      <c r="N506" s="135">
        <f>IF(IF(Scharniere[[#This Row],[Anschrauben]]=1,1,IF(Scharniere[[#This Row],[Einpressen]]=1,2,IF(Scharniere[[#This Row],[Quick]]=1,3,IF(Scharniere[[#This Row],[Werkzeuglos]]=1,4,0))))=select!$E$362,1,0)</f>
        <v>0</v>
      </c>
      <c r="O5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6" s="298">
        <f>IF(AND(Scharniere[[#This Row],[Scharnierart]]=3,Scharniere[[#This Row],[Gruppenschlüssel]]=select!$A$747)=TRUE,1,0)</f>
        <v>0</v>
      </c>
      <c r="Q506" s="298">
        <f ca="1">IF(select!$O$945&lt;6,1,0)</f>
        <v>1</v>
      </c>
      <c r="R506" s="298">
        <f>IF(select!$A$778=IF(Scharniere[[#This Row],[mit Dämpfung]]=1,1,IF(Scharniere[[#This Row],[ohne Dämpfung]]=1,2,IF(Scharniere[[#This Row],[ohne Feder]]=1,3,0))),1,0)</f>
        <v>1</v>
      </c>
      <c r="S506" s="298">
        <f>IF(Scharniere[[#This Row],[Bohrbild]]=select!$A$755,1,0)</f>
        <v>0</v>
      </c>
      <c r="T506" s="298">
        <f>IF(IF(Scharniere[[#This Row],[Anschrauben]]=1,1,IF(Scharniere[[#This Row],[Einpressen]]=1,2,IF(Scharniere[[#This Row],[Quick]]=1,3,IF(Scharniere[[#This Row],[Werkzeuglos]]=1,4,0))))=select!$A$769,1,0)</f>
        <v>0</v>
      </c>
      <c r="U5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6" s="359">
        <f>IF(AND(Scharniere[[#This Row],[Scharnierart]]=4,Scharniere[[#This Row],[Gruppenschlüssel]]=select!$A$981)=TRUE,1,0)</f>
        <v>0</v>
      </c>
      <c r="W506" s="359">
        <f ca="1">IF(select!$O$1185&lt;6,1,0)</f>
        <v>1</v>
      </c>
      <c r="X506" s="359">
        <f>IF(select!$A$1012=IF(Scharniere[[#This Row],[mit Dämpfung]]=1,1,IF(Scharniere[[#This Row],[ohne Dämpfung]]=1,2,IF(Scharniere[[#This Row],[ohne Feder]]=1,3,0))),1,0)</f>
        <v>1</v>
      </c>
      <c r="Y506" s="359">
        <f>IF(Scharniere[[#This Row],[Bohrbild]]=select!$A$989,1,0)</f>
        <v>0</v>
      </c>
      <c r="Z506" s="359">
        <f>IF(IF(Scharniere[[#This Row],[Anschrauben]]=1,1,IF(Scharniere[[#This Row],[Einpressen]]=1,2,IF(Scharniere[[#This Row],[Quick]]=1,3,IF(Scharniere[[#This Row],[Werkzeuglos]]=1,4,0))))=select!$A$1003,1,0)</f>
        <v>0</v>
      </c>
      <c r="AA5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6" s="359">
        <f ca="1">IF(select!$K$980="*",Scharniere[[#This Row],[AG Ges2]],Scharniere[[#This Row],[AG Ges1]])</f>
        <v>0</v>
      </c>
      <c r="AE506" s="451">
        <f ca="1">IF(AND(Scharniere[[#This Row],[Scharnierart]]=select!$A$1485,Scharniere[[#This Row],[Gruppenschlüssel]]=select!$B$1485)=TRUE,1,0)</f>
        <v>0</v>
      </c>
      <c r="AF506" s="451">
        <f ca="1">IF(AND(Scharniere[[#This Row],[Scharnierart]]=select!$A$1486,Scharniere[[#This Row],[Gruppenschlüssel]]=select!$B$1486)=TRUE,1,0)</f>
        <v>0</v>
      </c>
      <c r="AG506" s="451">
        <f ca="1">IF(AND(Scharniere[[#This Row],[Scharnierart]]=select!$A$1487,Scharniere[[#This Row],[Gruppenschlüssel]]=select!$B$1487)=TRUE,1,0)</f>
        <v>0</v>
      </c>
      <c r="AH506" s="451">
        <f ca="1">IF(AND(Scharniere[[#This Row],[Scharnierart]]=select!$A$1488,Scharniere[[#This Row],[Gruppenschlüssel]]=select!$B$1488)=TRUE,1,0)</f>
        <v>0</v>
      </c>
      <c r="AI506" s="451">
        <f ca="1">IF(SUM(Scharniere[[#This Row],[konf Scharnier 1]:[konf Scharnier 4]])&gt;0,1,0)</f>
        <v>0</v>
      </c>
      <c r="AJ506" s="451"/>
      <c r="AK506" s="451"/>
      <c r="AL506" s="451"/>
      <c r="AM506" s="451"/>
      <c r="AN506" s="451"/>
      <c r="AO506" s="146">
        <v>1</v>
      </c>
      <c r="AP506" s="146">
        <v>3</v>
      </c>
      <c r="AQ506" s="10" t="str">
        <f ca="1">Sprache!$A$110</f>
        <v>Tiomos Scharnier T Click-on</v>
      </c>
      <c r="AR506" t="str">
        <f ca="1">"160°, H-BB, K00, "&amp;Sprache!A181&amp;", ni"</f>
        <v>160°, H-BB, K00, Dübel, ni</v>
      </c>
      <c r="AS506" t="str">
        <f ca="1">Sprache!$A$103</f>
        <v>Tiomos Click-On Scharniere</v>
      </c>
      <c r="AT506">
        <v>0</v>
      </c>
      <c r="AU506" s="34" t="s">
        <v>10</v>
      </c>
      <c r="AV506">
        <v>160</v>
      </c>
      <c r="AW506" s="10">
        <v>0</v>
      </c>
      <c r="AX506">
        <v>1</v>
      </c>
      <c r="AY506">
        <v>0</v>
      </c>
      <c r="AZ506" s="10">
        <v>0</v>
      </c>
      <c r="BA506">
        <v>1</v>
      </c>
      <c r="BB506">
        <v>0</v>
      </c>
      <c r="BC506">
        <v>0</v>
      </c>
      <c r="BD506" s="143" t="s">
        <v>531</v>
      </c>
      <c r="BG506"/>
    </row>
    <row r="507" spans="1:59" ht="14.25" customHeight="1" x14ac:dyDescent="0.25">
      <c r="A507" s="37" t="str">
        <f>LEFT(Scharniere[[#This Row],[ArtikelNR]],4)</f>
        <v>F028</v>
      </c>
      <c r="B507" s="35" t="str">
        <f>MID(Scharniere[[#This Row],[ArtikelNR]],5,3)</f>
        <v>138</v>
      </c>
      <c r="C507" s="37" t="str">
        <f>RIGHT(Scharniere[[#This Row],[ArtikelNR]],3)</f>
        <v>746</v>
      </c>
      <c r="D507" s="35">
        <f>IF(AND(Scharniere[[#This Row],[Gruppenschlüssel]]=select!$A$44,Scharniere[[#This Row],[Scharnierart]]=1)=TRUE,1,0)</f>
        <v>0</v>
      </c>
      <c r="E5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7" s="35">
        <f>IF(select!$F$57=IF(Scharniere[[#This Row],[mit Dämpfung]]=1,1,IF(Scharniere[[#This Row],[ohne Dämpfung]]=1,2,IF(Scharniere[[#This Row],[ohne Feder]]=1,3,0))),1,0)</f>
        <v>0</v>
      </c>
      <c r="G507" s="35">
        <f>IF(Scharniere[[#This Row],[Bohrbild]]=select!$V$43,1,0)</f>
        <v>0</v>
      </c>
      <c r="H507" s="35">
        <f>IF(IF(Scharniere[[#This Row],[Anschrauben]]=1,1,IF(Scharniere[[#This Row],[Einpressen]]=1,2,IF(Scharniere[[#This Row],[Quick]]=1,3,IF(Scharniere[[#This Row],[Werkzeuglos]]=1,4,0))))=select!$F$48,1,0)</f>
        <v>1</v>
      </c>
      <c r="I5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7" s="149">
        <f>IF(AND(Scharniere[[#This Row],[Scharnierart]]=2,Scharniere[[#This Row],[Gruppenschlüssel]]=select!$A$318)=TRUE,1,0)</f>
        <v>0</v>
      </c>
      <c r="K507" s="221">
        <f ca="1">IF(select!$O$424&lt;6,1,0)</f>
        <v>1</v>
      </c>
      <c r="L507" s="139">
        <f>IF(select!$A$362=IF(Scharniere[[#This Row],[mit Dämpfung]]=1,1,IF(Scharniere[[#This Row],[ohne Dämpfung]]=1,2,IF(Scharniere[[#This Row],[ohne Feder]]=1,3,0))),1,0)</f>
        <v>1</v>
      </c>
      <c r="M507" s="135">
        <f>IF(Scharniere[[#This Row],[Bohrbild]]=select!$O$334,1,0)</f>
        <v>0</v>
      </c>
      <c r="N507" s="135">
        <f>IF(IF(Scharniere[[#This Row],[Anschrauben]]=1,1,IF(Scharniere[[#This Row],[Einpressen]]=1,2,IF(Scharniere[[#This Row],[Quick]]=1,3,IF(Scharniere[[#This Row],[Werkzeuglos]]=1,4,0))))=select!$E$362,1,0)</f>
        <v>0</v>
      </c>
      <c r="O5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7" s="298">
        <f>IF(AND(Scharniere[[#This Row],[Scharnierart]]=3,Scharniere[[#This Row],[Gruppenschlüssel]]=select!$A$747)=TRUE,1,0)</f>
        <v>0</v>
      </c>
      <c r="Q507" s="298">
        <f ca="1">IF(select!$O$945&lt;6,1,0)</f>
        <v>1</v>
      </c>
      <c r="R507" s="298">
        <f>IF(select!$A$778=IF(Scharniere[[#This Row],[mit Dämpfung]]=1,1,IF(Scharniere[[#This Row],[ohne Dämpfung]]=1,2,IF(Scharniere[[#This Row],[ohne Feder]]=1,3,0))),1,0)</f>
        <v>0</v>
      </c>
      <c r="S507" s="298">
        <f>IF(Scharniere[[#This Row],[Bohrbild]]=select!$A$755,1,0)</f>
        <v>0</v>
      </c>
      <c r="T507" s="298">
        <f>IF(IF(Scharniere[[#This Row],[Anschrauben]]=1,1,IF(Scharniere[[#This Row],[Einpressen]]=1,2,IF(Scharniere[[#This Row],[Quick]]=1,3,IF(Scharniere[[#This Row],[Werkzeuglos]]=1,4,0))))=select!$A$769,1,0)</f>
        <v>0</v>
      </c>
      <c r="U5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7" s="359">
        <f>IF(AND(Scharniere[[#This Row],[Scharnierart]]=4,Scharniere[[#This Row],[Gruppenschlüssel]]=select!$A$981)=TRUE,1,0)</f>
        <v>0</v>
      </c>
      <c r="W507" s="359">
        <f ca="1">IF(select!$O$1185&lt;6,1,0)</f>
        <v>1</v>
      </c>
      <c r="X507" s="359">
        <f>IF(select!$A$1012=IF(Scharniere[[#This Row],[mit Dämpfung]]=1,1,IF(Scharniere[[#This Row],[ohne Dämpfung]]=1,2,IF(Scharniere[[#This Row],[ohne Feder]]=1,3,0))),1,0)</f>
        <v>0</v>
      </c>
      <c r="Y507" s="359">
        <f>IF(Scharniere[[#This Row],[Bohrbild]]=select!$A$989,1,0)</f>
        <v>0</v>
      </c>
      <c r="Z507" s="359">
        <f>IF(IF(Scharniere[[#This Row],[Anschrauben]]=1,1,IF(Scharniere[[#This Row],[Einpressen]]=1,2,IF(Scharniere[[#This Row],[Quick]]=1,3,IF(Scharniere[[#This Row],[Werkzeuglos]]=1,4,0))))=select!$A$1003,1,0)</f>
        <v>0</v>
      </c>
      <c r="AA5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7" s="359">
        <f ca="1">IF(select!$K$980="*",Scharniere[[#This Row],[AG Ges2]],Scharniere[[#This Row],[AG Ges1]])</f>
        <v>0</v>
      </c>
      <c r="AE507" s="451">
        <f ca="1">IF(AND(Scharniere[[#This Row],[Scharnierart]]=select!$A$1485,Scharniere[[#This Row],[Gruppenschlüssel]]=select!$B$1485)=TRUE,1,0)</f>
        <v>0</v>
      </c>
      <c r="AF507" s="451">
        <f ca="1">IF(AND(Scharniere[[#This Row],[Scharnierart]]=select!$A$1486,Scharniere[[#This Row],[Gruppenschlüssel]]=select!$B$1486)=TRUE,1,0)</f>
        <v>0</v>
      </c>
      <c r="AG507" s="451">
        <f ca="1">IF(AND(Scharniere[[#This Row],[Scharnierart]]=select!$A$1487,Scharniere[[#This Row],[Gruppenschlüssel]]=select!$B$1487)=TRUE,1,0)</f>
        <v>0</v>
      </c>
      <c r="AH507" s="451">
        <f ca="1">IF(AND(Scharniere[[#This Row],[Scharnierart]]=select!$A$1488,Scharniere[[#This Row],[Gruppenschlüssel]]=select!$B$1488)=TRUE,1,0)</f>
        <v>0</v>
      </c>
      <c r="AI507" s="451">
        <f ca="1">IF(SUM(Scharniere[[#This Row],[konf Scharnier 1]:[konf Scharnier 4]])&gt;0,1,0)</f>
        <v>0</v>
      </c>
      <c r="AJ507" s="451"/>
      <c r="AK507" s="451"/>
      <c r="AL507" s="451"/>
      <c r="AM507" s="451"/>
      <c r="AN507" s="451"/>
      <c r="AO507" s="146">
        <v>1</v>
      </c>
      <c r="AP507" s="146">
        <v>3</v>
      </c>
      <c r="AQ507" s="10" t="str">
        <f ca="1">Sprache!$A$112</f>
        <v>Tiomos Scharnier TS Click-on</v>
      </c>
      <c r="AR507" t="str">
        <f ca="1">"160°, H-BB, K00, "&amp;Sprache!A181&amp;", ni"</f>
        <v>160°, H-BB, K00, Dübel, ni</v>
      </c>
      <c r="AS507" t="str">
        <f ca="1">Sprache!$A$103</f>
        <v>Tiomos Click-On Scharniere</v>
      </c>
      <c r="AT507">
        <v>0</v>
      </c>
      <c r="AU507" s="34" t="s">
        <v>10</v>
      </c>
      <c r="AV507">
        <v>160</v>
      </c>
      <c r="AW507" s="10">
        <v>1</v>
      </c>
      <c r="AX507">
        <v>0</v>
      </c>
      <c r="AY507">
        <v>0</v>
      </c>
      <c r="AZ507" s="10">
        <v>0</v>
      </c>
      <c r="BA507">
        <v>1</v>
      </c>
      <c r="BB507">
        <v>0</v>
      </c>
      <c r="BC507">
        <v>0</v>
      </c>
      <c r="BD507" s="143" t="s">
        <v>365</v>
      </c>
      <c r="BG507"/>
    </row>
    <row r="508" spans="1:59" ht="14.25" customHeight="1" x14ac:dyDescent="0.25">
      <c r="A508" s="37" t="str">
        <f>LEFT(Scharniere[[#This Row],[ArtikelNR]],4)</f>
        <v>F046</v>
      </c>
      <c r="B508" s="35" t="str">
        <f>MID(Scharniere[[#This Row],[ArtikelNR]],5,3)</f>
        <v>138</v>
      </c>
      <c r="C508" s="37" t="str">
        <f>RIGHT(Scharniere[[#This Row],[ArtikelNR]],3)</f>
        <v>806</v>
      </c>
      <c r="D508" s="35">
        <f>IF(AND(Scharniere[[#This Row],[Gruppenschlüssel]]=select!$A$44,Scharniere[[#This Row],[Scharnierart]]=1)=TRUE,1,0)</f>
        <v>0</v>
      </c>
      <c r="E5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8" s="35">
        <f>IF(select!$F$57=IF(Scharniere[[#This Row],[mit Dämpfung]]=1,1,IF(Scharniere[[#This Row],[ohne Dämpfung]]=1,2,IF(Scharniere[[#This Row],[ohne Feder]]=1,3,0))),1,0)</f>
        <v>1</v>
      </c>
      <c r="G508" s="35">
        <f>IF(Scharniere[[#This Row],[Bohrbild]]=select!$V$43,1,0)</f>
        <v>0</v>
      </c>
      <c r="H508" s="35">
        <f>IF(IF(Scharniere[[#This Row],[Anschrauben]]=1,1,IF(Scharniere[[#This Row],[Einpressen]]=1,2,IF(Scharniere[[#This Row],[Quick]]=1,3,IF(Scharniere[[#This Row],[Werkzeuglos]]=1,4,0))))=select!$F$48,1,0)</f>
        <v>1</v>
      </c>
      <c r="I5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8" s="149">
        <f>IF(AND(Scharniere[[#This Row],[Scharnierart]]=2,Scharniere[[#This Row],[Gruppenschlüssel]]=select!$A$318)=TRUE,1,0)</f>
        <v>0</v>
      </c>
      <c r="K508" s="221">
        <f ca="1">IF(select!$O$424&lt;6,1,0)</f>
        <v>1</v>
      </c>
      <c r="L508" s="139">
        <f>IF(select!$A$362=IF(Scharniere[[#This Row],[mit Dämpfung]]=1,1,IF(Scharniere[[#This Row],[ohne Dämpfung]]=1,2,IF(Scharniere[[#This Row],[ohne Feder]]=1,3,0))),1,0)</f>
        <v>0</v>
      </c>
      <c r="M508" s="135">
        <f>IF(Scharniere[[#This Row],[Bohrbild]]=select!$O$334,1,0)</f>
        <v>0</v>
      </c>
      <c r="N508" s="135">
        <f>IF(IF(Scharniere[[#This Row],[Anschrauben]]=1,1,IF(Scharniere[[#This Row],[Einpressen]]=1,2,IF(Scharniere[[#This Row],[Quick]]=1,3,IF(Scharniere[[#This Row],[Werkzeuglos]]=1,4,0))))=select!$E$362,1,0)</f>
        <v>0</v>
      </c>
      <c r="O5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8" s="298">
        <f>IF(AND(Scharniere[[#This Row],[Scharnierart]]=3,Scharniere[[#This Row],[Gruppenschlüssel]]=select!$A$747)=TRUE,1,0)</f>
        <v>0</v>
      </c>
      <c r="Q508" s="298">
        <f ca="1">IF(select!$O$945&lt;6,1,0)</f>
        <v>1</v>
      </c>
      <c r="R508" s="298">
        <f>IF(select!$A$778=IF(Scharniere[[#This Row],[mit Dämpfung]]=1,1,IF(Scharniere[[#This Row],[ohne Dämpfung]]=1,2,IF(Scharniere[[#This Row],[ohne Feder]]=1,3,0))),1,0)</f>
        <v>0</v>
      </c>
      <c r="S508" s="298">
        <f>IF(Scharniere[[#This Row],[Bohrbild]]=select!$A$755,1,0)</f>
        <v>0</v>
      </c>
      <c r="T508" s="298">
        <f>IF(IF(Scharniere[[#This Row],[Anschrauben]]=1,1,IF(Scharniere[[#This Row],[Einpressen]]=1,2,IF(Scharniere[[#This Row],[Quick]]=1,3,IF(Scharniere[[#This Row],[Werkzeuglos]]=1,4,0))))=select!$A$769,1,0)</f>
        <v>0</v>
      </c>
      <c r="U5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8" s="359">
        <f>IF(AND(Scharniere[[#This Row],[Scharnierart]]=4,Scharniere[[#This Row],[Gruppenschlüssel]]=select!$A$981)=TRUE,1,0)</f>
        <v>0</v>
      </c>
      <c r="W508" s="359">
        <f ca="1">IF(select!$O$1185&lt;6,1,0)</f>
        <v>1</v>
      </c>
      <c r="X508" s="359">
        <f>IF(select!$A$1012=IF(Scharniere[[#This Row],[mit Dämpfung]]=1,1,IF(Scharniere[[#This Row],[ohne Dämpfung]]=1,2,IF(Scharniere[[#This Row],[ohne Feder]]=1,3,0))),1,0)</f>
        <v>0</v>
      </c>
      <c r="Y508" s="359">
        <f>IF(Scharniere[[#This Row],[Bohrbild]]=select!$A$989,1,0)</f>
        <v>0</v>
      </c>
      <c r="Z508" s="359">
        <f>IF(IF(Scharniere[[#This Row],[Anschrauben]]=1,1,IF(Scharniere[[#This Row],[Einpressen]]=1,2,IF(Scharniere[[#This Row],[Quick]]=1,3,IF(Scharniere[[#This Row],[Werkzeuglos]]=1,4,0))))=select!$A$1003,1,0)</f>
        <v>0</v>
      </c>
      <c r="AA5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8" s="359">
        <f ca="1">IF(select!$K$980="*",Scharniere[[#This Row],[AG Ges2]],Scharniere[[#This Row],[AG Ges1]])</f>
        <v>0</v>
      </c>
      <c r="AE508" s="451">
        <f ca="1">IF(AND(Scharniere[[#This Row],[Scharnierart]]=select!$A$1485,Scharniere[[#This Row],[Gruppenschlüssel]]=select!$B$1485)=TRUE,1,0)</f>
        <v>0</v>
      </c>
      <c r="AF508" s="451">
        <f ca="1">IF(AND(Scharniere[[#This Row],[Scharnierart]]=select!$A$1486,Scharniere[[#This Row],[Gruppenschlüssel]]=select!$B$1486)=TRUE,1,0)</f>
        <v>0</v>
      </c>
      <c r="AG508" s="451">
        <f ca="1">IF(AND(Scharniere[[#This Row],[Scharnierart]]=select!$A$1487,Scharniere[[#This Row],[Gruppenschlüssel]]=select!$B$1487)=TRUE,1,0)</f>
        <v>0</v>
      </c>
      <c r="AH508" s="451">
        <f ca="1">IF(AND(Scharniere[[#This Row],[Scharnierart]]=select!$A$1488,Scharniere[[#This Row],[Gruppenschlüssel]]=select!$B$1488)=TRUE,1,0)</f>
        <v>0</v>
      </c>
      <c r="AI508" s="451">
        <f ca="1">IF(SUM(Scharniere[[#This Row],[konf Scharnier 1]:[konf Scharnier 4]])&gt;0,1,0)</f>
        <v>0</v>
      </c>
      <c r="AJ508" s="451"/>
      <c r="AK508" s="451"/>
      <c r="AL508" s="451"/>
      <c r="AM508" s="451"/>
      <c r="AN508" s="451"/>
      <c r="AO508" s="146">
        <v>1</v>
      </c>
      <c r="AP508" s="146">
        <v>3</v>
      </c>
      <c r="AQ508" s="10" t="str">
        <f ca="1">Sprache!$A$114</f>
        <v>Tiomos Scharnier TT Click-on</v>
      </c>
      <c r="AR508" t="str">
        <f ca="1">"160°, H-BB, K00, "&amp;Sprache!A181&amp;", ni"</f>
        <v>160°, H-BB, K00, Dübel, ni</v>
      </c>
      <c r="AS508" t="str">
        <f ca="1">Sprache!$A$103</f>
        <v>Tiomos Click-On Scharniere</v>
      </c>
      <c r="AT508">
        <v>0</v>
      </c>
      <c r="AU508" s="34" t="s">
        <v>10</v>
      </c>
      <c r="AV508">
        <v>160</v>
      </c>
      <c r="AW508" s="10">
        <v>0</v>
      </c>
      <c r="AX508">
        <v>0</v>
      </c>
      <c r="AY508">
        <v>1</v>
      </c>
      <c r="AZ508" s="10">
        <v>0</v>
      </c>
      <c r="BA508">
        <v>1</v>
      </c>
      <c r="BB508">
        <v>0</v>
      </c>
      <c r="BC508">
        <v>0</v>
      </c>
      <c r="BD508" s="143" t="s">
        <v>683</v>
      </c>
      <c r="BG508"/>
    </row>
    <row r="509" spans="1:59" ht="14.25" customHeight="1" x14ac:dyDescent="0.25">
      <c r="A509" s="37" t="str">
        <f>LEFT(Scharniere[[#This Row],[ArtikelNR]],4)</f>
        <v>F045</v>
      </c>
      <c r="B509" s="35" t="str">
        <f>MID(Scharniere[[#This Row],[ArtikelNR]],5,3)</f>
        <v>138</v>
      </c>
      <c r="C509" s="37" t="str">
        <f>RIGHT(Scharniere[[#This Row],[ArtikelNR]],3)</f>
        <v>681</v>
      </c>
      <c r="D509" s="35">
        <f>IF(AND(Scharniere[[#This Row],[Gruppenschlüssel]]=select!$A$44,Scharniere[[#This Row],[Scharnierart]]=1)=TRUE,1,0)</f>
        <v>0</v>
      </c>
      <c r="E5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09" s="35">
        <f>IF(select!$F$57=IF(Scharniere[[#This Row],[mit Dämpfung]]=1,1,IF(Scharniere[[#This Row],[ohne Dämpfung]]=1,2,IF(Scharniere[[#This Row],[ohne Feder]]=1,3,0))),1,0)</f>
        <v>0</v>
      </c>
      <c r="G509" s="35">
        <f>IF(Scharniere[[#This Row],[Bohrbild]]=select!$V$43,1,0)</f>
        <v>0</v>
      </c>
      <c r="H509" s="35">
        <f>IF(IF(Scharniere[[#This Row],[Anschrauben]]=1,1,IF(Scharniere[[#This Row],[Einpressen]]=1,2,IF(Scharniere[[#This Row],[Quick]]=1,3,IF(Scharniere[[#This Row],[Werkzeuglos]]=1,4,0))))=select!$F$48,1,0)</f>
        <v>0</v>
      </c>
      <c r="I5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09" s="149">
        <f>IF(AND(Scharniere[[#This Row],[Scharnierart]]=2,Scharniere[[#This Row],[Gruppenschlüssel]]=select!$A$318)=TRUE,1,0)</f>
        <v>0</v>
      </c>
      <c r="K509" s="221">
        <f ca="1">IF(select!$O$424&lt;6,1,0)</f>
        <v>1</v>
      </c>
      <c r="L509" s="139">
        <f>IF(select!$A$362=IF(Scharniere[[#This Row],[mit Dämpfung]]=1,1,IF(Scharniere[[#This Row],[ohne Dämpfung]]=1,2,IF(Scharniere[[#This Row],[ohne Feder]]=1,3,0))),1,0)</f>
        <v>0</v>
      </c>
      <c r="M509" s="135">
        <f>IF(Scharniere[[#This Row],[Bohrbild]]=select!$O$334,1,0)</f>
        <v>0</v>
      </c>
      <c r="N509" s="135">
        <f>IF(IF(Scharniere[[#This Row],[Anschrauben]]=1,1,IF(Scharniere[[#This Row],[Einpressen]]=1,2,IF(Scharniere[[#This Row],[Quick]]=1,3,IF(Scharniere[[#This Row],[Werkzeuglos]]=1,4,0))))=select!$E$362,1,0)</f>
        <v>1</v>
      </c>
      <c r="O5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09" s="298">
        <f>IF(AND(Scharniere[[#This Row],[Scharnierart]]=3,Scharniere[[#This Row],[Gruppenschlüssel]]=select!$A$747)=TRUE,1,0)</f>
        <v>0</v>
      </c>
      <c r="Q509" s="298">
        <f ca="1">IF(select!$O$945&lt;6,1,0)</f>
        <v>1</v>
      </c>
      <c r="R509" s="298">
        <f>IF(select!$A$778=IF(Scharniere[[#This Row],[mit Dämpfung]]=1,1,IF(Scharniere[[#This Row],[ohne Dämpfung]]=1,2,IF(Scharniere[[#This Row],[ohne Feder]]=1,3,0))),1,0)</f>
        <v>1</v>
      </c>
      <c r="S509" s="298">
        <f>IF(Scharniere[[#This Row],[Bohrbild]]=select!$A$755,1,0)</f>
        <v>0</v>
      </c>
      <c r="T509" s="298">
        <f>IF(IF(Scharniere[[#This Row],[Anschrauben]]=1,1,IF(Scharniere[[#This Row],[Einpressen]]=1,2,IF(Scharniere[[#This Row],[Quick]]=1,3,IF(Scharniere[[#This Row],[Werkzeuglos]]=1,4,0))))=select!$A$769,1,0)</f>
        <v>1</v>
      </c>
      <c r="U5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09" s="359">
        <f>IF(AND(Scharniere[[#This Row],[Scharnierart]]=4,Scharniere[[#This Row],[Gruppenschlüssel]]=select!$A$981)=TRUE,1,0)</f>
        <v>0</v>
      </c>
      <c r="W509" s="359">
        <f ca="1">IF(select!$O$1185&lt;6,1,0)</f>
        <v>1</v>
      </c>
      <c r="X509" s="359">
        <f>IF(select!$A$1012=IF(Scharniere[[#This Row],[mit Dämpfung]]=1,1,IF(Scharniere[[#This Row],[ohne Dämpfung]]=1,2,IF(Scharniere[[#This Row],[ohne Feder]]=1,3,0))),1,0)</f>
        <v>1</v>
      </c>
      <c r="Y509" s="359">
        <f>IF(Scharniere[[#This Row],[Bohrbild]]=select!$A$989,1,0)</f>
        <v>0</v>
      </c>
      <c r="Z509" s="359">
        <f>IF(IF(Scharniere[[#This Row],[Anschrauben]]=1,1,IF(Scharniere[[#This Row],[Einpressen]]=1,2,IF(Scharniere[[#This Row],[Quick]]=1,3,IF(Scharniere[[#This Row],[Werkzeuglos]]=1,4,0))))=select!$A$1003,1,0)</f>
        <v>1</v>
      </c>
      <c r="AA5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09" s="359">
        <f ca="1">IF(select!$K$980="*",Scharniere[[#This Row],[AG Ges2]],Scharniere[[#This Row],[AG Ges1]])</f>
        <v>0</v>
      </c>
      <c r="AE509" s="451">
        <f ca="1">IF(AND(Scharniere[[#This Row],[Scharnierart]]=select!$A$1485,Scharniere[[#This Row],[Gruppenschlüssel]]=select!$B$1485)=TRUE,1,0)</f>
        <v>0</v>
      </c>
      <c r="AF509" s="451">
        <f ca="1">IF(AND(Scharniere[[#This Row],[Scharnierart]]=select!$A$1486,Scharniere[[#This Row],[Gruppenschlüssel]]=select!$B$1486)=TRUE,1,0)</f>
        <v>0</v>
      </c>
      <c r="AG509" s="451">
        <f ca="1">IF(AND(Scharniere[[#This Row],[Scharnierart]]=select!$A$1487,Scharniere[[#This Row],[Gruppenschlüssel]]=select!$B$1487)=TRUE,1,0)</f>
        <v>0</v>
      </c>
      <c r="AH509" s="451">
        <f ca="1">IF(AND(Scharniere[[#This Row],[Scharnierart]]=select!$A$1488,Scharniere[[#This Row],[Gruppenschlüssel]]=select!$B$1488)=TRUE,1,0)</f>
        <v>0</v>
      </c>
      <c r="AI509" s="451">
        <f ca="1">IF(SUM(Scharniere[[#This Row],[konf Scharnier 1]:[konf Scharnier 4]])&gt;0,1,0)</f>
        <v>0</v>
      </c>
      <c r="AJ509" s="451"/>
      <c r="AK509" s="451"/>
      <c r="AL509" s="451"/>
      <c r="AM509" s="451"/>
      <c r="AN509" s="451"/>
      <c r="AO509" s="146">
        <v>1</v>
      </c>
      <c r="AP509" s="146">
        <v>3</v>
      </c>
      <c r="AQ509" s="10" t="str">
        <f ca="1">Sprache!$A$110</f>
        <v>Tiomos Scharnier T Click-on</v>
      </c>
      <c r="AR509" t="s">
        <v>361</v>
      </c>
      <c r="AS509" t="str">
        <f ca="1">Sprache!$A$103</f>
        <v>Tiomos Click-On Scharniere</v>
      </c>
      <c r="AT509">
        <v>0</v>
      </c>
      <c r="AU509" s="34" t="s">
        <v>10</v>
      </c>
      <c r="AV509">
        <v>160</v>
      </c>
      <c r="AW509" s="10">
        <v>0</v>
      </c>
      <c r="AX509">
        <v>1</v>
      </c>
      <c r="AY509">
        <v>0</v>
      </c>
      <c r="AZ509" s="10">
        <v>1</v>
      </c>
      <c r="BA509">
        <v>0</v>
      </c>
      <c r="BB509">
        <v>0</v>
      </c>
      <c r="BC509">
        <v>0</v>
      </c>
      <c r="BD509" s="143" t="s">
        <v>528</v>
      </c>
      <c r="BG509"/>
    </row>
    <row r="510" spans="1:59" ht="14.25" customHeight="1" x14ac:dyDescent="0.25">
      <c r="A510" s="37" t="str">
        <f>LEFT(Scharniere[[#This Row],[ArtikelNR]],4)</f>
        <v>F028</v>
      </c>
      <c r="B510" s="35" t="str">
        <f>MID(Scharniere[[#This Row],[ArtikelNR]],5,3)</f>
        <v>138</v>
      </c>
      <c r="C510" s="37" t="str">
        <f>RIGHT(Scharniere[[#This Row],[ArtikelNR]],3)</f>
        <v>743</v>
      </c>
      <c r="D510" s="35">
        <f>IF(AND(Scharniere[[#This Row],[Gruppenschlüssel]]=select!$A$44,Scharniere[[#This Row],[Scharnierart]]=1)=TRUE,1,0)</f>
        <v>0</v>
      </c>
      <c r="E5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0" s="35">
        <f>IF(select!$F$57=IF(Scharniere[[#This Row],[mit Dämpfung]]=1,1,IF(Scharniere[[#This Row],[ohne Dämpfung]]=1,2,IF(Scharniere[[#This Row],[ohne Feder]]=1,3,0))),1,0)</f>
        <v>0</v>
      </c>
      <c r="G510" s="35">
        <f>IF(Scharniere[[#This Row],[Bohrbild]]=select!$V$43,1,0)</f>
        <v>0</v>
      </c>
      <c r="H510" s="35">
        <f>IF(IF(Scharniere[[#This Row],[Anschrauben]]=1,1,IF(Scharniere[[#This Row],[Einpressen]]=1,2,IF(Scharniere[[#This Row],[Quick]]=1,3,IF(Scharniere[[#This Row],[Werkzeuglos]]=1,4,0))))=select!$F$48,1,0)</f>
        <v>0</v>
      </c>
      <c r="I5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0" s="149">
        <f>IF(AND(Scharniere[[#This Row],[Scharnierart]]=2,Scharniere[[#This Row],[Gruppenschlüssel]]=select!$A$318)=TRUE,1,0)</f>
        <v>0</v>
      </c>
      <c r="K510" s="221">
        <f ca="1">IF(select!$O$424&lt;6,1,0)</f>
        <v>1</v>
      </c>
      <c r="L510" s="139">
        <f>IF(select!$A$362=IF(Scharniere[[#This Row],[mit Dämpfung]]=1,1,IF(Scharniere[[#This Row],[ohne Dämpfung]]=1,2,IF(Scharniere[[#This Row],[ohne Feder]]=1,3,0))),1,0)</f>
        <v>1</v>
      </c>
      <c r="M510" s="135">
        <f>IF(Scharniere[[#This Row],[Bohrbild]]=select!$O$334,1,0)</f>
        <v>0</v>
      </c>
      <c r="N510" s="135">
        <f>IF(IF(Scharniere[[#This Row],[Anschrauben]]=1,1,IF(Scharniere[[#This Row],[Einpressen]]=1,2,IF(Scharniere[[#This Row],[Quick]]=1,3,IF(Scharniere[[#This Row],[Werkzeuglos]]=1,4,0))))=select!$E$362,1,0)</f>
        <v>1</v>
      </c>
      <c r="O5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0" s="298">
        <f>IF(AND(Scharniere[[#This Row],[Scharnierart]]=3,Scharniere[[#This Row],[Gruppenschlüssel]]=select!$A$747)=TRUE,1,0)</f>
        <v>0</v>
      </c>
      <c r="Q510" s="298">
        <f ca="1">IF(select!$O$945&lt;6,1,0)</f>
        <v>1</v>
      </c>
      <c r="R510" s="298">
        <f>IF(select!$A$778=IF(Scharniere[[#This Row],[mit Dämpfung]]=1,1,IF(Scharniere[[#This Row],[ohne Dämpfung]]=1,2,IF(Scharniere[[#This Row],[ohne Feder]]=1,3,0))),1,0)</f>
        <v>0</v>
      </c>
      <c r="S510" s="298">
        <f>IF(Scharniere[[#This Row],[Bohrbild]]=select!$A$755,1,0)</f>
        <v>0</v>
      </c>
      <c r="T510" s="298">
        <f>IF(IF(Scharniere[[#This Row],[Anschrauben]]=1,1,IF(Scharniere[[#This Row],[Einpressen]]=1,2,IF(Scharniere[[#This Row],[Quick]]=1,3,IF(Scharniere[[#This Row],[Werkzeuglos]]=1,4,0))))=select!$A$769,1,0)</f>
        <v>1</v>
      </c>
      <c r="U5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0" s="359">
        <f>IF(AND(Scharniere[[#This Row],[Scharnierart]]=4,Scharniere[[#This Row],[Gruppenschlüssel]]=select!$A$981)=TRUE,1,0)</f>
        <v>0</v>
      </c>
      <c r="W510" s="359">
        <f ca="1">IF(select!$O$1185&lt;6,1,0)</f>
        <v>1</v>
      </c>
      <c r="X510" s="359">
        <f>IF(select!$A$1012=IF(Scharniere[[#This Row],[mit Dämpfung]]=1,1,IF(Scharniere[[#This Row],[ohne Dämpfung]]=1,2,IF(Scharniere[[#This Row],[ohne Feder]]=1,3,0))),1,0)</f>
        <v>0</v>
      </c>
      <c r="Y510" s="359">
        <f>IF(Scharniere[[#This Row],[Bohrbild]]=select!$A$989,1,0)</f>
        <v>0</v>
      </c>
      <c r="Z510" s="359">
        <f>IF(IF(Scharniere[[#This Row],[Anschrauben]]=1,1,IF(Scharniere[[#This Row],[Einpressen]]=1,2,IF(Scharniere[[#This Row],[Quick]]=1,3,IF(Scharniere[[#This Row],[Werkzeuglos]]=1,4,0))))=select!$A$1003,1,0)</f>
        <v>1</v>
      </c>
      <c r="AA5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0" s="359">
        <f ca="1">IF(select!$K$980="*",Scharniere[[#This Row],[AG Ges2]],Scharniere[[#This Row],[AG Ges1]])</f>
        <v>0</v>
      </c>
      <c r="AE510" s="451">
        <f ca="1">IF(AND(Scharniere[[#This Row],[Scharnierart]]=select!$A$1485,Scharniere[[#This Row],[Gruppenschlüssel]]=select!$B$1485)=TRUE,1,0)</f>
        <v>0</v>
      </c>
      <c r="AF510" s="451">
        <f ca="1">IF(AND(Scharniere[[#This Row],[Scharnierart]]=select!$A$1486,Scharniere[[#This Row],[Gruppenschlüssel]]=select!$B$1486)=TRUE,1,0)</f>
        <v>0</v>
      </c>
      <c r="AG510" s="451">
        <f ca="1">IF(AND(Scharniere[[#This Row],[Scharnierart]]=select!$A$1487,Scharniere[[#This Row],[Gruppenschlüssel]]=select!$B$1487)=TRUE,1,0)</f>
        <v>0</v>
      </c>
      <c r="AH510" s="451">
        <f ca="1">IF(AND(Scharniere[[#This Row],[Scharnierart]]=select!$A$1488,Scharniere[[#This Row],[Gruppenschlüssel]]=select!$B$1488)=TRUE,1,0)</f>
        <v>0</v>
      </c>
      <c r="AI510" s="451">
        <f ca="1">IF(SUM(Scharniere[[#This Row],[konf Scharnier 1]:[konf Scharnier 4]])&gt;0,1,0)</f>
        <v>0</v>
      </c>
      <c r="AJ510" s="451"/>
      <c r="AK510" s="451"/>
      <c r="AL510" s="451"/>
      <c r="AM510" s="451"/>
      <c r="AN510" s="451"/>
      <c r="AO510" s="146">
        <v>1</v>
      </c>
      <c r="AP510" s="146">
        <v>3</v>
      </c>
      <c r="AQ510" s="10" t="str">
        <f ca="1">Sprache!$A$112</f>
        <v>Tiomos Scharnier TS Click-on</v>
      </c>
      <c r="AR510" t="s">
        <v>361</v>
      </c>
      <c r="AS510" t="str">
        <f ca="1">Sprache!$A$103</f>
        <v>Tiomos Click-On Scharniere</v>
      </c>
      <c r="AT510">
        <v>0</v>
      </c>
      <c r="AU510" s="34" t="s">
        <v>10</v>
      </c>
      <c r="AV510">
        <v>160</v>
      </c>
      <c r="AW510" s="10">
        <v>1</v>
      </c>
      <c r="AX510">
        <v>0</v>
      </c>
      <c r="AY510">
        <v>0</v>
      </c>
      <c r="AZ510" s="10">
        <v>1</v>
      </c>
      <c r="BA510">
        <v>0</v>
      </c>
      <c r="BB510">
        <v>0</v>
      </c>
      <c r="BC510">
        <v>0</v>
      </c>
      <c r="BD510" s="143" t="s">
        <v>360</v>
      </c>
      <c r="BG510"/>
    </row>
    <row r="511" spans="1:59" ht="14.25" customHeight="1" x14ac:dyDescent="0.25">
      <c r="A511" s="37" t="str">
        <f>LEFT(Scharniere[[#This Row],[ArtikelNR]],4)</f>
        <v>F046</v>
      </c>
      <c r="B511" s="35" t="str">
        <f>MID(Scharniere[[#This Row],[ArtikelNR]],5,3)</f>
        <v>138</v>
      </c>
      <c r="C511" s="37" t="str">
        <f>RIGHT(Scharniere[[#This Row],[ArtikelNR]],3)</f>
        <v>803</v>
      </c>
      <c r="D511" s="35">
        <f>IF(AND(Scharniere[[#This Row],[Gruppenschlüssel]]=select!$A$44,Scharniere[[#This Row],[Scharnierart]]=1)=TRUE,1,0)</f>
        <v>0</v>
      </c>
      <c r="E5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1" s="35">
        <f>IF(select!$F$57=IF(Scharniere[[#This Row],[mit Dämpfung]]=1,1,IF(Scharniere[[#This Row],[ohne Dämpfung]]=1,2,IF(Scharniere[[#This Row],[ohne Feder]]=1,3,0))),1,0)</f>
        <v>1</v>
      </c>
      <c r="G511" s="35">
        <f>IF(Scharniere[[#This Row],[Bohrbild]]=select!$V$43,1,0)</f>
        <v>0</v>
      </c>
      <c r="H511" s="35">
        <f>IF(IF(Scharniere[[#This Row],[Anschrauben]]=1,1,IF(Scharniere[[#This Row],[Einpressen]]=1,2,IF(Scharniere[[#This Row],[Quick]]=1,3,IF(Scharniere[[#This Row],[Werkzeuglos]]=1,4,0))))=select!$F$48,1,0)</f>
        <v>0</v>
      </c>
      <c r="I5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1" s="149">
        <f>IF(AND(Scharniere[[#This Row],[Scharnierart]]=2,Scharniere[[#This Row],[Gruppenschlüssel]]=select!$A$318)=TRUE,1,0)</f>
        <v>0</v>
      </c>
      <c r="K511" s="221">
        <f ca="1">IF(select!$O$424&lt;6,1,0)</f>
        <v>1</v>
      </c>
      <c r="L511" s="139">
        <f>IF(select!$A$362=IF(Scharniere[[#This Row],[mit Dämpfung]]=1,1,IF(Scharniere[[#This Row],[ohne Dämpfung]]=1,2,IF(Scharniere[[#This Row],[ohne Feder]]=1,3,0))),1,0)</f>
        <v>0</v>
      </c>
      <c r="M511" s="135">
        <f>IF(Scharniere[[#This Row],[Bohrbild]]=select!$O$334,1,0)</f>
        <v>0</v>
      </c>
      <c r="N511" s="135">
        <f>IF(IF(Scharniere[[#This Row],[Anschrauben]]=1,1,IF(Scharniere[[#This Row],[Einpressen]]=1,2,IF(Scharniere[[#This Row],[Quick]]=1,3,IF(Scharniere[[#This Row],[Werkzeuglos]]=1,4,0))))=select!$E$362,1,0)</f>
        <v>1</v>
      </c>
      <c r="O5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1" s="298">
        <f>IF(AND(Scharniere[[#This Row],[Scharnierart]]=3,Scharniere[[#This Row],[Gruppenschlüssel]]=select!$A$747)=TRUE,1,0)</f>
        <v>0</v>
      </c>
      <c r="Q511" s="298">
        <f ca="1">IF(select!$O$945&lt;6,1,0)</f>
        <v>1</v>
      </c>
      <c r="R511" s="298">
        <f>IF(select!$A$778=IF(Scharniere[[#This Row],[mit Dämpfung]]=1,1,IF(Scharniere[[#This Row],[ohne Dämpfung]]=1,2,IF(Scharniere[[#This Row],[ohne Feder]]=1,3,0))),1,0)</f>
        <v>0</v>
      </c>
      <c r="S511" s="298">
        <f>IF(Scharniere[[#This Row],[Bohrbild]]=select!$A$755,1,0)</f>
        <v>0</v>
      </c>
      <c r="T511" s="298">
        <f>IF(IF(Scharniere[[#This Row],[Anschrauben]]=1,1,IF(Scharniere[[#This Row],[Einpressen]]=1,2,IF(Scharniere[[#This Row],[Quick]]=1,3,IF(Scharniere[[#This Row],[Werkzeuglos]]=1,4,0))))=select!$A$769,1,0)</f>
        <v>1</v>
      </c>
      <c r="U5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1" s="359">
        <f>IF(AND(Scharniere[[#This Row],[Scharnierart]]=4,Scharniere[[#This Row],[Gruppenschlüssel]]=select!$A$981)=TRUE,1,0)</f>
        <v>0</v>
      </c>
      <c r="W511" s="359">
        <f ca="1">IF(select!$O$1185&lt;6,1,0)</f>
        <v>1</v>
      </c>
      <c r="X511" s="359">
        <f>IF(select!$A$1012=IF(Scharniere[[#This Row],[mit Dämpfung]]=1,1,IF(Scharniere[[#This Row],[ohne Dämpfung]]=1,2,IF(Scharniere[[#This Row],[ohne Feder]]=1,3,0))),1,0)</f>
        <v>0</v>
      </c>
      <c r="Y511" s="359">
        <f>IF(Scharniere[[#This Row],[Bohrbild]]=select!$A$989,1,0)</f>
        <v>0</v>
      </c>
      <c r="Z511" s="359">
        <f>IF(IF(Scharniere[[#This Row],[Anschrauben]]=1,1,IF(Scharniere[[#This Row],[Einpressen]]=1,2,IF(Scharniere[[#This Row],[Quick]]=1,3,IF(Scharniere[[#This Row],[Werkzeuglos]]=1,4,0))))=select!$A$1003,1,0)</f>
        <v>1</v>
      </c>
      <c r="AA5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1" s="359">
        <f ca="1">IF(select!$K$980="*",Scharniere[[#This Row],[AG Ges2]],Scharniere[[#This Row],[AG Ges1]])</f>
        <v>0</v>
      </c>
      <c r="AE511" s="451">
        <f ca="1">IF(AND(Scharniere[[#This Row],[Scharnierart]]=select!$A$1485,Scharniere[[#This Row],[Gruppenschlüssel]]=select!$B$1485)=TRUE,1,0)</f>
        <v>0</v>
      </c>
      <c r="AF511" s="451">
        <f ca="1">IF(AND(Scharniere[[#This Row],[Scharnierart]]=select!$A$1486,Scharniere[[#This Row],[Gruppenschlüssel]]=select!$B$1486)=TRUE,1,0)</f>
        <v>0</v>
      </c>
      <c r="AG511" s="451">
        <f ca="1">IF(AND(Scharniere[[#This Row],[Scharnierart]]=select!$A$1487,Scharniere[[#This Row],[Gruppenschlüssel]]=select!$B$1487)=TRUE,1,0)</f>
        <v>0</v>
      </c>
      <c r="AH511" s="451">
        <f ca="1">IF(AND(Scharniere[[#This Row],[Scharnierart]]=select!$A$1488,Scharniere[[#This Row],[Gruppenschlüssel]]=select!$B$1488)=TRUE,1,0)</f>
        <v>0</v>
      </c>
      <c r="AI511" s="451">
        <f ca="1">IF(SUM(Scharniere[[#This Row],[konf Scharnier 1]:[konf Scharnier 4]])&gt;0,1,0)</f>
        <v>0</v>
      </c>
      <c r="AJ511" s="451"/>
      <c r="AK511" s="451"/>
      <c r="AL511" s="451"/>
      <c r="AM511" s="451"/>
      <c r="AN511" s="451"/>
      <c r="AO511" s="146">
        <v>1</v>
      </c>
      <c r="AP511" s="146">
        <v>3</v>
      </c>
      <c r="AQ511" s="10" t="str">
        <f ca="1">Sprache!$A$114</f>
        <v>Tiomos Scharnier TT Click-on</v>
      </c>
      <c r="AR511" t="s">
        <v>361</v>
      </c>
      <c r="AS511" t="str">
        <f ca="1">Sprache!$A$103</f>
        <v>Tiomos Click-On Scharniere</v>
      </c>
      <c r="AT511">
        <v>0</v>
      </c>
      <c r="AU511" s="34" t="s">
        <v>10</v>
      </c>
      <c r="AV511">
        <v>160</v>
      </c>
      <c r="AW511" s="10">
        <v>0</v>
      </c>
      <c r="AX511">
        <v>0</v>
      </c>
      <c r="AY511">
        <v>1</v>
      </c>
      <c r="AZ511" s="10">
        <v>1</v>
      </c>
      <c r="BA511">
        <v>0</v>
      </c>
      <c r="BB511">
        <v>0</v>
      </c>
      <c r="BC511">
        <v>0</v>
      </c>
      <c r="BD511" s="143" t="s">
        <v>680</v>
      </c>
      <c r="BG511"/>
    </row>
    <row r="512" spans="1:59" ht="14.25" customHeight="1" x14ac:dyDescent="0.25">
      <c r="A512" s="37" t="str">
        <f>LEFT(Scharniere[[#This Row],[ArtikelNR]],4)</f>
        <v>F034</v>
      </c>
      <c r="B512" s="35" t="str">
        <f>MID(Scharniere[[#This Row],[ArtikelNR]],5,3)</f>
        <v>139</v>
      </c>
      <c r="C512" s="37" t="str">
        <f>RIGHT(Scharniere[[#This Row],[ArtikelNR]],3)</f>
        <v>491</v>
      </c>
      <c r="D512" s="35">
        <f>IF(AND(Scharniere[[#This Row],[Gruppenschlüssel]]=select!$A$44,Scharniere[[#This Row],[Scharnierart]]=1)=TRUE,1,0)</f>
        <v>0</v>
      </c>
      <c r="E5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2" s="35">
        <f>IF(select!$F$57=IF(Scharniere[[#This Row],[mit Dämpfung]]=1,1,IF(Scharniere[[#This Row],[ohne Dämpfung]]=1,2,IF(Scharniere[[#This Row],[ohne Feder]]=1,3,0))),1,0)</f>
        <v>0</v>
      </c>
      <c r="G512" s="35">
        <f>IF(Scharniere[[#This Row],[Bohrbild]]=select!$V$43,1,0)</f>
        <v>0</v>
      </c>
      <c r="H512" s="35">
        <f>IF(IF(Scharniere[[#This Row],[Anschrauben]]=1,1,IF(Scharniere[[#This Row],[Einpressen]]=1,2,IF(Scharniere[[#This Row],[Quick]]=1,3,IF(Scharniere[[#This Row],[Werkzeuglos]]=1,4,0))))=select!$F$48,1,0)</f>
        <v>0</v>
      </c>
      <c r="I5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2" s="149">
        <f>IF(AND(Scharniere[[#This Row],[Scharnierart]]=2,Scharniere[[#This Row],[Gruppenschlüssel]]=select!$A$318)=TRUE,1,0)</f>
        <v>0</v>
      </c>
      <c r="K512" s="221">
        <f ca="1">IF(select!$O$424&lt;6,1,0)</f>
        <v>1</v>
      </c>
      <c r="L512" s="139">
        <f>IF(select!$A$362=IF(Scharniere[[#This Row],[mit Dämpfung]]=1,1,IF(Scharniere[[#This Row],[ohne Dämpfung]]=1,2,IF(Scharniere[[#This Row],[ohne Feder]]=1,3,0))),1,0)</f>
        <v>0</v>
      </c>
      <c r="M512" s="135">
        <f>IF(Scharniere[[#This Row],[Bohrbild]]=select!$O$334,1,0)</f>
        <v>0</v>
      </c>
      <c r="N512" s="135">
        <f>IF(IF(Scharniere[[#This Row],[Anschrauben]]=1,1,IF(Scharniere[[#This Row],[Einpressen]]=1,2,IF(Scharniere[[#This Row],[Quick]]=1,3,IF(Scharniere[[#This Row],[Werkzeuglos]]=1,4,0))))=select!$E$362,1,0)</f>
        <v>0</v>
      </c>
      <c r="O5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2" s="298">
        <f>IF(AND(Scharniere[[#This Row],[Scharnierart]]=3,Scharniere[[#This Row],[Gruppenschlüssel]]=select!$A$747)=TRUE,1,0)</f>
        <v>0</v>
      </c>
      <c r="Q512" s="298">
        <f ca="1">IF(select!$O$945&lt;6,1,0)</f>
        <v>1</v>
      </c>
      <c r="R512" s="298">
        <f>IF(select!$A$778=IF(Scharniere[[#This Row],[mit Dämpfung]]=1,1,IF(Scharniere[[#This Row],[ohne Dämpfung]]=1,2,IF(Scharniere[[#This Row],[ohne Feder]]=1,3,0))),1,0)</f>
        <v>1</v>
      </c>
      <c r="S512" s="298">
        <f>IF(Scharniere[[#This Row],[Bohrbild]]=select!$A$755,1,0)</f>
        <v>0</v>
      </c>
      <c r="T512" s="298">
        <f>IF(IF(Scharniere[[#This Row],[Anschrauben]]=1,1,IF(Scharniere[[#This Row],[Einpressen]]=1,2,IF(Scharniere[[#This Row],[Quick]]=1,3,IF(Scharniere[[#This Row],[Werkzeuglos]]=1,4,0))))=select!$A$769,1,0)</f>
        <v>0</v>
      </c>
      <c r="U5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2" s="359">
        <f>IF(AND(Scharniere[[#This Row],[Scharnierart]]=4,Scharniere[[#This Row],[Gruppenschlüssel]]=select!$A$981)=TRUE,1,0)</f>
        <v>0</v>
      </c>
      <c r="W512" s="359">
        <f ca="1">IF(select!$O$1185&lt;6,1,0)</f>
        <v>1</v>
      </c>
      <c r="X512" s="359">
        <f>IF(select!$A$1012=IF(Scharniere[[#This Row],[mit Dämpfung]]=1,1,IF(Scharniere[[#This Row],[ohne Dämpfung]]=1,2,IF(Scharniere[[#This Row],[ohne Feder]]=1,3,0))),1,0)</f>
        <v>1</v>
      </c>
      <c r="Y512" s="359">
        <f>IF(Scharniere[[#This Row],[Bohrbild]]=select!$A$989,1,0)</f>
        <v>0</v>
      </c>
      <c r="Z512" s="359">
        <f>IF(IF(Scharniere[[#This Row],[Anschrauben]]=1,1,IF(Scharniere[[#This Row],[Einpressen]]=1,2,IF(Scharniere[[#This Row],[Quick]]=1,3,IF(Scharniere[[#This Row],[Werkzeuglos]]=1,4,0))))=select!$A$1003,1,0)</f>
        <v>0</v>
      </c>
      <c r="AA5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2" s="359">
        <f ca="1">IF(select!$K$980="*",Scharniere[[#This Row],[AG Ges2]],Scharniere[[#This Row],[AG Ges1]])</f>
        <v>0</v>
      </c>
      <c r="AE512" s="451">
        <f ca="1">IF(AND(Scharniere[[#This Row],[Scharnierart]]=select!$A$1485,Scharniere[[#This Row],[Gruppenschlüssel]]=select!$B$1485)=TRUE,1,0)</f>
        <v>0</v>
      </c>
      <c r="AF512" s="451">
        <f ca="1">IF(AND(Scharniere[[#This Row],[Scharnierart]]=select!$A$1486,Scharniere[[#This Row],[Gruppenschlüssel]]=select!$B$1486)=TRUE,1,0)</f>
        <v>0</v>
      </c>
      <c r="AG512" s="451">
        <f ca="1">IF(AND(Scharniere[[#This Row],[Scharnierart]]=select!$A$1487,Scharniere[[#This Row],[Gruppenschlüssel]]=select!$B$1487)=TRUE,1,0)</f>
        <v>0</v>
      </c>
      <c r="AH512" s="451">
        <f ca="1">IF(AND(Scharniere[[#This Row],[Scharnierart]]=select!$A$1488,Scharniere[[#This Row],[Gruppenschlüssel]]=select!$B$1488)=TRUE,1,0)</f>
        <v>0</v>
      </c>
      <c r="AI512" s="451">
        <f ca="1">IF(SUM(Scharniere[[#This Row],[konf Scharnier 1]:[konf Scharnier 4]])&gt;0,1,0)</f>
        <v>0</v>
      </c>
      <c r="AJ512" s="451"/>
      <c r="AK512" s="451"/>
      <c r="AL512" s="451"/>
      <c r="AM512" s="451"/>
      <c r="AN512" s="451"/>
      <c r="AO512" s="146">
        <v>1</v>
      </c>
      <c r="AP512" s="146">
        <v>3</v>
      </c>
      <c r="AQ512" s="10" t="str">
        <f ca="1">Sprache!$A$111</f>
        <v>Tiomos Scharnier T Impresso</v>
      </c>
      <c r="AR512" t="s">
        <v>122</v>
      </c>
      <c r="AS512" t="str">
        <f ca="1">Sprache!$A$116</f>
        <v>Tiomos Impresso Scharniere</v>
      </c>
      <c r="AT512">
        <v>0</v>
      </c>
      <c r="AU512" s="34" t="s">
        <v>10</v>
      </c>
      <c r="AV512">
        <v>160</v>
      </c>
      <c r="AW512" s="10">
        <v>0</v>
      </c>
      <c r="AX512">
        <v>1</v>
      </c>
      <c r="AY512">
        <v>0</v>
      </c>
      <c r="AZ512" s="10">
        <v>0</v>
      </c>
      <c r="BA512">
        <v>0</v>
      </c>
      <c r="BB512">
        <v>0</v>
      </c>
      <c r="BC512">
        <v>1</v>
      </c>
      <c r="BD512" s="143" t="s">
        <v>172</v>
      </c>
      <c r="BG512"/>
    </row>
    <row r="513" spans="1:59" ht="14.25" customHeight="1" x14ac:dyDescent="0.25">
      <c r="A513" s="37" t="str">
        <f>LEFT(Scharniere[[#This Row],[ArtikelNR]],4)</f>
        <v>F034</v>
      </c>
      <c r="B513" s="35" t="str">
        <f>MID(Scharniere[[#This Row],[ArtikelNR]],5,3)</f>
        <v>139</v>
      </c>
      <c r="C513" s="37" t="str">
        <f>RIGHT(Scharniere[[#This Row],[ArtikelNR]],3)</f>
        <v>491</v>
      </c>
      <c r="D513" s="35">
        <f>IF(AND(Scharniere[[#This Row],[Gruppenschlüssel]]=select!$A$44,Scharniere[[#This Row],[Scharnierart]]=1)=TRUE,1,0)</f>
        <v>0</v>
      </c>
      <c r="E5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3" s="35">
        <f>IF(select!$F$57=IF(Scharniere[[#This Row],[mit Dämpfung]]=1,1,IF(Scharniere[[#This Row],[ohne Dämpfung]]=1,2,IF(Scharniere[[#This Row],[ohne Feder]]=1,3,0))),1,0)</f>
        <v>0</v>
      </c>
      <c r="G513" s="35">
        <f>IF(Scharniere[[#This Row],[Bohrbild]]=select!$V$43,1,0)</f>
        <v>0</v>
      </c>
      <c r="H513" s="35">
        <f>IF(IF(Scharniere[[#This Row],[Anschrauben]]=1,1,IF(Scharniere[[#This Row],[Einpressen]]=1,2,IF(Scharniere[[#This Row],[Quick]]=1,3,IF(Scharniere[[#This Row],[Werkzeuglos]]=1,4,0))))=select!$F$48,1,0)</f>
        <v>0</v>
      </c>
      <c r="I5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3" s="149">
        <f>IF(AND(Scharniere[[#This Row],[Scharnierart]]=2,Scharniere[[#This Row],[Gruppenschlüssel]]=select!$A$318)=TRUE,1,0)</f>
        <v>0</v>
      </c>
      <c r="K513" s="221">
        <f ca="1">IF(select!$O$424&lt;6,1,0)</f>
        <v>1</v>
      </c>
      <c r="L513" s="139">
        <f>IF(select!$A$362=IF(Scharniere[[#This Row],[mit Dämpfung]]=1,1,IF(Scharniere[[#This Row],[ohne Dämpfung]]=1,2,IF(Scharniere[[#This Row],[ohne Feder]]=1,3,0))),1,0)</f>
        <v>0</v>
      </c>
      <c r="M513" s="135">
        <f>IF(Scharniere[[#This Row],[Bohrbild]]=select!$O$334,1,0)</f>
        <v>0</v>
      </c>
      <c r="N513" s="135">
        <f>IF(IF(Scharniere[[#This Row],[Anschrauben]]=1,1,IF(Scharniere[[#This Row],[Einpressen]]=1,2,IF(Scharniere[[#This Row],[Quick]]=1,3,IF(Scharniere[[#This Row],[Werkzeuglos]]=1,4,0))))=select!$E$362,1,0)</f>
        <v>0</v>
      </c>
      <c r="O5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3" s="298">
        <f>IF(AND(Scharniere[[#This Row],[Scharnierart]]=3,Scharniere[[#This Row],[Gruppenschlüssel]]=select!$A$747)=TRUE,1,0)</f>
        <v>0</v>
      </c>
      <c r="Q513" s="298">
        <f ca="1">IF(select!$O$945&lt;6,1,0)</f>
        <v>1</v>
      </c>
      <c r="R513" s="298">
        <f>IF(select!$A$778=IF(Scharniere[[#This Row],[mit Dämpfung]]=1,1,IF(Scharniere[[#This Row],[ohne Dämpfung]]=1,2,IF(Scharniere[[#This Row],[ohne Feder]]=1,3,0))),1,0)</f>
        <v>1</v>
      </c>
      <c r="S513" s="298">
        <f>IF(Scharniere[[#This Row],[Bohrbild]]=select!$A$755,1,0)</f>
        <v>0</v>
      </c>
      <c r="T513" s="298">
        <f>IF(IF(Scharniere[[#This Row],[Anschrauben]]=1,1,IF(Scharniere[[#This Row],[Einpressen]]=1,2,IF(Scharniere[[#This Row],[Quick]]=1,3,IF(Scharniere[[#This Row],[Werkzeuglos]]=1,4,0))))=select!$A$769,1,0)</f>
        <v>0</v>
      </c>
      <c r="U5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3" s="359">
        <f>IF(AND(Scharniere[[#This Row],[Scharnierart]]=4,Scharniere[[#This Row],[Gruppenschlüssel]]=select!$A$981)=TRUE,1,0)</f>
        <v>0</v>
      </c>
      <c r="W513" s="359">
        <f ca="1">IF(select!$O$1185&lt;6,1,0)</f>
        <v>1</v>
      </c>
      <c r="X513" s="359">
        <f>IF(select!$A$1012=IF(Scharniere[[#This Row],[mit Dämpfung]]=1,1,IF(Scharniere[[#This Row],[ohne Dämpfung]]=1,2,IF(Scharniere[[#This Row],[ohne Feder]]=1,3,0))),1,0)</f>
        <v>1</v>
      </c>
      <c r="Y513" s="359">
        <f>IF(Scharniere[[#This Row],[Bohrbild]]=select!$A$989,1,0)</f>
        <v>0</v>
      </c>
      <c r="Z513" s="359">
        <f>IF(IF(Scharniere[[#This Row],[Anschrauben]]=1,1,IF(Scharniere[[#This Row],[Einpressen]]=1,2,IF(Scharniere[[#This Row],[Quick]]=1,3,IF(Scharniere[[#This Row],[Werkzeuglos]]=1,4,0))))=select!$A$1003,1,0)</f>
        <v>0</v>
      </c>
      <c r="AA5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3" s="359">
        <f ca="1">IF(select!$K$980="*",Scharniere[[#This Row],[AG Ges2]],Scharniere[[#This Row],[AG Ges1]])</f>
        <v>0</v>
      </c>
      <c r="AE513" s="451">
        <f ca="1">IF(AND(Scharniere[[#This Row],[Scharnierart]]=select!$A$1485,Scharniere[[#This Row],[Gruppenschlüssel]]=select!$B$1485)=TRUE,1,0)</f>
        <v>0</v>
      </c>
      <c r="AF513" s="451">
        <f ca="1">IF(AND(Scharniere[[#This Row],[Scharnierart]]=select!$A$1486,Scharniere[[#This Row],[Gruppenschlüssel]]=select!$B$1486)=TRUE,1,0)</f>
        <v>0</v>
      </c>
      <c r="AG513" s="451">
        <f ca="1">IF(AND(Scharniere[[#This Row],[Scharnierart]]=select!$A$1487,Scharniere[[#This Row],[Gruppenschlüssel]]=select!$B$1487)=TRUE,1,0)</f>
        <v>0</v>
      </c>
      <c r="AH513" s="451">
        <f ca="1">IF(AND(Scharniere[[#This Row],[Scharnierart]]=select!$A$1488,Scharniere[[#This Row],[Gruppenschlüssel]]=select!$B$1488)=TRUE,1,0)</f>
        <v>0</v>
      </c>
      <c r="AI513" s="451">
        <f ca="1">IF(SUM(Scharniere[[#This Row],[konf Scharnier 1]:[konf Scharnier 4]])&gt;0,1,0)</f>
        <v>0</v>
      </c>
      <c r="AJ513" s="451"/>
      <c r="AK513" s="451"/>
      <c r="AL513" s="451"/>
      <c r="AM513" s="451"/>
      <c r="AN513" s="451"/>
      <c r="AO513" s="146">
        <v>1</v>
      </c>
      <c r="AP513" s="146">
        <v>3</v>
      </c>
      <c r="AQ513" s="10" t="str">
        <f ca="1">Sprache!$A$111</f>
        <v>Tiomos Scharnier T Impresso</v>
      </c>
      <c r="AR513" t="s">
        <v>122</v>
      </c>
      <c r="AS513" t="str">
        <f ca="1">Sprache!$A$116</f>
        <v>Tiomos Impresso Scharniere</v>
      </c>
      <c r="AT513">
        <v>0</v>
      </c>
      <c r="AU513" s="34" t="s">
        <v>11</v>
      </c>
      <c r="AV513">
        <v>160</v>
      </c>
      <c r="AW513" s="10">
        <v>0</v>
      </c>
      <c r="AX513">
        <v>1</v>
      </c>
      <c r="AY513">
        <v>0</v>
      </c>
      <c r="AZ513" s="10">
        <v>0</v>
      </c>
      <c r="BA513">
        <v>0</v>
      </c>
      <c r="BB513">
        <v>0</v>
      </c>
      <c r="BC513">
        <v>1</v>
      </c>
      <c r="BD513" s="143" t="s">
        <v>172</v>
      </c>
      <c r="BG513"/>
    </row>
    <row r="514" spans="1:59" ht="14.25" customHeight="1" x14ac:dyDescent="0.25">
      <c r="A514" s="37" t="str">
        <f>LEFT(Scharniere[[#This Row],[ArtikelNR]],4)</f>
        <v>F017</v>
      </c>
      <c r="B514" s="35" t="str">
        <f>MID(Scharniere[[#This Row],[ArtikelNR]],5,3)</f>
        <v>139</v>
      </c>
      <c r="C514" s="37" t="str">
        <f>RIGHT(Scharniere[[#This Row],[ArtikelNR]],3)</f>
        <v>520</v>
      </c>
      <c r="D514" s="35">
        <f>IF(AND(Scharniere[[#This Row],[Gruppenschlüssel]]=select!$A$44,Scharniere[[#This Row],[Scharnierart]]=1)=TRUE,1,0)</f>
        <v>0</v>
      </c>
      <c r="E5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4" s="35">
        <f>IF(select!$F$57=IF(Scharniere[[#This Row],[mit Dämpfung]]=1,1,IF(Scharniere[[#This Row],[ohne Dämpfung]]=1,2,IF(Scharniere[[#This Row],[ohne Feder]]=1,3,0))),1,0)</f>
        <v>0</v>
      </c>
      <c r="G514" s="35">
        <f>IF(Scharniere[[#This Row],[Bohrbild]]=select!$V$43,1,0)</f>
        <v>0</v>
      </c>
      <c r="H514" s="35">
        <f>IF(IF(Scharniere[[#This Row],[Anschrauben]]=1,1,IF(Scharniere[[#This Row],[Einpressen]]=1,2,IF(Scharniere[[#This Row],[Quick]]=1,3,IF(Scharniere[[#This Row],[Werkzeuglos]]=1,4,0))))=select!$F$48,1,0)</f>
        <v>0</v>
      </c>
      <c r="I5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4" s="149">
        <f>IF(AND(Scharniere[[#This Row],[Scharnierart]]=2,Scharniere[[#This Row],[Gruppenschlüssel]]=select!$A$318)=TRUE,1,0)</f>
        <v>0</v>
      </c>
      <c r="K514" s="221">
        <f ca="1">IF(select!$O$424&lt;6,1,0)</f>
        <v>1</v>
      </c>
      <c r="L514" s="139">
        <f>IF(select!$A$362=IF(Scharniere[[#This Row],[mit Dämpfung]]=1,1,IF(Scharniere[[#This Row],[ohne Dämpfung]]=1,2,IF(Scharniere[[#This Row],[ohne Feder]]=1,3,0))),1,0)</f>
        <v>1</v>
      </c>
      <c r="M514" s="135">
        <f>IF(Scharniere[[#This Row],[Bohrbild]]=select!$O$334,1,0)</f>
        <v>0</v>
      </c>
      <c r="N514" s="135">
        <f>IF(IF(Scharniere[[#This Row],[Anschrauben]]=1,1,IF(Scharniere[[#This Row],[Einpressen]]=1,2,IF(Scharniere[[#This Row],[Quick]]=1,3,IF(Scharniere[[#This Row],[Werkzeuglos]]=1,4,0))))=select!$E$362,1,0)</f>
        <v>0</v>
      </c>
      <c r="O5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4" s="298">
        <f>IF(AND(Scharniere[[#This Row],[Scharnierart]]=3,Scharniere[[#This Row],[Gruppenschlüssel]]=select!$A$747)=TRUE,1,0)</f>
        <v>0</v>
      </c>
      <c r="Q514" s="298">
        <f ca="1">IF(select!$O$945&lt;6,1,0)</f>
        <v>1</v>
      </c>
      <c r="R514" s="298">
        <f>IF(select!$A$778=IF(Scharniere[[#This Row],[mit Dämpfung]]=1,1,IF(Scharniere[[#This Row],[ohne Dämpfung]]=1,2,IF(Scharniere[[#This Row],[ohne Feder]]=1,3,0))),1,0)</f>
        <v>0</v>
      </c>
      <c r="S514" s="298">
        <f>IF(Scharniere[[#This Row],[Bohrbild]]=select!$A$755,1,0)</f>
        <v>0</v>
      </c>
      <c r="T514" s="298">
        <f>IF(IF(Scharniere[[#This Row],[Anschrauben]]=1,1,IF(Scharniere[[#This Row],[Einpressen]]=1,2,IF(Scharniere[[#This Row],[Quick]]=1,3,IF(Scharniere[[#This Row],[Werkzeuglos]]=1,4,0))))=select!$A$769,1,0)</f>
        <v>0</v>
      </c>
      <c r="U5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4" s="359">
        <f>IF(AND(Scharniere[[#This Row],[Scharnierart]]=4,Scharniere[[#This Row],[Gruppenschlüssel]]=select!$A$981)=TRUE,1,0)</f>
        <v>0</v>
      </c>
      <c r="W514" s="359">
        <f ca="1">IF(select!$O$1185&lt;6,1,0)</f>
        <v>1</v>
      </c>
      <c r="X514" s="359">
        <f>IF(select!$A$1012=IF(Scharniere[[#This Row],[mit Dämpfung]]=1,1,IF(Scharniere[[#This Row],[ohne Dämpfung]]=1,2,IF(Scharniere[[#This Row],[ohne Feder]]=1,3,0))),1,0)</f>
        <v>0</v>
      </c>
      <c r="Y514" s="359">
        <f>IF(Scharniere[[#This Row],[Bohrbild]]=select!$A$989,1,0)</f>
        <v>0</v>
      </c>
      <c r="Z514" s="359">
        <f>IF(IF(Scharniere[[#This Row],[Anschrauben]]=1,1,IF(Scharniere[[#This Row],[Einpressen]]=1,2,IF(Scharniere[[#This Row],[Quick]]=1,3,IF(Scharniere[[#This Row],[Werkzeuglos]]=1,4,0))))=select!$A$1003,1,0)</f>
        <v>0</v>
      </c>
      <c r="AA5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4" s="359">
        <f ca="1">IF(select!$K$980="*",Scharniere[[#This Row],[AG Ges2]],Scharniere[[#This Row],[AG Ges1]])</f>
        <v>0</v>
      </c>
      <c r="AE514" s="451">
        <f ca="1">IF(AND(Scharniere[[#This Row],[Scharnierart]]=select!$A$1485,Scharniere[[#This Row],[Gruppenschlüssel]]=select!$B$1485)=TRUE,1,0)</f>
        <v>0</v>
      </c>
      <c r="AF514" s="451">
        <f ca="1">IF(AND(Scharniere[[#This Row],[Scharnierart]]=select!$A$1486,Scharniere[[#This Row],[Gruppenschlüssel]]=select!$B$1486)=TRUE,1,0)</f>
        <v>0</v>
      </c>
      <c r="AG514" s="451">
        <f ca="1">IF(AND(Scharniere[[#This Row],[Scharnierart]]=select!$A$1487,Scharniere[[#This Row],[Gruppenschlüssel]]=select!$B$1487)=TRUE,1,0)</f>
        <v>0</v>
      </c>
      <c r="AH514" s="451">
        <f ca="1">IF(AND(Scharniere[[#This Row],[Scharnierart]]=select!$A$1488,Scharniere[[#This Row],[Gruppenschlüssel]]=select!$B$1488)=TRUE,1,0)</f>
        <v>0</v>
      </c>
      <c r="AI514" s="451">
        <f ca="1">IF(SUM(Scharniere[[#This Row],[konf Scharnier 1]:[konf Scharnier 4]])&gt;0,1,0)</f>
        <v>0</v>
      </c>
      <c r="AJ514" s="451"/>
      <c r="AK514" s="451"/>
      <c r="AL514" s="451"/>
      <c r="AM514" s="451"/>
      <c r="AN514" s="451"/>
      <c r="AO514" s="146">
        <v>1</v>
      </c>
      <c r="AP514" s="146">
        <v>3</v>
      </c>
      <c r="AQ514" s="10" t="str">
        <f ca="1">Sprache!$A$113</f>
        <v>Tiomos Scharnier TS Impresso</v>
      </c>
      <c r="AR514" t="s">
        <v>122</v>
      </c>
      <c r="AS514" t="str">
        <f ca="1">Sprache!$A$116</f>
        <v>Tiomos Impresso Scharniere</v>
      </c>
      <c r="AT514">
        <v>0</v>
      </c>
      <c r="AU514" s="34" t="s">
        <v>10</v>
      </c>
      <c r="AV514">
        <v>160</v>
      </c>
      <c r="AW514" s="10">
        <v>1</v>
      </c>
      <c r="AX514">
        <v>0</v>
      </c>
      <c r="AY514">
        <v>0</v>
      </c>
      <c r="AZ514" s="10">
        <v>0</v>
      </c>
      <c r="BA514">
        <v>0</v>
      </c>
      <c r="BB514">
        <v>0</v>
      </c>
      <c r="BC514">
        <v>1</v>
      </c>
      <c r="BD514" s="143" t="s">
        <v>121</v>
      </c>
      <c r="BG514"/>
    </row>
    <row r="515" spans="1:59" ht="14.25" customHeight="1" x14ac:dyDescent="0.25">
      <c r="A515" s="37" t="str">
        <f>LEFT(Scharniere[[#This Row],[ArtikelNR]],4)</f>
        <v>F017</v>
      </c>
      <c r="B515" s="35" t="str">
        <f>MID(Scharniere[[#This Row],[ArtikelNR]],5,3)</f>
        <v>139</v>
      </c>
      <c r="C515" s="37" t="str">
        <f>RIGHT(Scharniere[[#This Row],[ArtikelNR]],3)</f>
        <v>520</v>
      </c>
      <c r="D515" s="35">
        <f>IF(AND(Scharniere[[#This Row],[Gruppenschlüssel]]=select!$A$44,Scharniere[[#This Row],[Scharnierart]]=1)=TRUE,1,0)</f>
        <v>0</v>
      </c>
      <c r="E5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5" s="35">
        <f>IF(select!$F$57=IF(Scharniere[[#This Row],[mit Dämpfung]]=1,1,IF(Scharniere[[#This Row],[ohne Dämpfung]]=1,2,IF(Scharniere[[#This Row],[ohne Feder]]=1,3,0))),1,0)</f>
        <v>0</v>
      </c>
      <c r="G515" s="35">
        <f>IF(Scharniere[[#This Row],[Bohrbild]]=select!$V$43,1,0)</f>
        <v>0</v>
      </c>
      <c r="H515" s="35">
        <f>IF(IF(Scharniere[[#This Row],[Anschrauben]]=1,1,IF(Scharniere[[#This Row],[Einpressen]]=1,2,IF(Scharniere[[#This Row],[Quick]]=1,3,IF(Scharniere[[#This Row],[Werkzeuglos]]=1,4,0))))=select!$F$48,1,0)</f>
        <v>0</v>
      </c>
      <c r="I5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5" s="149">
        <f>IF(AND(Scharniere[[#This Row],[Scharnierart]]=2,Scharniere[[#This Row],[Gruppenschlüssel]]=select!$A$318)=TRUE,1,0)</f>
        <v>0</v>
      </c>
      <c r="K515" s="221">
        <f ca="1">IF(select!$O$424&lt;6,1,0)</f>
        <v>1</v>
      </c>
      <c r="L515" s="139">
        <f>IF(select!$A$362=IF(Scharniere[[#This Row],[mit Dämpfung]]=1,1,IF(Scharniere[[#This Row],[ohne Dämpfung]]=1,2,IF(Scharniere[[#This Row],[ohne Feder]]=1,3,0))),1,0)</f>
        <v>1</v>
      </c>
      <c r="M515" s="135">
        <f>IF(Scharniere[[#This Row],[Bohrbild]]=select!$O$334,1,0)</f>
        <v>0</v>
      </c>
      <c r="N515" s="135">
        <f>IF(IF(Scharniere[[#This Row],[Anschrauben]]=1,1,IF(Scharniere[[#This Row],[Einpressen]]=1,2,IF(Scharniere[[#This Row],[Quick]]=1,3,IF(Scharniere[[#This Row],[Werkzeuglos]]=1,4,0))))=select!$E$362,1,0)</f>
        <v>0</v>
      </c>
      <c r="O5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5" s="298">
        <f>IF(AND(Scharniere[[#This Row],[Scharnierart]]=3,Scharniere[[#This Row],[Gruppenschlüssel]]=select!$A$747)=TRUE,1,0)</f>
        <v>0</v>
      </c>
      <c r="Q515" s="298">
        <f ca="1">IF(select!$O$945&lt;6,1,0)</f>
        <v>1</v>
      </c>
      <c r="R515" s="298">
        <f>IF(select!$A$778=IF(Scharniere[[#This Row],[mit Dämpfung]]=1,1,IF(Scharniere[[#This Row],[ohne Dämpfung]]=1,2,IF(Scharniere[[#This Row],[ohne Feder]]=1,3,0))),1,0)</f>
        <v>0</v>
      </c>
      <c r="S515" s="298">
        <f>IF(Scharniere[[#This Row],[Bohrbild]]=select!$A$755,1,0)</f>
        <v>0</v>
      </c>
      <c r="T515" s="298">
        <f>IF(IF(Scharniere[[#This Row],[Anschrauben]]=1,1,IF(Scharniere[[#This Row],[Einpressen]]=1,2,IF(Scharniere[[#This Row],[Quick]]=1,3,IF(Scharniere[[#This Row],[Werkzeuglos]]=1,4,0))))=select!$A$769,1,0)</f>
        <v>0</v>
      </c>
      <c r="U5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5" s="359">
        <f>IF(AND(Scharniere[[#This Row],[Scharnierart]]=4,Scharniere[[#This Row],[Gruppenschlüssel]]=select!$A$981)=TRUE,1,0)</f>
        <v>0</v>
      </c>
      <c r="W515" s="359">
        <f ca="1">IF(select!$O$1185&lt;6,1,0)</f>
        <v>1</v>
      </c>
      <c r="X515" s="359">
        <f>IF(select!$A$1012=IF(Scharniere[[#This Row],[mit Dämpfung]]=1,1,IF(Scharniere[[#This Row],[ohne Dämpfung]]=1,2,IF(Scharniere[[#This Row],[ohne Feder]]=1,3,0))),1,0)</f>
        <v>0</v>
      </c>
      <c r="Y515" s="359">
        <f>IF(Scharniere[[#This Row],[Bohrbild]]=select!$A$989,1,0)</f>
        <v>0</v>
      </c>
      <c r="Z515" s="359">
        <f>IF(IF(Scharniere[[#This Row],[Anschrauben]]=1,1,IF(Scharniere[[#This Row],[Einpressen]]=1,2,IF(Scharniere[[#This Row],[Quick]]=1,3,IF(Scharniere[[#This Row],[Werkzeuglos]]=1,4,0))))=select!$A$1003,1,0)</f>
        <v>0</v>
      </c>
      <c r="AA5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5" s="359">
        <f ca="1">IF(select!$K$980="*",Scharniere[[#This Row],[AG Ges2]],Scharniere[[#This Row],[AG Ges1]])</f>
        <v>0</v>
      </c>
      <c r="AE515" s="451">
        <f ca="1">IF(AND(Scharniere[[#This Row],[Scharnierart]]=select!$A$1485,Scharniere[[#This Row],[Gruppenschlüssel]]=select!$B$1485)=TRUE,1,0)</f>
        <v>0</v>
      </c>
      <c r="AF515" s="451">
        <f ca="1">IF(AND(Scharniere[[#This Row],[Scharnierart]]=select!$A$1486,Scharniere[[#This Row],[Gruppenschlüssel]]=select!$B$1486)=TRUE,1,0)</f>
        <v>0</v>
      </c>
      <c r="AG515" s="451">
        <f ca="1">IF(AND(Scharniere[[#This Row],[Scharnierart]]=select!$A$1487,Scharniere[[#This Row],[Gruppenschlüssel]]=select!$B$1487)=TRUE,1,0)</f>
        <v>0</v>
      </c>
      <c r="AH515" s="451">
        <f ca="1">IF(AND(Scharniere[[#This Row],[Scharnierart]]=select!$A$1488,Scharniere[[#This Row],[Gruppenschlüssel]]=select!$B$1488)=TRUE,1,0)</f>
        <v>0</v>
      </c>
      <c r="AI515" s="451">
        <f ca="1">IF(SUM(Scharniere[[#This Row],[konf Scharnier 1]:[konf Scharnier 4]])&gt;0,1,0)</f>
        <v>0</v>
      </c>
      <c r="AJ515" s="451"/>
      <c r="AK515" s="451"/>
      <c r="AL515" s="451"/>
      <c r="AM515" s="451"/>
      <c r="AN515" s="451"/>
      <c r="AO515" s="146">
        <v>1</v>
      </c>
      <c r="AP515" s="146">
        <v>3</v>
      </c>
      <c r="AQ515" s="10" t="str">
        <f ca="1">Sprache!$A$113</f>
        <v>Tiomos Scharnier TS Impresso</v>
      </c>
      <c r="AR515" t="s">
        <v>122</v>
      </c>
      <c r="AS515" t="str">
        <f ca="1">Sprache!$A$116</f>
        <v>Tiomos Impresso Scharniere</v>
      </c>
      <c r="AT515">
        <v>0</v>
      </c>
      <c r="AU515" s="34" t="s">
        <v>11</v>
      </c>
      <c r="AV515">
        <v>160</v>
      </c>
      <c r="AW515" s="10">
        <v>1</v>
      </c>
      <c r="AX515">
        <v>0</v>
      </c>
      <c r="AY515">
        <v>0</v>
      </c>
      <c r="AZ515" s="10">
        <v>0</v>
      </c>
      <c r="BA515">
        <v>0</v>
      </c>
      <c r="BB515">
        <v>0</v>
      </c>
      <c r="BC515">
        <v>1</v>
      </c>
      <c r="BD515" s="143" t="s">
        <v>121</v>
      </c>
      <c r="BG515"/>
    </row>
    <row r="516" spans="1:59" ht="14.25" customHeight="1" x14ac:dyDescent="0.25">
      <c r="A516" s="37" t="str">
        <f>LEFT(Scharniere[[#This Row],[ArtikelNR]],4)</f>
        <v>F035</v>
      </c>
      <c r="B516" s="35" t="str">
        <f>MID(Scharniere[[#This Row],[ArtikelNR]],5,3)</f>
        <v>139</v>
      </c>
      <c r="C516" s="37" t="str">
        <f>RIGHT(Scharniere[[#This Row],[ArtikelNR]],3)</f>
        <v>548</v>
      </c>
      <c r="D516" s="35">
        <f>IF(AND(Scharniere[[#This Row],[Gruppenschlüssel]]=select!$A$44,Scharniere[[#This Row],[Scharnierart]]=1)=TRUE,1,0)</f>
        <v>0</v>
      </c>
      <c r="E5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6" s="35">
        <f>IF(select!$F$57=IF(Scharniere[[#This Row],[mit Dämpfung]]=1,1,IF(Scharniere[[#This Row],[ohne Dämpfung]]=1,2,IF(Scharniere[[#This Row],[ohne Feder]]=1,3,0))),1,0)</f>
        <v>1</v>
      </c>
      <c r="G516" s="35">
        <f>IF(Scharniere[[#This Row],[Bohrbild]]=select!$V$43,1,0)</f>
        <v>0</v>
      </c>
      <c r="H516" s="35">
        <f>IF(IF(Scharniere[[#This Row],[Anschrauben]]=1,1,IF(Scharniere[[#This Row],[Einpressen]]=1,2,IF(Scharniere[[#This Row],[Quick]]=1,3,IF(Scharniere[[#This Row],[Werkzeuglos]]=1,4,0))))=select!$F$48,1,0)</f>
        <v>0</v>
      </c>
      <c r="I5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6" s="149">
        <f>IF(AND(Scharniere[[#This Row],[Scharnierart]]=2,Scharniere[[#This Row],[Gruppenschlüssel]]=select!$A$318)=TRUE,1,0)</f>
        <v>0</v>
      </c>
      <c r="K516" s="221">
        <f ca="1">IF(select!$O$424&lt;6,1,0)</f>
        <v>1</v>
      </c>
      <c r="L516" s="139">
        <f>IF(select!$A$362=IF(Scharniere[[#This Row],[mit Dämpfung]]=1,1,IF(Scharniere[[#This Row],[ohne Dämpfung]]=1,2,IF(Scharniere[[#This Row],[ohne Feder]]=1,3,0))),1,0)</f>
        <v>0</v>
      </c>
      <c r="M516" s="135">
        <f>IF(Scharniere[[#This Row],[Bohrbild]]=select!$O$334,1,0)</f>
        <v>0</v>
      </c>
      <c r="N516" s="135">
        <f>IF(IF(Scharniere[[#This Row],[Anschrauben]]=1,1,IF(Scharniere[[#This Row],[Einpressen]]=1,2,IF(Scharniere[[#This Row],[Quick]]=1,3,IF(Scharniere[[#This Row],[Werkzeuglos]]=1,4,0))))=select!$E$362,1,0)</f>
        <v>0</v>
      </c>
      <c r="O5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6" s="298">
        <f>IF(AND(Scharniere[[#This Row],[Scharnierart]]=3,Scharniere[[#This Row],[Gruppenschlüssel]]=select!$A$747)=TRUE,1,0)</f>
        <v>0</v>
      </c>
      <c r="Q516" s="298">
        <f ca="1">IF(select!$O$945&lt;6,1,0)</f>
        <v>1</v>
      </c>
      <c r="R516" s="298">
        <f>IF(select!$A$778=IF(Scharniere[[#This Row],[mit Dämpfung]]=1,1,IF(Scharniere[[#This Row],[ohne Dämpfung]]=1,2,IF(Scharniere[[#This Row],[ohne Feder]]=1,3,0))),1,0)</f>
        <v>0</v>
      </c>
      <c r="S516" s="298">
        <f>IF(Scharniere[[#This Row],[Bohrbild]]=select!$A$755,1,0)</f>
        <v>0</v>
      </c>
      <c r="T516" s="298">
        <f>IF(IF(Scharniere[[#This Row],[Anschrauben]]=1,1,IF(Scharniere[[#This Row],[Einpressen]]=1,2,IF(Scharniere[[#This Row],[Quick]]=1,3,IF(Scharniere[[#This Row],[Werkzeuglos]]=1,4,0))))=select!$A$769,1,0)</f>
        <v>0</v>
      </c>
      <c r="U5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6" s="359">
        <f>IF(AND(Scharniere[[#This Row],[Scharnierart]]=4,Scharniere[[#This Row],[Gruppenschlüssel]]=select!$A$981)=TRUE,1,0)</f>
        <v>0</v>
      </c>
      <c r="W516" s="359">
        <f ca="1">IF(select!$O$1185&lt;6,1,0)</f>
        <v>1</v>
      </c>
      <c r="X516" s="359">
        <f>IF(select!$A$1012=IF(Scharniere[[#This Row],[mit Dämpfung]]=1,1,IF(Scharniere[[#This Row],[ohne Dämpfung]]=1,2,IF(Scharniere[[#This Row],[ohne Feder]]=1,3,0))),1,0)</f>
        <v>0</v>
      </c>
      <c r="Y516" s="359">
        <f>IF(Scharniere[[#This Row],[Bohrbild]]=select!$A$989,1,0)</f>
        <v>0</v>
      </c>
      <c r="Z516" s="359">
        <f>IF(IF(Scharniere[[#This Row],[Anschrauben]]=1,1,IF(Scharniere[[#This Row],[Einpressen]]=1,2,IF(Scharniere[[#This Row],[Quick]]=1,3,IF(Scharniere[[#This Row],[Werkzeuglos]]=1,4,0))))=select!$A$1003,1,0)</f>
        <v>0</v>
      </c>
      <c r="AA5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6" s="359">
        <f ca="1">IF(select!$K$980="*",Scharniere[[#This Row],[AG Ges2]],Scharniere[[#This Row],[AG Ges1]])</f>
        <v>0</v>
      </c>
      <c r="AE516" s="451">
        <f ca="1">IF(AND(Scharniere[[#This Row],[Scharnierart]]=select!$A$1485,Scharniere[[#This Row],[Gruppenschlüssel]]=select!$B$1485)=TRUE,1,0)</f>
        <v>0</v>
      </c>
      <c r="AF516" s="451">
        <f ca="1">IF(AND(Scharniere[[#This Row],[Scharnierart]]=select!$A$1486,Scharniere[[#This Row],[Gruppenschlüssel]]=select!$B$1486)=TRUE,1,0)</f>
        <v>0</v>
      </c>
      <c r="AG516" s="451">
        <f ca="1">IF(AND(Scharniere[[#This Row],[Scharnierart]]=select!$A$1487,Scharniere[[#This Row],[Gruppenschlüssel]]=select!$B$1487)=TRUE,1,0)</f>
        <v>0</v>
      </c>
      <c r="AH516" s="451">
        <f ca="1">IF(AND(Scharniere[[#This Row],[Scharnierart]]=select!$A$1488,Scharniere[[#This Row],[Gruppenschlüssel]]=select!$B$1488)=TRUE,1,0)</f>
        <v>0</v>
      </c>
      <c r="AI516" s="451">
        <f ca="1">IF(SUM(Scharniere[[#This Row],[konf Scharnier 1]:[konf Scharnier 4]])&gt;0,1,0)</f>
        <v>0</v>
      </c>
      <c r="AJ516" s="451"/>
      <c r="AK516" s="451"/>
      <c r="AL516" s="451"/>
      <c r="AM516" s="451"/>
      <c r="AN516" s="451"/>
      <c r="AO516" s="146">
        <v>1</v>
      </c>
      <c r="AP516" s="146">
        <v>3</v>
      </c>
      <c r="AQ516" s="10" t="str">
        <f ca="1">Sprache!$A$115</f>
        <v>Tiomos Scharnier TT Impresso</v>
      </c>
      <c r="AR516" t="s">
        <v>122</v>
      </c>
      <c r="AS516" t="str">
        <f ca="1">Sprache!$A$116</f>
        <v>Tiomos Impresso Scharniere</v>
      </c>
      <c r="AT516">
        <v>0</v>
      </c>
      <c r="AU516" s="34" t="s">
        <v>10</v>
      </c>
      <c r="AV516">
        <v>160</v>
      </c>
      <c r="AW516" s="10">
        <v>0</v>
      </c>
      <c r="AX516">
        <v>0</v>
      </c>
      <c r="AY516">
        <v>1</v>
      </c>
      <c r="AZ516" s="10">
        <v>0</v>
      </c>
      <c r="BA516">
        <v>0</v>
      </c>
      <c r="BB516">
        <v>0</v>
      </c>
      <c r="BC516">
        <v>1</v>
      </c>
      <c r="BD516" s="143" t="s">
        <v>216</v>
      </c>
      <c r="BG516"/>
    </row>
    <row r="517" spans="1:59" ht="14.25" customHeight="1" x14ac:dyDescent="0.25">
      <c r="A517" s="37" t="str">
        <f>LEFT(Scharniere[[#This Row],[ArtikelNR]],4)</f>
        <v>F035</v>
      </c>
      <c r="B517" s="35" t="str">
        <f>MID(Scharniere[[#This Row],[ArtikelNR]],5,3)</f>
        <v>139</v>
      </c>
      <c r="C517" s="37" t="str">
        <f>RIGHT(Scharniere[[#This Row],[ArtikelNR]],3)</f>
        <v>548</v>
      </c>
      <c r="D517" s="35">
        <f>IF(AND(Scharniere[[#This Row],[Gruppenschlüssel]]=select!$A$44,Scharniere[[#This Row],[Scharnierart]]=1)=TRUE,1,0)</f>
        <v>0</v>
      </c>
      <c r="E5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7" s="35">
        <f>IF(select!$F$57=IF(Scharniere[[#This Row],[mit Dämpfung]]=1,1,IF(Scharniere[[#This Row],[ohne Dämpfung]]=1,2,IF(Scharniere[[#This Row],[ohne Feder]]=1,3,0))),1,0)</f>
        <v>1</v>
      </c>
      <c r="G517" s="35">
        <f>IF(Scharniere[[#This Row],[Bohrbild]]=select!$V$43,1,0)</f>
        <v>0</v>
      </c>
      <c r="H517" s="35">
        <f>IF(IF(Scharniere[[#This Row],[Anschrauben]]=1,1,IF(Scharniere[[#This Row],[Einpressen]]=1,2,IF(Scharniere[[#This Row],[Quick]]=1,3,IF(Scharniere[[#This Row],[Werkzeuglos]]=1,4,0))))=select!$F$48,1,0)</f>
        <v>0</v>
      </c>
      <c r="I5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7" s="149">
        <f>IF(AND(Scharniere[[#This Row],[Scharnierart]]=2,Scharniere[[#This Row],[Gruppenschlüssel]]=select!$A$318)=TRUE,1,0)</f>
        <v>0</v>
      </c>
      <c r="K517" s="221">
        <f ca="1">IF(select!$O$424&lt;6,1,0)</f>
        <v>1</v>
      </c>
      <c r="L517" s="139">
        <f>IF(select!$A$362=IF(Scharniere[[#This Row],[mit Dämpfung]]=1,1,IF(Scharniere[[#This Row],[ohne Dämpfung]]=1,2,IF(Scharniere[[#This Row],[ohne Feder]]=1,3,0))),1,0)</f>
        <v>0</v>
      </c>
      <c r="M517" s="135">
        <f>IF(Scharniere[[#This Row],[Bohrbild]]=select!$O$334,1,0)</f>
        <v>0</v>
      </c>
      <c r="N517" s="135">
        <f>IF(IF(Scharniere[[#This Row],[Anschrauben]]=1,1,IF(Scharniere[[#This Row],[Einpressen]]=1,2,IF(Scharniere[[#This Row],[Quick]]=1,3,IF(Scharniere[[#This Row],[Werkzeuglos]]=1,4,0))))=select!$E$362,1,0)</f>
        <v>0</v>
      </c>
      <c r="O5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7" s="298">
        <f>IF(AND(Scharniere[[#This Row],[Scharnierart]]=3,Scharniere[[#This Row],[Gruppenschlüssel]]=select!$A$747)=TRUE,1,0)</f>
        <v>0</v>
      </c>
      <c r="Q517" s="298">
        <f ca="1">IF(select!$O$945&lt;6,1,0)</f>
        <v>1</v>
      </c>
      <c r="R517" s="298">
        <f>IF(select!$A$778=IF(Scharniere[[#This Row],[mit Dämpfung]]=1,1,IF(Scharniere[[#This Row],[ohne Dämpfung]]=1,2,IF(Scharniere[[#This Row],[ohne Feder]]=1,3,0))),1,0)</f>
        <v>0</v>
      </c>
      <c r="S517" s="298">
        <f>IF(Scharniere[[#This Row],[Bohrbild]]=select!$A$755,1,0)</f>
        <v>0</v>
      </c>
      <c r="T517" s="298">
        <f>IF(IF(Scharniere[[#This Row],[Anschrauben]]=1,1,IF(Scharniere[[#This Row],[Einpressen]]=1,2,IF(Scharniere[[#This Row],[Quick]]=1,3,IF(Scharniere[[#This Row],[Werkzeuglos]]=1,4,0))))=select!$A$769,1,0)</f>
        <v>0</v>
      </c>
      <c r="U5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7" s="359">
        <f>IF(AND(Scharniere[[#This Row],[Scharnierart]]=4,Scharniere[[#This Row],[Gruppenschlüssel]]=select!$A$981)=TRUE,1,0)</f>
        <v>0</v>
      </c>
      <c r="W517" s="359">
        <f ca="1">IF(select!$O$1185&lt;6,1,0)</f>
        <v>1</v>
      </c>
      <c r="X517" s="359">
        <f>IF(select!$A$1012=IF(Scharniere[[#This Row],[mit Dämpfung]]=1,1,IF(Scharniere[[#This Row],[ohne Dämpfung]]=1,2,IF(Scharniere[[#This Row],[ohne Feder]]=1,3,0))),1,0)</f>
        <v>0</v>
      </c>
      <c r="Y517" s="359">
        <f>IF(Scharniere[[#This Row],[Bohrbild]]=select!$A$989,1,0)</f>
        <v>0</v>
      </c>
      <c r="Z517" s="359">
        <f>IF(IF(Scharniere[[#This Row],[Anschrauben]]=1,1,IF(Scharniere[[#This Row],[Einpressen]]=1,2,IF(Scharniere[[#This Row],[Quick]]=1,3,IF(Scharniere[[#This Row],[Werkzeuglos]]=1,4,0))))=select!$A$1003,1,0)</f>
        <v>0</v>
      </c>
      <c r="AA5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7" s="359">
        <f ca="1">IF(select!$K$980="*",Scharniere[[#This Row],[AG Ges2]],Scharniere[[#This Row],[AG Ges1]])</f>
        <v>0</v>
      </c>
      <c r="AE517" s="451">
        <f ca="1">IF(AND(Scharniere[[#This Row],[Scharnierart]]=select!$A$1485,Scharniere[[#This Row],[Gruppenschlüssel]]=select!$B$1485)=TRUE,1,0)</f>
        <v>0</v>
      </c>
      <c r="AF517" s="451">
        <f ca="1">IF(AND(Scharniere[[#This Row],[Scharnierart]]=select!$A$1486,Scharniere[[#This Row],[Gruppenschlüssel]]=select!$B$1486)=TRUE,1,0)</f>
        <v>0</v>
      </c>
      <c r="AG517" s="451">
        <f ca="1">IF(AND(Scharniere[[#This Row],[Scharnierart]]=select!$A$1487,Scharniere[[#This Row],[Gruppenschlüssel]]=select!$B$1487)=TRUE,1,0)</f>
        <v>0</v>
      </c>
      <c r="AH517" s="451">
        <f ca="1">IF(AND(Scharniere[[#This Row],[Scharnierart]]=select!$A$1488,Scharniere[[#This Row],[Gruppenschlüssel]]=select!$B$1488)=TRUE,1,0)</f>
        <v>0</v>
      </c>
      <c r="AI517" s="451">
        <f ca="1">IF(SUM(Scharniere[[#This Row],[konf Scharnier 1]:[konf Scharnier 4]])&gt;0,1,0)</f>
        <v>0</v>
      </c>
      <c r="AJ517" s="451"/>
      <c r="AK517" s="451"/>
      <c r="AL517" s="451"/>
      <c r="AM517" s="451"/>
      <c r="AN517" s="451"/>
      <c r="AO517" s="146">
        <v>1</v>
      </c>
      <c r="AP517" s="146">
        <v>3</v>
      </c>
      <c r="AQ517" s="10" t="str">
        <f ca="1">Sprache!$A$115</f>
        <v>Tiomos Scharnier TT Impresso</v>
      </c>
      <c r="AR517" t="s">
        <v>122</v>
      </c>
      <c r="AS517" t="str">
        <f ca="1">Sprache!$A$116</f>
        <v>Tiomos Impresso Scharniere</v>
      </c>
      <c r="AT517">
        <v>0</v>
      </c>
      <c r="AU517" s="34" t="s">
        <v>11</v>
      </c>
      <c r="AV517">
        <v>160</v>
      </c>
      <c r="AW517" s="10">
        <v>0</v>
      </c>
      <c r="AX517">
        <v>0</v>
      </c>
      <c r="AY517">
        <v>1</v>
      </c>
      <c r="AZ517" s="10">
        <v>0</v>
      </c>
      <c r="BA517">
        <v>0</v>
      </c>
      <c r="BB517">
        <v>0</v>
      </c>
      <c r="BC517">
        <v>1</v>
      </c>
      <c r="BD517" s="143" t="s">
        <v>216</v>
      </c>
      <c r="BG517"/>
    </row>
    <row r="518" spans="1:59" ht="14.25" customHeight="1" x14ac:dyDescent="0.25">
      <c r="A518" s="37" t="str">
        <f>LEFT(Scharniere[[#This Row],[ArtikelNR]],4)</f>
        <v>F045</v>
      </c>
      <c r="B518" s="35" t="str">
        <f>MID(Scharniere[[#This Row],[ArtikelNR]],5,3)</f>
        <v>138</v>
      </c>
      <c r="C518" s="37" t="str">
        <f>RIGHT(Scharniere[[#This Row],[ArtikelNR]],3)</f>
        <v>045</v>
      </c>
      <c r="D518" s="35">
        <f>IF(AND(Scharniere[[#This Row],[Gruppenschlüssel]]=select!$A$44,Scharniere[[#This Row],[Scharnierart]]=1)=TRUE,1,0)</f>
        <v>0</v>
      </c>
      <c r="E5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8" s="35">
        <f>IF(select!$F$57=IF(Scharniere[[#This Row],[mit Dämpfung]]=1,1,IF(Scharniere[[#This Row],[ohne Dämpfung]]=1,2,IF(Scharniere[[#This Row],[ohne Feder]]=1,3,0))),1,0)</f>
        <v>0</v>
      </c>
      <c r="G518" s="35">
        <f>IF(Scharniere[[#This Row],[Bohrbild]]=select!$V$43,1,0)</f>
        <v>1</v>
      </c>
      <c r="H518" s="35">
        <f>IF(IF(Scharniere[[#This Row],[Anschrauben]]=1,1,IF(Scharniere[[#This Row],[Einpressen]]=1,2,IF(Scharniere[[#This Row],[Quick]]=1,3,IF(Scharniere[[#This Row],[Werkzeuglos]]=1,4,0))))=select!$F$48,1,0)</f>
        <v>1</v>
      </c>
      <c r="I5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8" s="149">
        <f>IF(AND(Scharniere[[#This Row],[Scharnierart]]=2,Scharniere[[#This Row],[Gruppenschlüssel]]=select!$A$318)=TRUE,1,0)</f>
        <v>0</v>
      </c>
      <c r="K518" s="221">
        <f ca="1">IF(select!$O$424&lt;6,1,0)</f>
        <v>1</v>
      </c>
      <c r="L518" s="139">
        <f>IF(select!$A$362=IF(Scharniere[[#This Row],[mit Dämpfung]]=1,1,IF(Scharniere[[#This Row],[ohne Dämpfung]]=1,2,IF(Scharniere[[#This Row],[ohne Feder]]=1,3,0))),1,0)</f>
        <v>0</v>
      </c>
      <c r="M518" s="135">
        <f>IF(Scharniere[[#This Row],[Bohrbild]]=select!$O$334,1,0)</f>
        <v>1</v>
      </c>
      <c r="N518" s="135">
        <f>IF(IF(Scharniere[[#This Row],[Anschrauben]]=1,1,IF(Scharniere[[#This Row],[Einpressen]]=1,2,IF(Scharniere[[#This Row],[Quick]]=1,3,IF(Scharniere[[#This Row],[Werkzeuglos]]=1,4,0))))=select!$E$362,1,0)</f>
        <v>0</v>
      </c>
      <c r="O5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8" s="298">
        <f>IF(AND(Scharniere[[#This Row],[Scharnierart]]=3,Scharniere[[#This Row],[Gruppenschlüssel]]=select!$A$747)=TRUE,1,0)</f>
        <v>0</v>
      </c>
      <c r="Q518" s="298">
        <f ca="1">IF(select!$O$945&lt;6,1,0)</f>
        <v>1</v>
      </c>
      <c r="R518" s="298">
        <f>IF(select!$A$778=IF(Scharniere[[#This Row],[mit Dämpfung]]=1,1,IF(Scharniere[[#This Row],[ohne Dämpfung]]=1,2,IF(Scharniere[[#This Row],[ohne Feder]]=1,3,0))),1,0)</f>
        <v>1</v>
      </c>
      <c r="S518" s="298">
        <f>IF(Scharniere[[#This Row],[Bohrbild]]=select!$A$755,1,0)</f>
        <v>0</v>
      </c>
      <c r="T518" s="298">
        <f>IF(IF(Scharniere[[#This Row],[Anschrauben]]=1,1,IF(Scharniere[[#This Row],[Einpressen]]=1,2,IF(Scharniere[[#This Row],[Quick]]=1,3,IF(Scharniere[[#This Row],[Werkzeuglos]]=1,4,0))))=select!$A$769,1,0)</f>
        <v>0</v>
      </c>
      <c r="U5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8" s="359">
        <f>IF(AND(Scharniere[[#This Row],[Scharnierart]]=4,Scharniere[[#This Row],[Gruppenschlüssel]]=select!$A$981)=TRUE,1,0)</f>
        <v>0</v>
      </c>
      <c r="W518" s="359">
        <f ca="1">IF(select!$O$1185&lt;6,1,0)</f>
        <v>1</v>
      </c>
      <c r="X518" s="359">
        <f>IF(select!$A$1012=IF(Scharniere[[#This Row],[mit Dämpfung]]=1,1,IF(Scharniere[[#This Row],[ohne Dämpfung]]=1,2,IF(Scharniere[[#This Row],[ohne Feder]]=1,3,0))),1,0)</f>
        <v>1</v>
      </c>
      <c r="Y518" s="359">
        <f>IF(Scharniere[[#This Row],[Bohrbild]]=select!$A$989,1,0)</f>
        <v>0</v>
      </c>
      <c r="Z518" s="359">
        <f>IF(IF(Scharniere[[#This Row],[Anschrauben]]=1,1,IF(Scharniere[[#This Row],[Einpressen]]=1,2,IF(Scharniere[[#This Row],[Quick]]=1,3,IF(Scharniere[[#This Row],[Werkzeuglos]]=1,4,0))))=select!$A$1003,1,0)</f>
        <v>0</v>
      </c>
      <c r="AA5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8" s="359">
        <f ca="1">IF(select!$K$980="*",Scharniere[[#This Row],[AG Ges2]],Scharniere[[#This Row],[AG Ges1]])</f>
        <v>0</v>
      </c>
      <c r="AE518" s="451">
        <f ca="1">IF(AND(Scharniere[[#This Row],[Scharnierart]]=select!$A$1485,Scharniere[[#This Row],[Gruppenschlüssel]]=select!$B$1485)=TRUE,1,0)</f>
        <v>0</v>
      </c>
      <c r="AF518" s="451">
        <f ca="1">IF(AND(Scharniere[[#This Row],[Scharnierart]]=select!$A$1486,Scharniere[[#This Row],[Gruppenschlüssel]]=select!$B$1486)=TRUE,1,0)</f>
        <v>0</v>
      </c>
      <c r="AG518" s="451">
        <f ca="1">IF(AND(Scharniere[[#This Row],[Scharnierart]]=select!$A$1487,Scharniere[[#This Row],[Gruppenschlüssel]]=select!$B$1487)=TRUE,1,0)</f>
        <v>0</v>
      </c>
      <c r="AH518" s="451">
        <f ca="1">IF(AND(Scharniere[[#This Row],[Scharnierart]]=select!$A$1488,Scharniere[[#This Row],[Gruppenschlüssel]]=select!$B$1488)=TRUE,1,0)</f>
        <v>0</v>
      </c>
      <c r="AI518" s="451">
        <f ca="1">IF(SUM(Scharniere[[#This Row],[konf Scharnier 1]:[konf Scharnier 4]])&gt;0,1,0)</f>
        <v>0</v>
      </c>
      <c r="AJ518" s="451"/>
      <c r="AK518" s="451"/>
      <c r="AL518" s="451"/>
      <c r="AM518" s="451"/>
      <c r="AN518" s="451"/>
      <c r="AO518" s="146">
        <v>1</v>
      </c>
      <c r="AP518" s="146">
        <v>3</v>
      </c>
      <c r="AQ518" s="10" t="str">
        <f ca="1">Sprache!$A$110</f>
        <v>Tiomos Scharnier T Click-on</v>
      </c>
      <c r="AR518" t="str">
        <f ca="1">"160°, M-BB, K00, "&amp;Sprache!A181&amp;", ni"</f>
        <v>160°, M-BB, K00, Dübel, ni</v>
      </c>
      <c r="AS518" t="str">
        <f ca="1">Sprache!$A$103</f>
        <v>Tiomos Click-On Scharniere</v>
      </c>
      <c r="AT518">
        <v>0</v>
      </c>
      <c r="AU518" s="34" t="s">
        <v>8</v>
      </c>
      <c r="AV518">
        <v>160</v>
      </c>
      <c r="AW518" s="10">
        <v>0</v>
      </c>
      <c r="AX518">
        <v>1</v>
      </c>
      <c r="AY518">
        <v>0</v>
      </c>
      <c r="AZ518" s="10">
        <v>0</v>
      </c>
      <c r="BA518">
        <v>1</v>
      </c>
      <c r="BB518">
        <v>0</v>
      </c>
      <c r="BC518">
        <v>0</v>
      </c>
      <c r="BD518" s="143" t="s">
        <v>446</v>
      </c>
      <c r="BG518"/>
    </row>
    <row r="519" spans="1:59" ht="14.25" customHeight="1" x14ac:dyDescent="0.25">
      <c r="A519" s="37" t="str">
        <f>LEFT(Scharniere[[#This Row],[ArtikelNR]],4)</f>
        <v>F028</v>
      </c>
      <c r="B519" s="35" t="str">
        <f>MID(Scharniere[[#This Row],[ArtikelNR]],5,3)</f>
        <v>138</v>
      </c>
      <c r="C519" s="37" t="str">
        <f>RIGHT(Scharniere[[#This Row],[ArtikelNR]],3)</f>
        <v>138</v>
      </c>
      <c r="D519" s="35">
        <f>IF(AND(Scharniere[[#This Row],[Gruppenschlüssel]]=select!$A$44,Scharniere[[#This Row],[Scharnierart]]=1)=TRUE,1,0)</f>
        <v>0</v>
      </c>
      <c r="E5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19" s="35">
        <f>IF(select!$F$57=IF(Scharniere[[#This Row],[mit Dämpfung]]=1,1,IF(Scharniere[[#This Row],[ohne Dämpfung]]=1,2,IF(Scharniere[[#This Row],[ohne Feder]]=1,3,0))),1,0)</f>
        <v>0</v>
      </c>
      <c r="G519" s="35">
        <f>IF(Scharniere[[#This Row],[Bohrbild]]=select!$V$43,1,0)</f>
        <v>1</v>
      </c>
      <c r="H519" s="35">
        <f>IF(IF(Scharniere[[#This Row],[Anschrauben]]=1,1,IF(Scharniere[[#This Row],[Einpressen]]=1,2,IF(Scharniere[[#This Row],[Quick]]=1,3,IF(Scharniere[[#This Row],[Werkzeuglos]]=1,4,0))))=select!$F$48,1,0)</f>
        <v>1</v>
      </c>
      <c r="I5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19" s="149">
        <f>IF(AND(Scharniere[[#This Row],[Scharnierart]]=2,Scharniere[[#This Row],[Gruppenschlüssel]]=select!$A$318)=TRUE,1,0)</f>
        <v>0</v>
      </c>
      <c r="K519" s="221">
        <f ca="1">IF(select!$O$424&lt;6,1,0)</f>
        <v>1</v>
      </c>
      <c r="L519" s="139">
        <f>IF(select!$A$362=IF(Scharniere[[#This Row],[mit Dämpfung]]=1,1,IF(Scharniere[[#This Row],[ohne Dämpfung]]=1,2,IF(Scharniere[[#This Row],[ohne Feder]]=1,3,0))),1,0)</f>
        <v>1</v>
      </c>
      <c r="M519" s="135">
        <f>IF(Scharniere[[#This Row],[Bohrbild]]=select!$O$334,1,0)</f>
        <v>1</v>
      </c>
      <c r="N519" s="135">
        <f>IF(IF(Scharniere[[#This Row],[Anschrauben]]=1,1,IF(Scharniere[[#This Row],[Einpressen]]=1,2,IF(Scharniere[[#This Row],[Quick]]=1,3,IF(Scharniere[[#This Row],[Werkzeuglos]]=1,4,0))))=select!$E$362,1,0)</f>
        <v>0</v>
      </c>
      <c r="O5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19" s="298">
        <f>IF(AND(Scharniere[[#This Row],[Scharnierart]]=3,Scharniere[[#This Row],[Gruppenschlüssel]]=select!$A$747)=TRUE,1,0)</f>
        <v>0</v>
      </c>
      <c r="Q519" s="298">
        <f ca="1">IF(select!$O$945&lt;6,1,0)</f>
        <v>1</v>
      </c>
      <c r="R519" s="298">
        <f>IF(select!$A$778=IF(Scharniere[[#This Row],[mit Dämpfung]]=1,1,IF(Scharniere[[#This Row],[ohne Dämpfung]]=1,2,IF(Scharniere[[#This Row],[ohne Feder]]=1,3,0))),1,0)</f>
        <v>0</v>
      </c>
      <c r="S519" s="298">
        <f>IF(Scharniere[[#This Row],[Bohrbild]]=select!$A$755,1,0)</f>
        <v>0</v>
      </c>
      <c r="T519" s="298">
        <f>IF(IF(Scharniere[[#This Row],[Anschrauben]]=1,1,IF(Scharniere[[#This Row],[Einpressen]]=1,2,IF(Scharniere[[#This Row],[Quick]]=1,3,IF(Scharniere[[#This Row],[Werkzeuglos]]=1,4,0))))=select!$A$769,1,0)</f>
        <v>0</v>
      </c>
      <c r="U5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19" s="359">
        <f>IF(AND(Scharniere[[#This Row],[Scharnierart]]=4,Scharniere[[#This Row],[Gruppenschlüssel]]=select!$A$981)=TRUE,1,0)</f>
        <v>0</v>
      </c>
      <c r="W519" s="359">
        <f ca="1">IF(select!$O$1185&lt;6,1,0)</f>
        <v>1</v>
      </c>
      <c r="X519" s="359">
        <f>IF(select!$A$1012=IF(Scharniere[[#This Row],[mit Dämpfung]]=1,1,IF(Scharniere[[#This Row],[ohne Dämpfung]]=1,2,IF(Scharniere[[#This Row],[ohne Feder]]=1,3,0))),1,0)</f>
        <v>0</v>
      </c>
      <c r="Y519" s="359">
        <f>IF(Scharniere[[#This Row],[Bohrbild]]=select!$A$989,1,0)</f>
        <v>0</v>
      </c>
      <c r="Z519" s="359">
        <f>IF(IF(Scharniere[[#This Row],[Anschrauben]]=1,1,IF(Scharniere[[#This Row],[Einpressen]]=1,2,IF(Scharniere[[#This Row],[Quick]]=1,3,IF(Scharniere[[#This Row],[Werkzeuglos]]=1,4,0))))=select!$A$1003,1,0)</f>
        <v>0</v>
      </c>
      <c r="AA5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19" s="359">
        <f ca="1">IF(select!$K$980="*",Scharniere[[#This Row],[AG Ges2]],Scharniere[[#This Row],[AG Ges1]])</f>
        <v>0</v>
      </c>
      <c r="AE519" s="451">
        <f ca="1">IF(AND(Scharniere[[#This Row],[Scharnierart]]=select!$A$1485,Scharniere[[#This Row],[Gruppenschlüssel]]=select!$B$1485)=TRUE,1,0)</f>
        <v>0</v>
      </c>
      <c r="AF519" s="451">
        <f ca="1">IF(AND(Scharniere[[#This Row],[Scharnierart]]=select!$A$1486,Scharniere[[#This Row],[Gruppenschlüssel]]=select!$B$1486)=TRUE,1,0)</f>
        <v>0</v>
      </c>
      <c r="AG519" s="451">
        <f ca="1">IF(AND(Scharniere[[#This Row],[Scharnierart]]=select!$A$1487,Scharniere[[#This Row],[Gruppenschlüssel]]=select!$B$1487)=TRUE,1,0)</f>
        <v>0</v>
      </c>
      <c r="AH519" s="451">
        <f ca="1">IF(AND(Scharniere[[#This Row],[Scharnierart]]=select!$A$1488,Scharniere[[#This Row],[Gruppenschlüssel]]=select!$B$1488)=TRUE,1,0)</f>
        <v>0</v>
      </c>
      <c r="AI519" s="451">
        <f ca="1">IF(SUM(Scharniere[[#This Row],[konf Scharnier 1]:[konf Scharnier 4]])&gt;0,1,0)</f>
        <v>0</v>
      </c>
      <c r="AJ519" s="451"/>
      <c r="AK519" s="451"/>
      <c r="AL519" s="451"/>
      <c r="AM519" s="451"/>
      <c r="AN519" s="451"/>
      <c r="AO519" s="146">
        <v>1</v>
      </c>
      <c r="AP519" s="146">
        <v>3</v>
      </c>
      <c r="AQ519" s="10" t="str">
        <f ca="1">Sprache!$A$112</f>
        <v>Tiomos Scharnier TS Click-on</v>
      </c>
      <c r="AR519" t="str">
        <f ca="1">"160°, M-BB, K00, "&amp;Sprache!A181&amp;", ni"</f>
        <v>160°, M-BB, K00, Dübel, ni</v>
      </c>
      <c r="AS519" t="str">
        <f ca="1">Sprache!$A$103</f>
        <v>Tiomos Click-On Scharniere</v>
      </c>
      <c r="AT519">
        <v>0</v>
      </c>
      <c r="AU519" s="34" t="s">
        <v>8</v>
      </c>
      <c r="AV519">
        <v>160</v>
      </c>
      <c r="AW519" s="10">
        <v>1</v>
      </c>
      <c r="AX519">
        <v>0</v>
      </c>
      <c r="AY519">
        <v>0</v>
      </c>
      <c r="AZ519" s="10">
        <v>0</v>
      </c>
      <c r="BA519">
        <v>1</v>
      </c>
      <c r="BB519">
        <v>0</v>
      </c>
      <c r="BC519">
        <v>0</v>
      </c>
      <c r="BD519" s="143" t="s">
        <v>250</v>
      </c>
      <c r="BG519"/>
    </row>
    <row r="520" spans="1:59" ht="14.25" customHeight="1" x14ac:dyDescent="0.25">
      <c r="A520" s="37" t="str">
        <f>LEFT(Scharniere[[#This Row],[ArtikelNR]],4)</f>
        <v>F046</v>
      </c>
      <c r="B520" s="35" t="str">
        <f>MID(Scharniere[[#This Row],[ArtikelNR]],5,3)</f>
        <v>138</v>
      </c>
      <c r="C520" s="37" t="str">
        <f>RIGHT(Scharniere[[#This Row],[ArtikelNR]],3)</f>
        <v>229</v>
      </c>
      <c r="D520" s="35">
        <f>IF(AND(Scharniere[[#This Row],[Gruppenschlüssel]]=select!$A$44,Scharniere[[#This Row],[Scharnierart]]=1)=TRUE,1,0)</f>
        <v>0</v>
      </c>
      <c r="E5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0" s="35">
        <f>IF(select!$F$57=IF(Scharniere[[#This Row],[mit Dämpfung]]=1,1,IF(Scharniere[[#This Row],[ohne Dämpfung]]=1,2,IF(Scharniere[[#This Row],[ohne Feder]]=1,3,0))),1,0)</f>
        <v>1</v>
      </c>
      <c r="G520" s="35">
        <f>IF(Scharniere[[#This Row],[Bohrbild]]=select!$V$43,1,0)</f>
        <v>1</v>
      </c>
      <c r="H520" s="35">
        <f>IF(IF(Scharniere[[#This Row],[Anschrauben]]=1,1,IF(Scharniere[[#This Row],[Einpressen]]=1,2,IF(Scharniere[[#This Row],[Quick]]=1,3,IF(Scharniere[[#This Row],[Werkzeuglos]]=1,4,0))))=select!$F$48,1,0)</f>
        <v>1</v>
      </c>
      <c r="I5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0" s="149">
        <f>IF(AND(Scharniere[[#This Row],[Scharnierart]]=2,Scharniere[[#This Row],[Gruppenschlüssel]]=select!$A$318)=TRUE,1,0)</f>
        <v>0</v>
      </c>
      <c r="K520" s="221">
        <f ca="1">IF(select!$O$424&lt;6,1,0)</f>
        <v>1</v>
      </c>
      <c r="L520" s="139">
        <f>IF(select!$A$362=IF(Scharniere[[#This Row],[mit Dämpfung]]=1,1,IF(Scharniere[[#This Row],[ohne Dämpfung]]=1,2,IF(Scharniere[[#This Row],[ohne Feder]]=1,3,0))),1,0)</f>
        <v>0</v>
      </c>
      <c r="M520" s="135">
        <f>IF(Scharniere[[#This Row],[Bohrbild]]=select!$O$334,1,0)</f>
        <v>1</v>
      </c>
      <c r="N520" s="135">
        <f>IF(IF(Scharniere[[#This Row],[Anschrauben]]=1,1,IF(Scharniere[[#This Row],[Einpressen]]=1,2,IF(Scharniere[[#This Row],[Quick]]=1,3,IF(Scharniere[[#This Row],[Werkzeuglos]]=1,4,0))))=select!$E$362,1,0)</f>
        <v>0</v>
      </c>
      <c r="O5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0" s="298">
        <f>IF(AND(Scharniere[[#This Row],[Scharnierart]]=3,Scharniere[[#This Row],[Gruppenschlüssel]]=select!$A$747)=TRUE,1,0)</f>
        <v>0</v>
      </c>
      <c r="Q520" s="298">
        <f ca="1">IF(select!$O$945&lt;6,1,0)</f>
        <v>1</v>
      </c>
      <c r="R520" s="298">
        <f>IF(select!$A$778=IF(Scharniere[[#This Row],[mit Dämpfung]]=1,1,IF(Scharniere[[#This Row],[ohne Dämpfung]]=1,2,IF(Scharniere[[#This Row],[ohne Feder]]=1,3,0))),1,0)</f>
        <v>0</v>
      </c>
      <c r="S520" s="298">
        <f>IF(Scharniere[[#This Row],[Bohrbild]]=select!$A$755,1,0)</f>
        <v>0</v>
      </c>
      <c r="T520" s="298">
        <f>IF(IF(Scharniere[[#This Row],[Anschrauben]]=1,1,IF(Scharniere[[#This Row],[Einpressen]]=1,2,IF(Scharniere[[#This Row],[Quick]]=1,3,IF(Scharniere[[#This Row],[Werkzeuglos]]=1,4,0))))=select!$A$769,1,0)</f>
        <v>0</v>
      </c>
      <c r="U5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0" s="359">
        <f>IF(AND(Scharniere[[#This Row],[Scharnierart]]=4,Scharniere[[#This Row],[Gruppenschlüssel]]=select!$A$981)=TRUE,1,0)</f>
        <v>0</v>
      </c>
      <c r="W520" s="359">
        <f ca="1">IF(select!$O$1185&lt;6,1,0)</f>
        <v>1</v>
      </c>
      <c r="X520" s="359">
        <f>IF(select!$A$1012=IF(Scharniere[[#This Row],[mit Dämpfung]]=1,1,IF(Scharniere[[#This Row],[ohne Dämpfung]]=1,2,IF(Scharniere[[#This Row],[ohne Feder]]=1,3,0))),1,0)</f>
        <v>0</v>
      </c>
      <c r="Y520" s="359">
        <f>IF(Scharniere[[#This Row],[Bohrbild]]=select!$A$989,1,0)</f>
        <v>0</v>
      </c>
      <c r="Z520" s="359">
        <f>IF(IF(Scharniere[[#This Row],[Anschrauben]]=1,1,IF(Scharniere[[#This Row],[Einpressen]]=1,2,IF(Scharniere[[#This Row],[Quick]]=1,3,IF(Scharniere[[#This Row],[Werkzeuglos]]=1,4,0))))=select!$A$1003,1,0)</f>
        <v>0</v>
      </c>
      <c r="AA5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0" s="359">
        <f ca="1">IF(select!$K$980="*",Scharniere[[#This Row],[AG Ges2]],Scharniere[[#This Row],[AG Ges1]])</f>
        <v>0</v>
      </c>
      <c r="AE520" s="451">
        <f ca="1">IF(AND(Scharniere[[#This Row],[Scharnierart]]=select!$A$1485,Scharniere[[#This Row],[Gruppenschlüssel]]=select!$B$1485)=TRUE,1,0)</f>
        <v>0</v>
      </c>
      <c r="AF520" s="451">
        <f ca="1">IF(AND(Scharniere[[#This Row],[Scharnierart]]=select!$A$1486,Scharniere[[#This Row],[Gruppenschlüssel]]=select!$B$1486)=TRUE,1,0)</f>
        <v>0</v>
      </c>
      <c r="AG520" s="451">
        <f ca="1">IF(AND(Scharniere[[#This Row],[Scharnierart]]=select!$A$1487,Scharniere[[#This Row],[Gruppenschlüssel]]=select!$B$1487)=TRUE,1,0)</f>
        <v>0</v>
      </c>
      <c r="AH520" s="451">
        <f ca="1">IF(AND(Scharniere[[#This Row],[Scharnierart]]=select!$A$1488,Scharniere[[#This Row],[Gruppenschlüssel]]=select!$B$1488)=TRUE,1,0)</f>
        <v>0</v>
      </c>
      <c r="AI520" s="451">
        <f ca="1">IF(SUM(Scharniere[[#This Row],[konf Scharnier 1]:[konf Scharnier 4]])&gt;0,1,0)</f>
        <v>0</v>
      </c>
      <c r="AJ520" s="451"/>
      <c r="AK520" s="451"/>
      <c r="AL520" s="451"/>
      <c r="AM520" s="451"/>
      <c r="AN520" s="451"/>
      <c r="AO520" s="146">
        <v>1</v>
      </c>
      <c r="AP520" s="146">
        <v>3</v>
      </c>
      <c r="AQ520" s="10" t="str">
        <f ca="1">Sprache!$A$114</f>
        <v>Tiomos Scharnier TT Click-on</v>
      </c>
      <c r="AR520" t="str">
        <f ca="1">"160°, M-BB, K00, "&amp;Sprache!A181&amp;", ni"</f>
        <v>160°, M-BB, K00, Dübel, ni</v>
      </c>
      <c r="AS520" t="str">
        <f ca="1">Sprache!$A$103</f>
        <v>Tiomos Click-On Scharniere</v>
      </c>
      <c r="AT520">
        <v>0</v>
      </c>
      <c r="AU520" s="34" t="s">
        <v>8</v>
      </c>
      <c r="AV520">
        <v>160</v>
      </c>
      <c r="AW520" s="10">
        <v>0</v>
      </c>
      <c r="AX520">
        <v>0</v>
      </c>
      <c r="AY520">
        <v>1</v>
      </c>
      <c r="AZ520" s="10">
        <v>0</v>
      </c>
      <c r="BA520">
        <v>1</v>
      </c>
      <c r="BB520">
        <v>0</v>
      </c>
      <c r="BC520">
        <v>0</v>
      </c>
      <c r="BD520" s="143" t="s">
        <v>598</v>
      </c>
      <c r="BG520"/>
    </row>
    <row r="521" spans="1:59" ht="14.25" customHeight="1" x14ac:dyDescent="0.25">
      <c r="A521" s="37" t="str">
        <f>LEFT(Scharniere[[#This Row],[ArtikelNR]],4)</f>
        <v>F045</v>
      </c>
      <c r="B521" s="35" t="str">
        <f>MID(Scharniere[[#This Row],[ArtikelNR]],5,3)</f>
        <v>138</v>
      </c>
      <c r="C521" s="37" t="str">
        <f>RIGHT(Scharniere[[#This Row],[ArtikelNR]],3)</f>
        <v>042</v>
      </c>
      <c r="D521" s="35">
        <f>IF(AND(Scharniere[[#This Row],[Gruppenschlüssel]]=select!$A$44,Scharniere[[#This Row],[Scharnierart]]=1)=TRUE,1,0)</f>
        <v>0</v>
      </c>
      <c r="E5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1" s="35">
        <f>IF(select!$F$57=IF(Scharniere[[#This Row],[mit Dämpfung]]=1,1,IF(Scharniere[[#This Row],[ohne Dämpfung]]=1,2,IF(Scharniere[[#This Row],[ohne Feder]]=1,3,0))),1,0)</f>
        <v>0</v>
      </c>
      <c r="G521" s="35">
        <f>IF(Scharniere[[#This Row],[Bohrbild]]=select!$V$43,1,0)</f>
        <v>1</v>
      </c>
      <c r="H521" s="35">
        <f>IF(IF(Scharniere[[#This Row],[Anschrauben]]=1,1,IF(Scharniere[[#This Row],[Einpressen]]=1,2,IF(Scharniere[[#This Row],[Quick]]=1,3,IF(Scharniere[[#This Row],[Werkzeuglos]]=1,4,0))))=select!$F$48,1,0)</f>
        <v>0</v>
      </c>
      <c r="I5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1" s="149">
        <f>IF(AND(Scharniere[[#This Row],[Scharnierart]]=2,Scharniere[[#This Row],[Gruppenschlüssel]]=select!$A$318)=TRUE,1,0)</f>
        <v>0</v>
      </c>
      <c r="K521" s="221">
        <f ca="1">IF(select!$O$424&lt;6,1,0)</f>
        <v>1</v>
      </c>
      <c r="L521" s="139">
        <f>IF(select!$A$362=IF(Scharniere[[#This Row],[mit Dämpfung]]=1,1,IF(Scharniere[[#This Row],[ohne Dämpfung]]=1,2,IF(Scharniere[[#This Row],[ohne Feder]]=1,3,0))),1,0)</f>
        <v>0</v>
      </c>
      <c r="M521" s="135">
        <f>IF(Scharniere[[#This Row],[Bohrbild]]=select!$O$334,1,0)</f>
        <v>1</v>
      </c>
      <c r="N521" s="135">
        <f>IF(IF(Scharniere[[#This Row],[Anschrauben]]=1,1,IF(Scharniere[[#This Row],[Einpressen]]=1,2,IF(Scharniere[[#This Row],[Quick]]=1,3,IF(Scharniere[[#This Row],[Werkzeuglos]]=1,4,0))))=select!$E$362,1,0)</f>
        <v>1</v>
      </c>
      <c r="O5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1" s="298">
        <f>IF(AND(Scharniere[[#This Row],[Scharnierart]]=3,Scharniere[[#This Row],[Gruppenschlüssel]]=select!$A$747)=TRUE,1,0)</f>
        <v>0</v>
      </c>
      <c r="Q521" s="298">
        <f ca="1">IF(select!$O$945&lt;6,1,0)</f>
        <v>1</v>
      </c>
      <c r="R521" s="298">
        <f>IF(select!$A$778=IF(Scharniere[[#This Row],[mit Dämpfung]]=1,1,IF(Scharniere[[#This Row],[ohne Dämpfung]]=1,2,IF(Scharniere[[#This Row],[ohne Feder]]=1,3,0))),1,0)</f>
        <v>1</v>
      </c>
      <c r="S521" s="298">
        <f>IF(Scharniere[[#This Row],[Bohrbild]]=select!$A$755,1,0)</f>
        <v>0</v>
      </c>
      <c r="T521" s="298">
        <f>IF(IF(Scharniere[[#This Row],[Anschrauben]]=1,1,IF(Scharniere[[#This Row],[Einpressen]]=1,2,IF(Scharniere[[#This Row],[Quick]]=1,3,IF(Scharniere[[#This Row],[Werkzeuglos]]=1,4,0))))=select!$A$769,1,0)</f>
        <v>1</v>
      </c>
      <c r="U5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1" s="359">
        <f>IF(AND(Scharniere[[#This Row],[Scharnierart]]=4,Scharniere[[#This Row],[Gruppenschlüssel]]=select!$A$981)=TRUE,1,0)</f>
        <v>0</v>
      </c>
      <c r="W521" s="359">
        <f ca="1">IF(select!$O$1185&lt;6,1,0)</f>
        <v>1</v>
      </c>
      <c r="X521" s="359">
        <f>IF(select!$A$1012=IF(Scharniere[[#This Row],[mit Dämpfung]]=1,1,IF(Scharniere[[#This Row],[ohne Dämpfung]]=1,2,IF(Scharniere[[#This Row],[ohne Feder]]=1,3,0))),1,0)</f>
        <v>1</v>
      </c>
      <c r="Y521" s="359">
        <f>IF(Scharniere[[#This Row],[Bohrbild]]=select!$A$989,1,0)</f>
        <v>0</v>
      </c>
      <c r="Z521" s="359">
        <f>IF(IF(Scharniere[[#This Row],[Anschrauben]]=1,1,IF(Scharniere[[#This Row],[Einpressen]]=1,2,IF(Scharniere[[#This Row],[Quick]]=1,3,IF(Scharniere[[#This Row],[Werkzeuglos]]=1,4,0))))=select!$A$1003,1,0)</f>
        <v>1</v>
      </c>
      <c r="AA5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1" s="359">
        <f ca="1">IF(select!$K$980="*",Scharniere[[#This Row],[AG Ges2]],Scharniere[[#This Row],[AG Ges1]])</f>
        <v>0</v>
      </c>
      <c r="AE521" s="451">
        <f ca="1">IF(AND(Scharniere[[#This Row],[Scharnierart]]=select!$A$1485,Scharniere[[#This Row],[Gruppenschlüssel]]=select!$B$1485)=TRUE,1,0)</f>
        <v>0</v>
      </c>
      <c r="AF521" s="451">
        <f ca="1">IF(AND(Scharniere[[#This Row],[Scharnierart]]=select!$A$1486,Scharniere[[#This Row],[Gruppenschlüssel]]=select!$B$1486)=TRUE,1,0)</f>
        <v>0</v>
      </c>
      <c r="AG521" s="451">
        <f ca="1">IF(AND(Scharniere[[#This Row],[Scharnierart]]=select!$A$1487,Scharniere[[#This Row],[Gruppenschlüssel]]=select!$B$1487)=TRUE,1,0)</f>
        <v>0</v>
      </c>
      <c r="AH521" s="451">
        <f ca="1">IF(AND(Scharniere[[#This Row],[Scharnierart]]=select!$A$1488,Scharniere[[#This Row],[Gruppenschlüssel]]=select!$B$1488)=TRUE,1,0)</f>
        <v>0</v>
      </c>
      <c r="AI521" s="451">
        <f ca="1">IF(SUM(Scharniere[[#This Row],[konf Scharnier 1]:[konf Scharnier 4]])&gt;0,1,0)</f>
        <v>0</v>
      </c>
      <c r="AJ521" s="451"/>
      <c r="AK521" s="451"/>
      <c r="AL521" s="451"/>
      <c r="AM521" s="451"/>
      <c r="AN521" s="451"/>
      <c r="AO521" s="146">
        <v>1</v>
      </c>
      <c r="AP521" s="146">
        <v>3</v>
      </c>
      <c r="AQ521" s="10" t="str">
        <f ca="1">Sprache!$A$110</f>
        <v>Tiomos Scharnier T Click-on</v>
      </c>
      <c r="AR521" t="s">
        <v>246</v>
      </c>
      <c r="AS521" t="str">
        <f ca="1">Sprache!$A$103</f>
        <v>Tiomos Click-On Scharniere</v>
      </c>
      <c r="AT521">
        <v>0</v>
      </c>
      <c r="AU521" s="34" t="s">
        <v>8</v>
      </c>
      <c r="AV521">
        <v>160</v>
      </c>
      <c r="AW521" s="10">
        <v>0</v>
      </c>
      <c r="AX521">
        <v>1</v>
      </c>
      <c r="AY521">
        <v>0</v>
      </c>
      <c r="AZ521" s="10">
        <v>1</v>
      </c>
      <c r="BA521">
        <v>0</v>
      </c>
      <c r="BB521">
        <v>0</v>
      </c>
      <c r="BC521">
        <v>0</v>
      </c>
      <c r="BD521" s="143" t="s">
        <v>443</v>
      </c>
      <c r="BG521"/>
    </row>
    <row r="522" spans="1:59" ht="14.25" customHeight="1" x14ac:dyDescent="0.25">
      <c r="A522" s="37" t="str">
        <f>LEFT(Scharniere[[#This Row],[ArtikelNR]],4)</f>
        <v>F028</v>
      </c>
      <c r="B522" s="35" t="str">
        <f>MID(Scharniere[[#This Row],[ArtikelNR]],5,3)</f>
        <v>138</v>
      </c>
      <c r="C522" s="37" t="str">
        <f>RIGHT(Scharniere[[#This Row],[ArtikelNR]],3)</f>
        <v>135</v>
      </c>
      <c r="D522" s="35">
        <f>IF(AND(Scharniere[[#This Row],[Gruppenschlüssel]]=select!$A$44,Scharniere[[#This Row],[Scharnierart]]=1)=TRUE,1,0)</f>
        <v>0</v>
      </c>
      <c r="E5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2" s="35">
        <f>IF(select!$F$57=IF(Scharniere[[#This Row],[mit Dämpfung]]=1,1,IF(Scharniere[[#This Row],[ohne Dämpfung]]=1,2,IF(Scharniere[[#This Row],[ohne Feder]]=1,3,0))),1,0)</f>
        <v>0</v>
      </c>
      <c r="G522" s="35">
        <f>IF(Scharniere[[#This Row],[Bohrbild]]=select!$V$43,1,0)</f>
        <v>1</v>
      </c>
      <c r="H522" s="35">
        <f>IF(IF(Scharniere[[#This Row],[Anschrauben]]=1,1,IF(Scharniere[[#This Row],[Einpressen]]=1,2,IF(Scharniere[[#This Row],[Quick]]=1,3,IF(Scharniere[[#This Row],[Werkzeuglos]]=1,4,0))))=select!$F$48,1,0)</f>
        <v>0</v>
      </c>
      <c r="I5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2" s="149">
        <f>IF(AND(Scharniere[[#This Row],[Scharnierart]]=2,Scharniere[[#This Row],[Gruppenschlüssel]]=select!$A$318)=TRUE,1,0)</f>
        <v>0</v>
      </c>
      <c r="K522" s="221">
        <f ca="1">IF(select!$O$424&lt;6,1,0)</f>
        <v>1</v>
      </c>
      <c r="L522" s="139">
        <f>IF(select!$A$362=IF(Scharniere[[#This Row],[mit Dämpfung]]=1,1,IF(Scharniere[[#This Row],[ohne Dämpfung]]=1,2,IF(Scharniere[[#This Row],[ohne Feder]]=1,3,0))),1,0)</f>
        <v>1</v>
      </c>
      <c r="M522" s="135">
        <f>IF(Scharniere[[#This Row],[Bohrbild]]=select!$O$334,1,0)</f>
        <v>1</v>
      </c>
      <c r="N522" s="135">
        <f>IF(IF(Scharniere[[#This Row],[Anschrauben]]=1,1,IF(Scharniere[[#This Row],[Einpressen]]=1,2,IF(Scharniere[[#This Row],[Quick]]=1,3,IF(Scharniere[[#This Row],[Werkzeuglos]]=1,4,0))))=select!$E$362,1,0)</f>
        <v>1</v>
      </c>
      <c r="O5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2" s="298">
        <f>IF(AND(Scharniere[[#This Row],[Scharnierart]]=3,Scharniere[[#This Row],[Gruppenschlüssel]]=select!$A$747)=TRUE,1,0)</f>
        <v>0</v>
      </c>
      <c r="Q522" s="298">
        <f ca="1">IF(select!$O$945&lt;6,1,0)</f>
        <v>1</v>
      </c>
      <c r="R522" s="298">
        <f>IF(select!$A$778=IF(Scharniere[[#This Row],[mit Dämpfung]]=1,1,IF(Scharniere[[#This Row],[ohne Dämpfung]]=1,2,IF(Scharniere[[#This Row],[ohne Feder]]=1,3,0))),1,0)</f>
        <v>0</v>
      </c>
      <c r="S522" s="298">
        <f>IF(Scharniere[[#This Row],[Bohrbild]]=select!$A$755,1,0)</f>
        <v>0</v>
      </c>
      <c r="T522" s="298">
        <f>IF(IF(Scharniere[[#This Row],[Anschrauben]]=1,1,IF(Scharniere[[#This Row],[Einpressen]]=1,2,IF(Scharniere[[#This Row],[Quick]]=1,3,IF(Scharniere[[#This Row],[Werkzeuglos]]=1,4,0))))=select!$A$769,1,0)</f>
        <v>1</v>
      </c>
      <c r="U5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2" s="359">
        <f>IF(AND(Scharniere[[#This Row],[Scharnierart]]=4,Scharniere[[#This Row],[Gruppenschlüssel]]=select!$A$981)=TRUE,1,0)</f>
        <v>0</v>
      </c>
      <c r="W522" s="359">
        <f ca="1">IF(select!$O$1185&lt;6,1,0)</f>
        <v>1</v>
      </c>
      <c r="X522" s="359">
        <f>IF(select!$A$1012=IF(Scharniere[[#This Row],[mit Dämpfung]]=1,1,IF(Scharniere[[#This Row],[ohne Dämpfung]]=1,2,IF(Scharniere[[#This Row],[ohne Feder]]=1,3,0))),1,0)</f>
        <v>0</v>
      </c>
      <c r="Y522" s="359">
        <f>IF(Scharniere[[#This Row],[Bohrbild]]=select!$A$989,1,0)</f>
        <v>0</v>
      </c>
      <c r="Z522" s="359">
        <f>IF(IF(Scharniere[[#This Row],[Anschrauben]]=1,1,IF(Scharniere[[#This Row],[Einpressen]]=1,2,IF(Scharniere[[#This Row],[Quick]]=1,3,IF(Scharniere[[#This Row],[Werkzeuglos]]=1,4,0))))=select!$A$1003,1,0)</f>
        <v>1</v>
      </c>
      <c r="AA5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2" s="359">
        <f ca="1">IF(select!$K$980="*",Scharniere[[#This Row],[AG Ges2]],Scharniere[[#This Row],[AG Ges1]])</f>
        <v>0</v>
      </c>
      <c r="AE522" s="451">
        <f ca="1">IF(AND(Scharniere[[#This Row],[Scharnierart]]=select!$A$1485,Scharniere[[#This Row],[Gruppenschlüssel]]=select!$B$1485)=TRUE,1,0)</f>
        <v>0</v>
      </c>
      <c r="AF522" s="451">
        <f ca="1">IF(AND(Scharniere[[#This Row],[Scharnierart]]=select!$A$1486,Scharniere[[#This Row],[Gruppenschlüssel]]=select!$B$1486)=TRUE,1,0)</f>
        <v>0</v>
      </c>
      <c r="AG522" s="451">
        <f ca="1">IF(AND(Scharniere[[#This Row],[Scharnierart]]=select!$A$1487,Scharniere[[#This Row],[Gruppenschlüssel]]=select!$B$1487)=TRUE,1,0)</f>
        <v>0</v>
      </c>
      <c r="AH522" s="451">
        <f ca="1">IF(AND(Scharniere[[#This Row],[Scharnierart]]=select!$A$1488,Scharniere[[#This Row],[Gruppenschlüssel]]=select!$B$1488)=TRUE,1,0)</f>
        <v>0</v>
      </c>
      <c r="AI522" s="451">
        <f ca="1">IF(SUM(Scharniere[[#This Row],[konf Scharnier 1]:[konf Scharnier 4]])&gt;0,1,0)</f>
        <v>0</v>
      </c>
      <c r="AJ522" s="451"/>
      <c r="AK522" s="451"/>
      <c r="AL522" s="451"/>
      <c r="AM522" s="451"/>
      <c r="AN522" s="451"/>
      <c r="AO522" s="146">
        <v>1</v>
      </c>
      <c r="AP522" s="146">
        <v>3</v>
      </c>
      <c r="AQ522" s="10" t="str">
        <f ca="1">Sprache!$A$112</f>
        <v>Tiomos Scharnier TS Click-on</v>
      </c>
      <c r="AR522" t="s">
        <v>246</v>
      </c>
      <c r="AS522" t="str">
        <f ca="1">Sprache!$A$103</f>
        <v>Tiomos Click-On Scharniere</v>
      </c>
      <c r="AT522">
        <v>0</v>
      </c>
      <c r="AU522" s="10" t="s">
        <v>8</v>
      </c>
      <c r="AV522">
        <v>160</v>
      </c>
      <c r="AW522" s="10">
        <v>1</v>
      </c>
      <c r="AX522">
        <v>0</v>
      </c>
      <c r="AY522">
        <v>0</v>
      </c>
      <c r="AZ522" s="10">
        <v>1</v>
      </c>
      <c r="BA522">
        <v>0</v>
      </c>
      <c r="BB522">
        <v>0</v>
      </c>
      <c r="BC522">
        <v>0</v>
      </c>
      <c r="BD522" s="143" t="s">
        <v>245</v>
      </c>
      <c r="BG522"/>
    </row>
    <row r="523" spans="1:59" ht="14.25" customHeight="1" x14ac:dyDescent="0.25">
      <c r="A523" s="37" t="str">
        <f>LEFT(Scharniere[[#This Row],[ArtikelNR]],4)</f>
        <v>F046</v>
      </c>
      <c r="B523" s="35" t="str">
        <f>MID(Scharniere[[#This Row],[ArtikelNR]],5,3)</f>
        <v>138</v>
      </c>
      <c r="C523" s="37" t="str">
        <f>RIGHT(Scharniere[[#This Row],[ArtikelNR]],3)</f>
        <v>226</v>
      </c>
      <c r="D523" s="35">
        <f>IF(AND(Scharniere[[#This Row],[Gruppenschlüssel]]=select!$A$44,Scharniere[[#This Row],[Scharnierart]]=1)=TRUE,1,0)</f>
        <v>0</v>
      </c>
      <c r="E5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3" s="35">
        <f>IF(select!$F$57=IF(Scharniere[[#This Row],[mit Dämpfung]]=1,1,IF(Scharniere[[#This Row],[ohne Dämpfung]]=1,2,IF(Scharniere[[#This Row],[ohne Feder]]=1,3,0))),1,0)</f>
        <v>1</v>
      </c>
      <c r="G523" s="35">
        <f>IF(Scharniere[[#This Row],[Bohrbild]]=select!$V$43,1,0)</f>
        <v>1</v>
      </c>
      <c r="H523" s="35">
        <f>IF(IF(Scharniere[[#This Row],[Anschrauben]]=1,1,IF(Scharniere[[#This Row],[Einpressen]]=1,2,IF(Scharniere[[#This Row],[Quick]]=1,3,IF(Scharniere[[#This Row],[Werkzeuglos]]=1,4,0))))=select!$F$48,1,0)</f>
        <v>0</v>
      </c>
      <c r="I5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3" s="149">
        <f>IF(AND(Scharniere[[#This Row],[Scharnierart]]=2,Scharniere[[#This Row],[Gruppenschlüssel]]=select!$A$318)=TRUE,1,0)</f>
        <v>0</v>
      </c>
      <c r="K523" s="221">
        <f ca="1">IF(select!$O$424&lt;6,1,0)</f>
        <v>1</v>
      </c>
      <c r="L523" s="139">
        <f>IF(select!$A$362=IF(Scharniere[[#This Row],[mit Dämpfung]]=1,1,IF(Scharniere[[#This Row],[ohne Dämpfung]]=1,2,IF(Scharniere[[#This Row],[ohne Feder]]=1,3,0))),1,0)</f>
        <v>0</v>
      </c>
      <c r="M523" s="135">
        <f>IF(Scharniere[[#This Row],[Bohrbild]]=select!$O$334,1,0)</f>
        <v>1</v>
      </c>
      <c r="N523" s="135">
        <f>IF(IF(Scharniere[[#This Row],[Anschrauben]]=1,1,IF(Scharniere[[#This Row],[Einpressen]]=1,2,IF(Scharniere[[#This Row],[Quick]]=1,3,IF(Scharniere[[#This Row],[Werkzeuglos]]=1,4,0))))=select!$E$362,1,0)</f>
        <v>1</v>
      </c>
      <c r="O5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3" s="298">
        <f>IF(AND(Scharniere[[#This Row],[Scharnierart]]=3,Scharniere[[#This Row],[Gruppenschlüssel]]=select!$A$747)=TRUE,1,0)</f>
        <v>0</v>
      </c>
      <c r="Q523" s="298">
        <f ca="1">IF(select!$O$945&lt;6,1,0)</f>
        <v>1</v>
      </c>
      <c r="R523" s="298">
        <f>IF(select!$A$778=IF(Scharniere[[#This Row],[mit Dämpfung]]=1,1,IF(Scharniere[[#This Row],[ohne Dämpfung]]=1,2,IF(Scharniere[[#This Row],[ohne Feder]]=1,3,0))),1,0)</f>
        <v>0</v>
      </c>
      <c r="S523" s="298">
        <f>IF(Scharniere[[#This Row],[Bohrbild]]=select!$A$755,1,0)</f>
        <v>0</v>
      </c>
      <c r="T523" s="298">
        <f>IF(IF(Scharniere[[#This Row],[Anschrauben]]=1,1,IF(Scharniere[[#This Row],[Einpressen]]=1,2,IF(Scharniere[[#This Row],[Quick]]=1,3,IF(Scharniere[[#This Row],[Werkzeuglos]]=1,4,0))))=select!$A$769,1,0)</f>
        <v>1</v>
      </c>
      <c r="U5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3" s="359">
        <f>IF(AND(Scharniere[[#This Row],[Scharnierart]]=4,Scharniere[[#This Row],[Gruppenschlüssel]]=select!$A$981)=TRUE,1,0)</f>
        <v>0</v>
      </c>
      <c r="W523" s="359">
        <f ca="1">IF(select!$O$1185&lt;6,1,0)</f>
        <v>1</v>
      </c>
      <c r="X523" s="359">
        <f>IF(select!$A$1012=IF(Scharniere[[#This Row],[mit Dämpfung]]=1,1,IF(Scharniere[[#This Row],[ohne Dämpfung]]=1,2,IF(Scharniere[[#This Row],[ohne Feder]]=1,3,0))),1,0)</f>
        <v>0</v>
      </c>
      <c r="Y523" s="359">
        <f>IF(Scharniere[[#This Row],[Bohrbild]]=select!$A$989,1,0)</f>
        <v>0</v>
      </c>
      <c r="Z523" s="359">
        <f>IF(IF(Scharniere[[#This Row],[Anschrauben]]=1,1,IF(Scharniere[[#This Row],[Einpressen]]=1,2,IF(Scharniere[[#This Row],[Quick]]=1,3,IF(Scharniere[[#This Row],[Werkzeuglos]]=1,4,0))))=select!$A$1003,1,0)</f>
        <v>1</v>
      </c>
      <c r="AA5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3" s="359">
        <f ca="1">IF(select!$K$980="*",Scharniere[[#This Row],[AG Ges2]],Scharniere[[#This Row],[AG Ges1]])</f>
        <v>0</v>
      </c>
      <c r="AE523" s="451">
        <f ca="1">IF(AND(Scharniere[[#This Row],[Scharnierart]]=select!$A$1485,Scharniere[[#This Row],[Gruppenschlüssel]]=select!$B$1485)=TRUE,1,0)</f>
        <v>0</v>
      </c>
      <c r="AF523" s="451">
        <f ca="1">IF(AND(Scharniere[[#This Row],[Scharnierart]]=select!$A$1486,Scharniere[[#This Row],[Gruppenschlüssel]]=select!$B$1486)=TRUE,1,0)</f>
        <v>0</v>
      </c>
      <c r="AG523" s="451">
        <f ca="1">IF(AND(Scharniere[[#This Row],[Scharnierart]]=select!$A$1487,Scharniere[[#This Row],[Gruppenschlüssel]]=select!$B$1487)=TRUE,1,0)</f>
        <v>0</v>
      </c>
      <c r="AH523" s="451">
        <f ca="1">IF(AND(Scharniere[[#This Row],[Scharnierart]]=select!$A$1488,Scharniere[[#This Row],[Gruppenschlüssel]]=select!$B$1488)=TRUE,1,0)</f>
        <v>0</v>
      </c>
      <c r="AI523" s="451">
        <f ca="1">IF(SUM(Scharniere[[#This Row],[konf Scharnier 1]:[konf Scharnier 4]])&gt;0,1,0)</f>
        <v>0</v>
      </c>
      <c r="AJ523" s="451"/>
      <c r="AK523" s="451"/>
      <c r="AL523" s="451"/>
      <c r="AM523" s="451"/>
      <c r="AN523" s="451"/>
      <c r="AO523" s="146">
        <v>1</v>
      </c>
      <c r="AP523" s="146">
        <v>3</v>
      </c>
      <c r="AQ523" s="10" t="str">
        <f ca="1">Sprache!$A$114</f>
        <v>Tiomos Scharnier TT Click-on</v>
      </c>
      <c r="AR523" t="s">
        <v>246</v>
      </c>
      <c r="AS523" t="str">
        <f ca="1">Sprache!$A$103</f>
        <v>Tiomos Click-On Scharniere</v>
      </c>
      <c r="AT523">
        <v>0</v>
      </c>
      <c r="AU523" s="34" t="s">
        <v>8</v>
      </c>
      <c r="AV523">
        <v>160</v>
      </c>
      <c r="AW523" s="10">
        <v>0</v>
      </c>
      <c r="AX523">
        <v>0</v>
      </c>
      <c r="AY523">
        <v>1</v>
      </c>
      <c r="AZ523" s="10">
        <v>1</v>
      </c>
      <c r="BA523">
        <v>0</v>
      </c>
      <c r="BB523">
        <v>0</v>
      </c>
      <c r="BC523">
        <v>0</v>
      </c>
      <c r="BD523" s="143" t="s">
        <v>595</v>
      </c>
      <c r="BG523"/>
    </row>
    <row r="524" spans="1:59" ht="14.25" customHeight="1" x14ac:dyDescent="0.25">
      <c r="A524" s="37" t="str">
        <f>LEFT(Scharniere[[#This Row],[ArtikelNR]],4)</f>
        <v>F034</v>
      </c>
      <c r="B524" s="35" t="str">
        <f>MID(Scharniere[[#This Row],[ArtikelNR]],5,3)</f>
        <v>139</v>
      </c>
      <c r="C524" s="37" t="str">
        <f>RIGHT(Scharniere[[#This Row],[ArtikelNR]],3)</f>
        <v>321</v>
      </c>
      <c r="D524" s="35">
        <f>IF(AND(Scharniere[[#This Row],[Gruppenschlüssel]]=select!$A$44,Scharniere[[#This Row],[Scharnierart]]=1)=TRUE,1,0)</f>
        <v>0</v>
      </c>
      <c r="E5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4" s="35">
        <f>IF(select!$F$57=IF(Scharniere[[#This Row],[mit Dämpfung]]=1,1,IF(Scharniere[[#This Row],[ohne Dämpfung]]=1,2,IF(Scharniere[[#This Row],[ohne Feder]]=1,3,0))),1,0)</f>
        <v>0</v>
      </c>
      <c r="G524" s="35">
        <f>IF(Scharniere[[#This Row],[Bohrbild]]=select!$V$43,1,0)</f>
        <v>1</v>
      </c>
      <c r="H524" s="35">
        <f>IF(IF(Scharniere[[#This Row],[Anschrauben]]=1,1,IF(Scharniere[[#This Row],[Einpressen]]=1,2,IF(Scharniere[[#This Row],[Quick]]=1,3,IF(Scharniere[[#This Row],[Werkzeuglos]]=1,4,0))))=select!$F$48,1,0)</f>
        <v>0</v>
      </c>
      <c r="I5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4" s="149">
        <f>IF(AND(Scharniere[[#This Row],[Scharnierart]]=2,Scharniere[[#This Row],[Gruppenschlüssel]]=select!$A$318)=TRUE,1,0)</f>
        <v>0</v>
      </c>
      <c r="K524" s="221">
        <f ca="1">IF(select!$O$424&lt;6,1,0)</f>
        <v>1</v>
      </c>
      <c r="L524" s="139">
        <f>IF(select!$A$362=IF(Scharniere[[#This Row],[mit Dämpfung]]=1,1,IF(Scharniere[[#This Row],[ohne Dämpfung]]=1,2,IF(Scharniere[[#This Row],[ohne Feder]]=1,3,0))),1,0)</f>
        <v>0</v>
      </c>
      <c r="M524" s="135">
        <f>IF(Scharniere[[#This Row],[Bohrbild]]=select!$O$334,1,0)</f>
        <v>1</v>
      </c>
      <c r="N524" s="135">
        <f>IF(IF(Scharniere[[#This Row],[Anschrauben]]=1,1,IF(Scharniere[[#This Row],[Einpressen]]=1,2,IF(Scharniere[[#This Row],[Quick]]=1,3,IF(Scharniere[[#This Row],[Werkzeuglos]]=1,4,0))))=select!$E$362,1,0)</f>
        <v>0</v>
      </c>
      <c r="O5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4" s="298">
        <f>IF(AND(Scharniere[[#This Row],[Scharnierart]]=3,Scharniere[[#This Row],[Gruppenschlüssel]]=select!$A$747)=TRUE,1,0)</f>
        <v>0</v>
      </c>
      <c r="Q524" s="298">
        <f ca="1">IF(select!$O$945&lt;6,1,0)</f>
        <v>1</v>
      </c>
      <c r="R524" s="298">
        <f>IF(select!$A$778=IF(Scharniere[[#This Row],[mit Dämpfung]]=1,1,IF(Scharniere[[#This Row],[ohne Dämpfung]]=1,2,IF(Scharniere[[#This Row],[ohne Feder]]=1,3,0))),1,0)</f>
        <v>1</v>
      </c>
      <c r="S524" s="298">
        <f>IF(Scharniere[[#This Row],[Bohrbild]]=select!$A$755,1,0)</f>
        <v>0</v>
      </c>
      <c r="T524" s="298">
        <f>IF(IF(Scharniere[[#This Row],[Anschrauben]]=1,1,IF(Scharniere[[#This Row],[Einpressen]]=1,2,IF(Scharniere[[#This Row],[Quick]]=1,3,IF(Scharniere[[#This Row],[Werkzeuglos]]=1,4,0))))=select!$A$769,1,0)</f>
        <v>0</v>
      </c>
      <c r="U5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4" s="359">
        <f>IF(AND(Scharniere[[#This Row],[Scharnierart]]=4,Scharniere[[#This Row],[Gruppenschlüssel]]=select!$A$981)=TRUE,1,0)</f>
        <v>0</v>
      </c>
      <c r="W524" s="359">
        <f ca="1">IF(select!$O$1185&lt;6,1,0)</f>
        <v>1</v>
      </c>
      <c r="X524" s="359">
        <f>IF(select!$A$1012=IF(Scharniere[[#This Row],[mit Dämpfung]]=1,1,IF(Scharniere[[#This Row],[ohne Dämpfung]]=1,2,IF(Scharniere[[#This Row],[ohne Feder]]=1,3,0))),1,0)</f>
        <v>1</v>
      </c>
      <c r="Y524" s="359">
        <f>IF(Scharniere[[#This Row],[Bohrbild]]=select!$A$989,1,0)</f>
        <v>0</v>
      </c>
      <c r="Z524" s="359">
        <f>IF(IF(Scharniere[[#This Row],[Anschrauben]]=1,1,IF(Scharniere[[#This Row],[Einpressen]]=1,2,IF(Scharniere[[#This Row],[Quick]]=1,3,IF(Scharniere[[#This Row],[Werkzeuglos]]=1,4,0))))=select!$A$1003,1,0)</f>
        <v>0</v>
      </c>
      <c r="AA5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4" s="359">
        <f ca="1">IF(select!$K$980="*",Scharniere[[#This Row],[AG Ges2]],Scharniere[[#This Row],[AG Ges1]])</f>
        <v>0</v>
      </c>
      <c r="AE524" s="451">
        <f ca="1">IF(AND(Scharniere[[#This Row],[Scharnierart]]=select!$A$1485,Scharniere[[#This Row],[Gruppenschlüssel]]=select!$B$1485)=TRUE,1,0)</f>
        <v>0</v>
      </c>
      <c r="AF524" s="451">
        <f ca="1">IF(AND(Scharniere[[#This Row],[Scharnierart]]=select!$A$1486,Scharniere[[#This Row],[Gruppenschlüssel]]=select!$B$1486)=TRUE,1,0)</f>
        <v>0</v>
      </c>
      <c r="AG524" s="451">
        <f ca="1">IF(AND(Scharniere[[#This Row],[Scharnierart]]=select!$A$1487,Scharniere[[#This Row],[Gruppenschlüssel]]=select!$B$1487)=TRUE,1,0)</f>
        <v>0</v>
      </c>
      <c r="AH524" s="451">
        <f ca="1">IF(AND(Scharniere[[#This Row],[Scharnierart]]=select!$A$1488,Scharniere[[#This Row],[Gruppenschlüssel]]=select!$B$1488)=TRUE,1,0)</f>
        <v>0</v>
      </c>
      <c r="AI524" s="451">
        <f ca="1">IF(SUM(Scharniere[[#This Row],[konf Scharnier 1]:[konf Scharnier 4]])&gt;0,1,0)</f>
        <v>0</v>
      </c>
      <c r="AJ524" s="451"/>
      <c r="AK524" s="451"/>
      <c r="AL524" s="451"/>
      <c r="AM524" s="451"/>
      <c r="AN524" s="451"/>
      <c r="AO524" s="146">
        <v>1</v>
      </c>
      <c r="AP524" s="146">
        <v>3</v>
      </c>
      <c r="AQ524" s="10" t="str">
        <f ca="1">Sprache!$A$111</f>
        <v>Tiomos Scharnier T Impresso</v>
      </c>
      <c r="AR524" t="s">
        <v>74</v>
      </c>
      <c r="AS524" t="str">
        <f ca="1">Sprache!$A$116</f>
        <v>Tiomos Impresso Scharniere</v>
      </c>
      <c r="AT524">
        <v>0</v>
      </c>
      <c r="AU524" s="34" t="s">
        <v>8</v>
      </c>
      <c r="AV524">
        <v>160</v>
      </c>
      <c r="AW524" s="10">
        <v>0</v>
      </c>
      <c r="AX524">
        <v>1</v>
      </c>
      <c r="AY524">
        <v>0</v>
      </c>
      <c r="AZ524" s="10">
        <v>0</v>
      </c>
      <c r="BA524">
        <v>0</v>
      </c>
      <c r="BB524">
        <v>0</v>
      </c>
      <c r="BC524">
        <v>1</v>
      </c>
      <c r="BD524" s="143" t="s">
        <v>144</v>
      </c>
      <c r="BG524"/>
    </row>
    <row r="525" spans="1:59" ht="14.25" customHeight="1" x14ac:dyDescent="0.25">
      <c r="A525" s="37" t="str">
        <f>LEFT(Scharniere[[#This Row],[ArtikelNR]],4)</f>
        <v>F034</v>
      </c>
      <c r="B525" s="35" t="str">
        <f>MID(Scharniere[[#This Row],[ArtikelNR]],5,3)</f>
        <v>139</v>
      </c>
      <c r="C525" s="37" t="str">
        <f>RIGHT(Scharniere[[#This Row],[ArtikelNR]],3)</f>
        <v>321</v>
      </c>
      <c r="D525" s="35">
        <f>IF(AND(Scharniere[[#This Row],[Gruppenschlüssel]]=select!$A$44,Scharniere[[#This Row],[Scharnierart]]=1)=TRUE,1,0)</f>
        <v>0</v>
      </c>
      <c r="E5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5" s="35">
        <f>IF(select!$F$57=IF(Scharniere[[#This Row],[mit Dämpfung]]=1,1,IF(Scharniere[[#This Row],[ohne Dämpfung]]=1,2,IF(Scharniere[[#This Row],[ohne Feder]]=1,3,0))),1,0)</f>
        <v>0</v>
      </c>
      <c r="G525" s="35">
        <f>IF(Scharniere[[#This Row],[Bohrbild]]=select!$V$43,1,0)</f>
        <v>0</v>
      </c>
      <c r="H525" s="35">
        <f>IF(IF(Scharniere[[#This Row],[Anschrauben]]=1,1,IF(Scharniere[[#This Row],[Einpressen]]=1,2,IF(Scharniere[[#This Row],[Quick]]=1,3,IF(Scharniere[[#This Row],[Werkzeuglos]]=1,4,0))))=select!$F$48,1,0)</f>
        <v>0</v>
      </c>
      <c r="I5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5" s="149">
        <f>IF(AND(Scharniere[[#This Row],[Scharnierart]]=2,Scharniere[[#This Row],[Gruppenschlüssel]]=select!$A$318)=TRUE,1,0)</f>
        <v>0</v>
      </c>
      <c r="K525" s="221">
        <f ca="1">IF(select!$O$424&lt;6,1,0)</f>
        <v>1</v>
      </c>
      <c r="L525" s="139">
        <f>IF(select!$A$362=IF(Scharniere[[#This Row],[mit Dämpfung]]=1,1,IF(Scharniere[[#This Row],[ohne Dämpfung]]=1,2,IF(Scharniere[[#This Row],[ohne Feder]]=1,3,0))),1,0)</f>
        <v>0</v>
      </c>
      <c r="M525" s="135">
        <f>IF(Scharniere[[#This Row],[Bohrbild]]=select!$O$334,1,0)</f>
        <v>0</v>
      </c>
      <c r="N525" s="135">
        <f>IF(IF(Scharniere[[#This Row],[Anschrauben]]=1,1,IF(Scharniere[[#This Row],[Einpressen]]=1,2,IF(Scharniere[[#This Row],[Quick]]=1,3,IF(Scharniere[[#This Row],[Werkzeuglos]]=1,4,0))))=select!$E$362,1,0)</f>
        <v>0</v>
      </c>
      <c r="O5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5" s="298">
        <f>IF(AND(Scharniere[[#This Row],[Scharnierart]]=3,Scharniere[[#This Row],[Gruppenschlüssel]]=select!$A$747)=TRUE,1,0)</f>
        <v>0</v>
      </c>
      <c r="Q525" s="298">
        <f ca="1">IF(select!$O$945&lt;6,1,0)</f>
        <v>1</v>
      </c>
      <c r="R525" s="298">
        <f>IF(select!$A$778=IF(Scharniere[[#This Row],[mit Dämpfung]]=1,1,IF(Scharniere[[#This Row],[ohne Dämpfung]]=1,2,IF(Scharniere[[#This Row],[ohne Feder]]=1,3,0))),1,0)</f>
        <v>1</v>
      </c>
      <c r="S525" s="298">
        <f>IF(Scharniere[[#This Row],[Bohrbild]]=select!$A$755,1,0)</f>
        <v>0</v>
      </c>
      <c r="T525" s="298">
        <f>IF(IF(Scharniere[[#This Row],[Anschrauben]]=1,1,IF(Scharniere[[#This Row],[Einpressen]]=1,2,IF(Scharniere[[#This Row],[Quick]]=1,3,IF(Scharniere[[#This Row],[Werkzeuglos]]=1,4,0))))=select!$A$769,1,0)</f>
        <v>0</v>
      </c>
      <c r="U5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5" s="359">
        <f>IF(AND(Scharniere[[#This Row],[Scharnierart]]=4,Scharniere[[#This Row],[Gruppenschlüssel]]=select!$A$981)=TRUE,1,0)</f>
        <v>0</v>
      </c>
      <c r="W525" s="359">
        <f ca="1">IF(select!$O$1185&lt;6,1,0)</f>
        <v>1</v>
      </c>
      <c r="X525" s="359">
        <f>IF(select!$A$1012=IF(Scharniere[[#This Row],[mit Dämpfung]]=1,1,IF(Scharniere[[#This Row],[ohne Dämpfung]]=1,2,IF(Scharniere[[#This Row],[ohne Feder]]=1,3,0))),1,0)</f>
        <v>1</v>
      </c>
      <c r="Y525" s="359">
        <f>IF(Scharniere[[#This Row],[Bohrbild]]=select!$A$989,1,0)</f>
        <v>0</v>
      </c>
      <c r="Z525" s="359">
        <f>IF(IF(Scharniere[[#This Row],[Anschrauben]]=1,1,IF(Scharniere[[#This Row],[Einpressen]]=1,2,IF(Scharniere[[#This Row],[Quick]]=1,3,IF(Scharniere[[#This Row],[Werkzeuglos]]=1,4,0))))=select!$A$1003,1,0)</f>
        <v>0</v>
      </c>
      <c r="AA5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5" s="359">
        <f ca="1">IF(select!$K$980="*",Scharniere[[#This Row],[AG Ges2]],Scharniere[[#This Row],[AG Ges1]])</f>
        <v>0</v>
      </c>
      <c r="AE525" s="451">
        <f ca="1">IF(AND(Scharniere[[#This Row],[Scharnierart]]=select!$A$1485,Scharniere[[#This Row],[Gruppenschlüssel]]=select!$B$1485)=TRUE,1,0)</f>
        <v>0</v>
      </c>
      <c r="AF525" s="451">
        <f ca="1">IF(AND(Scharniere[[#This Row],[Scharnierart]]=select!$A$1486,Scharniere[[#This Row],[Gruppenschlüssel]]=select!$B$1486)=TRUE,1,0)</f>
        <v>0</v>
      </c>
      <c r="AG525" s="451">
        <f ca="1">IF(AND(Scharniere[[#This Row],[Scharnierart]]=select!$A$1487,Scharniere[[#This Row],[Gruppenschlüssel]]=select!$B$1487)=TRUE,1,0)</f>
        <v>0</v>
      </c>
      <c r="AH525" s="451">
        <f ca="1">IF(AND(Scharniere[[#This Row],[Scharnierart]]=select!$A$1488,Scharniere[[#This Row],[Gruppenschlüssel]]=select!$B$1488)=TRUE,1,0)</f>
        <v>0</v>
      </c>
      <c r="AI525" s="451">
        <f ca="1">IF(SUM(Scharniere[[#This Row],[konf Scharnier 1]:[konf Scharnier 4]])&gt;0,1,0)</f>
        <v>0</v>
      </c>
      <c r="AJ525" s="451"/>
      <c r="AK525" s="451"/>
      <c r="AL525" s="451"/>
      <c r="AM525" s="451"/>
      <c r="AN525" s="451"/>
      <c r="AO525" s="146">
        <v>1</v>
      </c>
      <c r="AP525" s="146">
        <v>3</v>
      </c>
      <c r="AQ525" s="10" t="str">
        <f ca="1">Sprache!$A$111</f>
        <v>Tiomos Scharnier T Impresso</v>
      </c>
      <c r="AR525" t="s">
        <v>74</v>
      </c>
      <c r="AS525" t="str">
        <f ca="1">Sprache!$A$116</f>
        <v>Tiomos Impresso Scharniere</v>
      </c>
      <c r="AT525">
        <v>0</v>
      </c>
      <c r="AU525" s="10" t="s">
        <v>3</v>
      </c>
      <c r="AV525">
        <v>160</v>
      </c>
      <c r="AW525" s="10">
        <v>0</v>
      </c>
      <c r="AX525">
        <v>1</v>
      </c>
      <c r="AY525">
        <v>0</v>
      </c>
      <c r="AZ525" s="10">
        <v>0</v>
      </c>
      <c r="BA525">
        <v>0</v>
      </c>
      <c r="BB525">
        <v>0</v>
      </c>
      <c r="BC525">
        <v>1</v>
      </c>
      <c r="BD525" s="143" t="s">
        <v>144</v>
      </c>
      <c r="BG525"/>
    </row>
    <row r="526" spans="1:59" ht="14.25" customHeight="1" x14ac:dyDescent="0.25">
      <c r="A526" s="37" t="str">
        <f>LEFT(Scharniere[[#This Row],[ArtikelNR]],4)</f>
        <v>F017</v>
      </c>
      <c r="B526" s="35" t="str">
        <f>MID(Scharniere[[#This Row],[ArtikelNR]],5,3)</f>
        <v>139</v>
      </c>
      <c r="C526" s="37" t="str">
        <f>RIGHT(Scharniere[[#This Row],[ArtikelNR]],3)</f>
        <v>350</v>
      </c>
      <c r="D526" s="35">
        <f>IF(AND(Scharniere[[#This Row],[Gruppenschlüssel]]=select!$A$44,Scharniere[[#This Row],[Scharnierart]]=1)=TRUE,1,0)</f>
        <v>0</v>
      </c>
      <c r="E5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6" s="35">
        <f>IF(select!$F$57=IF(Scharniere[[#This Row],[mit Dämpfung]]=1,1,IF(Scharniere[[#This Row],[ohne Dämpfung]]=1,2,IF(Scharniere[[#This Row],[ohne Feder]]=1,3,0))),1,0)</f>
        <v>0</v>
      </c>
      <c r="G526" s="35">
        <f>IF(Scharniere[[#This Row],[Bohrbild]]=select!$V$43,1,0)</f>
        <v>1</v>
      </c>
      <c r="H526" s="35">
        <f>IF(IF(Scharniere[[#This Row],[Anschrauben]]=1,1,IF(Scharniere[[#This Row],[Einpressen]]=1,2,IF(Scharniere[[#This Row],[Quick]]=1,3,IF(Scharniere[[#This Row],[Werkzeuglos]]=1,4,0))))=select!$F$48,1,0)</f>
        <v>0</v>
      </c>
      <c r="I5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6" s="149">
        <f>IF(AND(Scharniere[[#This Row],[Scharnierart]]=2,Scharniere[[#This Row],[Gruppenschlüssel]]=select!$A$318)=TRUE,1,0)</f>
        <v>0</v>
      </c>
      <c r="K526" s="221">
        <f ca="1">IF(select!$O$424&lt;6,1,0)</f>
        <v>1</v>
      </c>
      <c r="L526" s="139">
        <f>IF(select!$A$362=IF(Scharniere[[#This Row],[mit Dämpfung]]=1,1,IF(Scharniere[[#This Row],[ohne Dämpfung]]=1,2,IF(Scharniere[[#This Row],[ohne Feder]]=1,3,0))),1,0)</f>
        <v>1</v>
      </c>
      <c r="M526" s="135">
        <f>IF(Scharniere[[#This Row],[Bohrbild]]=select!$O$334,1,0)</f>
        <v>1</v>
      </c>
      <c r="N526" s="135">
        <f>IF(IF(Scharniere[[#This Row],[Anschrauben]]=1,1,IF(Scharniere[[#This Row],[Einpressen]]=1,2,IF(Scharniere[[#This Row],[Quick]]=1,3,IF(Scharniere[[#This Row],[Werkzeuglos]]=1,4,0))))=select!$E$362,1,0)</f>
        <v>0</v>
      </c>
      <c r="O5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6" s="298">
        <f>IF(AND(Scharniere[[#This Row],[Scharnierart]]=3,Scharniere[[#This Row],[Gruppenschlüssel]]=select!$A$747)=TRUE,1,0)</f>
        <v>0</v>
      </c>
      <c r="Q526" s="298">
        <f ca="1">IF(select!$O$945&lt;6,1,0)</f>
        <v>1</v>
      </c>
      <c r="R526" s="298">
        <f>IF(select!$A$778=IF(Scharniere[[#This Row],[mit Dämpfung]]=1,1,IF(Scharniere[[#This Row],[ohne Dämpfung]]=1,2,IF(Scharniere[[#This Row],[ohne Feder]]=1,3,0))),1,0)</f>
        <v>0</v>
      </c>
      <c r="S526" s="298">
        <f>IF(Scharniere[[#This Row],[Bohrbild]]=select!$A$755,1,0)</f>
        <v>0</v>
      </c>
      <c r="T526" s="298">
        <f>IF(IF(Scharniere[[#This Row],[Anschrauben]]=1,1,IF(Scharniere[[#This Row],[Einpressen]]=1,2,IF(Scharniere[[#This Row],[Quick]]=1,3,IF(Scharniere[[#This Row],[Werkzeuglos]]=1,4,0))))=select!$A$769,1,0)</f>
        <v>0</v>
      </c>
      <c r="U5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6" s="359">
        <f>IF(AND(Scharniere[[#This Row],[Scharnierart]]=4,Scharniere[[#This Row],[Gruppenschlüssel]]=select!$A$981)=TRUE,1,0)</f>
        <v>0</v>
      </c>
      <c r="W526" s="359">
        <f ca="1">IF(select!$O$1185&lt;6,1,0)</f>
        <v>1</v>
      </c>
      <c r="X526" s="359">
        <f>IF(select!$A$1012=IF(Scharniere[[#This Row],[mit Dämpfung]]=1,1,IF(Scharniere[[#This Row],[ohne Dämpfung]]=1,2,IF(Scharniere[[#This Row],[ohne Feder]]=1,3,0))),1,0)</f>
        <v>0</v>
      </c>
      <c r="Y526" s="359">
        <f>IF(Scharniere[[#This Row],[Bohrbild]]=select!$A$989,1,0)</f>
        <v>0</v>
      </c>
      <c r="Z526" s="359">
        <f>IF(IF(Scharniere[[#This Row],[Anschrauben]]=1,1,IF(Scharniere[[#This Row],[Einpressen]]=1,2,IF(Scharniere[[#This Row],[Quick]]=1,3,IF(Scharniere[[#This Row],[Werkzeuglos]]=1,4,0))))=select!$A$1003,1,0)</f>
        <v>0</v>
      </c>
      <c r="AA5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6" s="359">
        <f ca="1">IF(select!$K$980="*",Scharniere[[#This Row],[AG Ges2]],Scharniere[[#This Row],[AG Ges1]])</f>
        <v>0</v>
      </c>
      <c r="AE526" s="451">
        <f ca="1">IF(AND(Scharniere[[#This Row],[Scharnierart]]=select!$A$1485,Scharniere[[#This Row],[Gruppenschlüssel]]=select!$B$1485)=TRUE,1,0)</f>
        <v>0</v>
      </c>
      <c r="AF526" s="451">
        <f ca="1">IF(AND(Scharniere[[#This Row],[Scharnierart]]=select!$A$1486,Scharniere[[#This Row],[Gruppenschlüssel]]=select!$B$1486)=TRUE,1,0)</f>
        <v>0</v>
      </c>
      <c r="AG526" s="451">
        <f ca="1">IF(AND(Scharniere[[#This Row],[Scharnierart]]=select!$A$1487,Scharniere[[#This Row],[Gruppenschlüssel]]=select!$B$1487)=TRUE,1,0)</f>
        <v>0</v>
      </c>
      <c r="AH526" s="451">
        <f ca="1">IF(AND(Scharniere[[#This Row],[Scharnierart]]=select!$A$1488,Scharniere[[#This Row],[Gruppenschlüssel]]=select!$B$1488)=TRUE,1,0)</f>
        <v>0</v>
      </c>
      <c r="AI526" s="451">
        <f ca="1">IF(SUM(Scharniere[[#This Row],[konf Scharnier 1]:[konf Scharnier 4]])&gt;0,1,0)</f>
        <v>0</v>
      </c>
      <c r="AJ526" s="451"/>
      <c r="AK526" s="451"/>
      <c r="AL526" s="451"/>
      <c r="AM526" s="451"/>
      <c r="AN526" s="451"/>
      <c r="AO526" s="146">
        <v>1</v>
      </c>
      <c r="AP526" s="146">
        <v>3</v>
      </c>
      <c r="AQ526" s="10" t="str">
        <f ca="1">Sprache!$A$113</f>
        <v>Tiomos Scharnier TS Impresso</v>
      </c>
      <c r="AR526" t="s">
        <v>74</v>
      </c>
      <c r="AS526" t="str">
        <f ca="1">Sprache!$A$116</f>
        <v>Tiomos Impresso Scharniere</v>
      </c>
      <c r="AT526">
        <v>0</v>
      </c>
      <c r="AU526" s="34" t="s">
        <v>8</v>
      </c>
      <c r="AV526">
        <v>160</v>
      </c>
      <c r="AW526" s="10">
        <v>1</v>
      </c>
      <c r="AX526">
        <v>0</v>
      </c>
      <c r="AY526">
        <v>0</v>
      </c>
      <c r="AZ526" s="10">
        <v>0</v>
      </c>
      <c r="BA526">
        <v>0</v>
      </c>
      <c r="BB526">
        <v>0</v>
      </c>
      <c r="BC526">
        <v>1</v>
      </c>
      <c r="BD526" s="143" t="s">
        <v>73</v>
      </c>
      <c r="BG526"/>
    </row>
    <row r="527" spans="1:59" ht="14.25" customHeight="1" x14ac:dyDescent="0.25">
      <c r="A527" s="37" t="str">
        <f>LEFT(Scharniere[[#This Row],[ArtikelNR]],4)</f>
        <v>F017</v>
      </c>
      <c r="B527" s="35" t="str">
        <f>MID(Scharniere[[#This Row],[ArtikelNR]],5,3)</f>
        <v>139</v>
      </c>
      <c r="C527" s="37" t="str">
        <f>RIGHT(Scharniere[[#This Row],[ArtikelNR]],3)</f>
        <v>350</v>
      </c>
      <c r="D527" s="35">
        <f>IF(AND(Scharniere[[#This Row],[Gruppenschlüssel]]=select!$A$44,Scharniere[[#This Row],[Scharnierart]]=1)=TRUE,1,0)</f>
        <v>0</v>
      </c>
      <c r="E5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7" s="35">
        <f>IF(select!$F$57=IF(Scharniere[[#This Row],[mit Dämpfung]]=1,1,IF(Scharniere[[#This Row],[ohne Dämpfung]]=1,2,IF(Scharniere[[#This Row],[ohne Feder]]=1,3,0))),1,0)</f>
        <v>0</v>
      </c>
      <c r="G527" s="35">
        <f>IF(Scharniere[[#This Row],[Bohrbild]]=select!$V$43,1,0)</f>
        <v>0</v>
      </c>
      <c r="H527" s="35">
        <f>IF(IF(Scharniere[[#This Row],[Anschrauben]]=1,1,IF(Scharniere[[#This Row],[Einpressen]]=1,2,IF(Scharniere[[#This Row],[Quick]]=1,3,IF(Scharniere[[#This Row],[Werkzeuglos]]=1,4,0))))=select!$F$48,1,0)</f>
        <v>0</v>
      </c>
      <c r="I5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7" s="149">
        <f>IF(AND(Scharniere[[#This Row],[Scharnierart]]=2,Scharniere[[#This Row],[Gruppenschlüssel]]=select!$A$318)=TRUE,1,0)</f>
        <v>0</v>
      </c>
      <c r="K527" s="221">
        <f ca="1">IF(select!$O$424&lt;6,1,0)</f>
        <v>1</v>
      </c>
      <c r="L527" s="139">
        <f>IF(select!$A$362=IF(Scharniere[[#This Row],[mit Dämpfung]]=1,1,IF(Scharniere[[#This Row],[ohne Dämpfung]]=1,2,IF(Scharniere[[#This Row],[ohne Feder]]=1,3,0))),1,0)</f>
        <v>1</v>
      </c>
      <c r="M527" s="135">
        <f>IF(Scharniere[[#This Row],[Bohrbild]]=select!$O$334,1,0)</f>
        <v>0</v>
      </c>
      <c r="N527" s="135">
        <f>IF(IF(Scharniere[[#This Row],[Anschrauben]]=1,1,IF(Scharniere[[#This Row],[Einpressen]]=1,2,IF(Scharniere[[#This Row],[Quick]]=1,3,IF(Scharniere[[#This Row],[Werkzeuglos]]=1,4,0))))=select!$E$362,1,0)</f>
        <v>0</v>
      </c>
      <c r="O5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7" s="298">
        <f>IF(AND(Scharniere[[#This Row],[Scharnierart]]=3,Scharniere[[#This Row],[Gruppenschlüssel]]=select!$A$747)=TRUE,1,0)</f>
        <v>0</v>
      </c>
      <c r="Q527" s="298">
        <f ca="1">IF(select!$O$945&lt;6,1,0)</f>
        <v>1</v>
      </c>
      <c r="R527" s="298">
        <f>IF(select!$A$778=IF(Scharniere[[#This Row],[mit Dämpfung]]=1,1,IF(Scharniere[[#This Row],[ohne Dämpfung]]=1,2,IF(Scharniere[[#This Row],[ohne Feder]]=1,3,0))),1,0)</f>
        <v>0</v>
      </c>
      <c r="S527" s="298">
        <f>IF(Scharniere[[#This Row],[Bohrbild]]=select!$A$755,1,0)</f>
        <v>0</v>
      </c>
      <c r="T527" s="298">
        <f>IF(IF(Scharniere[[#This Row],[Anschrauben]]=1,1,IF(Scharniere[[#This Row],[Einpressen]]=1,2,IF(Scharniere[[#This Row],[Quick]]=1,3,IF(Scharniere[[#This Row],[Werkzeuglos]]=1,4,0))))=select!$A$769,1,0)</f>
        <v>0</v>
      </c>
      <c r="U5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7" s="359">
        <f>IF(AND(Scharniere[[#This Row],[Scharnierart]]=4,Scharniere[[#This Row],[Gruppenschlüssel]]=select!$A$981)=TRUE,1,0)</f>
        <v>0</v>
      </c>
      <c r="W527" s="359">
        <f ca="1">IF(select!$O$1185&lt;6,1,0)</f>
        <v>1</v>
      </c>
      <c r="X527" s="359">
        <f>IF(select!$A$1012=IF(Scharniere[[#This Row],[mit Dämpfung]]=1,1,IF(Scharniere[[#This Row],[ohne Dämpfung]]=1,2,IF(Scharniere[[#This Row],[ohne Feder]]=1,3,0))),1,0)</f>
        <v>0</v>
      </c>
      <c r="Y527" s="359">
        <f>IF(Scharniere[[#This Row],[Bohrbild]]=select!$A$989,1,0)</f>
        <v>0</v>
      </c>
      <c r="Z527" s="359">
        <f>IF(IF(Scharniere[[#This Row],[Anschrauben]]=1,1,IF(Scharniere[[#This Row],[Einpressen]]=1,2,IF(Scharniere[[#This Row],[Quick]]=1,3,IF(Scharniere[[#This Row],[Werkzeuglos]]=1,4,0))))=select!$A$1003,1,0)</f>
        <v>0</v>
      </c>
      <c r="AA5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7" s="359">
        <f ca="1">IF(select!$K$980="*",Scharniere[[#This Row],[AG Ges2]],Scharniere[[#This Row],[AG Ges1]])</f>
        <v>0</v>
      </c>
      <c r="AE527" s="451">
        <f ca="1">IF(AND(Scharniere[[#This Row],[Scharnierart]]=select!$A$1485,Scharniere[[#This Row],[Gruppenschlüssel]]=select!$B$1485)=TRUE,1,0)</f>
        <v>0</v>
      </c>
      <c r="AF527" s="451">
        <f ca="1">IF(AND(Scharniere[[#This Row],[Scharnierart]]=select!$A$1486,Scharniere[[#This Row],[Gruppenschlüssel]]=select!$B$1486)=TRUE,1,0)</f>
        <v>0</v>
      </c>
      <c r="AG527" s="451">
        <f ca="1">IF(AND(Scharniere[[#This Row],[Scharnierart]]=select!$A$1487,Scharniere[[#This Row],[Gruppenschlüssel]]=select!$B$1487)=TRUE,1,0)</f>
        <v>0</v>
      </c>
      <c r="AH527" s="451">
        <f ca="1">IF(AND(Scharniere[[#This Row],[Scharnierart]]=select!$A$1488,Scharniere[[#This Row],[Gruppenschlüssel]]=select!$B$1488)=TRUE,1,0)</f>
        <v>0</v>
      </c>
      <c r="AI527" s="451">
        <f ca="1">IF(SUM(Scharniere[[#This Row],[konf Scharnier 1]:[konf Scharnier 4]])&gt;0,1,0)</f>
        <v>0</v>
      </c>
      <c r="AJ527" s="451"/>
      <c r="AK527" s="451"/>
      <c r="AL527" s="451"/>
      <c r="AM527" s="451"/>
      <c r="AN527" s="451"/>
      <c r="AO527" s="146">
        <v>1</v>
      </c>
      <c r="AP527" s="146">
        <v>3</v>
      </c>
      <c r="AQ527" s="10" t="str">
        <f ca="1">Sprache!$A$113</f>
        <v>Tiomos Scharnier TS Impresso</v>
      </c>
      <c r="AR527" t="s">
        <v>74</v>
      </c>
      <c r="AS527" t="str">
        <f ca="1">Sprache!$A$116</f>
        <v>Tiomos Impresso Scharniere</v>
      </c>
      <c r="AT527">
        <v>0</v>
      </c>
      <c r="AU527" s="34" t="s">
        <v>3</v>
      </c>
      <c r="AV527">
        <v>160</v>
      </c>
      <c r="AW527" s="10">
        <v>1</v>
      </c>
      <c r="AX527">
        <v>0</v>
      </c>
      <c r="AY527">
        <v>0</v>
      </c>
      <c r="AZ527" s="10">
        <v>0</v>
      </c>
      <c r="BA527">
        <v>0</v>
      </c>
      <c r="BB527">
        <v>0</v>
      </c>
      <c r="BC527">
        <v>1</v>
      </c>
      <c r="BD527" s="143" t="s">
        <v>73</v>
      </c>
      <c r="BG527"/>
    </row>
    <row r="528" spans="1:59" ht="14.25" customHeight="1" x14ac:dyDescent="0.25">
      <c r="A528" s="37" t="str">
        <f>LEFT(Scharniere[[#This Row],[ArtikelNR]],4)</f>
        <v>F035</v>
      </c>
      <c r="B528" s="35" t="str">
        <f>MID(Scharniere[[#This Row],[ArtikelNR]],5,3)</f>
        <v>139</v>
      </c>
      <c r="C528" s="37" t="str">
        <f>RIGHT(Scharniere[[#This Row],[ArtikelNR]],3)</f>
        <v>378</v>
      </c>
      <c r="D528" s="35">
        <f>IF(AND(Scharniere[[#This Row],[Gruppenschlüssel]]=select!$A$44,Scharniere[[#This Row],[Scharnierart]]=1)=TRUE,1,0)</f>
        <v>0</v>
      </c>
      <c r="E5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8" s="35">
        <f>IF(select!$F$57=IF(Scharniere[[#This Row],[mit Dämpfung]]=1,1,IF(Scharniere[[#This Row],[ohne Dämpfung]]=1,2,IF(Scharniere[[#This Row],[ohne Feder]]=1,3,0))),1,0)</f>
        <v>1</v>
      </c>
      <c r="G528" s="35">
        <f>IF(Scharniere[[#This Row],[Bohrbild]]=select!$V$43,1,0)</f>
        <v>1</v>
      </c>
      <c r="H528" s="35">
        <f>IF(IF(Scharniere[[#This Row],[Anschrauben]]=1,1,IF(Scharniere[[#This Row],[Einpressen]]=1,2,IF(Scharniere[[#This Row],[Quick]]=1,3,IF(Scharniere[[#This Row],[Werkzeuglos]]=1,4,0))))=select!$F$48,1,0)</f>
        <v>0</v>
      </c>
      <c r="I5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8" s="149">
        <f>IF(AND(Scharniere[[#This Row],[Scharnierart]]=2,Scharniere[[#This Row],[Gruppenschlüssel]]=select!$A$318)=TRUE,1,0)</f>
        <v>0</v>
      </c>
      <c r="K528" s="221">
        <f ca="1">IF(select!$O$424&lt;6,1,0)</f>
        <v>1</v>
      </c>
      <c r="L528" s="139">
        <f>IF(select!$A$362=IF(Scharniere[[#This Row],[mit Dämpfung]]=1,1,IF(Scharniere[[#This Row],[ohne Dämpfung]]=1,2,IF(Scharniere[[#This Row],[ohne Feder]]=1,3,0))),1,0)</f>
        <v>0</v>
      </c>
      <c r="M528" s="135">
        <f>IF(Scharniere[[#This Row],[Bohrbild]]=select!$O$334,1,0)</f>
        <v>1</v>
      </c>
      <c r="N528" s="135">
        <f>IF(IF(Scharniere[[#This Row],[Anschrauben]]=1,1,IF(Scharniere[[#This Row],[Einpressen]]=1,2,IF(Scharniere[[#This Row],[Quick]]=1,3,IF(Scharniere[[#This Row],[Werkzeuglos]]=1,4,0))))=select!$E$362,1,0)</f>
        <v>0</v>
      </c>
      <c r="O5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8" s="298">
        <f>IF(AND(Scharniere[[#This Row],[Scharnierart]]=3,Scharniere[[#This Row],[Gruppenschlüssel]]=select!$A$747)=TRUE,1,0)</f>
        <v>0</v>
      </c>
      <c r="Q528" s="298">
        <f ca="1">IF(select!$O$945&lt;6,1,0)</f>
        <v>1</v>
      </c>
      <c r="R528" s="298">
        <f>IF(select!$A$778=IF(Scharniere[[#This Row],[mit Dämpfung]]=1,1,IF(Scharniere[[#This Row],[ohne Dämpfung]]=1,2,IF(Scharniere[[#This Row],[ohne Feder]]=1,3,0))),1,0)</f>
        <v>0</v>
      </c>
      <c r="S528" s="298">
        <f>IF(Scharniere[[#This Row],[Bohrbild]]=select!$A$755,1,0)</f>
        <v>0</v>
      </c>
      <c r="T528" s="298">
        <f>IF(IF(Scharniere[[#This Row],[Anschrauben]]=1,1,IF(Scharniere[[#This Row],[Einpressen]]=1,2,IF(Scharniere[[#This Row],[Quick]]=1,3,IF(Scharniere[[#This Row],[Werkzeuglos]]=1,4,0))))=select!$A$769,1,0)</f>
        <v>0</v>
      </c>
      <c r="U5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8" s="359">
        <f>IF(AND(Scharniere[[#This Row],[Scharnierart]]=4,Scharniere[[#This Row],[Gruppenschlüssel]]=select!$A$981)=TRUE,1,0)</f>
        <v>0</v>
      </c>
      <c r="W528" s="359">
        <f ca="1">IF(select!$O$1185&lt;6,1,0)</f>
        <v>1</v>
      </c>
      <c r="X528" s="359">
        <f>IF(select!$A$1012=IF(Scharniere[[#This Row],[mit Dämpfung]]=1,1,IF(Scharniere[[#This Row],[ohne Dämpfung]]=1,2,IF(Scharniere[[#This Row],[ohne Feder]]=1,3,0))),1,0)</f>
        <v>0</v>
      </c>
      <c r="Y528" s="359">
        <f>IF(Scharniere[[#This Row],[Bohrbild]]=select!$A$989,1,0)</f>
        <v>0</v>
      </c>
      <c r="Z528" s="359">
        <f>IF(IF(Scharniere[[#This Row],[Anschrauben]]=1,1,IF(Scharniere[[#This Row],[Einpressen]]=1,2,IF(Scharniere[[#This Row],[Quick]]=1,3,IF(Scharniere[[#This Row],[Werkzeuglos]]=1,4,0))))=select!$A$1003,1,0)</f>
        <v>0</v>
      </c>
      <c r="AA5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8" s="359">
        <f ca="1">IF(select!$K$980="*",Scharniere[[#This Row],[AG Ges2]],Scharniere[[#This Row],[AG Ges1]])</f>
        <v>0</v>
      </c>
      <c r="AE528" s="451">
        <f ca="1">IF(AND(Scharniere[[#This Row],[Scharnierart]]=select!$A$1485,Scharniere[[#This Row],[Gruppenschlüssel]]=select!$B$1485)=TRUE,1,0)</f>
        <v>0</v>
      </c>
      <c r="AF528" s="451">
        <f ca="1">IF(AND(Scharniere[[#This Row],[Scharnierart]]=select!$A$1486,Scharniere[[#This Row],[Gruppenschlüssel]]=select!$B$1486)=TRUE,1,0)</f>
        <v>0</v>
      </c>
      <c r="AG528" s="451">
        <f ca="1">IF(AND(Scharniere[[#This Row],[Scharnierart]]=select!$A$1487,Scharniere[[#This Row],[Gruppenschlüssel]]=select!$B$1487)=TRUE,1,0)</f>
        <v>0</v>
      </c>
      <c r="AH528" s="451">
        <f ca="1">IF(AND(Scharniere[[#This Row],[Scharnierart]]=select!$A$1488,Scharniere[[#This Row],[Gruppenschlüssel]]=select!$B$1488)=TRUE,1,0)</f>
        <v>0</v>
      </c>
      <c r="AI528" s="451">
        <f ca="1">IF(SUM(Scharniere[[#This Row],[konf Scharnier 1]:[konf Scharnier 4]])&gt;0,1,0)</f>
        <v>0</v>
      </c>
      <c r="AJ528" s="451"/>
      <c r="AK528" s="451"/>
      <c r="AL528" s="451"/>
      <c r="AM528" s="451"/>
      <c r="AN528" s="451"/>
      <c r="AO528" s="146">
        <v>1</v>
      </c>
      <c r="AP528" s="146">
        <v>3</v>
      </c>
      <c r="AQ528" s="10" t="str">
        <f ca="1">Sprache!$A$115</f>
        <v>Tiomos Scharnier TT Impresso</v>
      </c>
      <c r="AR528" t="s">
        <v>74</v>
      </c>
      <c r="AS528" t="str">
        <f ca="1">Sprache!$A$116</f>
        <v>Tiomos Impresso Scharniere</v>
      </c>
      <c r="AT528">
        <v>0</v>
      </c>
      <c r="AU528" s="34" t="s">
        <v>8</v>
      </c>
      <c r="AV528">
        <v>160</v>
      </c>
      <c r="AW528" s="10">
        <v>0</v>
      </c>
      <c r="AX528">
        <v>0</v>
      </c>
      <c r="AY528">
        <v>1</v>
      </c>
      <c r="AZ528" s="10">
        <v>0</v>
      </c>
      <c r="BA528">
        <v>0</v>
      </c>
      <c r="BB528">
        <v>0</v>
      </c>
      <c r="BC528">
        <v>1</v>
      </c>
      <c r="BD528" s="143" t="s">
        <v>188</v>
      </c>
      <c r="BG528"/>
    </row>
    <row r="529" spans="1:59" ht="14.25" customHeight="1" x14ac:dyDescent="0.25">
      <c r="A529" s="37" t="str">
        <f>LEFT(Scharniere[[#This Row],[ArtikelNR]],4)</f>
        <v>F035</v>
      </c>
      <c r="B529" s="35" t="str">
        <f>MID(Scharniere[[#This Row],[ArtikelNR]],5,3)</f>
        <v>139</v>
      </c>
      <c r="C529" s="37" t="str">
        <f>RIGHT(Scharniere[[#This Row],[ArtikelNR]],3)</f>
        <v>378</v>
      </c>
      <c r="D529" s="35">
        <f>IF(AND(Scharniere[[#This Row],[Gruppenschlüssel]]=select!$A$44,Scharniere[[#This Row],[Scharnierart]]=1)=TRUE,1,0)</f>
        <v>0</v>
      </c>
      <c r="E5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29" s="35">
        <f>IF(select!$F$57=IF(Scharniere[[#This Row],[mit Dämpfung]]=1,1,IF(Scharniere[[#This Row],[ohne Dämpfung]]=1,2,IF(Scharniere[[#This Row],[ohne Feder]]=1,3,0))),1,0)</f>
        <v>1</v>
      </c>
      <c r="G529" s="35">
        <f>IF(Scharniere[[#This Row],[Bohrbild]]=select!$V$43,1,0)</f>
        <v>0</v>
      </c>
      <c r="H529" s="35">
        <f>IF(IF(Scharniere[[#This Row],[Anschrauben]]=1,1,IF(Scharniere[[#This Row],[Einpressen]]=1,2,IF(Scharniere[[#This Row],[Quick]]=1,3,IF(Scharniere[[#This Row],[Werkzeuglos]]=1,4,0))))=select!$F$48,1,0)</f>
        <v>0</v>
      </c>
      <c r="I5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29" s="149">
        <f>IF(AND(Scharniere[[#This Row],[Scharnierart]]=2,Scharniere[[#This Row],[Gruppenschlüssel]]=select!$A$318)=TRUE,1,0)</f>
        <v>0</v>
      </c>
      <c r="K529" s="221">
        <f ca="1">IF(select!$O$424&lt;6,1,0)</f>
        <v>1</v>
      </c>
      <c r="L529" s="139">
        <f>IF(select!$A$362=IF(Scharniere[[#This Row],[mit Dämpfung]]=1,1,IF(Scharniere[[#This Row],[ohne Dämpfung]]=1,2,IF(Scharniere[[#This Row],[ohne Feder]]=1,3,0))),1,0)</f>
        <v>0</v>
      </c>
      <c r="M529" s="135">
        <f>IF(Scharniere[[#This Row],[Bohrbild]]=select!$O$334,1,0)</f>
        <v>0</v>
      </c>
      <c r="N529" s="135">
        <f>IF(IF(Scharniere[[#This Row],[Anschrauben]]=1,1,IF(Scharniere[[#This Row],[Einpressen]]=1,2,IF(Scharniere[[#This Row],[Quick]]=1,3,IF(Scharniere[[#This Row],[Werkzeuglos]]=1,4,0))))=select!$E$362,1,0)</f>
        <v>0</v>
      </c>
      <c r="O5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29" s="298">
        <f>IF(AND(Scharniere[[#This Row],[Scharnierart]]=3,Scharniere[[#This Row],[Gruppenschlüssel]]=select!$A$747)=TRUE,1,0)</f>
        <v>0</v>
      </c>
      <c r="Q529" s="298">
        <f ca="1">IF(select!$O$945&lt;6,1,0)</f>
        <v>1</v>
      </c>
      <c r="R529" s="298">
        <f>IF(select!$A$778=IF(Scharniere[[#This Row],[mit Dämpfung]]=1,1,IF(Scharniere[[#This Row],[ohne Dämpfung]]=1,2,IF(Scharniere[[#This Row],[ohne Feder]]=1,3,0))),1,0)</f>
        <v>0</v>
      </c>
      <c r="S529" s="298">
        <f>IF(Scharniere[[#This Row],[Bohrbild]]=select!$A$755,1,0)</f>
        <v>0</v>
      </c>
      <c r="T529" s="298">
        <f>IF(IF(Scharniere[[#This Row],[Anschrauben]]=1,1,IF(Scharniere[[#This Row],[Einpressen]]=1,2,IF(Scharniere[[#This Row],[Quick]]=1,3,IF(Scharniere[[#This Row],[Werkzeuglos]]=1,4,0))))=select!$A$769,1,0)</f>
        <v>0</v>
      </c>
      <c r="U5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29" s="359">
        <f>IF(AND(Scharniere[[#This Row],[Scharnierart]]=4,Scharniere[[#This Row],[Gruppenschlüssel]]=select!$A$981)=TRUE,1,0)</f>
        <v>0</v>
      </c>
      <c r="W529" s="359">
        <f ca="1">IF(select!$O$1185&lt;6,1,0)</f>
        <v>1</v>
      </c>
      <c r="X529" s="359">
        <f>IF(select!$A$1012=IF(Scharniere[[#This Row],[mit Dämpfung]]=1,1,IF(Scharniere[[#This Row],[ohne Dämpfung]]=1,2,IF(Scharniere[[#This Row],[ohne Feder]]=1,3,0))),1,0)</f>
        <v>0</v>
      </c>
      <c r="Y529" s="359">
        <f>IF(Scharniere[[#This Row],[Bohrbild]]=select!$A$989,1,0)</f>
        <v>0</v>
      </c>
      <c r="Z529" s="359">
        <f>IF(IF(Scharniere[[#This Row],[Anschrauben]]=1,1,IF(Scharniere[[#This Row],[Einpressen]]=1,2,IF(Scharniere[[#This Row],[Quick]]=1,3,IF(Scharniere[[#This Row],[Werkzeuglos]]=1,4,0))))=select!$A$1003,1,0)</f>
        <v>0</v>
      </c>
      <c r="AA5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29" s="359">
        <f ca="1">IF(select!$K$980="*",Scharniere[[#This Row],[AG Ges2]],Scharniere[[#This Row],[AG Ges1]])</f>
        <v>0</v>
      </c>
      <c r="AE529" s="451">
        <f ca="1">IF(AND(Scharniere[[#This Row],[Scharnierart]]=select!$A$1485,Scharniere[[#This Row],[Gruppenschlüssel]]=select!$B$1485)=TRUE,1,0)</f>
        <v>0</v>
      </c>
      <c r="AF529" s="451">
        <f ca="1">IF(AND(Scharniere[[#This Row],[Scharnierart]]=select!$A$1486,Scharniere[[#This Row],[Gruppenschlüssel]]=select!$B$1486)=TRUE,1,0)</f>
        <v>0</v>
      </c>
      <c r="AG529" s="451">
        <f ca="1">IF(AND(Scharniere[[#This Row],[Scharnierart]]=select!$A$1487,Scharniere[[#This Row],[Gruppenschlüssel]]=select!$B$1487)=TRUE,1,0)</f>
        <v>0</v>
      </c>
      <c r="AH529" s="451">
        <f ca="1">IF(AND(Scharniere[[#This Row],[Scharnierart]]=select!$A$1488,Scharniere[[#This Row],[Gruppenschlüssel]]=select!$B$1488)=TRUE,1,0)</f>
        <v>0</v>
      </c>
      <c r="AI529" s="451">
        <f ca="1">IF(SUM(Scharniere[[#This Row],[konf Scharnier 1]:[konf Scharnier 4]])&gt;0,1,0)</f>
        <v>0</v>
      </c>
      <c r="AJ529" s="451"/>
      <c r="AK529" s="451"/>
      <c r="AL529" s="451"/>
      <c r="AM529" s="451"/>
      <c r="AN529" s="451"/>
      <c r="AO529" s="146">
        <v>1</v>
      </c>
      <c r="AP529" s="146">
        <v>3</v>
      </c>
      <c r="AQ529" s="10" t="str">
        <f ca="1">Sprache!$A$115</f>
        <v>Tiomos Scharnier TT Impresso</v>
      </c>
      <c r="AR529" t="s">
        <v>74</v>
      </c>
      <c r="AS529" t="str">
        <f ca="1">Sprache!$A$116</f>
        <v>Tiomos Impresso Scharniere</v>
      </c>
      <c r="AT529">
        <v>0</v>
      </c>
      <c r="AU529" s="34" t="s">
        <v>3</v>
      </c>
      <c r="AV529">
        <v>160</v>
      </c>
      <c r="AW529" s="10">
        <v>0</v>
      </c>
      <c r="AX529">
        <v>0</v>
      </c>
      <c r="AY529">
        <v>1</v>
      </c>
      <c r="AZ529" s="10">
        <v>0</v>
      </c>
      <c r="BA529">
        <v>0</v>
      </c>
      <c r="BB529">
        <v>0</v>
      </c>
      <c r="BC529">
        <v>1</v>
      </c>
      <c r="BD529" s="143" t="s">
        <v>188</v>
      </c>
      <c r="BG529"/>
    </row>
    <row r="530" spans="1:59" ht="14.25" customHeight="1" x14ac:dyDescent="0.25">
      <c r="A530" s="37" t="str">
        <f>LEFT(Scharniere[[#This Row],[ArtikelNR]],4)</f>
        <v>F045</v>
      </c>
      <c r="B530" s="35" t="str">
        <f>MID(Scharniere[[#This Row],[ArtikelNR]],5,3)</f>
        <v>138</v>
      </c>
      <c r="C530" s="37" t="str">
        <f>RIGHT(Scharniere[[#This Row],[ArtikelNR]],3)</f>
        <v>866</v>
      </c>
      <c r="D530" s="35">
        <f>IF(AND(Scharniere[[#This Row],[Gruppenschlüssel]]=select!$A$44,Scharniere[[#This Row],[Scharnierart]]=1)=TRUE,1,0)</f>
        <v>0</v>
      </c>
      <c r="E5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0" s="35">
        <f>IF(select!$F$57=IF(Scharniere[[#This Row],[mit Dämpfung]]=1,1,IF(Scharniere[[#This Row],[ohne Dämpfung]]=1,2,IF(Scharniere[[#This Row],[ohne Feder]]=1,3,0))),1,0)</f>
        <v>0</v>
      </c>
      <c r="G530" s="35">
        <f>IF(Scharniere[[#This Row],[Bohrbild]]=select!$V$43,1,0)</f>
        <v>0</v>
      </c>
      <c r="H530" s="35">
        <f>IF(IF(Scharniere[[#This Row],[Anschrauben]]=1,1,IF(Scharniere[[#This Row],[Einpressen]]=1,2,IF(Scharniere[[#This Row],[Quick]]=1,3,IF(Scharniere[[#This Row],[Werkzeuglos]]=1,4,0))))=select!$F$48,1,0)</f>
        <v>1</v>
      </c>
      <c r="I5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0" s="149">
        <f>IF(AND(Scharniere[[#This Row],[Scharnierart]]=2,Scharniere[[#This Row],[Gruppenschlüssel]]=select!$A$318)=TRUE,1,0)</f>
        <v>0</v>
      </c>
      <c r="K530" s="221">
        <f ca="1">IF(select!$O$424&lt;6,1,0)</f>
        <v>1</v>
      </c>
      <c r="L530" s="139">
        <f>IF(select!$A$362=IF(Scharniere[[#This Row],[mit Dämpfung]]=1,1,IF(Scharniere[[#This Row],[ohne Dämpfung]]=1,2,IF(Scharniere[[#This Row],[ohne Feder]]=1,3,0))),1,0)</f>
        <v>0</v>
      </c>
      <c r="M530" s="135">
        <f>IF(Scharniere[[#This Row],[Bohrbild]]=select!$O$334,1,0)</f>
        <v>0</v>
      </c>
      <c r="N530" s="135">
        <f>IF(IF(Scharniere[[#This Row],[Anschrauben]]=1,1,IF(Scharniere[[#This Row],[Einpressen]]=1,2,IF(Scharniere[[#This Row],[Quick]]=1,3,IF(Scharniere[[#This Row],[Werkzeuglos]]=1,4,0))))=select!$E$362,1,0)</f>
        <v>0</v>
      </c>
      <c r="O5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0" s="298">
        <f>IF(AND(Scharniere[[#This Row],[Scharnierart]]=3,Scharniere[[#This Row],[Gruppenschlüssel]]=select!$A$747)=TRUE,1,0)</f>
        <v>0</v>
      </c>
      <c r="Q530" s="298">
        <f ca="1">IF(select!$O$945&lt;6,1,0)</f>
        <v>1</v>
      </c>
      <c r="R530" s="298">
        <f>IF(select!$A$778=IF(Scharniere[[#This Row],[mit Dämpfung]]=1,1,IF(Scharniere[[#This Row],[ohne Dämpfung]]=1,2,IF(Scharniere[[#This Row],[ohne Feder]]=1,3,0))),1,0)</f>
        <v>1</v>
      </c>
      <c r="S530" s="298">
        <f>IF(Scharniere[[#This Row],[Bohrbild]]=select!$A$755,1,0)</f>
        <v>0</v>
      </c>
      <c r="T530" s="298">
        <f>IF(IF(Scharniere[[#This Row],[Anschrauben]]=1,1,IF(Scharniere[[#This Row],[Einpressen]]=1,2,IF(Scharniere[[#This Row],[Quick]]=1,3,IF(Scharniere[[#This Row],[Werkzeuglos]]=1,4,0))))=select!$A$769,1,0)</f>
        <v>0</v>
      </c>
      <c r="U5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0" s="359">
        <f>IF(AND(Scharniere[[#This Row],[Scharnierart]]=4,Scharniere[[#This Row],[Gruppenschlüssel]]=select!$A$981)=TRUE,1,0)</f>
        <v>0</v>
      </c>
      <c r="W530" s="359">
        <f ca="1">IF(select!$O$1185&lt;6,1,0)</f>
        <v>1</v>
      </c>
      <c r="X530" s="359">
        <f>IF(select!$A$1012=IF(Scharniere[[#This Row],[mit Dämpfung]]=1,1,IF(Scharniere[[#This Row],[ohne Dämpfung]]=1,2,IF(Scharniere[[#This Row],[ohne Feder]]=1,3,0))),1,0)</f>
        <v>1</v>
      </c>
      <c r="Y530" s="359">
        <f>IF(Scharniere[[#This Row],[Bohrbild]]=select!$A$989,1,0)</f>
        <v>0</v>
      </c>
      <c r="Z530" s="359">
        <f>IF(IF(Scharniere[[#This Row],[Anschrauben]]=1,1,IF(Scharniere[[#This Row],[Einpressen]]=1,2,IF(Scharniere[[#This Row],[Quick]]=1,3,IF(Scharniere[[#This Row],[Werkzeuglos]]=1,4,0))))=select!$A$1003,1,0)</f>
        <v>0</v>
      </c>
      <c r="AA5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0" s="359">
        <f ca="1">IF(select!$K$980="*",Scharniere[[#This Row],[AG Ges2]],Scharniere[[#This Row],[AG Ges1]])</f>
        <v>0</v>
      </c>
      <c r="AE530" s="451">
        <f ca="1">IF(AND(Scharniere[[#This Row],[Scharnierart]]=select!$A$1485,Scharniere[[#This Row],[Gruppenschlüssel]]=select!$B$1485)=TRUE,1,0)</f>
        <v>0</v>
      </c>
      <c r="AF530" s="451">
        <f ca="1">IF(AND(Scharniere[[#This Row],[Scharnierart]]=select!$A$1486,Scharniere[[#This Row],[Gruppenschlüssel]]=select!$B$1486)=TRUE,1,0)</f>
        <v>0</v>
      </c>
      <c r="AG530" s="451">
        <f ca="1">IF(AND(Scharniere[[#This Row],[Scharnierart]]=select!$A$1487,Scharniere[[#This Row],[Gruppenschlüssel]]=select!$B$1487)=TRUE,1,0)</f>
        <v>0</v>
      </c>
      <c r="AH530" s="451">
        <f ca="1">IF(AND(Scharniere[[#This Row],[Scharnierart]]=select!$A$1488,Scharniere[[#This Row],[Gruppenschlüssel]]=select!$B$1488)=TRUE,1,0)</f>
        <v>0</v>
      </c>
      <c r="AI530" s="451">
        <f ca="1">IF(SUM(Scharniere[[#This Row],[konf Scharnier 1]:[konf Scharnier 4]])&gt;0,1,0)</f>
        <v>0</v>
      </c>
      <c r="AJ530" s="451"/>
      <c r="AK530" s="451"/>
      <c r="AL530" s="451"/>
      <c r="AM530" s="451"/>
      <c r="AN530" s="451"/>
      <c r="AO530" s="146">
        <v>1</v>
      </c>
      <c r="AP530" s="146">
        <v>3</v>
      </c>
      <c r="AQ530" s="10" t="str">
        <f ca="1">Sprache!$A$110</f>
        <v>Tiomos Scharnier T Click-on</v>
      </c>
      <c r="AR530" t="str">
        <f ca="1">"160°, S-BB, K00, "&amp;Sprache!A181&amp;", ni"</f>
        <v>160°, S-BB, K00, Dübel, ni</v>
      </c>
      <c r="AS530" t="str">
        <f ca="1">Sprache!$A$103</f>
        <v>Tiomos Click-On Scharniere</v>
      </c>
      <c r="AT530">
        <v>0</v>
      </c>
      <c r="AU530" s="34" t="s">
        <v>11</v>
      </c>
      <c r="AV530">
        <v>160</v>
      </c>
      <c r="AW530" s="10">
        <v>0</v>
      </c>
      <c r="AX530">
        <v>1</v>
      </c>
      <c r="AY530">
        <v>0</v>
      </c>
      <c r="AZ530" s="10">
        <v>0</v>
      </c>
      <c r="BA530">
        <v>1</v>
      </c>
      <c r="BB530">
        <v>0</v>
      </c>
      <c r="BC530">
        <v>0</v>
      </c>
      <c r="BD530" s="143" t="s">
        <v>559</v>
      </c>
      <c r="BG530"/>
    </row>
    <row r="531" spans="1:59" ht="14.25" customHeight="1" x14ac:dyDescent="0.25">
      <c r="A531" s="37" t="str">
        <f>LEFT(Scharniere[[#This Row],[ArtikelNR]],4)</f>
        <v>F028</v>
      </c>
      <c r="B531" s="35" t="str">
        <f>MID(Scharniere[[#This Row],[ArtikelNR]],5,3)</f>
        <v>138</v>
      </c>
      <c r="C531" s="37" t="str">
        <f>RIGHT(Scharniere[[#This Row],[ArtikelNR]],3)</f>
        <v>928</v>
      </c>
      <c r="D531" s="35">
        <f>IF(AND(Scharniere[[#This Row],[Gruppenschlüssel]]=select!$A$44,Scharniere[[#This Row],[Scharnierart]]=1)=TRUE,1,0)</f>
        <v>0</v>
      </c>
      <c r="E5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1" s="35">
        <f>IF(select!$F$57=IF(Scharniere[[#This Row],[mit Dämpfung]]=1,1,IF(Scharniere[[#This Row],[ohne Dämpfung]]=1,2,IF(Scharniere[[#This Row],[ohne Feder]]=1,3,0))),1,0)</f>
        <v>0</v>
      </c>
      <c r="G531" s="35">
        <f>IF(Scharniere[[#This Row],[Bohrbild]]=select!$V$43,1,0)</f>
        <v>0</v>
      </c>
      <c r="H531" s="35">
        <f>IF(IF(Scharniere[[#This Row],[Anschrauben]]=1,1,IF(Scharniere[[#This Row],[Einpressen]]=1,2,IF(Scharniere[[#This Row],[Quick]]=1,3,IF(Scharniere[[#This Row],[Werkzeuglos]]=1,4,0))))=select!$F$48,1,0)</f>
        <v>1</v>
      </c>
      <c r="I5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1" s="149">
        <f>IF(AND(Scharniere[[#This Row],[Scharnierart]]=2,Scharniere[[#This Row],[Gruppenschlüssel]]=select!$A$318)=TRUE,1,0)</f>
        <v>0</v>
      </c>
      <c r="K531" s="221">
        <f ca="1">IF(select!$O$424&lt;6,1,0)</f>
        <v>1</v>
      </c>
      <c r="L531" s="139">
        <f>IF(select!$A$362=IF(Scharniere[[#This Row],[mit Dämpfung]]=1,1,IF(Scharniere[[#This Row],[ohne Dämpfung]]=1,2,IF(Scharniere[[#This Row],[ohne Feder]]=1,3,0))),1,0)</f>
        <v>1</v>
      </c>
      <c r="M531" s="135">
        <f>IF(Scharniere[[#This Row],[Bohrbild]]=select!$O$334,1,0)</f>
        <v>0</v>
      </c>
      <c r="N531" s="135">
        <f>IF(IF(Scharniere[[#This Row],[Anschrauben]]=1,1,IF(Scharniere[[#This Row],[Einpressen]]=1,2,IF(Scharniere[[#This Row],[Quick]]=1,3,IF(Scharniere[[#This Row],[Werkzeuglos]]=1,4,0))))=select!$E$362,1,0)</f>
        <v>0</v>
      </c>
      <c r="O5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1" s="298">
        <f>IF(AND(Scharniere[[#This Row],[Scharnierart]]=3,Scharniere[[#This Row],[Gruppenschlüssel]]=select!$A$747)=TRUE,1,0)</f>
        <v>0</v>
      </c>
      <c r="Q531" s="298">
        <f ca="1">IF(select!$O$945&lt;6,1,0)</f>
        <v>1</v>
      </c>
      <c r="R531" s="298">
        <f>IF(select!$A$778=IF(Scharniere[[#This Row],[mit Dämpfung]]=1,1,IF(Scharniere[[#This Row],[ohne Dämpfung]]=1,2,IF(Scharniere[[#This Row],[ohne Feder]]=1,3,0))),1,0)</f>
        <v>0</v>
      </c>
      <c r="S531" s="298">
        <f>IF(Scharniere[[#This Row],[Bohrbild]]=select!$A$755,1,0)</f>
        <v>0</v>
      </c>
      <c r="T531" s="298">
        <f>IF(IF(Scharniere[[#This Row],[Anschrauben]]=1,1,IF(Scharniere[[#This Row],[Einpressen]]=1,2,IF(Scharniere[[#This Row],[Quick]]=1,3,IF(Scharniere[[#This Row],[Werkzeuglos]]=1,4,0))))=select!$A$769,1,0)</f>
        <v>0</v>
      </c>
      <c r="U5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1" s="359">
        <f>IF(AND(Scharniere[[#This Row],[Scharnierart]]=4,Scharniere[[#This Row],[Gruppenschlüssel]]=select!$A$981)=TRUE,1,0)</f>
        <v>0</v>
      </c>
      <c r="W531" s="359">
        <f ca="1">IF(select!$O$1185&lt;6,1,0)</f>
        <v>1</v>
      </c>
      <c r="X531" s="359">
        <f>IF(select!$A$1012=IF(Scharniere[[#This Row],[mit Dämpfung]]=1,1,IF(Scharniere[[#This Row],[ohne Dämpfung]]=1,2,IF(Scharniere[[#This Row],[ohne Feder]]=1,3,0))),1,0)</f>
        <v>0</v>
      </c>
      <c r="Y531" s="359">
        <f>IF(Scharniere[[#This Row],[Bohrbild]]=select!$A$989,1,0)</f>
        <v>0</v>
      </c>
      <c r="Z531" s="359">
        <f>IF(IF(Scharniere[[#This Row],[Anschrauben]]=1,1,IF(Scharniere[[#This Row],[Einpressen]]=1,2,IF(Scharniere[[#This Row],[Quick]]=1,3,IF(Scharniere[[#This Row],[Werkzeuglos]]=1,4,0))))=select!$A$1003,1,0)</f>
        <v>0</v>
      </c>
      <c r="AA5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1" s="359">
        <f ca="1">IF(select!$K$980="*",Scharniere[[#This Row],[AG Ges2]],Scharniere[[#This Row],[AG Ges1]])</f>
        <v>0</v>
      </c>
      <c r="AE531" s="451">
        <f ca="1">IF(AND(Scharniere[[#This Row],[Scharnierart]]=select!$A$1485,Scharniere[[#This Row],[Gruppenschlüssel]]=select!$B$1485)=TRUE,1,0)</f>
        <v>0</v>
      </c>
      <c r="AF531" s="451">
        <f ca="1">IF(AND(Scharniere[[#This Row],[Scharnierart]]=select!$A$1486,Scharniere[[#This Row],[Gruppenschlüssel]]=select!$B$1486)=TRUE,1,0)</f>
        <v>0</v>
      </c>
      <c r="AG531" s="451">
        <f ca="1">IF(AND(Scharniere[[#This Row],[Scharnierart]]=select!$A$1487,Scharniere[[#This Row],[Gruppenschlüssel]]=select!$B$1487)=TRUE,1,0)</f>
        <v>0</v>
      </c>
      <c r="AH531" s="451">
        <f ca="1">IF(AND(Scharniere[[#This Row],[Scharnierart]]=select!$A$1488,Scharniere[[#This Row],[Gruppenschlüssel]]=select!$B$1488)=TRUE,1,0)</f>
        <v>0</v>
      </c>
      <c r="AI531" s="451">
        <f ca="1">IF(SUM(Scharniere[[#This Row],[konf Scharnier 1]:[konf Scharnier 4]])&gt;0,1,0)</f>
        <v>0</v>
      </c>
      <c r="AJ531" s="451"/>
      <c r="AK531" s="451"/>
      <c r="AL531" s="451"/>
      <c r="AM531" s="451"/>
      <c r="AN531" s="451"/>
      <c r="AO531" s="146">
        <v>1</v>
      </c>
      <c r="AP531" s="146">
        <v>3</v>
      </c>
      <c r="AQ531" s="10" t="str">
        <f ca="1">Sprache!$A$112</f>
        <v>Tiomos Scharnier TS Click-on</v>
      </c>
      <c r="AR531" t="str">
        <f ca="1">"160°, S-BB, K00, "&amp;Sprache!A181&amp;", ni"</f>
        <v>160°, S-BB, K00, Dübel, ni</v>
      </c>
      <c r="AS531" t="str">
        <f ca="1">Sprache!$A$103</f>
        <v>Tiomos Click-On Scharniere</v>
      </c>
      <c r="AT531">
        <v>0</v>
      </c>
      <c r="AU531" s="34" t="s">
        <v>11</v>
      </c>
      <c r="AV531">
        <v>160</v>
      </c>
      <c r="AW531" s="10">
        <v>1</v>
      </c>
      <c r="AX531">
        <v>0</v>
      </c>
      <c r="AY531">
        <v>0</v>
      </c>
      <c r="AZ531" s="10">
        <v>0</v>
      </c>
      <c r="BA531">
        <v>1</v>
      </c>
      <c r="BB531">
        <v>0</v>
      </c>
      <c r="BC531">
        <v>0</v>
      </c>
      <c r="BD531" s="143" t="s">
        <v>403</v>
      </c>
      <c r="BG531"/>
    </row>
    <row r="532" spans="1:59" ht="14.25" customHeight="1" x14ac:dyDescent="0.25">
      <c r="A532" s="37" t="str">
        <f>LEFT(Scharniere[[#This Row],[ArtikelNR]],4)</f>
        <v>F046</v>
      </c>
      <c r="B532" s="35" t="str">
        <f>MID(Scharniere[[#This Row],[ArtikelNR]],5,3)</f>
        <v>138</v>
      </c>
      <c r="C532" s="37" t="str">
        <f>RIGHT(Scharniere[[#This Row],[ArtikelNR]],3)</f>
        <v>988</v>
      </c>
      <c r="D532" s="35">
        <f>IF(AND(Scharniere[[#This Row],[Gruppenschlüssel]]=select!$A$44,Scharniere[[#This Row],[Scharnierart]]=1)=TRUE,1,0)</f>
        <v>0</v>
      </c>
      <c r="E5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2" s="35">
        <f>IF(select!$F$57=IF(Scharniere[[#This Row],[mit Dämpfung]]=1,1,IF(Scharniere[[#This Row],[ohne Dämpfung]]=1,2,IF(Scharniere[[#This Row],[ohne Feder]]=1,3,0))),1,0)</f>
        <v>1</v>
      </c>
      <c r="G532" s="35">
        <f>IF(Scharniere[[#This Row],[Bohrbild]]=select!$V$43,1,0)</f>
        <v>0</v>
      </c>
      <c r="H532" s="35">
        <f>IF(IF(Scharniere[[#This Row],[Anschrauben]]=1,1,IF(Scharniere[[#This Row],[Einpressen]]=1,2,IF(Scharniere[[#This Row],[Quick]]=1,3,IF(Scharniere[[#This Row],[Werkzeuglos]]=1,4,0))))=select!$F$48,1,0)</f>
        <v>1</v>
      </c>
      <c r="I5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2" s="149">
        <f>IF(AND(Scharniere[[#This Row],[Scharnierart]]=2,Scharniere[[#This Row],[Gruppenschlüssel]]=select!$A$318)=TRUE,1,0)</f>
        <v>0</v>
      </c>
      <c r="K532" s="221">
        <f ca="1">IF(select!$O$424&lt;6,1,0)</f>
        <v>1</v>
      </c>
      <c r="L532" s="139">
        <f>IF(select!$A$362=IF(Scharniere[[#This Row],[mit Dämpfung]]=1,1,IF(Scharniere[[#This Row],[ohne Dämpfung]]=1,2,IF(Scharniere[[#This Row],[ohne Feder]]=1,3,0))),1,0)</f>
        <v>0</v>
      </c>
      <c r="M532" s="135">
        <f>IF(Scharniere[[#This Row],[Bohrbild]]=select!$O$334,1,0)</f>
        <v>0</v>
      </c>
      <c r="N532" s="135">
        <f>IF(IF(Scharniere[[#This Row],[Anschrauben]]=1,1,IF(Scharniere[[#This Row],[Einpressen]]=1,2,IF(Scharniere[[#This Row],[Quick]]=1,3,IF(Scharniere[[#This Row],[Werkzeuglos]]=1,4,0))))=select!$E$362,1,0)</f>
        <v>0</v>
      </c>
      <c r="O5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2" s="298">
        <f>IF(AND(Scharniere[[#This Row],[Scharnierart]]=3,Scharniere[[#This Row],[Gruppenschlüssel]]=select!$A$747)=TRUE,1,0)</f>
        <v>0</v>
      </c>
      <c r="Q532" s="298">
        <f ca="1">IF(select!$O$945&lt;6,1,0)</f>
        <v>1</v>
      </c>
      <c r="R532" s="298">
        <f>IF(select!$A$778=IF(Scharniere[[#This Row],[mit Dämpfung]]=1,1,IF(Scharniere[[#This Row],[ohne Dämpfung]]=1,2,IF(Scharniere[[#This Row],[ohne Feder]]=1,3,0))),1,0)</f>
        <v>0</v>
      </c>
      <c r="S532" s="298">
        <f>IF(Scharniere[[#This Row],[Bohrbild]]=select!$A$755,1,0)</f>
        <v>0</v>
      </c>
      <c r="T532" s="298">
        <f>IF(IF(Scharniere[[#This Row],[Anschrauben]]=1,1,IF(Scharniere[[#This Row],[Einpressen]]=1,2,IF(Scharniere[[#This Row],[Quick]]=1,3,IF(Scharniere[[#This Row],[Werkzeuglos]]=1,4,0))))=select!$A$769,1,0)</f>
        <v>0</v>
      </c>
      <c r="U5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2" s="359">
        <f>IF(AND(Scharniere[[#This Row],[Scharnierart]]=4,Scharniere[[#This Row],[Gruppenschlüssel]]=select!$A$981)=TRUE,1,0)</f>
        <v>0</v>
      </c>
      <c r="W532" s="359">
        <f ca="1">IF(select!$O$1185&lt;6,1,0)</f>
        <v>1</v>
      </c>
      <c r="X532" s="359">
        <f>IF(select!$A$1012=IF(Scharniere[[#This Row],[mit Dämpfung]]=1,1,IF(Scharniere[[#This Row],[ohne Dämpfung]]=1,2,IF(Scharniere[[#This Row],[ohne Feder]]=1,3,0))),1,0)</f>
        <v>0</v>
      </c>
      <c r="Y532" s="359">
        <f>IF(Scharniere[[#This Row],[Bohrbild]]=select!$A$989,1,0)</f>
        <v>0</v>
      </c>
      <c r="Z532" s="359">
        <f>IF(IF(Scharniere[[#This Row],[Anschrauben]]=1,1,IF(Scharniere[[#This Row],[Einpressen]]=1,2,IF(Scharniere[[#This Row],[Quick]]=1,3,IF(Scharniere[[#This Row],[Werkzeuglos]]=1,4,0))))=select!$A$1003,1,0)</f>
        <v>0</v>
      </c>
      <c r="AA5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2" s="359">
        <f ca="1">IF(select!$K$980="*",Scharniere[[#This Row],[AG Ges2]],Scharniere[[#This Row],[AG Ges1]])</f>
        <v>0</v>
      </c>
      <c r="AE532" s="451">
        <f ca="1">IF(AND(Scharniere[[#This Row],[Scharnierart]]=select!$A$1485,Scharniere[[#This Row],[Gruppenschlüssel]]=select!$B$1485)=TRUE,1,0)</f>
        <v>0</v>
      </c>
      <c r="AF532" s="451">
        <f ca="1">IF(AND(Scharniere[[#This Row],[Scharnierart]]=select!$A$1486,Scharniere[[#This Row],[Gruppenschlüssel]]=select!$B$1486)=TRUE,1,0)</f>
        <v>0</v>
      </c>
      <c r="AG532" s="451">
        <f ca="1">IF(AND(Scharniere[[#This Row],[Scharnierart]]=select!$A$1487,Scharniere[[#This Row],[Gruppenschlüssel]]=select!$B$1487)=TRUE,1,0)</f>
        <v>0</v>
      </c>
      <c r="AH532" s="451">
        <f ca="1">IF(AND(Scharniere[[#This Row],[Scharnierart]]=select!$A$1488,Scharniere[[#This Row],[Gruppenschlüssel]]=select!$B$1488)=TRUE,1,0)</f>
        <v>0</v>
      </c>
      <c r="AI532" s="451">
        <f ca="1">IF(SUM(Scharniere[[#This Row],[konf Scharnier 1]:[konf Scharnier 4]])&gt;0,1,0)</f>
        <v>0</v>
      </c>
      <c r="AJ532" s="451"/>
      <c r="AK532" s="451"/>
      <c r="AL532" s="451"/>
      <c r="AM532" s="451"/>
      <c r="AN532" s="451"/>
      <c r="AO532" s="146">
        <v>1</v>
      </c>
      <c r="AP532" s="146">
        <v>3</v>
      </c>
      <c r="AQ532" s="10" t="str">
        <f ca="1">Sprache!$A$114</f>
        <v>Tiomos Scharnier TT Click-on</v>
      </c>
      <c r="AR532" t="str">
        <f ca="1">"160°, S-BB, K00, "&amp;Sprache!A181&amp;", ni"</f>
        <v>160°, S-BB, K00, Dübel, ni</v>
      </c>
      <c r="AS532" t="str">
        <f ca="1">Sprache!$A$103</f>
        <v>Tiomos Click-On Scharniere</v>
      </c>
      <c r="AT532">
        <v>0</v>
      </c>
      <c r="AU532" s="34" t="s">
        <v>11</v>
      </c>
      <c r="AV532">
        <v>160</v>
      </c>
      <c r="AW532" s="10">
        <v>0</v>
      </c>
      <c r="AX532">
        <v>0</v>
      </c>
      <c r="AY532">
        <v>1</v>
      </c>
      <c r="AZ532" s="10">
        <v>0</v>
      </c>
      <c r="BA532">
        <v>1</v>
      </c>
      <c r="BB532">
        <v>0</v>
      </c>
      <c r="BC532">
        <v>0</v>
      </c>
      <c r="BD532" s="143" t="s">
        <v>711</v>
      </c>
      <c r="BG532"/>
    </row>
    <row r="533" spans="1:59" ht="14.25" customHeight="1" x14ac:dyDescent="0.25">
      <c r="A533" s="37" t="str">
        <f>LEFT(Scharniere[[#This Row],[ArtikelNR]],4)</f>
        <v>F045</v>
      </c>
      <c r="B533" s="35" t="str">
        <f>MID(Scharniere[[#This Row],[ArtikelNR]],5,3)</f>
        <v>138</v>
      </c>
      <c r="C533" s="37" t="str">
        <f>RIGHT(Scharniere[[#This Row],[ArtikelNR]],3)</f>
        <v>863</v>
      </c>
      <c r="D533" s="35">
        <f>IF(AND(Scharniere[[#This Row],[Gruppenschlüssel]]=select!$A$44,Scharniere[[#This Row],[Scharnierart]]=1)=TRUE,1,0)</f>
        <v>0</v>
      </c>
      <c r="E5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3" s="35">
        <f>IF(select!$F$57=IF(Scharniere[[#This Row],[mit Dämpfung]]=1,1,IF(Scharniere[[#This Row],[ohne Dämpfung]]=1,2,IF(Scharniere[[#This Row],[ohne Feder]]=1,3,0))),1,0)</f>
        <v>0</v>
      </c>
      <c r="G533" s="35">
        <f>IF(Scharniere[[#This Row],[Bohrbild]]=select!$V$43,1,0)</f>
        <v>0</v>
      </c>
      <c r="H533" s="35">
        <f>IF(IF(Scharniere[[#This Row],[Anschrauben]]=1,1,IF(Scharniere[[#This Row],[Einpressen]]=1,2,IF(Scharniere[[#This Row],[Quick]]=1,3,IF(Scharniere[[#This Row],[Werkzeuglos]]=1,4,0))))=select!$F$48,1,0)</f>
        <v>0</v>
      </c>
      <c r="I5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3" s="149">
        <f>IF(AND(Scharniere[[#This Row],[Scharnierart]]=2,Scharniere[[#This Row],[Gruppenschlüssel]]=select!$A$318)=TRUE,1,0)</f>
        <v>0</v>
      </c>
      <c r="K533" s="221">
        <f ca="1">IF(select!$O$424&lt;6,1,0)</f>
        <v>1</v>
      </c>
      <c r="L533" s="139">
        <f>IF(select!$A$362=IF(Scharniere[[#This Row],[mit Dämpfung]]=1,1,IF(Scharniere[[#This Row],[ohne Dämpfung]]=1,2,IF(Scharniere[[#This Row],[ohne Feder]]=1,3,0))),1,0)</f>
        <v>0</v>
      </c>
      <c r="M533" s="135">
        <f>IF(Scharniere[[#This Row],[Bohrbild]]=select!$O$334,1,0)</f>
        <v>0</v>
      </c>
      <c r="N533" s="135">
        <f>IF(IF(Scharniere[[#This Row],[Anschrauben]]=1,1,IF(Scharniere[[#This Row],[Einpressen]]=1,2,IF(Scharniere[[#This Row],[Quick]]=1,3,IF(Scharniere[[#This Row],[Werkzeuglos]]=1,4,0))))=select!$E$362,1,0)</f>
        <v>1</v>
      </c>
      <c r="O5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3" s="298">
        <f>IF(AND(Scharniere[[#This Row],[Scharnierart]]=3,Scharniere[[#This Row],[Gruppenschlüssel]]=select!$A$747)=TRUE,1,0)</f>
        <v>0</v>
      </c>
      <c r="Q533" s="298">
        <f ca="1">IF(select!$O$945&lt;6,1,0)</f>
        <v>1</v>
      </c>
      <c r="R533" s="298">
        <f>IF(select!$A$778=IF(Scharniere[[#This Row],[mit Dämpfung]]=1,1,IF(Scharniere[[#This Row],[ohne Dämpfung]]=1,2,IF(Scharniere[[#This Row],[ohne Feder]]=1,3,0))),1,0)</f>
        <v>1</v>
      </c>
      <c r="S533" s="298">
        <f>IF(Scharniere[[#This Row],[Bohrbild]]=select!$A$755,1,0)</f>
        <v>0</v>
      </c>
      <c r="T533" s="298">
        <f>IF(IF(Scharniere[[#This Row],[Anschrauben]]=1,1,IF(Scharniere[[#This Row],[Einpressen]]=1,2,IF(Scharniere[[#This Row],[Quick]]=1,3,IF(Scharniere[[#This Row],[Werkzeuglos]]=1,4,0))))=select!$A$769,1,0)</f>
        <v>1</v>
      </c>
      <c r="U5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3" s="359">
        <f>IF(AND(Scharniere[[#This Row],[Scharnierart]]=4,Scharniere[[#This Row],[Gruppenschlüssel]]=select!$A$981)=TRUE,1,0)</f>
        <v>0</v>
      </c>
      <c r="W533" s="359">
        <f ca="1">IF(select!$O$1185&lt;6,1,0)</f>
        <v>1</v>
      </c>
      <c r="X533" s="359">
        <f>IF(select!$A$1012=IF(Scharniere[[#This Row],[mit Dämpfung]]=1,1,IF(Scharniere[[#This Row],[ohne Dämpfung]]=1,2,IF(Scharniere[[#This Row],[ohne Feder]]=1,3,0))),1,0)</f>
        <v>1</v>
      </c>
      <c r="Y533" s="359">
        <f>IF(Scharniere[[#This Row],[Bohrbild]]=select!$A$989,1,0)</f>
        <v>0</v>
      </c>
      <c r="Z533" s="359">
        <f>IF(IF(Scharniere[[#This Row],[Anschrauben]]=1,1,IF(Scharniere[[#This Row],[Einpressen]]=1,2,IF(Scharniere[[#This Row],[Quick]]=1,3,IF(Scharniere[[#This Row],[Werkzeuglos]]=1,4,0))))=select!$A$1003,1,0)</f>
        <v>1</v>
      </c>
      <c r="AA5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3" s="359">
        <f ca="1">IF(select!$K$980="*",Scharniere[[#This Row],[AG Ges2]],Scharniere[[#This Row],[AG Ges1]])</f>
        <v>0</v>
      </c>
      <c r="AE533" s="451">
        <f ca="1">IF(AND(Scharniere[[#This Row],[Scharnierart]]=select!$A$1485,Scharniere[[#This Row],[Gruppenschlüssel]]=select!$B$1485)=TRUE,1,0)</f>
        <v>0</v>
      </c>
      <c r="AF533" s="451">
        <f ca="1">IF(AND(Scharniere[[#This Row],[Scharnierart]]=select!$A$1486,Scharniere[[#This Row],[Gruppenschlüssel]]=select!$B$1486)=TRUE,1,0)</f>
        <v>0</v>
      </c>
      <c r="AG533" s="451">
        <f ca="1">IF(AND(Scharniere[[#This Row],[Scharnierart]]=select!$A$1487,Scharniere[[#This Row],[Gruppenschlüssel]]=select!$B$1487)=TRUE,1,0)</f>
        <v>0</v>
      </c>
      <c r="AH533" s="451">
        <f ca="1">IF(AND(Scharniere[[#This Row],[Scharnierart]]=select!$A$1488,Scharniere[[#This Row],[Gruppenschlüssel]]=select!$B$1488)=TRUE,1,0)</f>
        <v>0</v>
      </c>
      <c r="AI533" s="451">
        <f ca="1">IF(SUM(Scharniere[[#This Row],[konf Scharnier 1]:[konf Scharnier 4]])&gt;0,1,0)</f>
        <v>0</v>
      </c>
      <c r="AJ533" s="451"/>
      <c r="AK533" s="451"/>
      <c r="AL533" s="451"/>
      <c r="AM533" s="451"/>
      <c r="AN533" s="451"/>
      <c r="AO533" s="146">
        <v>1</v>
      </c>
      <c r="AP533" s="146">
        <v>3</v>
      </c>
      <c r="AQ533" s="10" t="str">
        <f ca="1">Sprache!$A$110</f>
        <v>Tiomos Scharnier T Click-on</v>
      </c>
      <c r="AR533" t="s">
        <v>399</v>
      </c>
      <c r="AS533" t="str">
        <f ca="1">Sprache!$A$103</f>
        <v>Tiomos Click-On Scharniere</v>
      </c>
      <c r="AT533">
        <v>0</v>
      </c>
      <c r="AU533" s="34" t="s">
        <v>11</v>
      </c>
      <c r="AV533">
        <v>160</v>
      </c>
      <c r="AW533" s="10">
        <v>0</v>
      </c>
      <c r="AX533">
        <v>1</v>
      </c>
      <c r="AY533">
        <v>0</v>
      </c>
      <c r="AZ533" s="10">
        <v>1</v>
      </c>
      <c r="BA533">
        <v>0</v>
      </c>
      <c r="BB533">
        <v>0</v>
      </c>
      <c r="BC533">
        <v>0</v>
      </c>
      <c r="BD533" s="143" t="s">
        <v>556</v>
      </c>
      <c r="BG533"/>
    </row>
    <row r="534" spans="1:59" ht="14.25" customHeight="1" x14ac:dyDescent="0.25">
      <c r="A534" s="37" t="str">
        <f>LEFT(Scharniere[[#This Row],[ArtikelNR]],4)</f>
        <v>F028</v>
      </c>
      <c r="B534" s="35" t="str">
        <f>MID(Scharniere[[#This Row],[ArtikelNR]],5,3)</f>
        <v>138</v>
      </c>
      <c r="C534" s="37" t="str">
        <f>RIGHT(Scharniere[[#This Row],[ArtikelNR]],3)</f>
        <v>925</v>
      </c>
      <c r="D534" s="35">
        <f>IF(AND(Scharniere[[#This Row],[Gruppenschlüssel]]=select!$A$44,Scharniere[[#This Row],[Scharnierart]]=1)=TRUE,1,0)</f>
        <v>0</v>
      </c>
      <c r="E5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4" s="35">
        <f>IF(select!$F$57=IF(Scharniere[[#This Row],[mit Dämpfung]]=1,1,IF(Scharniere[[#This Row],[ohne Dämpfung]]=1,2,IF(Scharniere[[#This Row],[ohne Feder]]=1,3,0))),1,0)</f>
        <v>0</v>
      </c>
      <c r="G534" s="35">
        <f>IF(Scharniere[[#This Row],[Bohrbild]]=select!$V$43,1,0)</f>
        <v>0</v>
      </c>
      <c r="H534" s="35">
        <f>IF(IF(Scharniere[[#This Row],[Anschrauben]]=1,1,IF(Scharniere[[#This Row],[Einpressen]]=1,2,IF(Scharniere[[#This Row],[Quick]]=1,3,IF(Scharniere[[#This Row],[Werkzeuglos]]=1,4,0))))=select!$F$48,1,0)</f>
        <v>0</v>
      </c>
      <c r="I5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4" s="149">
        <f>IF(AND(Scharniere[[#This Row],[Scharnierart]]=2,Scharniere[[#This Row],[Gruppenschlüssel]]=select!$A$318)=TRUE,1,0)</f>
        <v>0</v>
      </c>
      <c r="K534" s="221">
        <f ca="1">IF(select!$O$424&lt;6,1,0)</f>
        <v>1</v>
      </c>
      <c r="L534" s="139">
        <f>IF(select!$A$362=IF(Scharniere[[#This Row],[mit Dämpfung]]=1,1,IF(Scharniere[[#This Row],[ohne Dämpfung]]=1,2,IF(Scharniere[[#This Row],[ohne Feder]]=1,3,0))),1,0)</f>
        <v>1</v>
      </c>
      <c r="M534" s="135">
        <f>IF(Scharniere[[#This Row],[Bohrbild]]=select!$O$334,1,0)</f>
        <v>0</v>
      </c>
      <c r="N534" s="135">
        <f>IF(IF(Scharniere[[#This Row],[Anschrauben]]=1,1,IF(Scharniere[[#This Row],[Einpressen]]=1,2,IF(Scharniere[[#This Row],[Quick]]=1,3,IF(Scharniere[[#This Row],[Werkzeuglos]]=1,4,0))))=select!$E$362,1,0)</f>
        <v>1</v>
      </c>
      <c r="O5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4" s="298">
        <f>IF(AND(Scharniere[[#This Row],[Scharnierart]]=3,Scharniere[[#This Row],[Gruppenschlüssel]]=select!$A$747)=TRUE,1,0)</f>
        <v>0</v>
      </c>
      <c r="Q534" s="298">
        <f ca="1">IF(select!$O$945&lt;6,1,0)</f>
        <v>1</v>
      </c>
      <c r="R534" s="298">
        <f>IF(select!$A$778=IF(Scharniere[[#This Row],[mit Dämpfung]]=1,1,IF(Scharniere[[#This Row],[ohne Dämpfung]]=1,2,IF(Scharniere[[#This Row],[ohne Feder]]=1,3,0))),1,0)</f>
        <v>0</v>
      </c>
      <c r="S534" s="298">
        <f>IF(Scharniere[[#This Row],[Bohrbild]]=select!$A$755,1,0)</f>
        <v>0</v>
      </c>
      <c r="T534" s="298">
        <f>IF(IF(Scharniere[[#This Row],[Anschrauben]]=1,1,IF(Scharniere[[#This Row],[Einpressen]]=1,2,IF(Scharniere[[#This Row],[Quick]]=1,3,IF(Scharniere[[#This Row],[Werkzeuglos]]=1,4,0))))=select!$A$769,1,0)</f>
        <v>1</v>
      </c>
      <c r="U5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4" s="359">
        <f>IF(AND(Scharniere[[#This Row],[Scharnierart]]=4,Scharniere[[#This Row],[Gruppenschlüssel]]=select!$A$981)=TRUE,1,0)</f>
        <v>0</v>
      </c>
      <c r="W534" s="359">
        <f ca="1">IF(select!$O$1185&lt;6,1,0)</f>
        <v>1</v>
      </c>
      <c r="X534" s="359">
        <f>IF(select!$A$1012=IF(Scharniere[[#This Row],[mit Dämpfung]]=1,1,IF(Scharniere[[#This Row],[ohne Dämpfung]]=1,2,IF(Scharniere[[#This Row],[ohne Feder]]=1,3,0))),1,0)</f>
        <v>0</v>
      </c>
      <c r="Y534" s="359">
        <f>IF(Scharniere[[#This Row],[Bohrbild]]=select!$A$989,1,0)</f>
        <v>0</v>
      </c>
      <c r="Z534" s="359">
        <f>IF(IF(Scharniere[[#This Row],[Anschrauben]]=1,1,IF(Scharniere[[#This Row],[Einpressen]]=1,2,IF(Scharniere[[#This Row],[Quick]]=1,3,IF(Scharniere[[#This Row],[Werkzeuglos]]=1,4,0))))=select!$A$1003,1,0)</f>
        <v>1</v>
      </c>
      <c r="AA5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4" s="359">
        <f ca="1">IF(select!$K$980="*",Scharniere[[#This Row],[AG Ges2]],Scharniere[[#This Row],[AG Ges1]])</f>
        <v>0</v>
      </c>
      <c r="AE534" s="451">
        <f ca="1">IF(AND(Scharniere[[#This Row],[Scharnierart]]=select!$A$1485,Scharniere[[#This Row],[Gruppenschlüssel]]=select!$B$1485)=TRUE,1,0)</f>
        <v>0</v>
      </c>
      <c r="AF534" s="451">
        <f ca="1">IF(AND(Scharniere[[#This Row],[Scharnierart]]=select!$A$1486,Scharniere[[#This Row],[Gruppenschlüssel]]=select!$B$1486)=TRUE,1,0)</f>
        <v>0</v>
      </c>
      <c r="AG534" s="451">
        <f ca="1">IF(AND(Scharniere[[#This Row],[Scharnierart]]=select!$A$1487,Scharniere[[#This Row],[Gruppenschlüssel]]=select!$B$1487)=TRUE,1,0)</f>
        <v>0</v>
      </c>
      <c r="AH534" s="451">
        <f ca="1">IF(AND(Scharniere[[#This Row],[Scharnierart]]=select!$A$1488,Scharniere[[#This Row],[Gruppenschlüssel]]=select!$B$1488)=TRUE,1,0)</f>
        <v>0</v>
      </c>
      <c r="AI534" s="451">
        <f ca="1">IF(SUM(Scharniere[[#This Row],[konf Scharnier 1]:[konf Scharnier 4]])&gt;0,1,0)</f>
        <v>0</v>
      </c>
      <c r="AJ534" s="451"/>
      <c r="AK534" s="451"/>
      <c r="AL534" s="451"/>
      <c r="AM534" s="451"/>
      <c r="AN534" s="451"/>
      <c r="AO534" s="146">
        <v>1</v>
      </c>
      <c r="AP534" s="146">
        <v>3</v>
      </c>
      <c r="AQ534" s="10" t="str">
        <f ca="1">Sprache!$A$112</f>
        <v>Tiomos Scharnier TS Click-on</v>
      </c>
      <c r="AR534" t="s">
        <v>399</v>
      </c>
      <c r="AS534" t="str">
        <f ca="1">Sprache!$A$103</f>
        <v>Tiomos Click-On Scharniere</v>
      </c>
      <c r="AT534">
        <v>0</v>
      </c>
      <c r="AU534" s="34" t="s">
        <v>11</v>
      </c>
      <c r="AV534">
        <v>160</v>
      </c>
      <c r="AW534" s="10">
        <v>1</v>
      </c>
      <c r="AX534">
        <v>0</v>
      </c>
      <c r="AY534">
        <v>0</v>
      </c>
      <c r="AZ534" s="10">
        <v>1</v>
      </c>
      <c r="BA534">
        <v>0</v>
      </c>
      <c r="BB534">
        <v>0</v>
      </c>
      <c r="BC534">
        <v>0</v>
      </c>
      <c r="BD534" s="143" t="s">
        <v>398</v>
      </c>
      <c r="BG534"/>
    </row>
    <row r="535" spans="1:59" ht="14.25" customHeight="1" x14ac:dyDescent="0.25">
      <c r="A535" s="37" t="str">
        <f>LEFT(Scharniere[[#This Row],[ArtikelNR]],4)</f>
        <v>F046</v>
      </c>
      <c r="B535" s="35" t="str">
        <f>MID(Scharniere[[#This Row],[ArtikelNR]],5,3)</f>
        <v>138</v>
      </c>
      <c r="C535" s="37" t="str">
        <f>RIGHT(Scharniere[[#This Row],[ArtikelNR]],3)</f>
        <v>985</v>
      </c>
      <c r="D535" s="35">
        <f>IF(AND(Scharniere[[#This Row],[Gruppenschlüssel]]=select!$A$44,Scharniere[[#This Row],[Scharnierart]]=1)=TRUE,1,0)</f>
        <v>0</v>
      </c>
      <c r="E5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5" s="35">
        <f>IF(select!$F$57=IF(Scharniere[[#This Row],[mit Dämpfung]]=1,1,IF(Scharniere[[#This Row],[ohne Dämpfung]]=1,2,IF(Scharniere[[#This Row],[ohne Feder]]=1,3,0))),1,0)</f>
        <v>1</v>
      </c>
      <c r="G535" s="35">
        <f>IF(Scharniere[[#This Row],[Bohrbild]]=select!$V$43,1,0)</f>
        <v>0</v>
      </c>
      <c r="H535" s="35">
        <f>IF(IF(Scharniere[[#This Row],[Anschrauben]]=1,1,IF(Scharniere[[#This Row],[Einpressen]]=1,2,IF(Scharniere[[#This Row],[Quick]]=1,3,IF(Scharniere[[#This Row],[Werkzeuglos]]=1,4,0))))=select!$F$48,1,0)</f>
        <v>0</v>
      </c>
      <c r="I5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5" s="149">
        <f>IF(AND(Scharniere[[#This Row],[Scharnierart]]=2,Scharniere[[#This Row],[Gruppenschlüssel]]=select!$A$318)=TRUE,1,0)</f>
        <v>0</v>
      </c>
      <c r="K535" s="221">
        <f ca="1">IF(select!$O$424&lt;6,1,0)</f>
        <v>1</v>
      </c>
      <c r="L535" s="139">
        <f>IF(select!$A$362=IF(Scharniere[[#This Row],[mit Dämpfung]]=1,1,IF(Scharniere[[#This Row],[ohne Dämpfung]]=1,2,IF(Scharniere[[#This Row],[ohne Feder]]=1,3,0))),1,0)</f>
        <v>0</v>
      </c>
      <c r="M535" s="135">
        <f>IF(Scharniere[[#This Row],[Bohrbild]]=select!$O$334,1,0)</f>
        <v>0</v>
      </c>
      <c r="N535" s="135">
        <f>IF(IF(Scharniere[[#This Row],[Anschrauben]]=1,1,IF(Scharniere[[#This Row],[Einpressen]]=1,2,IF(Scharniere[[#This Row],[Quick]]=1,3,IF(Scharniere[[#This Row],[Werkzeuglos]]=1,4,0))))=select!$E$362,1,0)</f>
        <v>1</v>
      </c>
      <c r="O5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5" s="298">
        <f>IF(AND(Scharniere[[#This Row],[Scharnierart]]=3,Scharniere[[#This Row],[Gruppenschlüssel]]=select!$A$747)=TRUE,1,0)</f>
        <v>0</v>
      </c>
      <c r="Q535" s="298">
        <f ca="1">IF(select!$O$945&lt;6,1,0)</f>
        <v>1</v>
      </c>
      <c r="R535" s="298">
        <f>IF(select!$A$778=IF(Scharniere[[#This Row],[mit Dämpfung]]=1,1,IF(Scharniere[[#This Row],[ohne Dämpfung]]=1,2,IF(Scharniere[[#This Row],[ohne Feder]]=1,3,0))),1,0)</f>
        <v>0</v>
      </c>
      <c r="S535" s="298">
        <f>IF(Scharniere[[#This Row],[Bohrbild]]=select!$A$755,1,0)</f>
        <v>0</v>
      </c>
      <c r="T535" s="298">
        <f>IF(IF(Scharniere[[#This Row],[Anschrauben]]=1,1,IF(Scharniere[[#This Row],[Einpressen]]=1,2,IF(Scharniere[[#This Row],[Quick]]=1,3,IF(Scharniere[[#This Row],[Werkzeuglos]]=1,4,0))))=select!$A$769,1,0)</f>
        <v>1</v>
      </c>
      <c r="U5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5" s="359">
        <f>IF(AND(Scharniere[[#This Row],[Scharnierart]]=4,Scharniere[[#This Row],[Gruppenschlüssel]]=select!$A$981)=TRUE,1,0)</f>
        <v>0</v>
      </c>
      <c r="W535" s="359">
        <f ca="1">IF(select!$O$1185&lt;6,1,0)</f>
        <v>1</v>
      </c>
      <c r="X535" s="359">
        <f>IF(select!$A$1012=IF(Scharniere[[#This Row],[mit Dämpfung]]=1,1,IF(Scharniere[[#This Row],[ohne Dämpfung]]=1,2,IF(Scharniere[[#This Row],[ohne Feder]]=1,3,0))),1,0)</f>
        <v>0</v>
      </c>
      <c r="Y535" s="359">
        <f>IF(Scharniere[[#This Row],[Bohrbild]]=select!$A$989,1,0)</f>
        <v>0</v>
      </c>
      <c r="Z535" s="359">
        <f>IF(IF(Scharniere[[#This Row],[Anschrauben]]=1,1,IF(Scharniere[[#This Row],[Einpressen]]=1,2,IF(Scharniere[[#This Row],[Quick]]=1,3,IF(Scharniere[[#This Row],[Werkzeuglos]]=1,4,0))))=select!$A$1003,1,0)</f>
        <v>1</v>
      </c>
      <c r="AA5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5" s="359">
        <f ca="1">IF(select!$K$980="*",Scharniere[[#This Row],[AG Ges2]],Scharniere[[#This Row],[AG Ges1]])</f>
        <v>0</v>
      </c>
      <c r="AE535" s="451">
        <f ca="1">IF(AND(Scharniere[[#This Row],[Scharnierart]]=select!$A$1485,Scharniere[[#This Row],[Gruppenschlüssel]]=select!$B$1485)=TRUE,1,0)</f>
        <v>0</v>
      </c>
      <c r="AF535" s="451">
        <f ca="1">IF(AND(Scharniere[[#This Row],[Scharnierart]]=select!$A$1486,Scharniere[[#This Row],[Gruppenschlüssel]]=select!$B$1486)=TRUE,1,0)</f>
        <v>0</v>
      </c>
      <c r="AG535" s="451">
        <f ca="1">IF(AND(Scharniere[[#This Row],[Scharnierart]]=select!$A$1487,Scharniere[[#This Row],[Gruppenschlüssel]]=select!$B$1487)=TRUE,1,0)</f>
        <v>0</v>
      </c>
      <c r="AH535" s="451">
        <f ca="1">IF(AND(Scharniere[[#This Row],[Scharnierart]]=select!$A$1488,Scharniere[[#This Row],[Gruppenschlüssel]]=select!$B$1488)=TRUE,1,0)</f>
        <v>0</v>
      </c>
      <c r="AI535" s="451">
        <f ca="1">IF(SUM(Scharniere[[#This Row],[konf Scharnier 1]:[konf Scharnier 4]])&gt;0,1,0)</f>
        <v>0</v>
      </c>
      <c r="AJ535" s="451"/>
      <c r="AK535" s="451"/>
      <c r="AL535" s="451"/>
      <c r="AM535" s="451"/>
      <c r="AN535" s="451"/>
      <c r="AO535" s="146">
        <v>1</v>
      </c>
      <c r="AP535" s="146">
        <v>3</v>
      </c>
      <c r="AQ535" s="10" t="str">
        <f ca="1">Sprache!$A$114</f>
        <v>Tiomos Scharnier TT Click-on</v>
      </c>
      <c r="AR535" t="s">
        <v>399</v>
      </c>
      <c r="AS535" t="str">
        <f ca="1">Sprache!$A$103</f>
        <v>Tiomos Click-On Scharniere</v>
      </c>
      <c r="AT535">
        <v>0</v>
      </c>
      <c r="AU535" s="34" t="s">
        <v>11</v>
      </c>
      <c r="AV535">
        <v>160</v>
      </c>
      <c r="AW535" s="10">
        <v>0</v>
      </c>
      <c r="AX535">
        <v>0</v>
      </c>
      <c r="AY535">
        <v>1</v>
      </c>
      <c r="AZ535" s="10">
        <v>1</v>
      </c>
      <c r="BA535">
        <v>0</v>
      </c>
      <c r="BB535">
        <v>0</v>
      </c>
      <c r="BC535">
        <v>0</v>
      </c>
      <c r="BD535" s="143" t="s">
        <v>708</v>
      </c>
      <c r="BG535"/>
    </row>
    <row r="536" spans="1:59" ht="14.25" customHeight="1" x14ac:dyDescent="0.25">
      <c r="A536" s="37" t="str">
        <f>LEFT(Scharniere[[#This Row],[ArtikelNR]],4)</f>
        <v>F045</v>
      </c>
      <c r="B536" s="35" t="str">
        <f>MID(Scharniere[[#This Row],[ArtikelNR]],5,3)</f>
        <v>138</v>
      </c>
      <c r="C536" s="37" t="str">
        <f>RIGHT(Scharniere[[#This Row],[ArtikelNR]],3)</f>
        <v>512</v>
      </c>
      <c r="D536" s="35">
        <f>IF(AND(Scharniere[[#This Row],[Gruppenschlüssel]]=select!$A$44,Scharniere[[#This Row],[Scharnierart]]=1)=TRUE,1,0)</f>
        <v>0</v>
      </c>
      <c r="E5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6" s="35">
        <f>IF(select!$F$57=IF(Scharniere[[#This Row],[mit Dämpfung]]=1,1,IF(Scharniere[[#This Row],[ohne Dämpfung]]=1,2,IF(Scharniere[[#This Row],[ohne Feder]]=1,3,0))),1,0)</f>
        <v>0</v>
      </c>
      <c r="G536" s="35">
        <f>IF(Scharniere[[#This Row],[Bohrbild]]=select!$V$43,1,0)</f>
        <v>0</v>
      </c>
      <c r="H536" s="35">
        <f>IF(IF(Scharniere[[#This Row],[Anschrauben]]=1,1,IF(Scharniere[[#This Row],[Einpressen]]=1,2,IF(Scharniere[[#This Row],[Quick]]=1,3,IF(Scharniere[[#This Row],[Werkzeuglos]]=1,4,0))))=select!$F$48,1,0)</f>
        <v>1</v>
      </c>
      <c r="I5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6" s="149">
        <f>IF(AND(Scharniere[[#This Row],[Scharnierart]]=2,Scharniere[[#This Row],[Gruppenschlüssel]]=select!$A$318)=TRUE,1,0)</f>
        <v>0</v>
      </c>
      <c r="K536" s="221">
        <f ca="1">IF(select!$O$424&lt;6,1,0)</f>
        <v>1</v>
      </c>
      <c r="L536" s="139">
        <f>IF(select!$A$362=IF(Scharniere[[#This Row],[mit Dämpfung]]=1,1,IF(Scharniere[[#This Row],[ohne Dämpfung]]=1,2,IF(Scharniere[[#This Row],[ohne Feder]]=1,3,0))),1,0)</f>
        <v>0</v>
      </c>
      <c r="M536" s="135">
        <f>IF(Scharniere[[#This Row],[Bohrbild]]=select!$O$334,1,0)</f>
        <v>0</v>
      </c>
      <c r="N536" s="135">
        <f>IF(IF(Scharniere[[#This Row],[Anschrauben]]=1,1,IF(Scharniere[[#This Row],[Einpressen]]=1,2,IF(Scharniere[[#This Row],[Quick]]=1,3,IF(Scharniere[[#This Row],[Werkzeuglos]]=1,4,0))))=select!$E$362,1,0)</f>
        <v>0</v>
      </c>
      <c r="O5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6" s="298">
        <f>IF(AND(Scharniere[[#This Row],[Scharnierart]]=3,Scharniere[[#This Row],[Gruppenschlüssel]]=select!$A$747)=TRUE,1,0)</f>
        <v>0</v>
      </c>
      <c r="Q536" s="298">
        <f ca="1">IF(select!$O$945&lt;6,1,0)</f>
        <v>1</v>
      </c>
      <c r="R536" s="298">
        <f>IF(select!$A$778=IF(Scharniere[[#This Row],[mit Dämpfung]]=1,1,IF(Scharniere[[#This Row],[ohne Dämpfung]]=1,2,IF(Scharniere[[#This Row],[ohne Feder]]=1,3,0))),1,0)</f>
        <v>1</v>
      </c>
      <c r="S536" s="298">
        <f>IF(Scharniere[[#This Row],[Bohrbild]]=select!$A$755,1,0)</f>
        <v>0</v>
      </c>
      <c r="T536" s="298">
        <f>IF(IF(Scharniere[[#This Row],[Anschrauben]]=1,1,IF(Scharniere[[#This Row],[Einpressen]]=1,2,IF(Scharniere[[#This Row],[Quick]]=1,3,IF(Scharniere[[#This Row],[Werkzeuglos]]=1,4,0))))=select!$A$769,1,0)</f>
        <v>0</v>
      </c>
      <c r="U5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6" s="359">
        <f>IF(AND(Scharniere[[#This Row],[Scharnierart]]=4,Scharniere[[#This Row],[Gruppenschlüssel]]=select!$A$981)=TRUE,1,0)</f>
        <v>0</v>
      </c>
      <c r="W536" s="359">
        <f ca="1">IF(select!$O$1185&lt;6,1,0)</f>
        <v>1</v>
      </c>
      <c r="X536" s="359">
        <f>IF(select!$A$1012=IF(Scharniere[[#This Row],[mit Dämpfung]]=1,1,IF(Scharniere[[#This Row],[ohne Dämpfung]]=1,2,IF(Scharniere[[#This Row],[ohne Feder]]=1,3,0))),1,0)</f>
        <v>1</v>
      </c>
      <c r="Y536" s="359">
        <f>IF(Scharniere[[#This Row],[Bohrbild]]=select!$A$989,1,0)</f>
        <v>0</v>
      </c>
      <c r="Z536" s="359">
        <f>IF(IF(Scharniere[[#This Row],[Anschrauben]]=1,1,IF(Scharniere[[#This Row],[Einpressen]]=1,2,IF(Scharniere[[#This Row],[Quick]]=1,3,IF(Scharniere[[#This Row],[Werkzeuglos]]=1,4,0))))=select!$A$1003,1,0)</f>
        <v>0</v>
      </c>
      <c r="AA5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6" s="359">
        <f ca="1">IF(select!$K$980="*",Scharniere[[#This Row],[AG Ges2]],Scharniere[[#This Row],[AG Ges1]])</f>
        <v>0</v>
      </c>
      <c r="AE536" s="451">
        <f ca="1">IF(AND(Scharniere[[#This Row],[Scharnierart]]=select!$A$1485,Scharniere[[#This Row],[Gruppenschlüssel]]=select!$B$1485)=TRUE,1,0)</f>
        <v>0</v>
      </c>
      <c r="AF536" s="451">
        <f ca="1">IF(AND(Scharniere[[#This Row],[Scharnierart]]=select!$A$1486,Scharniere[[#This Row],[Gruppenschlüssel]]=select!$B$1486)=TRUE,1,0)</f>
        <v>0</v>
      </c>
      <c r="AG536" s="451">
        <f ca="1">IF(AND(Scharniere[[#This Row],[Scharnierart]]=select!$A$1487,Scharniere[[#This Row],[Gruppenschlüssel]]=select!$B$1487)=TRUE,1,0)</f>
        <v>0</v>
      </c>
      <c r="AH536" s="451">
        <f ca="1">IF(AND(Scharniere[[#This Row],[Scharnierart]]=select!$A$1488,Scharniere[[#This Row],[Gruppenschlüssel]]=select!$B$1488)=TRUE,1,0)</f>
        <v>0</v>
      </c>
      <c r="AI536" s="451">
        <f ca="1">IF(SUM(Scharniere[[#This Row],[konf Scharnier 1]:[konf Scharnier 4]])&gt;0,1,0)</f>
        <v>0</v>
      </c>
      <c r="AJ536" s="451"/>
      <c r="AK536" s="451"/>
      <c r="AL536" s="451"/>
      <c r="AM536" s="451"/>
      <c r="AN536" s="451"/>
      <c r="AO536" s="146">
        <v>1</v>
      </c>
      <c r="AP536" s="146">
        <v>4</v>
      </c>
      <c r="AQ536" s="10" t="str">
        <f ca="1">Sprache!$A$110</f>
        <v>Tiomos Scharnier T Click-on</v>
      </c>
      <c r="AR536" t="str">
        <f ca="1">"95°, B-BB, K19, "&amp;Sprache!A181&amp;", ni"</f>
        <v>95°, B-BB, K19, Dübel, ni</v>
      </c>
      <c r="AS536" t="str">
        <f ca="1">Sprache!$A$103</f>
        <v>Tiomos Click-On Scharniere</v>
      </c>
      <c r="AT536">
        <v>19</v>
      </c>
      <c r="AU536" t="s">
        <v>3</v>
      </c>
      <c r="AV536">
        <v>95</v>
      </c>
      <c r="AW536" s="10">
        <v>0</v>
      </c>
      <c r="AX536">
        <v>1</v>
      </c>
      <c r="AY536">
        <v>0</v>
      </c>
      <c r="AZ536" s="10">
        <v>0</v>
      </c>
      <c r="BA536">
        <v>1</v>
      </c>
      <c r="BB536">
        <v>0</v>
      </c>
      <c r="BC536">
        <v>0</v>
      </c>
      <c r="BD536" s="143" t="s">
        <v>513</v>
      </c>
      <c r="BG536"/>
    </row>
    <row r="537" spans="1:59" ht="14.25" customHeight="1" x14ac:dyDescent="0.25">
      <c r="A537" s="37" t="str">
        <f>LEFT(Scharniere[[#This Row],[ArtikelNR]],4)</f>
        <v>F028</v>
      </c>
      <c r="B537" s="35" t="str">
        <f>MID(Scharniere[[#This Row],[ArtikelNR]],5,3)</f>
        <v>138</v>
      </c>
      <c r="C537" s="37" t="str">
        <f>RIGHT(Scharniere[[#This Row],[ArtikelNR]],3)</f>
        <v>574</v>
      </c>
      <c r="D537" s="35">
        <f>IF(AND(Scharniere[[#This Row],[Gruppenschlüssel]]=select!$A$44,Scharniere[[#This Row],[Scharnierart]]=1)=TRUE,1,0)</f>
        <v>0</v>
      </c>
      <c r="E5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7" s="35">
        <f>IF(select!$F$57=IF(Scharniere[[#This Row],[mit Dämpfung]]=1,1,IF(Scharniere[[#This Row],[ohne Dämpfung]]=1,2,IF(Scharniere[[#This Row],[ohne Feder]]=1,3,0))),1,0)</f>
        <v>0</v>
      </c>
      <c r="G537" s="35">
        <f>IF(Scharniere[[#This Row],[Bohrbild]]=select!$V$43,1,0)</f>
        <v>0</v>
      </c>
      <c r="H537" s="35">
        <f>IF(IF(Scharniere[[#This Row],[Anschrauben]]=1,1,IF(Scharniere[[#This Row],[Einpressen]]=1,2,IF(Scharniere[[#This Row],[Quick]]=1,3,IF(Scharniere[[#This Row],[Werkzeuglos]]=1,4,0))))=select!$F$48,1,0)</f>
        <v>1</v>
      </c>
      <c r="I5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7" s="149">
        <f>IF(AND(Scharniere[[#This Row],[Scharnierart]]=2,Scharniere[[#This Row],[Gruppenschlüssel]]=select!$A$318)=TRUE,1,0)</f>
        <v>0</v>
      </c>
      <c r="K537" s="221">
        <f ca="1">IF(select!$O$424&lt;6,1,0)</f>
        <v>1</v>
      </c>
      <c r="L537" s="139">
        <f>IF(select!$A$362=IF(Scharniere[[#This Row],[mit Dämpfung]]=1,1,IF(Scharniere[[#This Row],[ohne Dämpfung]]=1,2,IF(Scharniere[[#This Row],[ohne Feder]]=1,3,0))),1,0)</f>
        <v>1</v>
      </c>
      <c r="M537" s="135">
        <f>IF(Scharniere[[#This Row],[Bohrbild]]=select!$O$334,1,0)</f>
        <v>0</v>
      </c>
      <c r="N537" s="135">
        <f>IF(IF(Scharniere[[#This Row],[Anschrauben]]=1,1,IF(Scharniere[[#This Row],[Einpressen]]=1,2,IF(Scharniere[[#This Row],[Quick]]=1,3,IF(Scharniere[[#This Row],[Werkzeuglos]]=1,4,0))))=select!$E$362,1,0)</f>
        <v>0</v>
      </c>
      <c r="O5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7" s="298">
        <f>IF(AND(Scharniere[[#This Row],[Scharnierart]]=3,Scharniere[[#This Row],[Gruppenschlüssel]]=select!$A$747)=TRUE,1,0)</f>
        <v>0</v>
      </c>
      <c r="Q537" s="298">
        <f ca="1">IF(select!$O$945&lt;6,1,0)</f>
        <v>1</v>
      </c>
      <c r="R537" s="298">
        <f>IF(select!$A$778=IF(Scharniere[[#This Row],[mit Dämpfung]]=1,1,IF(Scharniere[[#This Row],[ohne Dämpfung]]=1,2,IF(Scharniere[[#This Row],[ohne Feder]]=1,3,0))),1,0)</f>
        <v>0</v>
      </c>
      <c r="S537" s="298">
        <f>IF(Scharniere[[#This Row],[Bohrbild]]=select!$A$755,1,0)</f>
        <v>0</v>
      </c>
      <c r="T537" s="298">
        <f>IF(IF(Scharniere[[#This Row],[Anschrauben]]=1,1,IF(Scharniere[[#This Row],[Einpressen]]=1,2,IF(Scharniere[[#This Row],[Quick]]=1,3,IF(Scharniere[[#This Row],[Werkzeuglos]]=1,4,0))))=select!$A$769,1,0)</f>
        <v>0</v>
      </c>
      <c r="U5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7" s="359">
        <f>IF(AND(Scharniere[[#This Row],[Scharnierart]]=4,Scharniere[[#This Row],[Gruppenschlüssel]]=select!$A$981)=TRUE,1,0)</f>
        <v>0</v>
      </c>
      <c r="W537" s="359">
        <f ca="1">IF(select!$O$1185&lt;6,1,0)</f>
        <v>1</v>
      </c>
      <c r="X537" s="359">
        <f>IF(select!$A$1012=IF(Scharniere[[#This Row],[mit Dämpfung]]=1,1,IF(Scharniere[[#This Row],[ohne Dämpfung]]=1,2,IF(Scharniere[[#This Row],[ohne Feder]]=1,3,0))),1,0)</f>
        <v>0</v>
      </c>
      <c r="Y537" s="359">
        <f>IF(Scharniere[[#This Row],[Bohrbild]]=select!$A$989,1,0)</f>
        <v>0</v>
      </c>
      <c r="Z537" s="359">
        <f>IF(IF(Scharniere[[#This Row],[Anschrauben]]=1,1,IF(Scharniere[[#This Row],[Einpressen]]=1,2,IF(Scharniere[[#This Row],[Quick]]=1,3,IF(Scharniere[[#This Row],[Werkzeuglos]]=1,4,0))))=select!$A$1003,1,0)</f>
        <v>0</v>
      </c>
      <c r="AA5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7" s="359">
        <f ca="1">IF(select!$K$980="*",Scharniere[[#This Row],[AG Ges2]],Scharniere[[#This Row],[AG Ges1]])</f>
        <v>0</v>
      </c>
      <c r="AE537" s="451">
        <f ca="1">IF(AND(Scharniere[[#This Row],[Scharnierart]]=select!$A$1485,Scharniere[[#This Row],[Gruppenschlüssel]]=select!$B$1485)=TRUE,1,0)</f>
        <v>0</v>
      </c>
      <c r="AF537" s="451">
        <f ca="1">IF(AND(Scharniere[[#This Row],[Scharnierart]]=select!$A$1486,Scharniere[[#This Row],[Gruppenschlüssel]]=select!$B$1486)=TRUE,1,0)</f>
        <v>0</v>
      </c>
      <c r="AG537" s="451">
        <f ca="1">IF(AND(Scharniere[[#This Row],[Scharnierart]]=select!$A$1487,Scharniere[[#This Row],[Gruppenschlüssel]]=select!$B$1487)=TRUE,1,0)</f>
        <v>0</v>
      </c>
      <c r="AH537" s="451">
        <f ca="1">IF(AND(Scharniere[[#This Row],[Scharnierart]]=select!$A$1488,Scharniere[[#This Row],[Gruppenschlüssel]]=select!$B$1488)=TRUE,1,0)</f>
        <v>0</v>
      </c>
      <c r="AI537" s="451">
        <f ca="1">IF(SUM(Scharniere[[#This Row],[konf Scharnier 1]:[konf Scharnier 4]])&gt;0,1,0)</f>
        <v>0</v>
      </c>
      <c r="AJ537" s="451"/>
      <c r="AK537" s="451"/>
      <c r="AL537" s="451"/>
      <c r="AM537" s="451"/>
      <c r="AN537" s="451"/>
      <c r="AO537" s="146">
        <v>1</v>
      </c>
      <c r="AP537" s="146">
        <v>4</v>
      </c>
      <c r="AQ537" s="10" t="str">
        <f ca="1">Sprache!$A$112</f>
        <v>Tiomos Scharnier TS Click-on</v>
      </c>
      <c r="AR537" t="str">
        <f ca="1">"95°, B-BB, K19, "&amp;Sprache!A181&amp;", ni"</f>
        <v>95°, B-BB, K19, Dübel, ni</v>
      </c>
      <c r="AS537" t="str">
        <f ca="1">Sprache!$A$103</f>
        <v>Tiomos Click-On Scharniere</v>
      </c>
      <c r="AT537">
        <v>19</v>
      </c>
      <c r="AU537" t="s">
        <v>3</v>
      </c>
      <c r="AV537">
        <v>95</v>
      </c>
      <c r="AW537" s="10">
        <v>1</v>
      </c>
      <c r="AX537">
        <v>0</v>
      </c>
      <c r="AY537">
        <v>0</v>
      </c>
      <c r="AZ537" s="10">
        <v>0</v>
      </c>
      <c r="BA537">
        <v>1</v>
      </c>
      <c r="BB537">
        <v>0</v>
      </c>
      <c r="BC537">
        <v>0</v>
      </c>
      <c r="BD537" s="143" t="s">
        <v>340</v>
      </c>
      <c r="BG537"/>
    </row>
    <row r="538" spans="1:59" ht="14.25" customHeight="1" x14ac:dyDescent="0.25">
      <c r="A538" s="37" t="str">
        <f>LEFT(Scharniere[[#This Row],[ArtikelNR]],4)</f>
        <v>F046</v>
      </c>
      <c r="B538" s="35" t="str">
        <f>MID(Scharniere[[#This Row],[ArtikelNR]],5,3)</f>
        <v>138</v>
      </c>
      <c r="C538" s="37" t="str">
        <f>RIGHT(Scharniere[[#This Row],[ArtikelNR]],3)</f>
        <v>634</v>
      </c>
      <c r="D538" s="35">
        <f>IF(AND(Scharniere[[#This Row],[Gruppenschlüssel]]=select!$A$44,Scharniere[[#This Row],[Scharnierart]]=1)=TRUE,1,0)</f>
        <v>0</v>
      </c>
      <c r="E5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8" s="35">
        <f>IF(select!$F$57=IF(Scharniere[[#This Row],[mit Dämpfung]]=1,1,IF(Scharniere[[#This Row],[ohne Dämpfung]]=1,2,IF(Scharniere[[#This Row],[ohne Feder]]=1,3,0))),1,0)</f>
        <v>1</v>
      </c>
      <c r="G538" s="35">
        <f>IF(Scharniere[[#This Row],[Bohrbild]]=select!$V$43,1,0)</f>
        <v>0</v>
      </c>
      <c r="H538" s="35">
        <f>IF(IF(Scharniere[[#This Row],[Anschrauben]]=1,1,IF(Scharniere[[#This Row],[Einpressen]]=1,2,IF(Scharniere[[#This Row],[Quick]]=1,3,IF(Scharniere[[#This Row],[Werkzeuglos]]=1,4,0))))=select!$F$48,1,0)</f>
        <v>1</v>
      </c>
      <c r="I5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8" s="149">
        <f>IF(AND(Scharniere[[#This Row],[Scharnierart]]=2,Scharniere[[#This Row],[Gruppenschlüssel]]=select!$A$318)=TRUE,1,0)</f>
        <v>0</v>
      </c>
      <c r="K538" s="221">
        <f ca="1">IF(select!$O$424&lt;6,1,0)</f>
        <v>1</v>
      </c>
      <c r="L538" s="139">
        <f>IF(select!$A$362=IF(Scharniere[[#This Row],[mit Dämpfung]]=1,1,IF(Scharniere[[#This Row],[ohne Dämpfung]]=1,2,IF(Scharniere[[#This Row],[ohne Feder]]=1,3,0))),1,0)</f>
        <v>0</v>
      </c>
      <c r="M538" s="135">
        <f>IF(Scharniere[[#This Row],[Bohrbild]]=select!$O$334,1,0)</f>
        <v>0</v>
      </c>
      <c r="N538" s="135">
        <f>IF(IF(Scharniere[[#This Row],[Anschrauben]]=1,1,IF(Scharniere[[#This Row],[Einpressen]]=1,2,IF(Scharniere[[#This Row],[Quick]]=1,3,IF(Scharniere[[#This Row],[Werkzeuglos]]=1,4,0))))=select!$E$362,1,0)</f>
        <v>0</v>
      </c>
      <c r="O5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8" s="298">
        <f>IF(AND(Scharniere[[#This Row],[Scharnierart]]=3,Scharniere[[#This Row],[Gruppenschlüssel]]=select!$A$747)=TRUE,1,0)</f>
        <v>0</v>
      </c>
      <c r="Q538" s="298">
        <f ca="1">IF(select!$O$945&lt;6,1,0)</f>
        <v>1</v>
      </c>
      <c r="R538" s="298">
        <f>IF(select!$A$778=IF(Scharniere[[#This Row],[mit Dämpfung]]=1,1,IF(Scharniere[[#This Row],[ohne Dämpfung]]=1,2,IF(Scharniere[[#This Row],[ohne Feder]]=1,3,0))),1,0)</f>
        <v>0</v>
      </c>
      <c r="S538" s="298">
        <f>IF(Scharniere[[#This Row],[Bohrbild]]=select!$A$755,1,0)</f>
        <v>0</v>
      </c>
      <c r="T538" s="298">
        <f>IF(IF(Scharniere[[#This Row],[Anschrauben]]=1,1,IF(Scharniere[[#This Row],[Einpressen]]=1,2,IF(Scharniere[[#This Row],[Quick]]=1,3,IF(Scharniere[[#This Row],[Werkzeuglos]]=1,4,0))))=select!$A$769,1,0)</f>
        <v>0</v>
      </c>
      <c r="U5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8" s="359">
        <f>IF(AND(Scharniere[[#This Row],[Scharnierart]]=4,Scharniere[[#This Row],[Gruppenschlüssel]]=select!$A$981)=TRUE,1,0)</f>
        <v>0</v>
      </c>
      <c r="W538" s="359">
        <f ca="1">IF(select!$O$1185&lt;6,1,0)</f>
        <v>1</v>
      </c>
      <c r="X538" s="359">
        <f>IF(select!$A$1012=IF(Scharniere[[#This Row],[mit Dämpfung]]=1,1,IF(Scharniere[[#This Row],[ohne Dämpfung]]=1,2,IF(Scharniere[[#This Row],[ohne Feder]]=1,3,0))),1,0)</f>
        <v>0</v>
      </c>
      <c r="Y538" s="359">
        <f>IF(Scharniere[[#This Row],[Bohrbild]]=select!$A$989,1,0)</f>
        <v>0</v>
      </c>
      <c r="Z538" s="359">
        <f>IF(IF(Scharniere[[#This Row],[Anschrauben]]=1,1,IF(Scharniere[[#This Row],[Einpressen]]=1,2,IF(Scharniere[[#This Row],[Quick]]=1,3,IF(Scharniere[[#This Row],[Werkzeuglos]]=1,4,0))))=select!$A$1003,1,0)</f>
        <v>0</v>
      </c>
      <c r="AA5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8" s="359">
        <f ca="1">IF(select!$K$980="*",Scharniere[[#This Row],[AG Ges2]],Scharniere[[#This Row],[AG Ges1]])</f>
        <v>0</v>
      </c>
      <c r="AE538" s="451">
        <f ca="1">IF(AND(Scharniere[[#This Row],[Scharnierart]]=select!$A$1485,Scharniere[[#This Row],[Gruppenschlüssel]]=select!$B$1485)=TRUE,1,0)</f>
        <v>0</v>
      </c>
      <c r="AF538" s="451">
        <f ca="1">IF(AND(Scharniere[[#This Row],[Scharnierart]]=select!$A$1486,Scharniere[[#This Row],[Gruppenschlüssel]]=select!$B$1486)=TRUE,1,0)</f>
        <v>0</v>
      </c>
      <c r="AG538" s="451">
        <f ca="1">IF(AND(Scharniere[[#This Row],[Scharnierart]]=select!$A$1487,Scharniere[[#This Row],[Gruppenschlüssel]]=select!$B$1487)=TRUE,1,0)</f>
        <v>0</v>
      </c>
      <c r="AH538" s="451">
        <f ca="1">IF(AND(Scharniere[[#This Row],[Scharnierart]]=select!$A$1488,Scharniere[[#This Row],[Gruppenschlüssel]]=select!$B$1488)=TRUE,1,0)</f>
        <v>0</v>
      </c>
      <c r="AI538" s="451">
        <f ca="1">IF(SUM(Scharniere[[#This Row],[konf Scharnier 1]:[konf Scharnier 4]])&gt;0,1,0)</f>
        <v>0</v>
      </c>
      <c r="AJ538" s="451"/>
      <c r="AK538" s="451"/>
      <c r="AL538" s="451"/>
      <c r="AM538" s="451"/>
      <c r="AN538" s="451"/>
      <c r="AO538" s="146">
        <v>1</v>
      </c>
      <c r="AP538" s="146">
        <v>4</v>
      </c>
      <c r="AQ538" s="10" t="str">
        <f ca="1">Sprache!$A$114</f>
        <v>Tiomos Scharnier TT Click-on</v>
      </c>
      <c r="AR538" t="str">
        <f ca="1">"95°, B-BB, K19, "&amp;Sprache!A181&amp;", ni"</f>
        <v>95°, B-BB, K19, Dübel, ni</v>
      </c>
      <c r="AS538" t="str">
        <f ca="1">Sprache!$A$103</f>
        <v>Tiomos Click-On Scharniere</v>
      </c>
      <c r="AT538">
        <v>19</v>
      </c>
      <c r="AU538" s="34" t="s">
        <v>3</v>
      </c>
      <c r="AV538">
        <v>95</v>
      </c>
      <c r="AW538" s="10">
        <v>0</v>
      </c>
      <c r="AX538">
        <v>0</v>
      </c>
      <c r="AY538">
        <v>1</v>
      </c>
      <c r="AZ538" s="10">
        <v>0</v>
      </c>
      <c r="BA538">
        <v>1</v>
      </c>
      <c r="BB538">
        <v>0</v>
      </c>
      <c r="BC538">
        <v>0</v>
      </c>
      <c r="BD538" s="143" t="s">
        <v>665</v>
      </c>
      <c r="BG538"/>
    </row>
    <row r="539" spans="1:59" ht="14.25" customHeight="1" x14ac:dyDescent="0.25">
      <c r="A539" s="37" t="str">
        <f>LEFT(Scharniere[[#This Row],[ArtikelNR]],4)</f>
        <v>F045</v>
      </c>
      <c r="B539" s="35" t="str">
        <f>MID(Scharniere[[#This Row],[ArtikelNR]],5,3)</f>
        <v>138</v>
      </c>
      <c r="C539" s="37" t="str">
        <f>RIGHT(Scharniere[[#This Row],[ArtikelNR]],3)</f>
        <v>508</v>
      </c>
      <c r="D539" s="35">
        <f>IF(AND(Scharniere[[#This Row],[Gruppenschlüssel]]=select!$A$44,Scharniere[[#This Row],[Scharnierart]]=1)=TRUE,1,0)</f>
        <v>0</v>
      </c>
      <c r="E5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39" s="35">
        <f>IF(select!$F$57=IF(Scharniere[[#This Row],[mit Dämpfung]]=1,1,IF(Scharniere[[#This Row],[ohne Dämpfung]]=1,2,IF(Scharniere[[#This Row],[ohne Feder]]=1,3,0))),1,0)</f>
        <v>0</v>
      </c>
      <c r="G539" s="35">
        <f>IF(Scharniere[[#This Row],[Bohrbild]]=select!$V$43,1,0)</f>
        <v>0</v>
      </c>
      <c r="H539" s="35">
        <f>IF(IF(Scharniere[[#This Row],[Anschrauben]]=1,1,IF(Scharniere[[#This Row],[Einpressen]]=1,2,IF(Scharniere[[#This Row],[Quick]]=1,3,IF(Scharniere[[#This Row],[Werkzeuglos]]=1,4,0))))=select!$F$48,1,0)</f>
        <v>0</v>
      </c>
      <c r="I5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39" s="149">
        <f>IF(AND(Scharniere[[#This Row],[Scharnierart]]=2,Scharniere[[#This Row],[Gruppenschlüssel]]=select!$A$318)=TRUE,1,0)</f>
        <v>0</v>
      </c>
      <c r="K539" s="221">
        <f ca="1">IF(select!$O$424&lt;6,1,0)</f>
        <v>1</v>
      </c>
      <c r="L539" s="139">
        <f>IF(select!$A$362=IF(Scharniere[[#This Row],[mit Dämpfung]]=1,1,IF(Scharniere[[#This Row],[ohne Dämpfung]]=1,2,IF(Scharniere[[#This Row],[ohne Feder]]=1,3,0))),1,0)</f>
        <v>0</v>
      </c>
      <c r="M539" s="135">
        <f>IF(Scharniere[[#This Row],[Bohrbild]]=select!$O$334,1,0)</f>
        <v>0</v>
      </c>
      <c r="N539" s="135">
        <f>IF(IF(Scharniere[[#This Row],[Anschrauben]]=1,1,IF(Scharniere[[#This Row],[Einpressen]]=1,2,IF(Scharniere[[#This Row],[Quick]]=1,3,IF(Scharniere[[#This Row],[Werkzeuglos]]=1,4,0))))=select!$E$362,1,0)</f>
        <v>1</v>
      </c>
      <c r="O5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39" s="298">
        <f>IF(AND(Scharniere[[#This Row],[Scharnierart]]=3,Scharniere[[#This Row],[Gruppenschlüssel]]=select!$A$747)=TRUE,1,0)</f>
        <v>0</v>
      </c>
      <c r="Q539" s="298">
        <f ca="1">IF(select!$O$945&lt;6,1,0)</f>
        <v>1</v>
      </c>
      <c r="R539" s="298">
        <f>IF(select!$A$778=IF(Scharniere[[#This Row],[mit Dämpfung]]=1,1,IF(Scharniere[[#This Row],[ohne Dämpfung]]=1,2,IF(Scharniere[[#This Row],[ohne Feder]]=1,3,0))),1,0)</f>
        <v>1</v>
      </c>
      <c r="S539" s="298">
        <f>IF(Scharniere[[#This Row],[Bohrbild]]=select!$A$755,1,0)</f>
        <v>0</v>
      </c>
      <c r="T539" s="298">
        <f>IF(IF(Scharniere[[#This Row],[Anschrauben]]=1,1,IF(Scharniere[[#This Row],[Einpressen]]=1,2,IF(Scharniere[[#This Row],[Quick]]=1,3,IF(Scharniere[[#This Row],[Werkzeuglos]]=1,4,0))))=select!$A$769,1,0)</f>
        <v>1</v>
      </c>
      <c r="U5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39" s="359">
        <f>IF(AND(Scharniere[[#This Row],[Scharnierart]]=4,Scharniere[[#This Row],[Gruppenschlüssel]]=select!$A$981)=TRUE,1,0)</f>
        <v>0</v>
      </c>
      <c r="W539" s="359">
        <f ca="1">IF(select!$O$1185&lt;6,1,0)</f>
        <v>1</v>
      </c>
      <c r="X539" s="359">
        <f>IF(select!$A$1012=IF(Scharniere[[#This Row],[mit Dämpfung]]=1,1,IF(Scharniere[[#This Row],[ohne Dämpfung]]=1,2,IF(Scharniere[[#This Row],[ohne Feder]]=1,3,0))),1,0)</f>
        <v>1</v>
      </c>
      <c r="Y539" s="359">
        <f>IF(Scharniere[[#This Row],[Bohrbild]]=select!$A$989,1,0)</f>
        <v>0</v>
      </c>
      <c r="Z539" s="359">
        <f>IF(IF(Scharniere[[#This Row],[Anschrauben]]=1,1,IF(Scharniere[[#This Row],[Einpressen]]=1,2,IF(Scharniere[[#This Row],[Quick]]=1,3,IF(Scharniere[[#This Row],[Werkzeuglos]]=1,4,0))))=select!$A$1003,1,0)</f>
        <v>1</v>
      </c>
      <c r="AA5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39" s="359">
        <f ca="1">IF(select!$K$980="*",Scharniere[[#This Row],[AG Ges2]],Scharniere[[#This Row],[AG Ges1]])</f>
        <v>0</v>
      </c>
      <c r="AE539" s="451">
        <f ca="1">IF(AND(Scharniere[[#This Row],[Scharnierart]]=select!$A$1485,Scharniere[[#This Row],[Gruppenschlüssel]]=select!$B$1485)=TRUE,1,0)</f>
        <v>0</v>
      </c>
      <c r="AF539" s="451">
        <f ca="1">IF(AND(Scharniere[[#This Row],[Scharnierart]]=select!$A$1486,Scharniere[[#This Row],[Gruppenschlüssel]]=select!$B$1486)=TRUE,1,0)</f>
        <v>0</v>
      </c>
      <c r="AG539" s="451">
        <f ca="1">IF(AND(Scharniere[[#This Row],[Scharnierart]]=select!$A$1487,Scharniere[[#This Row],[Gruppenschlüssel]]=select!$B$1487)=TRUE,1,0)</f>
        <v>0</v>
      </c>
      <c r="AH539" s="451">
        <f ca="1">IF(AND(Scharniere[[#This Row],[Scharnierart]]=select!$A$1488,Scharniere[[#This Row],[Gruppenschlüssel]]=select!$B$1488)=TRUE,1,0)</f>
        <v>0</v>
      </c>
      <c r="AI539" s="451">
        <f ca="1">IF(SUM(Scharniere[[#This Row],[konf Scharnier 1]:[konf Scharnier 4]])&gt;0,1,0)</f>
        <v>0</v>
      </c>
      <c r="AJ539" s="451"/>
      <c r="AK539" s="451"/>
      <c r="AL539" s="451"/>
      <c r="AM539" s="451"/>
      <c r="AN539" s="451"/>
      <c r="AO539" s="146">
        <v>1</v>
      </c>
      <c r="AP539" s="146">
        <v>4</v>
      </c>
      <c r="AQ539" s="10" t="str">
        <f ca="1">Sprache!$A$110</f>
        <v>Tiomos Scharnier T Click-on</v>
      </c>
      <c r="AR539" t="s">
        <v>336</v>
      </c>
      <c r="AS539" t="str">
        <f ca="1">Sprache!$A$103</f>
        <v>Tiomos Click-On Scharniere</v>
      </c>
      <c r="AT539">
        <v>19</v>
      </c>
      <c r="AU539" s="34" t="s">
        <v>3</v>
      </c>
      <c r="AV539">
        <v>95</v>
      </c>
      <c r="AW539" s="10">
        <v>0</v>
      </c>
      <c r="AX539">
        <v>1</v>
      </c>
      <c r="AY539">
        <v>0</v>
      </c>
      <c r="AZ539" s="10">
        <v>1</v>
      </c>
      <c r="BA539">
        <v>0</v>
      </c>
      <c r="BB539">
        <v>0</v>
      </c>
      <c r="BC539">
        <v>0</v>
      </c>
      <c r="BD539" s="143" t="s">
        <v>509</v>
      </c>
      <c r="BG539"/>
    </row>
    <row r="540" spans="1:59" ht="14.25" customHeight="1" x14ac:dyDescent="0.25">
      <c r="A540" s="37" t="str">
        <f>LEFT(Scharniere[[#This Row],[ArtikelNR]],4)</f>
        <v>F028</v>
      </c>
      <c r="B540" s="35" t="str">
        <f>MID(Scharniere[[#This Row],[ArtikelNR]],5,3)</f>
        <v>138</v>
      </c>
      <c r="C540" s="37" t="str">
        <f>RIGHT(Scharniere[[#This Row],[ArtikelNR]],3)</f>
        <v>570</v>
      </c>
      <c r="D540" s="35">
        <f>IF(AND(Scharniere[[#This Row],[Gruppenschlüssel]]=select!$A$44,Scharniere[[#This Row],[Scharnierart]]=1)=TRUE,1,0)</f>
        <v>0</v>
      </c>
      <c r="E5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0" s="35">
        <f>IF(select!$F$57=IF(Scharniere[[#This Row],[mit Dämpfung]]=1,1,IF(Scharniere[[#This Row],[ohne Dämpfung]]=1,2,IF(Scharniere[[#This Row],[ohne Feder]]=1,3,0))),1,0)</f>
        <v>0</v>
      </c>
      <c r="G540" s="35">
        <f>IF(Scharniere[[#This Row],[Bohrbild]]=select!$V$43,1,0)</f>
        <v>0</v>
      </c>
      <c r="H540" s="35">
        <f>IF(IF(Scharniere[[#This Row],[Anschrauben]]=1,1,IF(Scharniere[[#This Row],[Einpressen]]=1,2,IF(Scharniere[[#This Row],[Quick]]=1,3,IF(Scharniere[[#This Row],[Werkzeuglos]]=1,4,0))))=select!$F$48,1,0)</f>
        <v>0</v>
      </c>
      <c r="I5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0" s="149">
        <f>IF(AND(Scharniere[[#This Row],[Scharnierart]]=2,Scharniere[[#This Row],[Gruppenschlüssel]]=select!$A$318)=TRUE,1,0)</f>
        <v>0</v>
      </c>
      <c r="K540" s="221">
        <f ca="1">IF(select!$O$424&lt;6,1,0)</f>
        <v>1</v>
      </c>
      <c r="L540" s="139">
        <f>IF(select!$A$362=IF(Scharniere[[#This Row],[mit Dämpfung]]=1,1,IF(Scharniere[[#This Row],[ohne Dämpfung]]=1,2,IF(Scharniere[[#This Row],[ohne Feder]]=1,3,0))),1,0)</f>
        <v>1</v>
      </c>
      <c r="M540" s="135">
        <f>IF(Scharniere[[#This Row],[Bohrbild]]=select!$O$334,1,0)</f>
        <v>0</v>
      </c>
      <c r="N540" s="135">
        <f>IF(IF(Scharniere[[#This Row],[Anschrauben]]=1,1,IF(Scharniere[[#This Row],[Einpressen]]=1,2,IF(Scharniere[[#This Row],[Quick]]=1,3,IF(Scharniere[[#This Row],[Werkzeuglos]]=1,4,0))))=select!$E$362,1,0)</f>
        <v>1</v>
      </c>
      <c r="O5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0" s="298">
        <f>IF(AND(Scharniere[[#This Row],[Scharnierart]]=3,Scharniere[[#This Row],[Gruppenschlüssel]]=select!$A$747)=TRUE,1,0)</f>
        <v>0</v>
      </c>
      <c r="Q540" s="298">
        <f ca="1">IF(select!$O$945&lt;6,1,0)</f>
        <v>1</v>
      </c>
      <c r="R540" s="298">
        <f>IF(select!$A$778=IF(Scharniere[[#This Row],[mit Dämpfung]]=1,1,IF(Scharniere[[#This Row],[ohne Dämpfung]]=1,2,IF(Scharniere[[#This Row],[ohne Feder]]=1,3,0))),1,0)</f>
        <v>0</v>
      </c>
      <c r="S540" s="298">
        <f>IF(Scharniere[[#This Row],[Bohrbild]]=select!$A$755,1,0)</f>
        <v>0</v>
      </c>
      <c r="T540" s="298">
        <f>IF(IF(Scharniere[[#This Row],[Anschrauben]]=1,1,IF(Scharniere[[#This Row],[Einpressen]]=1,2,IF(Scharniere[[#This Row],[Quick]]=1,3,IF(Scharniere[[#This Row],[Werkzeuglos]]=1,4,0))))=select!$A$769,1,0)</f>
        <v>1</v>
      </c>
      <c r="U5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0" s="359">
        <f>IF(AND(Scharniere[[#This Row],[Scharnierart]]=4,Scharniere[[#This Row],[Gruppenschlüssel]]=select!$A$981)=TRUE,1,0)</f>
        <v>0</v>
      </c>
      <c r="W540" s="359">
        <f ca="1">IF(select!$O$1185&lt;6,1,0)</f>
        <v>1</v>
      </c>
      <c r="X540" s="359">
        <f>IF(select!$A$1012=IF(Scharniere[[#This Row],[mit Dämpfung]]=1,1,IF(Scharniere[[#This Row],[ohne Dämpfung]]=1,2,IF(Scharniere[[#This Row],[ohne Feder]]=1,3,0))),1,0)</f>
        <v>0</v>
      </c>
      <c r="Y540" s="359">
        <f>IF(Scharniere[[#This Row],[Bohrbild]]=select!$A$989,1,0)</f>
        <v>0</v>
      </c>
      <c r="Z540" s="359">
        <f>IF(IF(Scharniere[[#This Row],[Anschrauben]]=1,1,IF(Scharniere[[#This Row],[Einpressen]]=1,2,IF(Scharniere[[#This Row],[Quick]]=1,3,IF(Scharniere[[#This Row],[Werkzeuglos]]=1,4,0))))=select!$A$1003,1,0)</f>
        <v>1</v>
      </c>
      <c r="AA5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0" s="359">
        <f ca="1">IF(select!$K$980="*",Scharniere[[#This Row],[AG Ges2]],Scharniere[[#This Row],[AG Ges1]])</f>
        <v>0</v>
      </c>
      <c r="AE540" s="451">
        <f ca="1">IF(AND(Scharniere[[#This Row],[Scharnierart]]=select!$A$1485,Scharniere[[#This Row],[Gruppenschlüssel]]=select!$B$1485)=TRUE,1,0)</f>
        <v>0</v>
      </c>
      <c r="AF540" s="451">
        <f ca="1">IF(AND(Scharniere[[#This Row],[Scharnierart]]=select!$A$1486,Scharniere[[#This Row],[Gruppenschlüssel]]=select!$B$1486)=TRUE,1,0)</f>
        <v>0</v>
      </c>
      <c r="AG540" s="451">
        <f ca="1">IF(AND(Scharniere[[#This Row],[Scharnierart]]=select!$A$1487,Scharniere[[#This Row],[Gruppenschlüssel]]=select!$B$1487)=TRUE,1,0)</f>
        <v>0</v>
      </c>
      <c r="AH540" s="451">
        <f ca="1">IF(AND(Scharniere[[#This Row],[Scharnierart]]=select!$A$1488,Scharniere[[#This Row],[Gruppenschlüssel]]=select!$B$1488)=TRUE,1,0)</f>
        <v>0</v>
      </c>
      <c r="AI540" s="451">
        <f ca="1">IF(SUM(Scharniere[[#This Row],[konf Scharnier 1]:[konf Scharnier 4]])&gt;0,1,0)</f>
        <v>0</v>
      </c>
      <c r="AJ540" s="451"/>
      <c r="AK540" s="451"/>
      <c r="AL540" s="451"/>
      <c r="AM540" s="451"/>
      <c r="AN540" s="451"/>
      <c r="AO540" s="146">
        <v>1</v>
      </c>
      <c r="AP540" s="146">
        <v>4</v>
      </c>
      <c r="AQ540" s="10" t="str">
        <f ca="1">Sprache!$A$112</f>
        <v>Tiomos Scharnier TS Click-on</v>
      </c>
      <c r="AR540" t="s">
        <v>336</v>
      </c>
      <c r="AS540" t="str">
        <f ca="1">Sprache!$A$103</f>
        <v>Tiomos Click-On Scharniere</v>
      </c>
      <c r="AT540">
        <v>19</v>
      </c>
      <c r="AU540" t="s">
        <v>3</v>
      </c>
      <c r="AV540">
        <v>95</v>
      </c>
      <c r="AW540" s="10">
        <v>1</v>
      </c>
      <c r="AX540">
        <v>0</v>
      </c>
      <c r="AY540">
        <v>0</v>
      </c>
      <c r="AZ540" s="10">
        <v>1</v>
      </c>
      <c r="BA540">
        <v>0</v>
      </c>
      <c r="BB540">
        <v>0</v>
      </c>
      <c r="BC540">
        <v>0</v>
      </c>
      <c r="BD540" s="143" t="s">
        <v>335</v>
      </c>
      <c r="BG540"/>
    </row>
    <row r="541" spans="1:59" ht="14.25" customHeight="1" x14ac:dyDescent="0.25">
      <c r="A541" s="37" t="str">
        <f>LEFT(Scharniere[[#This Row],[ArtikelNR]],4)</f>
        <v>F046</v>
      </c>
      <c r="B541" s="35" t="str">
        <f>MID(Scharniere[[#This Row],[ArtikelNR]],5,3)</f>
        <v>138</v>
      </c>
      <c r="C541" s="37" t="str">
        <f>RIGHT(Scharniere[[#This Row],[ArtikelNR]],3)</f>
        <v>630</v>
      </c>
      <c r="D541" s="35">
        <f>IF(AND(Scharniere[[#This Row],[Gruppenschlüssel]]=select!$A$44,Scharniere[[#This Row],[Scharnierart]]=1)=TRUE,1,0)</f>
        <v>0</v>
      </c>
      <c r="E5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1" s="35">
        <f>IF(select!$F$57=IF(Scharniere[[#This Row],[mit Dämpfung]]=1,1,IF(Scharniere[[#This Row],[ohne Dämpfung]]=1,2,IF(Scharniere[[#This Row],[ohne Feder]]=1,3,0))),1,0)</f>
        <v>1</v>
      </c>
      <c r="G541" s="35">
        <f>IF(Scharniere[[#This Row],[Bohrbild]]=select!$V$43,1,0)</f>
        <v>0</v>
      </c>
      <c r="H541" s="35">
        <f>IF(IF(Scharniere[[#This Row],[Anschrauben]]=1,1,IF(Scharniere[[#This Row],[Einpressen]]=1,2,IF(Scharniere[[#This Row],[Quick]]=1,3,IF(Scharniere[[#This Row],[Werkzeuglos]]=1,4,0))))=select!$F$48,1,0)</f>
        <v>0</v>
      </c>
      <c r="I5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1" s="149">
        <f>IF(AND(Scharniere[[#This Row],[Scharnierart]]=2,Scharniere[[#This Row],[Gruppenschlüssel]]=select!$A$318)=TRUE,1,0)</f>
        <v>0</v>
      </c>
      <c r="K541" s="221">
        <f ca="1">IF(select!$O$424&lt;6,1,0)</f>
        <v>1</v>
      </c>
      <c r="L541" s="139">
        <f>IF(select!$A$362=IF(Scharniere[[#This Row],[mit Dämpfung]]=1,1,IF(Scharniere[[#This Row],[ohne Dämpfung]]=1,2,IF(Scharniere[[#This Row],[ohne Feder]]=1,3,0))),1,0)</f>
        <v>0</v>
      </c>
      <c r="M541" s="135">
        <f>IF(Scharniere[[#This Row],[Bohrbild]]=select!$O$334,1,0)</f>
        <v>0</v>
      </c>
      <c r="N541" s="135">
        <f>IF(IF(Scharniere[[#This Row],[Anschrauben]]=1,1,IF(Scharniere[[#This Row],[Einpressen]]=1,2,IF(Scharniere[[#This Row],[Quick]]=1,3,IF(Scharniere[[#This Row],[Werkzeuglos]]=1,4,0))))=select!$E$362,1,0)</f>
        <v>1</v>
      </c>
      <c r="O5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1" s="298">
        <f>IF(AND(Scharniere[[#This Row],[Scharnierart]]=3,Scharniere[[#This Row],[Gruppenschlüssel]]=select!$A$747)=TRUE,1,0)</f>
        <v>0</v>
      </c>
      <c r="Q541" s="298">
        <f ca="1">IF(select!$O$945&lt;6,1,0)</f>
        <v>1</v>
      </c>
      <c r="R541" s="298">
        <f>IF(select!$A$778=IF(Scharniere[[#This Row],[mit Dämpfung]]=1,1,IF(Scharniere[[#This Row],[ohne Dämpfung]]=1,2,IF(Scharniere[[#This Row],[ohne Feder]]=1,3,0))),1,0)</f>
        <v>0</v>
      </c>
      <c r="S541" s="298">
        <f>IF(Scharniere[[#This Row],[Bohrbild]]=select!$A$755,1,0)</f>
        <v>0</v>
      </c>
      <c r="T541" s="298">
        <f>IF(IF(Scharniere[[#This Row],[Anschrauben]]=1,1,IF(Scharniere[[#This Row],[Einpressen]]=1,2,IF(Scharniere[[#This Row],[Quick]]=1,3,IF(Scharniere[[#This Row],[Werkzeuglos]]=1,4,0))))=select!$A$769,1,0)</f>
        <v>1</v>
      </c>
      <c r="U5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1" s="359">
        <f>IF(AND(Scharniere[[#This Row],[Scharnierart]]=4,Scharniere[[#This Row],[Gruppenschlüssel]]=select!$A$981)=TRUE,1,0)</f>
        <v>0</v>
      </c>
      <c r="W541" s="359">
        <f ca="1">IF(select!$O$1185&lt;6,1,0)</f>
        <v>1</v>
      </c>
      <c r="X541" s="359">
        <f>IF(select!$A$1012=IF(Scharniere[[#This Row],[mit Dämpfung]]=1,1,IF(Scharniere[[#This Row],[ohne Dämpfung]]=1,2,IF(Scharniere[[#This Row],[ohne Feder]]=1,3,0))),1,0)</f>
        <v>0</v>
      </c>
      <c r="Y541" s="359">
        <f>IF(Scharniere[[#This Row],[Bohrbild]]=select!$A$989,1,0)</f>
        <v>0</v>
      </c>
      <c r="Z541" s="359">
        <f>IF(IF(Scharniere[[#This Row],[Anschrauben]]=1,1,IF(Scharniere[[#This Row],[Einpressen]]=1,2,IF(Scharniere[[#This Row],[Quick]]=1,3,IF(Scharniere[[#This Row],[Werkzeuglos]]=1,4,0))))=select!$A$1003,1,0)</f>
        <v>1</v>
      </c>
      <c r="AA5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1" s="359">
        <f ca="1">IF(select!$K$980="*",Scharniere[[#This Row],[AG Ges2]],Scharniere[[#This Row],[AG Ges1]])</f>
        <v>0</v>
      </c>
      <c r="AE541" s="451">
        <f ca="1">IF(AND(Scharniere[[#This Row],[Scharnierart]]=select!$A$1485,Scharniere[[#This Row],[Gruppenschlüssel]]=select!$B$1485)=TRUE,1,0)</f>
        <v>0</v>
      </c>
      <c r="AF541" s="451">
        <f ca="1">IF(AND(Scharniere[[#This Row],[Scharnierart]]=select!$A$1486,Scharniere[[#This Row],[Gruppenschlüssel]]=select!$B$1486)=TRUE,1,0)</f>
        <v>0</v>
      </c>
      <c r="AG541" s="451">
        <f ca="1">IF(AND(Scharniere[[#This Row],[Scharnierart]]=select!$A$1487,Scharniere[[#This Row],[Gruppenschlüssel]]=select!$B$1487)=TRUE,1,0)</f>
        <v>0</v>
      </c>
      <c r="AH541" s="451">
        <f ca="1">IF(AND(Scharniere[[#This Row],[Scharnierart]]=select!$A$1488,Scharniere[[#This Row],[Gruppenschlüssel]]=select!$B$1488)=TRUE,1,0)</f>
        <v>0</v>
      </c>
      <c r="AI541" s="451">
        <f ca="1">IF(SUM(Scharniere[[#This Row],[konf Scharnier 1]:[konf Scharnier 4]])&gt;0,1,0)</f>
        <v>0</v>
      </c>
      <c r="AJ541" s="451"/>
      <c r="AK541" s="451"/>
      <c r="AL541" s="451"/>
      <c r="AM541" s="451"/>
      <c r="AN541" s="451"/>
      <c r="AO541" s="146">
        <v>1</v>
      </c>
      <c r="AP541" s="146">
        <v>4</v>
      </c>
      <c r="AQ541" s="10" t="str">
        <f ca="1">Sprache!$A$114</f>
        <v>Tiomos Scharnier TT Click-on</v>
      </c>
      <c r="AR541" t="s">
        <v>336</v>
      </c>
      <c r="AS541" t="str">
        <f ca="1">Sprache!$A$103</f>
        <v>Tiomos Click-On Scharniere</v>
      </c>
      <c r="AT541">
        <v>19</v>
      </c>
      <c r="AU541" s="34" t="s">
        <v>3</v>
      </c>
      <c r="AV541">
        <v>95</v>
      </c>
      <c r="AW541" s="10">
        <v>0</v>
      </c>
      <c r="AX541">
        <v>0</v>
      </c>
      <c r="AY541">
        <v>1</v>
      </c>
      <c r="AZ541" s="10">
        <v>1</v>
      </c>
      <c r="BA541">
        <v>0</v>
      </c>
      <c r="BB541">
        <v>0</v>
      </c>
      <c r="BC541">
        <v>0</v>
      </c>
      <c r="BD541" s="143" t="s">
        <v>661</v>
      </c>
      <c r="BG541"/>
    </row>
    <row r="542" spans="1:59" ht="14.25" customHeight="1" x14ac:dyDescent="0.25">
      <c r="A542" s="37" t="str">
        <f>LEFT(Scharniere[[#This Row],[ArtikelNR]],4)</f>
        <v>F045</v>
      </c>
      <c r="B542" s="35" t="str">
        <f>MID(Scharniere[[#This Row],[ArtikelNR]],5,3)</f>
        <v>138</v>
      </c>
      <c r="C542" s="37" t="str">
        <f>RIGHT(Scharniere[[#This Row],[ArtikelNR]],3)</f>
        <v>330</v>
      </c>
      <c r="D542" s="35">
        <f>IF(AND(Scharniere[[#This Row],[Gruppenschlüssel]]=select!$A$44,Scharniere[[#This Row],[Scharnierart]]=1)=TRUE,1,0)</f>
        <v>0</v>
      </c>
      <c r="E5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2" s="35">
        <f>IF(select!$F$57=IF(Scharniere[[#This Row],[mit Dämpfung]]=1,1,IF(Scharniere[[#This Row],[ohne Dämpfung]]=1,2,IF(Scharniere[[#This Row],[ohne Feder]]=1,3,0))),1,0)</f>
        <v>0</v>
      </c>
      <c r="G542" s="35">
        <f>IF(Scharniere[[#This Row],[Bohrbild]]=select!$V$43,1,0)</f>
        <v>0</v>
      </c>
      <c r="H542" s="35">
        <f>IF(IF(Scharniere[[#This Row],[Anschrauben]]=1,1,IF(Scharniere[[#This Row],[Einpressen]]=1,2,IF(Scharniere[[#This Row],[Quick]]=1,3,IF(Scharniere[[#This Row],[Werkzeuglos]]=1,4,0))))=select!$F$48,1,0)</f>
        <v>1</v>
      </c>
      <c r="I5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2" s="149">
        <f>IF(AND(Scharniere[[#This Row],[Scharnierart]]=2,Scharniere[[#This Row],[Gruppenschlüssel]]=select!$A$318)=TRUE,1,0)</f>
        <v>0</v>
      </c>
      <c r="K542" s="221">
        <f ca="1">IF(select!$O$424&lt;6,1,0)</f>
        <v>1</v>
      </c>
      <c r="L542" s="139">
        <f>IF(select!$A$362=IF(Scharniere[[#This Row],[mit Dämpfung]]=1,1,IF(Scharniere[[#This Row],[ohne Dämpfung]]=1,2,IF(Scharniere[[#This Row],[ohne Feder]]=1,3,0))),1,0)</f>
        <v>0</v>
      </c>
      <c r="M542" s="135">
        <f>IF(Scharniere[[#This Row],[Bohrbild]]=select!$O$334,1,0)</f>
        <v>0</v>
      </c>
      <c r="N542" s="135">
        <f>IF(IF(Scharniere[[#This Row],[Anschrauben]]=1,1,IF(Scharniere[[#This Row],[Einpressen]]=1,2,IF(Scharniere[[#This Row],[Quick]]=1,3,IF(Scharniere[[#This Row],[Werkzeuglos]]=1,4,0))))=select!$E$362,1,0)</f>
        <v>0</v>
      </c>
      <c r="O5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2" s="298">
        <f>IF(AND(Scharniere[[#This Row],[Scharnierart]]=3,Scharniere[[#This Row],[Gruppenschlüssel]]=select!$A$747)=TRUE,1,0)</f>
        <v>0</v>
      </c>
      <c r="Q542" s="298">
        <f ca="1">IF(select!$O$945&lt;6,1,0)</f>
        <v>1</v>
      </c>
      <c r="R542" s="298">
        <f>IF(select!$A$778=IF(Scharniere[[#This Row],[mit Dämpfung]]=1,1,IF(Scharniere[[#This Row],[ohne Dämpfung]]=1,2,IF(Scharniere[[#This Row],[ohne Feder]]=1,3,0))),1,0)</f>
        <v>1</v>
      </c>
      <c r="S542" s="298">
        <f>IF(Scharniere[[#This Row],[Bohrbild]]=select!$A$755,1,0)</f>
        <v>0</v>
      </c>
      <c r="T542" s="298">
        <f>IF(IF(Scharniere[[#This Row],[Anschrauben]]=1,1,IF(Scharniere[[#This Row],[Einpressen]]=1,2,IF(Scharniere[[#This Row],[Quick]]=1,3,IF(Scharniere[[#This Row],[Werkzeuglos]]=1,4,0))))=select!$A$769,1,0)</f>
        <v>0</v>
      </c>
      <c r="U5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2" s="359">
        <f>IF(AND(Scharniere[[#This Row],[Scharnierart]]=4,Scharniere[[#This Row],[Gruppenschlüssel]]=select!$A$981)=TRUE,1,0)</f>
        <v>0</v>
      </c>
      <c r="W542" s="359">
        <f ca="1">IF(select!$O$1185&lt;6,1,0)</f>
        <v>1</v>
      </c>
      <c r="X542" s="359">
        <f>IF(select!$A$1012=IF(Scharniere[[#This Row],[mit Dämpfung]]=1,1,IF(Scharniere[[#This Row],[ohne Dämpfung]]=1,2,IF(Scharniere[[#This Row],[ohne Feder]]=1,3,0))),1,0)</f>
        <v>1</v>
      </c>
      <c r="Y542" s="359">
        <f>IF(Scharniere[[#This Row],[Bohrbild]]=select!$A$989,1,0)</f>
        <v>0</v>
      </c>
      <c r="Z542" s="359">
        <f>IF(IF(Scharniere[[#This Row],[Anschrauben]]=1,1,IF(Scharniere[[#This Row],[Einpressen]]=1,2,IF(Scharniere[[#This Row],[Quick]]=1,3,IF(Scharniere[[#This Row],[Werkzeuglos]]=1,4,0))))=select!$A$1003,1,0)</f>
        <v>0</v>
      </c>
      <c r="AA5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2" s="359">
        <f ca="1">IF(select!$K$980="*",Scharniere[[#This Row],[AG Ges2]],Scharniere[[#This Row],[AG Ges1]])</f>
        <v>0</v>
      </c>
      <c r="AE542" s="451">
        <f ca="1">IF(AND(Scharniere[[#This Row],[Scharnierart]]=select!$A$1485,Scharniere[[#This Row],[Gruppenschlüssel]]=select!$B$1485)=TRUE,1,0)</f>
        <v>0</v>
      </c>
      <c r="AF542" s="451">
        <f ca="1">IF(AND(Scharniere[[#This Row],[Scharnierart]]=select!$A$1486,Scharniere[[#This Row],[Gruppenschlüssel]]=select!$B$1486)=TRUE,1,0)</f>
        <v>0</v>
      </c>
      <c r="AG542" s="451">
        <f ca="1">IF(AND(Scharniere[[#This Row],[Scharnierart]]=select!$A$1487,Scharniere[[#This Row],[Gruppenschlüssel]]=select!$B$1487)=TRUE,1,0)</f>
        <v>0</v>
      </c>
      <c r="AH542" s="451">
        <f ca="1">IF(AND(Scharniere[[#This Row],[Scharnierart]]=select!$A$1488,Scharniere[[#This Row],[Gruppenschlüssel]]=select!$B$1488)=TRUE,1,0)</f>
        <v>0</v>
      </c>
      <c r="AI542" s="451">
        <f ca="1">IF(SUM(Scharniere[[#This Row],[konf Scharnier 1]:[konf Scharnier 4]])&gt;0,1,0)</f>
        <v>0</v>
      </c>
      <c r="AJ542" s="451"/>
      <c r="AK542" s="451"/>
      <c r="AL542" s="451"/>
      <c r="AM542" s="451"/>
      <c r="AN542" s="451"/>
      <c r="AO542" s="146">
        <v>1</v>
      </c>
      <c r="AP542" s="146">
        <v>4</v>
      </c>
      <c r="AQ542" s="10" t="str">
        <f ca="1">Sprache!$A$110</f>
        <v>Tiomos Scharnier T Click-on</v>
      </c>
      <c r="AR542" t="str">
        <f ca="1">"95°, G-BB, K19, "&amp;Sprache!A181&amp;", ni"</f>
        <v>95°, G-BB, K19, Dübel, ni</v>
      </c>
      <c r="AS542" t="str">
        <f ca="1">Sprache!$A$103</f>
        <v>Tiomos Click-On Scharniere</v>
      </c>
      <c r="AT542">
        <v>19</v>
      </c>
      <c r="AU542" s="34" t="s">
        <v>9</v>
      </c>
      <c r="AV542">
        <v>95</v>
      </c>
      <c r="AW542" s="10">
        <v>0</v>
      </c>
      <c r="AX542">
        <v>1</v>
      </c>
      <c r="AY542">
        <v>0</v>
      </c>
      <c r="AZ542" s="10">
        <v>0</v>
      </c>
      <c r="BA542">
        <v>1</v>
      </c>
      <c r="BB542">
        <v>0</v>
      </c>
      <c r="BC542">
        <v>0</v>
      </c>
      <c r="BD542" s="143" t="s">
        <v>484</v>
      </c>
      <c r="BG542"/>
    </row>
    <row r="543" spans="1:59" ht="14.25" customHeight="1" x14ac:dyDescent="0.25">
      <c r="A543" s="37" t="str">
        <f>LEFT(Scharniere[[#This Row],[ArtikelNR]],4)</f>
        <v>F028</v>
      </c>
      <c r="B543" s="35" t="str">
        <f>MID(Scharniere[[#This Row],[ArtikelNR]],5,3)</f>
        <v>138</v>
      </c>
      <c r="C543" s="37" t="str">
        <f>RIGHT(Scharniere[[#This Row],[ArtikelNR]],3)</f>
        <v>392</v>
      </c>
      <c r="D543" s="35">
        <f>IF(AND(Scharniere[[#This Row],[Gruppenschlüssel]]=select!$A$44,Scharniere[[#This Row],[Scharnierart]]=1)=TRUE,1,0)</f>
        <v>0</v>
      </c>
      <c r="E5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3" s="35">
        <f>IF(select!$F$57=IF(Scharniere[[#This Row],[mit Dämpfung]]=1,1,IF(Scharniere[[#This Row],[ohne Dämpfung]]=1,2,IF(Scharniere[[#This Row],[ohne Feder]]=1,3,0))),1,0)</f>
        <v>0</v>
      </c>
      <c r="G543" s="35">
        <f>IF(Scharniere[[#This Row],[Bohrbild]]=select!$V$43,1,0)</f>
        <v>0</v>
      </c>
      <c r="H543" s="35">
        <f>IF(IF(Scharniere[[#This Row],[Anschrauben]]=1,1,IF(Scharniere[[#This Row],[Einpressen]]=1,2,IF(Scharniere[[#This Row],[Quick]]=1,3,IF(Scharniere[[#This Row],[Werkzeuglos]]=1,4,0))))=select!$F$48,1,0)</f>
        <v>1</v>
      </c>
      <c r="I5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3" s="149">
        <f>IF(AND(Scharniere[[#This Row],[Scharnierart]]=2,Scharniere[[#This Row],[Gruppenschlüssel]]=select!$A$318)=TRUE,1,0)</f>
        <v>0</v>
      </c>
      <c r="K543" s="221">
        <f ca="1">IF(select!$O$424&lt;6,1,0)</f>
        <v>1</v>
      </c>
      <c r="L543" s="139">
        <f>IF(select!$A$362=IF(Scharniere[[#This Row],[mit Dämpfung]]=1,1,IF(Scharniere[[#This Row],[ohne Dämpfung]]=1,2,IF(Scharniere[[#This Row],[ohne Feder]]=1,3,0))),1,0)</f>
        <v>1</v>
      </c>
      <c r="M543" s="135">
        <f>IF(Scharniere[[#This Row],[Bohrbild]]=select!$O$334,1,0)</f>
        <v>0</v>
      </c>
      <c r="N543" s="135">
        <f>IF(IF(Scharniere[[#This Row],[Anschrauben]]=1,1,IF(Scharniere[[#This Row],[Einpressen]]=1,2,IF(Scharniere[[#This Row],[Quick]]=1,3,IF(Scharniere[[#This Row],[Werkzeuglos]]=1,4,0))))=select!$E$362,1,0)</f>
        <v>0</v>
      </c>
      <c r="O5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3" s="298">
        <f>IF(AND(Scharniere[[#This Row],[Scharnierart]]=3,Scharniere[[#This Row],[Gruppenschlüssel]]=select!$A$747)=TRUE,1,0)</f>
        <v>0</v>
      </c>
      <c r="Q543" s="298">
        <f ca="1">IF(select!$O$945&lt;6,1,0)</f>
        <v>1</v>
      </c>
      <c r="R543" s="298">
        <f>IF(select!$A$778=IF(Scharniere[[#This Row],[mit Dämpfung]]=1,1,IF(Scharniere[[#This Row],[ohne Dämpfung]]=1,2,IF(Scharniere[[#This Row],[ohne Feder]]=1,3,0))),1,0)</f>
        <v>0</v>
      </c>
      <c r="S543" s="298">
        <f>IF(Scharniere[[#This Row],[Bohrbild]]=select!$A$755,1,0)</f>
        <v>0</v>
      </c>
      <c r="T543" s="298">
        <f>IF(IF(Scharniere[[#This Row],[Anschrauben]]=1,1,IF(Scharniere[[#This Row],[Einpressen]]=1,2,IF(Scharniere[[#This Row],[Quick]]=1,3,IF(Scharniere[[#This Row],[Werkzeuglos]]=1,4,0))))=select!$A$769,1,0)</f>
        <v>0</v>
      </c>
      <c r="U5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3" s="359">
        <f>IF(AND(Scharniere[[#This Row],[Scharnierart]]=4,Scharniere[[#This Row],[Gruppenschlüssel]]=select!$A$981)=TRUE,1,0)</f>
        <v>0</v>
      </c>
      <c r="W543" s="359">
        <f ca="1">IF(select!$O$1185&lt;6,1,0)</f>
        <v>1</v>
      </c>
      <c r="X543" s="359">
        <f>IF(select!$A$1012=IF(Scharniere[[#This Row],[mit Dämpfung]]=1,1,IF(Scharniere[[#This Row],[ohne Dämpfung]]=1,2,IF(Scharniere[[#This Row],[ohne Feder]]=1,3,0))),1,0)</f>
        <v>0</v>
      </c>
      <c r="Y543" s="359">
        <f>IF(Scharniere[[#This Row],[Bohrbild]]=select!$A$989,1,0)</f>
        <v>0</v>
      </c>
      <c r="Z543" s="359">
        <f>IF(IF(Scharniere[[#This Row],[Anschrauben]]=1,1,IF(Scharniere[[#This Row],[Einpressen]]=1,2,IF(Scharniere[[#This Row],[Quick]]=1,3,IF(Scharniere[[#This Row],[Werkzeuglos]]=1,4,0))))=select!$A$1003,1,0)</f>
        <v>0</v>
      </c>
      <c r="AA5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3" s="359">
        <f ca="1">IF(select!$K$980="*",Scharniere[[#This Row],[AG Ges2]],Scharniere[[#This Row],[AG Ges1]])</f>
        <v>0</v>
      </c>
      <c r="AE543" s="451">
        <f ca="1">IF(AND(Scharniere[[#This Row],[Scharnierart]]=select!$A$1485,Scharniere[[#This Row],[Gruppenschlüssel]]=select!$B$1485)=TRUE,1,0)</f>
        <v>0</v>
      </c>
      <c r="AF543" s="451">
        <f ca="1">IF(AND(Scharniere[[#This Row],[Scharnierart]]=select!$A$1486,Scharniere[[#This Row],[Gruppenschlüssel]]=select!$B$1486)=TRUE,1,0)</f>
        <v>0</v>
      </c>
      <c r="AG543" s="451">
        <f ca="1">IF(AND(Scharniere[[#This Row],[Scharnierart]]=select!$A$1487,Scharniere[[#This Row],[Gruppenschlüssel]]=select!$B$1487)=TRUE,1,0)</f>
        <v>0</v>
      </c>
      <c r="AH543" s="451">
        <f ca="1">IF(AND(Scharniere[[#This Row],[Scharnierart]]=select!$A$1488,Scharniere[[#This Row],[Gruppenschlüssel]]=select!$B$1488)=TRUE,1,0)</f>
        <v>0</v>
      </c>
      <c r="AI543" s="451">
        <f ca="1">IF(SUM(Scharniere[[#This Row],[konf Scharnier 1]:[konf Scharnier 4]])&gt;0,1,0)</f>
        <v>0</v>
      </c>
      <c r="AJ543" s="451"/>
      <c r="AK543" s="451"/>
      <c r="AL543" s="451"/>
      <c r="AM543" s="451"/>
      <c r="AN543" s="451"/>
      <c r="AO543" s="146">
        <v>1</v>
      </c>
      <c r="AP543" s="146">
        <v>4</v>
      </c>
      <c r="AQ543" s="10" t="str">
        <f ca="1">Sprache!$A$112</f>
        <v>Tiomos Scharnier TS Click-on</v>
      </c>
      <c r="AR543" t="str">
        <f ca="1">"95°, G-BB, K19, "&amp;Sprache!A181&amp;", ni"</f>
        <v>95°, G-BB, K19, Dübel, ni</v>
      </c>
      <c r="AS543" t="str">
        <f ca="1">Sprache!$A$103</f>
        <v>Tiomos Click-On Scharniere</v>
      </c>
      <c r="AT543">
        <v>19</v>
      </c>
      <c r="AU543" t="s">
        <v>9</v>
      </c>
      <c r="AV543">
        <v>95</v>
      </c>
      <c r="AW543" s="10">
        <v>1</v>
      </c>
      <c r="AX543">
        <v>0</v>
      </c>
      <c r="AY543">
        <v>0</v>
      </c>
      <c r="AZ543" s="10">
        <v>0</v>
      </c>
      <c r="BA543">
        <v>1</v>
      </c>
      <c r="BB543">
        <v>0</v>
      </c>
      <c r="BC543">
        <v>0</v>
      </c>
      <c r="BD543" s="143" t="s">
        <v>301</v>
      </c>
      <c r="BG543"/>
    </row>
    <row r="544" spans="1:59" ht="14.25" customHeight="1" x14ac:dyDescent="0.25">
      <c r="A544" s="37" t="str">
        <f>LEFT(Scharniere[[#This Row],[ArtikelNR]],4)</f>
        <v>F046</v>
      </c>
      <c r="B544" s="35" t="str">
        <f>MID(Scharniere[[#This Row],[ArtikelNR]],5,3)</f>
        <v>138</v>
      </c>
      <c r="C544" s="37" t="str">
        <f>RIGHT(Scharniere[[#This Row],[ArtikelNR]],3)</f>
        <v>452</v>
      </c>
      <c r="D544" s="35">
        <f>IF(AND(Scharniere[[#This Row],[Gruppenschlüssel]]=select!$A$44,Scharniere[[#This Row],[Scharnierart]]=1)=TRUE,1,0)</f>
        <v>0</v>
      </c>
      <c r="E5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4" s="35">
        <f>IF(select!$F$57=IF(Scharniere[[#This Row],[mit Dämpfung]]=1,1,IF(Scharniere[[#This Row],[ohne Dämpfung]]=1,2,IF(Scharniere[[#This Row],[ohne Feder]]=1,3,0))),1,0)</f>
        <v>1</v>
      </c>
      <c r="G544" s="35">
        <f>IF(Scharniere[[#This Row],[Bohrbild]]=select!$V$43,1,0)</f>
        <v>0</v>
      </c>
      <c r="H544" s="35">
        <f>IF(IF(Scharniere[[#This Row],[Anschrauben]]=1,1,IF(Scharniere[[#This Row],[Einpressen]]=1,2,IF(Scharniere[[#This Row],[Quick]]=1,3,IF(Scharniere[[#This Row],[Werkzeuglos]]=1,4,0))))=select!$F$48,1,0)</f>
        <v>1</v>
      </c>
      <c r="I5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4" s="149">
        <f>IF(AND(Scharniere[[#This Row],[Scharnierart]]=2,Scharniere[[#This Row],[Gruppenschlüssel]]=select!$A$318)=TRUE,1,0)</f>
        <v>0</v>
      </c>
      <c r="K544" s="221">
        <f ca="1">IF(select!$O$424&lt;6,1,0)</f>
        <v>1</v>
      </c>
      <c r="L544" s="139">
        <f>IF(select!$A$362=IF(Scharniere[[#This Row],[mit Dämpfung]]=1,1,IF(Scharniere[[#This Row],[ohne Dämpfung]]=1,2,IF(Scharniere[[#This Row],[ohne Feder]]=1,3,0))),1,0)</f>
        <v>0</v>
      </c>
      <c r="M544" s="135">
        <f>IF(Scharniere[[#This Row],[Bohrbild]]=select!$O$334,1,0)</f>
        <v>0</v>
      </c>
      <c r="N544" s="135">
        <f>IF(IF(Scharniere[[#This Row],[Anschrauben]]=1,1,IF(Scharniere[[#This Row],[Einpressen]]=1,2,IF(Scharniere[[#This Row],[Quick]]=1,3,IF(Scharniere[[#This Row],[Werkzeuglos]]=1,4,0))))=select!$E$362,1,0)</f>
        <v>0</v>
      </c>
      <c r="O5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4" s="298">
        <f>IF(AND(Scharniere[[#This Row],[Scharnierart]]=3,Scharniere[[#This Row],[Gruppenschlüssel]]=select!$A$747)=TRUE,1,0)</f>
        <v>0</v>
      </c>
      <c r="Q544" s="298">
        <f ca="1">IF(select!$O$945&lt;6,1,0)</f>
        <v>1</v>
      </c>
      <c r="R544" s="298">
        <f>IF(select!$A$778=IF(Scharniere[[#This Row],[mit Dämpfung]]=1,1,IF(Scharniere[[#This Row],[ohne Dämpfung]]=1,2,IF(Scharniere[[#This Row],[ohne Feder]]=1,3,0))),1,0)</f>
        <v>0</v>
      </c>
      <c r="S544" s="298">
        <f>IF(Scharniere[[#This Row],[Bohrbild]]=select!$A$755,1,0)</f>
        <v>0</v>
      </c>
      <c r="T544" s="298">
        <f>IF(IF(Scharniere[[#This Row],[Anschrauben]]=1,1,IF(Scharniere[[#This Row],[Einpressen]]=1,2,IF(Scharniere[[#This Row],[Quick]]=1,3,IF(Scharniere[[#This Row],[Werkzeuglos]]=1,4,0))))=select!$A$769,1,0)</f>
        <v>0</v>
      </c>
      <c r="U5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4" s="359">
        <f>IF(AND(Scharniere[[#This Row],[Scharnierart]]=4,Scharniere[[#This Row],[Gruppenschlüssel]]=select!$A$981)=TRUE,1,0)</f>
        <v>0</v>
      </c>
      <c r="W544" s="359">
        <f ca="1">IF(select!$O$1185&lt;6,1,0)</f>
        <v>1</v>
      </c>
      <c r="X544" s="359">
        <f>IF(select!$A$1012=IF(Scharniere[[#This Row],[mit Dämpfung]]=1,1,IF(Scharniere[[#This Row],[ohne Dämpfung]]=1,2,IF(Scharniere[[#This Row],[ohne Feder]]=1,3,0))),1,0)</f>
        <v>0</v>
      </c>
      <c r="Y544" s="359">
        <f>IF(Scharniere[[#This Row],[Bohrbild]]=select!$A$989,1,0)</f>
        <v>0</v>
      </c>
      <c r="Z544" s="359">
        <f>IF(IF(Scharniere[[#This Row],[Anschrauben]]=1,1,IF(Scharniere[[#This Row],[Einpressen]]=1,2,IF(Scharniere[[#This Row],[Quick]]=1,3,IF(Scharniere[[#This Row],[Werkzeuglos]]=1,4,0))))=select!$A$1003,1,0)</f>
        <v>0</v>
      </c>
      <c r="AA5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4" s="359">
        <f ca="1">IF(select!$K$980="*",Scharniere[[#This Row],[AG Ges2]],Scharniere[[#This Row],[AG Ges1]])</f>
        <v>0</v>
      </c>
      <c r="AE544" s="451">
        <f ca="1">IF(AND(Scharniere[[#This Row],[Scharnierart]]=select!$A$1485,Scharniere[[#This Row],[Gruppenschlüssel]]=select!$B$1485)=TRUE,1,0)</f>
        <v>0</v>
      </c>
      <c r="AF544" s="451">
        <f ca="1">IF(AND(Scharniere[[#This Row],[Scharnierart]]=select!$A$1486,Scharniere[[#This Row],[Gruppenschlüssel]]=select!$B$1486)=TRUE,1,0)</f>
        <v>0</v>
      </c>
      <c r="AG544" s="451">
        <f ca="1">IF(AND(Scharniere[[#This Row],[Scharnierart]]=select!$A$1487,Scharniere[[#This Row],[Gruppenschlüssel]]=select!$B$1487)=TRUE,1,0)</f>
        <v>0</v>
      </c>
      <c r="AH544" s="451">
        <f ca="1">IF(AND(Scharniere[[#This Row],[Scharnierart]]=select!$A$1488,Scharniere[[#This Row],[Gruppenschlüssel]]=select!$B$1488)=TRUE,1,0)</f>
        <v>0</v>
      </c>
      <c r="AI544" s="451">
        <f ca="1">IF(SUM(Scharniere[[#This Row],[konf Scharnier 1]:[konf Scharnier 4]])&gt;0,1,0)</f>
        <v>0</v>
      </c>
      <c r="AJ544" s="451"/>
      <c r="AK544" s="451"/>
      <c r="AL544" s="451"/>
      <c r="AM544" s="451"/>
      <c r="AN544" s="451"/>
      <c r="AO544" s="146">
        <v>1</v>
      </c>
      <c r="AP544" s="146">
        <v>4</v>
      </c>
      <c r="AQ544" s="10" t="str">
        <f ca="1">Sprache!$A$114</f>
        <v>Tiomos Scharnier TT Click-on</v>
      </c>
      <c r="AR544" t="str">
        <f ca="1">"95°, G-BB, K19, "&amp;Sprache!A181&amp;", ni"</f>
        <v>95°, G-BB, K19, Dübel, ni</v>
      </c>
      <c r="AS544" t="str">
        <f ca="1">Sprache!$A$103</f>
        <v>Tiomos Click-On Scharniere</v>
      </c>
      <c r="AT544">
        <v>19</v>
      </c>
      <c r="AU544" s="34" t="s">
        <v>9</v>
      </c>
      <c r="AV544">
        <v>95</v>
      </c>
      <c r="AW544" s="10">
        <v>0</v>
      </c>
      <c r="AX544">
        <v>0</v>
      </c>
      <c r="AY544">
        <v>1</v>
      </c>
      <c r="AZ544" s="10">
        <v>0</v>
      </c>
      <c r="BA544">
        <v>1</v>
      </c>
      <c r="BB544">
        <v>0</v>
      </c>
      <c r="BC544">
        <v>0</v>
      </c>
      <c r="BD544" s="143" t="s">
        <v>636</v>
      </c>
      <c r="BG544"/>
    </row>
    <row r="545" spans="1:59" ht="14.25" customHeight="1" x14ac:dyDescent="0.25">
      <c r="A545" s="37" t="str">
        <f>LEFT(Scharniere[[#This Row],[ArtikelNR]],4)</f>
        <v>F045</v>
      </c>
      <c r="B545" s="35" t="str">
        <f>MID(Scharniere[[#This Row],[ArtikelNR]],5,3)</f>
        <v>138</v>
      </c>
      <c r="C545" s="37" t="str">
        <f>RIGHT(Scharniere[[#This Row],[ArtikelNR]],3)</f>
        <v>326</v>
      </c>
      <c r="D545" s="35">
        <f>IF(AND(Scharniere[[#This Row],[Gruppenschlüssel]]=select!$A$44,Scharniere[[#This Row],[Scharnierart]]=1)=TRUE,1,0)</f>
        <v>0</v>
      </c>
      <c r="E5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5" s="35">
        <f>IF(select!$F$57=IF(Scharniere[[#This Row],[mit Dämpfung]]=1,1,IF(Scharniere[[#This Row],[ohne Dämpfung]]=1,2,IF(Scharniere[[#This Row],[ohne Feder]]=1,3,0))),1,0)</f>
        <v>0</v>
      </c>
      <c r="G545" s="35">
        <f>IF(Scharniere[[#This Row],[Bohrbild]]=select!$V$43,1,0)</f>
        <v>0</v>
      </c>
      <c r="H545" s="35">
        <f>IF(IF(Scharniere[[#This Row],[Anschrauben]]=1,1,IF(Scharniere[[#This Row],[Einpressen]]=1,2,IF(Scharniere[[#This Row],[Quick]]=1,3,IF(Scharniere[[#This Row],[Werkzeuglos]]=1,4,0))))=select!$F$48,1,0)</f>
        <v>0</v>
      </c>
      <c r="I5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5" s="149">
        <f>IF(AND(Scharniere[[#This Row],[Scharnierart]]=2,Scharniere[[#This Row],[Gruppenschlüssel]]=select!$A$318)=TRUE,1,0)</f>
        <v>0</v>
      </c>
      <c r="K545" s="221">
        <f ca="1">IF(select!$O$424&lt;6,1,0)</f>
        <v>1</v>
      </c>
      <c r="L545" s="139">
        <f>IF(select!$A$362=IF(Scharniere[[#This Row],[mit Dämpfung]]=1,1,IF(Scharniere[[#This Row],[ohne Dämpfung]]=1,2,IF(Scharniere[[#This Row],[ohne Feder]]=1,3,0))),1,0)</f>
        <v>0</v>
      </c>
      <c r="M545" s="135">
        <f>IF(Scharniere[[#This Row],[Bohrbild]]=select!$O$334,1,0)</f>
        <v>0</v>
      </c>
      <c r="N545" s="135">
        <f>IF(IF(Scharniere[[#This Row],[Anschrauben]]=1,1,IF(Scharniere[[#This Row],[Einpressen]]=1,2,IF(Scharniere[[#This Row],[Quick]]=1,3,IF(Scharniere[[#This Row],[Werkzeuglos]]=1,4,0))))=select!$E$362,1,0)</f>
        <v>1</v>
      </c>
      <c r="O5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5" s="298">
        <f>IF(AND(Scharniere[[#This Row],[Scharnierart]]=3,Scharniere[[#This Row],[Gruppenschlüssel]]=select!$A$747)=TRUE,1,0)</f>
        <v>0</v>
      </c>
      <c r="Q545" s="298">
        <f ca="1">IF(select!$O$945&lt;6,1,0)</f>
        <v>1</v>
      </c>
      <c r="R545" s="298">
        <f>IF(select!$A$778=IF(Scharniere[[#This Row],[mit Dämpfung]]=1,1,IF(Scharniere[[#This Row],[ohne Dämpfung]]=1,2,IF(Scharniere[[#This Row],[ohne Feder]]=1,3,0))),1,0)</f>
        <v>1</v>
      </c>
      <c r="S545" s="298">
        <f>IF(Scharniere[[#This Row],[Bohrbild]]=select!$A$755,1,0)</f>
        <v>0</v>
      </c>
      <c r="T545" s="298">
        <f>IF(IF(Scharniere[[#This Row],[Anschrauben]]=1,1,IF(Scharniere[[#This Row],[Einpressen]]=1,2,IF(Scharniere[[#This Row],[Quick]]=1,3,IF(Scharniere[[#This Row],[Werkzeuglos]]=1,4,0))))=select!$A$769,1,0)</f>
        <v>1</v>
      </c>
      <c r="U5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5" s="359">
        <f>IF(AND(Scharniere[[#This Row],[Scharnierart]]=4,Scharniere[[#This Row],[Gruppenschlüssel]]=select!$A$981)=TRUE,1,0)</f>
        <v>0</v>
      </c>
      <c r="W545" s="359">
        <f ca="1">IF(select!$O$1185&lt;6,1,0)</f>
        <v>1</v>
      </c>
      <c r="X545" s="359">
        <f>IF(select!$A$1012=IF(Scharniere[[#This Row],[mit Dämpfung]]=1,1,IF(Scharniere[[#This Row],[ohne Dämpfung]]=1,2,IF(Scharniere[[#This Row],[ohne Feder]]=1,3,0))),1,0)</f>
        <v>1</v>
      </c>
      <c r="Y545" s="359">
        <f>IF(Scharniere[[#This Row],[Bohrbild]]=select!$A$989,1,0)</f>
        <v>0</v>
      </c>
      <c r="Z545" s="359">
        <f>IF(IF(Scharniere[[#This Row],[Anschrauben]]=1,1,IF(Scharniere[[#This Row],[Einpressen]]=1,2,IF(Scharniere[[#This Row],[Quick]]=1,3,IF(Scharniere[[#This Row],[Werkzeuglos]]=1,4,0))))=select!$A$1003,1,0)</f>
        <v>1</v>
      </c>
      <c r="AA5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5" s="359">
        <f ca="1">IF(select!$K$980="*",Scharniere[[#This Row],[AG Ges2]],Scharniere[[#This Row],[AG Ges1]])</f>
        <v>0</v>
      </c>
      <c r="AE545" s="451">
        <f ca="1">IF(AND(Scharniere[[#This Row],[Scharnierart]]=select!$A$1485,Scharniere[[#This Row],[Gruppenschlüssel]]=select!$B$1485)=TRUE,1,0)</f>
        <v>0</v>
      </c>
      <c r="AF545" s="451">
        <f ca="1">IF(AND(Scharniere[[#This Row],[Scharnierart]]=select!$A$1486,Scharniere[[#This Row],[Gruppenschlüssel]]=select!$B$1486)=TRUE,1,0)</f>
        <v>0</v>
      </c>
      <c r="AG545" s="451">
        <f ca="1">IF(AND(Scharniere[[#This Row],[Scharnierart]]=select!$A$1487,Scharniere[[#This Row],[Gruppenschlüssel]]=select!$B$1487)=TRUE,1,0)</f>
        <v>0</v>
      </c>
      <c r="AH545" s="451">
        <f ca="1">IF(AND(Scharniere[[#This Row],[Scharnierart]]=select!$A$1488,Scharniere[[#This Row],[Gruppenschlüssel]]=select!$B$1488)=TRUE,1,0)</f>
        <v>0</v>
      </c>
      <c r="AI545" s="451">
        <f ca="1">IF(SUM(Scharniere[[#This Row],[konf Scharnier 1]:[konf Scharnier 4]])&gt;0,1,0)</f>
        <v>0</v>
      </c>
      <c r="AJ545" s="451"/>
      <c r="AK545" s="451"/>
      <c r="AL545" s="451"/>
      <c r="AM545" s="451"/>
      <c r="AN545" s="451"/>
      <c r="AO545" s="146">
        <v>1</v>
      </c>
      <c r="AP545" s="146">
        <v>4</v>
      </c>
      <c r="AQ545" s="10" t="str">
        <f ca="1">Sprache!$A$110</f>
        <v>Tiomos Scharnier T Click-on</v>
      </c>
      <c r="AR545" t="s">
        <v>297</v>
      </c>
      <c r="AS545" t="str">
        <f ca="1">Sprache!$A$103</f>
        <v>Tiomos Click-On Scharniere</v>
      </c>
      <c r="AT545">
        <v>19</v>
      </c>
      <c r="AU545" t="s">
        <v>9</v>
      </c>
      <c r="AV545">
        <v>95</v>
      </c>
      <c r="AW545" s="10">
        <v>0</v>
      </c>
      <c r="AX545">
        <v>1</v>
      </c>
      <c r="AY545">
        <v>0</v>
      </c>
      <c r="AZ545" s="10">
        <v>1</v>
      </c>
      <c r="BA545">
        <v>0</v>
      </c>
      <c r="BB545">
        <v>0</v>
      </c>
      <c r="BC545">
        <v>0</v>
      </c>
      <c r="BD545" s="143" t="s">
        <v>480</v>
      </c>
      <c r="BG545"/>
    </row>
    <row r="546" spans="1:59" ht="14.25" customHeight="1" x14ac:dyDescent="0.25">
      <c r="A546" s="37" t="str">
        <f>LEFT(Scharniere[[#This Row],[ArtikelNR]],4)</f>
        <v>F028</v>
      </c>
      <c r="B546" s="35" t="str">
        <f>MID(Scharniere[[#This Row],[ArtikelNR]],5,3)</f>
        <v>138</v>
      </c>
      <c r="C546" s="37" t="str">
        <f>RIGHT(Scharniere[[#This Row],[ArtikelNR]],3)</f>
        <v>388</v>
      </c>
      <c r="D546" s="35">
        <f>IF(AND(Scharniere[[#This Row],[Gruppenschlüssel]]=select!$A$44,Scharniere[[#This Row],[Scharnierart]]=1)=TRUE,1,0)</f>
        <v>0</v>
      </c>
      <c r="E5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6" s="35">
        <f>IF(select!$F$57=IF(Scharniere[[#This Row],[mit Dämpfung]]=1,1,IF(Scharniere[[#This Row],[ohne Dämpfung]]=1,2,IF(Scharniere[[#This Row],[ohne Feder]]=1,3,0))),1,0)</f>
        <v>0</v>
      </c>
      <c r="G546" s="35">
        <f>IF(Scharniere[[#This Row],[Bohrbild]]=select!$V$43,1,0)</f>
        <v>0</v>
      </c>
      <c r="H546" s="35">
        <f>IF(IF(Scharniere[[#This Row],[Anschrauben]]=1,1,IF(Scharniere[[#This Row],[Einpressen]]=1,2,IF(Scharniere[[#This Row],[Quick]]=1,3,IF(Scharniere[[#This Row],[Werkzeuglos]]=1,4,0))))=select!$F$48,1,0)</f>
        <v>0</v>
      </c>
      <c r="I5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6" s="149">
        <f>IF(AND(Scharniere[[#This Row],[Scharnierart]]=2,Scharniere[[#This Row],[Gruppenschlüssel]]=select!$A$318)=TRUE,1,0)</f>
        <v>0</v>
      </c>
      <c r="K546" s="221">
        <f ca="1">IF(select!$O$424&lt;6,1,0)</f>
        <v>1</v>
      </c>
      <c r="L546" s="139">
        <f>IF(select!$A$362=IF(Scharniere[[#This Row],[mit Dämpfung]]=1,1,IF(Scharniere[[#This Row],[ohne Dämpfung]]=1,2,IF(Scharniere[[#This Row],[ohne Feder]]=1,3,0))),1,0)</f>
        <v>1</v>
      </c>
      <c r="M546" s="135">
        <f>IF(Scharniere[[#This Row],[Bohrbild]]=select!$O$334,1,0)</f>
        <v>0</v>
      </c>
      <c r="N546" s="135">
        <f>IF(IF(Scharniere[[#This Row],[Anschrauben]]=1,1,IF(Scharniere[[#This Row],[Einpressen]]=1,2,IF(Scharniere[[#This Row],[Quick]]=1,3,IF(Scharniere[[#This Row],[Werkzeuglos]]=1,4,0))))=select!$E$362,1,0)</f>
        <v>1</v>
      </c>
      <c r="O5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6" s="298">
        <f>IF(AND(Scharniere[[#This Row],[Scharnierart]]=3,Scharniere[[#This Row],[Gruppenschlüssel]]=select!$A$747)=TRUE,1,0)</f>
        <v>0</v>
      </c>
      <c r="Q546" s="298">
        <f ca="1">IF(select!$O$945&lt;6,1,0)</f>
        <v>1</v>
      </c>
      <c r="R546" s="298">
        <f>IF(select!$A$778=IF(Scharniere[[#This Row],[mit Dämpfung]]=1,1,IF(Scharniere[[#This Row],[ohne Dämpfung]]=1,2,IF(Scharniere[[#This Row],[ohne Feder]]=1,3,0))),1,0)</f>
        <v>0</v>
      </c>
      <c r="S546" s="298">
        <f>IF(Scharniere[[#This Row],[Bohrbild]]=select!$A$755,1,0)</f>
        <v>0</v>
      </c>
      <c r="T546" s="298">
        <f>IF(IF(Scharniere[[#This Row],[Anschrauben]]=1,1,IF(Scharniere[[#This Row],[Einpressen]]=1,2,IF(Scharniere[[#This Row],[Quick]]=1,3,IF(Scharniere[[#This Row],[Werkzeuglos]]=1,4,0))))=select!$A$769,1,0)</f>
        <v>1</v>
      </c>
      <c r="U5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6" s="359">
        <f>IF(AND(Scharniere[[#This Row],[Scharnierart]]=4,Scharniere[[#This Row],[Gruppenschlüssel]]=select!$A$981)=TRUE,1,0)</f>
        <v>0</v>
      </c>
      <c r="W546" s="359">
        <f ca="1">IF(select!$O$1185&lt;6,1,0)</f>
        <v>1</v>
      </c>
      <c r="X546" s="359">
        <f>IF(select!$A$1012=IF(Scharniere[[#This Row],[mit Dämpfung]]=1,1,IF(Scharniere[[#This Row],[ohne Dämpfung]]=1,2,IF(Scharniere[[#This Row],[ohne Feder]]=1,3,0))),1,0)</f>
        <v>0</v>
      </c>
      <c r="Y546" s="359">
        <f>IF(Scharniere[[#This Row],[Bohrbild]]=select!$A$989,1,0)</f>
        <v>0</v>
      </c>
      <c r="Z546" s="359">
        <f>IF(IF(Scharniere[[#This Row],[Anschrauben]]=1,1,IF(Scharniere[[#This Row],[Einpressen]]=1,2,IF(Scharniere[[#This Row],[Quick]]=1,3,IF(Scharniere[[#This Row],[Werkzeuglos]]=1,4,0))))=select!$A$1003,1,0)</f>
        <v>1</v>
      </c>
      <c r="AA5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6" s="359">
        <f ca="1">IF(select!$K$980="*",Scharniere[[#This Row],[AG Ges2]],Scharniere[[#This Row],[AG Ges1]])</f>
        <v>0</v>
      </c>
      <c r="AE546" s="451">
        <f ca="1">IF(AND(Scharniere[[#This Row],[Scharnierart]]=select!$A$1485,Scharniere[[#This Row],[Gruppenschlüssel]]=select!$B$1485)=TRUE,1,0)</f>
        <v>0</v>
      </c>
      <c r="AF546" s="451">
        <f ca="1">IF(AND(Scharniere[[#This Row],[Scharnierart]]=select!$A$1486,Scharniere[[#This Row],[Gruppenschlüssel]]=select!$B$1486)=TRUE,1,0)</f>
        <v>0</v>
      </c>
      <c r="AG546" s="451">
        <f ca="1">IF(AND(Scharniere[[#This Row],[Scharnierart]]=select!$A$1487,Scharniere[[#This Row],[Gruppenschlüssel]]=select!$B$1487)=TRUE,1,0)</f>
        <v>0</v>
      </c>
      <c r="AH546" s="451">
        <f ca="1">IF(AND(Scharniere[[#This Row],[Scharnierart]]=select!$A$1488,Scharniere[[#This Row],[Gruppenschlüssel]]=select!$B$1488)=TRUE,1,0)</f>
        <v>0</v>
      </c>
      <c r="AI546" s="451">
        <f ca="1">IF(SUM(Scharniere[[#This Row],[konf Scharnier 1]:[konf Scharnier 4]])&gt;0,1,0)</f>
        <v>0</v>
      </c>
      <c r="AJ546" s="451"/>
      <c r="AK546" s="451"/>
      <c r="AL546" s="451"/>
      <c r="AM546" s="451"/>
      <c r="AN546" s="451"/>
      <c r="AO546" s="146">
        <v>1</v>
      </c>
      <c r="AP546" s="146">
        <v>4</v>
      </c>
      <c r="AQ546" s="10" t="str">
        <f ca="1">Sprache!$A$112</f>
        <v>Tiomos Scharnier TS Click-on</v>
      </c>
      <c r="AR546" t="s">
        <v>297</v>
      </c>
      <c r="AS546" t="str">
        <f ca="1">Sprache!$A$103</f>
        <v>Tiomos Click-On Scharniere</v>
      </c>
      <c r="AT546">
        <v>19</v>
      </c>
      <c r="AU546" t="s">
        <v>9</v>
      </c>
      <c r="AV546">
        <v>95</v>
      </c>
      <c r="AW546" s="10">
        <v>1</v>
      </c>
      <c r="AX546">
        <v>0</v>
      </c>
      <c r="AY546">
        <v>0</v>
      </c>
      <c r="AZ546" s="10">
        <v>1</v>
      </c>
      <c r="BA546">
        <v>0</v>
      </c>
      <c r="BB546">
        <v>0</v>
      </c>
      <c r="BC546">
        <v>0</v>
      </c>
      <c r="BD546" s="143" t="s">
        <v>296</v>
      </c>
      <c r="BG546"/>
    </row>
    <row r="547" spans="1:59" ht="14.25" customHeight="1" x14ac:dyDescent="0.25">
      <c r="A547" s="37" t="str">
        <f>LEFT(Scharniere[[#This Row],[ArtikelNR]],4)</f>
        <v>F046</v>
      </c>
      <c r="B547" s="35" t="str">
        <f>MID(Scharniere[[#This Row],[ArtikelNR]],5,3)</f>
        <v>138</v>
      </c>
      <c r="C547" s="37" t="str">
        <f>RIGHT(Scharniere[[#This Row],[ArtikelNR]],3)</f>
        <v>448</v>
      </c>
      <c r="D547" s="35">
        <f>IF(AND(Scharniere[[#This Row],[Gruppenschlüssel]]=select!$A$44,Scharniere[[#This Row],[Scharnierart]]=1)=TRUE,1,0)</f>
        <v>0</v>
      </c>
      <c r="E5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7" s="35">
        <f>IF(select!$F$57=IF(Scharniere[[#This Row],[mit Dämpfung]]=1,1,IF(Scharniere[[#This Row],[ohne Dämpfung]]=1,2,IF(Scharniere[[#This Row],[ohne Feder]]=1,3,0))),1,0)</f>
        <v>1</v>
      </c>
      <c r="G547" s="35">
        <f>IF(Scharniere[[#This Row],[Bohrbild]]=select!$V$43,1,0)</f>
        <v>0</v>
      </c>
      <c r="H547" s="35">
        <f>IF(IF(Scharniere[[#This Row],[Anschrauben]]=1,1,IF(Scharniere[[#This Row],[Einpressen]]=1,2,IF(Scharniere[[#This Row],[Quick]]=1,3,IF(Scharniere[[#This Row],[Werkzeuglos]]=1,4,0))))=select!$F$48,1,0)</f>
        <v>0</v>
      </c>
      <c r="I5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7" s="149">
        <f>IF(AND(Scharniere[[#This Row],[Scharnierart]]=2,Scharniere[[#This Row],[Gruppenschlüssel]]=select!$A$318)=TRUE,1,0)</f>
        <v>0</v>
      </c>
      <c r="K547" s="221">
        <f ca="1">IF(select!$O$424&lt;6,1,0)</f>
        <v>1</v>
      </c>
      <c r="L547" s="139">
        <f>IF(select!$A$362=IF(Scharniere[[#This Row],[mit Dämpfung]]=1,1,IF(Scharniere[[#This Row],[ohne Dämpfung]]=1,2,IF(Scharniere[[#This Row],[ohne Feder]]=1,3,0))),1,0)</f>
        <v>0</v>
      </c>
      <c r="M547" s="135">
        <f>IF(Scharniere[[#This Row],[Bohrbild]]=select!$O$334,1,0)</f>
        <v>0</v>
      </c>
      <c r="N547" s="135">
        <f>IF(IF(Scharniere[[#This Row],[Anschrauben]]=1,1,IF(Scharniere[[#This Row],[Einpressen]]=1,2,IF(Scharniere[[#This Row],[Quick]]=1,3,IF(Scharniere[[#This Row],[Werkzeuglos]]=1,4,0))))=select!$E$362,1,0)</f>
        <v>1</v>
      </c>
      <c r="O5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7" s="298">
        <f>IF(AND(Scharniere[[#This Row],[Scharnierart]]=3,Scharniere[[#This Row],[Gruppenschlüssel]]=select!$A$747)=TRUE,1,0)</f>
        <v>0</v>
      </c>
      <c r="Q547" s="298">
        <f ca="1">IF(select!$O$945&lt;6,1,0)</f>
        <v>1</v>
      </c>
      <c r="R547" s="298">
        <f>IF(select!$A$778=IF(Scharniere[[#This Row],[mit Dämpfung]]=1,1,IF(Scharniere[[#This Row],[ohne Dämpfung]]=1,2,IF(Scharniere[[#This Row],[ohne Feder]]=1,3,0))),1,0)</f>
        <v>0</v>
      </c>
      <c r="S547" s="298">
        <f>IF(Scharniere[[#This Row],[Bohrbild]]=select!$A$755,1,0)</f>
        <v>0</v>
      </c>
      <c r="T547" s="298">
        <f>IF(IF(Scharniere[[#This Row],[Anschrauben]]=1,1,IF(Scharniere[[#This Row],[Einpressen]]=1,2,IF(Scharniere[[#This Row],[Quick]]=1,3,IF(Scharniere[[#This Row],[Werkzeuglos]]=1,4,0))))=select!$A$769,1,0)</f>
        <v>1</v>
      </c>
      <c r="U5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7" s="359">
        <f>IF(AND(Scharniere[[#This Row],[Scharnierart]]=4,Scharniere[[#This Row],[Gruppenschlüssel]]=select!$A$981)=TRUE,1,0)</f>
        <v>0</v>
      </c>
      <c r="W547" s="359">
        <f ca="1">IF(select!$O$1185&lt;6,1,0)</f>
        <v>1</v>
      </c>
      <c r="X547" s="359">
        <f>IF(select!$A$1012=IF(Scharniere[[#This Row],[mit Dämpfung]]=1,1,IF(Scharniere[[#This Row],[ohne Dämpfung]]=1,2,IF(Scharniere[[#This Row],[ohne Feder]]=1,3,0))),1,0)</f>
        <v>0</v>
      </c>
      <c r="Y547" s="359">
        <f>IF(Scharniere[[#This Row],[Bohrbild]]=select!$A$989,1,0)</f>
        <v>0</v>
      </c>
      <c r="Z547" s="359">
        <f>IF(IF(Scharniere[[#This Row],[Anschrauben]]=1,1,IF(Scharniere[[#This Row],[Einpressen]]=1,2,IF(Scharniere[[#This Row],[Quick]]=1,3,IF(Scharniere[[#This Row],[Werkzeuglos]]=1,4,0))))=select!$A$1003,1,0)</f>
        <v>1</v>
      </c>
      <c r="AA5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7" s="359">
        <f ca="1">IF(select!$K$980="*",Scharniere[[#This Row],[AG Ges2]],Scharniere[[#This Row],[AG Ges1]])</f>
        <v>0</v>
      </c>
      <c r="AE547" s="451">
        <f ca="1">IF(AND(Scharniere[[#This Row],[Scharnierart]]=select!$A$1485,Scharniere[[#This Row],[Gruppenschlüssel]]=select!$B$1485)=TRUE,1,0)</f>
        <v>0</v>
      </c>
      <c r="AF547" s="451">
        <f ca="1">IF(AND(Scharniere[[#This Row],[Scharnierart]]=select!$A$1486,Scharniere[[#This Row],[Gruppenschlüssel]]=select!$B$1486)=TRUE,1,0)</f>
        <v>0</v>
      </c>
      <c r="AG547" s="451">
        <f ca="1">IF(AND(Scharniere[[#This Row],[Scharnierart]]=select!$A$1487,Scharniere[[#This Row],[Gruppenschlüssel]]=select!$B$1487)=TRUE,1,0)</f>
        <v>0</v>
      </c>
      <c r="AH547" s="451">
        <f ca="1">IF(AND(Scharniere[[#This Row],[Scharnierart]]=select!$A$1488,Scharniere[[#This Row],[Gruppenschlüssel]]=select!$B$1488)=TRUE,1,0)</f>
        <v>0</v>
      </c>
      <c r="AI547" s="451">
        <f ca="1">IF(SUM(Scharniere[[#This Row],[konf Scharnier 1]:[konf Scharnier 4]])&gt;0,1,0)</f>
        <v>0</v>
      </c>
      <c r="AJ547" s="451"/>
      <c r="AK547" s="451"/>
      <c r="AL547" s="451"/>
      <c r="AM547" s="451"/>
      <c r="AN547" s="451"/>
      <c r="AO547" s="146">
        <v>1</v>
      </c>
      <c r="AP547" s="146">
        <v>4</v>
      </c>
      <c r="AQ547" s="10" t="str">
        <f ca="1">Sprache!$A$114</f>
        <v>Tiomos Scharnier TT Click-on</v>
      </c>
      <c r="AR547" t="s">
        <v>297</v>
      </c>
      <c r="AS547" t="str">
        <f ca="1">Sprache!$A$103</f>
        <v>Tiomos Click-On Scharniere</v>
      </c>
      <c r="AT547">
        <v>19</v>
      </c>
      <c r="AU547" t="s">
        <v>9</v>
      </c>
      <c r="AV547">
        <v>95</v>
      </c>
      <c r="AW547" s="10">
        <v>0</v>
      </c>
      <c r="AX547">
        <v>0</v>
      </c>
      <c r="AY547">
        <v>1</v>
      </c>
      <c r="AZ547" s="10">
        <v>1</v>
      </c>
      <c r="BA547">
        <v>0</v>
      </c>
      <c r="BB547">
        <v>0</v>
      </c>
      <c r="BC547">
        <v>0</v>
      </c>
      <c r="BD547" s="143" t="s">
        <v>632</v>
      </c>
      <c r="BG547"/>
    </row>
    <row r="548" spans="1:59" ht="14.25" customHeight="1" x14ac:dyDescent="0.25">
      <c r="A548" s="37" t="str">
        <f>LEFT(Scharniere[[#This Row],[ArtikelNR]],4)</f>
        <v>F034</v>
      </c>
      <c r="B548" s="35" t="str">
        <f>MID(Scharniere[[#This Row],[ArtikelNR]],5,3)</f>
        <v>139</v>
      </c>
      <c r="C548" s="37" t="str">
        <f>RIGHT(Scharniere[[#This Row],[ArtikelNR]],3)</f>
        <v>412</v>
      </c>
      <c r="D548" s="35">
        <f>IF(AND(Scharniere[[#This Row],[Gruppenschlüssel]]=select!$A$44,Scharniere[[#This Row],[Scharnierart]]=1)=TRUE,1,0)</f>
        <v>0</v>
      </c>
      <c r="E5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8" s="35">
        <f>IF(select!$F$57=IF(Scharniere[[#This Row],[mit Dämpfung]]=1,1,IF(Scharniere[[#This Row],[ohne Dämpfung]]=1,2,IF(Scharniere[[#This Row],[ohne Feder]]=1,3,0))),1,0)</f>
        <v>0</v>
      </c>
      <c r="G548" s="35">
        <f>IF(Scharniere[[#This Row],[Bohrbild]]=select!$V$43,1,0)</f>
        <v>0</v>
      </c>
      <c r="H548" s="35">
        <f>IF(IF(Scharniere[[#This Row],[Anschrauben]]=1,1,IF(Scharniere[[#This Row],[Einpressen]]=1,2,IF(Scharniere[[#This Row],[Quick]]=1,3,IF(Scharniere[[#This Row],[Werkzeuglos]]=1,4,0))))=select!$F$48,1,0)</f>
        <v>0</v>
      </c>
      <c r="I5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8" s="149">
        <f>IF(AND(Scharniere[[#This Row],[Scharnierart]]=2,Scharniere[[#This Row],[Gruppenschlüssel]]=select!$A$318)=TRUE,1,0)</f>
        <v>0</v>
      </c>
      <c r="K548" s="221">
        <f ca="1">IF(select!$O$424&lt;6,1,0)</f>
        <v>1</v>
      </c>
      <c r="L548" s="139">
        <f>IF(select!$A$362=IF(Scharniere[[#This Row],[mit Dämpfung]]=1,1,IF(Scharniere[[#This Row],[ohne Dämpfung]]=1,2,IF(Scharniere[[#This Row],[ohne Feder]]=1,3,0))),1,0)</f>
        <v>0</v>
      </c>
      <c r="M548" s="135">
        <f>IF(Scharniere[[#This Row],[Bohrbild]]=select!$O$334,1,0)</f>
        <v>0</v>
      </c>
      <c r="N548" s="135">
        <f>IF(IF(Scharniere[[#This Row],[Anschrauben]]=1,1,IF(Scharniere[[#This Row],[Einpressen]]=1,2,IF(Scharniere[[#This Row],[Quick]]=1,3,IF(Scharniere[[#This Row],[Werkzeuglos]]=1,4,0))))=select!$E$362,1,0)</f>
        <v>0</v>
      </c>
      <c r="O5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8" s="298">
        <f>IF(AND(Scharniere[[#This Row],[Scharnierart]]=3,Scharniere[[#This Row],[Gruppenschlüssel]]=select!$A$747)=TRUE,1,0)</f>
        <v>0</v>
      </c>
      <c r="Q548" s="298">
        <f ca="1">IF(select!$O$945&lt;6,1,0)</f>
        <v>1</v>
      </c>
      <c r="R548" s="298">
        <f>IF(select!$A$778=IF(Scharniere[[#This Row],[mit Dämpfung]]=1,1,IF(Scharniere[[#This Row],[ohne Dämpfung]]=1,2,IF(Scharniere[[#This Row],[ohne Feder]]=1,3,0))),1,0)</f>
        <v>1</v>
      </c>
      <c r="S548" s="298">
        <f>IF(Scharniere[[#This Row],[Bohrbild]]=select!$A$755,1,0)</f>
        <v>0</v>
      </c>
      <c r="T548" s="298">
        <f>IF(IF(Scharniere[[#This Row],[Anschrauben]]=1,1,IF(Scharniere[[#This Row],[Einpressen]]=1,2,IF(Scharniere[[#This Row],[Quick]]=1,3,IF(Scharniere[[#This Row],[Werkzeuglos]]=1,4,0))))=select!$A$769,1,0)</f>
        <v>0</v>
      </c>
      <c r="U5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8" s="359">
        <f>IF(AND(Scharniere[[#This Row],[Scharnierart]]=4,Scharniere[[#This Row],[Gruppenschlüssel]]=select!$A$981)=TRUE,1,0)</f>
        <v>0</v>
      </c>
      <c r="W548" s="359">
        <f ca="1">IF(select!$O$1185&lt;6,1,0)</f>
        <v>1</v>
      </c>
      <c r="X548" s="359">
        <f>IF(select!$A$1012=IF(Scharniere[[#This Row],[mit Dämpfung]]=1,1,IF(Scharniere[[#This Row],[ohne Dämpfung]]=1,2,IF(Scharniere[[#This Row],[ohne Feder]]=1,3,0))),1,0)</f>
        <v>1</v>
      </c>
      <c r="Y548" s="359">
        <f>IF(Scharniere[[#This Row],[Bohrbild]]=select!$A$989,1,0)</f>
        <v>0</v>
      </c>
      <c r="Z548" s="359">
        <f>IF(IF(Scharniere[[#This Row],[Anschrauben]]=1,1,IF(Scharniere[[#This Row],[Einpressen]]=1,2,IF(Scharniere[[#This Row],[Quick]]=1,3,IF(Scharniere[[#This Row],[Werkzeuglos]]=1,4,0))))=select!$A$1003,1,0)</f>
        <v>0</v>
      </c>
      <c r="AA5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8" s="359">
        <f ca="1">IF(select!$K$980="*",Scharniere[[#This Row],[AG Ges2]],Scharniere[[#This Row],[AG Ges1]])</f>
        <v>0</v>
      </c>
      <c r="AE548" s="451">
        <f ca="1">IF(AND(Scharniere[[#This Row],[Scharnierart]]=select!$A$1485,Scharniere[[#This Row],[Gruppenschlüssel]]=select!$B$1485)=TRUE,1,0)</f>
        <v>0</v>
      </c>
      <c r="AF548" s="451">
        <f ca="1">IF(AND(Scharniere[[#This Row],[Scharnierart]]=select!$A$1486,Scharniere[[#This Row],[Gruppenschlüssel]]=select!$B$1486)=TRUE,1,0)</f>
        <v>0</v>
      </c>
      <c r="AG548" s="451">
        <f ca="1">IF(AND(Scharniere[[#This Row],[Scharnierart]]=select!$A$1487,Scharniere[[#This Row],[Gruppenschlüssel]]=select!$B$1487)=TRUE,1,0)</f>
        <v>0</v>
      </c>
      <c r="AH548" s="451">
        <f ca="1">IF(AND(Scharniere[[#This Row],[Scharnierart]]=select!$A$1488,Scharniere[[#This Row],[Gruppenschlüssel]]=select!$B$1488)=TRUE,1,0)</f>
        <v>0</v>
      </c>
      <c r="AI548" s="451">
        <f ca="1">IF(SUM(Scharniere[[#This Row],[konf Scharnier 1]:[konf Scharnier 4]])&gt;0,1,0)</f>
        <v>0</v>
      </c>
      <c r="AJ548" s="451"/>
      <c r="AK548" s="451"/>
      <c r="AL548" s="451"/>
      <c r="AM548" s="451"/>
      <c r="AN548" s="451"/>
      <c r="AO548" s="146">
        <v>1</v>
      </c>
      <c r="AP548" s="146">
        <v>4</v>
      </c>
      <c r="AQ548" s="10" t="str">
        <f ca="1">Sprache!$A$111</f>
        <v>Tiomos Scharnier T Impresso</v>
      </c>
      <c r="AR548" t="s">
        <v>108</v>
      </c>
      <c r="AS548" t="str">
        <f ca="1">Sprache!$A$116</f>
        <v>Tiomos Impresso Scharniere</v>
      </c>
      <c r="AT548">
        <v>19</v>
      </c>
      <c r="AU548" s="34" t="s">
        <v>9</v>
      </c>
      <c r="AV548">
        <v>95</v>
      </c>
      <c r="AW548" s="10">
        <v>0</v>
      </c>
      <c r="AX548">
        <v>1</v>
      </c>
      <c r="AY548">
        <v>0</v>
      </c>
      <c r="AZ548" s="10">
        <v>0</v>
      </c>
      <c r="BA548">
        <v>0</v>
      </c>
      <c r="BB548">
        <v>0</v>
      </c>
      <c r="BC548">
        <v>1</v>
      </c>
      <c r="BD548" s="143" t="s">
        <v>164</v>
      </c>
      <c r="BG548"/>
    </row>
    <row r="549" spans="1:59" ht="14.25" customHeight="1" x14ac:dyDescent="0.25">
      <c r="A549" s="37" t="str">
        <f>LEFT(Scharniere[[#This Row],[ArtikelNR]],4)</f>
        <v>F034</v>
      </c>
      <c r="B549" s="35" t="str">
        <f>MID(Scharniere[[#This Row],[ArtikelNR]],5,3)</f>
        <v>139</v>
      </c>
      <c r="C549" s="37" t="str">
        <f>RIGHT(Scharniere[[#This Row],[ArtikelNR]],3)</f>
        <v>412</v>
      </c>
      <c r="D549" s="35">
        <f>IF(AND(Scharniere[[#This Row],[Gruppenschlüssel]]=select!$A$44,Scharniere[[#This Row],[Scharnierart]]=1)=TRUE,1,0)</f>
        <v>0</v>
      </c>
      <c r="E5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49" s="35">
        <f>IF(select!$F$57=IF(Scharniere[[#This Row],[mit Dämpfung]]=1,1,IF(Scharniere[[#This Row],[ohne Dämpfung]]=1,2,IF(Scharniere[[#This Row],[ohne Feder]]=1,3,0))),1,0)</f>
        <v>0</v>
      </c>
      <c r="G549" s="35">
        <f>IF(Scharniere[[#This Row],[Bohrbild]]=select!$V$43,1,0)</f>
        <v>0</v>
      </c>
      <c r="H549" s="35">
        <f>IF(IF(Scharniere[[#This Row],[Anschrauben]]=1,1,IF(Scharniere[[#This Row],[Einpressen]]=1,2,IF(Scharniere[[#This Row],[Quick]]=1,3,IF(Scharniere[[#This Row],[Werkzeuglos]]=1,4,0))))=select!$F$48,1,0)</f>
        <v>0</v>
      </c>
      <c r="I5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49" s="149">
        <f>IF(AND(Scharniere[[#This Row],[Scharnierart]]=2,Scharniere[[#This Row],[Gruppenschlüssel]]=select!$A$318)=TRUE,1,0)</f>
        <v>0</v>
      </c>
      <c r="K549" s="221">
        <f ca="1">IF(select!$O$424&lt;6,1,0)</f>
        <v>1</v>
      </c>
      <c r="L549" s="139">
        <f>IF(select!$A$362=IF(Scharniere[[#This Row],[mit Dämpfung]]=1,1,IF(Scharniere[[#This Row],[ohne Dämpfung]]=1,2,IF(Scharniere[[#This Row],[ohne Feder]]=1,3,0))),1,0)</f>
        <v>0</v>
      </c>
      <c r="M549" s="135">
        <f>IF(Scharniere[[#This Row],[Bohrbild]]=select!$O$334,1,0)</f>
        <v>0</v>
      </c>
      <c r="N549" s="135">
        <f>IF(IF(Scharniere[[#This Row],[Anschrauben]]=1,1,IF(Scharniere[[#This Row],[Einpressen]]=1,2,IF(Scharniere[[#This Row],[Quick]]=1,3,IF(Scharniere[[#This Row],[Werkzeuglos]]=1,4,0))))=select!$E$362,1,0)</f>
        <v>0</v>
      </c>
      <c r="O5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49" s="298">
        <f>IF(AND(Scharniere[[#This Row],[Scharnierart]]=3,Scharniere[[#This Row],[Gruppenschlüssel]]=select!$A$747)=TRUE,1,0)</f>
        <v>0</v>
      </c>
      <c r="Q549" s="298">
        <f ca="1">IF(select!$O$945&lt;6,1,0)</f>
        <v>1</v>
      </c>
      <c r="R549" s="298">
        <f>IF(select!$A$778=IF(Scharniere[[#This Row],[mit Dämpfung]]=1,1,IF(Scharniere[[#This Row],[ohne Dämpfung]]=1,2,IF(Scharniere[[#This Row],[ohne Feder]]=1,3,0))),1,0)</f>
        <v>1</v>
      </c>
      <c r="S549" s="298">
        <f>IF(Scharniere[[#This Row],[Bohrbild]]=select!$A$755,1,0)</f>
        <v>0</v>
      </c>
      <c r="T549" s="298">
        <f>IF(IF(Scharniere[[#This Row],[Anschrauben]]=1,1,IF(Scharniere[[#This Row],[Einpressen]]=1,2,IF(Scharniere[[#This Row],[Quick]]=1,3,IF(Scharniere[[#This Row],[Werkzeuglos]]=1,4,0))))=select!$A$769,1,0)</f>
        <v>0</v>
      </c>
      <c r="U5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49" s="359">
        <f>IF(AND(Scharniere[[#This Row],[Scharnierart]]=4,Scharniere[[#This Row],[Gruppenschlüssel]]=select!$A$981)=TRUE,1,0)</f>
        <v>0</v>
      </c>
      <c r="W549" s="359">
        <f ca="1">IF(select!$O$1185&lt;6,1,0)</f>
        <v>1</v>
      </c>
      <c r="X549" s="359">
        <f>IF(select!$A$1012=IF(Scharniere[[#This Row],[mit Dämpfung]]=1,1,IF(Scharniere[[#This Row],[ohne Dämpfung]]=1,2,IF(Scharniere[[#This Row],[ohne Feder]]=1,3,0))),1,0)</f>
        <v>1</v>
      </c>
      <c r="Y549" s="359">
        <f>IF(Scharniere[[#This Row],[Bohrbild]]=select!$A$989,1,0)</f>
        <v>0</v>
      </c>
      <c r="Z549" s="359">
        <f>IF(IF(Scharniere[[#This Row],[Anschrauben]]=1,1,IF(Scharniere[[#This Row],[Einpressen]]=1,2,IF(Scharniere[[#This Row],[Quick]]=1,3,IF(Scharniere[[#This Row],[Werkzeuglos]]=1,4,0))))=select!$A$1003,1,0)</f>
        <v>0</v>
      </c>
      <c r="AA5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49" s="359">
        <f ca="1">IF(select!$K$980="*",Scharniere[[#This Row],[AG Ges2]],Scharniere[[#This Row],[AG Ges1]])</f>
        <v>0</v>
      </c>
      <c r="AE549" s="451">
        <f ca="1">IF(AND(Scharniere[[#This Row],[Scharnierart]]=select!$A$1485,Scharniere[[#This Row],[Gruppenschlüssel]]=select!$B$1485)=TRUE,1,0)</f>
        <v>0</v>
      </c>
      <c r="AF549" s="451">
        <f ca="1">IF(AND(Scharniere[[#This Row],[Scharnierart]]=select!$A$1486,Scharniere[[#This Row],[Gruppenschlüssel]]=select!$B$1486)=TRUE,1,0)</f>
        <v>0</v>
      </c>
      <c r="AG549" s="451">
        <f ca="1">IF(AND(Scharniere[[#This Row],[Scharnierart]]=select!$A$1487,Scharniere[[#This Row],[Gruppenschlüssel]]=select!$B$1487)=TRUE,1,0)</f>
        <v>0</v>
      </c>
      <c r="AH549" s="451">
        <f ca="1">IF(AND(Scharniere[[#This Row],[Scharnierart]]=select!$A$1488,Scharniere[[#This Row],[Gruppenschlüssel]]=select!$B$1488)=TRUE,1,0)</f>
        <v>0</v>
      </c>
      <c r="AI549" s="451">
        <f ca="1">IF(SUM(Scharniere[[#This Row],[konf Scharnier 1]:[konf Scharnier 4]])&gt;0,1,0)</f>
        <v>0</v>
      </c>
      <c r="AJ549" s="451"/>
      <c r="AK549" s="451"/>
      <c r="AL549" s="451"/>
      <c r="AM549" s="451"/>
      <c r="AN549" s="451"/>
      <c r="AO549" s="146">
        <v>1</v>
      </c>
      <c r="AP549" s="146">
        <v>4</v>
      </c>
      <c r="AQ549" s="10" t="str">
        <f ca="1">Sprache!$A$111</f>
        <v>Tiomos Scharnier T Impresso</v>
      </c>
      <c r="AR549" t="s">
        <v>108</v>
      </c>
      <c r="AS549" t="str">
        <f ca="1">Sprache!$A$116</f>
        <v>Tiomos Impresso Scharniere</v>
      </c>
      <c r="AT549">
        <v>19</v>
      </c>
      <c r="AU549" t="s">
        <v>3</v>
      </c>
      <c r="AV549">
        <v>95</v>
      </c>
      <c r="AW549" s="10">
        <v>0</v>
      </c>
      <c r="AX549">
        <v>1</v>
      </c>
      <c r="AY549">
        <v>0</v>
      </c>
      <c r="AZ549" s="10">
        <v>0</v>
      </c>
      <c r="BA549">
        <v>0</v>
      </c>
      <c r="BB549">
        <v>0</v>
      </c>
      <c r="BC549">
        <v>1</v>
      </c>
      <c r="BD549" s="143" t="s">
        <v>164</v>
      </c>
      <c r="BG549"/>
    </row>
    <row r="550" spans="1:59" ht="14.25" customHeight="1" x14ac:dyDescent="0.25">
      <c r="A550" s="37" t="str">
        <f>LEFT(Scharniere[[#This Row],[ArtikelNR]],4)</f>
        <v>F017</v>
      </c>
      <c r="B550" s="35" t="str">
        <f>MID(Scharniere[[#This Row],[ArtikelNR]],5,3)</f>
        <v>139</v>
      </c>
      <c r="C550" s="37" t="str">
        <f>RIGHT(Scharniere[[#This Row],[ArtikelNR]],3)</f>
        <v>441</v>
      </c>
      <c r="D550" s="35">
        <f>IF(AND(Scharniere[[#This Row],[Gruppenschlüssel]]=select!$A$44,Scharniere[[#This Row],[Scharnierart]]=1)=TRUE,1,0)</f>
        <v>0</v>
      </c>
      <c r="E5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0" s="35">
        <f>IF(select!$F$57=IF(Scharniere[[#This Row],[mit Dämpfung]]=1,1,IF(Scharniere[[#This Row],[ohne Dämpfung]]=1,2,IF(Scharniere[[#This Row],[ohne Feder]]=1,3,0))),1,0)</f>
        <v>0</v>
      </c>
      <c r="G550" s="35">
        <f>IF(Scharniere[[#This Row],[Bohrbild]]=select!$V$43,1,0)</f>
        <v>0</v>
      </c>
      <c r="H550" s="35">
        <f>IF(IF(Scharniere[[#This Row],[Anschrauben]]=1,1,IF(Scharniere[[#This Row],[Einpressen]]=1,2,IF(Scharniere[[#This Row],[Quick]]=1,3,IF(Scharniere[[#This Row],[Werkzeuglos]]=1,4,0))))=select!$F$48,1,0)</f>
        <v>0</v>
      </c>
      <c r="I5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0" s="149">
        <f>IF(AND(Scharniere[[#This Row],[Scharnierart]]=2,Scharniere[[#This Row],[Gruppenschlüssel]]=select!$A$318)=TRUE,1,0)</f>
        <v>0</v>
      </c>
      <c r="K550" s="221">
        <f ca="1">IF(select!$O$424&lt;6,1,0)</f>
        <v>1</v>
      </c>
      <c r="L550" s="139">
        <f>IF(select!$A$362=IF(Scharniere[[#This Row],[mit Dämpfung]]=1,1,IF(Scharniere[[#This Row],[ohne Dämpfung]]=1,2,IF(Scharniere[[#This Row],[ohne Feder]]=1,3,0))),1,0)</f>
        <v>1</v>
      </c>
      <c r="M550" s="135">
        <f>IF(Scharniere[[#This Row],[Bohrbild]]=select!$O$334,1,0)</f>
        <v>0</v>
      </c>
      <c r="N550" s="135">
        <f>IF(IF(Scharniere[[#This Row],[Anschrauben]]=1,1,IF(Scharniere[[#This Row],[Einpressen]]=1,2,IF(Scharniere[[#This Row],[Quick]]=1,3,IF(Scharniere[[#This Row],[Werkzeuglos]]=1,4,0))))=select!$E$362,1,0)</f>
        <v>0</v>
      </c>
      <c r="O5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0" s="298">
        <f>IF(AND(Scharniere[[#This Row],[Scharnierart]]=3,Scharniere[[#This Row],[Gruppenschlüssel]]=select!$A$747)=TRUE,1,0)</f>
        <v>0</v>
      </c>
      <c r="Q550" s="298">
        <f ca="1">IF(select!$O$945&lt;6,1,0)</f>
        <v>1</v>
      </c>
      <c r="R550" s="298">
        <f>IF(select!$A$778=IF(Scharniere[[#This Row],[mit Dämpfung]]=1,1,IF(Scharniere[[#This Row],[ohne Dämpfung]]=1,2,IF(Scharniere[[#This Row],[ohne Feder]]=1,3,0))),1,0)</f>
        <v>0</v>
      </c>
      <c r="S550" s="298">
        <f>IF(Scharniere[[#This Row],[Bohrbild]]=select!$A$755,1,0)</f>
        <v>0</v>
      </c>
      <c r="T550" s="298">
        <f>IF(IF(Scharniere[[#This Row],[Anschrauben]]=1,1,IF(Scharniere[[#This Row],[Einpressen]]=1,2,IF(Scharniere[[#This Row],[Quick]]=1,3,IF(Scharniere[[#This Row],[Werkzeuglos]]=1,4,0))))=select!$A$769,1,0)</f>
        <v>0</v>
      </c>
      <c r="U5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0" s="359">
        <f>IF(AND(Scharniere[[#This Row],[Scharnierart]]=4,Scharniere[[#This Row],[Gruppenschlüssel]]=select!$A$981)=TRUE,1,0)</f>
        <v>0</v>
      </c>
      <c r="W550" s="359">
        <f ca="1">IF(select!$O$1185&lt;6,1,0)</f>
        <v>1</v>
      </c>
      <c r="X550" s="359">
        <f>IF(select!$A$1012=IF(Scharniere[[#This Row],[mit Dämpfung]]=1,1,IF(Scharniere[[#This Row],[ohne Dämpfung]]=1,2,IF(Scharniere[[#This Row],[ohne Feder]]=1,3,0))),1,0)</f>
        <v>0</v>
      </c>
      <c r="Y550" s="359">
        <f>IF(Scharniere[[#This Row],[Bohrbild]]=select!$A$989,1,0)</f>
        <v>0</v>
      </c>
      <c r="Z550" s="359">
        <f>IF(IF(Scharniere[[#This Row],[Anschrauben]]=1,1,IF(Scharniere[[#This Row],[Einpressen]]=1,2,IF(Scharniere[[#This Row],[Quick]]=1,3,IF(Scharniere[[#This Row],[Werkzeuglos]]=1,4,0))))=select!$A$1003,1,0)</f>
        <v>0</v>
      </c>
      <c r="AA5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0" s="359">
        <f ca="1">IF(select!$K$980="*",Scharniere[[#This Row],[AG Ges2]],Scharniere[[#This Row],[AG Ges1]])</f>
        <v>0</v>
      </c>
      <c r="AE550" s="451">
        <f ca="1">IF(AND(Scharniere[[#This Row],[Scharnierart]]=select!$A$1485,Scharniere[[#This Row],[Gruppenschlüssel]]=select!$B$1485)=TRUE,1,0)</f>
        <v>0</v>
      </c>
      <c r="AF550" s="451">
        <f ca="1">IF(AND(Scharniere[[#This Row],[Scharnierart]]=select!$A$1486,Scharniere[[#This Row],[Gruppenschlüssel]]=select!$B$1486)=TRUE,1,0)</f>
        <v>0</v>
      </c>
      <c r="AG550" s="451">
        <f ca="1">IF(AND(Scharniere[[#This Row],[Scharnierart]]=select!$A$1487,Scharniere[[#This Row],[Gruppenschlüssel]]=select!$B$1487)=TRUE,1,0)</f>
        <v>0</v>
      </c>
      <c r="AH550" s="451">
        <f ca="1">IF(AND(Scharniere[[#This Row],[Scharnierart]]=select!$A$1488,Scharniere[[#This Row],[Gruppenschlüssel]]=select!$B$1488)=TRUE,1,0)</f>
        <v>0</v>
      </c>
      <c r="AI550" s="451">
        <f ca="1">IF(SUM(Scharniere[[#This Row],[konf Scharnier 1]:[konf Scharnier 4]])&gt;0,1,0)</f>
        <v>0</v>
      </c>
      <c r="AJ550" s="451"/>
      <c r="AK550" s="451"/>
      <c r="AL550" s="451"/>
      <c r="AM550" s="451"/>
      <c r="AN550" s="451"/>
      <c r="AO550" s="146">
        <v>1</v>
      </c>
      <c r="AP550" s="146">
        <v>4</v>
      </c>
      <c r="AQ550" s="10" t="str">
        <f ca="1">Sprache!$A$113</f>
        <v>Tiomos Scharnier TS Impresso</v>
      </c>
      <c r="AR550" t="s">
        <v>108</v>
      </c>
      <c r="AS550" t="str">
        <f ca="1">Sprache!$A$116</f>
        <v>Tiomos Impresso Scharniere</v>
      </c>
      <c r="AT550">
        <v>19</v>
      </c>
      <c r="AU550" s="10" t="s">
        <v>9</v>
      </c>
      <c r="AV550">
        <v>95</v>
      </c>
      <c r="AW550" s="10">
        <v>1</v>
      </c>
      <c r="AX550">
        <v>0</v>
      </c>
      <c r="AY550">
        <v>0</v>
      </c>
      <c r="AZ550" s="10">
        <v>0</v>
      </c>
      <c r="BA550">
        <v>0</v>
      </c>
      <c r="BB550">
        <v>0</v>
      </c>
      <c r="BC550">
        <v>1</v>
      </c>
      <c r="BD550" s="143" t="s">
        <v>107</v>
      </c>
      <c r="BG550"/>
    </row>
    <row r="551" spans="1:59" ht="14.25" customHeight="1" x14ac:dyDescent="0.25">
      <c r="A551" s="37" t="str">
        <f>LEFT(Scharniere[[#This Row],[ArtikelNR]],4)</f>
        <v>F017</v>
      </c>
      <c r="B551" s="35" t="str">
        <f>MID(Scharniere[[#This Row],[ArtikelNR]],5,3)</f>
        <v>139</v>
      </c>
      <c r="C551" s="37" t="str">
        <f>RIGHT(Scharniere[[#This Row],[ArtikelNR]],3)</f>
        <v>441</v>
      </c>
      <c r="D551" s="35">
        <f>IF(AND(Scharniere[[#This Row],[Gruppenschlüssel]]=select!$A$44,Scharniere[[#This Row],[Scharnierart]]=1)=TRUE,1,0)</f>
        <v>0</v>
      </c>
      <c r="E5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1" s="35">
        <f>IF(select!$F$57=IF(Scharniere[[#This Row],[mit Dämpfung]]=1,1,IF(Scharniere[[#This Row],[ohne Dämpfung]]=1,2,IF(Scharniere[[#This Row],[ohne Feder]]=1,3,0))),1,0)</f>
        <v>0</v>
      </c>
      <c r="G551" s="35">
        <f>IF(Scharniere[[#This Row],[Bohrbild]]=select!$V$43,1,0)</f>
        <v>0</v>
      </c>
      <c r="H551" s="35">
        <f>IF(IF(Scharniere[[#This Row],[Anschrauben]]=1,1,IF(Scharniere[[#This Row],[Einpressen]]=1,2,IF(Scharniere[[#This Row],[Quick]]=1,3,IF(Scharniere[[#This Row],[Werkzeuglos]]=1,4,0))))=select!$F$48,1,0)</f>
        <v>0</v>
      </c>
      <c r="I5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1" s="149">
        <f>IF(AND(Scharniere[[#This Row],[Scharnierart]]=2,Scharniere[[#This Row],[Gruppenschlüssel]]=select!$A$318)=TRUE,1,0)</f>
        <v>0</v>
      </c>
      <c r="K551" s="221">
        <f ca="1">IF(select!$O$424&lt;6,1,0)</f>
        <v>1</v>
      </c>
      <c r="L551" s="139">
        <f>IF(select!$A$362=IF(Scharniere[[#This Row],[mit Dämpfung]]=1,1,IF(Scharniere[[#This Row],[ohne Dämpfung]]=1,2,IF(Scharniere[[#This Row],[ohne Feder]]=1,3,0))),1,0)</f>
        <v>1</v>
      </c>
      <c r="M551" s="135">
        <f>IF(Scharniere[[#This Row],[Bohrbild]]=select!$O$334,1,0)</f>
        <v>0</v>
      </c>
      <c r="N551" s="135">
        <f>IF(IF(Scharniere[[#This Row],[Anschrauben]]=1,1,IF(Scharniere[[#This Row],[Einpressen]]=1,2,IF(Scharniere[[#This Row],[Quick]]=1,3,IF(Scharniere[[#This Row],[Werkzeuglos]]=1,4,0))))=select!$E$362,1,0)</f>
        <v>0</v>
      </c>
      <c r="O5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1" s="298">
        <f>IF(AND(Scharniere[[#This Row],[Scharnierart]]=3,Scharniere[[#This Row],[Gruppenschlüssel]]=select!$A$747)=TRUE,1,0)</f>
        <v>0</v>
      </c>
      <c r="Q551" s="298">
        <f ca="1">IF(select!$O$945&lt;6,1,0)</f>
        <v>1</v>
      </c>
      <c r="R551" s="298">
        <f>IF(select!$A$778=IF(Scharniere[[#This Row],[mit Dämpfung]]=1,1,IF(Scharniere[[#This Row],[ohne Dämpfung]]=1,2,IF(Scharniere[[#This Row],[ohne Feder]]=1,3,0))),1,0)</f>
        <v>0</v>
      </c>
      <c r="S551" s="298">
        <f>IF(Scharniere[[#This Row],[Bohrbild]]=select!$A$755,1,0)</f>
        <v>0</v>
      </c>
      <c r="T551" s="298">
        <f>IF(IF(Scharniere[[#This Row],[Anschrauben]]=1,1,IF(Scharniere[[#This Row],[Einpressen]]=1,2,IF(Scharniere[[#This Row],[Quick]]=1,3,IF(Scharniere[[#This Row],[Werkzeuglos]]=1,4,0))))=select!$A$769,1,0)</f>
        <v>0</v>
      </c>
      <c r="U5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1" s="359">
        <f>IF(AND(Scharniere[[#This Row],[Scharnierart]]=4,Scharniere[[#This Row],[Gruppenschlüssel]]=select!$A$981)=TRUE,1,0)</f>
        <v>0</v>
      </c>
      <c r="W551" s="359">
        <f ca="1">IF(select!$O$1185&lt;6,1,0)</f>
        <v>1</v>
      </c>
      <c r="X551" s="359">
        <f>IF(select!$A$1012=IF(Scharniere[[#This Row],[mit Dämpfung]]=1,1,IF(Scharniere[[#This Row],[ohne Dämpfung]]=1,2,IF(Scharniere[[#This Row],[ohne Feder]]=1,3,0))),1,0)</f>
        <v>0</v>
      </c>
      <c r="Y551" s="359">
        <f>IF(Scharniere[[#This Row],[Bohrbild]]=select!$A$989,1,0)</f>
        <v>0</v>
      </c>
      <c r="Z551" s="359">
        <f>IF(IF(Scharniere[[#This Row],[Anschrauben]]=1,1,IF(Scharniere[[#This Row],[Einpressen]]=1,2,IF(Scharniere[[#This Row],[Quick]]=1,3,IF(Scharniere[[#This Row],[Werkzeuglos]]=1,4,0))))=select!$A$1003,1,0)</f>
        <v>0</v>
      </c>
      <c r="AA5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1" s="359">
        <f ca="1">IF(select!$K$980="*",Scharniere[[#This Row],[AG Ges2]],Scharniere[[#This Row],[AG Ges1]])</f>
        <v>0</v>
      </c>
      <c r="AE551" s="451">
        <f ca="1">IF(AND(Scharniere[[#This Row],[Scharnierart]]=select!$A$1485,Scharniere[[#This Row],[Gruppenschlüssel]]=select!$B$1485)=TRUE,1,0)</f>
        <v>0</v>
      </c>
      <c r="AF551" s="451">
        <f ca="1">IF(AND(Scharniere[[#This Row],[Scharnierart]]=select!$A$1486,Scharniere[[#This Row],[Gruppenschlüssel]]=select!$B$1486)=TRUE,1,0)</f>
        <v>0</v>
      </c>
      <c r="AG551" s="451">
        <f ca="1">IF(AND(Scharniere[[#This Row],[Scharnierart]]=select!$A$1487,Scharniere[[#This Row],[Gruppenschlüssel]]=select!$B$1487)=TRUE,1,0)</f>
        <v>0</v>
      </c>
      <c r="AH551" s="451">
        <f ca="1">IF(AND(Scharniere[[#This Row],[Scharnierart]]=select!$A$1488,Scharniere[[#This Row],[Gruppenschlüssel]]=select!$B$1488)=TRUE,1,0)</f>
        <v>0</v>
      </c>
      <c r="AI551" s="451">
        <f ca="1">IF(SUM(Scharniere[[#This Row],[konf Scharnier 1]:[konf Scharnier 4]])&gt;0,1,0)</f>
        <v>0</v>
      </c>
      <c r="AJ551" s="451"/>
      <c r="AK551" s="451"/>
      <c r="AL551" s="451"/>
      <c r="AM551" s="451"/>
      <c r="AN551" s="451"/>
      <c r="AO551" s="146">
        <v>1</v>
      </c>
      <c r="AP551" s="146">
        <v>4</v>
      </c>
      <c r="AQ551" s="10" t="str">
        <f ca="1">Sprache!$A$113</f>
        <v>Tiomos Scharnier TS Impresso</v>
      </c>
      <c r="AR551" t="s">
        <v>108</v>
      </c>
      <c r="AS551" t="str">
        <f ca="1">Sprache!$A$116</f>
        <v>Tiomos Impresso Scharniere</v>
      </c>
      <c r="AT551">
        <v>19</v>
      </c>
      <c r="AU551" s="34" t="s">
        <v>3</v>
      </c>
      <c r="AV551">
        <v>95</v>
      </c>
      <c r="AW551" s="10">
        <v>1</v>
      </c>
      <c r="AX551">
        <v>0</v>
      </c>
      <c r="AY551">
        <v>0</v>
      </c>
      <c r="AZ551" s="10">
        <v>0</v>
      </c>
      <c r="BA551">
        <v>0</v>
      </c>
      <c r="BB551">
        <v>0</v>
      </c>
      <c r="BC551">
        <v>1</v>
      </c>
      <c r="BD551" s="143" t="s">
        <v>107</v>
      </c>
      <c r="BG551"/>
    </row>
    <row r="552" spans="1:59" ht="14.25" customHeight="1" x14ac:dyDescent="0.25">
      <c r="A552" s="37" t="str">
        <f>LEFT(Scharniere[[#This Row],[ArtikelNR]],4)</f>
        <v>F035</v>
      </c>
      <c r="B552" s="35" t="str">
        <f>MID(Scharniere[[#This Row],[ArtikelNR]],5,3)</f>
        <v>139</v>
      </c>
      <c r="C552" s="37" t="str">
        <f>RIGHT(Scharniere[[#This Row],[ArtikelNR]],3)</f>
        <v>469</v>
      </c>
      <c r="D552" s="35">
        <f>IF(AND(Scharniere[[#This Row],[Gruppenschlüssel]]=select!$A$44,Scharniere[[#This Row],[Scharnierart]]=1)=TRUE,1,0)</f>
        <v>0</v>
      </c>
      <c r="E5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2" s="35">
        <f>IF(select!$F$57=IF(Scharniere[[#This Row],[mit Dämpfung]]=1,1,IF(Scharniere[[#This Row],[ohne Dämpfung]]=1,2,IF(Scharniere[[#This Row],[ohne Feder]]=1,3,0))),1,0)</f>
        <v>1</v>
      </c>
      <c r="G552" s="35">
        <f>IF(Scharniere[[#This Row],[Bohrbild]]=select!$V$43,1,0)</f>
        <v>0</v>
      </c>
      <c r="H552" s="35">
        <f>IF(IF(Scharniere[[#This Row],[Anschrauben]]=1,1,IF(Scharniere[[#This Row],[Einpressen]]=1,2,IF(Scharniere[[#This Row],[Quick]]=1,3,IF(Scharniere[[#This Row],[Werkzeuglos]]=1,4,0))))=select!$F$48,1,0)</f>
        <v>0</v>
      </c>
      <c r="I5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2" s="149">
        <f>IF(AND(Scharniere[[#This Row],[Scharnierart]]=2,Scharniere[[#This Row],[Gruppenschlüssel]]=select!$A$318)=TRUE,1,0)</f>
        <v>0</v>
      </c>
      <c r="K552" s="221">
        <f ca="1">IF(select!$O$424&lt;6,1,0)</f>
        <v>1</v>
      </c>
      <c r="L552" s="139">
        <f>IF(select!$A$362=IF(Scharniere[[#This Row],[mit Dämpfung]]=1,1,IF(Scharniere[[#This Row],[ohne Dämpfung]]=1,2,IF(Scharniere[[#This Row],[ohne Feder]]=1,3,0))),1,0)</f>
        <v>0</v>
      </c>
      <c r="M552" s="135">
        <f>IF(Scharniere[[#This Row],[Bohrbild]]=select!$O$334,1,0)</f>
        <v>0</v>
      </c>
      <c r="N552" s="135">
        <f>IF(IF(Scharniere[[#This Row],[Anschrauben]]=1,1,IF(Scharniere[[#This Row],[Einpressen]]=1,2,IF(Scharniere[[#This Row],[Quick]]=1,3,IF(Scharniere[[#This Row],[Werkzeuglos]]=1,4,0))))=select!$E$362,1,0)</f>
        <v>0</v>
      </c>
      <c r="O5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2" s="298">
        <f>IF(AND(Scharniere[[#This Row],[Scharnierart]]=3,Scharniere[[#This Row],[Gruppenschlüssel]]=select!$A$747)=TRUE,1,0)</f>
        <v>0</v>
      </c>
      <c r="Q552" s="298">
        <f ca="1">IF(select!$O$945&lt;6,1,0)</f>
        <v>1</v>
      </c>
      <c r="R552" s="298">
        <f>IF(select!$A$778=IF(Scharniere[[#This Row],[mit Dämpfung]]=1,1,IF(Scharniere[[#This Row],[ohne Dämpfung]]=1,2,IF(Scharniere[[#This Row],[ohne Feder]]=1,3,0))),1,0)</f>
        <v>0</v>
      </c>
      <c r="S552" s="298">
        <f>IF(Scharniere[[#This Row],[Bohrbild]]=select!$A$755,1,0)</f>
        <v>0</v>
      </c>
      <c r="T552" s="298">
        <f>IF(IF(Scharniere[[#This Row],[Anschrauben]]=1,1,IF(Scharniere[[#This Row],[Einpressen]]=1,2,IF(Scharniere[[#This Row],[Quick]]=1,3,IF(Scharniere[[#This Row],[Werkzeuglos]]=1,4,0))))=select!$A$769,1,0)</f>
        <v>0</v>
      </c>
      <c r="U5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2" s="359">
        <f>IF(AND(Scharniere[[#This Row],[Scharnierart]]=4,Scharniere[[#This Row],[Gruppenschlüssel]]=select!$A$981)=TRUE,1,0)</f>
        <v>0</v>
      </c>
      <c r="W552" s="359">
        <f ca="1">IF(select!$O$1185&lt;6,1,0)</f>
        <v>1</v>
      </c>
      <c r="X552" s="359">
        <f>IF(select!$A$1012=IF(Scharniere[[#This Row],[mit Dämpfung]]=1,1,IF(Scharniere[[#This Row],[ohne Dämpfung]]=1,2,IF(Scharniere[[#This Row],[ohne Feder]]=1,3,0))),1,0)</f>
        <v>0</v>
      </c>
      <c r="Y552" s="359">
        <f>IF(Scharniere[[#This Row],[Bohrbild]]=select!$A$989,1,0)</f>
        <v>0</v>
      </c>
      <c r="Z552" s="359">
        <f>IF(IF(Scharniere[[#This Row],[Anschrauben]]=1,1,IF(Scharniere[[#This Row],[Einpressen]]=1,2,IF(Scharniere[[#This Row],[Quick]]=1,3,IF(Scharniere[[#This Row],[Werkzeuglos]]=1,4,0))))=select!$A$1003,1,0)</f>
        <v>0</v>
      </c>
      <c r="AA5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2" s="359">
        <f ca="1">IF(select!$K$980="*",Scharniere[[#This Row],[AG Ges2]],Scharniere[[#This Row],[AG Ges1]])</f>
        <v>0</v>
      </c>
      <c r="AE552" s="451">
        <f ca="1">IF(AND(Scharniere[[#This Row],[Scharnierart]]=select!$A$1485,Scharniere[[#This Row],[Gruppenschlüssel]]=select!$B$1485)=TRUE,1,0)</f>
        <v>0</v>
      </c>
      <c r="AF552" s="451">
        <f ca="1">IF(AND(Scharniere[[#This Row],[Scharnierart]]=select!$A$1486,Scharniere[[#This Row],[Gruppenschlüssel]]=select!$B$1486)=TRUE,1,0)</f>
        <v>0</v>
      </c>
      <c r="AG552" s="451">
        <f ca="1">IF(AND(Scharniere[[#This Row],[Scharnierart]]=select!$A$1487,Scharniere[[#This Row],[Gruppenschlüssel]]=select!$B$1487)=TRUE,1,0)</f>
        <v>0</v>
      </c>
      <c r="AH552" s="451">
        <f ca="1">IF(AND(Scharniere[[#This Row],[Scharnierart]]=select!$A$1488,Scharniere[[#This Row],[Gruppenschlüssel]]=select!$B$1488)=TRUE,1,0)</f>
        <v>0</v>
      </c>
      <c r="AI552" s="451">
        <f ca="1">IF(SUM(Scharniere[[#This Row],[konf Scharnier 1]:[konf Scharnier 4]])&gt;0,1,0)</f>
        <v>0</v>
      </c>
      <c r="AJ552" s="451"/>
      <c r="AK552" s="451"/>
      <c r="AL552" s="451"/>
      <c r="AM552" s="451"/>
      <c r="AN552" s="451"/>
      <c r="AO552" s="146">
        <v>1</v>
      </c>
      <c r="AP552" s="146">
        <v>4</v>
      </c>
      <c r="AQ552" s="10" t="str">
        <f ca="1">Sprache!$A$115</f>
        <v>Tiomos Scharnier TT Impresso</v>
      </c>
      <c r="AR552" t="s">
        <v>108</v>
      </c>
      <c r="AS552" t="str">
        <f ca="1">Sprache!$A$116</f>
        <v>Tiomos Impresso Scharniere</v>
      </c>
      <c r="AT552">
        <v>19</v>
      </c>
      <c r="AU552" t="s">
        <v>9</v>
      </c>
      <c r="AV552">
        <v>95</v>
      </c>
      <c r="AW552" s="10">
        <v>0</v>
      </c>
      <c r="AX552">
        <v>0</v>
      </c>
      <c r="AY552">
        <v>1</v>
      </c>
      <c r="AZ552" s="10">
        <v>0</v>
      </c>
      <c r="BA552">
        <v>0</v>
      </c>
      <c r="BB552">
        <v>0</v>
      </c>
      <c r="BC552">
        <v>1</v>
      </c>
      <c r="BD552" s="143" t="s">
        <v>208</v>
      </c>
      <c r="BG552"/>
    </row>
    <row r="553" spans="1:59" ht="14.25" customHeight="1" x14ac:dyDescent="0.25">
      <c r="A553" s="37" t="str">
        <f>LEFT(Scharniere[[#This Row],[ArtikelNR]],4)</f>
        <v>F035</v>
      </c>
      <c r="B553" s="35" t="str">
        <f>MID(Scharniere[[#This Row],[ArtikelNR]],5,3)</f>
        <v>139</v>
      </c>
      <c r="C553" s="37" t="str">
        <f>RIGHT(Scharniere[[#This Row],[ArtikelNR]],3)</f>
        <v>469</v>
      </c>
      <c r="D553" s="35">
        <f>IF(AND(Scharniere[[#This Row],[Gruppenschlüssel]]=select!$A$44,Scharniere[[#This Row],[Scharnierart]]=1)=TRUE,1,0)</f>
        <v>0</v>
      </c>
      <c r="E5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3" s="35">
        <f>IF(select!$F$57=IF(Scharniere[[#This Row],[mit Dämpfung]]=1,1,IF(Scharniere[[#This Row],[ohne Dämpfung]]=1,2,IF(Scharniere[[#This Row],[ohne Feder]]=1,3,0))),1,0)</f>
        <v>1</v>
      </c>
      <c r="G553" s="35">
        <f>IF(Scharniere[[#This Row],[Bohrbild]]=select!$V$43,1,0)</f>
        <v>0</v>
      </c>
      <c r="H553" s="35">
        <f>IF(IF(Scharniere[[#This Row],[Anschrauben]]=1,1,IF(Scharniere[[#This Row],[Einpressen]]=1,2,IF(Scharniere[[#This Row],[Quick]]=1,3,IF(Scharniere[[#This Row],[Werkzeuglos]]=1,4,0))))=select!$F$48,1,0)</f>
        <v>0</v>
      </c>
      <c r="I5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3" s="149">
        <f>IF(AND(Scharniere[[#This Row],[Scharnierart]]=2,Scharniere[[#This Row],[Gruppenschlüssel]]=select!$A$318)=TRUE,1,0)</f>
        <v>0</v>
      </c>
      <c r="K553" s="221">
        <f ca="1">IF(select!$O$424&lt;6,1,0)</f>
        <v>1</v>
      </c>
      <c r="L553" s="139">
        <f>IF(select!$A$362=IF(Scharniere[[#This Row],[mit Dämpfung]]=1,1,IF(Scharniere[[#This Row],[ohne Dämpfung]]=1,2,IF(Scharniere[[#This Row],[ohne Feder]]=1,3,0))),1,0)</f>
        <v>0</v>
      </c>
      <c r="M553" s="135">
        <f>IF(Scharniere[[#This Row],[Bohrbild]]=select!$O$334,1,0)</f>
        <v>0</v>
      </c>
      <c r="N553" s="135">
        <f>IF(IF(Scharniere[[#This Row],[Anschrauben]]=1,1,IF(Scharniere[[#This Row],[Einpressen]]=1,2,IF(Scharniere[[#This Row],[Quick]]=1,3,IF(Scharniere[[#This Row],[Werkzeuglos]]=1,4,0))))=select!$E$362,1,0)</f>
        <v>0</v>
      </c>
      <c r="O5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3" s="298">
        <f>IF(AND(Scharniere[[#This Row],[Scharnierart]]=3,Scharniere[[#This Row],[Gruppenschlüssel]]=select!$A$747)=TRUE,1,0)</f>
        <v>0</v>
      </c>
      <c r="Q553" s="298">
        <f ca="1">IF(select!$O$945&lt;6,1,0)</f>
        <v>1</v>
      </c>
      <c r="R553" s="298">
        <f>IF(select!$A$778=IF(Scharniere[[#This Row],[mit Dämpfung]]=1,1,IF(Scharniere[[#This Row],[ohne Dämpfung]]=1,2,IF(Scharniere[[#This Row],[ohne Feder]]=1,3,0))),1,0)</f>
        <v>0</v>
      </c>
      <c r="S553" s="298">
        <f>IF(Scharniere[[#This Row],[Bohrbild]]=select!$A$755,1,0)</f>
        <v>0</v>
      </c>
      <c r="T553" s="298">
        <f>IF(IF(Scharniere[[#This Row],[Anschrauben]]=1,1,IF(Scharniere[[#This Row],[Einpressen]]=1,2,IF(Scharniere[[#This Row],[Quick]]=1,3,IF(Scharniere[[#This Row],[Werkzeuglos]]=1,4,0))))=select!$A$769,1,0)</f>
        <v>0</v>
      </c>
      <c r="U5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3" s="359">
        <f>IF(AND(Scharniere[[#This Row],[Scharnierart]]=4,Scharniere[[#This Row],[Gruppenschlüssel]]=select!$A$981)=TRUE,1,0)</f>
        <v>0</v>
      </c>
      <c r="W553" s="359">
        <f ca="1">IF(select!$O$1185&lt;6,1,0)</f>
        <v>1</v>
      </c>
      <c r="X553" s="359">
        <f>IF(select!$A$1012=IF(Scharniere[[#This Row],[mit Dämpfung]]=1,1,IF(Scharniere[[#This Row],[ohne Dämpfung]]=1,2,IF(Scharniere[[#This Row],[ohne Feder]]=1,3,0))),1,0)</f>
        <v>0</v>
      </c>
      <c r="Y553" s="359">
        <f>IF(Scharniere[[#This Row],[Bohrbild]]=select!$A$989,1,0)</f>
        <v>0</v>
      </c>
      <c r="Z553" s="359">
        <f>IF(IF(Scharniere[[#This Row],[Anschrauben]]=1,1,IF(Scharniere[[#This Row],[Einpressen]]=1,2,IF(Scharniere[[#This Row],[Quick]]=1,3,IF(Scharniere[[#This Row],[Werkzeuglos]]=1,4,0))))=select!$A$1003,1,0)</f>
        <v>0</v>
      </c>
      <c r="AA5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3" s="359">
        <f ca="1">IF(select!$K$980="*",Scharniere[[#This Row],[AG Ges2]],Scharniere[[#This Row],[AG Ges1]])</f>
        <v>0</v>
      </c>
      <c r="AE553" s="451">
        <f ca="1">IF(AND(Scharniere[[#This Row],[Scharnierart]]=select!$A$1485,Scharniere[[#This Row],[Gruppenschlüssel]]=select!$B$1485)=TRUE,1,0)</f>
        <v>0</v>
      </c>
      <c r="AF553" s="451">
        <f ca="1">IF(AND(Scharniere[[#This Row],[Scharnierart]]=select!$A$1486,Scharniere[[#This Row],[Gruppenschlüssel]]=select!$B$1486)=TRUE,1,0)</f>
        <v>0</v>
      </c>
      <c r="AG553" s="451">
        <f ca="1">IF(AND(Scharniere[[#This Row],[Scharnierart]]=select!$A$1487,Scharniere[[#This Row],[Gruppenschlüssel]]=select!$B$1487)=TRUE,1,0)</f>
        <v>0</v>
      </c>
      <c r="AH553" s="451">
        <f ca="1">IF(AND(Scharniere[[#This Row],[Scharnierart]]=select!$A$1488,Scharniere[[#This Row],[Gruppenschlüssel]]=select!$B$1488)=TRUE,1,0)</f>
        <v>0</v>
      </c>
      <c r="AI553" s="451">
        <f ca="1">IF(SUM(Scharniere[[#This Row],[konf Scharnier 1]:[konf Scharnier 4]])&gt;0,1,0)</f>
        <v>0</v>
      </c>
      <c r="AJ553" s="451"/>
      <c r="AK553" s="451"/>
      <c r="AL553" s="451"/>
      <c r="AM553" s="451"/>
      <c r="AN553" s="451"/>
      <c r="AO553" s="146">
        <v>1</v>
      </c>
      <c r="AP553" s="146">
        <v>4</v>
      </c>
      <c r="AQ553" s="10" t="str">
        <f ca="1">Sprache!$A$115</f>
        <v>Tiomos Scharnier TT Impresso</v>
      </c>
      <c r="AR553" t="s">
        <v>108</v>
      </c>
      <c r="AS553" t="str">
        <f ca="1">Sprache!$A$116</f>
        <v>Tiomos Impresso Scharniere</v>
      </c>
      <c r="AT553">
        <v>19</v>
      </c>
      <c r="AU553" s="10" t="s">
        <v>3</v>
      </c>
      <c r="AV553">
        <v>95</v>
      </c>
      <c r="AW553" s="10">
        <v>0</v>
      </c>
      <c r="AX553">
        <v>0</v>
      </c>
      <c r="AY553">
        <v>1</v>
      </c>
      <c r="AZ553" s="10">
        <v>0</v>
      </c>
      <c r="BA553">
        <v>0</v>
      </c>
      <c r="BB553">
        <v>0</v>
      </c>
      <c r="BC553">
        <v>1</v>
      </c>
      <c r="BD553" s="143" t="s">
        <v>208</v>
      </c>
      <c r="BG553"/>
    </row>
    <row r="554" spans="1:59" ht="14.25" customHeight="1" x14ac:dyDescent="0.25">
      <c r="A554" s="37" t="str">
        <f>LEFT(Scharniere[[#This Row],[ArtikelNR]],4)</f>
        <v>F045</v>
      </c>
      <c r="B554" s="35" t="str">
        <f>MID(Scharniere[[#This Row],[ArtikelNR]],5,3)</f>
        <v>138</v>
      </c>
      <c r="C554" s="37" t="str">
        <f>RIGHT(Scharniere[[#This Row],[ArtikelNR]],3)</f>
        <v>694</v>
      </c>
      <c r="D554" s="35">
        <f>IF(AND(Scharniere[[#This Row],[Gruppenschlüssel]]=select!$A$44,Scharniere[[#This Row],[Scharnierart]]=1)=TRUE,1,0)</f>
        <v>0</v>
      </c>
      <c r="E5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4" s="35">
        <f>IF(select!$F$57=IF(Scharniere[[#This Row],[mit Dämpfung]]=1,1,IF(Scharniere[[#This Row],[ohne Dämpfung]]=1,2,IF(Scharniere[[#This Row],[ohne Feder]]=1,3,0))),1,0)</f>
        <v>0</v>
      </c>
      <c r="G554" s="35">
        <f>IF(Scharniere[[#This Row],[Bohrbild]]=select!$V$43,1,0)</f>
        <v>0</v>
      </c>
      <c r="H554" s="35">
        <f>IF(IF(Scharniere[[#This Row],[Anschrauben]]=1,1,IF(Scharniere[[#This Row],[Einpressen]]=1,2,IF(Scharniere[[#This Row],[Quick]]=1,3,IF(Scharniere[[#This Row],[Werkzeuglos]]=1,4,0))))=select!$F$48,1,0)</f>
        <v>1</v>
      </c>
      <c r="I5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4" s="149">
        <f>IF(AND(Scharniere[[#This Row],[Scharnierart]]=2,Scharniere[[#This Row],[Gruppenschlüssel]]=select!$A$318)=TRUE,1,0)</f>
        <v>0</v>
      </c>
      <c r="K554" s="221">
        <f ca="1">IF(select!$O$424&lt;6,1,0)</f>
        <v>1</v>
      </c>
      <c r="L554" s="139">
        <f>IF(select!$A$362=IF(Scharniere[[#This Row],[mit Dämpfung]]=1,1,IF(Scharniere[[#This Row],[ohne Dämpfung]]=1,2,IF(Scharniere[[#This Row],[ohne Feder]]=1,3,0))),1,0)</f>
        <v>0</v>
      </c>
      <c r="M554" s="135">
        <f>IF(Scharniere[[#This Row],[Bohrbild]]=select!$O$334,1,0)</f>
        <v>0</v>
      </c>
      <c r="N554" s="135">
        <f>IF(IF(Scharniere[[#This Row],[Anschrauben]]=1,1,IF(Scharniere[[#This Row],[Einpressen]]=1,2,IF(Scharniere[[#This Row],[Quick]]=1,3,IF(Scharniere[[#This Row],[Werkzeuglos]]=1,4,0))))=select!$E$362,1,0)</f>
        <v>0</v>
      </c>
      <c r="O5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4" s="298">
        <f>IF(AND(Scharniere[[#This Row],[Scharnierart]]=3,Scharniere[[#This Row],[Gruppenschlüssel]]=select!$A$747)=TRUE,1,0)</f>
        <v>0</v>
      </c>
      <c r="Q554" s="298">
        <f ca="1">IF(select!$O$945&lt;6,1,0)</f>
        <v>1</v>
      </c>
      <c r="R554" s="298">
        <f>IF(select!$A$778=IF(Scharniere[[#This Row],[mit Dämpfung]]=1,1,IF(Scharniere[[#This Row],[ohne Dämpfung]]=1,2,IF(Scharniere[[#This Row],[ohne Feder]]=1,3,0))),1,0)</f>
        <v>1</v>
      </c>
      <c r="S554" s="298">
        <f>IF(Scharniere[[#This Row],[Bohrbild]]=select!$A$755,1,0)</f>
        <v>0</v>
      </c>
      <c r="T554" s="298">
        <f>IF(IF(Scharniere[[#This Row],[Anschrauben]]=1,1,IF(Scharniere[[#This Row],[Einpressen]]=1,2,IF(Scharniere[[#This Row],[Quick]]=1,3,IF(Scharniere[[#This Row],[Werkzeuglos]]=1,4,0))))=select!$A$769,1,0)</f>
        <v>0</v>
      </c>
      <c r="U5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4" s="359">
        <f>IF(AND(Scharniere[[#This Row],[Scharnierart]]=4,Scharniere[[#This Row],[Gruppenschlüssel]]=select!$A$981)=TRUE,1,0)</f>
        <v>0</v>
      </c>
      <c r="W554" s="359">
        <f ca="1">IF(select!$O$1185&lt;6,1,0)</f>
        <v>1</v>
      </c>
      <c r="X554" s="359">
        <f>IF(select!$A$1012=IF(Scharniere[[#This Row],[mit Dämpfung]]=1,1,IF(Scharniere[[#This Row],[ohne Dämpfung]]=1,2,IF(Scharniere[[#This Row],[ohne Feder]]=1,3,0))),1,0)</f>
        <v>1</v>
      </c>
      <c r="Y554" s="359">
        <f>IF(Scharniere[[#This Row],[Bohrbild]]=select!$A$989,1,0)</f>
        <v>0</v>
      </c>
      <c r="Z554" s="359">
        <f>IF(IF(Scharniere[[#This Row],[Anschrauben]]=1,1,IF(Scharniere[[#This Row],[Einpressen]]=1,2,IF(Scharniere[[#This Row],[Quick]]=1,3,IF(Scharniere[[#This Row],[Werkzeuglos]]=1,4,0))))=select!$A$1003,1,0)</f>
        <v>0</v>
      </c>
      <c r="AA5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4" s="359">
        <f ca="1">IF(select!$K$980="*",Scharniere[[#This Row],[AG Ges2]],Scharniere[[#This Row],[AG Ges1]])</f>
        <v>0</v>
      </c>
      <c r="AE554" s="451">
        <f ca="1">IF(AND(Scharniere[[#This Row],[Scharnierart]]=select!$A$1485,Scharniere[[#This Row],[Gruppenschlüssel]]=select!$B$1485)=TRUE,1,0)</f>
        <v>0</v>
      </c>
      <c r="AF554" s="451">
        <f ca="1">IF(AND(Scharniere[[#This Row],[Scharnierart]]=select!$A$1486,Scharniere[[#This Row],[Gruppenschlüssel]]=select!$B$1486)=TRUE,1,0)</f>
        <v>0</v>
      </c>
      <c r="AG554" s="451">
        <f ca="1">IF(AND(Scharniere[[#This Row],[Scharnierart]]=select!$A$1487,Scharniere[[#This Row],[Gruppenschlüssel]]=select!$B$1487)=TRUE,1,0)</f>
        <v>0</v>
      </c>
      <c r="AH554" s="451">
        <f ca="1">IF(AND(Scharniere[[#This Row],[Scharnierart]]=select!$A$1488,Scharniere[[#This Row],[Gruppenschlüssel]]=select!$B$1488)=TRUE,1,0)</f>
        <v>0</v>
      </c>
      <c r="AI554" s="451">
        <f ca="1">IF(SUM(Scharniere[[#This Row],[konf Scharnier 1]:[konf Scharnier 4]])&gt;0,1,0)</f>
        <v>0</v>
      </c>
      <c r="AJ554" s="451"/>
      <c r="AK554" s="451"/>
      <c r="AL554" s="451"/>
      <c r="AM554" s="451"/>
      <c r="AN554" s="451"/>
      <c r="AO554" s="146">
        <v>1</v>
      </c>
      <c r="AP554" s="146">
        <v>4</v>
      </c>
      <c r="AQ554" s="10" t="str">
        <f ca="1">Sprache!$A$110</f>
        <v>Tiomos Scharnier T Click-on</v>
      </c>
      <c r="AR554" t="str">
        <f ca="1">"95°, H-BB, K19, "&amp;Sprache!A181&amp;", ni"</f>
        <v>95°, H-BB, K19, Dübel, ni</v>
      </c>
      <c r="AS554" t="str">
        <f ca="1">Sprache!$A$103</f>
        <v>Tiomos Click-On Scharniere</v>
      </c>
      <c r="AT554">
        <v>19</v>
      </c>
      <c r="AU554" s="34" t="s">
        <v>10</v>
      </c>
      <c r="AV554">
        <v>95</v>
      </c>
      <c r="AW554" s="10">
        <v>0</v>
      </c>
      <c r="AX554">
        <v>1</v>
      </c>
      <c r="AY554">
        <v>0</v>
      </c>
      <c r="AZ554" s="10">
        <v>0</v>
      </c>
      <c r="BA554">
        <v>1</v>
      </c>
      <c r="BB554">
        <v>0</v>
      </c>
      <c r="BC554">
        <v>0</v>
      </c>
      <c r="BD554" s="143" t="s">
        <v>541</v>
      </c>
      <c r="BG554"/>
    </row>
    <row r="555" spans="1:59" ht="14.25" customHeight="1" x14ac:dyDescent="0.25">
      <c r="A555" s="37" t="str">
        <f>LEFT(Scharniere[[#This Row],[ArtikelNR]],4)</f>
        <v>F028</v>
      </c>
      <c r="B555" s="35" t="str">
        <f>MID(Scharniere[[#This Row],[ArtikelNR]],5,3)</f>
        <v>138</v>
      </c>
      <c r="C555" s="37" t="str">
        <f>RIGHT(Scharniere[[#This Row],[ArtikelNR]],3)</f>
        <v>756</v>
      </c>
      <c r="D555" s="35">
        <f>IF(AND(Scharniere[[#This Row],[Gruppenschlüssel]]=select!$A$44,Scharniere[[#This Row],[Scharnierart]]=1)=TRUE,1,0)</f>
        <v>0</v>
      </c>
      <c r="E5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5" s="35">
        <f>IF(select!$F$57=IF(Scharniere[[#This Row],[mit Dämpfung]]=1,1,IF(Scharniere[[#This Row],[ohne Dämpfung]]=1,2,IF(Scharniere[[#This Row],[ohne Feder]]=1,3,0))),1,0)</f>
        <v>0</v>
      </c>
      <c r="G555" s="35">
        <f>IF(Scharniere[[#This Row],[Bohrbild]]=select!$V$43,1,0)</f>
        <v>0</v>
      </c>
      <c r="H555" s="35">
        <f>IF(IF(Scharniere[[#This Row],[Anschrauben]]=1,1,IF(Scharniere[[#This Row],[Einpressen]]=1,2,IF(Scharniere[[#This Row],[Quick]]=1,3,IF(Scharniere[[#This Row],[Werkzeuglos]]=1,4,0))))=select!$F$48,1,0)</f>
        <v>1</v>
      </c>
      <c r="I5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5" s="149">
        <f>IF(AND(Scharniere[[#This Row],[Scharnierart]]=2,Scharniere[[#This Row],[Gruppenschlüssel]]=select!$A$318)=TRUE,1,0)</f>
        <v>0</v>
      </c>
      <c r="K555" s="221">
        <f ca="1">IF(select!$O$424&lt;6,1,0)</f>
        <v>1</v>
      </c>
      <c r="L555" s="139">
        <f>IF(select!$A$362=IF(Scharniere[[#This Row],[mit Dämpfung]]=1,1,IF(Scharniere[[#This Row],[ohne Dämpfung]]=1,2,IF(Scharniere[[#This Row],[ohne Feder]]=1,3,0))),1,0)</f>
        <v>1</v>
      </c>
      <c r="M555" s="135">
        <f>IF(Scharniere[[#This Row],[Bohrbild]]=select!$O$334,1,0)</f>
        <v>0</v>
      </c>
      <c r="N555" s="135">
        <f>IF(IF(Scharniere[[#This Row],[Anschrauben]]=1,1,IF(Scharniere[[#This Row],[Einpressen]]=1,2,IF(Scharniere[[#This Row],[Quick]]=1,3,IF(Scharniere[[#This Row],[Werkzeuglos]]=1,4,0))))=select!$E$362,1,0)</f>
        <v>0</v>
      </c>
      <c r="O5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5" s="298">
        <f>IF(AND(Scharniere[[#This Row],[Scharnierart]]=3,Scharniere[[#This Row],[Gruppenschlüssel]]=select!$A$747)=TRUE,1,0)</f>
        <v>0</v>
      </c>
      <c r="Q555" s="298">
        <f ca="1">IF(select!$O$945&lt;6,1,0)</f>
        <v>1</v>
      </c>
      <c r="R555" s="298">
        <f>IF(select!$A$778=IF(Scharniere[[#This Row],[mit Dämpfung]]=1,1,IF(Scharniere[[#This Row],[ohne Dämpfung]]=1,2,IF(Scharniere[[#This Row],[ohne Feder]]=1,3,0))),1,0)</f>
        <v>0</v>
      </c>
      <c r="S555" s="298">
        <f>IF(Scharniere[[#This Row],[Bohrbild]]=select!$A$755,1,0)</f>
        <v>0</v>
      </c>
      <c r="T555" s="298">
        <f>IF(IF(Scharniere[[#This Row],[Anschrauben]]=1,1,IF(Scharniere[[#This Row],[Einpressen]]=1,2,IF(Scharniere[[#This Row],[Quick]]=1,3,IF(Scharniere[[#This Row],[Werkzeuglos]]=1,4,0))))=select!$A$769,1,0)</f>
        <v>0</v>
      </c>
      <c r="U5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5" s="359">
        <f>IF(AND(Scharniere[[#This Row],[Scharnierart]]=4,Scharniere[[#This Row],[Gruppenschlüssel]]=select!$A$981)=TRUE,1,0)</f>
        <v>0</v>
      </c>
      <c r="W555" s="359">
        <f ca="1">IF(select!$O$1185&lt;6,1,0)</f>
        <v>1</v>
      </c>
      <c r="X555" s="359">
        <f>IF(select!$A$1012=IF(Scharniere[[#This Row],[mit Dämpfung]]=1,1,IF(Scharniere[[#This Row],[ohne Dämpfung]]=1,2,IF(Scharniere[[#This Row],[ohne Feder]]=1,3,0))),1,0)</f>
        <v>0</v>
      </c>
      <c r="Y555" s="359">
        <f>IF(Scharniere[[#This Row],[Bohrbild]]=select!$A$989,1,0)</f>
        <v>0</v>
      </c>
      <c r="Z555" s="359">
        <f>IF(IF(Scharniere[[#This Row],[Anschrauben]]=1,1,IF(Scharniere[[#This Row],[Einpressen]]=1,2,IF(Scharniere[[#This Row],[Quick]]=1,3,IF(Scharniere[[#This Row],[Werkzeuglos]]=1,4,0))))=select!$A$1003,1,0)</f>
        <v>0</v>
      </c>
      <c r="AA5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5" s="359">
        <f ca="1">IF(select!$K$980="*",Scharniere[[#This Row],[AG Ges2]],Scharniere[[#This Row],[AG Ges1]])</f>
        <v>0</v>
      </c>
      <c r="AE555" s="451">
        <f ca="1">IF(AND(Scharniere[[#This Row],[Scharnierart]]=select!$A$1485,Scharniere[[#This Row],[Gruppenschlüssel]]=select!$B$1485)=TRUE,1,0)</f>
        <v>0</v>
      </c>
      <c r="AF555" s="451">
        <f ca="1">IF(AND(Scharniere[[#This Row],[Scharnierart]]=select!$A$1486,Scharniere[[#This Row],[Gruppenschlüssel]]=select!$B$1486)=TRUE,1,0)</f>
        <v>0</v>
      </c>
      <c r="AG555" s="451">
        <f ca="1">IF(AND(Scharniere[[#This Row],[Scharnierart]]=select!$A$1487,Scharniere[[#This Row],[Gruppenschlüssel]]=select!$B$1487)=TRUE,1,0)</f>
        <v>0</v>
      </c>
      <c r="AH555" s="451">
        <f ca="1">IF(AND(Scharniere[[#This Row],[Scharnierart]]=select!$A$1488,Scharniere[[#This Row],[Gruppenschlüssel]]=select!$B$1488)=TRUE,1,0)</f>
        <v>0</v>
      </c>
      <c r="AI555" s="451">
        <f ca="1">IF(SUM(Scharniere[[#This Row],[konf Scharnier 1]:[konf Scharnier 4]])&gt;0,1,0)</f>
        <v>0</v>
      </c>
      <c r="AJ555" s="451"/>
      <c r="AK555" s="451"/>
      <c r="AL555" s="451"/>
      <c r="AM555" s="451"/>
      <c r="AN555" s="451"/>
      <c r="AO555" s="146">
        <v>1</v>
      </c>
      <c r="AP555" s="146">
        <v>4</v>
      </c>
      <c r="AQ555" s="10" t="str">
        <f ca="1">Sprache!$A$112</f>
        <v>Tiomos Scharnier TS Click-on</v>
      </c>
      <c r="AR555" t="str">
        <f ca="1">"95°, H-BB, K19, "&amp;Sprache!A181&amp;", ni"</f>
        <v>95°, H-BB, K19, Dübel, ni</v>
      </c>
      <c r="AS555" t="str">
        <f ca="1">Sprache!$A$103</f>
        <v>Tiomos Click-On Scharniere</v>
      </c>
      <c r="AT555">
        <v>19</v>
      </c>
      <c r="AU555" s="34" t="s">
        <v>10</v>
      </c>
      <c r="AV555">
        <v>95</v>
      </c>
      <c r="AW555" s="10">
        <v>1</v>
      </c>
      <c r="AX555">
        <v>0</v>
      </c>
      <c r="AY555">
        <v>0</v>
      </c>
      <c r="AZ555" s="10">
        <v>0</v>
      </c>
      <c r="BA555">
        <v>1</v>
      </c>
      <c r="BB555">
        <v>0</v>
      </c>
      <c r="BC555">
        <v>0</v>
      </c>
      <c r="BD555" s="143" t="s">
        <v>378</v>
      </c>
      <c r="BG555"/>
    </row>
    <row r="556" spans="1:59" ht="14.25" customHeight="1" x14ac:dyDescent="0.25">
      <c r="A556" s="37" t="str">
        <f>LEFT(Scharniere[[#This Row],[ArtikelNR]],4)</f>
        <v>F046</v>
      </c>
      <c r="B556" s="35" t="str">
        <f>MID(Scharniere[[#This Row],[ArtikelNR]],5,3)</f>
        <v>138</v>
      </c>
      <c r="C556" s="37" t="str">
        <f>RIGHT(Scharniere[[#This Row],[ArtikelNR]],3)</f>
        <v>816</v>
      </c>
      <c r="D556" s="35">
        <f>IF(AND(Scharniere[[#This Row],[Gruppenschlüssel]]=select!$A$44,Scharniere[[#This Row],[Scharnierart]]=1)=TRUE,1,0)</f>
        <v>0</v>
      </c>
      <c r="E5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6" s="35">
        <f>IF(select!$F$57=IF(Scharniere[[#This Row],[mit Dämpfung]]=1,1,IF(Scharniere[[#This Row],[ohne Dämpfung]]=1,2,IF(Scharniere[[#This Row],[ohne Feder]]=1,3,0))),1,0)</f>
        <v>1</v>
      </c>
      <c r="G556" s="35">
        <f>IF(Scharniere[[#This Row],[Bohrbild]]=select!$V$43,1,0)</f>
        <v>0</v>
      </c>
      <c r="H556" s="35">
        <f>IF(IF(Scharniere[[#This Row],[Anschrauben]]=1,1,IF(Scharniere[[#This Row],[Einpressen]]=1,2,IF(Scharniere[[#This Row],[Quick]]=1,3,IF(Scharniere[[#This Row],[Werkzeuglos]]=1,4,0))))=select!$F$48,1,0)</f>
        <v>1</v>
      </c>
      <c r="I5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6" s="149">
        <f>IF(AND(Scharniere[[#This Row],[Scharnierart]]=2,Scharniere[[#This Row],[Gruppenschlüssel]]=select!$A$318)=TRUE,1,0)</f>
        <v>0</v>
      </c>
      <c r="K556" s="221">
        <f ca="1">IF(select!$O$424&lt;6,1,0)</f>
        <v>1</v>
      </c>
      <c r="L556" s="139">
        <f>IF(select!$A$362=IF(Scharniere[[#This Row],[mit Dämpfung]]=1,1,IF(Scharniere[[#This Row],[ohne Dämpfung]]=1,2,IF(Scharniere[[#This Row],[ohne Feder]]=1,3,0))),1,0)</f>
        <v>0</v>
      </c>
      <c r="M556" s="135">
        <f>IF(Scharniere[[#This Row],[Bohrbild]]=select!$O$334,1,0)</f>
        <v>0</v>
      </c>
      <c r="N556" s="135">
        <f>IF(IF(Scharniere[[#This Row],[Anschrauben]]=1,1,IF(Scharniere[[#This Row],[Einpressen]]=1,2,IF(Scharniere[[#This Row],[Quick]]=1,3,IF(Scharniere[[#This Row],[Werkzeuglos]]=1,4,0))))=select!$E$362,1,0)</f>
        <v>0</v>
      </c>
      <c r="O5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6" s="298">
        <f>IF(AND(Scharniere[[#This Row],[Scharnierart]]=3,Scharniere[[#This Row],[Gruppenschlüssel]]=select!$A$747)=TRUE,1,0)</f>
        <v>0</v>
      </c>
      <c r="Q556" s="298">
        <f ca="1">IF(select!$O$945&lt;6,1,0)</f>
        <v>1</v>
      </c>
      <c r="R556" s="298">
        <f>IF(select!$A$778=IF(Scharniere[[#This Row],[mit Dämpfung]]=1,1,IF(Scharniere[[#This Row],[ohne Dämpfung]]=1,2,IF(Scharniere[[#This Row],[ohne Feder]]=1,3,0))),1,0)</f>
        <v>0</v>
      </c>
      <c r="S556" s="298">
        <f>IF(Scharniere[[#This Row],[Bohrbild]]=select!$A$755,1,0)</f>
        <v>0</v>
      </c>
      <c r="T556" s="298">
        <f>IF(IF(Scharniere[[#This Row],[Anschrauben]]=1,1,IF(Scharniere[[#This Row],[Einpressen]]=1,2,IF(Scharniere[[#This Row],[Quick]]=1,3,IF(Scharniere[[#This Row],[Werkzeuglos]]=1,4,0))))=select!$A$769,1,0)</f>
        <v>0</v>
      </c>
      <c r="U5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6" s="359">
        <f>IF(AND(Scharniere[[#This Row],[Scharnierart]]=4,Scharniere[[#This Row],[Gruppenschlüssel]]=select!$A$981)=TRUE,1,0)</f>
        <v>0</v>
      </c>
      <c r="W556" s="359">
        <f ca="1">IF(select!$O$1185&lt;6,1,0)</f>
        <v>1</v>
      </c>
      <c r="X556" s="359">
        <f>IF(select!$A$1012=IF(Scharniere[[#This Row],[mit Dämpfung]]=1,1,IF(Scharniere[[#This Row],[ohne Dämpfung]]=1,2,IF(Scharniere[[#This Row],[ohne Feder]]=1,3,0))),1,0)</f>
        <v>0</v>
      </c>
      <c r="Y556" s="359">
        <f>IF(Scharniere[[#This Row],[Bohrbild]]=select!$A$989,1,0)</f>
        <v>0</v>
      </c>
      <c r="Z556" s="359">
        <f>IF(IF(Scharniere[[#This Row],[Anschrauben]]=1,1,IF(Scharniere[[#This Row],[Einpressen]]=1,2,IF(Scharniere[[#This Row],[Quick]]=1,3,IF(Scharniere[[#This Row],[Werkzeuglos]]=1,4,0))))=select!$A$1003,1,0)</f>
        <v>0</v>
      </c>
      <c r="AA5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6" s="359">
        <f ca="1">IF(select!$K$980="*",Scharniere[[#This Row],[AG Ges2]],Scharniere[[#This Row],[AG Ges1]])</f>
        <v>0</v>
      </c>
      <c r="AE556" s="451">
        <f ca="1">IF(AND(Scharniere[[#This Row],[Scharnierart]]=select!$A$1485,Scharniere[[#This Row],[Gruppenschlüssel]]=select!$B$1485)=TRUE,1,0)</f>
        <v>0</v>
      </c>
      <c r="AF556" s="451">
        <f ca="1">IF(AND(Scharniere[[#This Row],[Scharnierart]]=select!$A$1486,Scharniere[[#This Row],[Gruppenschlüssel]]=select!$B$1486)=TRUE,1,0)</f>
        <v>0</v>
      </c>
      <c r="AG556" s="451">
        <f ca="1">IF(AND(Scharniere[[#This Row],[Scharnierart]]=select!$A$1487,Scharniere[[#This Row],[Gruppenschlüssel]]=select!$B$1487)=TRUE,1,0)</f>
        <v>0</v>
      </c>
      <c r="AH556" s="451">
        <f ca="1">IF(AND(Scharniere[[#This Row],[Scharnierart]]=select!$A$1488,Scharniere[[#This Row],[Gruppenschlüssel]]=select!$B$1488)=TRUE,1,0)</f>
        <v>0</v>
      </c>
      <c r="AI556" s="451">
        <f ca="1">IF(SUM(Scharniere[[#This Row],[konf Scharnier 1]:[konf Scharnier 4]])&gt;0,1,0)</f>
        <v>0</v>
      </c>
      <c r="AJ556" s="451"/>
      <c r="AK556" s="451"/>
      <c r="AL556" s="451"/>
      <c r="AM556" s="451"/>
      <c r="AN556" s="451"/>
      <c r="AO556" s="146">
        <v>1</v>
      </c>
      <c r="AP556" s="146">
        <v>4</v>
      </c>
      <c r="AQ556" s="10" t="str">
        <f ca="1">Sprache!$A$114</f>
        <v>Tiomos Scharnier TT Click-on</v>
      </c>
      <c r="AR556" t="str">
        <f ca="1">"95°, H-BB, K19, "&amp;Sprache!A181&amp;", ni"</f>
        <v>95°, H-BB, K19, Dübel, ni</v>
      </c>
      <c r="AS556" t="str">
        <f ca="1">Sprache!$A$103</f>
        <v>Tiomos Click-On Scharniere</v>
      </c>
      <c r="AT556">
        <v>19</v>
      </c>
      <c r="AU556" t="s">
        <v>10</v>
      </c>
      <c r="AV556">
        <v>95</v>
      </c>
      <c r="AW556" s="10">
        <v>0</v>
      </c>
      <c r="AX556">
        <v>0</v>
      </c>
      <c r="AY556">
        <v>1</v>
      </c>
      <c r="AZ556" s="10">
        <v>0</v>
      </c>
      <c r="BA556">
        <v>1</v>
      </c>
      <c r="BB556">
        <v>0</v>
      </c>
      <c r="BC556">
        <v>0</v>
      </c>
      <c r="BD556" s="143" t="s">
        <v>693</v>
      </c>
      <c r="BG556"/>
    </row>
    <row r="557" spans="1:59" ht="14.25" customHeight="1" x14ac:dyDescent="0.25">
      <c r="A557" s="37" t="str">
        <f>LEFT(Scharniere[[#This Row],[ArtikelNR]],4)</f>
        <v>F045</v>
      </c>
      <c r="B557" s="35" t="str">
        <f>MID(Scharniere[[#This Row],[ArtikelNR]],5,3)</f>
        <v>138</v>
      </c>
      <c r="C557" s="37" t="str">
        <f>RIGHT(Scharniere[[#This Row],[ArtikelNR]],3)</f>
        <v>690</v>
      </c>
      <c r="D557" s="35">
        <f>IF(AND(Scharniere[[#This Row],[Gruppenschlüssel]]=select!$A$44,Scharniere[[#This Row],[Scharnierart]]=1)=TRUE,1,0)</f>
        <v>0</v>
      </c>
      <c r="E5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7" s="35">
        <f>IF(select!$F$57=IF(Scharniere[[#This Row],[mit Dämpfung]]=1,1,IF(Scharniere[[#This Row],[ohne Dämpfung]]=1,2,IF(Scharniere[[#This Row],[ohne Feder]]=1,3,0))),1,0)</f>
        <v>0</v>
      </c>
      <c r="G557" s="35">
        <f>IF(Scharniere[[#This Row],[Bohrbild]]=select!$V$43,1,0)</f>
        <v>0</v>
      </c>
      <c r="H557" s="35">
        <f>IF(IF(Scharniere[[#This Row],[Anschrauben]]=1,1,IF(Scharniere[[#This Row],[Einpressen]]=1,2,IF(Scharniere[[#This Row],[Quick]]=1,3,IF(Scharniere[[#This Row],[Werkzeuglos]]=1,4,0))))=select!$F$48,1,0)</f>
        <v>0</v>
      </c>
      <c r="I5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7" s="149">
        <f>IF(AND(Scharniere[[#This Row],[Scharnierart]]=2,Scharniere[[#This Row],[Gruppenschlüssel]]=select!$A$318)=TRUE,1,0)</f>
        <v>0</v>
      </c>
      <c r="K557" s="221">
        <f ca="1">IF(select!$O$424&lt;6,1,0)</f>
        <v>1</v>
      </c>
      <c r="L557" s="139">
        <f>IF(select!$A$362=IF(Scharniere[[#This Row],[mit Dämpfung]]=1,1,IF(Scharniere[[#This Row],[ohne Dämpfung]]=1,2,IF(Scharniere[[#This Row],[ohne Feder]]=1,3,0))),1,0)</f>
        <v>0</v>
      </c>
      <c r="M557" s="135">
        <f>IF(Scharniere[[#This Row],[Bohrbild]]=select!$O$334,1,0)</f>
        <v>0</v>
      </c>
      <c r="N557" s="135">
        <f>IF(IF(Scharniere[[#This Row],[Anschrauben]]=1,1,IF(Scharniere[[#This Row],[Einpressen]]=1,2,IF(Scharniere[[#This Row],[Quick]]=1,3,IF(Scharniere[[#This Row],[Werkzeuglos]]=1,4,0))))=select!$E$362,1,0)</f>
        <v>1</v>
      </c>
      <c r="O5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7" s="298">
        <f>IF(AND(Scharniere[[#This Row],[Scharnierart]]=3,Scharniere[[#This Row],[Gruppenschlüssel]]=select!$A$747)=TRUE,1,0)</f>
        <v>0</v>
      </c>
      <c r="Q557" s="298">
        <f ca="1">IF(select!$O$945&lt;6,1,0)</f>
        <v>1</v>
      </c>
      <c r="R557" s="298">
        <f>IF(select!$A$778=IF(Scharniere[[#This Row],[mit Dämpfung]]=1,1,IF(Scharniere[[#This Row],[ohne Dämpfung]]=1,2,IF(Scharniere[[#This Row],[ohne Feder]]=1,3,0))),1,0)</f>
        <v>1</v>
      </c>
      <c r="S557" s="298">
        <f>IF(Scharniere[[#This Row],[Bohrbild]]=select!$A$755,1,0)</f>
        <v>0</v>
      </c>
      <c r="T557" s="298">
        <f>IF(IF(Scharniere[[#This Row],[Anschrauben]]=1,1,IF(Scharniere[[#This Row],[Einpressen]]=1,2,IF(Scharniere[[#This Row],[Quick]]=1,3,IF(Scharniere[[#This Row],[Werkzeuglos]]=1,4,0))))=select!$A$769,1,0)</f>
        <v>1</v>
      </c>
      <c r="U5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7" s="359">
        <f>IF(AND(Scharniere[[#This Row],[Scharnierart]]=4,Scharniere[[#This Row],[Gruppenschlüssel]]=select!$A$981)=TRUE,1,0)</f>
        <v>0</v>
      </c>
      <c r="W557" s="359">
        <f ca="1">IF(select!$O$1185&lt;6,1,0)</f>
        <v>1</v>
      </c>
      <c r="X557" s="359">
        <f>IF(select!$A$1012=IF(Scharniere[[#This Row],[mit Dämpfung]]=1,1,IF(Scharniere[[#This Row],[ohne Dämpfung]]=1,2,IF(Scharniere[[#This Row],[ohne Feder]]=1,3,0))),1,0)</f>
        <v>1</v>
      </c>
      <c r="Y557" s="359">
        <f>IF(Scharniere[[#This Row],[Bohrbild]]=select!$A$989,1,0)</f>
        <v>0</v>
      </c>
      <c r="Z557" s="359">
        <f>IF(IF(Scharniere[[#This Row],[Anschrauben]]=1,1,IF(Scharniere[[#This Row],[Einpressen]]=1,2,IF(Scharniere[[#This Row],[Quick]]=1,3,IF(Scharniere[[#This Row],[Werkzeuglos]]=1,4,0))))=select!$A$1003,1,0)</f>
        <v>1</v>
      </c>
      <c r="AA5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7" s="359">
        <f ca="1">IF(select!$K$980="*",Scharniere[[#This Row],[AG Ges2]],Scharniere[[#This Row],[AG Ges1]])</f>
        <v>0</v>
      </c>
      <c r="AE557" s="451">
        <f ca="1">IF(AND(Scharniere[[#This Row],[Scharnierart]]=select!$A$1485,Scharniere[[#This Row],[Gruppenschlüssel]]=select!$B$1485)=TRUE,1,0)</f>
        <v>0</v>
      </c>
      <c r="AF557" s="451">
        <f ca="1">IF(AND(Scharniere[[#This Row],[Scharnierart]]=select!$A$1486,Scharniere[[#This Row],[Gruppenschlüssel]]=select!$B$1486)=TRUE,1,0)</f>
        <v>0</v>
      </c>
      <c r="AG557" s="451">
        <f ca="1">IF(AND(Scharniere[[#This Row],[Scharnierart]]=select!$A$1487,Scharniere[[#This Row],[Gruppenschlüssel]]=select!$B$1487)=TRUE,1,0)</f>
        <v>0</v>
      </c>
      <c r="AH557" s="451">
        <f ca="1">IF(AND(Scharniere[[#This Row],[Scharnierart]]=select!$A$1488,Scharniere[[#This Row],[Gruppenschlüssel]]=select!$B$1488)=TRUE,1,0)</f>
        <v>0</v>
      </c>
      <c r="AI557" s="451">
        <f ca="1">IF(SUM(Scharniere[[#This Row],[konf Scharnier 1]:[konf Scharnier 4]])&gt;0,1,0)</f>
        <v>0</v>
      </c>
      <c r="AJ557" s="451"/>
      <c r="AK557" s="451"/>
      <c r="AL557" s="451"/>
      <c r="AM557" s="451"/>
      <c r="AN557" s="451"/>
      <c r="AO557" s="146">
        <v>1</v>
      </c>
      <c r="AP557" s="146">
        <v>4</v>
      </c>
      <c r="AQ557" s="10" t="str">
        <f ca="1">Sprache!$A$110</f>
        <v>Tiomos Scharnier T Click-on</v>
      </c>
      <c r="AR557" t="s">
        <v>374</v>
      </c>
      <c r="AS557" t="str">
        <f ca="1">Sprache!$A$103</f>
        <v>Tiomos Click-On Scharniere</v>
      </c>
      <c r="AT557">
        <v>19</v>
      </c>
      <c r="AU557" t="s">
        <v>10</v>
      </c>
      <c r="AV557">
        <v>95</v>
      </c>
      <c r="AW557" s="10">
        <v>0</v>
      </c>
      <c r="AX557">
        <v>1</v>
      </c>
      <c r="AY557">
        <v>0</v>
      </c>
      <c r="AZ557" s="10">
        <v>1</v>
      </c>
      <c r="BA557">
        <v>0</v>
      </c>
      <c r="BB557">
        <v>0</v>
      </c>
      <c r="BC557">
        <v>0</v>
      </c>
      <c r="BD557" s="143" t="s">
        <v>537</v>
      </c>
      <c r="BG557"/>
    </row>
    <row r="558" spans="1:59" ht="14.25" customHeight="1" x14ac:dyDescent="0.25">
      <c r="A558" s="37" t="str">
        <f>LEFT(Scharniere[[#This Row],[ArtikelNR]],4)</f>
        <v>F028</v>
      </c>
      <c r="B558" s="35" t="str">
        <f>MID(Scharniere[[#This Row],[ArtikelNR]],5,3)</f>
        <v>138</v>
      </c>
      <c r="C558" s="37" t="str">
        <f>RIGHT(Scharniere[[#This Row],[ArtikelNR]],3)</f>
        <v>752</v>
      </c>
      <c r="D558" s="35">
        <f>IF(AND(Scharniere[[#This Row],[Gruppenschlüssel]]=select!$A$44,Scharniere[[#This Row],[Scharnierart]]=1)=TRUE,1,0)</f>
        <v>0</v>
      </c>
      <c r="E5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8" s="35">
        <f>IF(select!$F$57=IF(Scharniere[[#This Row],[mit Dämpfung]]=1,1,IF(Scharniere[[#This Row],[ohne Dämpfung]]=1,2,IF(Scharniere[[#This Row],[ohne Feder]]=1,3,0))),1,0)</f>
        <v>0</v>
      </c>
      <c r="G558" s="35">
        <f>IF(Scharniere[[#This Row],[Bohrbild]]=select!$V$43,1,0)</f>
        <v>0</v>
      </c>
      <c r="H558" s="35">
        <f>IF(IF(Scharniere[[#This Row],[Anschrauben]]=1,1,IF(Scharniere[[#This Row],[Einpressen]]=1,2,IF(Scharniere[[#This Row],[Quick]]=1,3,IF(Scharniere[[#This Row],[Werkzeuglos]]=1,4,0))))=select!$F$48,1,0)</f>
        <v>0</v>
      </c>
      <c r="I5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8" s="149">
        <f>IF(AND(Scharniere[[#This Row],[Scharnierart]]=2,Scharniere[[#This Row],[Gruppenschlüssel]]=select!$A$318)=TRUE,1,0)</f>
        <v>0</v>
      </c>
      <c r="K558" s="221">
        <f ca="1">IF(select!$O$424&lt;6,1,0)</f>
        <v>1</v>
      </c>
      <c r="L558" s="139">
        <f>IF(select!$A$362=IF(Scharniere[[#This Row],[mit Dämpfung]]=1,1,IF(Scharniere[[#This Row],[ohne Dämpfung]]=1,2,IF(Scharniere[[#This Row],[ohne Feder]]=1,3,0))),1,0)</f>
        <v>1</v>
      </c>
      <c r="M558" s="135">
        <f>IF(Scharniere[[#This Row],[Bohrbild]]=select!$O$334,1,0)</f>
        <v>0</v>
      </c>
      <c r="N558" s="135">
        <f>IF(IF(Scharniere[[#This Row],[Anschrauben]]=1,1,IF(Scharniere[[#This Row],[Einpressen]]=1,2,IF(Scharniere[[#This Row],[Quick]]=1,3,IF(Scharniere[[#This Row],[Werkzeuglos]]=1,4,0))))=select!$E$362,1,0)</f>
        <v>1</v>
      </c>
      <c r="O5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8" s="298">
        <f>IF(AND(Scharniere[[#This Row],[Scharnierart]]=3,Scharniere[[#This Row],[Gruppenschlüssel]]=select!$A$747)=TRUE,1,0)</f>
        <v>0</v>
      </c>
      <c r="Q558" s="298">
        <f ca="1">IF(select!$O$945&lt;6,1,0)</f>
        <v>1</v>
      </c>
      <c r="R558" s="298">
        <f>IF(select!$A$778=IF(Scharniere[[#This Row],[mit Dämpfung]]=1,1,IF(Scharniere[[#This Row],[ohne Dämpfung]]=1,2,IF(Scharniere[[#This Row],[ohne Feder]]=1,3,0))),1,0)</f>
        <v>0</v>
      </c>
      <c r="S558" s="298">
        <f>IF(Scharniere[[#This Row],[Bohrbild]]=select!$A$755,1,0)</f>
        <v>0</v>
      </c>
      <c r="T558" s="298">
        <f>IF(IF(Scharniere[[#This Row],[Anschrauben]]=1,1,IF(Scharniere[[#This Row],[Einpressen]]=1,2,IF(Scharniere[[#This Row],[Quick]]=1,3,IF(Scharniere[[#This Row],[Werkzeuglos]]=1,4,0))))=select!$A$769,1,0)</f>
        <v>1</v>
      </c>
      <c r="U5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8" s="359">
        <f>IF(AND(Scharniere[[#This Row],[Scharnierart]]=4,Scharniere[[#This Row],[Gruppenschlüssel]]=select!$A$981)=TRUE,1,0)</f>
        <v>0</v>
      </c>
      <c r="W558" s="359">
        <f ca="1">IF(select!$O$1185&lt;6,1,0)</f>
        <v>1</v>
      </c>
      <c r="X558" s="359">
        <f>IF(select!$A$1012=IF(Scharniere[[#This Row],[mit Dämpfung]]=1,1,IF(Scharniere[[#This Row],[ohne Dämpfung]]=1,2,IF(Scharniere[[#This Row],[ohne Feder]]=1,3,0))),1,0)</f>
        <v>0</v>
      </c>
      <c r="Y558" s="359">
        <f>IF(Scharniere[[#This Row],[Bohrbild]]=select!$A$989,1,0)</f>
        <v>0</v>
      </c>
      <c r="Z558" s="359">
        <f>IF(IF(Scharniere[[#This Row],[Anschrauben]]=1,1,IF(Scharniere[[#This Row],[Einpressen]]=1,2,IF(Scharniere[[#This Row],[Quick]]=1,3,IF(Scharniere[[#This Row],[Werkzeuglos]]=1,4,0))))=select!$A$1003,1,0)</f>
        <v>1</v>
      </c>
      <c r="AA5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8" s="359">
        <f ca="1">IF(select!$K$980="*",Scharniere[[#This Row],[AG Ges2]],Scharniere[[#This Row],[AG Ges1]])</f>
        <v>0</v>
      </c>
      <c r="AE558" s="451">
        <f ca="1">IF(AND(Scharniere[[#This Row],[Scharnierart]]=select!$A$1485,Scharniere[[#This Row],[Gruppenschlüssel]]=select!$B$1485)=TRUE,1,0)</f>
        <v>0</v>
      </c>
      <c r="AF558" s="451">
        <f ca="1">IF(AND(Scharniere[[#This Row],[Scharnierart]]=select!$A$1486,Scharniere[[#This Row],[Gruppenschlüssel]]=select!$B$1486)=TRUE,1,0)</f>
        <v>0</v>
      </c>
      <c r="AG558" s="451">
        <f ca="1">IF(AND(Scharniere[[#This Row],[Scharnierart]]=select!$A$1487,Scharniere[[#This Row],[Gruppenschlüssel]]=select!$B$1487)=TRUE,1,0)</f>
        <v>0</v>
      </c>
      <c r="AH558" s="451">
        <f ca="1">IF(AND(Scharniere[[#This Row],[Scharnierart]]=select!$A$1488,Scharniere[[#This Row],[Gruppenschlüssel]]=select!$B$1488)=TRUE,1,0)</f>
        <v>0</v>
      </c>
      <c r="AI558" s="451">
        <f ca="1">IF(SUM(Scharniere[[#This Row],[konf Scharnier 1]:[konf Scharnier 4]])&gt;0,1,0)</f>
        <v>0</v>
      </c>
      <c r="AJ558" s="451"/>
      <c r="AK558" s="451"/>
      <c r="AL558" s="451"/>
      <c r="AM558" s="451"/>
      <c r="AN558" s="451"/>
      <c r="AO558" s="146">
        <v>1</v>
      </c>
      <c r="AP558" s="146">
        <v>4</v>
      </c>
      <c r="AQ558" s="10" t="str">
        <f ca="1">Sprache!$A$112</f>
        <v>Tiomos Scharnier TS Click-on</v>
      </c>
      <c r="AR558" t="s">
        <v>374</v>
      </c>
      <c r="AS558" t="str">
        <f ca="1">Sprache!$A$103</f>
        <v>Tiomos Click-On Scharniere</v>
      </c>
      <c r="AT558">
        <v>19</v>
      </c>
      <c r="AU558" s="34" t="s">
        <v>10</v>
      </c>
      <c r="AV558">
        <v>95</v>
      </c>
      <c r="AW558" s="10">
        <v>1</v>
      </c>
      <c r="AX558">
        <v>0</v>
      </c>
      <c r="AY558">
        <v>0</v>
      </c>
      <c r="AZ558" s="10">
        <v>1</v>
      </c>
      <c r="BA558">
        <v>0</v>
      </c>
      <c r="BB558">
        <v>0</v>
      </c>
      <c r="BC558">
        <v>0</v>
      </c>
      <c r="BD558" s="143" t="s">
        <v>373</v>
      </c>
      <c r="BG558"/>
    </row>
    <row r="559" spans="1:59" ht="14.25" customHeight="1" x14ac:dyDescent="0.25">
      <c r="A559" s="37" t="str">
        <f>LEFT(Scharniere[[#This Row],[ArtikelNR]],4)</f>
        <v>F046</v>
      </c>
      <c r="B559" s="35" t="str">
        <f>MID(Scharniere[[#This Row],[ArtikelNR]],5,3)</f>
        <v>138</v>
      </c>
      <c r="C559" s="37" t="str">
        <f>RIGHT(Scharniere[[#This Row],[ArtikelNR]],3)</f>
        <v>812</v>
      </c>
      <c r="D559" s="35">
        <f>IF(AND(Scharniere[[#This Row],[Gruppenschlüssel]]=select!$A$44,Scharniere[[#This Row],[Scharnierart]]=1)=TRUE,1,0)</f>
        <v>0</v>
      </c>
      <c r="E5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59" s="35">
        <f>IF(select!$F$57=IF(Scharniere[[#This Row],[mit Dämpfung]]=1,1,IF(Scharniere[[#This Row],[ohne Dämpfung]]=1,2,IF(Scharniere[[#This Row],[ohne Feder]]=1,3,0))),1,0)</f>
        <v>1</v>
      </c>
      <c r="G559" s="35">
        <f>IF(Scharniere[[#This Row],[Bohrbild]]=select!$V$43,1,0)</f>
        <v>0</v>
      </c>
      <c r="H559" s="35">
        <f>IF(IF(Scharniere[[#This Row],[Anschrauben]]=1,1,IF(Scharniere[[#This Row],[Einpressen]]=1,2,IF(Scharniere[[#This Row],[Quick]]=1,3,IF(Scharniere[[#This Row],[Werkzeuglos]]=1,4,0))))=select!$F$48,1,0)</f>
        <v>0</v>
      </c>
      <c r="I5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59" s="149">
        <f>IF(AND(Scharniere[[#This Row],[Scharnierart]]=2,Scharniere[[#This Row],[Gruppenschlüssel]]=select!$A$318)=TRUE,1,0)</f>
        <v>0</v>
      </c>
      <c r="K559" s="221">
        <f ca="1">IF(select!$O$424&lt;6,1,0)</f>
        <v>1</v>
      </c>
      <c r="L559" s="139">
        <f>IF(select!$A$362=IF(Scharniere[[#This Row],[mit Dämpfung]]=1,1,IF(Scharniere[[#This Row],[ohne Dämpfung]]=1,2,IF(Scharniere[[#This Row],[ohne Feder]]=1,3,0))),1,0)</f>
        <v>0</v>
      </c>
      <c r="M559" s="135">
        <f>IF(Scharniere[[#This Row],[Bohrbild]]=select!$O$334,1,0)</f>
        <v>0</v>
      </c>
      <c r="N559" s="135">
        <f>IF(IF(Scharniere[[#This Row],[Anschrauben]]=1,1,IF(Scharniere[[#This Row],[Einpressen]]=1,2,IF(Scharniere[[#This Row],[Quick]]=1,3,IF(Scharniere[[#This Row],[Werkzeuglos]]=1,4,0))))=select!$E$362,1,0)</f>
        <v>1</v>
      </c>
      <c r="O5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59" s="298">
        <f>IF(AND(Scharniere[[#This Row],[Scharnierart]]=3,Scharniere[[#This Row],[Gruppenschlüssel]]=select!$A$747)=TRUE,1,0)</f>
        <v>0</v>
      </c>
      <c r="Q559" s="298">
        <f ca="1">IF(select!$O$945&lt;6,1,0)</f>
        <v>1</v>
      </c>
      <c r="R559" s="298">
        <f>IF(select!$A$778=IF(Scharniere[[#This Row],[mit Dämpfung]]=1,1,IF(Scharniere[[#This Row],[ohne Dämpfung]]=1,2,IF(Scharniere[[#This Row],[ohne Feder]]=1,3,0))),1,0)</f>
        <v>0</v>
      </c>
      <c r="S559" s="298">
        <f>IF(Scharniere[[#This Row],[Bohrbild]]=select!$A$755,1,0)</f>
        <v>0</v>
      </c>
      <c r="T559" s="298">
        <f>IF(IF(Scharniere[[#This Row],[Anschrauben]]=1,1,IF(Scharniere[[#This Row],[Einpressen]]=1,2,IF(Scharniere[[#This Row],[Quick]]=1,3,IF(Scharniere[[#This Row],[Werkzeuglos]]=1,4,0))))=select!$A$769,1,0)</f>
        <v>1</v>
      </c>
      <c r="U5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59" s="359">
        <f>IF(AND(Scharniere[[#This Row],[Scharnierart]]=4,Scharniere[[#This Row],[Gruppenschlüssel]]=select!$A$981)=TRUE,1,0)</f>
        <v>0</v>
      </c>
      <c r="W559" s="359">
        <f ca="1">IF(select!$O$1185&lt;6,1,0)</f>
        <v>1</v>
      </c>
      <c r="X559" s="359">
        <f>IF(select!$A$1012=IF(Scharniere[[#This Row],[mit Dämpfung]]=1,1,IF(Scharniere[[#This Row],[ohne Dämpfung]]=1,2,IF(Scharniere[[#This Row],[ohne Feder]]=1,3,0))),1,0)</f>
        <v>0</v>
      </c>
      <c r="Y559" s="359">
        <f>IF(Scharniere[[#This Row],[Bohrbild]]=select!$A$989,1,0)</f>
        <v>0</v>
      </c>
      <c r="Z559" s="359">
        <f>IF(IF(Scharniere[[#This Row],[Anschrauben]]=1,1,IF(Scharniere[[#This Row],[Einpressen]]=1,2,IF(Scharniere[[#This Row],[Quick]]=1,3,IF(Scharniere[[#This Row],[Werkzeuglos]]=1,4,0))))=select!$A$1003,1,0)</f>
        <v>1</v>
      </c>
      <c r="AA5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59" s="359">
        <f ca="1">IF(select!$K$980="*",Scharniere[[#This Row],[AG Ges2]],Scharniere[[#This Row],[AG Ges1]])</f>
        <v>0</v>
      </c>
      <c r="AE559" s="451">
        <f ca="1">IF(AND(Scharniere[[#This Row],[Scharnierart]]=select!$A$1485,Scharniere[[#This Row],[Gruppenschlüssel]]=select!$B$1485)=TRUE,1,0)</f>
        <v>0</v>
      </c>
      <c r="AF559" s="451">
        <f ca="1">IF(AND(Scharniere[[#This Row],[Scharnierart]]=select!$A$1486,Scharniere[[#This Row],[Gruppenschlüssel]]=select!$B$1486)=TRUE,1,0)</f>
        <v>0</v>
      </c>
      <c r="AG559" s="451">
        <f ca="1">IF(AND(Scharniere[[#This Row],[Scharnierart]]=select!$A$1487,Scharniere[[#This Row],[Gruppenschlüssel]]=select!$B$1487)=TRUE,1,0)</f>
        <v>0</v>
      </c>
      <c r="AH559" s="451">
        <f ca="1">IF(AND(Scharniere[[#This Row],[Scharnierart]]=select!$A$1488,Scharniere[[#This Row],[Gruppenschlüssel]]=select!$B$1488)=TRUE,1,0)</f>
        <v>0</v>
      </c>
      <c r="AI559" s="451">
        <f ca="1">IF(SUM(Scharniere[[#This Row],[konf Scharnier 1]:[konf Scharnier 4]])&gt;0,1,0)</f>
        <v>0</v>
      </c>
      <c r="AJ559" s="451"/>
      <c r="AK559" s="451"/>
      <c r="AL559" s="451"/>
      <c r="AM559" s="451"/>
      <c r="AN559" s="451"/>
      <c r="AO559" s="146">
        <v>1</v>
      </c>
      <c r="AP559" s="146">
        <v>4</v>
      </c>
      <c r="AQ559" s="10" t="str">
        <f ca="1">Sprache!$A$114</f>
        <v>Tiomos Scharnier TT Click-on</v>
      </c>
      <c r="AR559" t="s">
        <v>374</v>
      </c>
      <c r="AS559" t="str">
        <f ca="1">Sprache!$A$103</f>
        <v>Tiomos Click-On Scharniere</v>
      </c>
      <c r="AT559">
        <v>19</v>
      </c>
      <c r="AU559" s="34" t="s">
        <v>10</v>
      </c>
      <c r="AV559">
        <v>95</v>
      </c>
      <c r="AW559" s="10">
        <v>0</v>
      </c>
      <c r="AX559">
        <v>0</v>
      </c>
      <c r="AY559">
        <v>1</v>
      </c>
      <c r="AZ559" s="10">
        <v>1</v>
      </c>
      <c r="BA559">
        <v>0</v>
      </c>
      <c r="BB559">
        <v>0</v>
      </c>
      <c r="BC559">
        <v>0</v>
      </c>
      <c r="BD559" s="143" t="s">
        <v>689</v>
      </c>
      <c r="BG559"/>
    </row>
    <row r="560" spans="1:59" ht="14.25" customHeight="1" x14ac:dyDescent="0.25">
      <c r="A560" s="37" t="str">
        <f>LEFT(Scharniere[[#This Row],[ArtikelNR]],4)</f>
        <v>F034</v>
      </c>
      <c r="B560" s="35" t="str">
        <f>MID(Scharniere[[#This Row],[ArtikelNR]],5,3)</f>
        <v>139</v>
      </c>
      <c r="C560" s="37" t="str">
        <f>RIGHT(Scharniere[[#This Row],[ArtikelNR]],3)</f>
        <v>497</v>
      </c>
      <c r="D560" s="35">
        <f>IF(AND(Scharniere[[#This Row],[Gruppenschlüssel]]=select!$A$44,Scharniere[[#This Row],[Scharnierart]]=1)=TRUE,1,0)</f>
        <v>0</v>
      </c>
      <c r="E5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0" s="35">
        <f>IF(select!$F$57=IF(Scharniere[[#This Row],[mit Dämpfung]]=1,1,IF(Scharniere[[#This Row],[ohne Dämpfung]]=1,2,IF(Scharniere[[#This Row],[ohne Feder]]=1,3,0))),1,0)</f>
        <v>0</v>
      </c>
      <c r="G560" s="35">
        <f>IF(Scharniere[[#This Row],[Bohrbild]]=select!$V$43,1,0)</f>
        <v>0</v>
      </c>
      <c r="H560" s="35">
        <f>IF(IF(Scharniere[[#This Row],[Anschrauben]]=1,1,IF(Scharniere[[#This Row],[Einpressen]]=1,2,IF(Scharniere[[#This Row],[Quick]]=1,3,IF(Scharniere[[#This Row],[Werkzeuglos]]=1,4,0))))=select!$F$48,1,0)</f>
        <v>0</v>
      </c>
      <c r="I5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0" s="149">
        <f>IF(AND(Scharniere[[#This Row],[Scharnierart]]=2,Scharniere[[#This Row],[Gruppenschlüssel]]=select!$A$318)=TRUE,1,0)</f>
        <v>0</v>
      </c>
      <c r="K560" s="221">
        <f ca="1">IF(select!$O$424&lt;6,1,0)</f>
        <v>1</v>
      </c>
      <c r="L560" s="139">
        <f>IF(select!$A$362=IF(Scharniere[[#This Row],[mit Dämpfung]]=1,1,IF(Scharniere[[#This Row],[ohne Dämpfung]]=1,2,IF(Scharniere[[#This Row],[ohne Feder]]=1,3,0))),1,0)</f>
        <v>0</v>
      </c>
      <c r="M560" s="135">
        <f>IF(Scharniere[[#This Row],[Bohrbild]]=select!$O$334,1,0)</f>
        <v>0</v>
      </c>
      <c r="N560" s="135">
        <f>IF(IF(Scharniere[[#This Row],[Anschrauben]]=1,1,IF(Scharniere[[#This Row],[Einpressen]]=1,2,IF(Scharniere[[#This Row],[Quick]]=1,3,IF(Scharniere[[#This Row],[Werkzeuglos]]=1,4,0))))=select!$E$362,1,0)</f>
        <v>0</v>
      </c>
      <c r="O5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0" s="298">
        <f>IF(AND(Scharniere[[#This Row],[Scharnierart]]=3,Scharniere[[#This Row],[Gruppenschlüssel]]=select!$A$747)=TRUE,1,0)</f>
        <v>0</v>
      </c>
      <c r="Q560" s="298">
        <f ca="1">IF(select!$O$945&lt;6,1,0)</f>
        <v>1</v>
      </c>
      <c r="R560" s="298">
        <f>IF(select!$A$778=IF(Scharniere[[#This Row],[mit Dämpfung]]=1,1,IF(Scharniere[[#This Row],[ohne Dämpfung]]=1,2,IF(Scharniere[[#This Row],[ohne Feder]]=1,3,0))),1,0)</f>
        <v>1</v>
      </c>
      <c r="S560" s="298">
        <f>IF(Scharniere[[#This Row],[Bohrbild]]=select!$A$755,1,0)</f>
        <v>0</v>
      </c>
      <c r="T560" s="298">
        <f>IF(IF(Scharniere[[#This Row],[Anschrauben]]=1,1,IF(Scharniere[[#This Row],[Einpressen]]=1,2,IF(Scharniere[[#This Row],[Quick]]=1,3,IF(Scharniere[[#This Row],[Werkzeuglos]]=1,4,0))))=select!$A$769,1,0)</f>
        <v>0</v>
      </c>
      <c r="U5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0" s="359">
        <f>IF(AND(Scharniere[[#This Row],[Scharnierart]]=4,Scharniere[[#This Row],[Gruppenschlüssel]]=select!$A$981)=TRUE,1,0)</f>
        <v>0</v>
      </c>
      <c r="W560" s="359">
        <f ca="1">IF(select!$O$1185&lt;6,1,0)</f>
        <v>1</v>
      </c>
      <c r="X560" s="359">
        <f>IF(select!$A$1012=IF(Scharniere[[#This Row],[mit Dämpfung]]=1,1,IF(Scharniere[[#This Row],[ohne Dämpfung]]=1,2,IF(Scharniere[[#This Row],[ohne Feder]]=1,3,0))),1,0)</f>
        <v>1</v>
      </c>
      <c r="Y560" s="359">
        <f>IF(Scharniere[[#This Row],[Bohrbild]]=select!$A$989,1,0)</f>
        <v>0</v>
      </c>
      <c r="Z560" s="359">
        <f>IF(IF(Scharniere[[#This Row],[Anschrauben]]=1,1,IF(Scharniere[[#This Row],[Einpressen]]=1,2,IF(Scharniere[[#This Row],[Quick]]=1,3,IF(Scharniere[[#This Row],[Werkzeuglos]]=1,4,0))))=select!$A$1003,1,0)</f>
        <v>0</v>
      </c>
      <c r="AA5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0" s="359">
        <f ca="1">IF(select!$K$980="*",Scharniere[[#This Row],[AG Ges2]],Scharniere[[#This Row],[AG Ges1]])</f>
        <v>0</v>
      </c>
      <c r="AE560" s="451">
        <f ca="1">IF(AND(Scharniere[[#This Row],[Scharnierart]]=select!$A$1485,Scharniere[[#This Row],[Gruppenschlüssel]]=select!$B$1485)=TRUE,1,0)</f>
        <v>0</v>
      </c>
      <c r="AF560" s="451">
        <f ca="1">IF(AND(Scharniere[[#This Row],[Scharnierart]]=select!$A$1486,Scharniere[[#This Row],[Gruppenschlüssel]]=select!$B$1486)=TRUE,1,0)</f>
        <v>0</v>
      </c>
      <c r="AG560" s="451">
        <f ca="1">IF(AND(Scharniere[[#This Row],[Scharnierart]]=select!$A$1487,Scharniere[[#This Row],[Gruppenschlüssel]]=select!$B$1487)=TRUE,1,0)</f>
        <v>0</v>
      </c>
      <c r="AH560" s="451">
        <f ca="1">IF(AND(Scharniere[[#This Row],[Scharnierart]]=select!$A$1488,Scharniere[[#This Row],[Gruppenschlüssel]]=select!$B$1488)=TRUE,1,0)</f>
        <v>0</v>
      </c>
      <c r="AI560" s="451">
        <f ca="1">IF(SUM(Scharniere[[#This Row],[konf Scharnier 1]:[konf Scharnier 4]])&gt;0,1,0)</f>
        <v>0</v>
      </c>
      <c r="AJ560" s="451"/>
      <c r="AK560" s="451"/>
      <c r="AL560" s="451"/>
      <c r="AM560" s="451"/>
      <c r="AN560" s="451"/>
      <c r="AO560" s="146">
        <v>1</v>
      </c>
      <c r="AP560" s="146">
        <v>4</v>
      </c>
      <c r="AQ560" s="10" t="str">
        <f ca="1">Sprache!$A$111</f>
        <v>Tiomos Scharnier T Impresso</v>
      </c>
      <c r="AR560" t="s">
        <v>132</v>
      </c>
      <c r="AS560" t="str">
        <f ca="1">Sprache!$A$116</f>
        <v>Tiomos Impresso Scharniere</v>
      </c>
      <c r="AT560">
        <v>19</v>
      </c>
      <c r="AU560" t="s">
        <v>10</v>
      </c>
      <c r="AV560">
        <v>95</v>
      </c>
      <c r="AW560" s="10">
        <v>0</v>
      </c>
      <c r="AX560">
        <v>1</v>
      </c>
      <c r="AY560">
        <v>0</v>
      </c>
      <c r="AZ560" s="10">
        <v>0</v>
      </c>
      <c r="BA560">
        <v>0</v>
      </c>
      <c r="BB560">
        <v>0</v>
      </c>
      <c r="BC560">
        <v>1</v>
      </c>
      <c r="BD560" s="143" t="s">
        <v>178</v>
      </c>
      <c r="BG560"/>
    </row>
    <row r="561" spans="1:59" ht="14.25" customHeight="1" x14ac:dyDescent="0.25">
      <c r="A561" s="37" t="str">
        <f>LEFT(Scharniere[[#This Row],[ArtikelNR]],4)</f>
        <v>F034</v>
      </c>
      <c r="B561" s="35" t="str">
        <f>MID(Scharniere[[#This Row],[ArtikelNR]],5,3)</f>
        <v>139</v>
      </c>
      <c r="C561" s="37" t="str">
        <f>RIGHT(Scharniere[[#This Row],[ArtikelNR]],3)</f>
        <v>497</v>
      </c>
      <c r="D561" s="35">
        <f>IF(AND(Scharniere[[#This Row],[Gruppenschlüssel]]=select!$A$44,Scharniere[[#This Row],[Scharnierart]]=1)=TRUE,1,0)</f>
        <v>0</v>
      </c>
      <c r="E5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1" s="35">
        <f>IF(select!$F$57=IF(Scharniere[[#This Row],[mit Dämpfung]]=1,1,IF(Scharniere[[#This Row],[ohne Dämpfung]]=1,2,IF(Scharniere[[#This Row],[ohne Feder]]=1,3,0))),1,0)</f>
        <v>0</v>
      </c>
      <c r="G561" s="35">
        <f>IF(Scharniere[[#This Row],[Bohrbild]]=select!$V$43,1,0)</f>
        <v>0</v>
      </c>
      <c r="H561" s="35">
        <f>IF(IF(Scharniere[[#This Row],[Anschrauben]]=1,1,IF(Scharniere[[#This Row],[Einpressen]]=1,2,IF(Scharniere[[#This Row],[Quick]]=1,3,IF(Scharniere[[#This Row],[Werkzeuglos]]=1,4,0))))=select!$F$48,1,0)</f>
        <v>0</v>
      </c>
      <c r="I5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1" s="149">
        <f>IF(AND(Scharniere[[#This Row],[Scharnierart]]=2,Scharniere[[#This Row],[Gruppenschlüssel]]=select!$A$318)=TRUE,1,0)</f>
        <v>0</v>
      </c>
      <c r="K561" s="221">
        <f ca="1">IF(select!$O$424&lt;6,1,0)</f>
        <v>1</v>
      </c>
      <c r="L561" s="139">
        <f>IF(select!$A$362=IF(Scharniere[[#This Row],[mit Dämpfung]]=1,1,IF(Scharniere[[#This Row],[ohne Dämpfung]]=1,2,IF(Scharniere[[#This Row],[ohne Feder]]=1,3,0))),1,0)</f>
        <v>0</v>
      </c>
      <c r="M561" s="135">
        <f>IF(Scharniere[[#This Row],[Bohrbild]]=select!$O$334,1,0)</f>
        <v>0</v>
      </c>
      <c r="N561" s="135">
        <f>IF(IF(Scharniere[[#This Row],[Anschrauben]]=1,1,IF(Scharniere[[#This Row],[Einpressen]]=1,2,IF(Scharniere[[#This Row],[Quick]]=1,3,IF(Scharniere[[#This Row],[Werkzeuglos]]=1,4,0))))=select!$E$362,1,0)</f>
        <v>0</v>
      </c>
      <c r="O5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1" s="298">
        <f>IF(AND(Scharniere[[#This Row],[Scharnierart]]=3,Scharniere[[#This Row],[Gruppenschlüssel]]=select!$A$747)=TRUE,1,0)</f>
        <v>0</v>
      </c>
      <c r="Q561" s="298">
        <f ca="1">IF(select!$O$945&lt;6,1,0)</f>
        <v>1</v>
      </c>
      <c r="R561" s="298">
        <f>IF(select!$A$778=IF(Scharniere[[#This Row],[mit Dämpfung]]=1,1,IF(Scharniere[[#This Row],[ohne Dämpfung]]=1,2,IF(Scharniere[[#This Row],[ohne Feder]]=1,3,0))),1,0)</f>
        <v>1</v>
      </c>
      <c r="S561" s="298">
        <f>IF(Scharniere[[#This Row],[Bohrbild]]=select!$A$755,1,0)</f>
        <v>0</v>
      </c>
      <c r="T561" s="298">
        <f>IF(IF(Scharniere[[#This Row],[Anschrauben]]=1,1,IF(Scharniere[[#This Row],[Einpressen]]=1,2,IF(Scharniere[[#This Row],[Quick]]=1,3,IF(Scharniere[[#This Row],[Werkzeuglos]]=1,4,0))))=select!$A$769,1,0)</f>
        <v>0</v>
      </c>
      <c r="U5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1" s="359">
        <f>IF(AND(Scharniere[[#This Row],[Scharnierart]]=4,Scharniere[[#This Row],[Gruppenschlüssel]]=select!$A$981)=TRUE,1,0)</f>
        <v>0</v>
      </c>
      <c r="W561" s="359">
        <f ca="1">IF(select!$O$1185&lt;6,1,0)</f>
        <v>1</v>
      </c>
      <c r="X561" s="359">
        <f>IF(select!$A$1012=IF(Scharniere[[#This Row],[mit Dämpfung]]=1,1,IF(Scharniere[[#This Row],[ohne Dämpfung]]=1,2,IF(Scharniere[[#This Row],[ohne Feder]]=1,3,0))),1,0)</f>
        <v>1</v>
      </c>
      <c r="Y561" s="359">
        <f>IF(Scharniere[[#This Row],[Bohrbild]]=select!$A$989,1,0)</f>
        <v>0</v>
      </c>
      <c r="Z561" s="359">
        <f>IF(IF(Scharniere[[#This Row],[Anschrauben]]=1,1,IF(Scharniere[[#This Row],[Einpressen]]=1,2,IF(Scharniere[[#This Row],[Quick]]=1,3,IF(Scharniere[[#This Row],[Werkzeuglos]]=1,4,0))))=select!$A$1003,1,0)</f>
        <v>0</v>
      </c>
      <c r="AA5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1" s="359">
        <f ca="1">IF(select!$K$980="*",Scharniere[[#This Row],[AG Ges2]],Scharniere[[#This Row],[AG Ges1]])</f>
        <v>0</v>
      </c>
      <c r="AE561" s="451">
        <f ca="1">IF(AND(Scharniere[[#This Row],[Scharnierart]]=select!$A$1485,Scharniere[[#This Row],[Gruppenschlüssel]]=select!$B$1485)=TRUE,1,0)</f>
        <v>0</v>
      </c>
      <c r="AF561" s="451">
        <f ca="1">IF(AND(Scharniere[[#This Row],[Scharnierart]]=select!$A$1486,Scharniere[[#This Row],[Gruppenschlüssel]]=select!$B$1486)=TRUE,1,0)</f>
        <v>0</v>
      </c>
      <c r="AG561" s="451">
        <f ca="1">IF(AND(Scharniere[[#This Row],[Scharnierart]]=select!$A$1487,Scharniere[[#This Row],[Gruppenschlüssel]]=select!$B$1487)=TRUE,1,0)</f>
        <v>0</v>
      </c>
      <c r="AH561" s="451">
        <f ca="1">IF(AND(Scharniere[[#This Row],[Scharnierart]]=select!$A$1488,Scharniere[[#This Row],[Gruppenschlüssel]]=select!$B$1488)=TRUE,1,0)</f>
        <v>0</v>
      </c>
      <c r="AI561" s="451">
        <f ca="1">IF(SUM(Scharniere[[#This Row],[konf Scharnier 1]:[konf Scharnier 4]])&gt;0,1,0)</f>
        <v>0</v>
      </c>
      <c r="AJ561" s="451"/>
      <c r="AK561" s="451"/>
      <c r="AL561" s="451"/>
      <c r="AM561" s="451"/>
      <c r="AN561" s="451"/>
      <c r="AO561" s="146">
        <v>1</v>
      </c>
      <c r="AP561" s="146">
        <v>4</v>
      </c>
      <c r="AQ561" s="10" t="str">
        <f ca="1">Sprache!$A$111</f>
        <v>Tiomos Scharnier T Impresso</v>
      </c>
      <c r="AR561" t="s">
        <v>132</v>
      </c>
      <c r="AS561" t="str">
        <f ca="1">Sprache!$A$116</f>
        <v>Tiomos Impresso Scharniere</v>
      </c>
      <c r="AT561">
        <v>19</v>
      </c>
      <c r="AU561" s="34" t="s">
        <v>11</v>
      </c>
      <c r="AV561">
        <v>95</v>
      </c>
      <c r="AW561" s="10">
        <v>0</v>
      </c>
      <c r="AX561">
        <v>1</v>
      </c>
      <c r="AY561">
        <v>0</v>
      </c>
      <c r="AZ561" s="10">
        <v>0</v>
      </c>
      <c r="BA561">
        <v>0</v>
      </c>
      <c r="BB561">
        <v>0</v>
      </c>
      <c r="BC561">
        <v>1</v>
      </c>
      <c r="BD561" s="143" t="s">
        <v>178</v>
      </c>
      <c r="BG561"/>
    </row>
    <row r="562" spans="1:59" ht="14.25" customHeight="1" x14ac:dyDescent="0.25">
      <c r="A562" s="37" t="str">
        <f>LEFT(Scharniere[[#This Row],[ArtikelNR]],4)</f>
        <v>F017</v>
      </c>
      <c r="B562" s="35" t="str">
        <f>MID(Scharniere[[#This Row],[ArtikelNR]],5,3)</f>
        <v>139</v>
      </c>
      <c r="C562" s="37" t="str">
        <f>RIGHT(Scharniere[[#This Row],[ArtikelNR]],3)</f>
        <v>526</v>
      </c>
      <c r="D562" s="35">
        <f>IF(AND(Scharniere[[#This Row],[Gruppenschlüssel]]=select!$A$44,Scharniere[[#This Row],[Scharnierart]]=1)=TRUE,1,0)</f>
        <v>0</v>
      </c>
      <c r="E5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2" s="35">
        <f>IF(select!$F$57=IF(Scharniere[[#This Row],[mit Dämpfung]]=1,1,IF(Scharniere[[#This Row],[ohne Dämpfung]]=1,2,IF(Scharniere[[#This Row],[ohne Feder]]=1,3,0))),1,0)</f>
        <v>0</v>
      </c>
      <c r="G562" s="35">
        <f>IF(Scharniere[[#This Row],[Bohrbild]]=select!$V$43,1,0)</f>
        <v>0</v>
      </c>
      <c r="H562" s="35">
        <f>IF(IF(Scharniere[[#This Row],[Anschrauben]]=1,1,IF(Scharniere[[#This Row],[Einpressen]]=1,2,IF(Scharniere[[#This Row],[Quick]]=1,3,IF(Scharniere[[#This Row],[Werkzeuglos]]=1,4,0))))=select!$F$48,1,0)</f>
        <v>0</v>
      </c>
      <c r="I5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2" s="149">
        <f>IF(AND(Scharniere[[#This Row],[Scharnierart]]=2,Scharniere[[#This Row],[Gruppenschlüssel]]=select!$A$318)=TRUE,1,0)</f>
        <v>0</v>
      </c>
      <c r="K562" s="221">
        <f ca="1">IF(select!$O$424&lt;6,1,0)</f>
        <v>1</v>
      </c>
      <c r="L562" s="139">
        <f>IF(select!$A$362=IF(Scharniere[[#This Row],[mit Dämpfung]]=1,1,IF(Scharniere[[#This Row],[ohne Dämpfung]]=1,2,IF(Scharniere[[#This Row],[ohne Feder]]=1,3,0))),1,0)</f>
        <v>1</v>
      </c>
      <c r="M562" s="135">
        <f>IF(Scharniere[[#This Row],[Bohrbild]]=select!$O$334,1,0)</f>
        <v>0</v>
      </c>
      <c r="N562" s="135">
        <f>IF(IF(Scharniere[[#This Row],[Anschrauben]]=1,1,IF(Scharniere[[#This Row],[Einpressen]]=1,2,IF(Scharniere[[#This Row],[Quick]]=1,3,IF(Scharniere[[#This Row],[Werkzeuglos]]=1,4,0))))=select!$E$362,1,0)</f>
        <v>0</v>
      </c>
      <c r="O5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2" s="298">
        <f>IF(AND(Scharniere[[#This Row],[Scharnierart]]=3,Scharniere[[#This Row],[Gruppenschlüssel]]=select!$A$747)=TRUE,1,0)</f>
        <v>0</v>
      </c>
      <c r="Q562" s="298">
        <f ca="1">IF(select!$O$945&lt;6,1,0)</f>
        <v>1</v>
      </c>
      <c r="R562" s="298">
        <f>IF(select!$A$778=IF(Scharniere[[#This Row],[mit Dämpfung]]=1,1,IF(Scharniere[[#This Row],[ohne Dämpfung]]=1,2,IF(Scharniere[[#This Row],[ohne Feder]]=1,3,0))),1,0)</f>
        <v>0</v>
      </c>
      <c r="S562" s="298">
        <f>IF(Scharniere[[#This Row],[Bohrbild]]=select!$A$755,1,0)</f>
        <v>0</v>
      </c>
      <c r="T562" s="298">
        <f>IF(IF(Scharniere[[#This Row],[Anschrauben]]=1,1,IF(Scharniere[[#This Row],[Einpressen]]=1,2,IF(Scharniere[[#This Row],[Quick]]=1,3,IF(Scharniere[[#This Row],[Werkzeuglos]]=1,4,0))))=select!$A$769,1,0)</f>
        <v>0</v>
      </c>
      <c r="U5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2" s="359">
        <f>IF(AND(Scharniere[[#This Row],[Scharnierart]]=4,Scharniere[[#This Row],[Gruppenschlüssel]]=select!$A$981)=TRUE,1,0)</f>
        <v>0</v>
      </c>
      <c r="W562" s="359">
        <f ca="1">IF(select!$O$1185&lt;6,1,0)</f>
        <v>1</v>
      </c>
      <c r="X562" s="359">
        <f>IF(select!$A$1012=IF(Scharniere[[#This Row],[mit Dämpfung]]=1,1,IF(Scharniere[[#This Row],[ohne Dämpfung]]=1,2,IF(Scharniere[[#This Row],[ohne Feder]]=1,3,0))),1,0)</f>
        <v>0</v>
      </c>
      <c r="Y562" s="359">
        <f>IF(Scharniere[[#This Row],[Bohrbild]]=select!$A$989,1,0)</f>
        <v>0</v>
      </c>
      <c r="Z562" s="359">
        <f>IF(IF(Scharniere[[#This Row],[Anschrauben]]=1,1,IF(Scharniere[[#This Row],[Einpressen]]=1,2,IF(Scharniere[[#This Row],[Quick]]=1,3,IF(Scharniere[[#This Row],[Werkzeuglos]]=1,4,0))))=select!$A$1003,1,0)</f>
        <v>0</v>
      </c>
      <c r="AA5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2" s="359">
        <f ca="1">IF(select!$K$980="*",Scharniere[[#This Row],[AG Ges2]],Scharniere[[#This Row],[AG Ges1]])</f>
        <v>0</v>
      </c>
      <c r="AE562" s="451">
        <f ca="1">IF(AND(Scharniere[[#This Row],[Scharnierart]]=select!$A$1485,Scharniere[[#This Row],[Gruppenschlüssel]]=select!$B$1485)=TRUE,1,0)</f>
        <v>0</v>
      </c>
      <c r="AF562" s="451">
        <f ca="1">IF(AND(Scharniere[[#This Row],[Scharnierart]]=select!$A$1486,Scharniere[[#This Row],[Gruppenschlüssel]]=select!$B$1486)=TRUE,1,0)</f>
        <v>0</v>
      </c>
      <c r="AG562" s="451">
        <f ca="1">IF(AND(Scharniere[[#This Row],[Scharnierart]]=select!$A$1487,Scharniere[[#This Row],[Gruppenschlüssel]]=select!$B$1487)=TRUE,1,0)</f>
        <v>0</v>
      </c>
      <c r="AH562" s="451">
        <f ca="1">IF(AND(Scharniere[[#This Row],[Scharnierart]]=select!$A$1488,Scharniere[[#This Row],[Gruppenschlüssel]]=select!$B$1488)=TRUE,1,0)</f>
        <v>0</v>
      </c>
      <c r="AI562" s="451">
        <f ca="1">IF(SUM(Scharniere[[#This Row],[konf Scharnier 1]:[konf Scharnier 4]])&gt;0,1,0)</f>
        <v>0</v>
      </c>
      <c r="AJ562" s="451"/>
      <c r="AK562" s="451"/>
      <c r="AL562" s="451"/>
      <c r="AM562" s="451"/>
      <c r="AN562" s="451"/>
      <c r="AO562" s="146">
        <v>1</v>
      </c>
      <c r="AP562" s="146">
        <v>4</v>
      </c>
      <c r="AQ562" s="10" t="str">
        <f ca="1">Sprache!$A$113</f>
        <v>Tiomos Scharnier TS Impresso</v>
      </c>
      <c r="AR562" t="s">
        <v>132</v>
      </c>
      <c r="AS562" t="str">
        <f ca="1">Sprache!$A$116</f>
        <v>Tiomos Impresso Scharniere</v>
      </c>
      <c r="AT562">
        <v>19</v>
      </c>
      <c r="AU562" t="s">
        <v>10</v>
      </c>
      <c r="AV562">
        <v>95</v>
      </c>
      <c r="AW562" s="10">
        <v>1</v>
      </c>
      <c r="AX562">
        <v>0</v>
      </c>
      <c r="AY562">
        <v>0</v>
      </c>
      <c r="AZ562" s="10">
        <v>0</v>
      </c>
      <c r="BA562">
        <v>0</v>
      </c>
      <c r="BB562">
        <v>0</v>
      </c>
      <c r="BC562">
        <v>1</v>
      </c>
      <c r="BD562" s="143" t="s">
        <v>131</v>
      </c>
      <c r="BG562"/>
    </row>
    <row r="563" spans="1:59" ht="14.25" customHeight="1" x14ac:dyDescent="0.25">
      <c r="A563" s="37" t="str">
        <f>LEFT(Scharniere[[#This Row],[ArtikelNR]],4)</f>
        <v>F017</v>
      </c>
      <c r="B563" s="35" t="str">
        <f>MID(Scharniere[[#This Row],[ArtikelNR]],5,3)</f>
        <v>139</v>
      </c>
      <c r="C563" s="37" t="str">
        <f>RIGHT(Scharniere[[#This Row],[ArtikelNR]],3)</f>
        <v>526</v>
      </c>
      <c r="D563" s="35">
        <f>IF(AND(Scharniere[[#This Row],[Gruppenschlüssel]]=select!$A$44,Scharniere[[#This Row],[Scharnierart]]=1)=TRUE,1,0)</f>
        <v>0</v>
      </c>
      <c r="E5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3" s="35">
        <f>IF(select!$F$57=IF(Scharniere[[#This Row],[mit Dämpfung]]=1,1,IF(Scharniere[[#This Row],[ohne Dämpfung]]=1,2,IF(Scharniere[[#This Row],[ohne Feder]]=1,3,0))),1,0)</f>
        <v>0</v>
      </c>
      <c r="G563" s="35">
        <f>IF(Scharniere[[#This Row],[Bohrbild]]=select!$V$43,1,0)</f>
        <v>0</v>
      </c>
      <c r="H563" s="35">
        <f>IF(IF(Scharniere[[#This Row],[Anschrauben]]=1,1,IF(Scharniere[[#This Row],[Einpressen]]=1,2,IF(Scharniere[[#This Row],[Quick]]=1,3,IF(Scharniere[[#This Row],[Werkzeuglos]]=1,4,0))))=select!$F$48,1,0)</f>
        <v>0</v>
      </c>
      <c r="I5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3" s="149">
        <f>IF(AND(Scharniere[[#This Row],[Scharnierart]]=2,Scharniere[[#This Row],[Gruppenschlüssel]]=select!$A$318)=TRUE,1,0)</f>
        <v>0</v>
      </c>
      <c r="K563" s="221">
        <f ca="1">IF(select!$O$424&lt;6,1,0)</f>
        <v>1</v>
      </c>
      <c r="L563" s="139">
        <f>IF(select!$A$362=IF(Scharniere[[#This Row],[mit Dämpfung]]=1,1,IF(Scharniere[[#This Row],[ohne Dämpfung]]=1,2,IF(Scharniere[[#This Row],[ohne Feder]]=1,3,0))),1,0)</f>
        <v>1</v>
      </c>
      <c r="M563" s="135">
        <f>IF(Scharniere[[#This Row],[Bohrbild]]=select!$O$334,1,0)</f>
        <v>0</v>
      </c>
      <c r="N563" s="135">
        <f>IF(IF(Scharniere[[#This Row],[Anschrauben]]=1,1,IF(Scharniere[[#This Row],[Einpressen]]=1,2,IF(Scharniere[[#This Row],[Quick]]=1,3,IF(Scharniere[[#This Row],[Werkzeuglos]]=1,4,0))))=select!$E$362,1,0)</f>
        <v>0</v>
      </c>
      <c r="O5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3" s="298">
        <f>IF(AND(Scharniere[[#This Row],[Scharnierart]]=3,Scharniere[[#This Row],[Gruppenschlüssel]]=select!$A$747)=TRUE,1,0)</f>
        <v>0</v>
      </c>
      <c r="Q563" s="298">
        <f ca="1">IF(select!$O$945&lt;6,1,0)</f>
        <v>1</v>
      </c>
      <c r="R563" s="298">
        <f>IF(select!$A$778=IF(Scharniere[[#This Row],[mit Dämpfung]]=1,1,IF(Scharniere[[#This Row],[ohne Dämpfung]]=1,2,IF(Scharniere[[#This Row],[ohne Feder]]=1,3,0))),1,0)</f>
        <v>0</v>
      </c>
      <c r="S563" s="298">
        <f>IF(Scharniere[[#This Row],[Bohrbild]]=select!$A$755,1,0)</f>
        <v>0</v>
      </c>
      <c r="T563" s="298">
        <f>IF(IF(Scharniere[[#This Row],[Anschrauben]]=1,1,IF(Scharniere[[#This Row],[Einpressen]]=1,2,IF(Scharniere[[#This Row],[Quick]]=1,3,IF(Scharniere[[#This Row],[Werkzeuglos]]=1,4,0))))=select!$A$769,1,0)</f>
        <v>0</v>
      </c>
      <c r="U5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3" s="359">
        <f>IF(AND(Scharniere[[#This Row],[Scharnierart]]=4,Scharniere[[#This Row],[Gruppenschlüssel]]=select!$A$981)=TRUE,1,0)</f>
        <v>0</v>
      </c>
      <c r="W563" s="359">
        <f ca="1">IF(select!$O$1185&lt;6,1,0)</f>
        <v>1</v>
      </c>
      <c r="X563" s="359">
        <f>IF(select!$A$1012=IF(Scharniere[[#This Row],[mit Dämpfung]]=1,1,IF(Scharniere[[#This Row],[ohne Dämpfung]]=1,2,IF(Scharniere[[#This Row],[ohne Feder]]=1,3,0))),1,0)</f>
        <v>0</v>
      </c>
      <c r="Y563" s="359">
        <f>IF(Scharniere[[#This Row],[Bohrbild]]=select!$A$989,1,0)</f>
        <v>0</v>
      </c>
      <c r="Z563" s="359">
        <f>IF(IF(Scharniere[[#This Row],[Anschrauben]]=1,1,IF(Scharniere[[#This Row],[Einpressen]]=1,2,IF(Scharniere[[#This Row],[Quick]]=1,3,IF(Scharniere[[#This Row],[Werkzeuglos]]=1,4,0))))=select!$A$1003,1,0)</f>
        <v>0</v>
      </c>
      <c r="AA5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3" s="359">
        <f ca="1">IF(select!$K$980="*",Scharniere[[#This Row],[AG Ges2]],Scharniere[[#This Row],[AG Ges1]])</f>
        <v>0</v>
      </c>
      <c r="AE563" s="451">
        <f ca="1">IF(AND(Scharniere[[#This Row],[Scharnierart]]=select!$A$1485,Scharniere[[#This Row],[Gruppenschlüssel]]=select!$B$1485)=TRUE,1,0)</f>
        <v>0</v>
      </c>
      <c r="AF563" s="451">
        <f ca="1">IF(AND(Scharniere[[#This Row],[Scharnierart]]=select!$A$1486,Scharniere[[#This Row],[Gruppenschlüssel]]=select!$B$1486)=TRUE,1,0)</f>
        <v>0</v>
      </c>
      <c r="AG563" s="451">
        <f ca="1">IF(AND(Scharniere[[#This Row],[Scharnierart]]=select!$A$1487,Scharniere[[#This Row],[Gruppenschlüssel]]=select!$B$1487)=TRUE,1,0)</f>
        <v>0</v>
      </c>
      <c r="AH563" s="451">
        <f ca="1">IF(AND(Scharniere[[#This Row],[Scharnierart]]=select!$A$1488,Scharniere[[#This Row],[Gruppenschlüssel]]=select!$B$1488)=TRUE,1,0)</f>
        <v>0</v>
      </c>
      <c r="AI563" s="451">
        <f ca="1">IF(SUM(Scharniere[[#This Row],[konf Scharnier 1]:[konf Scharnier 4]])&gt;0,1,0)</f>
        <v>0</v>
      </c>
      <c r="AJ563" s="451"/>
      <c r="AK563" s="451"/>
      <c r="AL563" s="451"/>
      <c r="AM563" s="451"/>
      <c r="AN563" s="451"/>
      <c r="AO563" s="146">
        <v>1</v>
      </c>
      <c r="AP563" s="146">
        <v>4</v>
      </c>
      <c r="AQ563" s="10" t="str">
        <f ca="1">Sprache!$A$113</f>
        <v>Tiomos Scharnier TS Impresso</v>
      </c>
      <c r="AR563" t="s">
        <v>132</v>
      </c>
      <c r="AS563" t="str">
        <f ca="1">Sprache!$A$116</f>
        <v>Tiomos Impresso Scharniere</v>
      </c>
      <c r="AT563">
        <v>19</v>
      </c>
      <c r="AU563" t="s">
        <v>11</v>
      </c>
      <c r="AV563">
        <v>95</v>
      </c>
      <c r="AW563" s="10">
        <v>1</v>
      </c>
      <c r="AX563">
        <v>0</v>
      </c>
      <c r="AY563">
        <v>0</v>
      </c>
      <c r="AZ563" s="10">
        <v>0</v>
      </c>
      <c r="BA563">
        <v>0</v>
      </c>
      <c r="BB563">
        <v>0</v>
      </c>
      <c r="BC563">
        <v>1</v>
      </c>
      <c r="BD563" s="143" t="s">
        <v>131</v>
      </c>
      <c r="BG563"/>
    </row>
    <row r="564" spans="1:59" ht="14.25" customHeight="1" x14ac:dyDescent="0.25">
      <c r="A564" s="37" t="str">
        <f>LEFT(Scharniere[[#This Row],[ArtikelNR]],4)</f>
        <v>F035</v>
      </c>
      <c r="B564" s="35" t="str">
        <f>MID(Scharniere[[#This Row],[ArtikelNR]],5,3)</f>
        <v>139</v>
      </c>
      <c r="C564" s="37" t="str">
        <f>RIGHT(Scharniere[[#This Row],[ArtikelNR]],3)</f>
        <v>554</v>
      </c>
      <c r="D564" s="35">
        <f>IF(AND(Scharniere[[#This Row],[Gruppenschlüssel]]=select!$A$44,Scharniere[[#This Row],[Scharnierart]]=1)=TRUE,1,0)</f>
        <v>0</v>
      </c>
      <c r="E5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4" s="35">
        <f>IF(select!$F$57=IF(Scharniere[[#This Row],[mit Dämpfung]]=1,1,IF(Scharniere[[#This Row],[ohne Dämpfung]]=1,2,IF(Scharniere[[#This Row],[ohne Feder]]=1,3,0))),1,0)</f>
        <v>1</v>
      </c>
      <c r="G564" s="35">
        <f>IF(Scharniere[[#This Row],[Bohrbild]]=select!$V$43,1,0)</f>
        <v>0</v>
      </c>
      <c r="H564" s="35">
        <f>IF(IF(Scharniere[[#This Row],[Anschrauben]]=1,1,IF(Scharniere[[#This Row],[Einpressen]]=1,2,IF(Scharniere[[#This Row],[Quick]]=1,3,IF(Scharniere[[#This Row],[Werkzeuglos]]=1,4,0))))=select!$F$48,1,0)</f>
        <v>0</v>
      </c>
      <c r="I5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4" s="149">
        <f>IF(AND(Scharniere[[#This Row],[Scharnierart]]=2,Scharniere[[#This Row],[Gruppenschlüssel]]=select!$A$318)=TRUE,1,0)</f>
        <v>0</v>
      </c>
      <c r="K564" s="221">
        <f ca="1">IF(select!$O$424&lt;6,1,0)</f>
        <v>1</v>
      </c>
      <c r="L564" s="139">
        <f>IF(select!$A$362=IF(Scharniere[[#This Row],[mit Dämpfung]]=1,1,IF(Scharniere[[#This Row],[ohne Dämpfung]]=1,2,IF(Scharniere[[#This Row],[ohne Feder]]=1,3,0))),1,0)</f>
        <v>0</v>
      </c>
      <c r="M564" s="135">
        <f>IF(Scharniere[[#This Row],[Bohrbild]]=select!$O$334,1,0)</f>
        <v>0</v>
      </c>
      <c r="N564" s="135">
        <f>IF(IF(Scharniere[[#This Row],[Anschrauben]]=1,1,IF(Scharniere[[#This Row],[Einpressen]]=1,2,IF(Scharniere[[#This Row],[Quick]]=1,3,IF(Scharniere[[#This Row],[Werkzeuglos]]=1,4,0))))=select!$E$362,1,0)</f>
        <v>0</v>
      </c>
      <c r="O5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4" s="298">
        <f>IF(AND(Scharniere[[#This Row],[Scharnierart]]=3,Scharniere[[#This Row],[Gruppenschlüssel]]=select!$A$747)=TRUE,1,0)</f>
        <v>0</v>
      </c>
      <c r="Q564" s="298">
        <f ca="1">IF(select!$O$945&lt;6,1,0)</f>
        <v>1</v>
      </c>
      <c r="R564" s="298">
        <f>IF(select!$A$778=IF(Scharniere[[#This Row],[mit Dämpfung]]=1,1,IF(Scharniere[[#This Row],[ohne Dämpfung]]=1,2,IF(Scharniere[[#This Row],[ohne Feder]]=1,3,0))),1,0)</f>
        <v>0</v>
      </c>
      <c r="S564" s="298">
        <f>IF(Scharniere[[#This Row],[Bohrbild]]=select!$A$755,1,0)</f>
        <v>0</v>
      </c>
      <c r="T564" s="298">
        <f>IF(IF(Scharniere[[#This Row],[Anschrauben]]=1,1,IF(Scharniere[[#This Row],[Einpressen]]=1,2,IF(Scharniere[[#This Row],[Quick]]=1,3,IF(Scharniere[[#This Row],[Werkzeuglos]]=1,4,0))))=select!$A$769,1,0)</f>
        <v>0</v>
      </c>
      <c r="U5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4" s="359">
        <f>IF(AND(Scharniere[[#This Row],[Scharnierart]]=4,Scharniere[[#This Row],[Gruppenschlüssel]]=select!$A$981)=TRUE,1,0)</f>
        <v>0</v>
      </c>
      <c r="W564" s="359">
        <f ca="1">IF(select!$O$1185&lt;6,1,0)</f>
        <v>1</v>
      </c>
      <c r="X564" s="359">
        <f>IF(select!$A$1012=IF(Scharniere[[#This Row],[mit Dämpfung]]=1,1,IF(Scharniere[[#This Row],[ohne Dämpfung]]=1,2,IF(Scharniere[[#This Row],[ohne Feder]]=1,3,0))),1,0)</f>
        <v>0</v>
      </c>
      <c r="Y564" s="359">
        <f>IF(Scharniere[[#This Row],[Bohrbild]]=select!$A$989,1,0)</f>
        <v>0</v>
      </c>
      <c r="Z564" s="359">
        <f>IF(IF(Scharniere[[#This Row],[Anschrauben]]=1,1,IF(Scharniere[[#This Row],[Einpressen]]=1,2,IF(Scharniere[[#This Row],[Quick]]=1,3,IF(Scharniere[[#This Row],[Werkzeuglos]]=1,4,0))))=select!$A$1003,1,0)</f>
        <v>0</v>
      </c>
      <c r="AA5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4" s="359">
        <f ca="1">IF(select!$K$980="*",Scharniere[[#This Row],[AG Ges2]],Scharniere[[#This Row],[AG Ges1]])</f>
        <v>0</v>
      </c>
      <c r="AE564" s="451">
        <f ca="1">IF(AND(Scharniere[[#This Row],[Scharnierart]]=select!$A$1485,Scharniere[[#This Row],[Gruppenschlüssel]]=select!$B$1485)=TRUE,1,0)</f>
        <v>0</v>
      </c>
      <c r="AF564" s="451">
        <f ca="1">IF(AND(Scharniere[[#This Row],[Scharnierart]]=select!$A$1486,Scharniere[[#This Row],[Gruppenschlüssel]]=select!$B$1486)=TRUE,1,0)</f>
        <v>0</v>
      </c>
      <c r="AG564" s="451">
        <f ca="1">IF(AND(Scharniere[[#This Row],[Scharnierart]]=select!$A$1487,Scharniere[[#This Row],[Gruppenschlüssel]]=select!$B$1487)=TRUE,1,0)</f>
        <v>0</v>
      </c>
      <c r="AH564" s="451">
        <f ca="1">IF(AND(Scharniere[[#This Row],[Scharnierart]]=select!$A$1488,Scharniere[[#This Row],[Gruppenschlüssel]]=select!$B$1488)=TRUE,1,0)</f>
        <v>0</v>
      </c>
      <c r="AI564" s="451">
        <f ca="1">IF(SUM(Scharniere[[#This Row],[konf Scharnier 1]:[konf Scharnier 4]])&gt;0,1,0)</f>
        <v>0</v>
      </c>
      <c r="AJ564" s="451"/>
      <c r="AK564" s="451"/>
      <c r="AL564" s="451"/>
      <c r="AM564" s="451"/>
      <c r="AN564" s="451"/>
      <c r="AO564" s="146">
        <v>1</v>
      </c>
      <c r="AP564" s="146">
        <v>4</v>
      </c>
      <c r="AQ564" s="10" t="str">
        <f ca="1">Sprache!$A$115</f>
        <v>Tiomos Scharnier TT Impresso</v>
      </c>
      <c r="AR564" t="s">
        <v>132</v>
      </c>
      <c r="AS564" t="str">
        <f ca="1">Sprache!$A$116</f>
        <v>Tiomos Impresso Scharniere</v>
      </c>
      <c r="AT564">
        <v>19</v>
      </c>
      <c r="AU564" t="s">
        <v>10</v>
      </c>
      <c r="AV564">
        <v>95</v>
      </c>
      <c r="AW564" s="10">
        <v>0</v>
      </c>
      <c r="AX564">
        <v>0</v>
      </c>
      <c r="AY564">
        <v>1</v>
      </c>
      <c r="AZ564" s="10">
        <v>0</v>
      </c>
      <c r="BA564">
        <v>0</v>
      </c>
      <c r="BB564">
        <v>0</v>
      </c>
      <c r="BC564">
        <v>1</v>
      </c>
      <c r="BD564" s="143" t="s">
        <v>222</v>
      </c>
      <c r="BG564"/>
    </row>
    <row r="565" spans="1:59" ht="14.25" customHeight="1" x14ac:dyDescent="0.25">
      <c r="A565" s="37" t="str">
        <f>LEFT(Scharniere[[#This Row],[ArtikelNR]],4)</f>
        <v>F035</v>
      </c>
      <c r="B565" s="35" t="str">
        <f>MID(Scharniere[[#This Row],[ArtikelNR]],5,3)</f>
        <v>139</v>
      </c>
      <c r="C565" s="37" t="str">
        <f>RIGHT(Scharniere[[#This Row],[ArtikelNR]],3)</f>
        <v>554</v>
      </c>
      <c r="D565" s="35">
        <f>IF(AND(Scharniere[[#This Row],[Gruppenschlüssel]]=select!$A$44,Scharniere[[#This Row],[Scharnierart]]=1)=TRUE,1,0)</f>
        <v>0</v>
      </c>
      <c r="E5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5" s="35">
        <f>IF(select!$F$57=IF(Scharniere[[#This Row],[mit Dämpfung]]=1,1,IF(Scharniere[[#This Row],[ohne Dämpfung]]=1,2,IF(Scharniere[[#This Row],[ohne Feder]]=1,3,0))),1,0)</f>
        <v>1</v>
      </c>
      <c r="G565" s="35">
        <f>IF(Scharniere[[#This Row],[Bohrbild]]=select!$V$43,1,0)</f>
        <v>0</v>
      </c>
      <c r="H565" s="35">
        <f>IF(IF(Scharniere[[#This Row],[Anschrauben]]=1,1,IF(Scharniere[[#This Row],[Einpressen]]=1,2,IF(Scharniere[[#This Row],[Quick]]=1,3,IF(Scharniere[[#This Row],[Werkzeuglos]]=1,4,0))))=select!$F$48,1,0)</f>
        <v>0</v>
      </c>
      <c r="I5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5" s="149">
        <f>IF(AND(Scharniere[[#This Row],[Scharnierart]]=2,Scharniere[[#This Row],[Gruppenschlüssel]]=select!$A$318)=TRUE,1,0)</f>
        <v>0</v>
      </c>
      <c r="K565" s="221">
        <f ca="1">IF(select!$O$424&lt;6,1,0)</f>
        <v>1</v>
      </c>
      <c r="L565" s="139">
        <f>IF(select!$A$362=IF(Scharniere[[#This Row],[mit Dämpfung]]=1,1,IF(Scharniere[[#This Row],[ohne Dämpfung]]=1,2,IF(Scharniere[[#This Row],[ohne Feder]]=1,3,0))),1,0)</f>
        <v>0</v>
      </c>
      <c r="M565" s="135">
        <f>IF(Scharniere[[#This Row],[Bohrbild]]=select!$O$334,1,0)</f>
        <v>0</v>
      </c>
      <c r="N565" s="135">
        <f>IF(IF(Scharniere[[#This Row],[Anschrauben]]=1,1,IF(Scharniere[[#This Row],[Einpressen]]=1,2,IF(Scharniere[[#This Row],[Quick]]=1,3,IF(Scharniere[[#This Row],[Werkzeuglos]]=1,4,0))))=select!$E$362,1,0)</f>
        <v>0</v>
      </c>
      <c r="O5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5" s="298">
        <f>IF(AND(Scharniere[[#This Row],[Scharnierart]]=3,Scharniere[[#This Row],[Gruppenschlüssel]]=select!$A$747)=TRUE,1,0)</f>
        <v>0</v>
      </c>
      <c r="Q565" s="298">
        <f ca="1">IF(select!$O$945&lt;6,1,0)</f>
        <v>1</v>
      </c>
      <c r="R565" s="298">
        <f>IF(select!$A$778=IF(Scharniere[[#This Row],[mit Dämpfung]]=1,1,IF(Scharniere[[#This Row],[ohne Dämpfung]]=1,2,IF(Scharniere[[#This Row],[ohne Feder]]=1,3,0))),1,0)</f>
        <v>0</v>
      </c>
      <c r="S565" s="298">
        <f>IF(Scharniere[[#This Row],[Bohrbild]]=select!$A$755,1,0)</f>
        <v>0</v>
      </c>
      <c r="T565" s="298">
        <f>IF(IF(Scharniere[[#This Row],[Anschrauben]]=1,1,IF(Scharniere[[#This Row],[Einpressen]]=1,2,IF(Scharniere[[#This Row],[Quick]]=1,3,IF(Scharniere[[#This Row],[Werkzeuglos]]=1,4,0))))=select!$A$769,1,0)</f>
        <v>0</v>
      </c>
      <c r="U5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5" s="359">
        <f>IF(AND(Scharniere[[#This Row],[Scharnierart]]=4,Scharniere[[#This Row],[Gruppenschlüssel]]=select!$A$981)=TRUE,1,0)</f>
        <v>0</v>
      </c>
      <c r="W565" s="359">
        <f ca="1">IF(select!$O$1185&lt;6,1,0)</f>
        <v>1</v>
      </c>
      <c r="X565" s="359">
        <f>IF(select!$A$1012=IF(Scharniere[[#This Row],[mit Dämpfung]]=1,1,IF(Scharniere[[#This Row],[ohne Dämpfung]]=1,2,IF(Scharniere[[#This Row],[ohne Feder]]=1,3,0))),1,0)</f>
        <v>0</v>
      </c>
      <c r="Y565" s="359">
        <f>IF(Scharniere[[#This Row],[Bohrbild]]=select!$A$989,1,0)</f>
        <v>0</v>
      </c>
      <c r="Z565" s="359">
        <f>IF(IF(Scharniere[[#This Row],[Anschrauben]]=1,1,IF(Scharniere[[#This Row],[Einpressen]]=1,2,IF(Scharniere[[#This Row],[Quick]]=1,3,IF(Scharniere[[#This Row],[Werkzeuglos]]=1,4,0))))=select!$A$1003,1,0)</f>
        <v>0</v>
      </c>
      <c r="AA5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5" s="359">
        <f ca="1">IF(select!$K$980="*",Scharniere[[#This Row],[AG Ges2]],Scharniere[[#This Row],[AG Ges1]])</f>
        <v>0</v>
      </c>
      <c r="AE565" s="451">
        <f ca="1">IF(AND(Scharniere[[#This Row],[Scharnierart]]=select!$A$1485,Scharniere[[#This Row],[Gruppenschlüssel]]=select!$B$1485)=TRUE,1,0)</f>
        <v>0</v>
      </c>
      <c r="AF565" s="451">
        <f ca="1">IF(AND(Scharniere[[#This Row],[Scharnierart]]=select!$A$1486,Scharniere[[#This Row],[Gruppenschlüssel]]=select!$B$1486)=TRUE,1,0)</f>
        <v>0</v>
      </c>
      <c r="AG565" s="451">
        <f ca="1">IF(AND(Scharniere[[#This Row],[Scharnierart]]=select!$A$1487,Scharniere[[#This Row],[Gruppenschlüssel]]=select!$B$1487)=TRUE,1,0)</f>
        <v>0</v>
      </c>
      <c r="AH565" s="451">
        <f ca="1">IF(AND(Scharniere[[#This Row],[Scharnierart]]=select!$A$1488,Scharniere[[#This Row],[Gruppenschlüssel]]=select!$B$1488)=TRUE,1,0)</f>
        <v>0</v>
      </c>
      <c r="AI565" s="451">
        <f ca="1">IF(SUM(Scharniere[[#This Row],[konf Scharnier 1]:[konf Scharnier 4]])&gt;0,1,0)</f>
        <v>0</v>
      </c>
      <c r="AJ565" s="451"/>
      <c r="AK565" s="451"/>
      <c r="AL565" s="451"/>
      <c r="AM565" s="451"/>
      <c r="AN565" s="451"/>
      <c r="AO565" s="146">
        <v>1</v>
      </c>
      <c r="AP565" s="146">
        <v>4</v>
      </c>
      <c r="AQ565" s="10" t="str">
        <f ca="1">Sprache!$A$115</f>
        <v>Tiomos Scharnier TT Impresso</v>
      </c>
      <c r="AR565" t="s">
        <v>132</v>
      </c>
      <c r="AS565" t="str">
        <f ca="1">Sprache!$A$116</f>
        <v>Tiomos Impresso Scharniere</v>
      </c>
      <c r="AT565">
        <v>19</v>
      </c>
      <c r="AU565" t="s">
        <v>11</v>
      </c>
      <c r="AV565">
        <v>95</v>
      </c>
      <c r="AW565" s="10">
        <v>0</v>
      </c>
      <c r="AX565">
        <v>0</v>
      </c>
      <c r="AY565">
        <v>1</v>
      </c>
      <c r="AZ565" s="10">
        <v>0</v>
      </c>
      <c r="BA565">
        <v>0</v>
      </c>
      <c r="BB565">
        <v>0</v>
      </c>
      <c r="BC565">
        <v>1</v>
      </c>
      <c r="BD565" s="143" t="s">
        <v>222</v>
      </c>
      <c r="BG565"/>
    </row>
    <row r="566" spans="1:59" ht="14.25" customHeight="1" x14ac:dyDescent="0.25">
      <c r="A566" s="37" t="str">
        <f>LEFT(Scharniere[[#This Row],[ArtikelNR]],4)</f>
        <v>F045</v>
      </c>
      <c r="B566" s="35" t="str">
        <f>MID(Scharniere[[#This Row],[ArtikelNR]],5,3)</f>
        <v>138</v>
      </c>
      <c r="C566" s="37" t="str">
        <f>RIGHT(Scharniere[[#This Row],[ArtikelNR]],3)</f>
        <v>055</v>
      </c>
      <c r="D566" s="35">
        <f>IF(AND(Scharniere[[#This Row],[Gruppenschlüssel]]=select!$A$44,Scharniere[[#This Row],[Scharnierart]]=1)=TRUE,1,0)</f>
        <v>0</v>
      </c>
      <c r="E5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6" s="35">
        <f>IF(select!$F$57=IF(Scharniere[[#This Row],[mit Dämpfung]]=1,1,IF(Scharniere[[#This Row],[ohne Dämpfung]]=1,2,IF(Scharniere[[#This Row],[ohne Feder]]=1,3,0))),1,0)</f>
        <v>0</v>
      </c>
      <c r="G566" s="35">
        <f>IF(Scharniere[[#This Row],[Bohrbild]]=select!$V$43,1,0)</f>
        <v>1</v>
      </c>
      <c r="H566" s="35">
        <f>IF(IF(Scharniere[[#This Row],[Anschrauben]]=1,1,IF(Scharniere[[#This Row],[Einpressen]]=1,2,IF(Scharniere[[#This Row],[Quick]]=1,3,IF(Scharniere[[#This Row],[Werkzeuglos]]=1,4,0))))=select!$F$48,1,0)</f>
        <v>1</v>
      </c>
      <c r="I5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6" s="149">
        <f>IF(AND(Scharniere[[#This Row],[Scharnierart]]=2,Scharniere[[#This Row],[Gruppenschlüssel]]=select!$A$318)=TRUE,1,0)</f>
        <v>0</v>
      </c>
      <c r="K566" s="221">
        <f ca="1">IF(select!$O$424&lt;6,1,0)</f>
        <v>1</v>
      </c>
      <c r="L566" s="139">
        <f>IF(select!$A$362=IF(Scharniere[[#This Row],[mit Dämpfung]]=1,1,IF(Scharniere[[#This Row],[ohne Dämpfung]]=1,2,IF(Scharniere[[#This Row],[ohne Feder]]=1,3,0))),1,0)</f>
        <v>0</v>
      </c>
      <c r="M566" s="135">
        <f>IF(Scharniere[[#This Row],[Bohrbild]]=select!$O$334,1,0)</f>
        <v>1</v>
      </c>
      <c r="N566" s="135">
        <f>IF(IF(Scharniere[[#This Row],[Anschrauben]]=1,1,IF(Scharniere[[#This Row],[Einpressen]]=1,2,IF(Scharniere[[#This Row],[Quick]]=1,3,IF(Scharniere[[#This Row],[Werkzeuglos]]=1,4,0))))=select!$E$362,1,0)</f>
        <v>0</v>
      </c>
      <c r="O5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6" s="298">
        <f>IF(AND(Scharniere[[#This Row],[Scharnierart]]=3,Scharniere[[#This Row],[Gruppenschlüssel]]=select!$A$747)=TRUE,1,0)</f>
        <v>0</v>
      </c>
      <c r="Q566" s="298">
        <f ca="1">IF(select!$O$945&lt;6,1,0)</f>
        <v>1</v>
      </c>
      <c r="R566" s="298">
        <f>IF(select!$A$778=IF(Scharniere[[#This Row],[mit Dämpfung]]=1,1,IF(Scharniere[[#This Row],[ohne Dämpfung]]=1,2,IF(Scharniere[[#This Row],[ohne Feder]]=1,3,0))),1,0)</f>
        <v>1</v>
      </c>
      <c r="S566" s="298">
        <f>IF(Scharniere[[#This Row],[Bohrbild]]=select!$A$755,1,0)</f>
        <v>0</v>
      </c>
      <c r="T566" s="298">
        <f>IF(IF(Scharniere[[#This Row],[Anschrauben]]=1,1,IF(Scharniere[[#This Row],[Einpressen]]=1,2,IF(Scharniere[[#This Row],[Quick]]=1,3,IF(Scharniere[[#This Row],[Werkzeuglos]]=1,4,0))))=select!$A$769,1,0)</f>
        <v>0</v>
      </c>
      <c r="U5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6" s="359">
        <f>IF(AND(Scharniere[[#This Row],[Scharnierart]]=4,Scharniere[[#This Row],[Gruppenschlüssel]]=select!$A$981)=TRUE,1,0)</f>
        <v>0</v>
      </c>
      <c r="W566" s="359">
        <f ca="1">IF(select!$O$1185&lt;6,1,0)</f>
        <v>1</v>
      </c>
      <c r="X566" s="359">
        <f>IF(select!$A$1012=IF(Scharniere[[#This Row],[mit Dämpfung]]=1,1,IF(Scharniere[[#This Row],[ohne Dämpfung]]=1,2,IF(Scharniere[[#This Row],[ohne Feder]]=1,3,0))),1,0)</f>
        <v>1</v>
      </c>
      <c r="Y566" s="359">
        <f>IF(Scharniere[[#This Row],[Bohrbild]]=select!$A$989,1,0)</f>
        <v>0</v>
      </c>
      <c r="Z566" s="359">
        <f>IF(IF(Scharniere[[#This Row],[Anschrauben]]=1,1,IF(Scharniere[[#This Row],[Einpressen]]=1,2,IF(Scharniere[[#This Row],[Quick]]=1,3,IF(Scharniere[[#This Row],[Werkzeuglos]]=1,4,0))))=select!$A$1003,1,0)</f>
        <v>0</v>
      </c>
      <c r="AA5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6" s="359">
        <f ca="1">IF(select!$K$980="*",Scharniere[[#This Row],[AG Ges2]],Scharniere[[#This Row],[AG Ges1]])</f>
        <v>0</v>
      </c>
      <c r="AE566" s="451">
        <f ca="1">IF(AND(Scharniere[[#This Row],[Scharnierart]]=select!$A$1485,Scharniere[[#This Row],[Gruppenschlüssel]]=select!$B$1485)=TRUE,1,0)</f>
        <v>0</v>
      </c>
      <c r="AF566" s="451">
        <f ca="1">IF(AND(Scharniere[[#This Row],[Scharnierart]]=select!$A$1486,Scharniere[[#This Row],[Gruppenschlüssel]]=select!$B$1486)=TRUE,1,0)</f>
        <v>0</v>
      </c>
      <c r="AG566" s="451">
        <f ca="1">IF(AND(Scharniere[[#This Row],[Scharnierart]]=select!$A$1487,Scharniere[[#This Row],[Gruppenschlüssel]]=select!$B$1487)=TRUE,1,0)</f>
        <v>0</v>
      </c>
      <c r="AH566" s="451">
        <f ca="1">IF(AND(Scharniere[[#This Row],[Scharnierart]]=select!$A$1488,Scharniere[[#This Row],[Gruppenschlüssel]]=select!$B$1488)=TRUE,1,0)</f>
        <v>0</v>
      </c>
      <c r="AI566" s="451">
        <f ca="1">IF(SUM(Scharniere[[#This Row],[konf Scharnier 1]:[konf Scharnier 4]])&gt;0,1,0)</f>
        <v>0</v>
      </c>
      <c r="AJ566" s="451"/>
      <c r="AK566" s="451"/>
      <c r="AL566" s="451"/>
      <c r="AM566" s="451"/>
      <c r="AN566" s="451"/>
      <c r="AO566" s="146">
        <v>1</v>
      </c>
      <c r="AP566" s="146">
        <v>4</v>
      </c>
      <c r="AQ566" s="10" t="str">
        <f ca="1">Sprache!$A$110</f>
        <v>Tiomos Scharnier T Click-on</v>
      </c>
      <c r="AR566" t="str">
        <f ca="1">"95°, M-BB, K19, "&amp;Sprache!A181&amp;", ni"</f>
        <v>95°, M-BB, K19, Dübel, ni</v>
      </c>
      <c r="AS566" t="str">
        <f ca="1">Sprache!$A$103</f>
        <v>Tiomos Click-On Scharniere</v>
      </c>
      <c r="AT566">
        <v>19</v>
      </c>
      <c r="AU566" s="34" t="s">
        <v>8</v>
      </c>
      <c r="AV566">
        <v>95</v>
      </c>
      <c r="AW566" s="10">
        <v>0</v>
      </c>
      <c r="AX566">
        <v>1</v>
      </c>
      <c r="AY566">
        <v>0</v>
      </c>
      <c r="AZ566" s="10">
        <v>0</v>
      </c>
      <c r="BA566">
        <v>1</v>
      </c>
      <c r="BB566">
        <v>0</v>
      </c>
      <c r="BC566">
        <v>0</v>
      </c>
      <c r="BD566" s="143" t="s">
        <v>456</v>
      </c>
      <c r="BG566"/>
    </row>
    <row r="567" spans="1:59" ht="14.25" customHeight="1" x14ac:dyDescent="0.25">
      <c r="A567" s="37" t="str">
        <f>LEFT(Scharniere[[#This Row],[ArtikelNR]],4)</f>
        <v>F028</v>
      </c>
      <c r="B567" s="35" t="str">
        <f>MID(Scharniere[[#This Row],[ArtikelNR]],5,3)</f>
        <v>138</v>
      </c>
      <c r="C567" s="37" t="str">
        <f>RIGHT(Scharniere[[#This Row],[ArtikelNR]],3)</f>
        <v>148</v>
      </c>
      <c r="D567" s="35">
        <f>IF(AND(Scharniere[[#This Row],[Gruppenschlüssel]]=select!$A$44,Scharniere[[#This Row],[Scharnierart]]=1)=TRUE,1,0)</f>
        <v>0</v>
      </c>
      <c r="E5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7" s="35">
        <f>IF(select!$F$57=IF(Scharniere[[#This Row],[mit Dämpfung]]=1,1,IF(Scharniere[[#This Row],[ohne Dämpfung]]=1,2,IF(Scharniere[[#This Row],[ohne Feder]]=1,3,0))),1,0)</f>
        <v>0</v>
      </c>
      <c r="G567" s="35">
        <f>IF(Scharniere[[#This Row],[Bohrbild]]=select!$V$43,1,0)</f>
        <v>1</v>
      </c>
      <c r="H567" s="35">
        <f>IF(IF(Scharniere[[#This Row],[Anschrauben]]=1,1,IF(Scharniere[[#This Row],[Einpressen]]=1,2,IF(Scharniere[[#This Row],[Quick]]=1,3,IF(Scharniere[[#This Row],[Werkzeuglos]]=1,4,0))))=select!$F$48,1,0)</f>
        <v>1</v>
      </c>
      <c r="I5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7" s="149">
        <f>IF(AND(Scharniere[[#This Row],[Scharnierart]]=2,Scharniere[[#This Row],[Gruppenschlüssel]]=select!$A$318)=TRUE,1,0)</f>
        <v>0</v>
      </c>
      <c r="K567" s="221">
        <f ca="1">IF(select!$O$424&lt;6,1,0)</f>
        <v>1</v>
      </c>
      <c r="L567" s="139">
        <f>IF(select!$A$362=IF(Scharniere[[#This Row],[mit Dämpfung]]=1,1,IF(Scharniere[[#This Row],[ohne Dämpfung]]=1,2,IF(Scharniere[[#This Row],[ohne Feder]]=1,3,0))),1,0)</f>
        <v>1</v>
      </c>
      <c r="M567" s="135">
        <f>IF(Scharniere[[#This Row],[Bohrbild]]=select!$O$334,1,0)</f>
        <v>1</v>
      </c>
      <c r="N567" s="135">
        <f>IF(IF(Scharniere[[#This Row],[Anschrauben]]=1,1,IF(Scharniere[[#This Row],[Einpressen]]=1,2,IF(Scharniere[[#This Row],[Quick]]=1,3,IF(Scharniere[[#This Row],[Werkzeuglos]]=1,4,0))))=select!$E$362,1,0)</f>
        <v>0</v>
      </c>
      <c r="O5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7" s="298">
        <f>IF(AND(Scharniere[[#This Row],[Scharnierart]]=3,Scharniere[[#This Row],[Gruppenschlüssel]]=select!$A$747)=TRUE,1,0)</f>
        <v>0</v>
      </c>
      <c r="Q567" s="298">
        <f ca="1">IF(select!$O$945&lt;6,1,0)</f>
        <v>1</v>
      </c>
      <c r="R567" s="298">
        <f>IF(select!$A$778=IF(Scharniere[[#This Row],[mit Dämpfung]]=1,1,IF(Scharniere[[#This Row],[ohne Dämpfung]]=1,2,IF(Scharniere[[#This Row],[ohne Feder]]=1,3,0))),1,0)</f>
        <v>0</v>
      </c>
      <c r="S567" s="298">
        <f>IF(Scharniere[[#This Row],[Bohrbild]]=select!$A$755,1,0)</f>
        <v>0</v>
      </c>
      <c r="T567" s="298">
        <f>IF(IF(Scharniere[[#This Row],[Anschrauben]]=1,1,IF(Scharniere[[#This Row],[Einpressen]]=1,2,IF(Scharniere[[#This Row],[Quick]]=1,3,IF(Scharniere[[#This Row],[Werkzeuglos]]=1,4,0))))=select!$A$769,1,0)</f>
        <v>0</v>
      </c>
      <c r="U5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7" s="359">
        <f>IF(AND(Scharniere[[#This Row],[Scharnierart]]=4,Scharniere[[#This Row],[Gruppenschlüssel]]=select!$A$981)=TRUE,1,0)</f>
        <v>0</v>
      </c>
      <c r="W567" s="359">
        <f ca="1">IF(select!$O$1185&lt;6,1,0)</f>
        <v>1</v>
      </c>
      <c r="X567" s="359">
        <f>IF(select!$A$1012=IF(Scharniere[[#This Row],[mit Dämpfung]]=1,1,IF(Scharniere[[#This Row],[ohne Dämpfung]]=1,2,IF(Scharniere[[#This Row],[ohne Feder]]=1,3,0))),1,0)</f>
        <v>0</v>
      </c>
      <c r="Y567" s="359">
        <f>IF(Scharniere[[#This Row],[Bohrbild]]=select!$A$989,1,0)</f>
        <v>0</v>
      </c>
      <c r="Z567" s="359">
        <f>IF(IF(Scharniere[[#This Row],[Anschrauben]]=1,1,IF(Scharniere[[#This Row],[Einpressen]]=1,2,IF(Scharniere[[#This Row],[Quick]]=1,3,IF(Scharniere[[#This Row],[Werkzeuglos]]=1,4,0))))=select!$A$1003,1,0)</f>
        <v>0</v>
      </c>
      <c r="AA5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7" s="359">
        <f ca="1">IF(select!$K$980="*",Scharniere[[#This Row],[AG Ges2]],Scharniere[[#This Row],[AG Ges1]])</f>
        <v>0</v>
      </c>
      <c r="AE567" s="451">
        <f ca="1">IF(AND(Scharniere[[#This Row],[Scharnierart]]=select!$A$1485,Scharniere[[#This Row],[Gruppenschlüssel]]=select!$B$1485)=TRUE,1,0)</f>
        <v>0</v>
      </c>
      <c r="AF567" s="451">
        <f ca="1">IF(AND(Scharniere[[#This Row],[Scharnierart]]=select!$A$1486,Scharniere[[#This Row],[Gruppenschlüssel]]=select!$B$1486)=TRUE,1,0)</f>
        <v>0</v>
      </c>
      <c r="AG567" s="451">
        <f ca="1">IF(AND(Scharniere[[#This Row],[Scharnierart]]=select!$A$1487,Scharniere[[#This Row],[Gruppenschlüssel]]=select!$B$1487)=TRUE,1,0)</f>
        <v>0</v>
      </c>
      <c r="AH567" s="451">
        <f ca="1">IF(AND(Scharniere[[#This Row],[Scharnierart]]=select!$A$1488,Scharniere[[#This Row],[Gruppenschlüssel]]=select!$B$1488)=TRUE,1,0)</f>
        <v>0</v>
      </c>
      <c r="AI567" s="451">
        <f ca="1">IF(SUM(Scharniere[[#This Row],[konf Scharnier 1]:[konf Scharnier 4]])&gt;0,1,0)</f>
        <v>0</v>
      </c>
      <c r="AJ567" s="451"/>
      <c r="AK567" s="451"/>
      <c r="AL567" s="451"/>
      <c r="AM567" s="451"/>
      <c r="AN567" s="451"/>
      <c r="AO567" s="146">
        <v>1</v>
      </c>
      <c r="AP567" s="146">
        <v>4</v>
      </c>
      <c r="AQ567" s="10" t="str">
        <f ca="1">Sprache!$A$112</f>
        <v>Tiomos Scharnier TS Click-on</v>
      </c>
      <c r="AR567" t="str">
        <f ca="1">"95°, M-BB, K19, "&amp;Sprache!A181&amp;", ni"</f>
        <v>95°, M-BB, K19, Dübel, ni</v>
      </c>
      <c r="AS567" t="str">
        <f ca="1">Sprache!$A$103</f>
        <v>Tiomos Click-On Scharniere</v>
      </c>
      <c r="AT567">
        <v>19</v>
      </c>
      <c r="AU567" t="s">
        <v>8</v>
      </c>
      <c r="AV567">
        <v>95</v>
      </c>
      <c r="AW567" s="10">
        <v>1</v>
      </c>
      <c r="AX567">
        <v>0</v>
      </c>
      <c r="AY567">
        <v>0</v>
      </c>
      <c r="AZ567" s="10">
        <v>0</v>
      </c>
      <c r="BA567">
        <v>1</v>
      </c>
      <c r="BB567">
        <v>0</v>
      </c>
      <c r="BC567">
        <v>0</v>
      </c>
      <c r="BD567" s="143" t="s">
        <v>263</v>
      </c>
      <c r="BG567"/>
    </row>
    <row r="568" spans="1:59" ht="14.25" customHeight="1" x14ac:dyDescent="0.25">
      <c r="A568" s="37" t="str">
        <f>LEFT(Scharniere[[#This Row],[ArtikelNR]],4)</f>
        <v>F046</v>
      </c>
      <c r="B568" s="35" t="str">
        <f>MID(Scharniere[[#This Row],[ArtikelNR]],5,3)</f>
        <v>138</v>
      </c>
      <c r="C568" s="37" t="str">
        <f>RIGHT(Scharniere[[#This Row],[ArtikelNR]],3)</f>
        <v>239</v>
      </c>
      <c r="D568" s="35">
        <f>IF(AND(Scharniere[[#This Row],[Gruppenschlüssel]]=select!$A$44,Scharniere[[#This Row],[Scharnierart]]=1)=TRUE,1,0)</f>
        <v>0</v>
      </c>
      <c r="E5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8" s="35">
        <f>IF(select!$F$57=IF(Scharniere[[#This Row],[mit Dämpfung]]=1,1,IF(Scharniere[[#This Row],[ohne Dämpfung]]=1,2,IF(Scharniere[[#This Row],[ohne Feder]]=1,3,0))),1,0)</f>
        <v>1</v>
      </c>
      <c r="G568" s="35">
        <f>IF(Scharniere[[#This Row],[Bohrbild]]=select!$V$43,1,0)</f>
        <v>1</v>
      </c>
      <c r="H568" s="35">
        <f>IF(IF(Scharniere[[#This Row],[Anschrauben]]=1,1,IF(Scharniere[[#This Row],[Einpressen]]=1,2,IF(Scharniere[[#This Row],[Quick]]=1,3,IF(Scharniere[[#This Row],[Werkzeuglos]]=1,4,0))))=select!$F$48,1,0)</f>
        <v>1</v>
      </c>
      <c r="I5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8" s="149">
        <f>IF(AND(Scharniere[[#This Row],[Scharnierart]]=2,Scharniere[[#This Row],[Gruppenschlüssel]]=select!$A$318)=TRUE,1,0)</f>
        <v>0</v>
      </c>
      <c r="K568" s="221">
        <f ca="1">IF(select!$O$424&lt;6,1,0)</f>
        <v>1</v>
      </c>
      <c r="L568" s="139">
        <f>IF(select!$A$362=IF(Scharniere[[#This Row],[mit Dämpfung]]=1,1,IF(Scharniere[[#This Row],[ohne Dämpfung]]=1,2,IF(Scharniere[[#This Row],[ohne Feder]]=1,3,0))),1,0)</f>
        <v>0</v>
      </c>
      <c r="M568" s="135">
        <f>IF(Scharniere[[#This Row],[Bohrbild]]=select!$O$334,1,0)</f>
        <v>1</v>
      </c>
      <c r="N568" s="135">
        <f>IF(IF(Scharniere[[#This Row],[Anschrauben]]=1,1,IF(Scharniere[[#This Row],[Einpressen]]=1,2,IF(Scharniere[[#This Row],[Quick]]=1,3,IF(Scharniere[[#This Row],[Werkzeuglos]]=1,4,0))))=select!$E$362,1,0)</f>
        <v>0</v>
      </c>
      <c r="O5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8" s="298">
        <f>IF(AND(Scharniere[[#This Row],[Scharnierart]]=3,Scharniere[[#This Row],[Gruppenschlüssel]]=select!$A$747)=TRUE,1,0)</f>
        <v>0</v>
      </c>
      <c r="Q568" s="298">
        <f ca="1">IF(select!$O$945&lt;6,1,0)</f>
        <v>1</v>
      </c>
      <c r="R568" s="298">
        <f>IF(select!$A$778=IF(Scharniere[[#This Row],[mit Dämpfung]]=1,1,IF(Scharniere[[#This Row],[ohne Dämpfung]]=1,2,IF(Scharniere[[#This Row],[ohne Feder]]=1,3,0))),1,0)</f>
        <v>0</v>
      </c>
      <c r="S568" s="298">
        <f>IF(Scharniere[[#This Row],[Bohrbild]]=select!$A$755,1,0)</f>
        <v>0</v>
      </c>
      <c r="T568" s="298">
        <f>IF(IF(Scharniere[[#This Row],[Anschrauben]]=1,1,IF(Scharniere[[#This Row],[Einpressen]]=1,2,IF(Scharniere[[#This Row],[Quick]]=1,3,IF(Scharniere[[#This Row],[Werkzeuglos]]=1,4,0))))=select!$A$769,1,0)</f>
        <v>0</v>
      </c>
      <c r="U5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8" s="359">
        <f>IF(AND(Scharniere[[#This Row],[Scharnierart]]=4,Scharniere[[#This Row],[Gruppenschlüssel]]=select!$A$981)=TRUE,1,0)</f>
        <v>0</v>
      </c>
      <c r="W568" s="359">
        <f ca="1">IF(select!$O$1185&lt;6,1,0)</f>
        <v>1</v>
      </c>
      <c r="X568" s="359">
        <f>IF(select!$A$1012=IF(Scharniere[[#This Row],[mit Dämpfung]]=1,1,IF(Scharniere[[#This Row],[ohne Dämpfung]]=1,2,IF(Scharniere[[#This Row],[ohne Feder]]=1,3,0))),1,0)</f>
        <v>0</v>
      </c>
      <c r="Y568" s="359">
        <f>IF(Scharniere[[#This Row],[Bohrbild]]=select!$A$989,1,0)</f>
        <v>0</v>
      </c>
      <c r="Z568" s="359">
        <f>IF(IF(Scharniere[[#This Row],[Anschrauben]]=1,1,IF(Scharniere[[#This Row],[Einpressen]]=1,2,IF(Scharniere[[#This Row],[Quick]]=1,3,IF(Scharniere[[#This Row],[Werkzeuglos]]=1,4,0))))=select!$A$1003,1,0)</f>
        <v>0</v>
      </c>
      <c r="AA5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8" s="359">
        <f ca="1">IF(select!$K$980="*",Scharniere[[#This Row],[AG Ges2]],Scharniere[[#This Row],[AG Ges1]])</f>
        <v>0</v>
      </c>
      <c r="AE568" s="451">
        <f ca="1">IF(AND(Scharniere[[#This Row],[Scharnierart]]=select!$A$1485,Scharniere[[#This Row],[Gruppenschlüssel]]=select!$B$1485)=TRUE,1,0)</f>
        <v>0</v>
      </c>
      <c r="AF568" s="451">
        <f ca="1">IF(AND(Scharniere[[#This Row],[Scharnierart]]=select!$A$1486,Scharniere[[#This Row],[Gruppenschlüssel]]=select!$B$1486)=TRUE,1,0)</f>
        <v>0</v>
      </c>
      <c r="AG568" s="451">
        <f ca="1">IF(AND(Scharniere[[#This Row],[Scharnierart]]=select!$A$1487,Scharniere[[#This Row],[Gruppenschlüssel]]=select!$B$1487)=TRUE,1,0)</f>
        <v>0</v>
      </c>
      <c r="AH568" s="451">
        <f ca="1">IF(AND(Scharniere[[#This Row],[Scharnierart]]=select!$A$1488,Scharniere[[#This Row],[Gruppenschlüssel]]=select!$B$1488)=TRUE,1,0)</f>
        <v>0</v>
      </c>
      <c r="AI568" s="451">
        <f ca="1">IF(SUM(Scharniere[[#This Row],[konf Scharnier 1]:[konf Scharnier 4]])&gt;0,1,0)</f>
        <v>0</v>
      </c>
      <c r="AJ568" s="451"/>
      <c r="AK568" s="451"/>
      <c r="AL568" s="451"/>
      <c r="AM568" s="451"/>
      <c r="AN568" s="451"/>
      <c r="AO568" s="146">
        <v>1</v>
      </c>
      <c r="AP568" s="146">
        <v>4</v>
      </c>
      <c r="AQ568" s="10" t="str">
        <f ca="1">Sprache!$A$114</f>
        <v>Tiomos Scharnier TT Click-on</v>
      </c>
      <c r="AR568" t="str">
        <f ca="1">"95°, M-BB, K19, "&amp;Sprache!A181&amp;", ni"</f>
        <v>95°, M-BB, K19, Dübel, ni</v>
      </c>
      <c r="AS568" t="str">
        <f ca="1">Sprache!$A$103</f>
        <v>Tiomos Click-On Scharniere</v>
      </c>
      <c r="AT568">
        <v>19</v>
      </c>
      <c r="AU568" t="s">
        <v>8</v>
      </c>
      <c r="AV568">
        <v>95</v>
      </c>
      <c r="AW568" s="10">
        <v>0</v>
      </c>
      <c r="AX568">
        <v>0</v>
      </c>
      <c r="AY568">
        <v>1</v>
      </c>
      <c r="AZ568" s="10">
        <v>0</v>
      </c>
      <c r="BA568">
        <v>1</v>
      </c>
      <c r="BB568">
        <v>0</v>
      </c>
      <c r="BC568">
        <v>0</v>
      </c>
      <c r="BD568" s="143" t="s">
        <v>608</v>
      </c>
      <c r="BG568"/>
    </row>
    <row r="569" spans="1:59" ht="14.25" customHeight="1" x14ac:dyDescent="0.25">
      <c r="A569" s="37" t="str">
        <f>LEFT(Scharniere[[#This Row],[ArtikelNR]],4)</f>
        <v>F045</v>
      </c>
      <c r="B569" s="35" t="str">
        <f>MID(Scharniere[[#This Row],[ArtikelNR]],5,3)</f>
        <v>138</v>
      </c>
      <c r="C569" s="37" t="str">
        <f>RIGHT(Scharniere[[#This Row],[ArtikelNR]],3)</f>
        <v>051</v>
      </c>
      <c r="D569" s="35">
        <f>IF(AND(Scharniere[[#This Row],[Gruppenschlüssel]]=select!$A$44,Scharniere[[#This Row],[Scharnierart]]=1)=TRUE,1,0)</f>
        <v>0</v>
      </c>
      <c r="E5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69" s="35">
        <f>IF(select!$F$57=IF(Scharniere[[#This Row],[mit Dämpfung]]=1,1,IF(Scharniere[[#This Row],[ohne Dämpfung]]=1,2,IF(Scharniere[[#This Row],[ohne Feder]]=1,3,0))),1,0)</f>
        <v>0</v>
      </c>
      <c r="G569" s="35">
        <f>IF(Scharniere[[#This Row],[Bohrbild]]=select!$V$43,1,0)</f>
        <v>1</v>
      </c>
      <c r="H569" s="35">
        <f>IF(IF(Scharniere[[#This Row],[Anschrauben]]=1,1,IF(Scharniere[[#This Row],[Einpressen]]=1,2,IF(Scharniere[[#This Row],[Quick]]=1,3,IF(Scharniere[[#This Row],[Werkzeuglos]]=1,4,0))))=select!$F$48,1,0)</f>
        <v>0</v>
      </c>
      <c r="I5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69" s="149">
        <f>IF(AND(Scharniere[[#This Row],[Scharnierart]]=2,Scharniere[[#This Row],[Gruppenschlüssel]]=select!$A$318)=TRUE,1,0)</f>
        <v>0</v>
      </c>
      <c r="K569" s="221">
        <f ca="1">IF(select!$O$424&lt;6,1,0)</f>
        <v>1</v>
      </c>
      <c r="L569" s="139">
        <f>IF(select!$A$362=IF(Scharniere[[#This Row],[mit Dämpfung]]=1,1,IF(Scharniere[[#This Row],[ohne Dämpfung]]=1,2,IF(Scharniere[[#This Row],[ohne Feder]]=1,3,0))),1,0)</f>
        <v>0</v>
      </c>
      <c r="M569" s="135">
        <f>IF(Scharniere[[#This Row],[Bohrbild]]=select!$O$334,1,0)</f>
        <v>1</v>
      </c>
      <c r="N569" s="135">
        <f>IF(IF(Scharniere[[#This Row],[Anschrauben]]=1,1,IF(Scharniere[[#This Row],[Einpressen]]=1,2,IF(Scharniere[[#This Row],[Quick]]=1,3,IF(Scharniere[[#This Row],[Werkzeuglos]]=1,4,0))))=select!$E$362,1,0)</f>
        <v>1</v>
      </c>
      <c r="O5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69" s="298">
        <f>IF(AND(Scharniere[[#This Row],[Scharnierart]]=3,Scharniere[[#This Row],[Gruppenschlüssel]]=select!$A$747)=TRUE,1,0)</f>
        <v>0</v>
      </c>
      <c r="Q569" s="298">
        <f ca="1">IF(select!$O$945&lt;6,1,0)</f>
        <v>1</v>
      </c>
      <c r="R569" s="298">
        <f>IF(select!$A$778=IF(Scharniere[[#This Row],[mit Dämpfung]]=1,1,IF(Scharniere[[#This Row],[ohne Dämpfung]]=1,2,IF(Scharniere[[#This Row],[ohne Feder]]=1,3,0))),1,0)</f>
        <v>1</v>
      </c>
      <c r="S569" s="298">
        <f>IF(Scharniere[[#This Row],[Bohrbild]]=select!$A$755,1,0)</f>
        <v>0</v>
      </c>
      <c r="T569" s="298">
        <f>IF(IF(Scharniere[[#This Row],[Anschrauben]]=1,1,IF(Scharniere[[#This Row],[Einpressen]]=1,2,IF(Scharniere[[#This Row],[Quick]]=1,3,IF(Scharniere[[#This Row],[Werkzeuglos]]=1,4,0))))=select!$A$769,1,0)</f>
        <v>1</v>
      </c>
      <c r="U5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69" s="359">
        <f>IF(AND(Scharniere[[#This Row],[Scharnierart]]=4,Scharniere[[#This Row],[Gruppenschlüssel]]=select!$A$981)=TRUE,1,0)</f>
        <v>0</v>
      </c>
      <c r="W569" s="359">
        <f ca="1">IF(select!$O$1185&lt;6,1,0)</f>
        <v>1</v>
      </c>
      <c r="X569" s="359">
        <f>IF(select!$A$1012=IF(Scharniere[[#This Row],[mit Dämpfung]]=1,1,IF(Scharniere[[#This Row],[ohne Dämpfung]]=1,2,IF(Scharniere[[#This Row],[ohne Feder]]=1,3,0))),1,0)</f>
        <v>1</v>
      </c>
      <c r="Y569" s="359">
        <f>IF(Scharniere[[#This Row],[Bohrbild]]=select!$A$989,1,0)</f>
        <v>0</v>
      </c>
      <c r="Z569" s="359">
        <f>IF(IF(Scharniere[[#This Row],[Anschrauben]]=1,1,IF(Scharniere[[#This Row],[Einpressen]]=1,2,IF(Scharniere[[#This Row],[Quick]]=1,3,IF(Scharniere[[#This Row],[Werkzeuglos]]=1,4,0))))=select!$A$1003,1,0)</f>
        <v>1</v>
      </c>
      <c r="AA5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69" s="359">
        <f ca="1">IF(select!$K$980="*",Scharniere[[#This Row],[AG Ges2]],Scharniere[[#This Row],[AG Ges1]])</f>
        <v>0</v>
      </c>
      <c r="AE569" s="451">
        <f ca="1">IF(AND(Scharniere[[#This Row],[Scharnierart]]=select!$A$1485,Scharniere[[#This Row],[Gruppenschlüssel]]=select!$B$1485)=TRUE,1,0)</f>
        <v>0</v>
      </c>
      <c r="AF569" s="451">
        <f ca="1">IF(AND(Scharniere[[#This Row],[Scharnierart]]=select!$A$1486,Scharniere[[#This Row],[Gruppenschlüssel]]=select!$B$1486)=TRUE,1,0)</f>
        <v>0</v>
      </c>
      <c r="AG569" s="451">
        <f ca="1">IF(AND(Scharniere[[#This Row],[Scharnierart]]=select!$A$1487,Scharniere[[#This Row],[Gruppenschlüssel]]=select!$B$1487)=TRUE,1,0)</f>
        <v>0</v>
      </c>
      <c r="AH569" s="451">
        <f ca="1">IF(AND(Scharniere[[#This Row],[Scharnierart]]=select!$A$1488,Scharniere[[#This Row],[Gruppenschlüssel]]=select!$B$1488)=TRUE,1,0)</f>
        <v>0</v>
      </c>
      <c r="AI569" s="451">
        <f ca="1">IF(SUM(Scharniere[[#This Row],[konf Scharnier 1]:[konf Scharnier 4]])&gt;0,1,0)</f>
        <v>0</v>
      </c>
      <c r="AJ569" s="451"/>
      <c r="AK569" s="451"/>
      <c r="AL569" s="451"/>
      <c r="AM569" s="451"/>
      <c r="AN569" s="451"/>
      <c r="AO569" s="146">
        <v>1</v>
      </c>
      <c r="AP569" s="146">
        <v>4</v>
      </c>
      <c r="AQ569" s="10" t="str">
        <f ca="1">Sprache!$A$110</f>
        <v>Tiomos Scharnier T Click-on</v>
      </c>
      <c r="AR569" t="s">
        <v>259</v>
      </c>
      <c r="AS569" t="str">
        <f ca="1">Sprache!$A$103</f>
        <v>Tiomos Click-On Scharniere</v>
      </c>
      <c r="AT569">
        <v>19</v>
      </c>
      <c r="AU569" s="34" t="s">
        <v>8</v>
      </c>
      <c r="AV569">
        <v>95</v>
      </c>
      <c r="AW569" s="10">
        <v>0</v>
      </c>
      <c r="AX569">
        <v>1</v>
      </c>
      <c r="AY569">
        <v>0</v>
      </c>
      <c r="AZ569" s="10">
        <v>1</v>
      </c>
      <c r="BA569">
        <v>0</v>
      </c>
      <c r="BB569">
        <v>0</v>
      </c>
      <c r="BC569">
        <v>0</v>
      </c>
      <c r="BD569" s="143" t="s">
        <v>452</v>
      </c>
      <c r="BG569"/>
    </row>
    <row r="570" spans="1:59" ht="14.25" customHeight="1" x14ac:dyDescent="0.25">
      <c r="A570" s="37" t="str">
        <f>LEFT(Scharniere[[#This Row],[ArtikelNR]],4)</f>
        <v>F028</v>
      </c>
      <c r="B570" s="35" t="str">
        <f>MID(Scharniere[[#This Row],[ArtikelNR]],5,3)</f>
        <v>138</v>
      </c>
      <c r="C570" s="37" t="str">
        <f>RIGHT(Scharniere[[#This Row],[ArtikelNR]],3)</f>
        <v>144</v>
      </c>
      <c r="D570" s="35">
        <f>IF(AND(Scharniere[[#This Row],[Gruppenschlüssel]]=select!$A$44,Scharniere[[#This Row],[Scharnierart]]=1)=TRUE,1,0)</f>
        <v>0</v>
      </c>
      <c r="E5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0" s="35">
        <f>IF(select!$F$57=IF(Scharniere[[#This Row],[mit Dämpfung]]=1,1,IF(Scharniere[[#This Row],[ohne Dämpfung]]=1,2,IF(Scharniere[[#This Row],[ohne Feder]]=1,3,0))),1,0)</f>
        <v>0</v>
      </c>
      <c r="G570" s="35">
        <f>IF(Scharniere[[#This Row],[Bohrbild]]=select!$V$43,1,0)</f>
        <v>1</v>
      </c>
      <c r="H570" s="35">
        <f>IF(IF(Scharniere[[#This Row],[Anschrauben]]=1,1,IF(Scharniere[[#This Row],[Einpressen]]=1,2,IF(Scharniere[[#This Row],[Quick]]=1,3,IF(Scharniere[[#This Row],[Werkzeuglos]]=1,4,0))))=select!$F$48,1,0)</f>
        <v>0</v>
      </c>
      <c r="I5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0" s="149">
        <f>IF(AND(Scharniere[[#This Row],[Scharnierart]]=2,Scharniere[[#This Row],[Gruppenschlüssel]]=select!$A$318)=TRUE,1,0)</f>
        <v>0</v>
      </c>
      <c r="K570" s="221">
        <f ca="1">IF(select!$O$424&lt;6,1,0)</f>
        <v>1</v>
      </c>
      <c r="L570" s="139">
        <f>IF(select!$A$362=IF(Scharniere[[#This Row],[mit Dämpfung]]=1,1,IF(Scharniere[[#This Row],[ohne Dämpfung]]=1,2,IF(Scharniere[[#This Row],[ohne Feder]]=1,3,0))),1,0)</f>
        <v>1</v>
      </c>
      <c r="M570" s="135">
        <f>IF(Scharniere[[#This Row],[Bohrbild]]=select!$O$334,1,0)</f>
        <v>1</v>
      </c>
      <c r="N570" s="135">
        <f>IF(IF(Scharniere[[#This Row],[Anschrauben]]=1,1,IF(Scharniere[[#This Row],[Einpressen]]=1,2,IF(Scharniere[[#This Row],[Quick]]=1,3,IF(Scharniere[[#This Row],[Werkzeuglos]]=1,4,0))))=select!$E$362,1,0)</f>
        <v>1</v>
      </c>
      <c r="O5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0" s="298">
        <f>IF(AND(Scharniere[[#This Row],[Scharnierart]]=3,Scharniere[[#This Row],[Gruppenschlüssel]]=select!$A$747)=TRUE,1,0)</f>
        <v>0</v>
      </c>
      <c r="Q570" s="298">
        <f ca="1">IF(select!$O$945&lt;6,1,0)</f>
        <v>1</v>
      </c>
      <c r="R570" s="298">
        <f>IF(select!$A$778=IF(Scharniere[[#This Row],[mit Dämpfung]]=1,1,IF(Scharniere[[#This Row],[ohne Dämpfung]]=1,2,IF(Scharniere[[#This Row],[ohne Feder]]=1,3,0))),1,0)</f>
        <v>0</v>
      </c>
      <c r="S570" s="298">
        <f>IF(Scharniere[[#This Row],[Bohrbild]]=select!$A$755,1,0)</f>
        <v>0</v>
      </c>
      <c r="T570" s="298">
        <f>IF(IF(Scharniere[[#This Row],[Anschrauben]]=1,1,IF(Scharniere[[#This Row],[Einpressen]]=1,2,IF(Scharniere[[#This Row],[Quick]]=1,3,IF(Scharniere[[#This Row],[Werkzeuglos]]=1,4,0))))=select!$A$769,1,0)</f>
        <v>1</v>
      </c>
      <c r="U5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0" s="359">
        <f>IF(AND(Scharniere[[#This Row],[Scharnierart]]=4,Scharniere[[#This Row],[Gruppenschlüssel]]=select!$A$981)=TRUE,1,0)</f>
        <v>0</v>
      </c>
      <c r="W570" s="359">
        <f ca="1">IF(select!$O$1185&lt;6,1,0)</f>
        <v>1</v>
      </c>
      <c r="X570" s="359">
        <f>IF(select!$A$1012=IF(Scharniere[[#This Row],[mit Dämpfung]]=1,1,IF(Scharniere[[#This Row],[ohne Dämpfung]]=1,2,IF(Scharniere[[#This Row],[ohne Feder]]=1,3,0))),1,0)</f>
        <v>0</v>
      </c>
      <c r="Y570" s="359">
        <f>IF(Scharniere[[#This Row],[Bohrbild]]=select!$A$989,1,0)</f>
        <v>0</v>
      </c>
      <c r="Z570" s="359">
        <f>IF(IF(Scharniere[[#This Row],[Anschrauben]]=1,1,IF(Scharniere[[#This Row],[Einpressen]]=1,2,IF(Scharniere[[#This Row],[Quick]]=1,3,IF(Scharniere[[#This Row],[Werkzeuglos]]=1,4,0))))=select!$A$1003,1,0)</f>
        <v>1</v>
      </c>
      <c r="AA5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0" s="359">
        <f ca="1">IF(select!$K$980="*",Scharniere[[#This Row],[AG Ges2]],Scharniere[[#This Row],[AG Ges1]])</f>
        <v>0</v>
      </c>
      <c r="AE570" s="451">
        <f ca="1">IF(AND(Scharniere[[#This Row],[Scharnierart]]=select!$A$1485,Scharniere[[#This Row],[Gruppenschlüssel]]=select!$B$1485)=TRUE,1,0)</f>
        <v>0</v>
      </c>
      <c r="AF570" s="451">
        <f ca="1">IF(AND(Scharniere[[#This Row],[Scharnierart]]=select!$A$1486,Scharniere[[#This Row],[Gruppenschlüssel]]=select!$B$1486)=TRUE,1,0)</f>
        <v>0</v>
      </c>
      <c r="AG570" s="451">
        <f ca="1">IF(AND(Scharniere[[#This Row],[Scharnierart]]=select!$A$1487,Scharniere[[#This Row],[Gruppenschlüssel]]=select!$B$1487)=TRUE,1,0)</f>
        <v>0</v>
      </c>
      <c r="AH570" s="451">
        <f ca="1">IF(AND(Scharniere[[#This Row],[Scharnierart]]=select!$A$1488,Scharniere[[#This Row],[Gruppenschlüssel]]=select!$B$1488)=TRUE,1,0)</f>
        <v>0</v>
      </c>
      <c r="AI570" s="451">
        <f ca="1">IF(SUM(Scharniere[[#This Row],[konf Scharnier 1]:[konf Scharnier 4]])&gt;0,1,0)</f>
        <v>0</v>
      </c>
      <c r="AJ570" s="451"/>
      <c r="AK570" s="451"/>
      <c r="AL570" s="451"/>
      <c r="AM570" s="451"/>
      <c r="AN570" s="451"/>
      <c r="AO570" s="146">
        <v>1</v>
      </c>
      <c r="AP570" s="146">
        <v>4</v>
      </c>
      <c r="AQ570" s="10" t="str">
        <f ca="1">Sprache!$A$112</f>
        <v>Tiomos Scharnier TS Click-on</v>
      </c>
      <c r="AR570" t="s">
        <v>259</v>
      </c>
      <c r="AS570" t="str">
        <f ca="1">Sprache!$A$103</f>
        <v>Tiomos Click-On Scharniere</v>
      </c>
      <c r="AT570">
        <v>19</v>
      </c>
      <c r="AU570" t="s">
        <v>8</v>
      </c>
      <c r="AV570">
        <v>95</v>
      </c>
      <c r="AW570" s="10">
        <v>1</v>
      </c>
      <c r="AX570">
        <v>0</v>
      </c>
      <c r="AY570">
        <v>0</v>
      </c>
      <c r="AZ570" s="10">
        <v>1</v>
      </c>
      <c r="BA570">
        <v>0</v>
      </c>
      <c r="BB570">
        <v>0</v>
      </c>
      <c r="BC570">
        <v>0</v>
      </c>
      <c r="BD570" s="143" t="s">
        <v>258</v>
      </c>
      <c r="BG570"/>
    </row>
    <row r="571" spans="1:59" ht="14.25" customHeight="1" x14ac:dyDescent="0.25">
      <c r="A571" s="37" t="str">
        <f>LEFT(Scharniere[[#This Row],[ArtikelNR]],4)</f>
        <v>F046</v>
      </c>
      <c r="B571" s="35" t="str">
        <f>MID(Scharniere[[#This Row],[ArtikelNR]],5,3)</f>
        <v>138</v>
      </c>
      <c r="C571" s="37" t="str">
        <f>RIGHT(Scharniere[[#This Row],[ArtikelNR]],3)</f>
        <v>235</v>
      </c>
      <c r="D571" s="35">
        <f>IF(AND(Scharniere[[#This Row],[Gruppenschlüssel]]=select!$A$44,Scharniere[[#This Row],[Scharnierart]]=1)=TRUE,1,0)</f>
        <v>0</v>
      </c>
      <c r="E5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1" s="35">
        <f>IF(select!$F$57=IF(Scharniere[[#This Row],[mit Dämpfung]]=1,1,IF(Scharniere[[#This Row],[ohne Dämpfung]]=1,2,IF(Scharniere[[#This Row],[ohne Feder]]=1,3,0))),1,0)</f>
        <v>1</v>
      </c>
      <c r="G571" s="35">
        <f>IF(Scharniere[[#This Row],[Bohrbild]]=select!$V$43,1,0)</f>
        <v>1</v>
      </c>
      <c r="H571" s="35">
        <f>IF(IF(Scharniere[[#This Row],[Anschrauben]]=1,1,IF(Scharniere[[#This Row],[Einpressen]]=1,2,IF(Scharniere[[#This Row],[Quick]]=1,3,IF(Scharniere[[#This Row],[Werkzeuglos]]=1,4,0))))=select!$F$48,1,0)</f>
        <v>0</v>
      </c>
      <c r="I5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1" s="149">
        <f>IF(AND(Scharniere[[#This Row],[Scharnierart]]=2,Scharniere[[#This Row],[Gruppenschlüssel]]=select!$A$318)=TRUE,1,0)</f>
        <v>0</v>
      </c>
      <c r="K571" s="221">
        <f ca="1">IF(select!$O$424&lt;6,1,0)</f>
        <v>1</v>
      </c>
      <c r="L571" s="139">
        <f>IF(select!$A$362=IF(Scharniere[[#This Row],[mit Dämpfung]]=1,1,IF(Scharniere[[#This Row],[ohne Dämpfung]]=1,2,IF(Scharniere[[#This Row],[ohne Feder]]=1,3,0))),1,0)</f>
        <v>0</v>
      </c>
      <c r="M571" s="135">
        <f>IF(Scharniere[[#This Row],[Bohrbild]]=select!$O$334,1,0)</f>
        <v>1</v>
      </c>
      <c r="N571" s="135">
        <f>IF(IF(Scharniere[[#This Row],[Anschrauben]]=1,1,IF(Scharniere[[#This Row],[Einpressen]]=1,2,IF(Scharniere[[#This Row],[Quick]]=1,3,IF(Scharniere[[#This Row],[Werkzeuglos]]=1,4,0))))=select!$E$362,1,0)</f>
        <v>1</v>
      </c>
      <c r="O5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1" s="298">
        <f>IF(AND(Scharniere[[#This Row],[Scharnierart]]=3,Scharniere[[#This Row],[Gruppenschlüssel]]=select!$A$747)=TRUE,1,0)</f>
        <v>0</v>
      </c>
      <c r="Q571" s="298">
        <f ca="1">IF(select!$O$945&lt;6,1,0)</f>
        <v>1</v>
      </c>
      <c r="R571" s="298">
        <f>IF(select!$A$778=IF(Scharniere[[#This Row],[mit Dämpfung]]=1,1,IF(Scharniere[[#This Row],[ohne Dämpfung]]=1,2,IF(Scharniere[[#This Row],[ohne Feder]]=1,3,0))),1,0)</f>
        <v>0</v>
      </c>
      <c r="S571" s="298">
        <f>IF(Scharniere[[#This Row],[Bohrbild]]=select!$A$755,1,0)</f>
        <v>0</v>
      </c>
      <c r="T571" s="298">
        <f>IF(IF(Scharniere[[#This Row],[Anschrauben]]=1,1,IF(Scharniere[[#This Row],[Einpressen]]=1,2,IF(Scharniere[[#This Row],[Quick]]=1,3,IF(Scharniere[[#This Row],[Werkzeuglos]]=1,4,0))))=select!$A$769,1,0)</f>
        <v>1</v>
      </c>
      <c r="U5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1" s="359">
        <f>IF(AND(Scharniere[[#This Row],[Scharnierart]]=4,Scharniere[[#This Row],[Gruppenschlüssel]]=select!$A$981)=TRUE,1,0)</f>
        <v>0</v>
      </c>
      <c r="W571" s="359">
        <f ca="1">IF(select!$O$1185&lt;6,1,0)</f>
        <v>1</v>
      </c>
      <c r="X571" s="359">
        <f>IF(select!$A$1012=IF(Scharniere[[#This Row],[mit Dämpfung]]=1,1,IF(Scharniere[[#This Row],[ohne Dämpfung]]=1,2,IF(Scharniere[[#This Row],[ohne Feder]]=1,3,0))),1,0)</f>
        <v>0</v>
      </c>
      <c r="Y571" s="359">
        <f>IF(Scharniere[[#This Row],[Bohrbild]]=select!$A$989,1,0)</f>
        <v>0</v>
      </c>
      <c r="Z571" s="359">
        <f>IF(IF(Scharniere[[#This Row],[Anschrauben]]=1,1,IF(Scharniere[[#This Row],[Einpressen]]=1,2,IF(Scharniere[[#This Row],[Quick]]=1,3,IF(Scharniere[[#This Row],[Werkzeuglos]]=1,4,0))))=select!$A$1003,1,0)</f>
        <v>1</v>
      </c>
      <c r="AA5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1" s="359">
        <f ca="1">IF(select!$K$980="*",Scharniere[[#This Row],[AG Ges2]],Scharniere[[#This Row],[AG Ges1]])</f>
        <v>0</v>
      </c>
      <c r="AE571" s="451">
        <f ca="1">IF(AND(Scharniere[[#This Row],[Scharnierart]]=select!$A$1485,Scharniere[[#This Row],[Gruppenschlüssel]]=select!$B$1485)=TRUE,1,0)</f>
        <v>0</v>
      </c>
      <c r="AF571" s="451">
        <f ca="1">IF(AND(Scharniere[[#This Row],[Scharnierart]]=select!$A$1486,Scharniere[[#This Row],[Gruppenschlüssel]]=select!$B$1486)=TRUE,1,0)</f>
        <v>0</v>
      </c>
      <c r="AG571" s="451">
        <f ca="1">IF(AND(Scharniere[[#This Row],[Scharnierart]]=select!$A$1487,Scharniere[[#This Row],[Gruppenschlüssel]]=select!$B$1487)=TRUE,1,0)</f>
        <v>0</v>
      </c>
      <c r="AH571" s="451">
        <f ca="1">IF(AND(Scharniere[[#This Row],[Scharnierart]]=select!$A$1488,Scharniere[[#This Row],[Gruppenschlüssel]]=select!$B$1488)=TRUE,1,0)</f>
        <v>0</v>
      </c>
      <c r="AI571" s="451">
        <f ca="1">IF(SUM(Scharniere[[#This Row],[konf Scharnier 1]:[konf Scharnier 4]])&gt;0,1,0)</f>
        <v>0</v>
      </c>
      <c r="AJ571" s="451"/>
      <c r="AK571" s="451"/>
      <c r="AL571" s="451"/>
      <c r="AM571" s="451"/>
      <c r="AN571" s="451"/>
      <c r="AO571" s="146">
        <v>1</v>
      </c>
      <c r="AP571" s="146">
        <v>4</v>
      </c>
      <c r="AQ571" s="10" t="str">
        <f ca="1">Sprache!$A$114</f>
        <v>Tiomos Scharnier TT Click-on</v>
      </c>
      <c r="AR571" t="s">
        <v>259</v>
      </c>
      <c r="AS571" t="str">
        <f ca="1">Sprache!$A$103</f>
        <v>Tiomos Click-On Scharniere</v>
      </c>
      <c r="AT571">
        <v>19</v>
      </c>
      <c r="AU571" t="s">
        <v>8</v>
      </c>
      <c r="AV571">
        <v>95</v>
      </c>
      <c r="AW571" s="10">
        <v>0</v>
      </c>
      <c r="AX571">
        <v>0</v>
      </c>
      <c r="AY571">
        <v>1</v>
      </c>
      <c r="AZ571" s="10">
        <v>1</v>
      </c>
      <c r="BA571">
        <v>0</v>
      </c>
      <c r="BB571">
        <v>0</v>
      </c>
      <c r="BC571">
        <v>0</v>
      </c>
      <c r="BD571" s="143" t="s">
        <v>604</v>
      </c>
      <c r="BG571"/>
    </row>
    <row r="572" spans="1:59" ht="14.25" customHeight="1" x14ac:dyDescent="0.25">
      <c r="A572" s="37" t="str">
        <f>LEFT(Scharniere[[#This Row],[ArtikelNR]],4)</f>
        <v>F034</v>
      </c>
      <c r="B572" s="35" t="str">
        <f>MID(Scharniere[[#This Row],[ArtikelNR]],5,3)</f>
        <v>139</v>
      </c>
      <c r="C572" s="37" t="str">
        <f>RIGHT(Scharniere[[#This Row],[ArtikelNR]],3)</f>
        <v>327</v>
      </c>
      <c r="D572" s="35">
        <f>IF(AND(Scharniere[[#This Row],[Gruppenschlüssel]]=select!$A$44,Scharniere[[#This Row],[Scharnierart]]=1)=TRUE,1,0)</f>
        <v>0</v>
      </c>
      <c r="E5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2" s="35">
        <f>IF(select!$F$57=IF(Scharniere[[#This Row],[mit Dämpfung]]=1,1,IF(Scharniere[[#This Row],[ohne Dämpfung]]=1,2,IF(Scharniere[[#This Row],[ohne Feder]]=1,3,0))),1,0)</f>
        <v>0</v>
      </c>
      <c r="G572" s="35">
        <f>IF(Scharniere[[#This Row],[Bohrbild]]=select!$V$43,1,0)</f>
        <v>1</v>
      </c>
      <c r="H572" s="35">
        <f>IF(IF(Scharniere[[#This Row],[Anschrauben]]=1,1,IF(Scharniere[[#This Row],[Einpressen]]=1,2,IF(Scharniere[[#This Row],[Quick]]=1,3,IF(Scharniere[[#This Row],[Werkzeuglos]]=1,4,0))))=select!$F$48,1,0)</f>
        <v>0</v>
      </c>
      <c r="I5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2" s="149">
        <f>IF(AND(Scharniere[[#This Row],[Scharnierart]]=2,Scharniere[[#This Row],[Gruppenschlüssel]]=select!$A$318)=TRUE,1,0)</f>
        <v>0</v>
      </c>
      <c r="K572" s="221">
        <f ca="1">IF(select!$O$424&lt;6,1,0)</f>
        <v>1</v>
      </c>
      <c r="L572" s="139">
        <f>IF(select!$A$362=IF(Scharniere[[#This Row],[mit Dämpfung]]=1,1,IF(Scharniere[[#This Row],[ohne Dämpfung]]=1,2,IF(Scharniere[[#This Row],[ohne Feder]]=1,3,0))),1,0)</f>
        <v>0</v>
      </c>
      <c r="M572" s="135">
        <f>IF(Scharniere[[#This Row],[Bohrbild]]=select!$O$334,1,0)</f>
        <v>1</v>
      </c>
      <c r="N572" s="135">
        <f>IF(IF(Scharniere[[#This Row],[Anschrauben]]=1,1,IF(Scharniere[[#This Row],[Einpressen]]=1,2,IF(Scharniere[[#This Row],[Quick]]=1,3,IF(Scharniere[[#This Row],[Werkzeuglos]]=1,4,0))))=select!$E$362,1,0)</f>
        <v>0</v>
      </c>
      <c r="O5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2" s="298">
        <f>IF(AND(Scharniere[[#This Row],[Scharnierart]]=3,Scharniere[[#This Row],[Gruppenschlüssel]]=select!$A$747)=TRUE,1,0)</f>
        <v>0</v>
      </c>
      <c r="Q572" s="298">
        <f ca="1">IF(select!$O$945&lt;6,1,0)</f>
        <v>1</v>
      </c>
      <c r="R572" s="298">
        <f>IF(select!$A$778=IF(Scharniere[[#This Row],[mit Dämpfung]]=1,1,IF(Scharniere[[#This Row],[ohne Dämpfung]]=1,2,IF(Scharniere[[#This Row],[ohne Feder]]=1,3,0))),1,0)</f>
        <v>1</v>
      </c>
      <c r="S572" s="298">
        <f>IF(Scharniere[[#This Row],[Bohrbild]]=select!$A$755,1,0)</f>
        <v>0</v>
      </c>
      <c r="T572" s="298">
        <f>IF(IF(Scharniere[[#This Row],[Anschrauben]]=1,1,IF(Scharniere[[#This Row],[Einpressen]]=1,2,IF(Scharniere[[#This Row],[Quick]]=1,3,IF(Scharniere[[#This Row],[Werkzeuglos]]=1,4,0))))=select!$A$769,1,0)</f>
        <v>0</v>
      </c>
      <c r="U5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2" s="359">
        <f>IF(AND(Scharniere[[#This Row],[Scharnierart]]=4,Scharniere[[#This Row],[Gruppenschlüssel]]=select!$A$981)=TRUE,1,0)</f>
        <v>0</v>
      </c>
      <c r="W572" s="359">
        <f ca="1">IF(select!$O$1185&lt;6,1,0)</f>
        <v>1</v>
      </c>
      <c r="X572" s="359">
        <f>IF(select!$A$1012=IF(Scharniere[[#This Row],[mit Dämpfung]]=1,1,IF(Scharniere[[#This Row],[ohne Dämpfung]]=1,2,IF(Scharniere[[#This Row],[ohne Feder]]=1,3,0))),1,0)</f>
        <v>1</v>
      </c>
      <c r="Y572" s="359">
        <f>IF(Scharniere[[#This Row],[Bohrbild]]=select!$A$989,1,0)</f>
        <v>0</v>
      </c>
      <c r="Z572" s="359">
        <f>IF(IF(Scharniere[[#This Row],[Anschrauben]]=1,1,IF(Scharniere[[#This Row],[Einpressen]]=1,2,IF(Scharniere[[#This Row],[Quick]]=1,3,IF(Scharniere[[#This Row],[Werkzeuglos]]=1,4,0))))=select!$A$1003,1,0)</f>
        <v>0</v>
      </c>
      <c r="AA5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2" s="359">
        <f ca="1">IF(select!$K$980="*",Scharniere[[#This Row],[AG Ges2]],Scharniere[[#This Row],[AG Ges1]])</f>
        <v>0</v>
      </c>
      <c r="AE572" s="451">
        <f ca="1">IF(AND(Scharniere[[#This Row],[Scharnierart]]=select!$A$1485,Scharniere[[#This Row],[Gruppenschlüssel]]=select!$B$1485)=TRUE,1,0)</f>
        <v>0</v>
      </c>
      <c r="AF572" s="451">
        <f ca="1">IF(AND(Scharniere[[#This Row],[Scharnierart]]=select!$A$1486,Scharniere[[#This Row],[Gruppenschlüssel]]=select!$B$1486)=TRUE,1,0)</f>
        <v>0</v>
      </c>
      <c r="AG572" s="451">
        <f ca="1">IF(AND(Scharniere[[#This Row],[Scharnierart]]=select!$A$1487,Scharniere[[#This Row],[Gruppenschlüssel]]=select!$B$1487)=TRUE,1,0)</f>
        <v>0</v>
      </c>
      <c r="AH572" s="451">
        <f ca="1">IF(AND(Scharniere[[#This Row],[Scharnierart]]=select!$A$1488,Scharniere[[#This Row],[Gruppenschlüssel]]=select!$B$1488)=TRUE,1,0)</f>
        <v>0</v>
      </c>
      <c r="AI572" s="451">
        <f ca="1">IF(SUM(Scharniere[[#This Row],[konf Scharnier 1]:[konf Scharnier 4]])&gt;0,1,0)</f>
        <v>0</v>
      </c>
      <c r="AJ572" s="451"/>
      <c r="AK572" s="451"/>
      <c r="AL572" s="451"/>
      <c r="AM572" s="451"/>
      <c r="AN572" s="451"/>
      <c r="AO572" s="146">
        <v>1</v>
      </c>
      <c r="AP572" s="146">
        <v>4</v>
      </c>
      <c r="AQ572" s="10" t="str">
        <f ca="1">Sprache!$A$111</f>
        <v>Tiomos Scharnier T Impresso</v>
      </c>
      <c r="AR572" t="s">
        <v>84</v>
      </c>
      <c r="AS572" t="str">
        <f ca="1">Sprache!$A$116</f>
        <v>Tiomos Impresso Scharniere</v>
      </c>
      <c r="AT572">
        <v>19</v>
      </c>
      <c r="AU572" s="34" t="s">
        <v>8</v>
      </c>
      <c r="AV572">
        <v>95</v>
      </c>
      <c r="AW572" s="10">
        <v>0</v>
      </c>
      <c r="AX572">
        <v>1</v>
      </c>
      <c r="AY572">
        <v>0</v>
      </c>
      <c r="AZ572" s="10">
        <v>0</v>
      </c>
      <c r="BA572">
        <v>0</v>
      </c>
      <c r="BB572">
        <v>0</v>
      </c>
      <c r="BC572">
        <v>1</v>
      </c>
      <c r="BD572" s="143" t="s">
        <v>150</v>
      </c>
      <c r="BG572"/>
    </row>
    <row r="573" spans="1:59" ht="14.25" customHeight="1" x14ac:dyDescent="0.25">
      <c r="A573" s="37" t="str">
        <f>LEFT(Scharniere[[#This Row],[ArtikelNR]],4)</f>
        <v>F034</v>
      </c>
      <c r="B573" s="35" t="str">
        <f>MID(Scharniere[[#This Row],[ArtikelNR]],5,3)</f>
        <v>139</v>
      </c>
      <c r="C573" s="37" t="str">
        <f>RIGHT(Scharniere[[#This Row],[ArtikelNR]],3)</f>
        <v>327</v>
      </c>
      <c r="D573" s="35">
        <f>IF(AND(Scharniere[[#This Row],[Gruppenschlüssel]]=select!$A$44,Scharniere[[#This Row],[Scharnierart]]=1)=TRUE,1,0)</f>
        <v>0</v>
      </c>
      <c r="E5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3" s="35">
        <f>IF(select!$F$57=IF(Scharniere[[#This Row],[mit Dämpfung]]=1,1,IF(Scharniere[[#This Row],[ohne Dämpfung]]=1,2,IF(Scharniere[[#This Row],[ohne Feder]]=1,3,0))),1,0)</f>
        <v>0</v>
      </c>
      <c r="G573" s="35">
        <f>IF(Scharniere[[#This Row],[Bohrbild]]=select!$V$43,1,0)</f>
        <v>0</v>
      </c>
      <c r="H573" s="35">
        <f>IF(IF(Scharniere[[#This Row],[Anschrauben]]=1,1,IF(Scharniere[[#This Row],[Einpressen]]=1,2,IF(Scharniere[[#This Row],[Quick]]=1,3,IF(Scharniere[[#This Row],[Werkzeuglos]]=1,4,0))))=select!$F$48,1,0)</f>
        <v>0</v>
      </c>
      <c r="I5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3" s="149">
        <f>IF(AND(Scharniere[[#This Row],[Scharnierart]]=2,Scharniere[[#This Row],[Gruppenschlüssel]]=select!$A$318)=TRUE,1,0)</f>
        <v>0</v>
      </c>
      <c r="K573" s="221">
        <f ca="1">IF(select!$O$424&lt;6,1,0)</f>
        <v>1</v>
      </c>
      <c r="L573" s="139">
        <f>IF(select!$A$362=IF(Scharniere[[#This Row],[mit Dämpfung]]=1,1,IF(Scharniere[[#This Row],[ohne Dämpfung]]=1,2,IF(Scharniere[[#This Row],[ohne Feder]]=1,3,0))),1,0)</f>
        <v>0</v>
      </c>
      <c r="M573" s="135">
        <f>IF(Scharniere[[#This Row],[Bohrbild]]=select!$O$334,1,0)</f>
        <v>0</v>
      </c>
      <c r="N573" s="135">
        <f>IF(IF(Scharniere[[#This Row],[Anschrauben]]=1,1,IF(Scharniere[[#This Row],[Einpressen]]=1,2,IF(Scharniere[[#This Row],[Quick]]=1,3,IF(Scharniere[[#This Row],[Werkzeuglos]]=1,4,0))))=select!$E$362,1,0)</f>
        <v>0</v>
      </c>
      <c r="O5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3" s="298">
        <f>IF(AND(Scharniere[[#This Row],[Scharnierart]]=3,Scharniere[[#This Row],[Gruppenschlüssel]]=select!$A$747)=TRUE,1,0)</f>
        <v>0</v>
      </c>
      <c r="Q573" s="298">
        <f ca="1">IF(select!$O$945&lt;6,1,0)</f>
        <v>1</v>
      </c>
      <c r="R573" s="298">
        <f>IF(select!$A$778=IF(Scharniere[[#This Row],[mit Dämpfung]]=1,1,IF(Scharniere[[#This Row],[ohne Dämpfung]]=1,2,IF(Scharniere[[#This Row],[ohne Feder]]=1,3,0))),1,0)</f>
        <v>1</v>
      </c>
      <c r="S573" s="298">
        <f>IF(Scharniere[[#This Row],[Bohrbild]]=select!$A$755,1,0)</f>
        <v>0</v>
      </c>
      <c r="T573" s="298">
        <f>IF(IF(Scharniere[[#This Row],[Anschrauben]]=1,1,IF(Scharniere[[#This Row],[Einpressen]]=1,2,IF(Scharniere[[#This Row],[Quick]]=1,3,IF(Scharniere[[#This Row],[Werkzeuglos]]=1,4,0))))=select!$A$769,1,0)</f>
        <v>0</v>
      </c>
      <c r="U5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3" s="359">
        <f>IF(AND(Scharniere[[#This Row],[Scharnierart]]=4,Scharniere[[#This Row],[Gruppenschlüssel]]=select!$A$981)=TRUE,1,0)</f>
        <v>0</v>
      </c>
      <c r="W573" s="359">
        <f ca="1">IF(select!$O$1185&lt;6,1,0)</f>
        <v>1</v>
      </c>
      <c r="X573" s="359">
        <f>IF(select!$A$1012=IF(Scharniere[[#This Row],[mit Dämpfung]]=1,1,IF(Scharniere[[#This Row],[ohne Dämpfung]]=1,2,IF(Scharniere[[#This Row],[ohne Feder]]=1,3,0))),1,0)</f>
        <v>1</v>
      </c>
      <c r="Y573" s="359">
        <f>IF(Scharniere[[#This Row],[Bohrbild]]=select!$A$989,1,0)</f>
        <v>0</v>
      </c>
      <c r="Z573" s="359">
        <f>IF(IF(Scharniere[[#This Row],[Anschrauben]]=1,1,IF(Scharniere[[#This Row],[Einpressen]]=1,2,IF(Scharniere[[#This Row],[Quick]]=1,3,IF(Scharniere[[#This Row],[Werkzeuglos]]=1,4,0))))=select!$A$1003,1,0)</f>
        <v>0</v>
      </c>
      <c r="AA5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3" s="359">
        <f ca="1">IF(select!$K$980="*",Scharniere[[#This Row],[AG Ges2]],Scharniere[[#This Row],[AG Ges1]])</f>
        <v>0</v>
      </c>
      <c r="AE573" s="451">
        <f ca="1">IF(AND(Scharniere[[#This Row],[Scharnierart]]=select!$A$1485,Scharniere[[#This Row],[Gruppenschlüssel]]=select!$B$1485)=TRUE,1,0)</f>
        <v>0</v>
      </c>
      <c r="AF573" s="451">
        <f ca="1">IF(AND(Scharniere[[#This Row],[Scharnierart]]=select!$A$1486,Scharniere[[#This Row],[Gruppenschlüssel]]=select!$B$1486)=TRUE,1,0)</f>
        <v>0</v>
      </c>
      <c r="AG573" s="451">
        <f ca="1">IF(AND(Scharniere[[#This Row],[Scharnierart]]=select!$A$1487,Scharniere[[#This Row],[Gruppenschlüssel]]=select!$B$1487)=TRUE,1,0)</f>
        <v>0</v>
      </c>
      <c r="AH573" s="451">
        <f ca="1">IF(AND(Scharniere[[#This Row],[Scharnierart]]=select!$A$1488,Scharniere[[#This Row],[Gruppenschlüssel]]=select!$B$1488)=TRUE,1,0)</f>
        <v>0</v>
      </c>
      <c r="AI573" s="451">
        <f ca="1">IF(SUM(Scharniere[[#This Row],[konf Scharnier 1]:[konf Scharnier 4]])&gt;0,1,0)</f>
        <v>0</v>
      </c>
      <c r="AJ573" s="451"/>
      <c r="AK573" s="451"/>
      <c r="AL573" s="451"/>
      <c r="AM573" s="451"/>
      <c r="AN573" s="451"/>
      <c r="AO573" s="146">
        <v>1</v>
      </c>
      <c r="AP573" s="146">
        <v>4</v>
      </c>
      <c r="AQ573" s="10" t="str">
        <f ca="1">Sprache!$A$111</f>
        <v>Tiomos Scharnier T Impresso</v>
      </c>
      <c r="AR573" t="s">
        <v>84</v>
      </c>
      <c r="AS573" t="str">
        <f ca="1">Sprache!$A$116</f>
        <v>Tiomos Impresso Scharniere</v>
      </c>
      <c r="AT573">
        <v>19</v>
      </c>
      <c r="AU573" t="s">
        <v>3</v>
      </c>
      <c r="AV573">
        <v>95</v>
      </c>
      <c r="AW573" s="10">
        <v>0</v>
      </c>
      <c r="AX573">
        <v>1</v>
      </c>
      <c r="AY573">
        <v>0</v>
      </c>
      <c r="AZ573" s="10">
        <v>0</v>
      </c>
      <c r="BA573">
        <v>0</v>
      </c>
      <c r="BB573">
        <v>0</v>
      </c>
      <c r="BC573">
        <v>1</v>
      </c>
      <c r="BD573" s="143" t="s">
        <v>150</v>
      </c>
      <c r="BG573"/>
    </row>
    <row r="574" spans="1:59" ht="14.25" customHeight="1" x14ac:dyDescent="0.25">
      <c r="A574" s="37" t="str">
        <f>LEFT(Scharniere[[#This Row],[ArtikelNR]],4)</f>
        <v>F017</v>
      </c>
      <c r="B574" s="35" t="str">
        <f>MID(Scharniere[[#This Row],[ArtikelNR]],5,3)</f>
        <v>139</v>
      </c>
      <c r="C574" s="37" t="str">
        <f>RIGHT(Scharniere[[#This Row],[ArtikelNR]],3)</f>
        <v>356</v>
      </c>
      <c r="D574" s="35">
        <f>IF(AND(Scharniere[[#This Row],[Gruppenschlüssel]]=select!$A$44,Scharniere[[#This Row],[Scharnierart]]=1)=TRUE,1,0)</f>
        <v>0</v>
      </c>
      <c r="E5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4" s="35">
        <f>IF(select!$F$57=IF(Scharniere[[#This Row],[mit Dämpfung]]=1,1,IF(Scharniere[[#This Row],[ohne Dämpfung]]=1,2,IF(Scharniere[[#This Row],[ohne Feder]]=1,3,0))),1,0)</f>
        <v>0</v>
      </c>
      <c r="G574" s="35">
        <f>IF(Scharniere[[#This Row],[Bohrbild]]=select!$V$43,1,0)</f>
        <v>1</v>
      </c>
      <c r="H574" s="35">
        <f>IF(IF(Scharniere[[#This Row],[Anschrauben]]=1,1,IF(Scharniere[[#This Row],[Einpressen]]=1,2,IF(Scharniere[[#This Row],[Quick]]=1,3,IF(Scharniere[[#This Row],[Werkzeuglos]]=1,4,0))))=select!$F$48,1,0)</f>
        <v>0</v>
      </c>
      <c r="I5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4" s="149">
        <f>IF(AND(Scharniere[[#This Row],[Scharnierart]]=2,Scharniere[[#This Row],[Gruppenschlüssel]]=select!$A$318)=TRUE,1,0)</f>
        <v>0</v>
      </c>
      <c r="K574" s="221">
        <f ca="1">IF(select!$O$424&lt;6,1,0)</f>
        <v>1</v>
      </c>
      <c r="L574" s="139">
        <f>IF(select!$A$362=IF(Scharniere[[#This Row],[mit Dämpfung]]=1,1,IF(Scharniere[[#This Row],[ohne Dämpfung]]=1,2,IF(Scharniere[[#This Row],[ohne Feder]]=1,3,0))),1,0)</f>
        <v>1</v>
      </c>
      <c r="M574" s="135">
        <f>IF(Scharniere[[#This Row],[Bohrbild]]=select!$O$334,1,0)</f>
        <v>1</v>
      </c>
      <c r="N574" s="135">
        <f>IF(IF(Scharniere[[#This Row],[Anschrauben]]=1,1,IF(Scharniere[[#This Row],[Einpressen]]=1,2,IF(Scharniere[[#This Row],[Quick]]=1,3,IF(Scharniere[[#This Row],[Werkzeuglos]]=1,4,0))))=select!$E$362,1,0)</f>
        <v>0</v>
      </c>
      <c r="O5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4" s="298">
        <f>IF(AND(Scharniere[[#This Row],[Scharnierart]]=3,Scharniere[[#This Row],[Gruppenschlüssel]]=select!$A$747)=TRUE,1,0)</f>
        <v>0</v>
      </c>
      <c r="Q574" s="298">
        <f ca="1">IF(select!$O$945&lt;6,1,0)</f>
        <v>1</v>
      </c>
      <c r="R574" s="298">
        <f>IF(select!$A$778=IF(Scharniere[[#This Row],[mit Dämpfung]]=1,1,IF(Scharniere[[#This Row],[ohne Dämpfung]]=1,2,IF(Scharniere[[#This Row],[ohne Feder]]=1,3,0))),1,0)</f>
        <v>0</v>
      </c>
      <c r="S574" s="298">
        <f>IF(Scharniere[[#This Row],[Bohrbild]]=select!$A$755,1,0)</f>
        <v>0</v>
      </c>
      <c r="T574" s="298">
        <f>IF(IF(Scharniere[[#This Row],[Anschrauben]]=1,1,IF(Scharniere[[#This Row],[Einpressen]]=1,2,IF(Scharniere[[#This Row],[Quick]]=1,3,IF(Scharniere[[#This Row],[Werkzeuglos]]=1,4,0))))=select!$A$769,1,0)</f>
        <v>0</v>
      </c>
      <c r="U5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4" s="359">
        <f>IF(AND(Scharniere[[#This Row],[Scharnierart]]=4,Scharniere[[#This Row],[Gruppenschlüssel]]=select!$A$981)=TRUE,1,0)</f>
        <v>0</v>
      </c>
      <c r="W574" s="359">
        <f ca="1">IF(select!$O$1185&lt;6,1,0)</f>
        <v>1</v>
      </c>
      <c r="X574" s="359">
        <f>IF(select!$A$1012=IF(Scharniere[[#This Row],[mit Dämpfung]]=1,1,IF(Scharniere[[#This Row],[ohne Dämpfung]]=1,2,IF(Scharniere[[#This Row],[ohne Feder]]=1,3,0))),1,0)</f>
        <v>0</v>
      </c>
      <c r="Y574" s="359">
        <f>IF(Scharniere[[#This Row],[Bohrbild]]=select!$A$989,1,0)</f>
        <v>0</v>
      </c>
      <c r="Z574" s="359">
        <f>IF(IF(Scharniere[[#This Row],[Anschrauben]]=1,1,IF(Scharniere[[#This Row],[Einpressen]]=1,2,IF(Scharniere[[#This Row],[Quick]]=1,3,IF(Scharniere[[#This Row],[Werkzeuglos]]=1,4,0))))=select!$A$1003,1,0)</f>
        <v>0</v>
      </c>
      <c r="AA5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4" s="359">
        <f ca="1">IF(select!$K$980="*",Scharniere[[#This Row],[AG Ges2]],Scharniere[[#This Row],[AG Ges1]])</f>
        <v>0</v>
      </c>
      <c r="AE574" s="451">
        <f ca="1">IF(AND(Scharniere[[#This Row],[Scharnierart]]=select!$A$1485,Scharniere[[#This Row],[Gruppenschlüssel]]=select!$B$1485)=TRUE,1,0)</f>
        <v>0</v>
      </c>
      <c r="AF574" s="451">
        <f ca="1">IF(AND(Scharniere[[#This Row],[Scharnierart]]=select!$A$1486,Scharniere[[#This Row],[Gruppenschlüssel]]=select!$B$1486)=TRUE,1,0)</f>
        <v>0</v>
      </c>
      <c r="AG574" s="451">
        <f ca="1">IF(AND(Scharniere[[#This Row],[Scharnierart]]=select!$A$1487,Scharniere[[#This Row],[Gruppenschlüssel]]=select!$B$1487)=TRUE,1,0)</f>
        <v>0</v>
      </c>
      <c r="AH574" s="451">
        <f ca="1">IF(AND(Scharniere[[#This Row],[Scharnierart]]=select!$A$1488,Scharniere[[#This Row],[Gruppenschlüssel]]=select!$B$1488)=TRUE,1,0)</f>
        <v>0</v>
      </c>
      <c r="AI574" s="451">
        <f ca="1">IF(SUM(Scharniere[[#This Row],[konf Scharnier 1]:[konf Scharnier 4]])&gt;0,1,0)</f>
        <v>0</v>
      </c>
      <c r="AJ574" s="451"/>
      <c r="AK574" s="451"/>
      <c r="AL574" s="451"/>
      <c r="AM574" s="451"/>
      <c r="AN574" s="451"/>
      <c r="AO574" s="146">
        <v>1</v>
      </c>
      <c r="AP574" s="146">
        <v>4</v>
      </c>
      <c r="AQ574" s="10" t="str">
        <f ca="1">Sprache!$A$113</f>
        <v>Tiomos Scharnier TS Impresso</v>
      </c>
      <c r="AR574" t="s">
        <v>84</v>
      </c>
      <c r="AS574" t="str">
        <f ca="1">Sprache!$A$116</f>
        <v>Tiomos Impresso Scharniere</v>
      </c>
      <c r="AT574">
        <v>19</v>
      </c>
      <c r="AU574" t="s">
        <v>8</v>
      </c>
      <c r="AV574">
        <v>95</v>
      </c>
      <c r="AW574" s="10">
        <v>1</v>
      </c>
      <c r="AX574">
        <v>0</v>
      </c>
      <c r="AY574">
        <v>0</v>
      </c>
      <c r="AZ574" s="10">
        <v>0</v>
      </c>
      <c r="BA574">
        <v>0</v>
      </c>
      <c r="BB574">
        <v>0</v>
      </c>
      <c r="BC574">
        <v>1</v>
      </c>
      <c r="BD574" s="143" t="s">
        <v>83</v>
      </c>
      <c r="BG574"/>
    </row>
    <row r="575" spans="1:59" ht="14.25" customHeight="1" x14ac:dyDescent="0.25">
      <c r="A575" s="37" t="str">
        <f>LEFT(Scharniere[[#This Row],[ArtikelNR]],4)</f>
        <v>F017</v>
      </c>
      <c r="B575" s="35" t="str">
        <f>MID(Scharniere[[#This Row],[ArtikelNR]],5,3)</f>
        <v>139</v>
      </c>
      <c r="C575" s="37" t="str">
        <f>RIGHT(Scharniere[[#This Row],[ArtikelNR]],3)</f>
        <v>356</v>
      </c>
      <c r="D575" s="35">
        <f>IF(AND(Scharniere[[#This Row],[Gruppenschlüssel]]=select!$A$44,Scharniere[[#This Row],[Scharnierart]]=1)=TRUE,1,0)</f>
        <v>0</v>
      </c>
      <c r="E5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5" s="35">
        <f>IF(select!$F$57=IF(Scharniere[[#This Row],[mit Dämpfung]]=1,1,IF(Scharniere[[#This Row],[ohne Dämpfung]]=1,2,IF(Scharniere[[#This Row],[ohne Feder]]=1,3,0))),1,0)</f>
        <v>0</v>
      </c>
      <c r="G575" s="35">
        <f>IF(Scharniere[[#This Row],[Bohrbild]]=select!$V$43,1,0)</f>
        <v>0</v>
      </c>
      <c r="H575" s="35">
        <f>IF(IF(Scharniere[[#This Row],[Anschrauben]]=1,1,IF(Scharniere[[#This Row],[Einpressen]]=1,2,IF(Scharniere[[#This Row],[Quick]]=1,3,IF(Scharniere[[#This Row],[Werkzeuglos]]=1,4,0))))=select!$F$48,1,0)</f>
        <v>0</v>
      </c>
      <c r="I5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5" s="149">
        <f>IF(AND(Scharniere[[#This Row],[Scharnierart]]=2,Scharniere[[#This Row],[Gruppenschlüssel]]=select!$A$318)=TRUE,1,0)</f>
        <v>0</v>
      </c>
      <c r="K575" s="221">
        <f ca="1">IF(select!$O$424&lt;6,1,0)</f>
        <v>1</v>
      </c>
      <c r="L575" s="139">
        <f>IF(select!$A$362=IF(Scharniere[[#This Row],[mit Dämpfung]]=1,1,IF(Scharniere[[#This Row],[ohne Dämpfung]]=1,2,IF(Scharniere[[#This Row],[ohne Feder]]=1,3,0))),1,0)</f>
        <v>1</v>
      </c>
      <c r="M575" s="135">
        <f>IF(Scharniere[[#This Row],[Bohrbild]]=select!$O$334,1,0)</f>
        <v>0</v>
      </c>
      <c r="N575" s="135">
        <f>IF(IF(Scharniere[[#This Row],[Anschrauben]]=1,1,IF(Scharniere[[#This Row],[Einpressen]]=1,2,IF(Scharniere[[#This Row],[Quick]]=1,3,IF(Scharniere[[#This Row],[Werkzeuglos]]=1,4,0))))=select!$E$362,1,0)</f>
        <v>0</v>
      </c>
      <c r="O5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5" s="298">
        <f>IF(AND(Scharniere[[#This Row],[Scharnierart]]=3,Scharniere[[#This Row],[Gruppenschlüssel]]=select!$A$747)=TRUE,1,0)</f>
        <v>0</v>
      </c>
      <c r="Q575" s="298">
        <f ca="1">IF(select!$O$945&lt;6,1,0)</f>
        <v>1</v>
      </c>
      <c r="R575" s="298">
        <f>IF(select!$A$778=IF(Scharniere[[#This Row],[mit Dämpfung]]=1,1,IF(Scharniere[[#This Row],[ohne Dämpfung]]=1,2,IF(Scharniere[[#This Row],[ohne Feder]]=1,3,0))),1,0)</f>
        <v>0</v>
      </c>
      <c r="S575" s="298">
        <f>IF(Scharniere[[#This Row],[Bohrbild]]=select!$A$755,1,0)</f>
        <v>0</v>
      </c>
      <c r="T575" s="298">
        <f>IF(IF(Scharniere[[#This Row],[Anschrauben]]=1,1,IF(Scharniere[[#This Row],[Einpressen]]=1,2,IF(Scharniere[[#This Row],[Quick]]=1,3,IF(Scharniere[[#This Row],[Werkzeuglos]]=1,4,0))))=select!$A$769,1,0)</f>
        <v>0</v>
      </c>
      <c r="U5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5" s="359">
        <f>IF(AND(Scharniere[[#This Row],[Scharnierart]]=4,Scharniere[[#This Row],[Gruppenschlüssel]]=select!$A$981)=TRUE,1,0)</f>
        <v>0</v>
      </c>
      <c r="W575" s="359">
        <f ca="1">IF(select!$O$1185&lt;6,1,0)</f>
        <v>1</v>
      </c>
      <c r="X575" s="359">
        <f>IF(select!$A$1012=IF(Scharniere[[#This Row],[mit Dämpfung]]=1,1,IF(Scharniere[[#This Row],[ohne Dämpfung]]=1,2,IF(Scharniere[[#This Row],[ohne Feder]]=1,3,0))),1,0)</f>
        <v>0</v>
      </c>
      <c r="Y575" s="359">
        <f>IF(Scharniere[[#This Row],[Bohrbild]]=select!$A$989,1,0)</f>
        <v>0</v>
      </c>
      <c r="Z575" s="359">
        <f>IF(IF(Scharniere[[#This Row],[Anschrauben]]=1,1,IF(Scharniere[[#This Row],[Einpressen]]=1,2,IF(Scharniere[[#This Row],[Quick]]=1,3,IF(Scharniere[[#This Row],[Werkzeuglos]]=1,4,0))))=select!$A$1003,1,0)</f>
        <v>0</v>
      </c>
      <c r="AA5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5" s="359">
        <f ca="1">IF(select!$K$980="*",Scharniere[[#This Row],[AG Ges2]],Scharniere[[#This Row],[AG Ges1]])</f>
        <v>0</v>
      </c>
      <c r="AE575" s="451">
        <f ca="1">IF(AND(Scharniere[[#This Row],[Scharnierart]]=select!$A$1485,Scharniere[[#This Row],[Gruppenschlüssel]]=select!$B$1485)=TRUE,1,0)</f>
        <v>0</v>
      </c>
      <c r="AF575" s="451">
        <f ca="1">IF(AND(Scharniere[[#This Row],[Scharnierart]]=select!$A$1486,Scharniere[[#This Row],[Gruppenschlüssel]]=select!$B$1486)=TRUE,1,0)</f>
        <v>0</v>
      </c>
      <c r="AG575" s="451">
        <f ca="1">IF(AND(Scharniere[[#This Row],[Scharnierart]]=select!$A$1487,Scharniere[[#This Row],[Gruppenschlüssel]]=select!$B$1487)=TRUE,1,0)</f>
        <v>0</v>
      </c>
      <c r="AH575" s="451">
        <f ca="1">IF(AND(Scharniere[[#This Row],[Scharnierart]]=select!$A$1488,Scharniere[[#This Row],[Gruppenschlüssel]]=select!$B$1488)=TRUE,1,0)</f>
        <v>0</v>
      </c>
      <c r="AI575" s="451">
        <f ca="1">IF(SUM(Scharniere[[#This Row],[konf Scharnier 1]:[konf Scharnier 4]])&gt;0,1,0)</f>
        <v>0</v>
      </c>
      <c r="AJ575" s="451"/>
      <c r="AK575" s="451"/>
      <c r="AL575" s="451"/>
      <c r="AM575" s="451"/>
      <c r="AN575" s="451"/>
      <c r="AO575" s="146">
        <v>1</v>
      </c>
      <c r="AP575" s="146">
        <v>4</v>
      </c>
      <c r="AQ575" s="10" t="str">
        <f ca="1">Sprache!$A$113</f>
        <v>Tiomos Scharnier TS Impresso</v>
      </c>
      <c r="AR575" t="s">
        <v>84</v>
      </c>
      <c r="AS575" t="str">
        <f ca="1">Sprache!$A$116</f>
        <v>Tiomos Impresso Scharniere</v>
      </c>
      <c r="AT575">
        <v>19</v>
      </c>
      <c r="AU575" s="34" t="s">
        <v>3</v>
      </c>
      <c r="AV575">
        <v>95</v>
      </c>
      <c r="AW575" s="10">
        <v>1</v>
      </c>
      <c r="AX575">
        <v>0</v>
      </c>
      <c r="AY575">
        <v>0</v>
      </c>
      <c r="AZ575" s="10">
        <v>0</v>
      </c>
      <c r="BA575">
        <v>0</v>
      </c>
      <c r="BB575">
        <v>0</v>
      </c>
      <c r="BC575">
        <v>1</v>
      </c>
      <c r="BD575" s="143" t="s">
        <v>83</v>
      </c>
      <c r="BG575"/>
    </row>
    <row r="576" spans="1:59" ht="14.25" customHeight="1" x14ac:dyDescent="0.25">
      <c r="A576" s="37" t="str">
        <f>LEFT(Scharniere[[#This Row],[ArtikelNR]],4)</f>
        <v>F035</v>
      </c>
      <c r="B576" s="35" t="str">
        <f>MID(Scharniere[[#This Row],[ArtikelNR]],5,3)</f>
        <v>139</v>
      </c>
      <c r="C576" s="37" t="str">
        <f>RIGHT(Scharniere[[#This Row],[ArtikelNR]],3)</f>
        <v>384</v>
      </c>
      <c r="D576" s="35">
        <f>IF(AND(Scharniere[[#This Row],[Gruppenschlüssel]]=select!$A$44,Scharniere[[#This Row],[Scharnierart]]=1)=TRUE,1,0)</f>
        <v>0</v>
      </c>
      <c r="E5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6" s="35">
        <f>IF(select!$F$57=IF(Scharniere[[#This Row],[mit Dämpfung]]=1,1,IF(Scharniere[[#This Row],[ohne Dämpfung]]=1,2,IF(Scharniere[[#This Row],[ohne Feder]]=1,3,0))),1,0)</f>
        <v>1</v>
      </c>
      <c r="G576" s="35">
        <f>IF(Scharniere[[#This Row],[Bohrbild]]=select!$V$43,1,0)</f>
        <v>1</v>
      </c>
      <c r="H576" s="35">
        <f>IF(IF(Scharniere[[#This Row],[Anschrauben]]=1,1,IF(Scharniere[[#This Row],[Einpressen]]=1,2,IF(Scharniere[[#This Row],[Quick]]=1,3,IF(Scharniere[[#This Row],[Werkzeuglos]]=1,4,0))))=select!$F$48,1,0)</f>
        <v>0</v>
      </c>
      <c r="I5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6" s="149">
        <f>IF(AND(Scharniere[[#This Row],[Scharnierart]]=2,Scharniere[[#This Row],[Gruppenschlüssel]]=select!$A$318)=TRUE,1,0)</f>
        <v>0</v>
      </c>
      <c r="K576" s="221">
        <f ca="1">IF(select!$O$424&lt;6,1,0)</f>
        <v>1</v>
      </c>
      <c r="L576" s="139">
        <f>IF(select!$A$362=IF(Scharniere[[#This Row],[mit Dämpfung]]=1,1,IF(Scharniere[[#This Row],[ohne Dämpfung]]=1,2,IF(Scharniere[[#This Row],[ohne Feder]]=1,3,0))),1,0)</f>
        <v>0</v>
      </c>
      <c r="M576" s="135">
        <f>IF(Scharniere[[#This Row],[Bohrbild]]=select!$O$334,1,0)</f>
        <v>1</v>
      </c>
      <c r="N576" s="135">
        <f>IF(IF(Scharniere[[#This Row],[Anschrauben]]=1,1,IF(Scharniere[[#This Row],[Einpressen]]=1,2,IF(Scharniere[[#This Row],[Quick]]=1,3,IF(Scharniere[[#This Row],[Werkzeuglos]]=1,4,0))))=select!$E$362,1,0)</f>
        <v>0</v>
      </c>
      <c r="O5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6" s="298">
        <f>IF(AND(Scharniere[[#This Row],[Scharnierart]]=3,Scharniere[[#This Row],[Gruppenschlüssel]]=select!$A$747)=TRUE,1,0)</f>
        <v>0</v>
      </c>
      <c r="Q576" s="298">
        <f ca="1">IF(select!$O$945&lt;6,1,0)</f>
        <v>1</v>
      </c>
      <c r="R576" s="298">
        <f>IF(select!$A$778=IF(Scharniere[[#This Row],[mit Dämpfung]]=1,1,IF(Scharniere[[#This Row],[ohne Dämpfung]]=1,2,IF(Scharniere[[#This Row],[ohne Feder]]=1,3,0))),1,0)</f>
        <v>0</v>
      </c>
      <c r="S576" s="298">
        <f>IF(Scharniere[[#This Row],[Bohrbild]]=select!$A$755,1,0)</f>
        <v>0</v>
      </c>
      <c r="T576" s="298">
        <f>IF(IF(Scharniere[[#This Row],[Anschrauben]]=1,1,IF(Scharniere[[#This Row],[Einpressen]]=1,2,IF(Scharniere[[#This Row],[Quick]]=1,3,IF(Scharniere[[#This Row],[Werkzeuglos]]=1,4,0))))=select!$A$769,1,0)</f>
        <v>0</v>
      </c>
      <c r="U5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6" s="359">
        <f>IF(AND(Scharniere[[#This Row],[Scharnierart]]=4,Scharniere[[#This Row],[Gruppenschlüssel]]=select!$A$981)=TRUE,1,0)</f>
        <v>0</v>
      </c>
      <c r="W576" s="359">
        <f ca="1">IF(select!$O$1185&lt;6,1,0)</f>
        <v>1</v>
      </c>
      <c r="X576" s="359">
        <f>IF(select!$A$1012=IF(Scharniere[[#This Row],[mit Dämpfung]]=1,1,IF(Scharniere[[#This Row],[ohne Dämpfung]]=1,2,IF(Scharniere[[#This Row],[ohne Feder]]=1,3,0))),1,0)</f>
        <v>0</v>
      </c>
      <c r="Y576" s="359">
        <f>IF(Scharniere[[#This Row],[Bohrbild]]=select!$A$989,1,0)</f>
        <v>0</v>
      </c>
      <c r="Z576" s="359">
        <f>IF(IF(Scharniere[[#This Row],[Anschrauben]]=1,1,IF(Scharniere[[#This Row],[Einpressen]]=1,2,IF(Scharniere[[#This Row],[Quick]]=1,3,IF(Scharniere[[#This Row],[Werkzeuglos]]=1,4,0))))=select!$A$1003,1,0)</f>
        <v>0</v>
      </c>
      <c r="AA5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6" s="359">
        <f ca="1">IF(select!$K$980="*",Scharniere[[#This Row],[AG Ges2]],Scharniere[[#This Row],[AG Ges1]])</f>
        <v>0</v>
      </c>
      <c r="AE576" s="451">
        <f ca="1">IF(AND(Scharniere[[#This Row],[Scharnierart]]=select!$A$1485,Scharniere[[#This Row],[Gruppenschlüssel]]=select!$B$1485)=TRUE,1,0)</f>
        <v>0</v>
      </c>
      <c r="AF576" s="451">
        <f ca="1">IF(AND(Scharniere[[#This Row],[Scharnierart]]=select!$A$1486,Scharniere[[#This Row],[Gruppenschlüssel]]=select!$B$1486)=TRUE,1,0)</f>
        <v>0</v>
      </c>
      <c r="AG576" s="451">
        <f ca="1">IF(AND(Scharniere[[#This Row],[Scharnierart]]=select!$A$1487,Scharniere[[#This Row],[Gruppenschlüssel]]=select!$B$1487)=TRUE,1,0)</f>
        <v>0</v>
      </c>
      <c r="AH576" s="451">
        <f ca="1">IF(AND(Scharniere[[#This Row],[Scharnierart]]=select!$A$1488,Scharniere[[#This Row],[Gruppenschlüssel]]=select!$B$1488)=TRUE,1,0)</f>
        <v>0</v>
      </c>
      <c r="AI576" s="451">
        <f ca="1">IF(SUM(Scharniere[[#This Row],[konf Scharnier 1]:[konf Scharnier 4]])&gt;0,1,0)</f>
        <v>0</v>
      </c>
      <c r="AJ576" s="451"/>
      <c r="AK576" s="451"/>
      <c r="AL576" s="451"/>
      <c r="AM576" s="451"/>
      <c r="AN576" s="451"/>
      <c r="AO576" s="146">
        <v>1</v>
      </c>
      <c r="AP576" s="146">
        <v>4</v>
      </c>
      <c r="AQ576" s="10" t="str">
        <f ca="1">Sprache!$A$115</f>
        <v>Tiomos Scharnier TT Impresso</v>
      </c>
      <c r="AR576" t="s">
        <v>84</v>
      </c>
      <c r="AS576" t="str">
        <f ca="1">Sprache!$A$116</f>
        <v>Tiomos Impresso Scharniere</v>
      </c>
      <c r="AT576">
        <v>19</v>
      </c>
      <c r="AU576" t="s">
        <v>8</v>
      </c>
      <c r="AV576">
        <v>95</v>
      </c>
      <c r="AW576" s="10">
        <v>0</v>
      </c>
      <c r="AX576">
        <v>0</v>
      </c>
      <c r="AY576">
        <v>1</v>
      </c>
      <c r="AZ576" s="10">
        <v>0</v>
      </c>
      <c r="BA576">
        <v>0</v>
      </c>
      <c r="BB576">
        <v>0</v>
      </c>
      <c r="BC576">
        <v>1</v>
      </c>
      <c r="BD576" s="143" t="s">
        <v>194</v>
      </c>
      <c r="BG576"/>
    </row>
    <row r="577" spans="1:59" ht="14.25" customHeight="1" x14ac:dyDescent="0.25">
      <c r="A577" s="37" t="str">
        <f>LEFT(Scharniere[[#This Row],[ArtikelNR]],4)</f>
        <v>F035</v>
      </c>
      <c r="B577" s="35" t="str">
        <f>MID(Scharniere[[#This Row],[ArtikelNR]],5,3)</f>
        <v>139</v>
      </c>
      <c r="C577" s="37" t="str">
        <f>RIGHT(Scharniere[[#This Row],[ArtikelNR]],3)</f>
        <v>384</v>
      </c>
      <c r="D577" s="35">
        <f>IF(AND(Scharniere[[#This Row],[Gruppenschlüssel]]=select!$A$44,Scharniere[[#This Row],[Scharnierart]]=1)=TRUE,1,0)</f>
        <v>0</v>
      </c>
      <c r="E5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7" s="35">
        <f>IF(select!$F$57=IF(Scharniere[[#This Row],[mit Dämpfung]]=1,1,IF(Scharniere[[#This Row],[ohne Dämpfung]]=1,2,IF(Scharniere[[#This Row],[ohne Feder]]=1,3,0))),1,0)</f>
        <v>1</v>
      </c>
      <c r="G577" s="35">
        <f>IF(Scharniere[[#This Row],[Bohrbild]]=select!$V$43,1,0)</f>
        <v>0</v>
      </c>
      <c r="H577" s="35">
        <f>IF(IF(Scharniere[[#This Row],[Anschrauben]]=1,1,IF(Scharniere[[#This Row],[Einpressen]]=1,2,IF(Scharniere[[#This Row],[Quick]]=1,3,IF(Scharniere[[#This Row],[Werkzeuglos]]=1,4,0))))=select!$F$48,1,0)</f>
        <v>0</v>
      </c>
      <c r="I5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7" s="149">
        <f>IF(AND(Scharniere[[#This Row],[Scharnierart]]=2,Scharniere[[#This Row],[Gruppenschlüssel]]=select!$A$318)=TRUE,1,0)</f>
        <v>0</v>
      </c>
      <c r="K577" s="221">
        <f ca="1">IF(select!$O$424&lt;6,1,0)</f>
        <v>1</v>
      </c>
      <c r="L577" s="139">
        <f>IF(select!$A$362=IF(Scharniere[[#This Row],[mit Dämpfung]]=1,1,IF(Scharniere[[#This Row],[ohne Dämpfung]]=1,2,IF(Scharniere[[#This Row],[ohne Feder]]=1,3,0))),1,0)</f>
        <v>0</v>
      </c>
      <c r="M577" s="135">
        <f>IF(Scharniere[[#This Row],[Bohrbild]]=select!$O$334,1,0)</f>
        <v>0</v>
      </c>
      <c r="N577" s="135">
        <f>IF(IF(Scharniere[[#This Row],[Anschrauben]]=1,1,IF(Scharniere[[#This Row],[Einpressen]]=1,2,IF(Scharniere[[#This Row],[Quick]]=1,3,IF(Scharniere[[#This Row],[Werkzeuglos]]=1,4,0))))=select!$E$362,1,0)</f>
        <v>0</v>
      </c>
      <c r="O5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7" s="298">
        <f>IF(AND(Scharniere[[#This Row],[Scharnierart]]=3,Scharniere[[#This Row],[Gruppenschlüssel]]=select!$A$747)=TRUE,1,0)</f>
        <v>0</v>
      </c>
      <c r="Q577" s="298">
        <f ca="1">IF(select!$O$945&lt;6,1,0)</f>
        <v>1</v>
      </c>
      <c r="R577" s="298">
        <f>IF(select!$A$778=IF(Scharniere[[#This Row],[mit Dämpfung]]=1,1,IF(Scharniere[[#This Row],[ohne Dämpfung]]=1,2,IF(Scharniere[[#This Row],[ohne Feder]]=1,3,0))),1,0)</f>
        <v>0</v>
      </c>
      <c r="S577" s="298">
        <f>IF(Scharniere[[#This Row],[Bohrbild]]=select!$A$755,1,0)</f>
        <v>0</v>
      </c>
      <c r="T577" s="298">
        <f>IF(IF(Scharniere[[#This Row],[Anschrauben]]=1,1,IF(Scharniere[[#This Row],[Einpressen]]=1,2,IF(Scharniere[[#This Row],[Quick]]=1,3,IF(Scharniere[[#This Row],[Werkzeuglos]]=1,4,0))))=select!$A$769,1,0)</f>
        <v>0</v>
      </c>
      <c r="U5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7" s="359">
        <f>IF(AND(Scharniere[[#This Row],[Scharnierart]]=4,Scharniere[[#This Row],[Gruppenschlüssel]]=select!$A$981)=TRUE,1,0)</f>
        <v>0</v>
      </c>
      <c r="W577" s="359">
        <f ca="1">IF(select!$O$1185&lt;6,1,0)</f>
        <v>1</v>
      </c>
      <c r="X577" s="359">
        <f>IF(select!$A$1012=IF(Scharniere[[#This Row],[mit Dämpfung]]=1,1,IF(Scharniere[[#This Row],[ohne Dämpfung]]=1,2,IF(Scharniere[[#This Row],[ohne Feder]]=1,3,0))),1,0)</f>
        <v>0</v>
      </c>
      <c r="Y577" s="359">
        <f>IF(Scharniere[[#This Row],[Bohrbild]]=select!$A$989,1,0)</f>
        <v>0</v>
      </c>
      <c r="Z577" s="359">
        <f>IF(IF(Scharniere[[#This Row],[Anschrauben]]=1,1,IF(Scharniere[[#This Row],[Einpressen]]=1,2,IF(Scharniere[[#This Row],[Quick]]=1,3,IF(Scharniere[[#This Row],[Werkzeuglos]]=1,4,0))))=select!$A$1003,1,0)</f>
        <v>0</v>
      </c>
      <c r="AA5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7" s="359">
        <f ca="1">IF(select!$K$980="*",Scharniere[[#This Row],[AG Ges2]],Scharniere[[#This Row],[AG Ges1]])</f>
        <v>0</v>
      </c>
      <c r="AE577" s="451">
        <f ca="1">IF(AND(Scharniere[[#This Row],[Scharnierart]]=select!$A$1485,Scharniere[[#This Row],[Gruppenschlüssel]]=select!$B$1485)=TRUE,1,0)</f>
        <v>0</v>
      </c>
      <c r="AF577" s="451">
        <f ca="1">IF(AND(Scharniere[[#This Row],[Scharnierart]]=select!$A$1486,Scharniere[[#This Row],[Gruppenschlüssel]]=select!$B$1486)=TRUE,1,0)</f>
        <v>0</v>
      </c>
      <c r="AG577" s="451">
        <f ca="1">IF(AND(Scharniere[[#This Row],[Scharnierart]]=select!$A$1487,Scharniere[[#This Row],[Gruppenschlüssel]]=select!$B$1487)=TRUE,1,0)</f>
        <v>0</v>
      </c>
      <c r="AH577" s="451">
        <f ca="1">IF(AND(Scharniere[[#This Row],[Scharnierart]]=select!$A$1488,Scharniere[[#This Row],[Gruppenschlüssel]]=select!$B$1488)=TRUE,1,0)</f>
        <v>0</v>
      </c>
      <c r="AI577" s="451">
        <f ca="1">IF(SUM(Scharniere[[#This Row],[konf Scharnier 1]:[konf Scharnier 4]])&gt;0,1,0)</f>
        <v>0</v>
      </c>
      <c r="AJ577" s="451"/>
      <c r="AK577" s="451"/>
      <c r="AL577" s="451"/>
      <c r="AM577" s="451"/>
      <c r="AN577" s="451"/>
      <c r="AO577" s="146">
        <v>1</v>
      </c>
      <c r="AP577" s="146">
        <v>4</v>
      </c>
      <c r="AQ577" s="10" t="str">
        <f ca="1">Sprache!$A$115</f>
        <v>Tiomos Scharnier TT Impresso</v>
      </c>
      <c r="AR577" t="s">
        <v>84</v>
      </c>
      <c r="AS577" t="str">
        <f ca="1">Sprache!$A$116</f>
        <v>Tiomos Impresso Scharniere</v>
      </c>
      <c r="AT577">
        <v>19</v>
      </c>
      <c r="AU577" t="s">
        <v>3</v>
      </c>
      <c r="AV577">
        <v>95</v>
      </c>
      <c r="AW577" s="10">
        <v>0</v>
      </c>
      <c r="AX577">
        <v>0</v>
      </c>
      <c r="AY577">
        <v>1</v>
      </c>
      <c r="AZ577" s="10">
        <v>0</v>
      </c>
      <c r="BA577">
        <v>0</v>
      </c>
      <c r="BB577">
        <v>0</v>
      </c>
      <c r="BC577">
        <v>1</v>
      </c>
      <c r="BD577" s="143" t="s">
        <v>194</v>
      </c>
      <c r="BG577"/>
    </row>
    <row r="578" spans="1:59" ht="14.25" customHeight="1" x14ac:dyDescent="0.25">
      <c r="A578" s="37" t="str">
        <f>LEFT(Scharniere[[#This Row],[ArtikelNR]],4)</f>
        <v>F045</v>
      </c>
      <c r="B578" s="35" t="str">
        <f>MID(Scharniere[[#This Row],[ArtikelNR]],5,3)</f>
        <v>138</v>
      </c>
      <c r="C578" s="37" t="str">
        <f>RIGHT(Scharniere[[#This Row],[ArtikelNR]],3)</f>
        <v>876</v>
      </c>
      <c r="D578" s="35">
        <f>IF(AND(Scharniere[[#This Row],[Gruppenschlüssel]]=select!$A$44,Scharniere[[#This Row],[Scharnierart]]=1)=TRUE,1,0)</f>
        <v>0</v>
      </c>
      <c r="E5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8" s="35">
        <f>IF(select!$F$57=IF(Scharniere[[#This Row],[mit Dämpfung]]=1,1,IF(Scharniere[[#This Row],[ohne Dämpfung]]=1,2,IF(Scharniere[[#This Row],[ohne Feder]]=1,3,0))),1,0)</f>
        <v>0</v>
      </c>
      <c r="G578" s="35">
        <f>IF(Scharniere[[#This Row],[Bohrbild]]=select!$V$43,1,0)</f>
        <v>0</v>
      </c>
      <c r="H578" s="35">
        <f>IF(IF(Scharniere[[#This Row],[Anschrauben]]=1,1,IF(Scharniere[[#This Row],[Einpressen]]=1,2,IF(Scharniere[[#This Row],[Quick]]=1,3,IF(Scharniere[[#This Row],[Werkzeuglos]]=1,4,0))))=select!$F$48,1,0)</f>
        <v>1</v>
      </c>
      <c r="I5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8" s="149">
        <f>IF(AND(Scharniere[[#This Row],[Scharnierart]]=2,Scharniere[[#This Row],[Gruppenschlüssel]]=select!$A$318)=TRUE,1,0)</f>
        <v>0</v>
      </c>
      <c r="K578" s="221">
        <f ca="1">IF(select!$O$424&lt;6,1,0)</f>
        <v>1</v>
      </c>
      <c r="L578" s="139">
        <f>IF(select!$A$362=IF(Scharniere[[#This Row],[mit Dämpfung]]=1,1,IF(Scharniere[[#This Row],[ohne Dämpfung]]=1,2,IF(Scharniere[[#This Row],[ohne Feder]]=1,3,0))),1,0)</f>
        <v>0</v>
      </c>
      <c r="M578" s="135">
        <f>IF(Scharniere[[#This Row],[Bohrbild]]=select!$O$334,1,0)</f>
        <v>0</v>
      </c>
      <c r="N578" s="135">
        <f>IF(IF(Scharniere[[#This Row],[Anschrauben]]=1,1,IF(Scharniere[[#This Row],[Einpressen]]=1,2,IF(Scharniere[[#This Row],[Quick]]=1,3,IF(Scharniere[[#This Row],[Werkzeuglos]]=1,4,0))))=select!$E$362,1,0)</f>
        <v>0</v>
      </c>
      <c r="O5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8" s="298">
        <f>IF(AND(Scharniere[[#This Row],[Scharnierart]]=3,Scharniere[[#This Row],[Gruppenschlüssel]]=select!$A$747)=TRUE,1,0)</f>
        <v>0</v>
      </c>
      <c r="Q578" s="298">
        <f ca="1">IF(select!$O$945&lt;6,1,0)</f>
        <v>1</v>
      </c>
      <c r="R578" s="298">
        <f>IF(select!$A$778=IF(Scharniere[[#This Row],[mit Dämpfung]]=1,1,IF(Scharniere[[#This Row],[ohne Dämpfung]]=1,2,IF(Scharniere[[#This Row],[ohne Feder]]=1,3,0))),1,0)</f>
        <v>1</v>
      </c>
      <c r="S578" s="298">
        <f>IF(Scharniere[[#This Row],[Bohrbild]]=select!$A$755,1,0)</f>
        <v>0</v>
      </c>
      <c r="T578" s="298">
        <f>IF(IF(Scharniere[[#This Row],[Anschrauben]]=1,1,IF(Scharniere[[#This Row],[Einpressen]]=1,2,IF(Scharniere[[#This Row],[Quick]]=1,3,IF(Scharniere[[#This Row],[Werkzeuglos]]=1,4,0))))=select!$A$769,1,0)</f>
        <v>0</v>
      </c>
      <c r="U5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8" s="359">
        <f>IF(AND(Scharniere[[#This Row],[Scharnierart]]=4,Scharniere[[#This Row],[Gruppenschlüssel]]=select!$A$981)=TRUE,1,0)</f>
        <v>0</v>
      </c>
      <c r="W578" s="359">
        <f ca="1">IF(select!$O$1185&lt;6,1,0)</f>
        <v>1</v>
      </c>
      <c r="X578" s="359">
        <f>IF(select!$A$1012=IF(Scharniere[[#This Row],[mit Dämpfung]]=1,1,IF(Scharniere[[#This Row],[ohne Dämpfung]]=1,2,IF(Scharniere[[#This Row],[ohne Feder]]=1,3,0))),1,0)</f>
        <v>1</v>
      </c>
      <c r="Y578" s="359">
        <f>IF(Scharniere[[#This Row],[Bohrbild]]=select!$A$989,1,0)</f>
        <v>0</v>
      </c>
      <c r="Z578" s="359">
        <f>IF(IF(Scharniere[[#This Row],[Anschrauben]]=1,1,IF(Scharniere[[#This Row],[Einpressen]]=1,2,IF(Scharniere[[#This Row],[Quick]]=1,3,IF(Scharniere[[#This Row],[Werkzeuglos]]=1,4,0))))=select!$A$1003,1,0)</f>
        <v>0</v>
      </c>
      <c r="AA5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8" s="359">
        <f ca="1">IF(select!$K$980="*",Scharniere[[#This Row],[AG Ges2]],Scharniere[[#This Row],[AG Ges1]])</f>
        <v>0</v>
      </c>
      <c r="AE578" s="451">
        <f ca="1">IF(AND(Scharniere[[#This Row],[Scharnierart]]=select!$A$1485,Scharniere[[#This Row],[Gruppenschlüssel]]=select!$B$1485)=TRUE,1,0)</f>
        <v>0</v>
      </c>
      <c r="AF578" s="451">
        <f ca="1">IF(AND(Scharniere[[#This Row],[Scharnierart]]=select!$A$1486,Scharniere[[#This Row],[Gruppenschlüssel]]=select!$B$1486)=TRUE,1,0)</f>
        <v>0</v>
      </c>
      <c r="AG578" s="451">
        <f ca="1">IF(AND(Scharniere[[#This Row],[Scharnierart]]=select!$A$1487,Scharniere[[#This Row],[Gruppenschlüssel]]=select!$B$1487)=TRUE,1,0)</f>
        <v>0</v>
      </c>
      <c r="AH578" s="451">
        <f ca="1">IF(AND(Scharniere[[#This Row],[Scharnierart]]=select!$A$1488,Scharniere[[#This Row],[Gruppenschlüssel]]=select!$B$1488)=TRUE,1,0)</f>
        <v>0</v>
      </c>
      <c r="AI578" s="451">
        <f ca="1">IF(SUM(Scharniere[[#This Row],[konf Scharnier 1]:[konf Scharnier 4]])&gt;0,1,0)</f>
        <v>0</v>
      </c>
      <c r="AJ578" s="451"/>
      <c r="AK578" s="451"/>
      <c r="AL578" s="451"/>
      <c r="AM578" s="451"/>
      <c r="AN578" s="451"/>
      <c r="AO578" s="146">
        <v>1</v>
      </c>
      <c r="AP578" s="146">
        <v>4</v>
      </c>
      <c r="AQ578" s="10" t="str">
        <f ca="1">Sprache!$A$110</f>
        <v>Tiomos Scharnier T Click-on</v>
      </c>
      <c r="AR578" t="str">
        <f ca="1">"95°, S-BB, K19, "&amp;Sprache!A181&amp;", ni"</f>
        <v>95°, S-BB, K19, Dübel, ni</v>
      </c>
      <c r="AS578" t="str">
        <f ca="1">Sprache!$A$103</f>
        <v>Tiomos Click-On Scharniere</v>
      </c>
      <c r="AT578">
        <v>19</v>
      </c>
      <c r="AU578" s="34" t="s">
        <v>11</v>
      </c>
      <c r="AV578">
        <v>95</v>
      </c>
      <c r="AW578" s="10">
        <v>0</v>
      </c>
      <c r="AX578">
        <v>1</v>
      </c>
      <c r="AY578">
        <v>0</v>
      </c>
      <c r="AZ578" s="10">
        <v>0</v>
      </c>
      <c r="BA578">
        <v>1</v>
      </c>
      <c r="BB578">
        <v>0</v>
      </c>
      <c r="BC578">
        <v>0</v>
      </c>
      <c r="BD578" s="143" t="s">
        <v>569</v>
      </c>
      <c r="BG578"/>
    </row>
    <row r="579" spans="1:59" ht="14.25" customHeight="1" x14ac:dyDescent="0.25">
      <c r="A579" s="37" t="str">
        <f>LEFT(Scharniere[[#This Row],[ArtikelNR]],4)</f>
        <v>F028</v>
      </c>
      <c r="B579" s="35" t="str">
        <f>MID(Scharniere[[#This Row],[ArtikelNR]],5,3)</f>
        <v>138</v>
      </c>
      <c r="C579" s="37" t="str">
        <f>RIGHT(Scharniere[[#This Row],[ArtikelNR]],3)</f>
        <v>938</v>
      </c>
      <c r="D579" s="35">
        <f>IF(AND(Scharniere[[#This Row],[Gruppenschlüssel]]=select!$A$44,Scharniere[[#This Row],[Scharnierart]]=1)=TRUE,1,0)</f>
        <v>0</v>
      </c>
      <c r="E5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79" s="35">
        <f>IF(select!$F$57=IF(Scharniere[[#This Row],[mit Dämpfung]]=1,1,IF(Scharniere[[#This Row],[ohne Dämpfung]]=1,2,IF(Scharniere[[#This Row],[ohne Feder]]=1,3,0))),1,0)</f>
        <v>0</v>
      </c>
      <c r="G579" s="35">
        <f>IF(Scharniere[[#This Row],[Bohrbild]]=select!$V$43,1,0)</f>
        <v>0</v>
      </c>
      <c r="H579" s="35">
        <f>IF(IF(Scharniere[[#This Row],[Anschrauben]]=1,1,IF(Scharniere[[#This Row],[Einpressen]]=1,2,IF(Scharniere[[#This Row],[Quick]]=1,3,IF(Scharniere[[#This Row],[Werkzeuglos]]=1,4,0))))=select!$F$48,1,0)</f>
        <v>1</v>
      </c>
      <c r="I5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79" s="149">
        <f>IF(AND(Scharniere[[#This Row],[Scharnierart]]=2,Scharniere[[#This Row],[Gruppenschlüssel]]=select!$A$318)=TRUE,1,0)</f>
        <v>0</v>
      </c>
      <c r="K579" s="221">
        <f ca="1">IF(select!$O$424&lt;6,1,0)</f>
        <v>1</v>
      </c>
      <c r="L579" s="139">
        <f>IF(select!$A$362=IF(Scharniere[[#This Row],[mit Dämpfung]]=1,1,IF(Scharniere[[#This Row],[ohne Dämpfung]]=1,2,IF(Scharniere[[#This Row],[ohne Feder]]=1,3,0))),1,0)</f>
        <v>1</v>
      </c>
      <c r="M579" s="135">
        <f>IF(Scharniere[[#This Row],[Bohrbild]]=select!$O$334,1,0)</f>
        <v>0</v>
      </c>
      <c r="N579" s="135">
        <f>IF(IF(Scharniere[[#This Row],[Anschrauben]]=1,1,IF(Scharniere[[#This Row],[Einpressen]]=1,2,IF(Scharniere[[#This Row],[Quick]]=1,3,IF(Scharniere[[#This Row],[Werkzeuglos]]=1,4,0))))=select!$E$362,1,0)</f>
        <v>0</v>
      </c>
      <c r="O5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79" s="298">
        <f>IF(AND(Scharniere[[#This Row],[Scharnierart]]=3,Scharniere[[#This Row],[Gruppenschlüssel]]=select!$A$747)=TRUE,1,0)</f>
        <v>0</v>
      </c>
      <c r="Q579" s="298">
        <f ca="1">IF(select!$O$945&lt;6,1,0)</f>
        <v>1</v>
      </c>
      <c r="R579" s="298">
        <f>IF(select!$A$778=IF(Scharniere[[#This Row],[mit Dämpfung]]=1,1,IF(Scharniere[[#This Row],[ohne Dämpfung]]=1,2,IF(Scharniere[[#This Row],[ohne Feder]]=1,3,0))),1,0)</f>
        <v>0</v>
      </c>
      <c r="S579" s="298">
        <f>IF(Scharniere[[#This Row],[Bohrbild]]=select!$A$755,1,0)</f>
        <v>0</v>
      </c>
      <c r="T579" s="298">
        <f>IF(IF(Scharniere[[#This Row],[Anschrauben]]=1,1,IF(Scharniere[[#This Row],[Einpressen]]=1,2,IF(Scharniere[[#This Row],[Quick]]=1,3,IF(Scharniere[[#This Row],[Werkzeuglos]]=1,4,0))))=select!$A$769,1,0)</f>
        <v>0</v>
      </c>
      <c r="U5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79" s="359">
        <f>IF(AND(Scharniere[[#This Row],[Scharnierart]]=4,Scharniere[[#This Row],[Gruppenschlüssel]]=select!$A$981)=TRUE,1,0)</f>
        <v>0</v>
      </c>
      <c r="W579" s="359">
        <f ca="1">IF(select!$O$1185&lt;6,1,0)</f>
        <v>1</v>
      </c>
      <c r="X579" s="359">
        <f>IF(select!$A$1012=IF(Scharniere[[#This Row],[mit Dämpfung]]=1,1,IF(Scharniere[[#This Row],[ohne Dämpfung]]=1,2,IF(Scharniere[[#This Row],[ohne Feder]]=1,3,0))),1,0)</f>
        <v>0</v>
      </c>
      <c r="Y579" s="359">
        <f>IF(Scharniere[[#This Row],[Bohrbild]]=select!$A$989,1,0)</f>
        <v>0</v>
      </c>
      <c r="Z579" s="359">
        <f>IF(IF(Scharniere[[#This Row],[Anschrauben]]=1,1,IF(Scharniere[[#This Row],[Einpressen]]=1,2,IF(Scharniere[[#This Row],[Quick]]=1,3,IF(Scharniere[[#This Row],[Werkzeuglos]]=1,4,0))))=select!$A$1003,1,0)</f>
        <v>0</v>
      </c>
      <c r="AA5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79" s="359">
        <f ca="1">IF(select!$K$980="*",Scharniere[[#This Row],[AG Ges2]],Scharniere[[#This Row],[AG Ges1]])</f>
        <v>0</v>
      </c>
      <c r="AE579" s="451">
        <f ca="1">IF(AND(Scharniere[[#This Row],[Scharnierart]]=select!$A$1485,Scharniere[[#This Row],[Gruppenschlüssel]]=select!$B$1485)=TRUE,1,0)</f>
        <v>0</v>
      </c>
      <c r="AF579" s="451">
        <f ca="1">IF(AND(Scharniere[[#This Row],[Scharnierart]]=select!$A$1486,Scharniere[[#This Row],[Gruppenschlüssel]]=select!$B$1486)=TRUE,1,0)</f>
        <v>0</v>
      </c>
      <c r="AG579" s="451">
        <f ca="1">IF(AND(Scharniere[[#This Row],[Scharnierart]]=select!$A$1487,Scharniere[[#This Row],[Gruppenschlüssel]]=select!$B$1487)=TRUE,1,0)</f>
        <v>0</v>
      </c>
      <c r="AH579" s="451">
        <f ca="1">IF(AND(Scharniere[[#This Row],[Scharnierart]]=select!$A$1488,Scharniere[[#This Row],[Gruppenschlüssel]]=select!$B$1488)=TRUE,1,0)</f>
        <v>0</v>
      </c>
      <c r="AI579" s="451">
        <f ca="1">IF(SUM(Scharniere[[#This Row],[konf Scharnier 1]:[konf Scharnier 4]])&gt;0,1,0)</f>
        <v>0</v>
      </c>
      <c r="AJ579" s="451"/>
      <c r="AK579" s="451"/>
      <c r="AL579" s="451"/>
      <c r="AM579" s="451"/>
      <c r="AN579" s="451"/>
      <c r="AO579" s="146">
        <v>1</v>
      </c>
      <c r="AP579" s="146">
        <v>4</v>
      </c>
      <c r="AQ579" s="10" t="str">
        <f ca="1">Sprache!$A$112</f>
        <v>Tiomos Scharnier TS Click-on</v>
      </c>
      <c r="AR579" t="str">
        <f ca="1">"95°, S-BB, K19, "&amp;Sprache!A181&amp;", ni"</f>
        <v>95°, S-BB, K19, Dübel, ni</v>
      </c>
      <c r="AS579" t="str">
        <f ca="1">Sprache!$A$103</f>
        <v>Tiomos Click-On Scharniere</v>
      </c>
      <c r="AT579">
        <v>19</v>
      </c>
      <c r="AU579" t="s">
        <v>11</v>
      </c>
      <c r="AV579">
        <v>95</v>
      </c>
      <c r="AW579" s="10">
        <v>1</v>
      </c>
      <c r="AX579">
        <v>0</v>
      </c>
      <c r="AY579">
        <v>0</v>
      </c>
      <c r="AZ579" s="10">
        <v>0</v>
      </c>
      <c r="BA579">
        <v>1</v>
      </c>
      <c r="BB579">
        <v>0</v>
      </c>
      <c r="BC579">
        <v>0</v>
      </c>
      <c r="BD579" s="143" t="s">
        <v>416</v>
      </c>
      <c r="BG579"/>
    </row>
    <row r="580" spans="1:59" ht="14.25" customHeight="1" x14ac:dyDescent="0.25">
      <c r="A580" s="37" t="str">
        <f>LEFT(Scharniere[[#This Row],[ArtikelNR]],4)</f>
        <v>F046</v>
      </c>
      <c r="B580" s="35" t="str">
        <f>MID(Scharniere[[#This Row],[ArtikelNR]],5,3)</f>
        <v>138</v>
      </c>
      <c r="C580" s="37" t="str">
        <f>RIGHT(Scharniere[[#This Row],[ArtikelNR]],3)</f>
        <v>998</v>
      </c>
      <c r="D580" s="35">
        <f>IF(AND(Scharniere[[#This Row],[Gruppenschlüssel]]=select!$A$44,Scharniere[[#This Row],[Scharnierart]]=1)=TRUE,1,0)</f>
        <v>0</v>
      </c>
      <c r="E5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0" s="35">
        <f>IF(select!$F$57=IF(Scharniere[[#This Row],[mit Dämpfung]]=1,1,IF(Scharniere[[#This Row],[ohne Dämpfung]]=1,2,IF(Scharniere[[#This Row],[ohne Feder]]=1,3,0))),1,0)</f>
        <v>1</v>
      </c>
      <c r="G580" s="35">
        <f>IF(Scharniere[[#This Row],[Bohrbild]]=select!$V$43,1,0)</f>
        <v>0</v>
      </c>
      <c r="H580" s="35">
        <f>IF(IF(Scharniere[[#This Row],[Anschrauben]]=1,1,IF(Scharniere[[#This Row],[Einpressen]]=1,2,IF(Scharniere[[#This Row],[Quick]]=1,3,IF(Scharniere[[#This Row],[Werkzeuglos]]=1,4,0))))=select!$F$48,1,0)</f>
        <v>1</v>
      </c>
      <c r="I5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0" s="149">
        <f>IF(AND(Scharniere[[#This Row],[Scharnierart]]=2,Scharniere[[#This Row],[Gruppenschlüssel]]=select!$A$318)=TRUE,1,0)</f>
        <v>0</v>
      </c>
      <c r="K580" s="221">
        <f ca="1">IF(select!$O$424&lt;6,1,0)</f>
        <v>1</v>
      </c>
      <c r="L580" s="139">
        <f>IF(select!$A$362=IF(Scharniere[[#This Row],[mit Dämpfung]]=1,1,IF(Scharniere[[#This Row],[ohne Dämpfung]]=1,2,IF(Scharniere[[#This Row],[ohne Feder]]=1,3,0))),1,0)</f>
        <v>0</v>
      </c>
      <c r="M580" s="135">
        <f>IF(Scharniere[[#This Row],[Bohrbild]]=select!$O$334,1,0)</f>
        <v>0</v>
      </c>
      <c r="N580" s="135">
        <f>IF(IF(Scharniere[[#This Row],[Anschrauben]]=1,1,IF(Scharniere[[#This Row],[Einpressen]]=1,2,IF(Scharniere[[#This Row],[Quick]]=1,3,IF(Scharniere[[#This Row],[Werkzeuglos]]=1,4,0))))=select!$E$362,1,0)</f>
        <v>0</v>
      </c>
      <c r="O5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0" s="298">
        <f>IF(AND(Scharniere[[#This Row],[Scharnierart]]=3,Scharniere[[#This Row],[Gruppenschlüssel]]=select!$A$747)=TRUE,1,0)</f>
        <v>0</v>
      </c>
      <c r="Q580" s="298">
        <f ca="1">IF(select!$O$945&lt;6,1,0)</f>
        <v>1</v>
      </c>
      <c r="R580" s="298">
        <f>IF(select!$A$778=IF(Scharniere[[#This Row],[mit Dämpfung]]=1,1,IF(Scharniere[[#This Row],[ohne Dämpfung]]=1,2,IF(Scharniere[[#This Row],[ohne Feder]]=1,3,0))),1,0)</f>
        <v>0</v>
      </c>
      <c r="S580" s="298">
        <f>IF(Scharniere[[#This Row],[Bohrbild]]=select!$A$755,1,0)</f>
        <v>0</v>
      </c>
      <c r="T580" s="298">
        <f>IF(IF(Scharniere[[#This Row],[Anschrauben]]=1,1,IF(Scharniere[[#This Row],[Einpressen]]=1,2,IF(Scharniere[[#This Row],[Quick]]=1,3,IF(Scharniere[[#This Row],[Werkzeuglos]]=1,4,0))))=select!$A$769,1,0)</f>
        <v>0</v>
      </c>
      <c r="U5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0" s="359">
        <f>IF(AND(Scharniere[[#This Row],[Scharnierart]]=4,Scharniere[[#This Row],[Gruppenschlüssel]]=select!$A$981)=TRUE,1,0)</f>
        <v>0</v>
      </c>
      <c r="W580" s="359">
        <f ca="1">IF(select!$O$1185&lt;6,1,0)</f>
        <v>1</v>
      </c>
      <c r="X580" s="359">
        <f>IF(select!$A$1012=IF(Scharniere[[#This Row],[mit Dämpfung]]=1,1,IF(Scharniere[[#This Row],[ohne Dämpfung]]=1,2,IF(Scharniere[[#This Row],[ohne Feder]]=1,3,0))),1,0)</f>
        <v>0</v>
      </c>
      <c r="Y580" s="359">
        <f>IF(Scharniere[[#This Row],[Bohrbild]]=select!$A$989,1,0)</f>
        <v>0</v>
      </c>
      <c r="Z580" s="359">
        <f>IF(IF(Scharniere[[#This Row],[Anschrauben]]=1,1,IF(Scharniere[[#This Row],[Einpressen]]=1,2,IF(Scharniere[[#This Row],[Quick]]=1,3,IF(Scharniere[[#This Row],[Werkzeuglos]]=1,4,0))))=select!$A$1003,1,0)</f>
        <v>0</v>
      </c>
      <c r="AA5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0" s="359">
        <f ca="1">IF(select!$K$980="*",Scharniere[[#This Row],[AG Ges2]],Scharniere[[#This Row],[AG Ges1]])</f>
        <v>0</v>
      </c>
      <c r="AE580" s="451">
        <f ca="1">IF(AND(Scharniere[[#This Row],[Scharnierart]]=select!$A$1485,Scharniere[[#This Row],[Gruppenschlüssel]]=select!$B$1485)=TRUE,1,0)</f>
        <v>0</v>
      </c>
      <c r="AF580" s="451">
        <f ca="1">IF(AND(Scharniere[[#This Row],[Scharnierart]]=select!$A$1486,Scharniere[[#This Row],[Gruppenschlüssel]]=select!$B$1486)=TRUE,1,0)</f>
        <v>0</v>
      </c>
      <c r="AG580" s="451">
        <f ca="1">IF(AND(Scharniere[[#This Row],[Scharnierart]]=select!$A$1487,Scharniere[[#This Row],[Gruppenschlüssel]]=select!$B$1487)=TRUE,1,0)</f>
        <v>0</v>
      </c>
      <c r="AH580" s="451">
        <f ca="1">IF(AND(Scharniere[[#This Row],[Scharnierart]]=select!$A$1488,Scharniere[[#This Row],[Gruppenschlüssel]]=select!$B$1488)=TRUE,1,0)</f>
        <v>0</v>
      </c>
      <c r="AI580" s="451">
        <f ca="1">IF(SUM(Scharniere[[#This Row],[konf Scharnier 1]:[konf Scharnier 4]])&gt;0,1,0)</f>
        <v>0</v>
      </c>
      <c r="AJ580" s="451"/>
      <c r="AK580" s="451"/>
      <c r="AL580" s="451"/>
      <c r="AM580" s="451"/>
      <c r="AN580" s="451"/>
      <c r="AO580" s="146">
        <v>1</v>
      </c>
      <c r="AP580" s="146">
        <v>4</v>
      </c>
      <c r="AQ580" s="10" t="str">
        <f ca="1">Sprache!$A$114</f>
        <v>Tiomos Scharnier TT Click-on</v>
      </c>
      <c r="AR580" t="str">
        <f ca="1">"95°, S-BB, K19, "&amp;Sprache!A181&amp;", ni"</f>
        <v>95°, S-BB, K19, Dübel, ni</v>
      </c>
      <c r="AS580" t="str">
        <f ca="1">Sprache!$A$103</f>
        <v>Tiomos Click-On Scharniere</v>
      </c>
      <c r="AT580">
        <v>19</v>
      </c>
      <c r="AU580" t="s">
        <v>11</v>
      </c>
      <c r="AV580">
        <v>95</v>
      </c>
      <c r="AW580" s="10">
        <v>0</v>
      </c>
      <c r="AX580">
        <v>0</v>
      </c>
      <c r="AY580">
        <v>1</v>
      </c>
      <c r="AZ580" s="10">
        <v>0</v>
      </c>
      <c r="BA580">
        <v>1</v>
      </c>
      <c r="BB580">
        <v>0</v>
      </c>
      <c r="BC580">
        <v>0</v>
      </c>
      <c r="BD580" s="143" t="s">
        <v>721</v>
      </c>
      <c r="BG580"/>
    </row>
    <row r="581" spans="1:59" ht="14.25" customHeight="1" x14ac:dyDescent="0.25">
      <c r="A581" s="37" t="str">
        <f>LEFT(Scharniere[[#This Row],[ArtikelNR]],4)</f>
        <v>F045</v>
      </c>
      <c r="B581" s="35" t="str">
        <f>MID(Scharniere[[#This Row],[ArtikelNR]],5,3)</f>
        <v>138</v>
      </c>
      <c r="C581" s="37" t="str">
        <f>RIGHT(Scharniere[[#This Row],[ArtikelNR]],3)</f>
        <v>872</v>
      </c>
      <c r="D581" s="35">
        <f>IF(AND(Scharniere[[#This Row],[Gruppenschlüssel]]=select!$A$44,Scharniere[[#This Row],[Scharnierart]]=1)=TRUE,1,0)</f>
        <v>0</v>
      </c>
      <c r="E5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1" s="35">
        <f>IF(select!$F$57=IF(Scharniere[[#This Row],[mit Dämpfung]]=1,1,IF(Scharniere[[#This Row],[ohne Dämpfung]]=1,2,IF(Scharniere[[#This Row],[ohne Feder]]=1,3,0))),1,0)</f>
        <v>0</v>
      </c>
      <c r="G581" s="35">
        <f>IF(Scharniere[[#This Row],[Bohrbild]]=select!$V$43,1,0)</f>
        <v>0</v>
      </c>
      <c r="H581" s="35">
        <f>IF(IF(Scharniere[[#This Row],[Anschrauben]]=1,1,IF(Scharniere[[#This Row],[Einpressen]]=1,2,IF(Scharniere[[#This Row],[Quick]]=1,3,IF(Scharniere[[#This Row],[Werkzeuglos]]=1,4,0))))=select!$F$48,1,0)</f>
        <v>0</v>
      </c>
      <c r="I5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1" s="149">
        <f>IF(AND(Scharniere[[#This Row],[Scharnierart]]=2,Scharniere[[#This Row],[Gruppenschlüssel]]=select!$A$318)=TRUE,1,0)</f>
        <v>0</v>
      </c>
      <c r="K581" s="221">
        <f ca="1">IF(select!$O$424&lt;6,1,0)</f>
        <v>1</v>
      </c>
      <c r="L581" s="139">
        <f>IF(select!$A$362=IF(Scharniere[[#This Row],[mit Dämpfung]]=1,1,IF(Scharniere[[#This Row],[ohne Dämpfung]]=1,2,IF(Scharniere[[#This Row],[ohne Feder]]=1,3,0))),1,0)</f>
        <v>0</v>
      </c>
      <c r="M581" s="135">
        <f>IF(Scharniere[[#This Row],[Bohrbild]]=select!$O$334,1,0)</f>
        <v>0</v>
      </c>
      <c r="N581" s="135">
        <f>IF(IF(Scharniere[[#This Row],[Anschrauben]]=1,1,IF(Scharniere[[#This Row],[Einpressen]]=1,2,IF(Scharniere[[#This Row],[Quick]]=1,3,IF(Scharniere[[#This Row],[Werkzeuglos]]=1,4,0))))=select!$E$362,1,0)</f>
        <v>1</v>
      </c>
      <c r="O5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1" s="298">
        <f>IF(AND(Scharniere[[#This Row],[Scharnierart]]=3,Scharniere[[#This Row],[Gruppenschlüssel]]=select!$A$747)=TRUE,1,0)</f>
        <v>0</v>
      </c>
      <c r="Q581" s="298">
        <f ca="1">IF(select!$O$945&lt;6,1,0)</f>
        <v>1</v>
      </c>
      <c r="R581" s="298">
        <f>IF(select!$A$778=IF(Scharniere[[#This Row],[mit Dämpfung]]=1,1,IF(Scharniere[[#This Row],[ohne Dämpfung]]=1,2,IF(Scharniere[[#This Row],[ohne Feder]]=1,3,0))),1,0)</f>
        <v>1</v>
      </c>
      <c r="S581" s="298">
        <f>IF(Scharniere[[#This Row],[Bohrbild]]=select!$A$755,1,0)</f>
        <v>0</v>
      </c>
      <c r="T581" s="298">
        <f>IF(IF(Scharniere[[#This Row],[Anschrauben]]=1,1,IF(Scharniere[[#This Row],[Einpressen]]=1,2,IF(Scharniere[[#This Row],[Quick]]=1,3,IF(Scharniere[[#This Row],[Werkzeuglos]]=1,4,0))))=select!$A$769,1,0)</f>
        <v>1</v>
      </c>
      <c r="U5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1" s="359">
        <f>IF(AND(Scharniere[[#This Row],[Scharnierart]]=4,Scharniere[[#This Row],[Gruppenschlüssel]]=select!$A$981)=TRUE,1,0)</f>
        <v>0</v>
      </c>
      <c r="W581" s="359">
        <f ca="1">IF(select!$O$1185&lt;6,1,0)</f>
        <v>1</v>
      </c>
      <c r="X581" s="359">
        <f>IF(select!$A$1012=IF(Scharniere[[#This Row],[mit Dämpfung]]=1,1,IF(Scharniere[[#This Row],[ohne Dämpfung]]=1,2,IF(Scharniere[[#This Row],[ohne Feder]]=1,3,0))),1,0)</f>
        <v>1</v>
      </c>
      <c r="Y581" s="359">
        <f>IF(Scharniere[[#This Row],[Bohrbild]]=select!$A$989,1,0)</f>
        <v>0</v>
      </c>
      <c r="Z581" s="359">
        <f>IF(IF(Scharniere[[#This Row],[Anschrauben]]=1,1,IF(Scharniere[[#This Row],[Einpressen]]=1,2,IF(Scharniere[[#This Row],[Quick]]=1,3,IF(Scharniere[[#This Row],[Werkzeuglos]]=1,4,0))))=select!$A$1003,1,0)</f>
        <v>1</v>
      </c>
      <c r="AA5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1" s="359">
        <f ca="1">IF(select!$K$980="*",Scharniere[[#This Row],[AG Ges2]],Scharniere[[#This Row],[AG Ges1]])</f>
        <v>0</v>
      </c>
      <c r="AE581" s="451">
        <f ca="1">IF(AND(Scharniere[[#This Row],[Scharnierart]]=select!$A$1485,Scharniere[[#This Row],[Gruppenschlüssel]]=select!$B$1485)=TRUE,1,0)</f>
        <v>0</v>
      </c>
      <c r="AF581" s="451">
        <f ca="1">IF(AND(Scharniere[[#This Row],[Scharnierart]]=select!$A$1486,Scharniere[[#This Row],[Gruppenschlüssel]]=select!$B$1486)=TRUE,1,0)</f>
        <v>0</v>
      </c>
      <c r="AG581" s="451">
        <f ca="1">IF(AND(Scharniere[[#This Row],[Scharnierart]]=select!$A$1487,Scharniere[[#This Row],[Gruppenschlüssel]]=select!$B$1487)=TRUE,1,0)</f>
        <v>0</v>
      </c>
      <c r="AH581" s="451">
        <f ca="1">IF(AND(Scharniere[[#This Row],[Scharnierart]]=select!$A$1488,Scharniere[[#This Row],[Gruppenschlüssel]]=select!$B$1488)=TRUE,1,0)</f>
        <v>0</v>
      </c>
      <c r="AI581" s="451">
        <f ca="1">IF(SUM(Scharniere[[#This Row],[konf Scharnier 1]:[konf Scharnier 4]])&gt;0,1,0)</f>
        <v>0</v>
      </c>
      <c r="AJ581" s="451"/>
      <c r="AK581" s="451"/>
      <c r="AL581" s="451"/>
      <c r="AM581" s="451"/>
      <c r="AN581" s="451"/>
      <c r="AO581" s="146">
        <v>1</v>
      </c>
      <c r="AP581" s="146">
        <v>4</v>
      </c>
      <c r="AQ581" s="10" t="str">
        <f ca="1">Sprache!$A$110</f>
        <v>Tiomos Scharnier T Click-on</v>
      </c>
      <c r="AR581" t="s">
        <v>412</v>
      </c>
      <c r="AS581" t="str">
        <f ca="1">Sprache!$A$103</f>
        <v>Tiomos Click-On Scharniere</v>
      </c>
      <c r="AT581">
        <v>19</v>
      </c>
      <c r="AU581" t="s">
        <v>11</v>
      </c>
      <c r="AV581">
        <v>95</v>
      </c>
      <c r="AW581" s="10">
        <v>0</v>
      </c>
      <c r="AX581">
        <v>1</v>
      </c>
      <c r="AY581">
        <v>0</v>
      </c>
      <c r="AZ581" s="10">
        <v>1</v>
      </c>
      <c r="BA581">
        <v>0</v>
      </c>
      <c r="BB581">
        <v>0</v>
      </c>
      <c r="BC581">
        <v>0</v>
      </c>
      <c r="BD581" s="143" t="s">
        <v>565</v>
      </c>
      <c r="BG581"/>
    </row>
    <row r="582" spans="1:59" ht="14.25" customHeight="1" x14ac:dyDescent="0.25">
      <c r="A582" s="37" t="str">
        <f>LEFT(Scharniere[[#This Row],[ArtikelNR]],4)</f>
        <v>F028</v>
      </c>
      <c r="B582" s="35" t="str">
        <f>MID(Scharniere[[#This Row],[ArtikelNR]],5,3)</f>
        <v>138</v>
      </c>
      <c r="C582" s="37" t="str">
        <f>RIGHT(Scharniere[[#This Row],[ArtikelNR]],3)</f>
        <v>934</v>
      </c>
      <c r="D582" s="35">
        <f>IF(AND(Scharniere[[#This Row],[Gruppenschlüssel]]=select!$A$44,Scharniere[[#This Row],[Scharnierart]]=1)=TRUE,1,0)</f>
        <v>0</v>
      </c>
      <c r="E5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2" s="35">
        <f>IF(select!$F$57=IF(Scharniere[[#This Row],[mit Dämpfung]]=1,1,IF(Scharniere[[#This Row],[ohne Dämpfung]]=1,2,IF(Scharniere[[#This Row],[ohne Feder]]=1,3,0))),1,0)</f>
        <v>0</v>
      </c>
      <c r="G582" s="35">
        <f>IF(Scharniere[[#This Row],[Bohrbild]]=select!$V$43,1,0)</f>
        <v>0</v>
      </c>
      <c r="H582" s="35">
        <f>IF(IF(Scharniere[[#This Row],[Anschrauben]]=1,1,IF(Scharniere[[#This Row],[Einpressen]]=1,2,IF(Scharniere[[#This Row],[Quick]]=1,3,IF(Scharniere[[#This Row],[Werkzeuglos]]=1,4,0))))=select!$F$48,1,0)</f>
        <v>0</v>
      </c>
      <c r="I5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2" s="149">
        <f>IF(AND(Scharniere[[#This Row],[Scharnierart]]=2,Scharniere[[#This Row],[Gruppenschlüssel]]=select!$A$318)=TRUE,1,0)</f>
        <v>0</v>
      </c>
      <c r="K582" s="221">
        <f ca="1">IF(select!$O$424&lt;6,1,0)</f>
        <v>1</v>
      </c>
      <c r="L582" s="139">
        <f>IF(select!$A$362=IF(Scharniere[[#This Row],[mit Dämpfung]]=1,1,IF(Scharniere[[#This Row],[ohne Dämpfung]]=1,2,IF(Scharniere[[#This Row],[ohne Feder]]=1,3,0))),1,0)</f>
        <v>1</v>
      </c>
      <c r="M582" s="135">
        <f>IF(Scharniere[[#This Row],[Bohrbild]]=select!$O$334,1,0)</f>
        <v>0</v>
      </c>
      <c r="N582" s="135">
        <f>IF(IF(Scharniere[[#This Row],[Anschrauben]]=1,1,IF(Scharniere[[#This Row],[Einpressen]]=1,2,IF(Scharniere[[#This Row],[Quick]]=1,3,IF(Scharniere[[#This Row],[Werkzeuglos]]=1,4,0))))=select!$E$362,1,0)</f>
        <v>1</v>
      </c>
      <c r="O5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2" s="298">
        <f>IF(AND(Scharniere[[#This Row],[Scharnierart]]=3,Scharniere[[#This Row],[Gruppenschlüssel]]=select!$A$747)=TRUE,1,0)</f>
        <v>0</v>
      </c>
      <c r="Q582" s="298">
        <f ca="1">IF(select!$O$945&lt;6,1,0)</f>
        <v>1</v>
      </c>
      <c r="R582" s="298">
        <f>IF(select!$A$778=IF(Scharniere[[#This Row],[mit Dämpfung]]=1,1,IF(Scharniere[[#This Row],[ohne Dämpfung]]=1,2,IF(Scharniere[[#This Row],[ohne Feder]]=1,3,0))),1,0)</f>
        <v>0</v>
      </c>
      <c r="S582" s="298">
        <f>IF(Scharniere[[#This Row],[Bohrbild]]=select!$A$755,1,0)</f>
        <v>0</v>
      </c>
      <c r="T582" s="298">
        <f>IF(IF(Scharniere[[#This Row],[Anschrauben]]=1,1,IF(Scharniere[[#This Row],[Einpressen]]=1,2,IF(Scharniere[[#This Row],[Quick]]=1,3,IF(Scharniere[[#This Row],[Werkzeuglos]]=1,4,0))))=select!$A$769,1,0)</f>
        <v>1</v>
      </c>
      <c r="U5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2" s="359">
        <f>IF(AND(Scharniere[[#This Row],[Scharnierart]]=4,Scharniere[[#This Row],[Gruppenschlüssel]]=select!$A$981)=TRUE,1,0)</f>
        <v>0</v>
      </c>
      <c r="W582" s="359">
        <f ca="1">IF(select!$O$1185&lt;6,1,0)</f>
        <v>1</v>
      </c>
      <c r="X582" s="359">
        <f>IF(select!$A$1012=IF(Scharniere[[#This Row],[mit Dämpfung]]=1,1,IF(Scharniere[[#This Row],[ohne Dämpfung]]=1,2,IF(Scharniere[[#This Row],[ohne Feder]]=1,3,0))),1,0)</f>
        <v>0</v>
      </c>
      <c r="Y582" s="359">
        <f>IF(Scharniere[[#This Row],[Bohrbild]]=select!$A$989,1,0)</f>
        <v>0</v>
      </c>
      <c r="Z582" s="359">
        <f>IF(IF(Scharniere[[#This Row],[Anschrauben]]=1,1,IF(Scharniere[[#This Row],[Einpressen]]=1,2,IF(Scharniere[[#This Row],[Quick]]=1,3,IF(Scharniere[[#This Row],[Werkzeuglos]]=1,4,0))))=select!$A$1003,1,0)</f>
        <v>1</v>
      </c>
      <c r="AA5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2" s="359">
        <f ca="1">IF(select!$K$980="*",Scharniere[[#This Row],[AG Ges2]],Scharniere[[#This Row],[AG Ges1]])</f>
        <v>0</v>
      </c>
      <c r="AE582" s="451">
        <f ca="1">IF(AND(Scharniere[[#This Row],[Scharnierart]]=select!$A$1485,Scharniere[[#This Row],[Gruppenschlüssel]]=select!$B$1485)=TRUE,1,0)</f>
        <v>0</v>
      </c>
      <c r="AF582" s="451">
        <f ca="1">IF(AND(Scharniere[[#This Row],[Scharnierart]]=select!$A$1486,Scharniere[[#This Row],[Gruppenschlüssel]]=select!$B$1486)=TRUE,1,0)</f>
        <v>0</v>
      </c>
      <c r="AG582" s="451">
        <f ca="1">IF(AND(Scharniere[[#This Row],[Scharnierart]]=select!$A$1487,Scharniere[[#This Row],[Gruppenschlüssel]]=select!$B$1487)=TRUE,1,0)</f>
        <v>0</v>
      </c>
      <c r="AH582" s="451">
        <f ca="1">IF(AND(Scharniere[[#This Row],[Scharnierart]]=select!$A$1488,Scharniere[[#This Row],[Gruppenschlüssel]]=select!$B$1488)=TRUE,1,0)</f>
        <v>0</v>
      </c>
      <c r="AI582" s="451">
        <f ca="1">IF(SUM(Scharniere[[#This Row],[konf Scharnier 1]:[konf Scharnier 4]])&gt;0,1,0)</f>
        <v>0</v>
      </c>
      <c r="AJ582" s="451"/>
      <c r="AK582" s="451"/>
      <c r="AL582" s="451"/>
      <c r="AM582" s="451"/>
      <c r="AN582" s="451"/>
      <c r="AO582" s="146">
        <v>1</v>
      </c>
      <c r="AP582" s="146">
        <v>4</v>
      </c>
      <c r="AQ582" s="10" t="str">
        <f ca="1">Sprache!$A$112</f>
        <v>Tiomos Scharnier TS Click-on</v>
      </c>
      <c r="AR582" t="s">
        <v>412</v>
      </c>
      <c r="AS582" t="str">
        <f ca="1">Sprache!$A$103</f>
        <v>Tiomos Click-On Scharniere</v>
      </c>
      <c r="AT582">
        <v>19</v>
      </c>
      <c r="AU582" s="34" t="s">
        <v>11</v>
      </c>
      <c r="AV582">
        <v>95</v>
      </c>
      <c r="AW582" s="10">
        <v>1</v>
      </c>
      <c r="AX582">
        <v>0</v>
      </c>
      <c r="AY582">
        <v>0</v>
      </c>
      <c r="AZ582" s="10">
        <v>1</v>
      </c>
      <c r="BA582">
        <v>0</v>
      </c>
      <c r="BB582">
        <v>0</v>
      </c>
      <c r="BC582">
        <v>0</v>
      </c>
      <c r="BD582" s="143" t="s">
        <v>411</v>
      </c>
      <c r="BG582"/>
    </row>
    <row r="583" spans="1:59" ht="14.25" customHeight="1" x14ac:dyDescent="0.25">
      <c r="A583" s="37" t="str">
        <f>LEFT(Scharniere[[#This Row],[ArtikelNR]],4)</f>
        <v>F046</v>
      </c>
      <c r="B583" s="35" t="str">
        <f>MID(Scharniere[[#This Row],[ArtikelNR]],5,3)</f>
        <v>138</v>
      </c>
      <c r="C583" s="37" t="str">
        <f>RIGHT(Scharniere[[#This Row],[ArtikelNR]],3)</f>
        <v>994</v>
      </c>
      <c r="D583" s="35">
        <f>IF(AND(Scharniere[[#This Row],[Gruppenschlüssel]]=select!$A$44,Scharniere[[#This Row],[Scharnierart]]=1)=TRUE,1,0)</f>
        <v>0</v>
      </c>
      <c r="E5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3" s="35">
        <f>IF(select!$F$57=IF(Scharniere[[#This Row],[mit Dämpfung]]=1,1,IF(Scharniere[[#This Row],[ohne Dämpfung]]=1,2,IF(Scharniere[[#This Row],[ohne Feder]]=1,3,0))),1,0)</f>
        <v>1</v>
      </c>
      <c r="G583" s="35">
        <f>IF(Scharniere[[#This Row],[Bohrbild]]=select!$V$43,1,0)</f>
        <v>0</v>
      </c>
      <c r="H583" s="35">
        <f>IF(IF(Scharniere[[#This Row],[Anschrauben]]=1,1,IF(Scharniere[[#This Row],[Einpressen]]=1,2,IF(Scharniere[[#This Row],[Quick]]=1,3,IF(Scharniere[[#This Row],[Werkzeuglos]]=1,4,0))))=select!$F$48,1,0)</f>
        <v>0</v>
      </c>
      <c r="I5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3" s="149">
        <f>IF(AND(Scharniere[[#This Row],[Scharnierart]]=2,Scharniere[[#This Row],[Gruppenschlüssel]]=select!$A$318)=TRUE,1,0)</f>
        <v>0</v>
      </c>
      <c r="K583" s="221">
        <f ca="1">IF(select!$O$424&lt;6,1,0)</f>
        <v>1</v>
      </c>
      <c r="L583" s="139">
        <f>IF(select!$A$362=IF(Scharniere[[#This Row],[mit Dämpfung]]=1,1,IF(Scharniere[[#This Row],[ohne Dämpfung]]=1,2,IF(Scharniere[[#This Row],[ohne Feder]]=1,3,0))),1,0)</f>
        <v>0</v>
      </c>
      <c r="M583" s="135">
        <f>IF(Scharniere[[#This Row],[Bohrbild]]=select!$O$334,1,0)</f>
        <v>0</v>
      </c>
      <c r="N583" s="135">
        <f>IF(IF(Scharniere[[#This Row],[Anschrauben]]=1,1,IF(Scharniere[[#This Row],[Einpressen]]=1,2,IF(Scharniere[[#This Row],[Quick]]=1,3,IF(Scharniere[[#This Row],[Werkzeuglos]]=1,4,0))))=select!$E$362,1,0)</f>
        <v>1</v>
      </c>
      <c r="O5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3" s="298">
        <f>IF(AND(Scharniere[[#This Row],[Scharnierart]]=3,Scharniere[[#This Row],[Gruppenschlüssel]]=select!$A$747)=TRUE,1,0)</f>
        <v>0</v>
      </c>
      <c r="Q583" s="298">
        <f ca="1">IF(select!$O$945&lt;6,1,0)</f>
        <v>1</v>
      </c>
      <c r="R583" s="298">
        <f>IF(select!$A$778=IF(Scharniere[[#This Row],[mit Dämpfung]]=1,1,IF(Scharniere[[#This Row],[ohne Dämpfung]]=1,2,IF(Scharniere[[#This Row],[ohne Feder]]=1,3,0))),1,0)</f>
        <v>0</v>
      </c>
      <c r="S583" s="298">
        <f>IF(Scharniere[[#This Row],[Bohrbild]]=select!$A$755,1,0)</f>
        <v>0</v>
      </c>
      <c r="T583" s="298">
        <f>IF(IF(Scharniere[[#This Row],[Anschrauben]]=1,1,IF(Scharniere[[#This Row],[Einpressen]]=1,2,IF(Scharniere[[#This Row],[Quick]]=1,3,IF(Scharniere[[#This Row],[Werkzeuglos]]=1,4,0))))=select!$A$769,1,0)</f>
        <v>1</v>
      </c>
      <c r="U5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3" s="359">
        <f>IF(AND(Scharniere[[#This Row],[Scharnierart]]=4,Scharniere[[#This Row],[Gruppenschlüssel]]=select!$A$981)=TRUE,1,0)</f>
        <v>0</v>
      </c>
      <c r="W583" s="359">
        <f ca="1">IF(select!$O$1185&lt;6,1,0)</f>
        <v>1</v>
      </c>
      <c r="X583" s="359">
        <f>IF(select!$A$1012=IF(Scharniere[[#This Row],[mit Dämpfung]]=1,1,IF(Scharniere[[#This Row],[ohne Dämpfung]]=1,2,IF(Scharniere[[#This Row],[ohne Feder]]=1,3,0))),1,0)</f>
        <v>0</v>
      </c>
      <c r="Y583" s="359">
        <f>IF(Scharniere[[#This Row],[Bohrbild]]=select!$A$989,1,0)</f>
        <v>0</v>
      </c>
      <c r="Z583" s="359">
        <f>IF(IF(Scharniere[[#This Row],[Anschrauben]]=1,1,IF(Scharniere[[#This Row],[Einpressen]]=1,2,IF(Scharniere[[#This Row],[Quick]]=1,3,IF(Scharniere[[#This Row],[Werkzeuglos]]=1,4,0))))=select!$A$1003,1,0)</f>
        <v>1</v>
      </c>
      <c r="AA5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3" s="359">
        <f ca="1">IF(select!$K$980="*",Scharniere[[#This Row],[AG Ges2]],Scharniere[[#This Row],[AG Ges1]])</f>
        <v>0</v>
      </c>
      <c r="AE583" s="451">
        <f ca="1">IF(AND(Scharniere[[#This Row],[Scharnierart]]=select!$A$1485,Scharniere[[#This Row],[Gruppenschlüssel]]=select!$B$1485)=TRUE,1,0)</f>
        <v>0</v>
      </c>
      <c r="AF583" s="451">
        <f ca="1">IF(AND(Scharniere[[#This Row],[Scharnierart]]=select!$A$1486,Scharniere[[#This Row],[Gruppenschlüssel]]=select!$B$1486)=TRUE,1,0)</f>
        <v>0</v>
      </c>
      <c r="AG583" s="451">
        <f ca="1">IF(AND(Scharniere[[#This Row],[Scharnierart]]=select!$A$1487,Scharniere[[#This Row],[Gruppenschlüssel]]=select!$B$1487)=TRUE,1,0)</f>
        <v>0</v>
      </c>
      <c r="AH583" s="451">
        <f ca="1">IF(AND(Scharniere[[#This Row],[Scharnierart]]=select!$A$1488,Scharniere[[#This Row],[Gruppenschlüssel]]=select!$B$1488)=TRUE,1,0)</f>
        <v>0</v>
      </c>
      <c r="AI583" s="451">
        <f ca="1">IF(SUM(Scharniere[[#This Row],[konf Scharnier 1]:[konf Scharnier 4]])&gt;0,1,0)</f>
        <v>0</v>
      </c>
      <c r="AJ583" s="451"/>
      <c r="AK583" s="451"/>
      <c r="AL583" s="451"/>
      <c r="AM583" s="451"/>
      <c r="AN583" s="451"/>
      <c r="AO583" s="146">
        <v>1</v>
      </c>
      <c r="AP583" s="146">
        <v>4</v>
      </c>
      <c r="AQ583" s="10" t="str">
        <f ca="1">Sprache!$A$114</f>
        <v>Tiomos Scharnier TT Click-on</v>
      </c>
      <c r="AR583" t="s">
        <v>412</v>
      </c>
      <c r="AS583" t="str">
        <f ca="1">Sprache!$A$103</f>
        <v>Tiomos Click-On Scharniere</v>
      </c>
      <c r="AT583">
        <v>19</v>
      </c>
      <c r="AU583" s="34" t="s">
        <v>11</v>
      </c>
      <c r="AV583">
        <v>95</v>
      </c>
      <c r="AW583" s="10">
        <v>0</v>
      </c>
      <c r="AX583">
        <v>0</v>
      </c>
      <c r="AY583">
        <v>1</v>
      </c>
      <c r="AZ583" s="10">
        <v>1</v>
      </c>
      <c r="BA583">
        <v>0</v>
      </c>
      <c r="BB583">
        <v>0</v>
      </c>
      <c r="BC583">
        <v>0</v>
      </c>
      <c r="BD583" s="143" t="s">
        <v>717</v>
      </c>
      <c r="BG583"/>
    </row>
    <row r="584" spans="1:59" ht="14.25" customHeight="1" x14ac:dyDescent="0.25">
      <c r="A584" s="37" t="str">
        <f>LEFT(Scharniere[[#This Row],[ArtikelNR]],4)</f>
        <v>F045</v>
      </c>
      <c r="B584" s="35" t="str">
        <f>MID(Scharniere[[#This Row],[ArtikelNR]],5,3)</f>
        <v>138</v>
      </c>
      <c r="C584" s="37" t="str">
        <f>RIGHT(Scharniere[[#This Row],[ArtikelNR]],3)</f>
        <v>511</v>
      </c>
      <c r="D584" s="35">
        <f>IF(AND(Scharniere[[#This Row],[Gruppenschlüssel]]=select!$A$44,Scharniere[[#This Row],[Scharnierart]]=1)=TRUE,1,0)</f>
        <v>0</v>
      </c>
      <c r="E5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4" s="35">
        <f>IF(select!$F$57=IF(Scharniere[[#This Row],[mit Dämpfung]]=1,1,IF(Scharniere[[#This Row],[ohne Dämpfung]]=1,2,IF(Scharniere[[#This Row],[ohne Feder]]=1,3,0))),1,0)</f>
        <v>0</v>
      </c>
      <c r="G584" s="35">
        <f>IF(Scharniere[[#This Row],[Bohrbild]]=select!$V$43,1,0)</f>
        <v>0</v>
      </c>
      <c r="H584" s="35">
        <f>IF(IF(Scharniere[[#This Row],[Anschrauben]]=1,1,IF(Scharniere[[#This Row],[Einpressen]]=1,2,IF(Scharniere[[#This Row],[Quick]]=1,3,IF(Scharniere[[#This Row],[Werkzeuglos]]=1,4,0))))=select!$F$48,1,0)</f>
        <v>1</v>
      </c>
      <c r="I5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4" s="149">
        <f>IF(AND(Scharniere[[#This Row],[Scharnierart]]=2,Scharniere[[#This Row],[Gruppenschlüssel]]=select!$A$318)=TRUE,1,0)</f>
        <v>0</v>
      </c>
      <c r="K584" s="221">
        <f ca="1">IF(select!$O$424&lt;6,1,0)</f>
        <v>1</v>
      </c>
      <c r="L584" s="139">
        <f>IF(select!$A$362=IF(Scharniere[[#This Row],[mit Dämpfung]]=1,1,IF(Scharniere[[#This Row],[ohne Dämpfung]]=1,2,IF(Scharniere[[#This Row],[ohne Feder]]=1,3,0))),1,0)</f>
        <v>0</v>
      </c>
      <c r="M584" s="135">
        <f>IF(Scharniere[[#This Row],[Bohrbild]]=select!$O$334,1,0)</f>
        <v>0</v>
      </c>
      <c r="N584" s="135">
        <f>IF(IF(Scharniere[[#This Row],[Anschrauben]]=1,1,IF(Scharniere[[#This Row],[Einpressen]]=1,2,IF(Scharniere[[#This Row],[Quick]]=1,3,IF(Scharniere[[#This Row],[Werkzeuglos]]=1,4,0))))=select!$E$362,1,0)</f>
        <v>0</v>
      </c>
      <c r="O5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4" s="298">
        <f>IF(AND(Scharniere[[#This Row],[Scharnierart]]=3,Scharniere[[#This Row],[Gruppenschlüssel]]=select!$A$747)=TRUE,1,0)</f>
        <v>0</v>
      </c>
      <c r="Q584" s="298">
        <f ca="1">IF(select!$O$945&lt;6,1,0)</f>
        <v>1</v>
      </c>
      <c r="R584" s="298">
        <f>IF(select!$A$778=IF(Scharniere[[#This Row],[mit Dämpfung]]=1,1,IF(Scharniere[[#This Row],[ohne Dämpfung]]=1,2,IF(Scharniere[[#This Row],[ohne Feder]]=1,3,0))),1,0)</f>
        <v>1</v>
      </c>
      <c r="S584" s="298">
        <f>IF(Scharniere[[#This Row],[Bohrbild]]=select!$A$755,1,0)</f>
        <v>0</v>
      </c>
      <c r="T584" s="298">
        <f>IF(IF(Scharniere[[#This Row],[Anschrauben]]=1,1,IF(Scharniere[[#This Row],[Einpressen]]=1,2,IF(Scharniere[[#This Row],[Quick]]=1,3,IF(Scharniere[[#This Row],[Werkzeuglos]]=1,4,0))))=select!$A$769,1,0)</f>
        <v>0</v>
      </c>
      <c r="U5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4" s="359">
        <f>IF(AND(Scharniere[[#This Row],[Scharnierart]]=4,Scharniere[[#This Row],[Gruppenschlüssel]]=select!$A$981)=TRUE,1,0)</f>
        <v>0</v>
      </c>
      <c r="W584" s="359">
        <f ca="1">IF(select!$O$1185&lt;6,1,0)</f>
        <v>1</v>
      </c>
      <c r="X584" s="359">
        <f>IF(select!$A$1012=IF(Scharniere[[#This Row],[mit Dämpfung]]=1,1,IF(Scharniere[[#This Row],[ohne Dämpfung]]=1,2,IF(Scharniere[[#This Row],[ohne Feder]]=1,3,0))),1,0)</f>
        <v>1</v>
      </c>
      <c r="Y584" s="359">
        <f>IF(Scharniere[[#This Row],[Bohrbild]]=select!$A$989,1,0)</f>
        <v>0</v>
      </c>
      <c r="Z584" s="359">
        <f>IF(IF(Scharniere[[#This Row],[Anschrauben]]=1,1,IF(Scharniere[[#This Row],[Einpressen]]=1,2,IF(Scharniere[[#This Row],[Quick]]=1,3,IF(Scharniere[[#This Row],[Werkzeuglos]]=1,4,0))))=select!$A$1003,1,0)</f>
        <v>0</v>
      </c>
      <c r="AA5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4" s="359">
        <f ca="1">IF(select!$K$980="*",Scharniere[[#This Row],[AG Ges2]],Scharniere[[#This Row],[AG Ges1]])</f>
        <v>0</v>
      </c>
      <c r="AE584" s="451">
        <f ca="1">IF(AND(Scharniere[[#This Row],[Scharnierart]]=select!$A$1485,Scharniere[[#This Row],[Gruppenschlüssel]]=select!$B$1485)=TRUE,1,0)</f>
        <v>0</v>
      </c>
      <c r="AF584" s="451">
        <f ca="1">IF(AND(Scharniere[[#This Row],[Scharnierart]]=select!$A$1486,Scharniere[[#This Row],[Gruppenschlüssel]]=select!$B$1486)=TRUE,1,0)</f>
        <v>0</v>
      </c>
      <c r="AG584" s="451">
        <f ca="1">IF(AND(Scharniere[[#This Row],[Scharnierart]]=select!$A$1487,Scharniere[[#This Row],[Gruppenschlüssel]]=select!$B$1487)=TRUE,1,0)</f>
        <v>0</v>
      </c>
      <c r="AH584" s="451">
        <f ca="1">IF(AND(Scharniere[[#This Row],[Scharnierart]]=select!$A$1488,Scharniere[[#This Row],[Gruppenschlüssel]]=select!$B$1488)=TRUE,1,0)</f>
        <v>0</v>
      </c>
      <c r="AI584" s="451">
        <f ca="1">IF(SUM(Scharniere[[#This Row],[konf Scharnier 1]:[konf Scharnier 4]])&gt;0,1,0)</f>
        <v>0</v>
      </c>
      <c r="AJ584" s="451"/>
      <c r="AK584" s="451"/>
      <c r="AL584" s="451"/>
      <c r="AM584" s="451"/>
      <c r="AN584" s="451"/>
      <c r="AO584" s="146">
        <v>1</v>
      </c>
      <c r="AP584" s="146">
        <v>4</v>
      </c>
      <c r="AQ584" s="10" t="str">
        <f ca="1">Sprache!$A$110</f>
        <v>Tiomos Scharnier T Click-on</v>
      </c>
      <c r="AR584" t="str">
        <f ca="1">"95°, B-BB, K9.5, "&amp;Sprache!A181&amp;", ni"</f>
        <v>95°, B-BB, K9.5, Dübel, ni</v>
      </c>
      <c r="AS584" t="str">
        <f ca="1">Sprache!$A$103</f>
        <v>Tiomos Click-On Scharniere</v>
      </c>
      <c r="AT584">
        <v>9.5</v>
      </c>
      <c r="AU584" s="34" t="s">
        <v>3</v>
      </c>
      <c r="AV584">
        <v>95</v>
      </c>
      <c r="AW584" s="10">
        <v>0</v>
      </c>
      <c r="AX584">
        <v>1</v>
      </c>
      <c r="AY584">
        <v>0</v>
      </c>
      <c r="AZ584" s="10">
        <v>0</v>
      </c>
      <c r="BA584">
        <v>1</v>
      </c>
      <c r="BB584">
        <v>0</v>
      </c>
      <c r="BC584">
        <v>0</v>
      </c>
      <c r="BD584" s="143" t="s">
        <v>512</v>
      </c>
      <c r="BG584"/>
    </row>
    <row r="585" spans="1:59" ht="14.25" customHeight="1" x14ac:dyDescent="0.25">
      <c r="A585" s="37" t="str">
        <f>LEFT(Scharniere[[#This Row],[ArtikelNR]],4)</f>
        <v>F028</v>
      </c>
      <c r="B585" s="35" t="str">
        <f>MID(Scharniere[[#This Row],[ArtikelNR]],5,3)</f>
        <v>138</v>
      </c>
      <c r="C585" s="37" t="str">
        <f>RIGHT(Scharniere[[#This Row],[ArtikelNR]],3)</f>
        <v>573</v>
      </c>
      <c r="D585" s="35">
        <f>IF(AND(Scharniere[[#This Row],[Gruppenschlüssel]]=select!$A$44,Scharniere[[#This Row],[Scharnierart]]=1)=TRUE,1,0)</f>
        <v>0</v>
      </c>
      <c r="E5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5" s="35">
        <f>IF(select!$F$57=IF(Scharniere[[#This Row],[mit Dämpfung]]=1,1,IF(Scharniere[[#This Row],[ohne Dämpfung]]=1,2,IF(Scharniere[[#This Row],[ohne Feder]]=1,3,0))),1,0)</f>
        <v>0</v>
      </c>
      <c r="G585" s="35">
        <f>IF(Scharniere[[#This Row],[Bohrbild]]=select!$V$43,1,0)</f>
        <v>0</v>
      </c>
      <c r="H585" s="35">
        <f>IF(IF(Scharniere[[#This Row],[Anschrauben]]=1,1,IF(Scharniere[[#This Row],[Einpressen]]=1,2,IF(Scharniere[[#This Row],[Quick]]=1,3,IF(Scharniere[[#This Row],[Werkzeuglos]]=1,4,0))))=select!$F$48,1,0)</f>
        <v>1</v>
      </c>
      <c r="I5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5" s="149">
        <f>IF(AND(Scharniere[[#This Row],[Scharnierart]]=2,Scharniere[[#This Row],[Gruppenschlüssel]]=select!$A$318)=TRUE,1,0)</f>
        <v>0</v>
      </c>
      <c r="K585" s="221">
        <f ca="1">IF(select!$O$424&lt;6,1,0)</f>
        <v>1</v>
      </c>
      <c r="L585" s="139">
        <f>IF(select!$A$362=IF(Scharniere[[#This Row],[mit Dämpfung]]=1,1,IF(Scharniere[[#This Row],[ohne Dämpfung]]=1,2,IF(Scharniere[[#This Row],[ohne Feder]]=1,3,0))),1,0)</f>
        <v>1</v>
      </c>
      <c r="M585" s="135">
        <f>IF(Scharniere[[#This Row],[Bohrbild]]=select!$O$334,1,0)</f>
        <v>0</v>
      </c>
      <c r="N585" s="135">
        <f>IF(IF(Scharniere[[#This Row],[Anschrauben]]=1,1,IF(Scharniere[[#This Row],[Einpressen]]=1,2,IF(Scharniere[[#This Row],[Quick]]=1,3,IF(Scharniere[[#This Row],[Werkzeuglos]]=1,4,0))))=select!$E$362,1,0)</f>
        <v>0</v>
      </c>
      <c r="O5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5" s="298">
        <f>IF(AND(Scharniere[[#This Row],[Scharnierart]]=3,Scharniere[[#This Row],[Gruppenschlüssel]]=select!$A$747)=TRUE,1,0)</f>
        <v>0</v>
      </c>
      <c r="Q585" s="298">
        <f ca="1">IF(select!$O$945&lt;6,1,0)</f>
        <v>1</v>
      </c>
      <c r="R585" s="298">
        <f>IF(select!$A$778=IF(Scharniere[[#This Row],[mit Dämpfung]]=1,1,IF(Scharniere[[#This Row],[ohne Dämpfung]]=1,2,IF(Scharniere[[#This Row],[ohne Feder]]=1,3,0))),1,0)</f>
        <v>0</v>
      </c>
      <c r="S585" s="298">
        <f>IF(Scharniere[[#This Row],[Bohrbild]]=select!$A$755,1,0)</f>
        <v>0</v>
      </c>
      <c r="T585" s="298">
        <f>IF(IF(Scharniere[[#This Row],[Anschrauben]]=1,1,IF(Scharniere[[#This Row],[Einpressen]]=1,2,IF(Scharniere[[#This Row],[Quick]]=1,3,IF(Scharniere[[#This Row],[Werkzeuglos]]=1,4,0))))=select!$A$769,1,0)</f>
        <v>0</v>
      </c>
      <c r="U5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5" s="359">
        <f>IF(AND(Scharniere[[#This Row],[Scharnierart]]=4,Scharniere[[#This Row],[Gruppenschlüssel]]=select!$A$981)=TRUE,1,0)</f>
        <v>0</v>
      </c>
      <c r="W585" s="359">
        <f ca="1">IF(select!$O$1185&lt;6,1,0)</f>
        <v>1</v>
      </c>
      <c r="X585" s="359">
        <f>IF(select!$A$1012=IF(Scharniere[[#This Row],[mit Dämpfung]]=1,1,IF(Scharniere[[#This Row],[ohne Dämpfung]]=1,2,IF(Scharniere[[#This Row],[ohne Feder]]=1,3,0))),1,0)</f>
        <v>0</v>
      </c>
      <c r="Y585" s="359">
        <f>IF(Scharniere[[#This Row],[Bohrbild]]=select!$A$989,1,0)</f>
        <v>0</v>
      </c>
      <c r="Z585" s="359">
        <f>IF(IF(Scharniere[[#This Row],[Anschrauben]]=1,1,IF(Scharniere[[#This Row],[Einpressen]]=1,2,IF(Scharniere[[#This Row],[Quick]]=1,3,IF(Scharniere[[#This Row],[Werkzeuglos]]=1,4,0))))=select!$A$1003,1,0)</f>
        <v>0</v>
      </c>
      <c r="AA5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5" s="359">
        <f ca="1">IF(select!$K$980="*",Scharniere[[#This Row],[AG Ges2]],Scharniere[[#This Row],[AG Ges1]])</f>
        <v>0</v>
      </c>
      <c r="AE585" s="451">
        <f ca="1">IF(AND(Scharniere[[#This Row],[Scharnierart]]=select!$A$1485,Scharniere[[#This Row],[Gruppenschlüssel]]=select!$B$1485)=TRUE,1,0)</f>
        <v>0</v>
      </c>
      <c r="AF585" s="451">
        <f ca="1">IF(AND(Scharniere[[#This Row],[Scharnierart]]=select!$A$1486,Scharniere[[#This Row],[Gruppenschlüssel]]=select!$B$1486)=TRUE,1,0)</f>
        <v>0</v>
      </c>
      <c r="AG585" s="451">
        <f ca="1">IF(AND(Scharniere[[#This Row],[Scharnierart]]=select!$A$1487,Scharniere[[#This Row],[Gruppenschlüssel]]=select!$B$1487)=TRUE,1,0)</f>
        <v>0</v>
      </c>
      <c r="AH585" s="451">
        <f ca="1">IF(AND(Scharniere[[#This Row],[Scharnierart]]=select!$A$1488,Scharniere[[#This Row],[Gruppenschlüssel]]=select!$B$1488)=TRUE,1,0)</f>
        <v>0</v>
      </c>
      <c r="AI585" s="451">
        <f ca="1">IF(SUM(Scharniere[[#This Row],[konf Scharnier 1]:[konf Scharnier 4]])&gt;0,1,0)</f>
        <v>0</v>
      </c>
      <c r="AJ585" s="451"/>
      <c r="AK585" s="451"/>
      <c r="AL585" s="451"/>
      <c r="AM585" s="451"/>
      <c r="AN585" s="451"/>
      <c r="AO585" s="146">
        <v>1</v>
      </c>
      <c r="AP585" s="146">
        <v>4</v>
      </c>
      <c r="AQ585" s="10" t="str">
        <f ca="1">Sprache!$A$112</f>
        <v>Tiomos Scharnier TS Click-on</v>
      </c>
      <c r="AR585" t="str">
        <f ca="1">"95°, B-BB, K9.5, "&amp;Sprache!A181&amp;", ni"</f>
        <v>95°, B-BB, K9.5, Dübel, ni</v>
      </c>
      <c r="AS585" t="str">
        <f ca="1">Sprache!$A$103</f>
        <v>Tiomos Click-On Scharniere</v>
      </c>
      <c r="AT585">
        <v>9.5</v>
      </c>
      <c r="AU585" t="s">
        <v>3</v>
      </c>
      <c r="AV585">
        <v>95</v>
      </c>
      <c r="AW585" s="10">
        <v>1</v>
      </c>
      <c r="AX585">
        <v>0</v>
      </c>
      <c r="AY585">
        <v>0</v>
      </c>
      <c r="AZ585" s="10">
        <v>0</v>
      </c>
      <c r="BA585">
        <v>1</v>
      </c>
      <c r="BB585">
        <v>0</v>
      </c>
      <c r="BC585">
        <v>0</v>
      </c>
      <c r="BD585" s="143" t="s">
        <v>339</v>
      </c>
      <c r="BG585"/>
    </row>
    <row r="586" spans="1:59" ht="14.25" customHeight="1" x14ac:dyDescent="0.25">
      <c r="A586" s="37" t="str">
        <f>LEFT(Scharniere[[#This Row],[ArtikelNR]],4)</f>
        <v>F046</v>
      </c>
      <c r="B586" s="35" t="str">
        <f>MID(Scharniere[[#This Row],[ArtikelNR]],5,3)</f>
        <v>138</v>
      </c>
      <c r="C586" s="37" t="str">
        <f>RIGHT(Scharniere[[#This Row],[ArtikelNR]],3)</f>
        <v>633</v>
      </c>
      <c r="D586" s="35">
        <f>IF(AND(Scharniere[[#This Row],[Gruppenschlüssel]]=select!$A$44,Scharniere[[#This Row],[Scharnierart]]=1)=TRUE,1,0)</f>
        <v>0</v>
      </c>
      <c r="E5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6" s="35">
        <f>IF(select!$F$57=IF(Scharniere[[#This Row],[mit Dämpfung]]=1,1,IF(Scharniere[[#This Row],[ohne Dämpfung]]=1,2,IF(Scharniere[[#This Row],[ohne Feder]]=1,3,0))),1,0)</f>
        <v>1</v>
      </c>
      <c r="G586" s="35">
        <f>IF(Scharniere[[#This Row],[Bohrbild]]=select!$V$43,1,0)</f>
        <v>0</v>
      </c>
      <c r="H586" s="35">
        <f>IF(IF(Scharniere[[#This Row],[Anschrauben]]=1,1,IF(Scharniere[[#This Row],[Einpressen]]=1,2,IF(Scharniere[[#This Row],[Quick]]=1,3,IF(Scharniere[[#This Row],[Werkzeuglos]]=1,4,0))))=select!$F$48,1,0)</f>
        <v>1</v>
      </c>
      <c r="I5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6" s="149">
        <f>IF(AND(Scharniere[[#This Row],[Scharnierart]]=2,Scharniere[[#This Row],[Gruppenschlüssel]]=select!$A$318)=TRUE,1,0)</f>
        <v>0</v>
      </c>
      <c r="K586" s="221">
        <f ca="1">IF(select!$O$424&lt;6,1,0)</f>
        <v>1</v>
      </c>
      <c r="L586" s="139">
        <f>IF(select!$A$362=IF(Scharniere[[#This Row],[mit Dämpfung]]=1,1,IF(Scharniere[[#This Row],[ohne Dämpfung]]=1,2,IF(Scharniere[[#This Row],[ohne Feder]]=1,3,0))),1,0)</f>
        <v>0</v>
      </c>
      <c r="M586" s="135">
        <f>IF(Scharniere[[#This Row],[Bohrbild]]=select!$O$334,1,0)</f>
        <v>0</v>
      </c>
      <c r="N586" s="135">
        <f>IF(IF(Scharniere[[#This Row],[Anschrauben]]=1,1,IF(Scharniere[[#This Row],[Einpressen]]=1,2,IF(Scharniere[[#This Row],[Quick]]=1,3,IF(Scharniere[[#This Row],[Werkzeuglos]]=1,4,0))))=select!$E$362,1,0)</f>
        <v>0</v>
      </c>
      <c r="O5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6" s="298">
        <f>IF(AND(Scharniere[[#This Row],[Scharnierart]]=3,Scharniere[[#This Row],[Gruppenschlüssel]]=select!$A$747)=TRUE,1,0)</f>
        <v>0</v>
      </c>
      <c r="Q586" s="298">
        <f ca="1">IF(select!$O$945&lt;6,1,0)</f>
        <v>1</v>
      </c>
      <c r="R586" s="298">
        <f>IF(select!$A$778=IF(Scharniere[[#This Row],[mit Dämpfung]]=1,1,IF(Scharniere[[#This Row],[ohne Dämpfung]]=1,2,IF(Scharniere[[#This Row],[ohne Feder]]=1,3,0))),1,0)</f>
        <v>0</v>
      </c>
      <c r="S586" s="298">
        <f>IF(Scharniere[[#This Row],[Bohrbild]]=select!$A$755,1,0)</f>
        <v>0</v>
      </c>
      <c r="T586" s="298">
        <f>IF(IF(Scharniere[[#This Row],[Anschrauben]]=1,1,IF(Scharniere[[#This Row],[Einpressen]]=1,2,IF(Scharniere[[#This Row],[Quick]]=1,3,IF(Scharniere[[#This Row],[Werkzeuglos]]=1,4,0))))=select!$A$769,1,0)</f>
        <v>0</v>
      </c>
      <c r="U5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6" s="359">
        <f>IF(AND(Scharniere[[#This Row],[Scharnierart]]=4,Scharniere[[#This Row],[Gruppenschlüssel]]=select!$A$981)=TRUE,1,0)</f>
        <v>0</v>
      </c>
      <c r="W586" s="359">
        <f ca="1">IF(select!$O$1185&lt;6,1,0)</f>
        <v>1</v>
      </c>
      <c r="X586" s="359">
        <f>IF(select!$A$1012=IF(Scharniere[[#This Row],[mit Dämpfung]]=1,1,IF(Scharniere[[#This Row],[ohne Dämpfung]]=1,2,IF(Scharniere[[#This Row],[ohne Feder]]=1,3,0))),1,0)</f>
        <v>0</v>
      </c>
      <c r="Y586" s="359">
        <f>IF(Scharniere[[#This Row],[Bohrbild]]=select!$A$989,1,0)</f>
        <v>0</v>
      </c>
      <c r="Z586" s="359">
        <f>IF(IF(Scharniere[[#This Row],[Anschrauben]]=1,1,IF(Scharniere[[#This Row],[Einpressen]]=1,2,IF(Scharniere[[#This Row],[Quick]]=1,3,IF(Scharniere[[#This Row],[Werkzeuglos]]=1,4,0))))=select!$A$1003,1,0)</f>
        <v>0</v>
      </c>
      <c r="AA5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6" s="359">
        <f ca="1">IF(select!$K$980="*",Scharniere[[#This Row],[AG Ges2]],Scharniere[[#This Row],[AG Ges1]])</f>
        <v>0</v>
      </c>
      <c r="AE586" s="451">
        <f ca="1">IF(AND(Scharniere[[#This Row],[Scharnierart]]=select!$A$1485,Scharniere[[#This Row],[Gruppenschlüssel]]=select!$B$1485)=TRUE,1,0)</f>
        <v>0</v>
      </c>
      <c r="AF586" s="451">
        <f ca="1">IF(AND(Scharniere[[#This Row],[Scharnierart]]=select!$A$1486,Scharniere[[#This Row],[Gruppenschlüssel]]=select!$B$1486)=TRUE,1,0)</f>
        <v>0</v>
      </c>
      <c r="AG586" s="451">
        <f ca="1">IF(AND(Scharniere[[#This Row],[Scharnierart]]=select!$A$1487,Scharniere[[#This Row],[Gruppenschlüssel]]=select!$B$1487)=TRUE,1,0)</f>
        <v>0</v>
      </c>
      <c r="AH586" s="451">
        <f ca="1">IF(AND(Scharniere[[#This Row],[Scharnierart]]=select!$A$1488,Scharniere[[#This Row],[Gruppenschlüssel]]=select!$B$1488)=TRUE,1,0)</f>
        <v>0</v>
      </c>
      <c r="AI586" s="451">
        <f ca="1">IF(SUM(Scharniere[[#This Row],[konf Scharnier 1]:[konf Scharnier 4]])&gt;0,1,0)</f>
        <v>0</v>
      </c>
      <c r="AJ586" s="451"/>
      <c r="AK586" s="451"/>
      <c r="AL586" s="451"/>
      <c r="AM586" s="451"/>
      <c r="AN586" s="451"/>
      <c r="AO586" s="146">
        <v>1</v>
      </c>
      <c r="AP586" s="146">
        <v>4</v>
      </c>
      <c r="AQ586" s="10" t="str">
        <f ca="1">Sprache!$A$114</f>
        <v>Tiomos Scharnier TT Click-on</v>
      </c>
      <c r="AR586" t="str">
        <f ca="1">"95°, B-BB, K9.5, "&amp;Sprache!A181&amp;", ni"</f>
        <v>95°, B-BB, K9.5, Dübel, ni</v>
      </c>
      <c r="AS586" t="str">
        <f ca="1">Sprache!$A$103</f>
        <v>Tiomos Click-On Scharniere</v>
      </c>
      <c r="AT586">
        <v>9.5</v>
      </c>
      <c r="AU586" s="34" t="s">
        <v>3</v>
      </c>
      <c r="AV586">
        <v>95</v>
      </c>
      <c r="AW586" s="10">
        <v>0</v>
      </c>
      <c r="AX586">
        <v>0</v>
      </c>
      <c r="AY586">
        <v>1</v>
      </c>
      <c r="AZ586" s="10">
        <v>0</v>
      </c>
      <c r="BA586">
        <v>1</v>
      </c>
      <c r="BB586">
        <v>0</v>
      </c>
      <c r="BC586">
        <v>0</v>
      </c>
      <c r="BD586" s="143" t="s">
        <v>664</v>
      </c>
      <c r="BG586"/>
    </row>
    <row r="587" spans="1:59" ht="14.25" customHeight="1" x14ac:dyDescent="0.25">
      <c r="A587" s="37" t="str">
        <f>LEFT(Scharniere[[#This Row],[ArtikelNR]],4)</f>
        <v>F045</v>
      </c>
      <c r="B587" s="35" t="str">
        <f>MID(Scharniere[[#This Row],[ArtikelNR]],5,3)</f>
        <v>138</v>
      </c>
      <c r="C587" s="37" t="str">
        <f>RIGHT(Scharniere[[#This Row],[ArtikelNR]],3)</f>
        <v>507</v>
      </c>
      <c r="D587" s="35">
        <f>IF(AND(Scharniere[[#This Row],[Gruppenschlüssel]]=select!$A$44,Scharniere[[#This Row],[Scharnierart]]=1)=TRUE,1,0)</f>
        <v>0</v>
      </c>
      <c r="E5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7" s="35">
        <f>IF(select!$F$57=IF(Scharniere[[#This Row],[mit Dämpfung]]=1,1,IF(Scharniere[[#This Row],[ohne Dämpfung]]=1,2,IF(Scharniere[[#This Row],[ohne Feder]]=1,3,0))),1,0)</f>
        <v>0</v>
      </c>
      <c r="G587" s="35">
        <f>IF(Scharniere[[#This Row],[Bohrbild]]=select!$V$43,1,0)</f>
        <v>0</v>
      </c>
      <c r="H587" s="35">
        <f>IF(IF(Scharniere[[#This Row],[Anschrauben]]=1,1,IF(Scharniere[[#This Row],[Einpressen]]=1,2,IF(Scharniere[[#This Row],[Quick]]=1,3,IF(Scharniere[[#This Row],[Werkzeuglos]]=1,4,0))))=select!$F$48,1,0)</f>
        <v>0</v>
      </c>
      <c r="I5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7" s="149">
        <f>IF(AND(Scharniere[[#This Row],[Scharnierart]]=2,Scharniere[[#This Row],[Gruppenschlüssel]]=select!$A$318)=TRUE,1,0)</f>
        <v>0</v>
      </c>
      <c r="K587" s="221">
        <f ca="1">IF(select!$O$424&lt;6,1,0)</f>
        <v>1</v>
      </c>
      <c r="L587" s="139">
        <f>IF(select!$A$362=IF(Scharniere[[#This Row],[mit Dämpfung]]=1,1,IF(Scharniere[[#This Row],[ohne Dämpfung]]=1,2,IF(Scharniere[[#This Row],[ohne Feder]]=1,3,0))),1,0)</f>
        <v>0</v>
      </c>
      <c r="M587" s="135">
        <f>IF(Scharniere[[#This Row],[Bohrbild]]=select!$O$334,1,0)</f>
        <v>0</v>
      </c>
      <c r="N587" s="135">
        <f>IF(IF(Scharniere[[#This Row],[Anschrauben]]=1,1,IF(Scharniere[[#This Row],[Einpressen]]=1,2,IF(Scharniere[[#This Row],[Quick]]=1,3,IF(Scharniere[[#This Row],[Werkzeuglos]]=1,4,0))))=select!$E$362,1,0)</f>
        <v>1</v>
      </c>
      <c r="O5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7" s="298">
        <f>IF(AND(Scharniere[[#This Row],[Scharnierart]]=3,Scharniere[[#This Row],[Gruppenschlüssel]]=select!$A$747)=TRUE,1,0)</f>
        <v>0</v>
      </c>
      <c r="Q587" s="298">
        <f ca="1">IF(select!$O$945&lt;6,1,0)</f>
        <v>1</v>
      </c>
      <c r="R587" s="298">
        <f>IF(select!$A$778=IF(Scharniere[[#This Row],[mit Dämpfung]]=1,1,IF(Scharniere[[#This Row],[ohne Dämpfung]]=1,2,IF(Scharniere[[#This Row],[ohne Feder]]=1,3,0))),1,0)</f>
        <v>1</v>
      </c>
      <c r="S587" s="298">
        <f>IF(Scharniere[[#This Row],[Bohrbild]]=select!$A$755,1,0)</f>
        <v>0</v>
      </c>
      <c r="T587" s="298">
        <f>IF(IF(Scharniere[[#This Row],[Anschrauben]]=1,1,IF(Scharniere[[#This Row],[Einpressen]]=1,2,IF(Scharniere[[#This Row],[Quick]]=1,3,IF(Scharniere[[#This Row],[Werkzeuglos]]=1,4,0))))=select!$A$769,1,0)</f>
        <v>1</v>
      </c>
      <c r="U5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7" s="359">
        <f>IF(AND(Scharniere[[#This Row],[Scharnierart]]=4,Scharniere[[#This Row],[Gruppenschlüssel]]=select!$A$981)=TRUE,1,0)</f>
        <v>0</v>
      </c>
      <c r="W587" s="359">
        <f ca="1">IF(select!$O$1185&lt;6,1,0)</f>
        <v>1</v>
      </c>
      <c r="X587" s="359">
        <f>IF(select!$A$1012=IF(Scharniere[[#This Row],[mit Dämpfung]]=1,1,IF(Scharniere[[#This Row],[ohne Dämpfung]]=1,2,IF(Scharniere[[#This Row],[ohne Feder]]=1,3,0))),1,0)</f>
        <v>1</v>
      </c>
      <c r="Y587" s="359">
        <f>IF(Scharniere[[#This Row],[Bohrbild]]=select!$A$989,1,0)</f>
        <v>0</v>
      </c>
      <c r="Z587" s="359">
        <f>IF(IF(Scharniere[[#This Row],[Anschrauben]]=1,1,IF(Scharniere[[#This Row],[Einpressen]]=1,2,IF(Scharniere[[#This Row],[Quick]]=1,3,IF(Scharniere[[#This Row],[Werkzeuglos]]=1,4,0))))=select!$A$1003,1,0)</f>
        <v>1</v>
      </c>
      <c r="AA5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7" s="359">
        <f ca="1">IF(select!$K$980="*",Scharniere[[#This Row],[AG Ges2]],Scharniere[[#This Row],[AG Ges1]])</f>
        <v>0</v>
      </c>
      <c r="AE587" s="451">
        <f ca="1">IF(AND(Scharniere[[#This Row],[Scharnierart]]=select!$A$1485,Scharniere[[#This Row],[Gruppenschlüssel]]=select!$B$1485)=TRUE,1,0)</f>
        <v>0</v>
      </c>
      <c r="AF587" s="451">
        <f ca="1">IF(AND(Scharniere[[#This Row],[Scharnierart]]=select!$A$1486,Scharniere[[#This Row],[Gruppenschlüssel]]=select!$B$1486)=TRUE,1,0)</f>
        <v>0</v>
      </c>
      <c r="AG587" s="451">
        <f ca="1">IF(AND(Scharniere[[#This Row],[Scharnierart]]=select!$A$1487,Scharniere[[#This Row],[Gruppenschlüssel]]=select!$B$1487)=TRUE,1,0)</f>
        <v>0</v>
      </c>
      <c r="AH587" s="451">
        <f ca="1">IF(AND(Scharniere[[#This Row],[Scharnierart]]=select!$A$1488,Scharniere[[#This Row],[Gruppenschlüssel]]=select!$B$1488)=TRUE,1,0)</f>
        <v>0</v>
      </c>
      <c r="AI587" s="451">
        <f ca="1">IF(SUM(Scharniere[[#This Row],[konf Scharnier 1]:[konf Scharnier 4]])&gt;0,1,0)</f>
        <v>0</v>
      </c>
      <c r="AJ587" s="451"/>
      <c r="AK587" s="451"/>
      <c r="AL587" s="451"/>
      <c r="AM587" s="451"/>
      <c r="AN587" s="451"/>
      <c r="AO587" s="146">
        <v>1</v>
      </c>
      <c r="AP587" s="146">
        <v>4</v>
      </c>
      <c r="AQ587" s="10" t="str">
        <f ca="1">Sprache!$A$110</f>
        <v>Tiomos Scharnier T Click-on</v>
      </c>
      <c r="AR587" t="s">
        <v>1947</v>
      </c>
      <c r="AS587" t="str">
        <f ca="1">Sprache!$A$103</f>
        <v>Tiomos Click-On Scharniere</v>
      </c>
      <c r="AT587">
        <v>9.5</v>
      </c>
      <c r="AU587" s="34" t="s">
        <v>3</v>
      </c>
      <c r="AV587">
        <v>95</v>
      </c>
      <c r="AW587" s="10">
        <v>0</v>
      </c>
      <c r="AX587">
        <v>1</v>
      </c>
      <c r="AY587">
        <v>0</v>
      </c>
      <c r="AZ587" s="10">
        <v>1</v>
      </c>
      <c r="BA587">
        <v>0</v>
      </c>
      <c r="BB587">
        <v>0</v>
      </c>
      <c r="BC587">
        <v>0</v>
      </c>
      <c r="BD587" s="143" t="s">
        <v>508</v>
      </c>
      <c r="BG587"/>
    </row>
    <row r="588" spans="1:59" ht="14.25" customHeight="1" x14ac:dyDescent="0.25">
      <c r="A588" s="37" t="str">
        <f>LEFT(Scharniere[[#This Row],[ArtikelNR]],4)</f>
        <v>F028</v>
      </c>
      <c r="B588" s="35" t="str">
        <f>MID(Scharniere[[#This Row],[ArtikelNR]],5,3)</f>
        <v>138</v>
      </c>
      <c r="C588" s="37" t="str">
        <f>RIGHT(Scharniere[[#This Row],[ArtikelNR]],3)</f>
        <v>569</v>
      </c>
      <c r="D588" s="35">
        <f>IF(AND(Scharniere[[#This Row],[Gruppenschlüssel]]=select!$A$44,Scharniere[[#This Row],[Scharnierart]]=1)=TRUE,1,0)</f>
        <v>0</v>
      </c>
      <c r="E5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8" s="35">
        <f>IF(select!$F$57=IF(Scharniere[[#This Row],[mit Dämpfung]]=1,1,IF(Scharniere[[#This Row],[ohne Dämpfung]]=1,2,IF(Scharniere[[#This Row],[ohne Feder]]=1,3,0))),1,0)</f>
        <v>0</v>
      </c>
      <c r="G588" s="35">
        <f>IF(Scharniere[[#This Row],[Bohrbild]]=select!$V$43,1,0)</f>
        <v>0</v>
      </c>
      <c r="H588" s="35">
        <f>IF(IF(Scharniere[[#This Row],[Anschrauben]]=1,1,IF(Scharniere[[#This Row],[Einpressen]]=1,2,IF(Scharniere[[#This Row],[Quick]]=1,3,IF(Scharniere[[#This Row],[Werkzeuglos]]=1,4,0))))=select!$F$48,1,0)</f>
        <v>0</v>
      </c>
      <c r="I5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8" s="149">
        <f>IF(AND(Scharniere[[#This Row],[Scharnierart]]=2,Scharniere[[#This Row],[Gruppenschlüssel]]=select!$A$318)=TRUE,1,0)</f>
        <v>0</v>
      </c>
      <c r="K588" s="221">
        <f ca="1">IF(select!$O$424&lt;6,1,0)</f>
        <v>1</v>
      </c>
      <c r="L588" s="139">
        <f>IF(select!$A$362=IF(Scharniere[[#This Row],[mit Dämpfung]]=1,1,IF(Scharniere[[#This Row],[ohne Dämpfung]]=1,2,IF(Scharniere[[#This Row],[ohne Feder]]=1,3,0))),1,0)</f>
        <v>1</v>
      </c>
      <c r="M588" s="135">
        <f>IF(Scharniere[[#This Row],[Bohrbild]]=select!$O$334,1,0)</f>
        <v>0</v>
      </c>
      <c r="N588" s="135">
        <f>IF(IF(Scharniere[[#This Row],[Anschrauben]]=1,1,IF(Scharniere[[#This Row],[Einpressen]]=1,2,IF(Scharniere[[#This Row],[Quick]]=1,3,IF(Scharniere[[#This Row],[Werkzeuglos]]=1,4,0))))=select!$E$362,1,0)</f>
        <v>1</v>
      </c>
      <c r="O5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8" s="298">
        <f>IF(AND(Scharniere[[#This Row],[Scharnierart]]=3,Scharniere[[#This Row],[Gruppenschlüssel]]=select!$A$747)=TRUE,1,0)</f>
        <v>0</v>
      </c>
      <c r="Q588" s="298">
        <f ca="1">IF(select!$O$945&lt;6,1,0)</f>
        <v>1</v>
      </c>
      <c r="R588" s="298">
        <f>IF(select!$A$778=IF(Scharniere[[#This Row],[mit Dämpfung]]=1,1,IF(Scharniere[[#This Row],[ohne Dämpfung]]=1,2,IF(Scharniere[[#This Row],[ohne Feder]]=1,3,0))),1,0)</f>
        <v>0</v>
      </c>
      <c r="S588" s="298">
        <f>IF(Scharniere[[#This Row],[Bohrbild]]=select!$A$755,1,0)</f>
        <v>0</v>
      </c>
      <c r="T588" s="298">
        <f>IF(IF(Scharniere[[#This Row],[Anschrauben]]=1,1,IF(Scharniere[[#This Row],[Einpressen]]=1,2,IF(Scharniere[[#This Row],[Quick]]=1,3,IF(Scharniere[[#This Row],[Werkzeuglos]]=1,4,0))))=select!$A$769,1,0)</f>
        <v>1</v>
      </c>
      <c r="U5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8" s="359">
        <f>IF(AND(Scharniere[[#This Row],[Scharnierart]]=4,Scharniere[[#This Row],[Gruppenschlüssel]]=select!$A$981)=TRUE,1,0)</f>
        <v>0</v>
      </c>
      <c r="W588" s="359">
        <f ca="1">IF(select!$O$1185&lt;6,1,0)</f>
        <v>1</v>
      </c>
      <c r="X588" s="359">
        <f>IF(select!$A$1012=IF(Scharniere[[#This Row],[mit Dämpfung]]=1,1,IF(Scharniere[[#This Row],[ohne Dämpfung]]=1,2,IF(Scharniere[[#This Row],[ohne Feder]]=1,3,0))),1,0)</f>
        <v>0</v>
      </c>
      <c r="Y588" s="359">
        <f>IF(Scharniere[[#This Row],[Bohrbild]]=select!$A$989,1,0)</f>
        <v>0</v>
      </c>
      <c r="Z588" s="359">
        <f>IF(IF(Scharniere[[#This Row],[Anschrauben]]=1,1,IF(Scharniere[[#This Row],[Einpressen]]=1,2,IF(Scharniere[[#This Row],[Quick]]=1,3,IF(Scharniere[[#This Row],[Werkzeuglos]]=1,4,0))))=select!$A$1003,1,0)</f>
        <v>1</v>
      </c>
      <c r="AA5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8" s="359">
        <f ca="1">IF(select!$K$980="*",Scharniere[[#This Row],[AG Ges2]],Scharniere[[#This Row],[AG Ges1]])</f>
        <v>0</v>
      </c>
      <c r="AE588" s="451">
        <f ca="1">IF(AND(Scharniere[[#This Row],[Scharnierart]]=select!$A$1485,Scharniere[[#This Row],[Gruppenschlüssel]]=select!$B$1485)=TRUE,1,0)</f>
        <v>0</v>
      </c>
      <c r="AF588" s="451">
        <f ca="1">IF(AND(Scharniere[[#This Row],[Scharnierart]]=select!$A$1486,Scharniere[[#This Row],[Gruppenschlüssel]]=select!$B$1486)=TRUE,1,0)</f>
        <v>0</v>
      </c>
      <c r="AG588" s="451">
        <f ca="1">IF(AND(Scharniere[[#This Row],[Scharnierart]]=select!$A$1487,Scharniere[[#This Row],[Gruppenschlüssel]]=select!$B$1487)=TRUE,1,0)</f>
        <v>0</v>
      </c>
      <c r="AH588" s="451">
        <f ca="1">IF(AND(Scharniere[[#This Row],[Scharnierart]]=select!$A$1488,Scharniere[[#This Row],[Gruppenschlüssel]]=select!$B$1488)=TRUE,1,0)</f>
        <v>0</v>
      </c>
      <c r="AI588" s="451">
        <f ca="1">IF(SUM(Scharniere[[#This Row],[konf Scharnier 1]:[konf Scharnier 4]])&gt;0,1,0)</f>
        <v>0</v>
      </c>
      <c r="AJ588" s="451"/>
      <c r="AK588" s="451"/>
      <c r="AL588" s="451"/>
      <c r="AM588" s="451"/>
      <c r="AN588" s="451"/>
      <c r="AO588" s="146">
        <v>1</v>
      </c>
      <c r="AP588" s="146">
        <v>4</v>
      </c>
      <c r="AQ588" s="10" t="str">
        <f ca="1">Sprache!$A$112</f>
        <v>Tiomos Scharnier TS Click-on</v>
      </c>
      <c r="AR588" t="s">
        <v>1947</v>
      </c>
      <c r="AS588" t="str">
        <f ca="1">Sprache!$A$103</f>
        <v>Tiomos Click-On Scharniere</v>
      </c>
      <c r="AT588">
        <v>9.5</v>
      </c>
      <c r="AU588" s="10" t="s">
        <v>3</v>
      </c>
      <c r="AV588">
        <v>95</v>
      </c>
      <c r="AW588" s="10">
        <v>1</v>
      </c>
      <c r="AX588">
        <v>0</v>
      </c>
      <c r="AY588">
        <v>0</v>
      </c>
      <c r="AZ588" s="10">
        <v>1</v>
      </c>
      <c r="BA588">
        <v>0</v>
      </c>
      <c r="BB588">
        <v>0</v>
      </c>
      <c r="BC588">
        <v>0</v>
      </c>
      <c r="BD588" s="143" t="s">
        <v>334</v>
      </c>
      <c r="BG588"/>
    </row>
    <row r="589" spans="1:59" ht="14.25" customHeight="1" x14ac:dyDescent="0.25">
      <c r="A589" s="37" t="str">
        <f>LEFT(Scharniere[[#This Row],[ArtikelNR]],4)</f>
        <v>F046</v>
      </c>
      <c r="B589" s="35" t="str">
        <f>MID(Scharniere[[#This Row],[ArtikelNR]],5,3)</f>
        <v>138</v>
      </c>
      <c r="C589" s="37" t="str">
        <f>RIGHT(Scharniere[[#This Row],[ArtikelNR]],3)</f>
        <v>629</v>
      </c>
      <c r="D589" s="35">
        <f>IF(AND(Scharniere[[#This Row],[Gruppenschlüssel]]=select!$A$44,Scharniere[[#This Row],[Scharnierart]]=1)=TRUE,1,0)</f>
        <v>0</v>
      </c>
      <c r="E5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89" s="35">
        <f>IF(select!$F$57=IF(Scharniere[[#This Row],[mit Dämpfung]]=1,1,IF(Scharniere[[#This Row],[ohne Dämpfung]]=1,2,IF(Scharniere[[#This Row],[ohne Feder]]=1,3,0))),1,0)</f>
        <v>1</v>
      </c>
      <c r="G589" s="35">
        <f>IF(Scharniere[[#This Row],[Bohrbild]]=select!$V$43,1,0)</f>
        <v>0</v>
      </c>
      <c r="H589" s="35">
        <f>IF(IF(Scharniere[[#This Row],[Anschrauben]]=1,1,IF(Scharniere[[#This Row],[Einpressen]]=1,2,IF(Scharniere[[#This Row],[Quick]]=1,3,IF(Scharniere[[#This Row],[Werkzeuglos]]=1,4,0))))=select!$F$48,1,0)</f>
        <v>0</v>
      </c>
      <c r="I5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89" s="149">
        <f>IF(AND(Scharniere[[#This Row],[Scharnierart]]=2,Scharniere[[#This Row],[Gruppenschlüssel]]=select!$A$318)=TRUE,1,0)</f>
        <v>0</v>
      </c>
      <c r="K589" s="221">
        <f ca="1">IF(select!$O$424&lt;6,1,0)</f>
        <v>1</v>
      </c>
      <c r="L589" s="139">
        <f>IF(select!$A$362=IF(Scharniere[[#This Row],[mit Dämpfung]]=1,1,IF(Scharniere[[#This Row],[ohne Dämpfung]]=1,2,IF(Scharniere[[#This Row],[ohne Feder]]=1,3,0))),1,0)</f>
        <v>0</v>
      </c>
      <c r="M589" s="135">
        <f>IF(Scharniere[[#This Row],[Bohrbild]]=select!$O$334,1,0)</f>
        <v>0</v>
      </c>
      <c r="N589" s="135">
        <f>IF(IF(Scharniere[[#This Row],[Anschrauben]]=1,1,IF(Scharniere[[#This Row],[Einpressen]]=1,2,IF(Scharniere[[#This Row],[Quick]]=1,3,IF(Scharniere[[#This Row],[Werkzeuglos]]=1,4,0))))=select!$E$362,1,0)</f>
        <v>1</v>
      </c>
      <c r="O5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89" s="298">
        <f>IF(AND(Scharniere[[#This Row],[Scharnierart]]=3,Scharniere[[#This Row],[Gruppenschlüssel]]=select!$A$747)=TRUE,1,0)</f>
        <v>0</v>
      </c>
      <c r="Q589" s="298">
        <f ca="1">IF(select!$O$945&lt;6,1,0)</f>
        <v>1</v>
      </c>
      <c r="R589" s="298">
        <f>IF(select!$A$778=IF(Scharniere[[#This Row],[mit Dämpfung]]=1,1,IF(Scharniere[[#This Row],[ohne Dämpfung]]=1,2,IF(Scharniere[[#This Row],[ohne Feder]]=1,3,0))),1,0)</f>
        <v>0</v>
      </c>
      <c r="S589" s="298">
        <f>IF(Scharniere[[#This Row],[Bohrbild]]=select!$A$755,1,0)</f>
        <v>0</v>
      </c>
      <c r="T589" s="298">
        <f>IF(IF(Scharniere[[#This Row],[Anschrauben]]=1,1,IF(Scharniere[[#This Row],[Einpressen]]=1,2,IF(Scharniere[[#This Row],[Quick]]=1,3,IF(Scharniere[[#This Row],[Werkzeuglos]]=1,4,0))))=select!$A$769,1,0)</f>
        <v>1</v>
      </c>
      <c r="U5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89" s="359">
        <f>IF(AND(Scharniere[[#This Row],[Scharnierart]]=4,Scharniere[[#This Row],[Gruppenschlüssel]]=select!$A$981)=TRUE,1,0)</f>
        <v>0</v>
      </c>
      <c r="W589" s="359">
        <f ca="1">IF(select!$O$1185&lt;6,1,0)</f>
        <v>1</v>
      </c>
      <c r="X589" s="359">
        <f>IF(select!$A$1012=IF(Scharniere[[#This Row],[mit Dämpfung]]=1,1,IF(Scharniere[[#This Row],[ohne Dämpfung]]=1,2,IF(Scharniere[[#This Row],[ohne Feder]]=1,3,0))),1,0)</f>
        <v>0</v>
      </c>
      <c r="Y589" s="359">
        <f>IF(Scharniere[[#This Row],[Bohrbild]]=select!$A$989,1,0)</f>
        <v>0</v>
      </c>
      <c r="Z589" s="359">
        <f>IF(IF(Scharniere[[#This Row],[Anschrauben]]=1,1,IF(Scharniere[[#This Row],[Einpressen]]=1,2,IF(Scharniere[[#This Row],[Quick]]=1,3,IF(Scharniere[[#This Row],[Werkzeuglos]]=1,4,0))))=select!$A$1003,1,0)</f>
        <v>1</v>
      </c>
      <c r="AA5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89" s="359">
        <f ca="1">IF(select!$K$980="*",Scharniere[[#This Row],[AG Ges2]],Scharniere[[#This Row],[AG Ges1]])</f>
        <v>0</v>
      </c>
      <c r="AE589" s="451">
        <f ca="1">IF(AND(Scharniere[[#This Row],[Scharnierart]]=select!$A$1485,Scharniere[[#This Row],[Gruppenschlüssel]]=select!$B$1485)=TRUE,1,0)</f>
        <v>0</v>
      </c>
      <c r="AF589" s="451">
        <f ca="1">IF(AND(Scharniere[[#This Row],[Scharnierart]]=select!$A$1486,Scharniere[[#This Row],[Gruppenschlüssel]]=select!$B$1486)=TRUE,1,0)</f>
        <v>0</v>
      </c>
      <c r="AG589" s="451">
        <f ca="1">IF(AND(Scharniere[[#This Row],[Scharnierart]]=select!$A$1487,Scharniere[[#This Row],[Gruppenschlüssel]]=select!$B$1487)=TRUE,1,0)</f>
        <v>0</v>
      </c>
      <c r="AH589" s="451">
        <f ca="1">IF(AND(Scharniere[[#This Row],[Scharnierart]]=select!$A$1488,Scharniere[[#This Row],[Gruppenschlüssel]]=select!$B$1488)=TRUE,1,0)</f>
        <v>0</v>
      </c>
      <c r="AI589" s="451">
        <f ca="1">IF(SUM(Scharniere[[#This Row],[konf Scharnier 1]:[konf Scharnier 4]])&gt;0,1,0)</f>
        <v>0</v>
      </c>
      <c r="AJ589" s="451"/>
      <c r="AK589" s="451"/>
      <c r="AL589" s="451"/>
      <c r="AM589" s="451"/>
      <c r="AN589" s="451"/>
      <c r="AO589" s="146">
        <v>1</v>
      </c>
      <c r="AP589" s="146">
        <v>4</v>
      </c>
      <c r="AQ589" s="10" t="str">
        <f ca="1">Sprache!$A$114</f>
        <v>Tiomos Scharnier TT Click-on</v>
      </c>
      <c r="AR589" t="s">
        <v>1947</v>
      </c>
      <c r="AS589" t="str">
        <f ca="1">Sprache!$A$103</f>
        <v>Tiomos Click-On Scharniere</v>
      </c>
      <c r="AT589">
        <v>9.5</v>
      </c>
      <c r="AU589" s="34" t="s">
        <v>3</v>
      </c>
      <c r="AV589">
        <v>95</v>
      </c>
      <c r="AW589" s="10">
        <v>0</v>
      </c>
      <c r="AX589">
        <v>0</v>
      </c>
      <c r="AY589">
        <v>1</v>
      </c>
      <c r="AZ589" s="10">
        <v>1</v>
      </c>
      <c r="BA589">
        <v>0</v>
      </c>
      <c r="BB589">
        <v>0</v>
      </c>
      <c r="BC589">
        <v>0</v>
      </c>
      <c r="BD589" s="143" t="s">
        <v>660</v>
      </c>
      <c r="BG589"/>
    </row>
    <row r="590" spans="1:59" ht="14.25" customHeight="1" x14ac:dyDescent="0.25">
      <c r="A590" s="37" t="str">
        <f>LEFT(Scharniere[[#This Row],[ArtikelNR]],4)</f>
        <v>F045</v>
      </c>
      <c r="B590" s="35" t="str">
        <f>MID(Scharniere[[#This Row],[ArtikelNR]],5,3)</f>
        <v>138</v>
      </c>
      <c r="C590" s="37" t="str">
        <f>RIGHT(Scharniere[[#This Row],[ArtikelNR]],3)</f>
        <v>329</v>
      </c>
      <c r="D590" s="35">
        <f>IF(AND(Scharniere[[#This Row],[Gruppenschlüssel]]=select!$A$44,Scharniere[[#This Row],[Scharnierart]]=1)=TRUE,1,0)</f>
        <v>0</v>
      </c>
      <c r="E5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0" s="35">
        <f>IF(select!$F$57=IF(Scharniere[[#This Row],[mit Dämpfung]]=1,1,IF(Scharniere[[#This Row],[ohne Dämpfung]]=1,2,IF(Scharniere[[#This Row],[ohne Feder]]=1,3,0))),1,0)</f>
        <v>0</v>
      </c>
      <c r="G590" s="35">
        <f>IF(Scharniere[[#This Row],[Bohrbild]]=select!$V$43,1,0)</f>
        <v>0</v>
      </c>
      <c r="H590" s="35">
        <f>IF(IF(Scharniere[[#This Row],[Anschrauben]]=1,1,IF(Scharniere[[#This Row],[Einpressen]]=1,2,IF(Scharniere[[#This Row],[Quick]]=1,3,IF(Scharniere[[#This Row],[Werkzeuglos]]=1,4,0))))=select!$F$48,1,0)</f>
        <v>1</v>
      </c>
      <c r="I5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0" s="149">
        <f>IF(AND(Scharniere[[#This Row],[Scharnierart]]=2,Scharniere[[#This Row],[Gruppenschlüssel]]=select!$A$318)=TRUE,1,0)</f>
        <v>0</v>
      </c>
      <c r="K590" s="221">
        <f ca="1">IF(select!$O$424&lt;6,1,0)</f>
        <v>1</v>
      </c>
      <c r="L590" s="139">
        <f>IF(select!$A$362=IF(Scharniere[[#This Row],[mit Dämpfung]]=1,1,IF(Scharniere[[#This Row],[ohne Dämpfung]]=1,2,IF(Scharniere[[#This Row],[ohne Feder]]=1,3,0))),1,0)</f>
        <v>0</v>
      </c>
      <c r="M590" s="135">
        <f>IF(Scharniere[[#This Row],[Bohrbild]]=select!$O$334,1,0)</f>
        <v>0</v>
      </c>
      <c r="N590" s="135">
        <f>IF(IF(Scharniere[[#This Row],[Anschrauben]]=1,1,IF(Scharniere[[#This Row],[Einpressen]]=1,2,IF(Scharniere[[#This Row],[Quick]]=1,3,IF(Scharniere[[#This Row],[Werkzeuglos]]=1,4,0))))=select!$E$362,1,0)</f>
        <v>0</v>
      </c>
      <c r="O5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0" s="298">
        <f>IF(AND(Scharniere[[#This Row],[Scharnierart]]=3,Scharniere[[#This Row],[Gruppenschlüssel]]=select!$A$747)=TRUE,1,0)</f>
        <v>0</v>
      </c>
      <c r="Q590" s="298">
        <f ca="1">IF(select!$O$945&lt;6,1,0)</f>
        <v>1</v>
      </c>
      <c r="R590" s="298">
        <f>IF(select!$A$778=IF(Scharniere[[#This Row],[mit Dämpfung]]=1,1,IF(Scharniere[[#This Row],[ohne Dämpfung]]=1,2,IF(Scharniere[[#This Row],[ohne Feder]]=1,3,0))),1,0)</f>
        <v>1</v>
      </c>
      <c r="S590" s="298">
        <f>IF(Scharniere[[#This Row],[Bohrbild]]=select!$A$755,1,0)</f>
        <v>0</v>
      </c>
      <c r="T590" s="298">
        <f>IF(IF(Scharniere[[#This Row],[Anschrauben]]=1,1,IF(Scharniere[[#This Row],[Einpressen]]=1,2,IF(Scharniere[[#This Row],[Quick]]=1,3,IF(Scharniere[[#This Row],[Werkzeuglos]]=1,4,0))))=select!$A$769,1,0)</f>
        <v>0</v>
      </c>
      <c r="U5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0" s="359">
        <f>IF(AND(Scharniere[[#This Row],[Scharnierart]]=4,Scharniere[[#This Row],[Gruppenschlüssel]]=select!$A$981)=TRUE,1,0)</f>
        <v>0</v>
      </c>
      <c r="W590" s="359">
        <f ca="1">IF(select!$O$1185&lt;6,1,0)</f>
        <v>1</v>
      </c>
      <c r="X590" s="359">
        <f>IF(select!$A$1012=IF(Scharniere[[#This Row],[mit Dämpfung]]=1,1,IF(Scharniere[[#This Row],[ohne Dämpfung]]=1,2,IF(Scharniere[[#This Row],[ohne Feder]]=1,3,0))),1,0)</f>
        <v>1</v>
      </c>
      <c r="Y590" s="359">
        <f>IF(Scharniere[[#This Row],[Bohrbild]]=select!$A$989,1,0)</f>
        <v>0</v>
      </c>
      <c r="Z590" s="359">
        <f>IF(IF(Scharniere[[#This Row],[Anschrauben]]=1,1,IF(Scharniere[[#This Row],[Einpressen]]=1,2,IF(Scharniere[[#This Row],[Quick]]=1,3,IF(Scharniere[[#This Row],[Werkzeuglos]]=1,4,0))))=select!$A$1003,1,0)</f>
        <v>0</v>
      </c>
      <c r="AA5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0" s="359">
        <f ca="1">IF(select!$K$980="*",Scharniere[[#This Row],[AG Ges2]],Scharniere[[#This Row],[AG Ges1]])</f>
        <v>0</v>
      </c>
      <c r="AE590" s="451">
        <f ca="1">IF(AND(Scharniere[[#This Row],[Scharnierart]]=select!$A$1485,Scharniere[[#This Row],[Gruppenschlüssel]]=select!$B$1485)=TRUE,1,0)</f>
        <v>0</v>
      </c>
      <c r="AF590" s="451">
        <f ca="1">IF(AND(Scharniere[[#This Row],[Scharnierart]]=select!$A$1486,Scharniere[[#This Row],[Gruppenschlüssel]]=select!$B$1486)=TRUE,1,0)</f>
        <v>0</v>
      </c>
      <c r="AG590" s="451">
        <f ca="1">IF(AND(Scharniere[[#This Row],[Scharnierart]]=select!$A$1487,Scharniere[[#This Row],[Gruppenschlüssel]]=select!$B$1487)=TRUE,1,0)</f>
        <v>0</v>
      </c>
      <c r="AH590" s="451">
        <f ca="1">IF(AND(Scharniere[[#This Row],[Scharnierart]]=select!$A$1488,Scharniere[[#This Row],[Gruppenschlüssel]]=select!$B$1488)=TRUE,1,0)</f>
        <v>0</v>
      </c>
      <c r="AI590" s="451">
        <f ca="1">IF(SUM(Scharniere[[#This Row],[konf Scharnier 1]:[konf Scharnier 4]])&gt;0,1,0)</f>
        <v>0</v>
      </c>
      <c r="AJ590" s="451"/>
      <c r="AK590" s="451"/>
      <c r="AL590" s="451"/>
      <c r="AM590" s="451"/>
      <c r="AN590" s="451"/>
      <c r="AO590" s="146">
        <v>1</v>
      </c>
      <c r="AP590" s="146">
        <v>4</v>
      </c>
      <c r="AQ590" s="10" t="str">
        <f ca="1">Sprache!$A$110</f>
        <v>Tiomos Scharnier T Click-on</v>
      </c>
      <c r="AR590" t="str">
        <f ca="1">"95°, G-BB, K9.5, "&amp;Sprache!A181&amp;", ni"</f>
        <v>95°, G-BB, K9.5, Dübel, ni</v>
      </c>
      <c r="AS590" t="str">
        <f ca="1">Sprache!$A$103</f>
        <v>Tiomos Click-On Scharniere</v>
      </c>
      <c r="AT590">
        <v>9.5</v>
      </c>
      <c r="AU590" t="s">
        <v>9</v>
      </c>
      <c r="AV590">
        <v>95</v>
      </c>
      <c r="AW590" s="10">
        <v>0</v>
      </c>
      <c r="AX590">
        <v>1</v>
      </c>
      <c r="AY590">
        <v>0</v>
      </c>
      <c r="AZ590" s="10">
        <v>0</v>
      </c>
      <c r="BA590">
        <v>1</v>
      </c>
      <c r="BB590">
        <v>0</v>
      </c>
      <c r="BC590">
        <v>0</v>
      </c>
      <c r="BD590" s="143" t="s">
        <v>483</v>
      </c>
      <c r="BG590"/>
    </row>
    <row r="591" spans="1:59" ht="14.25" customHeight="1" x14ac:dyDescent="0.25">
      <c r="A591" s="37" t="str">
        <f>LEFT(Scharniere[[#This Row],[ArtikelNR]],4)</f>
        <v>F028</v>
      </c>
      <c r="B591" s="35" t="str">
        <f>MID(Scharniere[[#This Row],[ArtikelNR]],5,3)</f>
        <v>138</v>
      </c>
      <c r="C591" s="37" t="str">
        <f>RIGHT(Scharniere[[#This Row],[ArtikelNR]],3)</f>
        <v>391</v>
      </c>
      <c r="D591" s="35">
        <f>IF(AND(Scharniere[[#This Row],[Gruppenschlüssel]]=select!$A$44,Scharniere[[#This Row],[Scharnierart]]=1)=TRUE,1,0)</f>
        <v>0</v>
      </c>
      <c r="E5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1" s="35">
        <f>IF(select!$F$57=IF(Scharniere[[#This Row],[mit Dämpfung]]=1,1,IF(Scharniere[[#This Row],[ohne Dämpfung]]=1,2,IF(Scharniere[[#This Row],[ohne Feder]]=1,3,0))),1,0)</f>
        <v>0</v>
      </c>
      <c r="G591" s="35">
        <f>IF(Scharniere[[#This Row],[Bohrbild]]=select!$V$43,1,0)</f>
        <v>0</v>
      </c>
      <c r="H591" s="35">
        <f>IF(IF(Scharniere[[#This Row],[Anschrauben]]=1,1,IF(Scharniere[[#This Row],[Einpressen]]=1,2,IF(Scharniere[[#This Row],[Quick]]=1,3,IF(Scharniere[[#This Row],[Werkzeuglos]]=1,4,0))))=select!$F$48,1,0)</f>
        <v>1</v>
      </c>
      <c r="I5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1" s="149">
        <f>IF(AND(Scharniere[[#This Row],[Scharnierart]]=2,Scharniere[[#This Row],[Gruppenschlüssel]]=select!$A$318)=TRUE,1,0)</f>
        <v>0</v>
      </c>
      <c r="K591" s="221">
        <f ca="1">IF(select!$O$424&lt;6,1,0)</f>
        <v>1</v>
      </c>
      <c r="L591" s="139">
        <f>IF(select!$A$362=IF(Scharniere[[#This Row],[mit Dämpfung]]=1,1,IF(Scharniere[[#This Row],[ohne Dämpfung]]=1,2,IF(Scharniere[[#This Row],[ohne Feder]]=1,3,0))),1,0)</f>
        <v>1</v>
      </c>
      <c r="M591" s="135">
        <f>IF(Scharniere[[#This Row],[Bohrbild]]=select!$O$334,1,0)</f>
        <v>0</v>
      </c>
      <c r="N591" s="135">
        <f>IF(IF(Scharniere[[#This Row],[Anschrauben]]=1,1,IF(Scharniere[[#This Row],[Einpressen]]=1,2,IF(Scharniere[[#This Row],[Quick]]=1,3,IF(Scharniere[[#This Row],[Werkzeuglos]]=1,4,0))))=select!$E$362,1,0)</f>
        <v>0</v>
      </c>
      <c r="O5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1" s="298">
        <f>IF(AND(Scharniere[[#This Row],[Scharnierart]]=3,Scharniere[[#This Row],[Gruppenschlüssel]]=select!$A$747)=TRUE,1,0)</f>
        <v>0</v>
      </c>
      <c r="Q591" s="298">
        <f ca="1">IF(select!$O$945&lt;6,1,0)</f>
        <v>1</v>
      </c>
      <c r="R591" s="298">
        <f>IF(select!$A$778=IF(Scharniere[[#This Row],[mit Dämpfung]]=1,1,IF(Scharniere[[#This Row],[ohne Dämpfung]]=1,2,IF(Scharniere[[#This Row],[ohne Feder]]=1,3,0))),1,0)</f>
        <v>0</v>
      </c>
      <c r="S591" s="298">
        <f>IF(Scharniere[[#This Row],[Bohrbild]]=select!$A$755,1,0)</f>
        <v>0</v>
      </c>
      <c r="T591" s="298">
        <f>IF(IF(Scharniere[[#This Row],[Anschrauben]]=1,1,IF(Scharniere[[#This Row],[Einpressen]]=1,2,IF(Scharniere[[#This Row],[Quick]]=1,3,IF(Scharniere[[#This Row],[Werkzeuglos]]=1,4,0))))=select!$A$769,1,0)</f>
        <v>0</v>
      </c>
      <c r="U5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1" s="359">
        <f>IF(AND(Scharniere[[#This Row],[Scharnierart]]=4,Scharniere[[#This Row],[Gruppenschlüssel]]=select!$A$981)=TRUE,1,0)</f>
        <v>0</v>
      </c>
      <c r="W591" s="359">
        <f ca="1">IF(select!$O$1185&lt;6,1,0)</f>
        <v>1</v>
      </c>
      <c r="X591" s="359">
        <f>IF(select!$A$1012=IF(Scharniere[[#This Row],[mit Dämpfung]]=1,1,IF(Scharniere[[#This Row],[ohne Dämpfung]]=1,2,IF(Scharniere[[#This Row],[ohne Feder]]=1,3,0))),1,0)</f>
        <v>0</v>
      </c>
      <c r="Y591" s="359">
        <f>IF(Scharniere[[#This Row],[Bohrbild]]=select!$A$989,1,0)</f>
        <v>0</v>
      </c>
      <c r="Z591" s="359">
        <f>IF(IF(Scharniere[[#This Row],[Anschrauben]]=1,1,IF(Scharniere[[#This Row],[Einpressen]]=1,2,IF(Scharniere[[#This Row],[Quick]]=1,3,IF(Scharniere[[#This Row],[Werkzeuglos]]=1,4,0))))=select!$A$1003,1,0)</f>
        <v>0</v>
      </c>
      <c r="AA5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1" s="359">
        <f ca="1">IF(select!$K$980="*",Scharniere[[#This Row],[AG Ges2]],Scharniere[[#This Row],[AG Ges1]])</f>
        <v>0</v>
      </c>
      <c r="AE591" s="451">
        <f ca="1">IF(AND(Scharniere[[#This Row],[Scharnierart]]=select!$A$1485,Scharniere[[#This Row],[Gruppenschlüssel]]=select!$B$1485)=TRUE,1,0)</f>
        <v>0</v>
      </c>
      <c r="AF591" s="451">
        <f ca="1">IF(AND(Scharniere[[#This Row],[Scharnierart]]=select!$A$1486,Scharniere[[#This Row],[Gruppenschlüssel]]=select!$B$1486)=TRUE,1,0)</f>
        <v>0</v>
      </c>
      <c r="AG591" s="451">
        <f ca="1">IF(AND(Scharniere[[#This Row],[Scharnierart]]=select!$A$1487,Scharniere[[#This Row],[Gruppenschlüssel]]=select!$B$1487)=TRUE,1,0)</f>
        <v>0</v>
      </c>
      <c r="AH591" s="451">
        <f ca="1">IF(AND(Scharniere[[#This Row],[Scharnierart]]=select!$A$1488,Scharniere[[#This Row],[Gruppenschlüssel]]=select!$B$1488)=TRUE,1,0)</f>
        <v>0</v>
      </c>
      <c r="AI591" s="451">
        <f ca="1">IF(SUM(Scharniere[[#This Row],[konf Scharnier 1]:[konf Scharnier 4]])&gt;0,1,0)</f>
        <v>0</v>
      </c>
      <c r="AJ591" s="451"/>
      <c r="AK591" s="451"/>
      <c r="AL591" s="451"/>
      <c r="AM591" s="451"/>
      <c r="AN591" s="451"/>
      <c r="AO591" s="146">
        <v>1</v>
      </c>
      <c r="AP591" s="146">
        <v>4</v>
      </c>
      <c r="AQ591" s="10" t="str">
        <f ca="1">Sprache!$A$112</f>
        <v>Tiomos Scharnier TS Click-on</v>
      </c>
      <c r="AR591" t="str">
        <f ca="1">"95°, G-BB, K9.5, "&amp;Sprache!A181&amp;", ni"</f>
        <v>95°, G-BB, K9.5, Dübel, ni</v>
      </c>
      <c r="AS591" t="str">
        <f ca="1">Sprache!$A$103</f>
        <v>Tiomos Click-On Scharniere</v>
      </c>
      <c r="AT591">
        <v>9.5</v>
      </c>
      <c r="AU591" s="10" t="s">
        <v>9</v>
      </c>
      <c r="AV591">
        <v>95</v>
      </c>
      <c r="AW591" s="10">
        <v>1</v>
      </c>
      <c r="AX591">
        <v>0</v>
      </c>
      <c r="AY591">
        <v>0</v>
      </c>
      <c r="AZ591" s="10">
        <v>0</v>
      </c>
      <c r="BA591">
        <v>1</v>
      </c>
      <c r="BB591">
        <v>0</v>
      </c>
      <c r="BC591">
        <v>0</v>
      </c>
      <c r="BD591" s="143" t="s">
        <v>300</v>
      </c>
      <c r="BG591"/>
    </row>
    <row r="592" spans="1:59" ht="14.25" customHeight="1" x14ac:dyDescent="0.25">
      <c r="A592" s="37" t="str">
        <f>LEFT(Scharniere[[#This Row],[ArtikelNR]],4)</f>
        <v>F046</v>
      </c>
      <c r="B592" s="35" t="str">
        <f>MID(Scharniere[[#This Row],[ArtikelNR]],5,3)</f>
        <v>138</v>
      </c>
      <c r="C592" s="37" t="str">
        <f>RIGHT(Scharniere[[#This Row],[ArtikelNR]],3)</f>
        <v>451</v>
      </c>
      <c r="D592" s="35">
        <f>IF(AND(Scharniere[[#This Row],[Gruppenschlüssel]]=select!$A$44,Scharniere[[#This Row],[Scharnierart]]=1)=TRUE,1,0)</f>
        <v>0</v>
      </c>
      <c r="E5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2" s="35">
        <f>IF(select!$F$57=IF(Scharniere[[#This Row],[mit Dämpfung]]=1,1,IF(Scharniere[[#This Row],[ohne Dämpfung]]=1,2,IF(Scharniere[[#This Row],[ohne Feder]]=1,3,0))),1,0)</f>
        <v>1</v>
      </c>
      <c r="G592" s="35">
        <f>IF(Scharniere[[#This Row],[Bohrbild]]=select!$V$43,1,0)</f>
        <v>0</v>
      </c>
      <c r="H592" s="35">
        <f>IF(IF(Scharniere[[#This Row],[Anschrauben]]=1,1,IF(Scharniere[[#This Row],[Einpressen]]=1,2,IF(Scharniere[[#This Row],[Quick]]=1,3,IF(Scharniere[[#This Row],[Werkzeuglos]]=1,4,0))))=select!$F$48,1,0)</f>
        <v>1</v>
      </c>
      <c r="I5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2" s="149">
        <f>IF(AND(Scharniere[[#This Row],[Scharnierart]]=2,Scharniere[[#This Row],[Gruppenschlüssel]]=select!$A$318)=TRUE,1,0)</f>
        <v>0</v>
      </c>
      <c r="K592" s="221">
        <f ca="1">IF(select!$O$424&lt;6,1,0)</f>
        <v>1</v>
      </c>
      <c r="L592" s="139">
        <f>IF(select!$A$362=IF(Scharniere[[#This Row],[mit Dämpfung]]=1,1,IF(Scharniere[[#This Row],[ohne Dämpfung]]=1,2,IF(Scharniere[[#This Row],[ohne Feder]]=1,3,0))),1,0)</f>
        <v>0</v>
      </c>
      <c r="M592" s="135">
        <f>IF(Scharniere[[#This Row],[Bohrbild]]=select!$O$334,1,0)</f>
        <v>0</v>
      </c>
      <c r="N592" s="135">
        <f>IF(IF(Scharniere[[#This Row],[Anschrauben]]=1,1,IF(Scharniere[[#This Row],[Einpressen]]=1,2,IF(Scharniere[[#This Row],[Quick]]=1,3,IF(Scharniere[[#This Row],[Werkzeuglos]]=1,4,0))))=select!$E$362,1,0)</f>
        <v>0</v>
      </c>
      <c r="O5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2" s="298">
        <f>IF(AND(Scharniere[[#This Row],[Scharnierart]]=3,Scharniere[[#This Row],[Gruppenschlüssel]]=select!$A$747)=TRUE,1,0)</f>
        <v>0</v>
      </c>
      <c r="Q592" s="298">
        <f ca="1">IF(select!$O$945&lt;6,1,0)</f>
        <v>1</v>
      </c>
      <c r="R592" s="298">
        <f>IF(select!$A$778=IF(Scharniere[[#This Row],[mit Dämpfung]]=1,1,IF(Scharniere[[#This Row],[ohne Dämpfung]]=1,2,IF(Scharniere[[#This Row],[ohne Feder]]=1,3,0))),1,0)</f>
        <v>0</v>
      </c>
      <c r="S592" s="298">
        <f>IF(Scharniere[[#This Row],[Bohrbild]]=select!$A$755,1,0)</f>
        <v>0</v>
      </c>
      <c r="T592" s="298">
        <f>IF(IF(Scharniere[[#This Row],[Anschrauben]]=1,1,IF(Scharniere[[#This Row],[Einpressen]]=1,2,IF(Scharniere[[#This Row],[Quick]]=1,3,IF(Scharniere[[#This Row],[Werkzeuglos]]=1,4,0))))=select!$A$769,1,0)</f>
        <v>0</v>
      </c>
      <c r="U5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2" s="359">
        <f>IF(AND(Scharniere[[#This Row],[Scharnierart]]=4,Scharniere[[#This Row],[Gruppenschlüssel]]=select!$A$981)=TRUE,1,0)</f>
        <v>0</v>
      </c>
      <c r="W592" s="359">
        <f ca="1">IF(select!$O$1185&lt;6,1,0)</f>
        <v>1</v>
      </c>
      <c r="X592" s="359">
        <f>IF(select!$A$1012=IF(Scharniere[[#This Row],[mit Dämpfung]]=1,1,IF(Scharniere[[#This Row],[ohne Dämpfung]]=1,2,IF(Scharniere[[#This Row],[ohne Feder]]=1,3,0))),1,0)</f>
        <v>0</v>
      </c>
      <c r="Y592" s="359">
        <f>IF(Scharniere[[#This Row],[Bohrbild]]=select!$A$989,1,0)</f>
        <v>0</v>
      </c>
      <c r="Z592" s="359">
        <f>IF(IF(Scharniere[[#This Row],[Anschrauben]]=1,1,IF(Scharniere[[#This Row],[Einpressen]]=1,2,IF(Scharniere[[#This Row],[Quick]]=1,3,IF(Scharniere[[#This Row],[Werkzeuglos]]=1,4,0))))=select!$A$1003,1,0)</f>
        <v>0</v>
      </c>
      <c r="AA5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2" s="359">
        <f ca="1">IF(select!$K$980="*",Scharniere[[#This Row],[AG Ges2]],Scharniere[[#This Row],[AG Ges1]])</f>
        <v>0</v>
      </c>
      <c r="AE592" s="451">
        <f ca="1">IF(AND(Scharniere[[#This Row],[Scharnierart]]=select!$A$1485,Scharniere[[#This Row],[Gruppenschlüssel]]=select!$B$1485)=TRUE,1,0)</f>
        <v>0</v>
      </c>
      <c r="AF592" s="451">
        <f ca="1">IF(AND(Scharniere[[#This Row],[Scharnierart]]=select!$A$1486,Scharniere[[#This Row],[Gruppenschlüssel]]=select!$B$1486)=TRUE,1,0)</f>
        <v>0</v>
      </c>
      <c r="AG592" s="451">
        <f ca="1">IF(AND(Scharniere[[#This Row],[Scharnierart]]=select!$A$1487,Scharniere[[#This Row],[Gruppenschlüssel]]=select!$B$1487)=TRUE,1,0)</f>
        <v>0</v>
      </c>
      <c r="AH592" s="451">
        <f ca="1">IF(AND(Scharniere[[#This Row],[Scharnierart]]=select!$A$1488,Scharniere[[#This Row],[Gruppenschlüssel]]=select!$B$1488)=TRUE,1,0)</f>
        <v>0</v>
      </c>
      <c r="AI592" s="451">
        <f ca="1">IF(SUM(Scharniere[[#This Row],[konf Scharnier 1]:[konf Scharnier 4]])&gt;0,1,0)</f>
        <v>0</v>
      </c>
      <c r="AJ592" s="451"/>
      <c r="AK592" s="451"/>
      <c r="AL592" s="451"/>
      <c r="AM592" s="451"/>
      <c r="AN592" s="451"/>
      <c r="AO592" s="146">
        <v>1</v>
      </c>
      <c r="AP592" s="146">
        <v>4</v>
      </c>
      <c r="AQ592" s="10" t="str">
        <f ca="1">Sprache!$A$114</f>
        <v>Tiomos Scharnier TT Click-on</v>
      </c>
      <c r="AR592" t="str">
        <f ca="1">"95°, G-BB, K9.5, "&amp;Sprache!A181&amp;", ni"</f>
        <v>95°, G-BB, K9.5, Dübel, ni</v>
      </c>
      <c r="AS592" t="str">
        <f ca="1">Sprache!$A$103</f>
        <v>Tiomos Click-On Scharniere</v>
      </c>
      <c r="AT592">
        <v>9.5</v>
      </c>
      <c r="AU592" t="s">
        <v>9</v>
      </c>
      <c r="AV592">
        <v>95</v>
      </c>
      <c r="AW592" s="10">
        <v>0</v>
      </c>
      <c r="AX592">
        <v>0</v>
      </c>
      <c r="AY592">
        <v>1</v>
      </c>
      <c r="AZ592" s="10">
        <v>0</v>
      </c>
      <c r="BA592">
        <v>1</v>
      </c>
      <c r="BB592">
        <v>0</v>
      </c>
      <c r="BC592">
        <v>0</v>
      </c>
      <c r="BD592" s="143" t="s">
        <v>635</v>
      </c>
      <c r="BG592"/>
    </row>
    <row r="593" spans="1:59" ht="14.25" customHeight="1" x14ac:dyDescent="0.25">
      <c r="A593" s="37" t="str">
        <f>LEFT(Scharniere[[#This Row],[ArtikelNR]],4)</f>
        <v>F045</v>
      </c>
      <c r="B593" s="35" t="str">
        <f>MID(Scharniere[[#This Row],[ArtikelNR]],5,3)</f>
        <v>138</v>
      </c>
      <c r="C593" s="37" t="str">
        <f>RIGHT(Scharniere[[#This Row],[ArtikelNR]],3)</f>
        <v>325</v>
      </c>
      <c r="D593" s="35">
        <f>IF(AND(Scharniere[[#This Row],[Gruppenschlüssel]]=select!$A$44,Scharniere[[#This Row],[Scharnierart]]=1)=TRUE,1,0)</f>
        <v>0</v>
      </c>
      <c r="E5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3" s="35">
        <f>IF(select!$F$57=IF(Scharniere[[#This Row],[mit Dämpfung]]=1,1,IF(Scharniere[[#This Row],[ohne Dämpfung]]=1,2,IF(Scharniere[[#This Row],[ohne Feder]]=1,3,0))),1,0)</f>
        <v>0</v>
      </c>
      <c r="G593" s="35">
        <f>IF(Scharniere[[#This Row],[Bohrbild]]=select!$V$43,1,0)</f>
        <v>0</v>
      </c>
      <c r="H593" s="35">
        <f>IF(IF(Scharniere[[#This Row],[Anschrauben]]=1,1,IF(Scharniere[[#This Row],[Einpressen]]=1,2,IF(Scharniere[[#This Row],[Quick]]=1,3,IF(Scharniere[[#This Row],[Werkzeuglos]]=1,4,0))))=select!$F$48,1,0)</f>
        <v>0</v>
      </c>
      <c r="I5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3" s="149">
        <f>IF(AND(Scharniere[[#This Row],[Scharnierart]]=2,Scharniere[[#This Row],[Gruppenschlüssel]]=select!$A$318)=TRUE,1,0)</f>
        <v>0</v>
      </c>
      <c r="K593" s="221">
        <f ca="1">IF(select!$O$424&lt;6,1,0)</f>
        <v>1</v>
      </c>
      <c r="L593" s="139">
        <f>IF(select!$A$362=IF(Scharniere[[#This Row],[mit Dämpfung]]=1,1,IF(Scharniere[[#This Row],[ohne Dämpfung]]=1,2,IF(Scharniere[[#This Row],[ohne Feder]]=1,3,0))),1,0)</f>
        <v>0</v>
      </c>
      <c r="M593" s="135">
        <f>IF(Scharniere[[#This Row],[Bohrbild]]=select!$O$334,1,0)</f>
        <v>0</v>
      </c>
      <c r="N593" s="135">
        <f>IF(IF(Scharniere[[#This Row],[Anschrauben]]=1,1,IF(Scharniere[[#This Row],[Einpressen]]=1,2,IF(Scharniere[[#This Row],[Quick]]=1,3,IF(Scharniere[[#This Row],[Werkzeuglos]]=1,4,0))))=select!$E$362,1,0)</f>
        <v>1</v>
      </c>
      <c r="O5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3" s="298">
        <f>IF(AND(Scharniere[[#This Row],[Scharnierart]]=3,Scharniere[[#This Row],[Gruppenschlüssel]]=select!$A$747)=TRUE,1,0)</f>
        <v>0</v>
      </c>
      <c r="Q593" s="298">
        <f ca="1">IF(select!$O$945&lt;6,1,0)</f>
        <v>1</v>
      </c>
      <c r="R593" s="298">
        <f>IF(select!$A$778=IF(Scharniere[[#This Row],[mit Dämpfung]]=1,1,IF(Scharniere[[#This Row],[ohne Dämpfung]]=1,2,IF(Scharniere[[#This Row],[ohne Feder]]=1,3,0))),1,0)</f>
        <v>1</v>
      </c>
      <c r="S593" s="298">
        <f>IF(Scharniere[[#This Row],[Bohrbild]]=select!$A$755,1,0)</f>
        <v>0</v>
      </c>
      <c r="T593" s="298">
        <f>IF(IF(Scharniere[[#This Row],[Anschrauben]]=1,1,IF(Scharniere[[#This Row],[Einpressen]]=1,2,IF(Scharniere[[#This Row],[Quick]]=1,3,IF(Scharniere[[#This Row],[Werkzeuglos]]=1,4,0))))=select!$A$769,1,0)</f>
        <v>1</v>
      </c>
      <c r="U5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3" s="359">
        <f>IF(AND(Scharniere[[#This Row],[Scharnierart]]=4,Scharniere[[#This Row],[Gruppenschlüssel]]=select!$A$981)=TRUE,1,0)</f>
        <v>0</v>
      </c>
      <c r="W593" s="359">
        <f ca="1">IF(select!$O$1185&lt;6,1,0)</f>
        <v>1</v>
      </c>
      <c r="X593" s="359">
        <f>IF(select!$A$1012=IF(Scharniere[[#This Row],[mit Dämpfung]]=1,1,IF(Scharniere[[#This Row],[ohne Dämpfung]]=1,2,IF(Scharniere[[#This Row],[ohne Feder]]=1,3,0))),1,0)</f>
        <v>1</v>
      </c>
      <c r="Y593" s="359">
        <f>IF(Scharniere[[#This Row],[Bohrbild]]=select!$A$989,1,0)</f>
        <v>0</v>
      </c>
      <c r="Z593" s="359">
        <f>IF(IF(Scharniere[[#This Row],[Anschrauben]]=1,1,IF(Scharniere[[#This Row],[Einpressen]]=1,2,IF(Scharniere[[#This Row],[Quick]]=1,3,IF(Scharniere[[#This Row],[Werkzeuglos]]=1,4,0))))=select!$A$1003,1,0)</f>
        <v>1</v>
      </c>
      <c r="AA5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3" s="359">
        <f ca="1">IF(select!$K$980="*",Scharniere[[#This Row],[AG Ges2]],Scharniere[[#This Row],[AG Ges1]])</f>
        <v>0</v>
      </c>
      <c r="AE593" s="451">
        <f ca="1">IF(AND(Scharniere[[#This Row],[Scharnierart]]=select!$A$1485,Scharniere[[#This Row],[Gruppenschlüssel]]=select!$B$1485)=TRUE,1,0)</f>
        <v>0</v>
      </c>
      <c r="AF593" s="451">
        <f ca="1">IF(AND(Scharniere[[#This Row],[Scharnierart]]=select!$A$1486,Scharniere[[#This Row],[Gruppenschlüssel]]=select!$B$1486)=TRUE,1,0)</f>
        <v>0</v>
      </c>
      <c r="AG593" s="451">
        <f ca="1">IF(AND(Scharniere[[#This Row],[Scharnierart]]=select!$A$1487,Scharniere[[#This Row],[Gruppenschlüssel]]=select!$B$1487)=TRUE,1,0)</f>
        <v>0</v>
      </c>
      <c r="AH593" s="451">
        <f ca="1">IF(AND(Scharniere[[#This Row],[Scharnierart]]=select!$A$1488,Scharniere[[#This Row],[Gruppenschlüssel]]=select!$B$1488)=TRUE,1,0)</f>
        <v>0</v>
      </c>
      <c r="AI593" s="451">
        <f ca="1">IF(SUM(Scharniere[[#This Row],[konf Scharnier 1]:[konf Scharnier 4]])&gt;0,1,0)</f>
        <v>0</v>
      </c>
      <c r="AJ593" s="451"/>
      <c r="AK593" s="451"/>
      <c r="AL593" s="451"/>
      <c r="AM593" s="451"/>
      <c r="AN593" s="451"/>
      <c r="AO593" s="146">
        <v>1</v>
      </c>
      <c r="AP593" s="146">
        <v>4</v>
      </c>
      <c r="AQ593" s="10" t="str">
        <f ca="1">Sprache!$A$110</f>
        <v>Tiomos Scharnier T Click-on</v>
      </c>
      <c r="AR593" t="s">
        <v>1948</v>
      </c>
      <c r="AS593" t="str">
        <f ca="1">Sprache!$A$103</f>
        <v>Tiomos Click-On Scharniere</v>
      </c>
      <c r="AT593">
        <v>9.5</v>
      </c>
      <c r="AU593" t="s">
        <v>9</v>
      </c>
      <c r="AV593">
        <v>95</v>
      </c>
      <c r="AW593" s="10">
        <v>0</v>
      </c>
      <c r="AX593">
        <v>1</v>
      </c>
      <c r="AY593">
        <v>0</v>
      </c>
      <c r="AZ593" s="10">
        <v>1</v>
      </c>
      <c r="BA593">
        <v>0</v>
      </c>
      <c r="BB593">
        <v>0</v>
      </c>
      <c r="BC593">
        <v>0</v>
      </c>
      <c r="BD593" s="143" t="s">
        <v>479</v>
      </c>
      <c r="BG593"/>
    </row>
    <row r="594" spans="1:59" ht="14.25" customHeight="1" x14ac:dyDescent="0.25">
      <c r="A594" s="37" t="str">
        <f>LEFT(Scharniere[[#This Row],[ArtikelNR]],4)</f>
        <v>F028</v>
      </c>
      <c r="B594" s="35" t="str">
        <f>MID(Scharniere[[#This Row],[ArtikelNR]],5,3)</f>
        <v>138</v>
      </c>
      <c r="C594" s="37" t="str">
        <f>RIGHT(Scharniere[[#This Row],[ArtikelNR]],3)</f>
        <v>387</v>
      </c>
      <c r="D594" s="35">
        <f>IF(AND(Scharniere[[#This Row],[Gruppenschlüssel]]=select!$A$44,Scharniere[[#This Row],[Scharnierart]]=1)=TRUE,1,0)</f>
        <v>0</v>
      </c>
      <c r="E5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4" s="35">
        <f>IF(select!$F$57=IF(Scharniere[[#This Row],[mit Dämpfung]]=1,1,IF(Scharniere[[#This Row],[ohne Dämpfung]]=1,2,IF(Scharniere[[#This Row],[ohne Feder]]=1,3,0))),1,0)</f>
        <v>0</v>
      </c>
      <c r="G594" s="35">
        <f>IF(Scharniere[[#This Row],[Bohrbild]]=select!$V$43,1,0)</f>
        <v>0</v>
      </c>
      <c r="H594" s="35">
        <f>IF(IF(Scharniere[[#This Row],[Anschrauben]]=1,1,IF(Scharniere[[#This Row],[Einpressen]]=1,2,IF(Scharniere[[#This Row],[Quick]]=1,3,IF(Scharniere[[#This Row],[Werkzeuglos]]=1,4,0))))=select!$F$48,1,0)</f>
        <v>0</v>
      </c>
      <c r="I5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4" s="149">
        <f>IF(AND(Scharniere[[#This Row],[Scharnierart]]=2,Scharniere[[#This Row],[Gruppenschlüssel]]=select!$A$318)=TRUE,1,0)</f>
        <v>0</v>
      </c>
      <c r="K594" s="221">
        <f ca="1">IF(select!$O$424&lt;6,1,0)</f>
        <v>1</v>
      </c>
      <c r="L594" s="139">
        <f>IF(select!$A$362=IF(Scharniere[[#This Row],[mit Dämpfung]]=1,1,IF(Scharniere[[#This Row],[ohne Dämpfung]]=1,2,IF(Scharniere[[#This Row],[ohne Feder]]=1,3,0))),1,0)</f>
        <v>1</v>
      </c>
      <c r="M594" s="135">
        <f>IF(Scharniere[[#This Row],[Bohrbild]]=select!$O$334,1,0)</f>
        <v>0</v>
      </c>
      <c r="N594" s="135">
        <f>IF(IF(Scharniere[[#This Row],[Anschrauben]]=1,1,IF(Scharniere[[#This Row],[Einpressen]]=1,2,IF(Scharniere[[#This Row],[Quick]]=1,3,IF(Scharniere[[#This Row],[Werkzeuglos]]=1,4,0))))=select!$E$362,1,0)</f>
        <v>1</v>
      </c>
      <c r="O5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4" s="298">
        <f>IF(AND(Scharniere[[#This Row],[Scharnierart]]=3,Scharniere[[#This Row],[Gruppenschlüssel]]=select!$A$747)=TRUE,1,0)</f>
        <v>0</v>
      </c>
      <c r="Q594" s="298">
        <f ca="1">IF(select!$O$945&lt;6,1,0)</f>
        <v>1</v>
      </c>
      <c r="R594" s="298">
        <f>IF(select!$A$778=IF(Scharniere[[#This Row],[mit Dämpfung]]=1,1,IF(Scharniere[[#This Row],[ohne Dämpfung]]=1,2,IF(Scharniere[[#This Row],[ohne Feder]]=1,3,0))),1,0)</f>
        <v>0</v>
      </c>
      <c r="S594" s="298">
        <f>IF(Scharniere[[#This Row],[Bohrbild]]=select!$A$755,1,0)</f>
        <v>0</v>
      </c>
      <c r="T594" s="298">
        <f>IF(IF(Scharniere[[#This Row],[Anschrauben]]=1,1,IF(Scharniere[[#This Row],[Einpressen]]=1,2,IF(Scharniere[[#This Row],[Quick]]=1,3,IF(Scharniere[[#This Row],[Werkzeuglos]]=1,4,0))))=select!$A$769,1,0)</f>
        <v>1</v>
      </c>
      <c r="U5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4" s="359">
        <f>IF(AND(Scharniere[[#This Row],[Scharnierart]]=4,Scharniere[[#This Row],[Gruppenschlüssel]]=select!$A$981)=TRUE,1,0)</f>
        <v>0</v>
      </c>
      <c r="W594" s="359">
        <f ca="1">IF(select!$O$1185&lt;6,1,0)</f>
        <v>1</v>
      </c>
      <c r="X594" s="359">
        <f>IF(select!$A$1012=IF(Scharniere[[#This Row],[mit Dämpfung]]=1,1,IF(Scharniere[[#This Row],[ohne Dämpfung]]=1,2,IF(Scharniere[[#This Row],[ohne Feder]]=1,3,0))),1,0)</f>
        <v>0</v>
      </c>
      <c r="Y594" s="359">
        <f>IF(Scharniere[[#This Row],[Bohrbild]]=select!$A$989,1,0)</f>
        <v>0</v>
      </c>
      <c r="Z594" s="359">
        <f>IF(IF(Scharniere[[#This Row],[Anschrauben]]=1,1,IF(Scharniere[[#This Row],[Einpressen]]=1,2,IF(Scharniere[[#This Row],[Quick]]=1,3,IF(Scharniere[[#This Row],[Werkzeuglos]]=1,4,0))))=select!$A$1003,1,0)</f>
        <v>1</v>
      </c>
      <c r="AA5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4" s="359">
        <f ca="1">IF(select!$K$980="*",Scharniere[[#This Row],[AG Ges2]],Scharniere[[#This Row],[AG Ges1]])</f>
        <v>0</v>
      </c>
      <c r="AE594" s="451">
        <f ca="1">IF(AND(Scharniere[[#This Row],[Scharnierart]]=select!$A$1485,Scharniere[[#This Row],[Gruppenschlüssel]]=select!$B$1485)=TRUE,1,0)</f>
        <v>0</v>
      </c>
      <c r="AF594" s="451">
        <f ca="1">IF(AND(Scharniere[[#This Row],[Scharnierart]]=select!$A$1486,Scharniere[[#This Row],[Gruppenschlüssel]]=select!$B$1486)=TRUE,1,0)</f>
        <v>0</v>
      </c>
      <c r="AG594" s="451">
        <f ca="1">IF(AND(Scharniere[[#This Row],[Scharnierart]]=select!$A$1487,Scharniere[[#This Row],[Gruppenschlüssel]]=select!$B$1487)=TRUE,1,0)</f>
        <v>0</v>
      </c>
      <c r="AH594" s="451">
        <f ca="1">IF(AND(Scharniere[[#This Row],[Scharnierart]]=select!$A$1488,Scharniere[[#This Row],[Gruppenschlüssel]]=select!$B$1488)=TRUE,1,0)</f>
        <v>0</v>
      </c>
      <c r="AI594" s="451">
        <f ca="1">IF(SUM(Scharniere[[#This Row],[konf Scharnier 1]:[konf Scharnier 4]])&gt;0,1,0)</f>
        <v>0</v>
      </c>
      <c r="AJ594" s="451"/>
      <c r="AK594" s="451"/>
      <c r="AL594" s="451"/>
      <c r="AM594" s="451"/>
      <c r="AN594" s="451"/>
      <c r="AO594" s="146">
        <v>1</v>
      </c>
      <c r="AP594" s="146">
        <v>4</v>
      </c>
      <c r="AQ594" s="10" t="str">
        <f ca="1">Sprache!$A$112</f>
        <v>Tiomos Scharnier TS Click-on</v>
      </c>
      <c r="AR594" t="s">
        <v>1948</v>
      </c>
      <c r="AS594" t="str">
        <f ca="1">Sprache!$A$103</f>
        <v>Tiomos Click-On Scharniere</v>
      </c>
      <c r="AT594">
        <v>9.5</v>
      </c>
      <c r="AU594" t="s">
        <v>9</v>
      </c>
      <c r="AV594">
        <v>95</v>
      </c>
      <c r="AW594" s="10">
        <v>1</v>
      </c>
      <c r="AX594">
        <v>0</v>
      </c>
      <c r="AY594">
        <v>0</v>
      </c>
      <c r="AZ594" s="10">
        <v>1</v>
      </c>
      <c r="BA594">
        <v>0</v>
      </c>
      <c r="BB594">
        <v>0</v>
      </c>
      <c r="BC594">
        <v>0</v>
      </c>
      <c r="BD594" s="143" t="s">
        <v>295</v>
      </c>
      <c r="BG594"/>
    </row>
    <row r="595" spans="1:59" ht="14.25" customHeight="1" x14ac:dyDescent="0.25">
      <c r="A595" s="37" t="str">
        <f>LEFT(Scharniere[[#This Row],[ArtikelNR]],4)</f>
        <v>F046</v>
      </c>
      <c r="B595" s="35" t="str">
        <f>MID(Scharniere[[#This Row],[ArtikelNR]],5,3)</f>
        <v>138</v>
      </c>
      <c r="C595" s="37" t="str">
        <f>RIGHT(Scharniere[[#This Row],[ArtikelNR]],3)</f>
        <v>447</v>
      </c>
      <c r="D595" s="35">
        <f>IF(AND(Scharniere[[#This Row],[Gruppenschlüssel]]=select!$A$44,Scharniere[[#This Row],[Scharnierart]]=1)=TRUE,1,0)</f>
        <v>0</v>
      </c>
      <c r="E5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5" s="35">
        <f>IF(select!$F$57=IF(Scharniere[[#This Row],[mit Dämpfung]]=1,1,IF(Scharniere[[#This Row],[ohne Dämpfung]]=1,2,IF(Scharniere[[#This Row],[ohne Feder]]=1,3,0))),1,0)</f>
        <v>1</v>
      </c>
      <c r="G595" s="35">
        <f>IF(Scharniere[[#This Row],[Bohrbild]]=select!$V$43,1,0)</f>
        <v>0</v>
      </c>
      <c r="H595" s="35">
        <f>IF(IF(Scharniere[[#This Row],[Anschrauben]]=1,1,IF(Scharniere[[#This Row],[Einpressen]]=1,2,IF(Scharniere[[#This Row],[Quick]]=1,3,IF(Scharniere[[#This Row],[Werkzeuglos]]=1,4,0))))=select!$F$48,1,0)</f>
        <v>0</v>
      </c>
      <c r="I5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5" s="149">
        <f>IF(AND(Scharniere[[#This Row],[Scharnierart]]=2,Scharniere[[#This Row],[Gruppenschlüssel]]=select!$A$318)=TRUE,1,0)</f>
        <v>0</v>
      </c>
      <c r="K595" s="221">
        <f ca="1">IF(select!$O$424&lt;6,1,0)</f>
        <v>1</v>
      </c>
      <c r="L595" s="139">
        <f>IF(select!$A$362=IF(Scharniere[[#This Row],[mit Dämpfung]]=1,1,IF(Scharniere[[#This Row],[ohne Dämpfung]]=1,2,IF(Scharniere[[#This Row],[ohne Feder]]=1,3,0))),1,0)</f>
        <v>0</v>
      </c>
      <c r="M595" s="135">
        <f>IF(Scharniere[[#This Row],[Bohrbild]]=select!$O$334,1,0)</f>
        <v>0</v>
      </c>
      <c r="N595" s="135">
        <f>IF(IF(Scharniere[[#This Row],[Anschrauben]]=1,1,IF(Scharniere[[#This Row],[Einpressen]]=1,2,IF(Scharniere[[#This Row],[Quick]]=1,3,IF(Scharniere[[#This Row],[Werkzeuglos]]=1,4,0))))=select!$E$362,1,0)</f>
        <v>1</v>
      </c>
      <c r="O5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5" s="298">
        <f>IF(AND(Scharniere[[#This Row],[Scharnierart]]=3,Scharniere[[#This Row],[Gruppenschlüssel]]=select!$A$747)=TRUE,1,0)</f>
        <v>0</v>
      </c>
      <c r="Q595" s="298">
        <f ca="1">IF(select!$O$945&lt;6,1,0)</f>
        <v>1</v>
      </c>
      <c r="R595" s="298">
        <f>IF(select!$A$778=IF(Scharniere[[#This Row],[mit Dämpfung]]=1,1,IF(Scharniere[[#This Row],[ohne Dämpfung]]=1,2,IF(Scharniere[[#This Row],[ohne Feder]]=1,3,0))),1,0)</f>
        <v>0</v>
      </c>
      <c r="S595" s="298">
        <f>IF(Scharniere[[#This Row],[Bohrbild]]=select!$A$755,1,0)</f>
        <v>0</v>
      </c>
      <c r="T595" s="298">
        <f>IF(IF(Scharniere[[#This Row],[Anschrauben]]=1,1,IF(Scharniere[[#This Row],[Einpressen]]=1,2,IF(Scharniere[[#This Row],[Quick]]=1,3,IF(Scharniere[[#This Row],[Werkzeuglos]]=1,4,0))))=select!$A$769,1,0)</f>
        <v>1</v>
      </c>
      <c r="U5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5" s="359">
        <f>IF(AND(Scharniere[[#This Row],[Scharnierart]]=4,Scharniere[[#This Row],[Gruppenschlüssel]]=select!$A$981)=TRUE,1,0)</f>
        <v>0</v>
      </c>
      <c r="W595" s="359">
        <f ca="1">IF(select!$O$1185&lt;6,1,0)</f>
        <v>1</v>
      </c>
      <c r="X595" s="359">
        <f>IF(select!$A$1012=IF(Scharniere[[#This Row],[mit Dämpfung]]=1,1,IF(Scharniere[[#This Row],[ohne Dämpfung]]=1,2,IF(Scharniere[[#This Row],[ohne Feder]]=1,3,0))),1,0)</f>
        <v>0</v>
      </c>
      <c r="Y595" s="359">
        <f>IF(Scharniere[[#This Row],[Bohrbild]]=select!$A$989,1,0)</f>
        <v>0</v>
      </c>
      <c r="Z595" s="359">
        <f>IF(IF(Scharniere[[#This Row],[Anschrauben]]=1,1,IF(Scharniere[[#This Row],[Einpressen]]=1,2,IF(Scharniere[[#This Row],[Quick]]=1,3,IF(Scharniere[[#This Row],[Werkzeuglos]]=1,4,0))))=select!$A$1003,1,0)</f>
        <v>1</v>
      </c>
      <c r="AA5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5" s="359">
        <f ca="1">IF(select!$K$980="*",Scharniere[[#This Row],[AG Ges2]],Scharniere[[#This Row],[AG Ges1]])</f>
        <v>0</v>
      </c>
      <c r="AE595" s="451">
        <f ca="1">IF(AND(Scharniere[[#This Row],[Scharnierart]]=select!$A$1485,Scharniere[[#This Row],[Gruppenschlüssel]]=select!$B$1485)=TRUE,1,0)</f>
        <v>0</v>
      </c>
      <c r="AF595" s="451">
        <f ca="1">IF(AND(Scharniere[[#This Row],[Scharnierart]]=select!$A$1486,Scharniere[[#This Row],[Gruppenschlüssel]]=select!$B$1486)=TRUE,1,0)</f>
        <v>0</v>
      </c>
      <c r="AG595" s="451">
        <f ca="1">IF(AND(Scharniere[[#This Row],[Scharnierart]]=select!$A$1487,Scharniere[[#This Row],[Gruppenschlüssel]]=select!$B$1487)=TRUE,1,0)</f>
        <v>0</v>
      </c>
      <c r="AH595" s="451">
        <f ca="1">IF(AND(Scharniere[[#This Row],[Scharnierart]]=select!$A$1488,Scharniere[[#This Row],[Gruppenschlüssel]]=select!$B$1488)=TRUE,1,0)</f>
        <v>0</v>
      </c>
      <c r="AI595" s="451">
        <f ca="1">IF(SUM(Scharniere[[#This Row],[konf Scharnier 1]:[konf Scharnier 4]])&gt;0,1,0)</f>
        <v>0</v>
      </c>
      <c r="AJ595" s="451"/>
      <c r="AK595" s="451"/>
      <c r="AL595" s="451"/>
      <c r="AM595" s="451"/>
      <c r="AN595" s="451"/>
      <c r="AO595" s="146">
        <v>1</v>
      </c>
      <c r="AP595" s="146">
        <v>4</v>
      </c>
      <c r="AQ595" s="10" t="str">
        <f ca="1">Sprache!$A$114</f>
        <v>Tiomos Scharnier TT Click-on</v>
      </c>
      <c r="AR595" t="s">
        <v>1948</v>
      </c>
      <c r="AS595" t="str">
        <f ca="1">Sprache!$A$103</f>
        <v>Tiomos Click-On Scharniere</v>
      </c>
      <c r="AT595">
        <v>9.5</v>
      </c>
      <c r="AU595" t="s">
        <v>9</v>
      </c>
      <c r="AV595">
        <v>95</v>
      </c>
      <c r="AW595" s="10">
        <v>0</v>
      </c>
      <c r="AX595">
        <v>0</v>
      </c>
      <c r="AY595">
        <v>1</v>
      </c>
      <c r="AZ595" s="10">
        <v>1</v>
      </c>
      <c r="BA595">
        <v>0</v>
      </c>
      <c r="BB595">
        <v>0</v>
      </c>
      <c r="BC595">
        <v>0</v>
      </c>
      <c r="BD595" s="143" t="s">
        <v>631</v>
      </c>
      <c r="BG595"/>
    </row>
    <row r="596" spans="1:59" ht="14.25" customHeight="1" x14ac:dyDescent="0.25">
      <c r="A596" s="37" t="str">
        <f>LEFT(Scharniere[[#This Row],[ArtikelNR]],4)</f>
        <v>F034</v>
      </c>
      <c r="B596" s="35" t="str">
        <f>MID(Scharniere[[#This Row],[ArtikelNR]],5,3)</f>
        <v>139</v>
      </c>
      <c r="C596" s="37" t="str">
        <f>RIGHT(Scharniere[[#This Row],[ArtikelNR]],3)</f>
        <v>411</v>
      </c>
      <c r="D596" s="35">
        <f>IF(AND(Scharniere[[#This Row],[Gruppenschlüssel]]=select!$A$44,Scharniere[[#This Row],[Scharnierart]]=1)=TRUE,1,0)</f>
        <v>0</v>
      </c>
      <c r="E5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6" s="35">
        <f>IF(select!$F$57=IF(Scharniere[[#This Row],[mit Dämpfung]]=1,1,IF(Scharniere[[#This Row],[ohne Dämpfung]]=1,2,IF(Scharniere[[#This Row],[ohne Feder]]=1,3,0))),1,0)</f>
        <v>0</v>
      </c>
      <c r="G596" s="35">
        <f>IF(Scharniere[[#This Row],[Bohrbild]]=select!$V$43,1,0)</f>
        <v>0</v>
      </c>
      <c r="H596" s="35">
        <f>IF(IF(Scharniere[[#This Row],[Anschrauben]]=1,1,IF(Scharniere[[#This Row],[Einpressen]]=1,2,IF(Scharniere[[#This Row],[Quick]]=1,3,IF(Scharniere[[#This Row],[Werkzeuglos]]=1,4,0))))=select!$F$48,1,0)</f>
        <v>0</v>
      </c>
      <c r="I5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6" s="149">
        <f>IF(AND(Scharniere[[#This Row],[Scharnierart]]=2,Scharniere[[#This Row],[Gruppenschlüssel]]=select!$A$318)=TRUE,1,0)</f>
        <v>0</v>
      </c>
      <c r="K596" s="221">
        <f ca="1">IF(select!$O$424&lt;6,1,0)</f>
        <v>1</v>
      </c>
      <c r="L596" s="139">
        <f>IF(select!$A$362=IF(Scharniere[[#This Row],[mit Dämpfung]]=1,1,IF(Scharniere[[#This Row],[ohne Dämpfung]]=1,2,IF(Scharniere[[#This Row],[ohne Feder]]=1,3,0))),1,0)</f>
        <v>0</v>
      </c>
      <c r="M596" s="135">
        <f>IF(Scharniere[[#This Row],[Bohrbild]]=select!$O$334,1,0)</f>
        <v>0</v>
      </c>
      <c r="N596" s="135">
        <f>IF(IF(Scharniere[[#This Row],[Anschrauben]]=1,1,IF(Scharniere[[#This Row],[Einpressen]]=1,2,IF(Scharniere[[#This Row],[Quick]]=1,3,IF(Scharniere[[#This Row],[Werkzeuglos]]=1,4,0))))=select!$E$362,1,0)</f>
        <v>0</v>
      </c>
      <c r="O5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6" s="298">
        <f>IF(AND(Scharniere[[#This Row],[Scharnierart]]=3,Scharniere[[#This Row],[Gruppenschlüssel]]=select!$A$747)=TRUE,1,0)</f>
        <v>0</v>
      </c>
      <c r="Q596" s="298">
        <f ca="1">IF(select!$O$945&lt;6,1,0)</f>
        <v>1</v>
      </c>
      <c r="R596" s="298">
        <f>IF(select!$A$778=IF(Scharniere[[#This Row],[mit Dämpfung]]=1,1,IF(Scharniere[[#This Row],[ohne Dämpfung]]=1,2,IF(Scharniere[[#This Row],[ohne Feder]]=1,3,0))),1,0)</f>
        <v>1</v>
      </c>
      <c r="S596" s="298">
        <f>IF(Scharniere[[#This Row],[Bohrbild]]=select!$A$755,1,0)</f>
        <v>0</v>
      </c>
      <c r="T596" s="298">
        <f>IF(IF(Scharniere[[#This Row],[Anschrauben]]=1,1,IF(Scharniere[[#This Row],[Einpressen]]=1,2,IF(Scharniere[[#This Row],[Quick]]=1,3,IF(Scharniere[[#This Row],[Werkzeuglos]]=1,4,0))))=select!$A$769,1,0)</f>
        <v>0</v>
      </c>
      <c r="U5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6" s="359">
        <f>IF(AND(Scharniere[[#This Row],[Scharnierart]]=4,Scharniere[[#This Row],[Gruppenschlüssel]]=select!$A$981)=TRUE,1,0)</f>
        <v>0</v>
      </c>
      <c r="W596" s="359">
        <f ca="1">IF(select!$O$1185&lt;6,1,0)</f>
        <v>1</v>
      </c>
      <c r="X596" s="359">
        <f>IF(select!$A$1012=IF(Scharniere[[#This Row],[mit Dämpfung]]=1,1,IF(Scharniere[[#This Row],[ohne Dämpfung]]=1,2,IF(Scharniere[[#This Row],[ohne Feder]]=1,3,0))),1,0)</f>
        <v>1</v>
      </c>
      <c r="Y596" s="359">
        <f>IF(Scharniere[[#This Row],[Bohrbild]]=select!$A$989,1,0)</f>
        <v>0</v>
      </c>
      <c r="Z596" s="359">
        <f>IF(IF(Scharniere[[#This Row],[Anschrauben]]=1,1,IF(Scharniere[[#This Row],[Einpressen]]=1,2,IF(Scharniere[[#This Row],[Quick]]=1,3,IF(Scharniere[[#This Row],[Werkzeuglos]]=1,4,0))))=select!$A$1003,1,0)</f>
        <v>0</v>
      </c>
      <c r="AA5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6" s="359">
        <f ca="1">IF(select!$K$980="*",Scharniere[[#This Row],[AG Ges2]],Scharniere[[#This Row],[AG Ges1]])</f>
        <v>0</v>
      </c>
      <c r="AE596" s="451">
        <f ca="1">IF(AND(Scharniere[[#This Row],[Scharnierart]]=select!$A$1485,Scharniere[[#This Row],[Gruppenschlüssel]]=select!$B$1485)=TRUE,1,0)</f>
        <v>0</v>
      </c>
      <c r="AF596" s="451">
        <f ca="1">IF(AND(Scharniere[[#This Row],[Scharnierart]]=select!$A$1486,Scharniere[[#This Row],[Gruppenschlüssel]]=select!$B$1486)=TRUE,1,0)</f>
        <v>0</v>
      </c>
      <c r="AG596" s="451">
        <f ca="1">IF(AND(Scharniere[[#This Row],[Scharnierart]]=select!$A$1487,Scharniere[[#This Row],[Gruppenschlüssel]]=select!$B$1487)=TRUE,1,0)</f>
        <v>0</v>
      </c>
      <c r="AH596" s="451">
        <f ca="1">IF(AND(Scharniere[[#This Row],[Scharnierart]]=select!$A$1488,Scharniere[[#This Row],[Gruppenschlüssel]]=select!$B$1488)=TRUE,1,0)</f>
        <v>0</v>
      </c>
      <c r="AI596" s="451">
        <f ca="1">IF(SUM(Scharniere[[#This Row],[konf Scharnier 1]:[konf Scharnier 4]])&gt;0,1,0)</f>
        <v>0</v>
      </c>
      <c r="AJ596" s="451"/>
      <c r="AK596" s="451"/>
      <c r="AL596" s="451"/>
      <c r="AM596" s="451"/>
      <c r="AN596" s="451"/>
      <c r="AO596" s="146">
        <v>1</v>
      </c>
      <c r="AP596" s="146">
        <v>4</v>
      </c>
      <c r="AQ596" s="10" t="str">
        <f ca="1">Sprache!$A$111</f>
        <v>Tiomos Scharnier T Impresso</v>
      </c>
      <c r="AR596" t="s">
        <v>1949</v>
      </c>
      <c r="AS596" t="str">
        <f ca="1">Sprache!$A$116</f>
        <v>Tiomos Impresso Scharniere</v>
      </c>
      <c r="AT596">
        <v>9.5</v>
      </c>
      <c r="AU596" s="34" t="s">
        <v>9</v>
      </c>
      <c r="AV596">
        <v>95</v>
      </c>
      <c r="AW596" s="10">
        <v>0</v>
      </c>
      <c r="AX596">
        <v>1</v>
      </c>
      <c r="AY596">
        <v>0</v>
      </c>
      <c r="AZ596" s="10">
        <v>0</v>
      </c>
      <c r="BA596">
        <v>0</v>
      </c>
      <c r="BB596">
        <v>0</v>
      </c>
      <c r="BC596">
        <v>1</v>
      </c>
      <c r="BD596" s="143" t="s">
        <v>163</v>
      </c>
      <c r="BG596"/>
    </row>
    <row r="597" spans="1:59" ht="14.25" customHeight="1" x14ac:dyDescent="0.25">
      <c r="A597" s="37" t="str">
        <f>LEFT(Scharniere[[#This Row],[ArtikelNR]],4)</f>
        <v>F034</v>
      </c>
      <c r="B597" s="35" t="str">
        <f>MID(Scharniere[[#This Row],[ArtikelNR]],5,3)</f>
        <v>139</v>
      </c>
      <c r="C597" s="37" t="str">
        <f>RIGHT(Scharniere[[#This Row],[ArtikelNR]],3)</f>
        <v>411</v>
      </c>
      <c r="D597" s="35">
        <f>IF(AND(Scharniere[[#This Row],[Gruppenschlüssel]]=select!$A$44,Scharniere[[#This Row],[Scharnierart]]=1)=TRUE,1,0)</f>
        <v>0</v>
      </c>
      <c r="E5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7" s="35">
        <f>IF(select!$F$57=IF(Scharniere[[#This Row],[mit Dämpfung]]=1,1,IF(Scharniere[[#This Row],[ohne Dämpfung]]=1,2,IF(Scharniere[[#This Row],[ohne Feder]]=1,3,0))),1,0)</f>
        <v>0</v>
      </c>
      <c r="G597" s="35">
        <f>IF(Scharniere[[#This Row],[Bohrbild]]=select!$V$43,1,0)</f>
        <v>0</v>
      </c>
      <c r="H597" s="35">
        <f>IF(IF(Scharniere[[#This Row],[Anschrauben]]=1,1,IF(Scharniere[[#This Row],[Einpressen]]=1,2,IF(Scharniere[[#This Row],[Quick]]=1,3,IF(Scharniere[[#This Row],[Werkzeuglos]]=1,4,0))))=select!$F$48,1,0)</f>
        <v>0</v>
      </c>
      <c r="I5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7" s="149">
        <f>IF(AND(Scharniere[[#This Row],[Scharnierart]]=2,Scharniere[[#This Row],[Gruppenschlüssel]]=select!$A$318)=TRUE,1,0)</f>
        <v>0</v>
      </c>
      <c r="K597" s="221">
        <f ca="1">IF(select!$O$424&lt;6,1,0)</f>
        <v>1</v>
      </c>
      <c r="L597" s="139">
        <f>IF(select!$A$362=IF(Scharniere[[#This Row],[mit Dämpfung]]=1,1,IF(Scharniere[[#This Row],[ohne Dämpfung]]=1,2,IF(Scharniere[[#This Row],[ohne Feder]]=1,3,0))),1,0)</f>
        <v>0</v>
      </c>
      <c r="M597" s="135">
        <f>IF(Scharniere[[#This Row],[Bohrbild]]=select!$O$334,1,0)</f>
        <v>0</v>
      </c>
      <c r="N597" s="135">
        <f>IF(IF(Scharniere[[#This Row],[Anschrauben]]=1,1,IF(Scharniere[[#This Row],[Einpressen]]=1,2,IF(Scharniere[[#This Row],[Quick]]=1,3,IF(Scharniere[[#This Row],[Werkzeuglos]]=1,4,0))))=select!$E$362,1,0)</f>
        <v>0</v>
      </c>
      <c r="O5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7" s="298">
        <f>IF(AND(Scharniere[[#This Row],[Scharnierart]]=3,Scharniere[[#This Row],[Gruppenschlüssel]]=select!$A$747)=TRUE,1,0)</f>
        <v>0</v>
      </c>
      <c r="Q597" s="298">
        <f ca="1">IF(select!$O$945&lt;6,1,0)</f>
        <v>1</v>
      </c>
      <c r="R597" s="298">
        <f>IF(select!$A$778=IF(Scharniere[[#This Row],[mit Dämpfung]]=1,1,IF(Scharniere[[#This Row],[ohne Dämpfung]]=1,2,IF(Scharniere[[#This Row],[ohne Feder]]=1,3,0))),1,0)</f>
        <v>1</v>
      </c>
      <c r="S597" s="298">
        <f>IF(Scharniere[[#This Row],[Bohrbild]]=select!$A$755,1,0)</f>
        <v>0</v>
      </c>
      <c r="T597" s="298">
        <f>IF(IF(Scharniere[[#This Row],[Anschrauben]]=1,1,IF(Scharniere[[#This Row],[Einpressen]]=1,2,IF(Scharniere[[#This Row],[Quick]]=1,3,IF(Scharniere[[#This Row],[Werkzeuglos]]=1,4,0))))=select!$A$769,1,0)</f>
        <v>0</v>
      </c>
      <c r="U5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7" s="359">
        <f>IF(AND(Scharniere[[#This Row],[Scharnierart]]=4,Scharniere[[#This Row],[Gruppenschlüssel]]=select!$A$981)=TRUE,1,0)</f>
        <v>0</v>
      </c>
      <c r="W597" s="359">
        <f ca="1">IF(select!$O$1185&lt;6,1,0)</f>
        <v>1</v>
      </c>
      <c r="X597" s="359">
        <f>IF(select!$A$1012=IF(Scharniere[[#This Row],[mit Dämpfung]]=1,1,IF(Scharniere[[#This Row],[ohne Dämpfung]]=1,2,IF(Scharniere[[#This Row],[ohne Feder]]=1,3,0))),1,0)</f>
        <v>1</v>
      </c>
      <c r="Y597" s="359">
        <f>IF(Scharniere[[#This Row],[Bohrbild]]=select!$A$989,1,0)</f>
        <v>0</v>
      </c>
      <c r="Z597" s="359">
        <f>IF(IF(Scharniere[[#This Row],[Anschrauben]]=1,1,IF(Scharniere[[#This Row],[Einpressen]]=1,2,IF(Scharniere[[#This Row],[Quick]]=1,3,IF(Scharniere[[#This Row],[Werkzeuglos]]=1,4,0))))=select!$A$1003,1,0)</f>
        <v>0</v>
      </c>
      <c r="AA5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7" s="359">
        <f ca="1">IF(select!$K$980="*",Scharniere[[#This Row],[AG Ges2]],Scharniere[[#This Row],[AG Ges1]])</f>
        <v>0</v>
      </c>
      <c r="AE597" s="451">
        <f ca="1">IF(AND(Scharniere[[#This Row],[Scharnierart]]=select!$A$1485,Scharniere[[#This Row],[Gruppenschlüssel]]=select!$B$1485)=TRUE,1,0)</f>
        <v>0</v>
      </c>
      <c r="AF597" s="451">
        <f ca="1">IF(AND(Scharniere[[#This Row],[Scharnierart]]=select!$A$1486,Scharniere[[#This Row],[Gruppenschlüssel]]=select!$B$1486)=TRUE,1,0)</f>
        <v>0</v>
      </c>
      <c r="AG597" s="451">
        <f ca="1">IF(AND(Scharniere[[#This Row],[Scharnierart]]=select!$A$1487,Scharniere[[#This Row],[Gruppenschlüssel]]=select!$B$1487)=TRUE,1,0)</f>
        <v>0</v>
      </c>
      <c r="AH597" s="451">
        <f ca="1">IF(AND(Scharniere[[#This Row],[Scharnierart]]=select!$A$1488,Scharniere[[#This Row],[Gruppenschlüssel]]=select!$B$1488)=TRUE,1,0)</f>
        <v>0</v>
      </c>
      <c r="AI597" s="451">
        <f ca="1">IF(SUM(Scharniere[[#This Row],[konf Scharnier 1]:[konf Scharnier 4]])&gt;0,1,0)</f>
        <v>0</v>
      </c>
      <c r="AJ597" s="451"/>
      <c r="AK597" s="451"/>
      <c r="AL597" s="451"/>
      <c r="AM597" s="451"/>
      <c r="AN597" s="451"/>
      <c r="AO597" s="146">
        <v>1</v>
      </c>
      <c r="AP597" s="146">
        <v>4</v>
      </c>
      <c r="AQ597" s="10" t="str">
        <f ca="1">Sprache!$A$111</f>
        <v>Tiomos Scharnier T Impresso</v>
      </c>
      <c r="AR597" t="s">
        <v>1949</v>
      </c>
      <c r="AS597" t="str">
        <f ca="1">Sprache!$A$116</f>
        <v>Tiomos Impresso Scharniere</v>
      </c>
      <c r="AT597">
        <v>9.5</v>
      </c>
      <c r="AU597" s="34" t="s">
        <v>3</v>
      </c>
      <c r="AV597">
        <v>95</v>
      </c>
      <c r="AW597" s="10">
        <v>0</v>
      </c>
      <c r="AX597">
        <v>1</v>
      </c>
      <c r="AY597">
        <v>0</v>
      </c>
      <c r="AZ597" s="10">
        <v>0</v>
      </c>
      <c r="BA597">
        <v>0</v>
      </c>
      <c r="BB597">
        <v>0</v>
      </c>
      <c r="BC597">
        <v>1</v>
      </c>
      <c r="BD597" s="143" t="s">
        <v>163</v>
      </c>
      <c r="BG597"/>
    </row>
    <row r="598" spans="1:59" ht="14.25" customHeight="1" x14ac:dyDescent="0.25">
      <c r="A598" s="37" t="str">
        <f>LEFT(Scharniere[[#This Row],[ArtikelNR]],4)</f>
        <v>F017</v>
      </c>
      <c r="B598" s="35" t="str">
        <f>MID(Scharniere[[#This Row],[ArtikelNR]],5,3)</f>
        <v>139</v>
      </c>
      <c r="C598" s="37" t="str">
        <f>RIGHT(Scharniere[[#This Row],[ArtikelNR]],3)</f>
        <v>440</v>
      </c>
      <c r="D598" s="35">
        <f>IF(AND(Scharniere[[#This Row],[Gruppenschlüssel]]=select!$A$44,Scharniere[[#This Row],[Scharnierart]]=1)=TRUE,1,0)</f>
        <v>0</v>
      </c>
      <c r="E5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8" s="35">
        <f>IF(select!$F$57=IF(Scharniere[[#This Row],[mit Dämpfung]]=1,1,IF(Scharniere[[#This Row],[ohne Dämpfung]]=1,2,IF(Scharniere[[#This Row],[ohne Feder]]=1,3,0))),1,0)</f>
        <v>0</v>
      </c>
      <c r="G598" s="35">
        <f>IF(Scharniere[[#This Row],[Bohrbild]]=select!$V$43,1,0)</f>
        <v>0</v>
      </c>
      <c r="H598" s="35">
        <f>IF(IF(Scharniere[[#This Row],[Anschrauben]]=1,1,IF(Scharniere[[#This Row],[Einpressen]]=1,2,IF(Scharniere[[#This Row],[Quick]]=1,3,IF(Scharniere[[#This Row],[Werkzeuglos]]=1,4,0))))=select!$F$48,1,0)</f>
        <v>0</v>
      </c>
      <c r="I5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8" s="149">
        <f>IF(AND(Scharniere[[#This Row],[Scharnierart]]=2,Scharniere[[#This Row],[Gruppenschlüssel]]=select!$A$318)=TRUE,1,0)</f>
        <v>0</v>
      </c>
      <c r="K598" s="221">
        <f ca="1">IF(select!$O$424&lt;6,1,0)</f>
        <v>1</v>
      </c>
      <c r="L598" s="139">
        <f>IF(select!$A$362=IF(Scharniere[[#This Row],[mit Dämpfung]]=1,1,IF(Scharniere[[#This Row],[ohne Dämpfung]]=1,2,IF(Scharniere[[#This Row],[ohne Feder]]=1,3,0))),1,0)</f>
        <v>1</v>
      </c>
      <c r="M598" s="135">
        <f>IF(Scharniere[[#This Row],[Bohrbild]]=select!$O$334,1,0)</f>
        <v>0</v>
      </c>
      <c r="N598" s="135">
        <f>IF(IF(Scharniere[[#This Row],[Anschrauben]]=1,1,IF(Scharniere[[#This Row],[Einpressen]]=1,2,IF(Scharniere[[#This Row],[Quick]]=1,3,IF(Scharniere[[#This Row],[Werkzeuglos]]=1,4,0))))=select!$E$362,1,0)</f>
        <v>0</v>
      </c>
      <c r="O5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8" s="298">
        <f>IF(AND(Scharniere[[#This Row],[Scharnierart]]=3,Scharniere[[#This Row],[Gruppenschlüssel]]=select!$A$747)=TRUE,1,0)</f>
        <v>0</v>
      </c>
      <c r="Q598" s="298">
        <f ca="1">IF(select!$O$945&lt;6,1,0)</f>
        <v>1</v>
      </c>
      <c r="R598" s="298">
        <f>IF(select!$A$778=IF(Scharniere[[#This Row],[mit Dämpfung]]=1,1,IF(Scharniere[[#This Row],[ohne Dämpfung]]=1,2,IF(Scharniere[[#This Row],[ohne Feder]]=1,3,0))),1,0)</f>
        <v>0</v>
      </c>
      <c r="S598" s="298">
        <f>IF(Scharniere[[#This Row],[Bohrbild]]=select!$A$755,1,0)</f>
        <v>0</v>
      </c>
      <c r="T598" s="298">
        <f>IF(IF(Scharniere[[#This Row],[Anschrauben]]=1,1,IF(Scharniere[[#This Row],[Einpressen]]=1,2,IF(Scharniere[[#This Row],[Quick]]=1,3,IF(Scharniere[[#This Row],[Werkzeuglos]]=1,4,0))))=select!$A$769,1,0)</f>
        <v>0</v>
      </c>
      <c r="U5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8" s="359">
        <f>IF(AND(Scharniere[[#This Row],[Scharnierart]]=4,Scharniere[[#This Row],[Gruppenschlüssel]]=select!$A$981)=TRUE,1,0)</f>
        <v>0</v>
      </c>
      <c r="W598" s="359">
        <f ca="1">IF(select!$O$1185&lt;6,1,0)</f>
        <v>1</v>
      </c>
      <c r="X598" s="359">
        <f>IF(select!$A$1012=IF(Scharniere[[#This Row],[mit Dämpfung]]=1,1,IF(Scharniere[[#This Row],[ohne Dämpfung]]=1,2,IF(Scharniere[[#This Row],[ohne Feder]]=1,3,0))),1,0)</f>
        <v>0</v>
      </c>
      <c r="Y598" s="359">
        <f>IF(Scharniere[[#This Row],[Bohrbild]]=select!$A$989,1,0)</f>
        <v>0</v>
      </c>
      <c r="Z598" s="359">
        <f>IF(IF(Scharniere[[#This Row],[Anschrauben]]=1,1,IF(Scharniere[[#This Row],[Einpressen]]=1,2,IF(Scharniere[[#This Row],[Quick]]=1,3,IF(Scharniere[[#This Row],[Werkzeuglos]]=1,4,0))))=select!$A$1003,1,0)</f>
        <v>0</v>
      </c>
      <c r="AA5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8" s="359">
        <f ca="1">IF(select!$K$980="*",Scharniere[[#This Row],[AG Ges2]],Scharniere[[#This Row],[AG Ges1]])</f>
        <v>0</v>
      </c>
      <c r="AE598" s="451">
        <f ca="1">IF(AND(Scharniere[[#This Row],[Scharnierart]]=select!$A$1485,Scharniere[[#This Row],[Gruppenschlüssel]]=select!$B$1485)=TRUE,1,0)</f>
        <v>0</v>
      </c>
      <c r="AF598" s="451">
        <f ca="1">IF(AND(Scharniere[[#This Row],[Scharnierart]]=select!$A$1486,Scharniere[[#This Row],[Gruppenschlüssel]]=select!$B$1486)=TRUE,1,0)</f>
        <v>0</v>
      </c>
      <c r="AG598" s="451">
        <f ca="1">IF(AND(Scharniere[[#This Row],[Scharnierart]]=select!$A$1487,Scharniere[[#This Row],[Gruppenschlüssel]]=select!$B$1487)=TRUE,1,0)</f>
        <v>0</v>
      </c>
      <c r="AH598" s="451">
        <f ca="1">IF(AND(Scharniere[[#This Row],[Scharnierart]]=select!$A$1488,Scharniere[[#This Row],[Gruppenschlüssel]]=select!$B$1488)=TRUE,1,0)</f>
        <v>0</v>
      </c>
      <c r="AI598" s="451">
        <f ca="1">IF(SUM(Scharniere[[#This Row],[konf Scharnier 1]:[konf Scharnier 4]])&gt;0,1,0)</f>
        <v>0</v>
      </c>
      <c r="AJ598" s="451"/>
      <c r="AK598" s="451"/>
      <c r="AL598" s="451"/>
      <c r="AM598" s="451"/>
      <c r="AN598" s="451"/>
      <c r="AO598" s="146">
        <v>1</v>
      </c>
      <c r="AP598" s="146">
        <v>4</v>
      </c>
      <c r="AQ598" s="10" t="str">
        <f ca="1">Sprache!$A$113</f>
        <v>Tiomos Scharnier TS Impresso</v>
      </c>
      <c r="AR598" t="s">
        <v>1949</v>
      </c>
      <c r="AS598" t="str">
        <f ca="1">Sprache!$A$116</f>
        <v>Tiomos Impresso Scharniere</v>
      </c>
      <c r="AT598">
        <v>9.5</v>
      </c>
      <c r="AU598" s="34" t="s">
        <v>9</v>
      </c>
      <c r="AV598">
        <v>95</v>
      </c>
      <c r="AW598" s="10">
        <v>1</v>
      </c>
      <c r="AX598">
        <v>0</v>
      </c>
      <c r="AY598">
        <v>0</v>
      </c>
      <c r="AZ598" s="10">
        <v>0</v>
      </c>
      <c r="BA598">
        <v>0</v>
      </c>
      <c r="BB598">
        <v>0</v>
      </c>
      <c r="BC598">
        <v>1</v>
      </c>
      <c r="BD598" s="143" t="s">
        <v>106</v>
      </c>
      <c r="BG598"/>
    </row>
    <row r="599" spans="1:59" ht="14.25" customHeight="1" x14ac:dyDescent="0.25">
      <c r="A599" s="37" t="str">
        <f>LEFT(Scharniere[[#This Row],[ArtikelNR]],4)</f>
        <v>F017</v>
      </c>
      <c r="B599" s="35" t="str">
        <f>MID(Scharniere[[#This Row],[ArtikelNR]],5,3)</f>
        <v>139</v>
      </c>
      <c r="C599" s="37" t="str">
        <f>RIGHT(Scharniere[[#This Row],[ArtikelNR]],3)</f>
        <v>440</v>
      </c>
      <c r="D599" s="35">
        <f>IF(AND(Scharniere[[#This Row],[Gruppenschlüssel]]=select!$A$44,Scharniere[[#This Row],[Scharnierart]]=1)=TRUE,1,0)</f>
        <v>0</v>
      </c>
      <c r="E5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599" s="35">
        <f>IF(select!$F$57=IF(Scharniere[[#This Row],[mit Dämpfung]]=1,1,IF(Scharniere[[#This Row],[ohne Dämpfung]]=1,2,IF(Scharniere[[#This Row],[ohne Feder]]=1,3,0))),1,0)</f>
        <v>0</v>
      </c>
      <c r="G599" s="35">
        <f>IF(Scharniere[[#This Row],[Bohrbild]]=select!$V$43,1,0)</f>
        <v>0</v>
      </c>
      <c r="H599" s="35">
        <f>IF(IF(Scharniere[[#This Row],[Anschrauben]]=1,1,IF(Scharniere[[#This Row],[Einpressen]]=1,2,IF(Scharniere[[#This Row],[Quick]]=1,3,IF(Scharniere[[#This Row],[Werkzeuglos]]=1,4,0))))=select!$F$48,1,0)</f>
        <v>0</v>
      </c>
      <c r="I5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599" s="149">
        <f>IF(AND(Scharniere[[#This Row],[Scharnierart]]=2,Scharniere[[#This Row],[Gruppenschlüssel]]=select!$A$318)=TRUE,1,0)</f>
        <v>0</v>
      </c>
      <c r="K599" s="221">
        <f ca="1">IF(select!$O$424&lt;6,1,0)</f>
        <v>1</v>
      </c>
      <c r="L599" s="139">
        <f>IF(select!$A$362=IF(Scharniere[[#This Row],[mit Dämpfung]]=1,1,IF(Scharniere[[#This Row],[ohne Dämpfung]]=1,2,IF(Scharniere[[#This Row],[ohne Feder]]=1,3,0))),1,0)</f>
        <v>1</v>
      </c>
      <c r="M599" s="135">
        <f>IF(Scharniere[[#This Row],[Bohrbild]]=select!$O$334,1,0)</f>
        <v>0</v>
      </c>
      <c r="N599" s="135">
        <f>IF(IF(Scharniere[[#This Row],[Anschrauben]]=1,1,IF(Scharniere[[#This Row],[Einpressen]]=1,2,IF(Scharniere[[#This Row],[Quick]]=1,3,IF(Scharniere[[#This Row],[Werkzeuglos]]=1,4,0))))=select!$E$362,1,0)</f>
        <v>0</v>
      </c>
      <c r="O5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599" s="298">
        <f>IF(AND(Scharniere[[#This Row],[Scharnierart]]=3,Scharniere[[#This Row],[Gruppenschlüssel]]=select!$A$747)=TRUE,1,0)</f>
        <v>0</v>
      </c>
      <c r="Q599" s="298">
        <f ca="1">IF(select!$O$945&lt;6,1,0)</f>
        <v>1</v>
      </c>
      <c r="R599" s="298">
        <f>IF(select!$A$778=IF(Scharniere[[#This Row],[mit Dämpfung]]=1,1,IF(Scharniere[[#This Row],[ohne Dämpfung]]=1,2,IF(Scharniere[[#This Row],[ohne Feder]]=1,3,0))),1,0)</f>
        <v>0</v>
      </c>
      <c r="S599" s="298">
        <f>IF(Scharniere[[#This Row],[Bohrbild]]=select!$A$755,1,0)</f>
        <v>0</v>
      </c>
      <c r="T599" s="298">
        <f>IF(IF(Scharniere[[#This Row],[Anschrauben]]=1,1,IF(Scharniere[[#This Row],[Einpressen]]=1,2,IF(Scharniere[[#This Row],[Quick]]=1,3,IF(Scharniere[[#This Row],[Werkzeuglos]]=1,4,0))))=select!$A$769,1,0)</f>
        <v>0</v>
      </c>
      <c r="U5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599" s="359">
        <f>IF(AND(Scharniere[[#This Row],[Scharnierart]]=4,Scharniere[[#This Row],[Gruppenschlüssel]]=select!$A$981)=TRUE,1,0)</f>
        <v>0</v>
      </c>
      <c r="W599" s="359">
        <f ca="1">IF(select!$O$1185&lt;6,1,0)</f>
        <v>1</v>
      </c>
      <c r="X599" s="359">
        <f>IF(select!$A$1012=IF(Scharniere[[#This Row],[mit Dämpfung]]=1,1,IF(Scharniere[[#This Row],[ohne Dämpfung]]=1,2,IF(Scharniere[[#This Row],[ohne Feder]]=1,3,0))),1,0)</f>
        <v>0</v>
      </c>
      <c r="Y599" s="359">
        <f>IF(Scharniere[[#This Row],[Bohrbild]]=select!$A$989,1,0)</f>
        <v>0</v>
      </c>
      <c r="Z599" s="359">
        <f>IF(IF(Scharniere[[#This Row],[Anschrauben]]=1,1,IF(Scharniere[[#This Row],[Einpressen]]=1,2,IF(Scharniere[[#This Row],[Quick]]=1,3,IF(Scharniere[[#This Row],[Werkzeuglos]]=1,4,0))))=select!$A$1003,1,0)</f>
        <v>0</v>
      </c>
      <c r="AA5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5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5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599" s="359">
        <f ca="1">IF(select!$K$980="*",Scharniere[[#This Row],[AG Ges2]],Scharniere[[#This Row],[AG Ges1]])</f>
        <v>0</v>
      </c>
      <c r="AE599" s="451">
        <f ca="1">IF(AND(Scharniere[[#This Row],[Scharnierart]]=select!$A$1485,Scharniere[[#This Row],[Gruppenschlüssel]]=select!$B$1485)=TRUE,1,0)</f>
        <v>0</v>
      </c>
      <c r="AF599" s="451">
        <f ca="1">IF(AND(Scharniere[[#This Row],[Scharnierart]]=select!$A$1486,Scharniere[[#This Row],[Gruppenschlüssel]]=select!$B$1486)=TRUE,1,0)</f>
        <v>0</v>
      </c>
      <c r="AG599" s="451">
        <f ca="1">IF(AND(Scharniere[[#This Row],[Scharnierart]]=select!$A$1487,Scharniere[[#This Row],[Gruppenschlüssel]]=select!$B$1487)=TRUE,1,0)</f>
        <v>0</v>
      </c>
      <c r="AH599" s="451">
        <f ca="1">IF(AND(Scharniere[[#This Row],[Scharnierart]]=select!$A$1488,Scharniere[[#This Row],[Gruppenschlüssel]]=select!$B$1488)=TRUE,1,0)</f>
        <v>0</v>
      </c>
      <c r="AI599" s="451">
        <f ca="1">IF(SUM(Scharniere[[#This Row],[konf Scharnier 1]:[konf Scharnier 4]])&gt;0,1,0)</f>
        <v>0</v>
      </c>
      <c r="AJ599" s="451"/>
      <c r="AK599" s="451"/>
      <c r="AL599" s="451"/>
      <c r="AM599" s="451"/>
      <c r="AN599" s="451"/>
      <c r="AO599" s="146">
        <v>1</v>
      </c>
      <c r="AP599" s="146">
        <v>4</v>
      </c>
      <c r="AQ599" s="10" t="str">
        <f ca="1">Sprache!$A$113</f>
        <v>Tiomos Scharnier TS Impresso</v>
      </c>
      <c r="AR599" t="s">
        <v>1949</v>
      </c>
      <c r="AS599" t="str">
        <f ca="1">Sprache!$A$116</f>
        <v>Tiomos Impresso Scharniere</v>
      </c>
      <c r="AT599">
        <v>9.5</v>
      </c>
      <c r="AU599" t="s">
        <v>3</v>
      </c>
      <c r="AV599">
        <v>95</v>
      </c>
      <c r="AW599" s="10">
        <v>1</v>
      </c>
      <c r="AX599">
        <v>0</v>
      </c>
      <c r="AY599">
        <v>0</v>
      </c>
      <c r="AZ599" s="10">
        <v>0</v>
      </c>
      <c r="BA599">
        <v>0</v>
      </c>
      <c r="BB599">
        <v>0</v>
      </c>
      <c r="BC599">
        <v>1</v>
      </c>
      <c r="BD599" s="143" t="s">
        <v>106</v>
      </c>
      <c r="BG599"/>
    </row>
    <row r="600" spans="1:59" ht="14.25" customHeight="1" x14ac:dyDescent="0.25">
      <c r="A600" s="37" t="str">
        <f>LEFT(Scharniere[[#This Row],[ArtikelNR]],4)</f>
        <v>F035</v>
      </c>
      <c r="B600" s="35" t="str">
        <f>MID(Scharniere[[#This Row],[ArtikelNR]],5,3)</f>
        <v>139</v>
      </c>
      <c r="C600" s="37" t="str">
        <f>RIGHT(Scharniere[[#This Row],[ArtikelNR]],3)</f>
        <v>468</v>
      </c>
      <c r="D600" s="35">
        <f>IF(AND(Scharniere[[#This Row],[Gruppenschlüssel]]=select!$A$44,Scharniere[[#This Row],[Scharnierart]]=1)=TRUE,1,0)</f>
        <v>0</v>
      </c>
      <c r="E6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0" s="35">
        <f>IF(select!$F$57=IF(Scharniere[[#This Row],[mit Dämpfung]]=1,1,IF(Scharniere[[#This Row],[ohne Dämpfung]]=1,2,IF(Scharniere[[#This Row],[ohne Feder]]=1,3,0))),1,0)</f>
        <v>1</v>
      </c>
      <c r="G600" s="35">
        <f>IF(Scharniere[[#This Row],[Bohrbild]]=select!$V$43,1,0)</f>
        <v>0</v>
      </c>
      <c r="H600" s="35">
        <f>IF(IF(Scharniere[[#This Row],[Anschrauben]]=1,1,IF(Scharniere[[#This Row],[Einpressen]]=1,2,IF(Scharniere[[#This Row],[Quick]]=1,3,IF(Scharniere[[#This Row],[Werkzeuglos]]=1,4,0))))=select!$F$48,1,0)</f>
        <v>0</v>
      </c>
      <c r="I6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0" s="149">
        <f>IF(AND(Scharniere[[#This Row],[Scharnierart]]=2,Scharniere[[#This Row],[Gruppenschlüssel]]=select!$A$318)=TRUE,1,0)</f>
        <v>0</v>
      </c>
      <c r="K600" s="221">
        <f ca="1">IF(select!$O$424&lt;6,1,0)</f>
        <v>1</v>
      </c>
      <c r="L600" s="139">
        <f>IF(select!$A$362=IF(Scharniere[[#This Row],[mit Dämpfung]]=1,1,IF(Scharniere[[#This Row],[ohne Dämpfung]]=1,2,IF(Scharniere[[#This Row],[ohne Feder]]=1,3,0))),1,0)</f>
        <v>0</v>
      </c>
      <c r="M600" s="135">
        <f>IF(Scharniere[[#This Row],[Bohrbild]]=select!$O$334,1,0)</f>
        <v>0</v>
      </c>
      <c r="N600" s="135">
        <f>IF(IF(Scharniere[[#This Row],[Anschrauben]]=1,1,IF(Scharniere[[#This Row],[Einpressen]]=1,2,IF(Scharniere[[#This Row],[Quick]]=1,3,IF(Scharniere[[#This Row],[Werkzeuglos]]=1,4,0))))=select!$E$362,1,0)</f>
        <v>0</v>
      </c>
      <c r="O6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0" s="298">
        <f>IF(AND(Scharniere[[#This Row],[Scharnierart]]=3,Scharniere[[#This Row],[Gruppenschlüssel]]=select!$A$747)=TRUE,1,0)</f>
        <v>0</v>
      </c>
      <c r="Q600" s="298">
        <f ca="1">IF(select!$O$945&lt;6,1,0)</f>
        <v>1</v>
      </c>
      <c r="R600" s="298">
        <f>IF(select!$A$778=IF(Scharniere[[#This Row],[mit Dämpfung]]=1,1,IF(Scharniere[[#This Row],[ohne Dämpfung]]=1,2,IF(Scharniere[[#This Row],[ohne Feder]]=1,3,0))),1,0)</f>
        <v>0</v>
      </c>
      <c r="S600" s="298">
        <f>IF(Scharniere[[#This Row],[Bohrbild]]=select!$A$755,1,0)</f>
        <v>0</v>
      </c>
      <c r="T600" s="298">
        <f>IF(IF(Scharniere[[#This Row],[Anschrauben]]=1,1,IF(Scharniere[[#This Row],[Einpressen]]=1,2,IF(Scharniere[[#This Row],[Quick]]=1,3,IF(Scharniere[[#This Row],[Werkzeuglos]]=1,4,0))))=select!$A$769,1,0)</f>
        <v>0</v>
      </c>
      <c r="U6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0" s="359">
        <f>IF(AND(Scharniere[[#This Row],[Scharnierart]]=4,Scharniere[[#This Row],[Gruppenschlüssel]]=select!$A$981)=TRUE,1,0)</f>
        <v>0</v>
      </c>
      <c r="W600" s="359">
        <f ca="1">IF(select!$O$1185&lt;6,1,0)</f>
        <v>1</v>
      </c>
      <c r="X600" s="359">
        <f>IF(select!$A$1012=IF(Scharniere[[#This Row],[mit Dämpfung]]=1,1,IF(Scharniere[[#This Row],[ohne Dämpfung]]=1,2,IF(Scharniere[[#This Row],[ohne Feder]]=1,3,0))),1,0)</f>
        <v>0</v>
      </c>
      <c r="Y600" s="359">
        <f>IF(Scharniere[[#This Row],[Bohrbild]]=select!$A$989,1,0)</f>
        <v>0</v>
      </c>
      <c r="Z600" s="359">
        <f>IF(IF(Scharniere[[#This Row],[Anschrauben]]=1,1,IF(Scharniere[[#This Row],[Einpressen]]=1,2,IF(Scharniere[[#This Row],[Quick]]=1,3,IF(Scharniere[[#This Row],[Werkzeuglos]]=1,4,0))))=select!$A$1003,1,0)</f>
        <v>0</v>
      </c>
      <c r="AA6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0" s="359">
        <f ca="1">IF(select!$K$980="*",Scharniere[[#This Row],[AG Ges2]],Scharniere[[#This Row],[AG Ges1]])</f>
        <v>0</v>
      </c>
      <c r="AE600" s="451">
        <f ca="1">IF(AND(Scharniere[[#This Row],[Scharnierart]]=select!$A$1485,Scharniere[[#This Row],[Gruppenschlüssel]]=select!$B$1485)=TRUE,1,0)</f>
        <v>0</v>
      </c>
      <c r="AF600" s="451">
        <f ca="1">IF(AND(Scharniere[[#This Row],[Scharnierart]]=select!$A$1486,Scharniere[[#This Row],[Gruppenschlüssel]]=select!$B$1486)=TRUE,1,0)</f>
        <v>0</v>
      </c>
      <c r="AG600" s="451">
        <f ca="1">IF(AND(Scharniere[[#This Row],[Scharnierart]]=select!$A$1487,Scharniere[[#This Row],[Gruppenschlüssel]]=select!$B$1487)=TRUE,1,0)</f>
        <v>0</v>
      </c>
      <c r="AH600" s="451">
        <f ca="1">IF(AND(Scharniere[[#This Row],[Scharnierart]]=select!$A$1488,Scharniere[[#This Row],[Gruppenschlüssel]]=select!$B$1488)=TRUE,1,0)</f>
        <v>0</v>
      </c>
      <c r="AI600" s="451">
        <f ca="1">IF(SUM(Scharniere[[#This Row],[konf Scharnier 1]:[konf Scharnier 4]])&gt;0,1,0)</f>
        <v>0</v>
      </c>
      <c r="AJ600" s="451"/>
      <c r="AK600" s="451"/>
      <c r="AL600" s="451"/>
      <c r="AM600" s="451"/>
      <c r="AN600" s="451"/>
      <c r="AO600" s="146">
        <v>1</v>
      </c>
      <c r="AP600" s="146">
        <v>4</v>
      </c>
      <c r="AQ600" s="10" t="str">
        <f ca="1">Sprache!$A$115</f>
        <v>Tiomos Scharnier TT Impresso</v>
      </c>
      <c r="AR600" t="s">
        <v>1949</v>
      </c>
      <c r="AS600" t="str">
        <f ca="1">Sprache!$A$116</f>
        <v>Tiomos Impresso Scharniere</v>
      </c>
      <c r="AT600">
        <v>9.5</v>
      </c>
      <c r="AU600" s="34" t="s">
        <v>9</v>
      </c>
      <c r="AV600">
        <v>95</v>
      </c>
      <c r="AW600" s="10">
        <v>0</v>
      </c>
      <c r="AX600">
        <v>0</v>
      </c>
      <c r="AY600">
        <v>1</v>
      </c>
      <c r="AZ600" s="10">
        <v>0</v>
      </c>
      <c r="BA600">
        <v>0</v>
      </c>
      <c r="BB600">
        <v>0</v>
      </c>
      <c r="BC600">
        <v>1</v>
      </c>
      <c r="BD600" s="143" t="s">
        <v>207</v>
      </c>
      <c r="BG600"/>
    </row>
    <row r="601" spans="1:59" ht="14.25" customHeight="1" x14ac:dyDescent="0.25">
      <c r="A601" s="37" t="str">
        <f>LEFT(Scharniere[[#This Row],[ArtikelNR]],4)</f>
        <v>F035</v>
      </c>
      <c r="B601" s="35" t="str">
        <f>MID(Scharniere[[#This Row],[ArtikelNR]],5,3)</f>
        <v>139</v>
      </c>
      <c r="C601" s="37" t="str">
        <f>RIGHT(Scharniere[[#This Row],[ArtikelNR]],3)</f>
        <v>468</v>
      </c>
      <c r="D601" s="35">
        <f>IF(AND(Scharniere[[#This Row],[Gruppenschlüssel]]=select!$A$44,Scharniere[[#This Row],[Scharnierart]]=1)=TRUE,1,0)</f>
        <v>0</v>
      </c>
      <c r="E6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1" s="35">
        <f>IF(select!$F$57=IF(Scharniere[[#This Row],[mit Dämpfung]]=1,1,IF(Scharniere[[#This Row],[ohne Dämpfung]]=1,2,IF(Scharniere[[#This Row],[ohne Feder]]=1,3,0))),1,0)</f>
        <v>1</v>
      </c>
      <c r="G601" s="35">
        <f>IF(Scharniere[[#This Row],[Bohrbild]]=select!$V$43,1,0)</f>
        <v>0</v>
      </c>
      <c r="H601" s="35">
        <f>IF(IF(Scharniere[[#This Row],[Anschrauben]]=1,1,IF(Scharniere[[#This Row],[Einpressen]]=1,2,IF(Scharniere[[#This Row],[Quick]]=1,3,IF(Scharniere[[#This Row],[Werkzeuglos]]=1,4,0))))=select!$F$48,1,0)</f>
        <v>0</v>
      </c>
      <c r="I6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1" s="149">
        <f>IF(AND(Scharniere[[#This Row],[Scharnierart]]=2,Scharniere[[#This Row],[Gruppenschlüssel]]=select!$A$318)=TRUE,1,0)</f>
        <v>0</v>
      </c>
      <c r="K601" s="221">
        <f ca="1">IF(select!$O$424&lt;6,1,0)</f>
        <v>1</v>
      </c>
      <c r="L601" s="139">
        <f>IF(select!$A$362=IF(Scharniere[[#This Row],[mit Dämpfung]]=1,1,IF(Scharniere[[#This Row],[ohne Dämpfung]]=1,2,IF(Scharniere[[#This Row],[ohne Feder]]=1,3,0))),1,0)</f>
        <v>0</v>
      </c>
      <c r="M601" s="135">
        <f>IF(Scharniere[[#This Row],[Bohrbild]]=select!$O$334,1,0)</f>
        <v>0</v>
      </c>
      <c r="N601" s="135">
        <f>IF(IF(Scharniere[[#This Row],[Anschrauben]]=1,1,IF(Scharniere[[#This Row],[Einpressen]]=1,2,IF(Scharniere[[#This Row],[Quick]]=1,3,IF(Scharniere[[#This Row],[Werkzeuglos]]=1,4,0))))=select!$E$362,1,0)</f>
        <v>0</v>
      </c>
      <c r="O6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1" s="298">
        <f>IF(AND(Scharniere[[#This Row],[Scharnierart]]=3,Scharniere[[#This Row],[Gruppenschlüssel]]=select!$A$747)=TRUE,1,0)</f>
        <v>0</v>
      </c>
      <c r="Q601" s="298">
        <f ca="1">IF(select!$O$945&lt;6,1,0)</f>
        <v>1</v>
      </c>
      <c r="R601" s="298">
        <f>IF(select!$A$778=IF(Scharniere[[#This Row],[mit Dämpfung]]=1,1,IF(Scharniere[[#This Row],[ohne Dämpfung]]=1,2,IF(Scharniere[[#This Row],[ohne Feder]]=1,3,0))),1,0)</f>
        <v>0</v>
      </c>
      <c r="S601" s="298">
        <f>IF(Scharniere[[#This Row],[Bohrbild]]=select!$A$755,1,0)</f>
        <v>0</v>
      </c>
      <c r="T601" s="298">
        <f>IF(IF(Scharniere[[#This Row],[Anschrauben]]=1,1,IF(Scharniere[[#This Row],[Einpressen]]=1,2,IF(Scharniere[[#This Row],[Quick]]=1,3,IF(Scharniere[[#This Row],[Werkzeuglos]]=1,4,0))))=select!$A$769,1,0)</f>
        <v>0</v>
      </c>
      <c r="U6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1" s="359">
        <f>IF(AND(Scharniere[[#This Row],[Scharnierart]]=4,Scharniere[[#This Row],[Gruppenschlüssel]]=select!$A$981)=TRUE,1,0)</f>
        <v>0</v>
      </c>
      <c r="W601" s="359">
        <f ca="1">IF(select!$O$1185&lt;6,1,0)</f>
        <v>1</v>
      </c>
      <c r="X601" s="359">
        <f>IF(select!$A$1012=IF(Scharniere[[#This Row],[mit Dämpfung]]=1,1,IF(Scharniere[[#This Row],[ohne Dämpfung]]=1,2,IF(Scharniere[[#This Row],[ohne Feder]]=1,3,0))),1,0)</f>
        <v>0</v>
      </c>
      <c r="Y601" s="359">
        <f>IF(Scharniere[[#This Row],[Bohrbild]]=select!$A$989,1,0)</f>
        <v>0</v>
      </c>
      <c r="Z601" s="359">
        <f>IF(IF(Scharniere[[#This Row],[Anschrauben]]=1,1,IF(Scharniere[[#This Row],[Einpressen]]=1,2,IF(Scharniere[[#This Row],[Quick]]=1,3,IF(Scharniere[[#This Row],[Werkzeuglos]]=1,4,0))))=select!$A$1003,1,0)</f>
        <v>0</v>
      </c>
      <c r="AA6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1" s="359">
        <f ca="1">IF(select!$K$980="*",Scharniere[[#This Row],[AG Ges2]],Scharniere[[#This Row],[AG Ges1]])</f>
        <v>0</v>
      </c>
      <c r="AE601" s="451">
        <f ca="1">IF(AND(Scharniere[[#This Row],[Scharnierart]]=select!$A$1485,Scharniere[[#This Row],[Gruppenschlüssel]]=select!$B$1485)=TRUE,1,0)</f>
        <v>0</v>
      </c>
      <c r="AF601" s="451">
        <f ca="1">IF(AND(Scharniere[[#This Row],[Scharnierart]]=select!$A$1486,Scharniere[[#This Row],[Gruppenschlüssel]]=select!$B$1486)=TRUE,1,0)</f>
        <v>0</v>
      </c>
      <c r="AG601" s="451">
        <f ca="1">IF(AND(Scharniere[[#This Row],[Scharnierart]]=select!$A$1487,Scharniere[[#This Row],[Gruppenschlüssel]]=select!$B$1487)=TRUE,1,0)</f>
        <v>0</v>
      </c>
      <c r="AH601" s="451">
        <f ca="1">IF(AND(Scharniere[[#This Row],[Scharnierart]]=select!$A$1488,Scharniere[[#This Row],[Gruppenschlüssel]]=select!$B$1488)=TRUE,1,0)</f>
        <v>0</v>
      </c>
      <c r="AI601" s="451">
        <f ca="1">IF(SUM(Scharniere[[#This Row],[konf Scharnier 1]:[konf Scharnier 4]])&gt;0,1,0)</f>
        <v>0</v>
      </c>
      <c r="AJ601" s="451"/>
      <c r="AK601" s="451"/>
      <c r="AL601" s="451"/>
      <c r="AM601" s="451"/>
      <c r="AN601" s="451"/>
      <c r="AO601" s="146">
        <v>1</v>
      </c>
      <c r="AP601" s="146">
        <v>4</v>
      </c>
      <c r="AQ601" s="10" t="str">
        <f ca="1">Sprache!$A$115</f>
        <v>Tiomos Scharnier TT Impresso</v>
      </c>
      <c r="AR601" t="s">
        <v>1949</v>
      </c>
      <c r="AS601" t="str">
        <f ca="1">Sprache!$A$116</f>
        <v>Tiomos Impresso Scharniere</v>
      </c>
      <c r="AT601">
        <v>9.5</v>
      </c>
      <c r="AU601" s="34" t="s">
        <v>3</v>
      </c>
      <c r="AV601">
        <v>95</v>
      </c>
      <c r="AW601" s="10">
        <v>0</v>
      </c>
      <c r="AX601">
        <v>0</v>
      </c>
      <c r="AY601">
        <v>1</v>
      </c>
      <c r="AZ601" s="10">
        <v>0</v>
      </c>
      <c r="BA601">
        <v>0</v>
      </c>
      <c r="BB601">
        <v>0</v>
      </c>
      <c r="BC601">
        <v>1</v>
      </c>
      <c r="BD601" s="143" t="s">
        <v>207</v>
      </c>
      <c r="BG601"/>
    </row>
    <row r="602" spans="1:59" ht="14.25" customHeight="1" x14ac:dyDescent="0.25">
      <c r="A602" s="37" t="str">
        <f>LEFT(Scharniere[[#This Row],[ArtikelNR]],4)</f>
        <v>F045</v>
      </c>
      <c r="B602" s="35" t="str">
        <f>MID(Scharniere[[#This Row],[ArtikelNR]],5,3)</f>
        <v>138</v>
      </c>
      <c r="C602" s="37" t="str">
        <f>RIGHT(Scharniere[[#This Row],[ArtikelNR]],3)</f>
        <v>693</v>
      </c>
      <c r="D602" s="35">
        <f>IF(AND(Scharniere[[#This Row],[Gruppenschlüssel]]=select!$A$44,Scharniere[[#This Row],[Scharnierart]]=1)=TRUE,1,0)</f>
        <v>0</v>
      </c>
      <c r="E6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2" s="35">
        <f>IF(select!$F$57=IF(Scharniere[[#This Row],[mit Dämpfung]]=1,1,IF(Scharniere[[#This Row],[ohne Dämpfung]]=1,2,IF(Scharniere[[#This Row],[ohne Feder]]=1,3,0))),1,0)</f>
        <v>0</v>
      </c>
      <c r="G602" s="35">
        <f>IF(Scharniere[[#This Row],[Bohrbild]]=select!$V$43,1,0)</f>
        <v>0</v>
      </c>
      <c r="H602" s="35">
        <f>IF(IF(Scharniere[[#This Row],[Anschrauben]]=1,1,IF(Scharniere[[#This Row],[Einpressen]]=1,2,IF(Scharniere[[#This Row],[Quick]]=1,3,IF(Scharniere[[#This Row],[Werkzeuglos]]=1,4,0))))=select!$F$48,1,0)</f>
        <v>1</v>
      </c>
      <c r="I6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2" s="149">
        <f>IF(AND(Scharniere[[#This Row],[Scharnierart]]=2,Scharniere[[#This Row],[Gruppenschlüssel]]=select!$A$318)=TRUE,1,0)</f>
        <v>0</v>
      </c>
      <c r="K602" s="221">
        <f ca="1">IF(select!$O$424&lt;6,1,0)</f>
        <v>1</v>
      </c>
      <c r="L602" s="139">
        <f>IF(select!$A$362=IF(Scharniere[[#This Row],[mit Dämpfung]]=1,1,IF(Scharniere[[#This Row],[ohne Dämpfung]]=1,2,IF(Scharniere[[#This Row],[ohne Feder]]=1,3,0))),1,0)</f>
        <v>0</v>
      </c>
      <c r="M602" s="135">
        <f>IF(Scharniere[[#This Row],[Bohrbild]]=select!$O$334,1,0)</f>
        <v>0</v>
      </c>
      <c r="N602" s="135">
        <f>IF(IF(Scharniere[[#This Row],[Anschrauben]]=1,1,IF(Scharniere[[#This Row],[Einpressen]]=1,2,IF(Scharniere[[#This Row],[Quick]]=1,3,IF(Scharniere[[#This Row],[Werkzeuglos]]=1,4,0))))=select!$E$362,1,0)</f>
        <v>0</v>
      </c>
      <c r="O6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2" s="298">
        <f>IF(AND(Scharniere[[#This Row],[Scharnierart]]=3,Scharniere[[#This Row],[Gruppenschlüssel]]=select!$A$747)=TRUE,1,0)</f>
        <v>0</v>
      </c>
      <c r="Q602" s="298">
        <f ca="1">IF(select!$O$945&lt;6,1,0)</f>
        <v>1</v>
      </c>
      <c r="R602" s="298">
        <f>IF(select!$A$778=IF(Scharniere[[#This Row],[mit Dämpfung]]=1,1,IF(Scharniere[[#This Row],[ohne Dämpfung]]=1,2,IF(Scharniere[[#This Row],[ohne Feder]]=1,3,0))),1,0)</f>
        <v>1</v>
      </c>
      <c r="S602" s="298">
        <f>IF(Scharniere[[#This Row],[Bohrbild]]=select!$A$755,1,0)</f>
        <v>0</v>
      </c>
      <c r="T602" s="298">
        <f>IF(IF(Scharniere[[#This Row],[Anschrauben]]=1,1,IF(Scharniere[[#This Row],[Einpressen]]=1,2,IF(Scharniere[[#This Row],[Quick]]=1,3,IF(Scharniere[[#This Row],[Werkzeuglos]]=1,4,0))))=select!$A$769,1,0)</f>
        <v>0</v>
      </c>
      <c r="U6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2" s="359">
        <f>IF(AND(Scharniere[[#This Row],[Scharnierart]]=4,Scharniere[[#This Row],[Gruppenschlüssel]]=select!$A$981)=TRUE,1,0)</f>
        <v>0</v>
      </c>
      <c r="W602" s="359">
        <f ca="1">IF(select!$O$1185&lt;6,1,0)</f>
        <v>1</v>
      </c>
      <c r="X602" s="359">
        <f>IF(select!$A$1012=IF(Scharniere[[#This Row],[mit Dämpfung]]=1,1,IF(Scharniere[[#This Row],[ohne Dämpfung]]=1,2,IF(Scharniere[[#This Row],[ohne Feder]]=1,3,0))),1,0)</f>
        <v>1</v>
      </c>
      <c r="Y602" s="359">
        <f>IF(Scharniere[[#This Row],[Bohrbild]]=select!$A$989,1,0)</f>
        <v>0</v>
      </c>
      <c r="Z602" s="359">
        <f>IF(IF(Scharniere[[#This Row],[Anschrauben]]=1,1,IF(Scharniere[[#This Row],[Einpressen]]=1,2,IF(Scharniere[[#This Row],[Quick]]=1,3,IF(Scharniere[[#This Row],[Werkzeuglos]]=1,4,0))))=select!$A$1003,1,0)</f>
        <v>0</v>
      </c>
      <c r="AA6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2" s="359">
        <f ca="1">IF(select!$K$980="*",Scharniere[[#This Row],[AG Ges2]],Scharniere[[#This Row],[AG Ges1]])</f>
        <v>0</v>
      </c>
      <c r="AE602" s="451">
        <f ca="1">IF(AND(Scharniere[[#This Row],[Scharnierart]]=select!$A$1485,Scharniere[[#This Row],[Gruppenschlüssel]]=select!$B$1485)=TRUE,1,0)</f>
        <v>0</v>
      </c>
      <c r="AF602" s="451">
        <f ca="1">IF(AND(Scharniere[[#This Row],[Scharnierart]]=select!$A$1486,Scharniere[[#This Row],[Gruppenschlüssel]]=select!$B$1486)=TRUE,1,0)</f>
        <v>0</v>
      </c>
      <c r="AG602" s="451">
        <f ca="1">IF(AND(Scharniere[[#This Row],[Scharnierart]]=select!$A$1487,Scharniere[[#This Row],[Gruppenschlüssel]]=select!$B$1487)=TRUE,1,0)</f>
        <v>0</v>
      </c>
      <c r="AH602" s="451">
        <f ca="1">IF(AND(Scharniere[[#This Row],[Scharnierart]]=select!$A$1488,Scharniere[[#This Row],[Gruppenschlüssel]]=select!$B$1488)=TRUE,1,0)</f>
        <v>0</v>
      </c>
      <c r="AI602" s="451">
        <f ca="1">IF(SUM(Scharniere[[#This Row],[konf Scharnier 1]:[konf Scharnier 4]])&gt;0,1,0)</f>
        <v>0</v>
      </c>
      <c r="AJ602" s="451"/>
      <c r="AK602" s="451"/>
      <c r="AL602" s="451"/>
      <c r="AM602" s="451"/>
      <c r="AN602" s="451"/>
      <c r="AO602" s="146">
        <v>1</v>
      </c>
      <c r="AP602" s="146">
        <v>4</v>
      </c>
      <c r="AQ602" s="10" t="str">
        <f ca="1">Sprache!$A$110</f>
        <v>Tiomos Scharnier T Click-on</v>
      </c>
      <c r="AR602" t="str">
        <f ca="1">"95°, H-BB, K9.5, "&amp;Sprache!A181&amp;", ni"</f>
        <v>95°, H-BB, K9.5, Dübel, ni</v>
      </c>
      <c r="AS602" t="str">
        <f ca="1">Sprache!$A$103</f>
        <v>Tiomos Click-On Scharniere</v>
      </c>
      <c r="AT602">
        <v>9.5</v>
      </c>
      <c r="AU602" s="34" t="s">
        <v>10</v>
      </c>
      <c r="AV602">
        <v>95</v>
      </c>
      <c r="AW602" s="10">
        <v>0</v>
      </c>
      <c r="AX602">
        <v>1</v>
      </c>
      <c r="AY602">
        <v>0</v>
      </c>
      <c r="AZ602" s="10">
        <v>0</v>
      </c>
      <c r="BA602">
        <v>1</v>
      </c>
      <c r="BB602">
        <v>0</v>
      </c>
      <c r="BC602">
        <v>0</v>
      </c>
      <c r="BD602" s="143" t="s">
        <v>540</v>
      </c>
      <c r="BG602"/>
    </row>
    <row r="603" spans="1:59" ht="14.25" customHeight="1" x14ac:dyDescent="0.25">
      <c r="A603" s="37" t="str">
        <f>LEFT(Scharniere[[#This Row],[ArtikelNR]],4)</f>
        <v>F028</v>
      </c>
      <c r="B603" s="35" t="str">
        <f>MID(Scharniere[[#This Row],[ArtikelNR]],5,3)</f>
        <v>138</v>
      </c>
      <c r="C603" s="37" t="str">
        <f>RIGHT(Scharniere[[#This Row],[ArtikelNR]],3)</f>
        <v>755</v>
      </c>
      <c r="D603" s="35">
        <f>IF(AND(Scharniere[[#This Row],[Gruppenschlüssel]]=select!$A$44,Scharniere[[#This Row],[Scharnierart]]=1)=TRUE,1,0)</f>
        <v>0</v>
      </c>
      <c r="E6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3" s="35">
        <f>IF(select!$F$57=IF(Scharniere[[#This Row],[mit Dämpfung]]=1,1,IF(Scharniere[[#This Row],[ohne Dämpfung]]=1,2,IF(Scharniere[[#This Row],[ohne Feder]]=1,3,0))),1,0)</f>
        <v>0</v>
      </c>
      <c r="G603" s="35">
        <f>IF(Scharniere[[#This Row],[Bohrbild]]=select!$V$43,1,0)</f>
        <v>0</v>
      </c>
      <c r="H603" s="35">
        <f>IF(IF(Scharniere[[#This Row],[Anschrauben]]=1,1,IF(Scharniere[[#This Row],[Einpressen]]=1,2,IF(Scharniere[[#This Row],[Quick]]=1,3,IF(Scharniere[[#This Row],[Werkzeuglos]]=1,4,0))))=select!$F$48,1,0)</f>
        <v>1</v>
      </c>
      <c r="I6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3" s="149">
        <f>IF(AND(Scharniere[[#This Row],[Scharnierart]]=2,Scharniere[[#This Row],[Gruppenschlüssel]]=select!$A$318)=TRUE,1,0)</f>
        <v>0</v>
      </c>
      <c r="K603" s="221">
        <f ca="1">IF(select!$O$424&lt;6,1,0)</f>
        <v>1</v>
      </c>
      <c r="L603" s="139">
        <f>IF(select!$A$362=IF(Scharniere[[#This Row],[mit Dämpfung]]=1,1,IF(Scharniere[[#This Row],[ohne Dämpfung]]=1,2,IF(Scharniere[[#This Row],[ohne Feder]]=1,3,0))),1,0)</f>
        <v>1</v>
      </c>
      <c r="M603" s="135">
        <f>IF(Scharniere[[#This Row],[Bohrbild]]=select!$O$334,1,0)</f>
        <v>0</v>
      </c>
      <c r="N603" s="135">
        <f>IF(IF(Scharniere[[#This Row],[Anschrauben]]=1,1,IF(Scharniere[[#This Row],[Einpressen]]=1,2,IF(Scharniere[[#This Row],[Quick]]=1,3,IF(Scharniere[[#This Row],[Werkzeuglos]]=1,4,0))))=select!$E$362,1,0)</f>
        <v>0</v>
      </c>
      <c r="O6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3" s="298">
        <f>IF(AND(Scharniere[[#This Row],[Scharnierart]]=3,Scharniere[[#This Row],[Gruppenschlüssel]]=select!$A$747)=TRUE,1,0)</f>
        <v>0</v>
      </c>
      <c r="Q603" s="298">
        <f ca="1">IF(select!$O$945&lt;6,1,0)</f>
        <v>1</v>
      </c>
      <c r="R603" s="298">
        <f>IF(select!$A$778=IF(Scharniere[[#This Row],[mit Dämpfung]]=1,1,IF(Scharniere[[#This Row],[ohne Dämpfung]]=1,2,IF(Scharniere[[#This Row],[ohne Feder]]=1,3,0))),1,0)</f>
        <v>0</v>
      </c>
      <c r="S603" s="298">
        <f>IF(Scharniere[[#This Row],[Bohrbild]]=select!$A$755,1,0)</f>
        <v>0</v>
      </c>
      <c r="T603" s="298">
        <f>IF(IF(Scharniere[[#This Row],[Anschrauben]]=1,1,IF(Scharniere[[#This Row],[Einpressen]]=1,2,IF(Scharniere[[#This Row],[Quick]]=1,3,IF(Scharniere[[#This Row],[Werkzeuglos]]=1,4,0))))=select!$A$769,1,0)</f>
        <v>0</v>
      </c>
      <c r="U6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3" s="359">
        <f>IF(AND(Scharniere[[#This Row],[Scharnierart]]=4,Scharniere[[#This Row],[Gruppenschlüssel]]=select!$A$981)=TRUE,1,0)</f>
        <v>0</v>
      </c>
      <c r="W603" s="359">
        <f ca="1">IF(select!$O$1185&lt;6,1,0)</f>
        <v>1</v>
      </c>
      <c r="X603" s="359">
        <f>IF(select!$A$1012=IF(Scharniere[[#This Row],[mit Dämpfung]]=1,1,IF(Scharniere[[#This Row],[ohne Dämpfung]]=1,2,IF(Scharniere[[#This Row],[ohne Feder]]=1,3,0))),1,0)</f>
        <v>0</v>
      </c>
      <c r="Y603" s="359">
        <f>IF(Scharniere[[#This Row],[Bohrbild]]=select!$A$989,1,0)</f>
        <v>0</v>
      </c>
      <c r="Z603" s="359">
        <f>IF(IF(Scharniere[[#This Row],[Anschrauben]]=1,1,IF(Scharniere[[#This Row],[Einpressen]]=1,2,IF(Scharniere[[#This Row],[Quick]]=1,3,IF(Scharniere[[#This Row],[Werkzeuglos]]=1,4,0))))=select!$A$1003,1,0)</f>
        <v>0</v>
      </c>
      <c r="AA6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3" s="359">
        <f ca="1">IF(select!$K$980="*",Scharniere[[#This Row],[AG Ges2]],Scharniere[[#This Row],[AG Ges1]])</f>
        <v>0</v>
      </c>
      <c r="AE603" s="451">
        <f ca="1">IF(AND(Scharniere[[#This Row],[Scharnierart]]=select!$A$1485,Scharniere[[#This Row],[Gruppenschlüssel]]=select!$B$1485)=TRUE,1,0)</f>
        <v>0</v>
      </c>
      <c r="AF603" s="451">
        <f ca="1">IF(AND(Scharniere[[#This Row],[Scharnierart]]=select!$A$1486,Scharniere[[#This Row],[Gruppenschlüssel]]=select!$B$1486)=TRUE,1,0)</f>
        <v>0</v>
      </c>
      <c r="AG603" s="451">
        <f ca="1">IF(AND(Scharniere[[#This Row],[Scharnierart]]=select!$A$1487,Scharniere[[#This Row],[Gruppenschlüssel]]=select!$B$1487)=TRUE,1,0)</f>
        <v>0</v>
      </c>
      <c r="AH603" s="451">
        <f ca="1">IF(AND(Scharniere[[#This Row],[Scharnierart]]=select!$A$1488,Scharniere[[#This Row],[Gruppenschlüssel]]=select!$B$1488)=TRUE,1,0)</f>
        <v>0</v>
      </c>
      <c r="AI603" s="451">
        <f ca="1">IF(SUM(Scharniere[[#This Row],[konf Scharnier 1]:[konf Scharnier 4]])&gt;0,1,0)</f>
        <v>0</v>
      </c>
      <c r="AJ603" s="451"/>
      <c r="AK603" s="451"/>
      <c r="AL603" s="451"/>
      <c r="AM603" s="451"/>
      <c r="AN603" s="451"/>
      <c r="AO603" s="146">
        <v>1</v>
      </c>
      <c r="AP603" s="146">
        <v>4</v>
      </c>
      <c r="AQ603" s="10" t="str">
        <f ca="1">Sprache!$A$112</f>
        <v>Tiomos Scharnier TS Click-on</v>
      </c>
      <c r="AR603" t="str">
        <f ca="1">"95°, H-BB, K9.5, "&amp;Sprache!A181&amp;", ni"</f>
        <v>95°, H-BB, K9.5, Dübel, ni</v>
      </c>
      <c r="AS603" t="str">
        <f ca="1">Sprache!$A$103</f>
        <v>Tiomos Click-On Scharniere</v>
      </c>
      <c r="AT603">
        <v>9.5</v>
      </c>
      <c r="AU603" s="34" t="s">
        <v>10</v>
      </c>
      <c r="AV603">
        <v>95</v>
      </c>
      <c r="AW603" s="10">
        <v>1</v>
      </c>
      <c r="AX603">
        <v>0</v>
      </c>
      <c r="AY603">
        <v>0</v>
      </c>
      <c r="AZ603" s="10">
        <v>0</v>
      </c>
      <c r="BA603">
        <v>1</v>
      </c>
      <c r="BB603">
        <v>0</v>
      </c>
      <c r="BC603">
        <v>0</v>
      </c>
      <c r="BD603" s="143" t="s">
        <v>377</v>
      </c>
      <c r="BG603"/>
    </row>
    <row r="604" spans="1:59" ht="14.25" customHeight="1" x14ac:dyDescent="0.25">
      <c r="A604" s="37" t="str">
        <f>LEFT(Scharniere[[#This Row],[ArtikelNR]],4)</f>
        <v>F046</v>
      </c>
      <c r="B604" s="35" t="str">
        <f>MID(Scharniere[[#This Row],[ArtikelNR]],5,3)</f>
        <v>138</v>
      </c>
      <c r="C604" s="37" t="str">
        <f>RIGHT(Scharniere[[#This Row],[ArtikelNR]],3)</f>
        <v>815</v>
      </c>
      <c r="D604" s="35">
        <f>IF(AND(Scharniere[[#This Row],[Gruppenschlüssel]]=select!$A$44,Scharniere[[#This Row],[Scharnierart]]=1)=TRUE,1,0)</f>
        <v>0</v>
      </c>
      <c r="E6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4" s="35">
        <f>IF(select!$F$57=IF(Scharniere[[#This Row],[mit Dämpfung]]=1,1,IF(Scharniere[[#This Row],[ohne Dämpfung]]=1,2,IF(Scharniere[[#This Row],[ohne Feder]]=1,3,0))),1,0)</f>
        <v>1</v>
      </c>
      <c r="G604" s="35">
        <f>IF(Scharniere[[#This Row],[Bohrbild]]=select!$V$43,1,0)</f>
        <v>0</v>
      </c>
      <c r="H604" s="35">
        <f>IF(IF(Scharniere[[#This Row],[Anschrauben]]=1,1,IF(Scharniere[[#This Row],[Einpressen]]=1,2,IF(Scharniere[[#This Row],[Quick]]=1,3,IF(Scharniere[[#This Row],[Werkzeuglos]]=1,4,0))))=select!$F$48,1,0)</f>
        <v>1</v>
      </c>
      <c r="I6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4" s="149">
        <f>IF(AND(Scharniere[[#This Row],[Scharnierart]]=2,Scharniere[[#This Row],[Gruppenschlüssel]]=select!$A$318)=TRUE,1,0)</f>
        <v>0</v>
      </c>
      <c r="K604" s="221">
        <f ca="1">IF(select!$O$424&lt;6,1,0)</f>
        <v>1</v>
      </c>
      <c r="L604" s="139">
        <f>IF(select!$A$362=IF(Scharniere[[#This Row],[mit Dämpfung]]=1,1,IF(Scharniere[[#This Row],[ohne Dämpfung]]=1,2,IF(Scharniere[[#This Row],[ohne Feder]]=1,3,0))),1,0)</f>
        <v>0</v>
      </c>
      <c r="M604" s="135">
        <f>IF(Scharniere[[#This Row],[Bohrbild]]=select!$O$334,1,0)</f>
        <v>0</v>
      </c>
      <c r="N604" s="135">
        <f>IF(IF(Scharniere[[#This Row],[Anschrauben]]=1,1,IF(Scharniere[[#This Row],[Einpressen]]=1,2,IF(Scharniere[[#This Row],[Quick]]=1,3,IF(Scharniere[[#This Row],[Werkzeuglos]]=1,4,0))))=select!$E$362,1,0)</f>
        <v>0</v>
      </c>
      <c r="O6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4" s="298">
        <f>IF(AND(Scharniere[[#This Row],[Scharnierart]]=3,Scharniere[[#This Row],[Gruppenschlüssel]]=select!$A$747)=TRUE,1,0)</f>
        <v>0</v>
      </c>
      <c r="Q604" s="298">
        <f ca="1">IF(select!$O$945&lt;6,1,0)</f>
        <v>1</v>
      </c>
      <c r="R604" s="298">
        <f>IF(select!$A$778=IF(Scharniere[[#This Row],[mit Dämpfung]]=1,1,IF(Scharniere[[#This Row],[ohne Dämpfung]]=1,2,IF(Scharniere[[#This Row],[ohne Feder]]=1,3,0))),1,0)</f>
        <v>0</v>
      </c>
      <c r="S604" s="298">
        <f>IF(Scharniere[[#This Row],[Bohrbild]]=select!$A$755,1,0)</f>
        <v>0</v>
      </c>
      <c r="T604" s="298">
        <f>IF(IF(Scharniere[[#This Row],[Anschrauben]]=1,1,IF(Scharniere[[#This Row],[Einpressen]]=1,2,IF(Scharniere[[#This Row],[Quick]]=1,3,IF(Scharniere[[#This Row],[Werkzeuglos]]=1,4,0))))=select!$A$769,1,0)</f>
        <v>0</v>
      </c>
      <c r="U6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4" s="359">
        <f>IF(AND(Scharniere[[#This Row],[Scharnierart]]=4,Scharniere[[#This Row],[Gruppenschlüssel]]=select!$A$981)=TRUE,1,0)</f>
        <v>0</v>
      </c>
      <c r="W604" s="359">
        <f ca="1">IF(select!$O$1185&lt;6,1,0)</f>
        <v>1</v>
      </c>
      <c r="X604" s="359">
        <f>IF(select!$A$1012=IF(Scharniere[[#This Row],[mit Dämpfung]]=1,1,IF(Scharniere[[#This Row],[ohne Dämpfung]]=1,2,IF(Scharniere[[#This Row],[ohne Feder]]=1,3,0))),1,0)</f>
        <v>0</v>
      </c>
      <c r="Y604" s="359">
        <f>IF(Scharniere[[#This Row],[Bohrbild]]=select!$A$989,1,0)</f>
        <v>0</v>
      </c>
      <c r="Z604" s="359">
        <f>IF(IF(Scharniere[[#This Row],[Anschrauben]]=1,1,IF(Scharniere[[#This Row],[Einpressen]]=1,2,IF(Scharniere[[#This Row],[Quick]]=1,3,IF(Scharniere[[#This Row],[Werkzeuglos]]=1,4,0))))=select!$A$1003,1,0)</f>
        <v>0</v>
      </c>
      <c r="AA6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4" s="359">
        <f ca="1">IF(select!$K$980="*",Scharniere[[#This Row],[AG Ges2]],Scharniere[[#This Row],[AG Ges1]])</f>
        <v>0</v>
      </c>
      <c r="AE604" s="451">
        <f ca="1">IF(AND(Scharniere[[#This Row],[Scharnierart]]=select!$A$1485,Scharniere[[#This Row],[Gruppenschlüssel]]=select!$B$1485)=TRUE,1,0)</f>
        <v>0</v>
      </c>
      <c r="AF604" s="451">
        <f ca="1">IF(AND(Scharniere[[#This Row],[Scharnierart]]=select!$A$1486,Scharniere[[#This Row],[Gruppenschlüssel]]=select!$B$1486)=TRUE,1,0)</f>
        <v>0</v>
      </c>
      <c r="AG604" s="451">
        <f ca="1">IF(AND(Scharniere[[#This Row],[Scharnierart]]=select!$A$1487,Scharniere[[#This Row],[Gruppenschlüssel]]=select!$B$1487)=TRUE,1,0)</f>
        <v>0</v>
      </c>
      <c r="AH604" s="451">
        <f ca="1">IF(AND(Scharniere[[#This Row],[Scharnierart]]=select!$A$1488,Scharniere[[#This Row],[Gruppenschlüssel]]=select!$B$1488)=TRUE,1,0)</f>
        <v>0</v>
      </c>
      <c r="AI604" s="451">
        <f ca="1">IF(SUM(Scharniere[[#This Row],[konf Scharnier 1]:[konf Scharnier 4]])&gt;0,1,0)</f>
        <v>0</v>
      </c>
      <c r="AJ604" s="451"/>
      <c r="AK604" s="451"/>
      <c r="AL604" s="451"/>
      <c r="AM604" s="451"/>
      <c r="AN604" s="451"/>
      <c r="AO604" s="146">
        <v>1</v>
      </c>
      <c r="AP604" s="146">
        <v>4</v>
      </c>
      <c r="AQ604" s="10" t="str">
        <f ca="1">Sprache!$A$114</f>
        <v>Tiomos Scharnier TT Click-on</v>
      </c>
      <c r="AR604" t="str">
        <f ca="1">"95°, H-BB, K9.5, "&amp;Sprache!A181&amp;", ni"</f>
        <v>95°, H-BB, K9.5, Dübel, ni</v>
      </c>
      <c r="AS604" t="str">
        <f ca="1">Sprache!$A$103</f>
        <v>Tiomos Click-On Scharniere</v>
      </c>
      <c r="AT604">
        <v>9.5</v>
      </c>
      <c r="AU604" t="s">
        <v>10</v>
      </c>
      <c r="AV604">
        <v>95</v>
      </c>
      <c r="AW604" s="10">
        <v>0</v>
      </c>
      <c r="AX604">
        <v>0</v>
      </c>
      <c r="AY604">
        <v>1</v>
      </c>
      <c r="AZ604" s="10">
        <v>0</v>
      </c>
      <c r="BA604">
        <v>1</v>
      </c>
      <c r="BB604">
        <v>0</v>
      </c>
      <c r="BC604">
        <v>0</v>
      </c>
      <c r="BD604" s="143" t="s">
        <v>692</v>
      </c>
      <c r="BG604"/>
    </row>
    <row r="605" spans="1:59" ht="14.25" customHeight="1" x14ac:dyDescent="0.25">
      <c r="A605" s="37" t="str">
        <f>LEFT(Scharniere[[#This Row],[ArtikelNR]],4)</f>
        <v>F045</v>
      </c>
      <c r="B605" s="35" t="str">
        <f>MID(Scharniere[[#This Row],[ArtikelNR]],5,3)</f>
        <v>138</v>
      </c>
      <c r="C605" s="37" t="str">
        <f>RIGHT(Scharniere[[#This Row],[ArtikelNR]],3)</f>
        <v>689</v>
      </c>
      <c r="D605" s="35">
        <f>IF(AND(Scharniere[[#This Row],[Gruppenschlüssel]]=select!$A$44,Scharniere[[#This Row],[Scharnierart]]=1)=TRUE,1,0)</f>
        <v>0</v>
      </c>
      <c r="E6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5" s="35">
        <f>IF(select!$F$57=IF(Scharniere[[#This Row],[mit Dämpfung]]=1,1,IF(Scharniere[[#This Row],[ohne Dämpfung]]=1,2,IF(Scharniere[[#This Row],[ohne Feder]]=1,3,0))),1,0)</f>
        <v>0</v>
      </c>
      <c r="G605" s="35">
        <f>IF(Scharniere[[#This Row],[Bohrbild]]=select!$V$43,1,0)</f>
        <v>0</v>
      </c>
      <c r="H605" s="35">
        <f>IF(IF(Scharniere[[#This Row],[Anschrauben]]=1,1,IF(Scharniere[[#This Row],[Einpressen]]=1,2,IF(Scharniere[[#This Row],[Quick]]=1,3,IF(Scharniere[[#This Row],[Werkzeuglos]]=1,4,0))))=select!$F$48,1,0)</f>
        <v>0</v>
      </c>
      <c r="I6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5" s="149">
        <f>IF(AND(Scharniere[[#This Row],[Scharnierart]]=2,Scharniere[[#This Row],[Gruppenschlüssel]]=select!$A$318)=TRUE,1,0)</f>
        <v>0</v>
      </c>
      <c r="K605" s="221">
        <f ca="1">IF(select!$O$424&lt;6,1,0)</f>
        <v>1</v>
      </c>
      <c r="L605" s="139">
        <f>IF(select!$A$362=IF(Scharniere[[#This Row],[mit Dämpfung]]=1,1,IF(Scharniere[[#This Row],[ohne Dämpfung]]=1,2,IF(Scharniere[[#This Row],[ohne Feder]]=1,3,0))),1,0)</f>
        <v>0</v>
      </c>
      <c r="M605" s="135">
        <f>IF(Scharniere[[#This Row],[Bohrbild]]=select!$O$334,1,0)</f>
        <v>0</v>
      </c>
      <c r="N605" s="135">
        <f>IF(IF(Scharniere[[#This Row],[Anschrauben]]=1,1,IF(Scharniere[[#This Row],[Einpressen]]=1,2,IF(Scharniere[[#This Row],[Quick]]=1,3,IF(Scharniere[[#This Row],[Werkzeuglos]]=1,4,0))))=select!$E$362,1,0)</f>
        <v>1</v>
      </c>
      <c r="O6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5" s="298">
        <f>IF(AND(Scharniere[[#This Row],[Scharnierart]]=3,Scharniere[[#This Row],[Gruppenschlüssel]]=select!$A$747)=TRUE,1,0)</f>
        <v>0</v>
      </c>
      <c r="Q605" s="298">
        <f ca="1">IF(select!$O$945&lt;6,1,0)</f>
        <v>1</v>
      </c>
      <c r="R605" s="298">
        <f>IF(select!$A$778=IF(Scharniere[[#This Row],[mit Dämpfung]]=1,1,IF(Scharniere[[#This Row],[ohne Dämpfung]]=1,2,IF(Scharniere[[#This Row],[ohne Feder]]=1,3,0))),1,0)</f>
        <v>1</v>
      </c>
      <c r="S605" s="298">
        <f>IF(Scharniere[[#This Row],[Bohrbild]]=select!$A$755,1,0)</f>
        <v>0</v>
      </c>
      <c r="T605" s="298">
        <f>IF(IF(Scharniere[[#This Row],[Anschrauben]]=1,1,IF(Scharniere[[#This Row],[Einpressen]]=1,2,IF(Scharniere[[#This Row],[Quick]]=1,3,IF(Scharniere[[#This Row],[Werkzeuglos]]=1,4,0))))=select!$A$769,1,0)</f>
        <v>1</v>
      </c>
      <c r="U6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5" s="359">
        <f>IF(AND(Scharniere[[#This Row],[Scharnierart]]=4,Scharniere[[#This Row],[Gruppenschlüssel]]=select!$A$981)=TRUE,1,0)</f>
        <v>0</v>
      </c>
      <c r="W605" s="359">
        <f ca="1">IF(select!$O$1185&lt;6,1,0)</f>
        <v>1</v>
      </c>
      <c r="X605" s="359">
        <f>IF(select!$A$1012=IF(Scharniere[[#This Row],[mit Dämpfung]]=1,1,IF(Scharniere[[#This Row],[ohne Dämpfung]]=1,2,IF(Scharniere[[#This Row],[ohne Feder]]=1,3,0))),1,0)</f>
        <v>1</v>
      </c>
      <c r="Y605" s="359">
        <f>IF(Scharniere[[#This Row],[Bohrbild]]=select!$A$989,1,0)</f>
        <v>0</v>
      </c>
      <c r="Z605" s="359">
        <f>IF(IF(Scharniere[[#This Row],[Anschrauben]]=1,1,IF(Scharniere[[#This Row],[Einpressen]]=1,2,IF(Scharniere[[#This Row],[Quick]]=1,3,IF(Scharniere[[#This Row],[Werkzeuglos]]=1,4,0))))=select!$A$1003,1,0)</f>
        <v>1</v>
      </c>
      <c r="AA6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5" s="359">
        <f ca="1">IF(select!$K$980="*",Scharniere[[#This Row],[AG Ges2]],Scharniere[[#This Row],[AG Ges1]])</f>
        <v>0</v>
      </c>
      <c r="AE605" s="451">
        <f ca="1">IF(AND(Scharniere[[#This Row],[Scharnierart]]=select!$A$1485,Scharniere[[#This Row],[Gruppenschlüssel]]=select!$B$1485)=TRUE,1,0)</f>
        <v>0</v>
      </c>
      <c r="AF605" s="451">
        <f ca="1">IF(AND(Scharniere[[#This Row],[Scharnierart]]=select!$A$1486,Scharniere[[#This Row],[Gruppenschlüssel]]=select!$B$1486)=TRUE,1,0)</f>
        <v>0</v>
      </c>
      <c r="AG605" s="451">
        <f ca="1">IF(AND(Scharniere[[#This Row],[Scharnierart]]=select!$A$1487,Scharniere[[#This Row],[Gruppenschlüssel]]=select!$B$1487)=TRUE,1,0)</f>
        <v>0</v>
      </c>
      <c r="AH605" s="451">
        <f ca="1">IF(AND(Scharniere[[#This Row],[Scharnierart]]=select!$A$1488,Scharniere[[#This Row],[Gruppenschlüssel]]=select!$B$1488)=TRUE,1,0)</f>
        <v>0</v>
      </c>
      <c r="AI605" s="451">
        <f ca="1">IF(SUM(Scharniere[[#This Row],[konf Scharnier 1]:[konf Scharnier 4]])&gt;0,1,0)</f>
        <v>0</v>
      </c>
      <c r="AJ605" s="451"/>
      <c r="AK605" s="451"/>
      <c r="AL605" s="451"/>
      <c r="AM605" s="451"/>
      <c r="AN605" s="451"/>
      <c r="AO605" s="146">
        <v>1</v>
      </c>
      <c r="AP605" s="146">
        <v>4</v>
      </c>
      <c r="AQ605" s="10" t="str">
        <f ca="1">Sprache!$A$110</f>
        <v>Tiomos Scharnier T Click-on</v>
      </c>
      <c r="AR605" t="s">
        <v>1950</v>
      </c>
      <c r="AS605" t="str">
        <f ca="1">Sprache!$A$103</f>
        <v>Tiomos Click-On Scharniere</v>
      </c>
      <c r="AT605">
        <v>9.5</v>
      </c>
      <c r="AU605" s="34" t="s">
        <v>10</v>
      </c>
      <c r="AV605">
        <v>95</v>
      </c>
      <c r="AW605" s="10">
        <v>0</v>
      </c>
      <c r="AX605">
        <v>1</v>
      </c>
      <c r="AY605">
        <v>0</v>
      </c>
      <c r="AZ605" s="10">
        <v>1</v>
      </c>
      <c r="BA605">
        <v>0</v>
      </c>
      <c r="BB605">
        <v>0</v>
      </c>
      <c r="BC605">
        <v>0</v>
      </c>
      <c r="BD605" s="143" t="s">
        <v>536</v>
      </c>
      <c r="BG605"/>
    </row>
    <row r="606" spans="1:59" ht="14.25" customHeight="1" x14ac:dyDescent="0.25">
      <c r="A606" s="37" t="str">
        <f>LEFT(Scharniere[[#This Row],[ArtikelNR]],4)</f>
        <v>F028</v>
      </c>
      <c r="B606" s="35" t="str">
        <f>MID(Scharniere[[#This Row],[ArtikelNR]],5,3)</f>
        <v>138</v>
      </c>
      <c r="C606" s="37" t="str">
        <f>RIGHT(Scharniere[[#This Row],[ArtikelNR]],3)</f>
        <v>751</v>
      </c>
      <c r="D606" s="35">
        <f>IF(AND(Scharniere[[#This Row],[Gruppenschlüssel]]=select!$A$44,Scharniere[[#This Row],[Scharnierart]]=1)=TRUE,1,0)</f>
        <v>0</v>
      </c>
      <c r="E6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6" s="35">
        <f>IF(select!$F$57=IF(Scharniere[[#This Row],[mit Dämpfung]]=1,1,IF(Scharniere[[#This Row],[ohne Dämpfung]]=1,2,IF(Scharniere[[#This Row],[ohne Feder]]=1,3,0))),1,0)</f>
        <v>0</v>
      </c>
      <c r="G606" s="35">
        <f>IF(Scharniere[[#This Row],[Bohrbild]]=select!$V$43,1,0)</f>
        <v>0</v>
      </c>
      <c r="H606" s="35">
        <f>IF(IF(Scharniere[[#This Row],[Anschrauben]]=1,1,IF(Scharniere[[#This Row],[Einpressen]]=1,2,IF(Scharniere[[#This Row],[Quick]]=1,3,IF(Scharniere[[#This Row],[Werkzeuglos]]=1,4,0))))=select!$F$48,1,0)</f>
        <v>0</v>
      </c>
      <c r="I6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6" s="149">
        <f>IF(AND(Scharniere[[#This Row],[Scharnierart]]=2,Scharniere[[#This Row],[Gruppenschlüssel]]=select!$A$318)=TRUE,1,0)</f>
        <v>0</v>
      </c>
      <c r="K606" s="221">
        <f ca="1">IF(select!$O$424&lt;6,1,0)</f>
        <v>1</v>
      </c>
      <c r="L606" s="139">
        <f>IF(select!$A$362=IF(Scharniere[[#This Row],[mit Dämpfung]]=1,1,IF(Scharniere[[#This Row],[ohne Dämpfung]]=1,2,IF(Scharniere[[#This Row],[ohne Feder]]=1,3,0))),1,0)</f>
        <v>1</v>
      </c>
      <c r="M606" s="135">
        <f>IF(Scharniere[[#This Row],[Bohrbild]]=select!$O$334,1,0)</f>
        <v>0</v>
      </c>
      <c r="N606" s="135">
        <f>IF(IF(Scharniere[[#This Row],[Anschrauben]]=1,1,IF(Scharniere[[#This Row],[Einpressen]]=1,2,IF(Scharniere[[#This Row],[Quick]]=1,3,IF(Scharniere[[#This Row],[Werkzeuglos]]=1,4,0))))=select!$E$362,1,0)</f>
        <v>1</v>
      </c>
      <c r="O6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6" s="298">
        <f>IF(AND(Scharniere[[#This Row],[Scharnierart]]=3,Scharniere[[#This Row],[Gruppenschlüssel]]=select!$A$747)=TRUE,1,0)</f>
        <v>0</v>
      </c>
      <c r="Q606" s="298">
        <f ca="1">IF(select!$O$945&lt;6,1,0)</f>
        <v>1</v>
      </c>
      <c r="R606" s="298">
        <f>IF(select!$A$778=IF(Scharniere[[#This Row],[mit Dämpfung]]=1,1,IF(Scharniere[[#This Row],[ohne Dämpfung]]=1,2,IF(Scharniere[[#This Row],[ohne Feder]]=1,3,0))),1,0)</f>
        <v>0</v>
      </c>
      <c r="S606" s="298">
        <f>IF(Scharniere[[#This Row],[Bohrbild]]=select!$A$755,1,0)</f>
        <v>0</v>
      </c>
      <c r="T606" s="298">
        <f>IF(IF(Scharniere[[#This Row],[Anschrauben]]=1,1,IF(Scharniere[[#This Row],[Einpressen]]=1,2,IF(Scharniere[[#This Row],[Quick]]=1,3,IF(Scharniere[[#This Row],[Werkzeuglos]]=1,4,0))))=select!$A$769,1,0)</f>
        <v>1</v>
      </c>
      <c r="U6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6" s="359">
        <f>IF(AND(Scharniere[[#This Row],[Scharnierart]]=4,Scharniere[[#This Row],[Gruppenschlüssel]]=select!$A$981)=TRUE,1,0)</f>
        <v>0</v>
      </c>
      <c r="W606" s="359">
        <f ca="1">IF(select!$O$1185&lt;6,1,0)</f>
        <v>1</v>
      </c>
      <c r="X606" s="359">
        <f>IF(select!$A$1012=IF(Scharniere[[#This Row],[mit Dämpfung]]=1,1,IF(Scharniere[[#This Row],[ohne Dämpfung]]=1,2,IF(Scharniere[[#This Row],[ohne Feder]]=1,3,0))),1,0)</f>
        <v>0</v>
      </c>
      <c r="Y606" s="359">
        <f>IF(Scharniere[[#This Row],[Bohrbild]]=select!$A$989,1,0)</f>
        <v>0</v>
      </c>
      <c r="Z606" s="359">
        <f>IF(IF(Scharniere[[#This Row],[Anschrauben]]=1,1,IF(Scharniere[[#This Row],[Einpressen]]=1,2,IF(Scharniere[[#This Row],[Quick]]=1,3,IF(Scharniere[[#This Row],[Werkzeuglos]]=1,4,0))))=select!$A$1003,1,0)</f>
        <v>1</v>
      </c>
      <c r="AA6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6" s="359">
        <f ca="1">IF(select!$K$980="*",Scharniere[[#This Row],[AG Ges2]],Scharniere[[#This Row],[AG Ges1]])</f>
        <v>0</v>
      </c>
      <c r="AE606" s="451">
        <f ca="1">IF(AND(Scharniere[[#This Row],[Scharnierart]]=select!$A$1485,Scharniere[[#This Row],[Gruppenschlüssel]]=select!$B$1485)=TRUE,1,0)</f>
        <v>0</v>
      </c>
      <c r="AF606" s="451">
        <f ca="1">IF(AND(Scharniere[[#This Row],[Scharnierart]]=select!$A$1486,Scharniere[[#This Row],[Gruppenschlüssel]]=select!$B$1486)=TRUE,1,0)</f>
        <v>0</v>
      </c>
      <c r="AG606" s="451">
        <f ca="1">IF(AND(Scharniere[[#This Row],[Scharnierart]]=select!$A$1487,Scharniere[[#This Row],[Gruppenschlüssel]]=select!$B$1487)=TRUE,1,0)</f>
        <v>0</v>
      </c>
      <c r="AH606" s="451">
        <f ca="1">IF(AND(Scharniere[[#This Row],[Scharnierart]]=select!$A$1488,Scharniere[[#This Row],[Gruppenschlüssel]]=select!$B$1488)=TRUE,1,0)</f>
        <v>0</v>
      </c>
      <c r="AI606" s="451">
        <f ca="1">IF(SUM(Scharniere[[#This Row],[konf Scharnier 1]:[konf Scharnier 4]])&gt;0,1,0)</f>
        <v>0</v>
      </c>
      <c r="AJ606" s="451"/>
      <c r="AK606" s="451"/>
      <c r="AL606" s="451"/>
      <c r="AM606" s="451"/>
      <c r="AN606" s="451"/>
      <c r="AO606" s="146">
        <v>1</v>
      </c>
      <c r="AP606" s="146">
        <v>4</v>
      </c>
      <c r="AQ606" s="10" t="str">
        <f ca="1">Sprache!$A$112</f>
        <v>Tiomos Scharnier TS Click-on</v>
      </c>
      <c r="AR606" t="s">
        <v>1950</v>
      </c>
      <c r="AS606" t="str">
        <f ca="1">Sprache!$A$103</f>
        <v>Tiomos Click-On Scharniere</v>
      </c>
      <c r="AT606">
        <v>9.5</v>
      </c>
      <c r="AU606" s="34" t="s">
        <v>10</v>
      </c>
      <c r="AV606">
        <v>95</v>
      </c>
      <c r="AW606" s="10">
        <v>1</v>
      </c>
      <c r="AX606">
        <v>0</v>
      </c>
      <c r="AY606">
        <v>0</v>
      </c>
      <c r="AZ606" s="10">
        <v>1</v>
      </c>
      <c r="BA606">
        <v>0</v>
      </c>
      <c r="BB606">
        <v>0</v>
      </c>
      <c r="BC606">
        <v>0</v>
      </c>
      <c r="BD606" s="143" t="s">
        <v>372</v>
      </c>
      <c r="BG606"/>
    </row>
    <row r="607" spans="1:59" ht="14.25" customHeight="1" x14ac:dyDescent="0.25">
      <c r="A607" s="37" t="str">
        <f>LEFT(Scharniere[[#This Row],[ArtikelNR]],4)</f>
        <v>F046</v>
      </c>
      <c r="B607" s="35" t="str">
        <f>MID(Scharniere[[#This Row],[ArtikelNR]],5,3)</f>
        <v>138</v>
      </c>
      <c r="C607" s="37" t="str">
        <f>RIGHT(Scharniere[[#This Row],[ArtikelNR]],3)</f>
        <v>811</v>
      </c>
      <c r="D607" s="35">
        <f>IF(AND(Scharniere[[#This Row],[Gruppenschlüssel]]=select!$A$44,Scharniere[[#This Row],[Scharnierart]]=1)=TRUE,1,0)</f>
        <v>0</v>
      </c>
      <c r="E6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7" s="35">
        <f>IF(select!$F$57=IF(Scharniere[[#This Row],[mit Dämpfung]]=1,1,IF(Scharniere[[#This Row],[ohne Dämpfung]]=1,2,IF(Scharniere[[#This Row],[ohne Feder]]=1,3,0))),1,0)</f>
        <v>1</v>
      </c>
      <c r="G607" s="35">
        <f>IF(Scharniere[[#This Row],[Bohrbild]]=select!$V$43,1,0)</f>
        <v>0</v>
      </c>
      <c r="H607" s="35">
        <f>IF(IF(Scharniere[[#This Row],[Anschrauben]]=1,1,IF(Scharniere[[#This Row],[Einpressen]]=1,2,IF(Scharniere[[#This Row],[Quick]]=1,3,IF(Scharniere[[#This Row],[Werkzeuglos]]=1,4,0))))=select!$F$48,1,0)</f>
        <v>0</v>
      </c>
      <c r="I6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7" s="149">
        <f>IF(AND(Scharniere[[#This Row],[Scharnierart]]=2,Scharniere[[#This Row],[Gruppenschlüssel]]=select!$A$318)=TRUE,1,0)</f>
        <v>0</v>
      </c>
      <c r="K607" s="221">
        <f ca="1">IF(select!$O$424&lt;6,1,0)</f>
        <v>1</v>
      </c>
      <c r="L607" s="139">
        <f>IF(select!$A$362=IF(Scharniere[[#This Row],[mit Dämpfung]]=1,1,IF(Scharniere[[#This Row],[ohne Dämpfung]]=1,2,IF(Scharniere[[#This Row],[ohne Feder]]=1,3,0))),1,0)</f>
        <v>0</v>
      </c>
      <c r="M607" s="135">
        <f>IF(Scharniere[[#This Row],[Bohrbild]]=select!$O$334,1,0)</f>
        <v>0</v>
      </c>
      <c r="N607" s="135">
        <f>IF(IF(Scharniere[[#This Row],[Anschrauben]]=1,1,IF(Scharniere[[#This Row],[Einpressen]]=1,2,IF(Scharniere[[#This Row],[Quick]]=1,3,IF(Scharniere[[#This Row],[Werkzeuglos]]=1,4,0))))=select!$E$362,1,0)</f>
        <v>1</v>
      </c>
      <c r="O6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7" s="298">
        <f>IF(AND(Scharniere[[#This Row],[Scharnierart]]=3,Scharniere[[#This Row],[Gruppenschlüssel]]=select!$A$747)=TRUE,1,0)</f>
        <v>0</v>
      </c>
      <c r="Q607" s="298">
        <f ca="1">IF(select!$O$945&lt;6,1,0)</f>
        <v>1</v>
      </c>
      <c r="R607" s="298">
        <f>IF(select!$A$778=IF(Scharniere[[#This Row],[mit Dämpfung]]=1,1,IF(Scharniere[[#This Row],[ohne Dämpfung]]=1,2,IF(Scharniere[[#This Row],[ohne Feder]]=1,3,0))),1,0)</f>
        <v>0</v>
      </c>
      <c r="S607" s="298">
        <f>IF(Scharniere[[#This Row],[Bohrbild]]=select!$A$755,1,0)</f>
        <v>0</v>
      </c>
      <c r="T607" s="298">
        <f>IF(IF(Scharniere[[#This Row],[Anschrauben]]=1,1,IF(Scharniere[[#This Row],[Einpressen]]=1,2,IF(Scharniere[[#This Row],[Quick]]=1,3,IF(Scharniere[[#This Row],[Werkzeuglos]]=1,4,0))))=select!$A$769,1,0)</f>
        <v>1</v>
      </c>
      <c r="U6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7" s="359">
        <f>IF(AND(Scharniere[[#This Row],[Scharnierart]]=4,Scharniere[[#This Row],[Gruppenschlüssel]]=select!$A$981)=TRUE,1,0)</f>
        <v>0</v>
      </c>
      <c r="W607" s="359">
        <f ca="1">IF(select!$O$1185&lt;6,1,0)</f>
        <v>1</v>
      </c>
      <c r="X607" s="359">
        <f>IF(select!$A$1012=IF(Scharniere[[#This Row],[mit Dämpfung]]=1,1,IF(Scharniere[[#This Row],[ohne Dämpfung]]=1,2,IF(Scharniere[[#This Row],[ohne Feder]]=1,3,0))),1,0)</f>
        <v>0</v>
      </c>
      <c r="Y607" s="359">
        <f>IF(Scharniere[[#This Row],[Bohrbild]]=select!$A$989,1,0)</f>
        <v>0</v>
      </c>
      <c r="Z607" s="359">
        <f>IF(IF(Scharniere[[#This Row],[Anschrauben]]=1,1,IF(Scharniere[[#This Row],[Einpressen]]=1,2,IF(Scharniere[[#This Row],[Quick]]=1,3,IF(Scharniere[[#This Row],[Werkzeuglos]]=1,4,0))))=select!$A$1003,1,0)</f>
        <v>1</v>
      </c>
      <c r="AA6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7" s="359">
        <f ca="1">IF(select!$K$980="*",Scharniere[[#This Row],[AG Ges2]],Scharniere[[#This Row],[AG Ges1]])</f>
        <v>0</v>
      </c>
      <c r="AE607" s="451">
        <f ca="1">IF(AND(Scharniere[[#This Row],[Scharnierart]]=select!$A$1485,Scharniere[[#This Row],[Gruppenschlüssel]]=select!$B$1485)=TRUE,1,0)</f>
        <v>0</v>
      </c>
      <c r="AF607" s="451">
        <f ca="1">IF(AND(Scharniere[[#This Row],[Scharnierart]]=select!$A$1486,Scharniere[[#This Row],[Gruppenschlüssel]]=select!$B$1486)=TRUE,1,0)</f>
        <v>0</v>
      </c>
      <c r="AG607" s="451">
        <f ca="1">IF(AND(Scharniere[[#This Row],[Scharnierart]]=select!$A$1487,Scharniere[[#This Row],[Gruppenschlüssel]]=select!$B$1487)=TRUE,1,0)</f>
        <v>0</v>
      </c>
      <c r="AH607" s="451">
        <f ca="1">IF(AND(Scharniere[[#This Row],[Scharnierart]]=select!$A$1488,Scharniere[[#This Row],[Gruppenschlüssel]]=select!$B$1488)=TRUE,1,0)</f>
        <v>0</v>
      </c>
      <c r="AI607" s="451">
        <f ca="1">IF(SUM(Scharniere[[#This Row],[konf Scharnier 1]:[konf Scharnier 4]])&gt;0,1,0)</f>
        <v>0</v>
      </c>
      <c r="AJ607" s="451"/>
      <c r="AK607" s="451"/>
      <c r="AL607" s="451"/>
      <c r="AM607" s="451"/>
      <c r="AN607" s="451"/>
      <c r="AO607" s="146">
        <v>1</v>
      </c>
      <c r="AP607" s="146">
        <v>4</v>
      </c>
      <c r="AQ607" s="10" t="str">
        <f ca="1">Sprache!$A$114</f>
        <v>Tiomos Scharnier TT Click-on</v>
      </c>
      <c r="AR607" t="s">
        <v>1950</v>
      </c>
      <c r="AS607" t="str">
        <f ca="1">Sprache!$A$103</f>
        <v>Tiomos Click-On Scharniere</v>
      </c>
      <c r="AT607">
        <v>9.5</v>
      </c>
      <c r="AU607" t="s">
        <v>10</v>
      </c>
      <c r="AV607">
        <v>95</v>
      </c>
      <c r="AW607" s="10">
        <v>0</v>
      </c>
      <c r="AX607">
        <v>0</v>
      </c>
      <c r="AY607">
        <v>1</v>
      </c>
      <c r="AZ607" s="10">
        <v>1</v>
      </c>
      <c r="BA607">
        <v>0</v>
      </c>
      <c r="BB607">
        <v>0</v>
      </c>
      <c r="BC607">
        <v>0</v>
      </c>
      <c r="BD607" s="143" t="s">
        <v>688</v>
      </c>
      <c r="BG607"/>
    </row>
    <row r="608" spans="1:59" ht="14.25" customHeight="1" x14ac:dyDescent="0.25">
      <c r="A608" s="37" t="str">
        <f>LEFT(Scharniere[[#This Row],[ArtikelNR]],4)</f>
        <v>F034</v>
      </c>
      <c r="B608" s="35" t="str">
        <f>MID(Scharniere[[#This Row],[ArtikelNR]],5,3)</f>
        <v>139</v>
      </c>
      <c r="C608" s="37" t="str">
        <f>RIGHT(Scharniere[[#This Row],[ArtikelNR]],3)</f>
        <v>496</v>
      </c>
      <c r="D608" s="35">
        <f>IF(AND(Scharniere[[#This Row],[Gruppenschlüssel]]=select!$A$44,Scharniere[[#This Row],[Scharnierart]]=1)=TRUE,1,0)</f>
        <v>0</v>
      </c>
      <c r="E6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8" s="35">
        <f>IF(select!$F$57=IF(Scharniere[[#This Row],[mit Dämpfung]]=1,1,IF(Scharniere[[#This Row],[ohne Dämpfung]]=1,2,IF(Scharniere[[#This Row],[ohne Feder]]=1,3,0))),1,0)</f>
        <v>0</v>
      </c>
      <c r="G608" s="35">
        <f>IF(Scharniere[[#This Row],[Bohrbild]]=select!$V$43,1,0)</f>
        <v>0</v>
      </c>
      <c r="H608" s="35">
        <f>IF(IF(Scharniere[[#This Row],[Anschrauben]]=1,1,IF(Scharniere[[#This Row],[Einpressen]]=1,2,IF(Scharniere[[#This Row],[Quick]]=1,3,IF(Scharniere[[#This Row],[Werkzeuglos]]=1,4,0))))=select!$F$48,1,0)</f>
        <v>0</v>
      </c>
      <c r="I6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8" s="149">
        <f>IF(AND(Scharniere[[#This Row],[Scharnierart]]=2,Scharniere[[#This Row],[Gruppenschlüssel]]=select!$A$318)=TRUE,1,0)</f>
        <v>0</v>
      </c>
      <c r="K608" s="221">
        <f ca="1">IF(select!$O$424&lt;6,1,0)</f>
        <v>1</v>
      </c>
      <c r="L608" s="139">
        <f>IF(select!$A$362=IF(Scharniere[[#This Row],[mit Dämpfung]]=1,1,IF(Scharniere[[#This Row],[ohne Dämpfung]]=1,2,IF(Scharniere[[#This Row],[ohne Feder]]=1,3,0))),1,0)</f>
        <v>0</v>
      </c>
      <c r="M608" s="135">
        <f>IF(Scharniere[[#This Row],[Bohrbild]]=select!$O$334,1,0)</f>
        <v>0</v>
      </c>
      <c r="N608" s="135">
        <f>IF(IF(Scharniere[[#This Row],[Anschrauben]]=1,1,IF(Scharniere[[#This Row],[Einpressen]]=1,2,IF(Scharniere[[#This Row],[Quick]]=1,3,IF(Scharniere[[#This Row],[Werkzeuglos]]=1,4,0))))=select!$E$362,1,0)</f>
        <v>0</v>
      </c>
      <c r="O6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8" s="298">
        <f>IF(AND(Scharniere[[#This Row],[Scharnierart]]=3,Scharniere[[#This Row],[Gruppenschlüssel]]=select!$A$747)=TRUE,1,0)</f>
        <v>0</v>
      </c>
      <c r="Q608" s="298">
        <f ca="1">IF(select!$O$945&lt;6,1,0)</f>
        <v>1</v>
      </c>
      <c r="R608" s="298">
        <f>IF(select!$A$778=IF(Scharniere[[#This Row],[mit Dämpfung]]=1,1,IF(Scharniere[[#This Row],[ohne Dämpfung]]=1,2,IF(Scharniere[[#This Row],[ohne Feder]]=1,3,0))),1,0)</f>
        <v>1</v>
      </c>
      <c r="S608" s="298">
        <f>IF(Scharniere[[#This Row],[Bohrbild]]=select!$A$755,1,0)</f>
        <v>0</v>
      </c>
      <c r="T608" s="298">
        <f>IF(IF(Scharniere[[#This Row],[Anschrauben]]=1,1,IF(Scharniere[[#This Row],[Einpressen]]=1,2,IF(Scharniere[[#This Row],[Quick]]=1,3,IF(Scharniere[[#This Row],[Werkzeuglos]]=1,4,0))))=select!$A$769,1,0)</f>
        <v>0</v>
      </c>
      <c r="U6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8" s="359">
        <f>IF(AND(Scharniere[[#This Row],[Scharnierart]]=4,Scharniere[[#This Row],[Gruppenschlüssel]]=select!$A$981)=TRUE,1,0)</f>
        <v>0</v>
      </c>
      <c r="W608" s="359">
        <f ca="1">IF(select!$O$1185&lt;6,1,0)</f>
        <v>1</v>
      </c>
      <c r="X608" s="359">
        <f>IF(select!$A$1012=IF(Scharniere[[#This Row],[mit Dämpfung]]=1,1,IF(Scharniere[[#This Row],[ohne Dämpfung]]=1,2,IF(Scharniere[[#This Row],[ohne Feder]]=1,3,0))),1,0)</f>
        <v>1</v>
      </c>
      <c r="Y608" s="359">
        <f>IF(Scharniere[[#This Row],[Bohrbild]]=select!$A$989,1,0)</f>
        <v>0</v>
      </c>
      <c r="Z608" s="359">
        <f>IF(IF(Scharniere[[#This Row],[Anschrauben]]=1,1,IF(Scharniere[[#This Row],[Einpressen]]=1,2,IF(Scharniere[[#This Row],[Quick]]=1,3,IF(Scharniere[[#This Row],[Werkzeuglos]]=1,4,0))))=select!$A$1003,1,0)</f>
        <v>0</v>
      </c>
      <c r="AA6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8" s="359">
        <f ca="1">IF(select!$K$980="*",Scharniere[[#This Row],[AG Ges2]],Scharniere[[#This Row],[AG Ges1]])</f>
        <v>0</v>
      </c>
      <c r="AE608" s="451">
        <f ca="1">IF(AND(Scharniere[[#This Row],[Scharnierart]]=select!$A$1485,Scharniere[[#This Row],[Gruppenschlüssel]]=select!$B$1485)=TRUE,1,0)</f>
        <v>0</v>
      </c>
      <c r="AF608" s="451">
        <f ca="1">IF(AND(Scharniere[[#This Row],[Scharnierart]]=select!$A$1486,Scharniere[[#This Row],[Gruppenschlüssel]]=select!$B$1486)=TRUE,1,0)</f>
        <v>0</v>
      </c>
      <c r="AG608" s="451">
        <f ca="1">IF(AND(Scharniere[[#This Row],[Scharnierart]]=select!$A$1487,Scharniere[[#This Row],[Gruppenschlüssel]]=select!$B$1487)=TRUE,1,0)</f>
        <v>0</v>
      </c>
      <c r="AH608" s="451">
        <f ca="1">IF(AND(Scharniere[[#This Row],[Scharnierart]]=select!$A$1488,Scharniere[[#This Row],[Gruppenschlüssel]]=select!$B$1488)=TRUE,1,0)</f>
        <v>0</v>
      </c>
      <c r="AI608" s="451">
        <f ca="1">IF(SUM(Scharniere[[#This Row],[konf Scharnier 1]:[konf Scharnier 4]])&gt;0,1,0)</f>
        <v>0</v>
      </c>
      <c r="AJ608" s="451"/>
      <c r="AK608" s="451"/>
      <c r="AL608" s="451"/>
      <c r="AM608" s="451"/>
      <c r="AN608" s="451"/>
      <c r="AO608" s="146">
        <v>1</v>
      </c>
      <c r="AP608" s="146">
        <v>4</v>
      </c>
      <c r="AQ608" s="10" t="str">
        <f ca="1">Sprache!$A$111</f>
        <v>Tiomos Scharnier T Impresso</v>
      </c>
      <c r="AR608" t="s">
        <v>1951</v>
      </c>
      <c r="AS608" t="str">
        <f ca="1">Sprache!$A$116</f>
        <v>Tiomos Impresso Scharniere</v>
      </c>
      <c r="AT608">
        <v>9.5</v>
      </c>
      <c r="AU608" t="s">
        <v>10</v>
      </c>
      <c r="AV608">
        <v>95</v>
      </c>
      <c r="AW608" s="10">
        <v>0</v>
      </c>
      <c r="AX608">
        <v>1</v>
      </c>
      <c r="AY608">
        <v>0</v>
      </c>
      <c r="AZ608" s="10">
        <v>0</v>
      </c>
      <c r="BA608">
        <v>0</v>
      </c>
      <c r="BB608">
        <v>0</v>
      </c>
      <c r="BC608">
        <v>1</v>
      </c>
      <c r="BD608" s="143" t="s">
        <v>177</v>
      </c>
      <c r="BG608"/>
    </row>
    <row r="609" spans="1:59" ht="14.25" customHeight="1" x14ac:dyDescent="0.25">
      <c r="A609" s="37" t="str">
        <f>LEFT(Scharniere[[#This Row],[ArtikelNR]],4)</f>
        <v>F034</v>
      </c>
      <c r="B609" s="35" t="str">
        <f>MID(Scharniere[[#This Row],[ArtikelNR]],5,3)</f>
        <v>139</v>
      </c>
      <c r="C609" s="37" t="str">
        <f>RIGHT(Scharniere[[#This Row],[ArtikelNR]],3)</f>
        <v>496</v>
      </c>
      <c r="D609" s="35">
        <f>IF(AND(Scharniere[[#This Row],[Gruppenschlüssel]]=select!$A$44,Scharniere[[#This Row],[Scharnierart]]=1)=TRUE,1,0)</f>
        <v>0</v>
      </c>
      <c r="E6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09" s="35">
        <f>IF(select!$F$57=IF(Scharniere[[#This Row],[mit Dämpfung]]=1,1,IF(Scharniere[[#This Row],[ohne Dämpfung]]=1,2,IF(Scharniere[[#This Row],[ohne Feder]]=1,3,0))),1,0)</f>
        <v>0</v>
      </c>
      <c r="G609" s="35">
        <f>IF(Scharniere[[#This Row],[Bohrbild]]=select!$V$43,1,0)</f>
        <v>0</v>
      </c>
      <c r="H609" s="35">
        <f>IF(IF(Scharniere[[#This Row],[Anschrauben]]=1,1,IF(Scharniere[[#This Row],[Einpressen]]=1,2,IF(Scharniere[[#This Row],[Quick]]=1,3,IF(Scharniere[[#This Row],[Werkzeuglos]]=1,4,0))))=select!$F$48,1,0)</f>
        <v>0</v>
      </c>
      <c r="I6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09" s="149">
        <f>IF(AND(Scharniere[[#This Row],[Scharnierart]]=2,Scharniere[[#This Row],[Gruppenschlüssel]]=select!$A$318)=TRUE,1,0)</f>
        <v>0</v>
      </c>
      <c r="K609" s="221">
        <f ca="1">IF(select!$O$424&lt;6,1,0)</f>
        <v>1</v>
      </c>
      <c r="L609" s="139">
        <f>IF(select!$A$362=IF(Scharniere[[#This Row],[mit Dämpfung]]=1,1,IF(Scharniere[[#This Row],[ohne Dämpfung]]=1,2,IF(Scharniere[[#This Row],[ohne Feder]]=1,3,0))),1,0)</f>
        <v>0</v>
      </c>
      <c r="M609" s="135">
        <f>IF(Scharniere[[#This Row],[Bohrbild]]=select!$O$334,1,0)</f>
        <v>0</v>
      </c>
      <c r="N609" s="135">
        <f>IF(IF(Scharniere[[#This Row],[Anschrauben]]=1,1,IF(Scharniere[[#This Row],[Einpressen]]=1,2,IF(Scharniere[[#This Row],[Quick]]=1,3,IF(Scharniere[[#This Row],[Werkzeuglos]]=1,4,0))))=select!$E$362,1,0)</f>
        <v>0</v>
      </c>
      <c r="O6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09" s="298">
        <f>IF(AND(Scharniere[[#This Row],[Scharnierart]]=3,Scharniere[[#This Row],[Gruppenschlüssel]]=select!$A$747)=TRUE,1,0)</f>
        <v>0</v>
      </c>
      <c r="Q609" s="298">
        <f ca="1">IF(select!$O$945&lt;6,1,0)</f>
        <v>1</v>
      </c>
      <c r="R609" s="298">
        <f>IF(select!$A$778=IF(Scharniere[[#This Row],[mit Dämpfung]]=1,1,IF(Scharniere[[#This Row],[ohne Dämpfung]]=1,2,IF(Scharniere[[#This Row],[ohne Feder]]=1,3,0))),1,0)</f>
        <v>1</v>
      </c>
      <c r="S609" s="298">
        <f>IF(Scharniere[[#This Row],[Bohrbild]]=select!$A$755,1,0)</f>
        <v>0</v>
      </c>
      <c r="T609" s="298">
        <f>IF(IF(Scharniere[[#This Row],[Anschrauben]]=1,1,IF(Scharniere[[#This Row],[Einpressen]]=1,2,IF(Scharniere[[#This Row],[Quick]]=1,3,IF(Scharniere[[#This Row],[Werkzeuglos]]=1,4,0))))=select!$A$769,1,0)</f>
        <v>0</v>
      </c>
      <c r="U6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09" s="359">
        <f>IF(AND(Scharniere[[#This Row],[Scharnierart]]=4,Scharniere[[#This Row],[Gruppenschlüssel]]=select!$A$981)=TRUE,1,0)</f>
        <v>0</v>
      </c>
      <c r="W609" s="359">
        <f ca="1">IF(select!$O$1185&lt;6,1,0)</f>
        <v>1</v>
      </c>
      <c r="X609" s="359">
        <f>IF(select!$A$1012=IF(Scharniere[[#This Row],[mit Dämpfung]]=1,1,IF(Scharniere[[#This Row],[ohne Dämpfung]]=1,2,IF(Scharniere[[#This Row],[ohne Feder]]=1,3,0))),1,0)</f>
        <v>1</v>
      </c>
      <c r="Y609" s="359">
        <f>IF(Scharniere[[#This Row],[Bohrbild]]=select!$A$989,1,0)</f>
        <v>0</v>
      </c>
      <c r="Z609" s="359">
        <f>IF(IF(Scharniere[[#This Row],[Anschrauben]]=1,1,IF(Scharniere[[#This Row],[Einpressen]]=1,2,IF(Scharniere[[#This Row],[Quick]]=1,3,IF(Scharniere[[#This Row],[Werkzeuglos]]=1,4,0))))=select!$A$1003,1,0)</f>
        <v>0</v>
      </c>
      <c r="AA6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09" s="359">
        <f ca="1">IF(select!$K$980="*",Scharniere[[#This Row],[AG Ges2]],Scharniere[[#This Row],[AG Ges1]])</f>
        <v>0</v>
      </c>
      <c r="AE609" s="451">
        <f ca="1">IF(AND(Scharniere[[#This Row],[Scharnierart]]=select!$A$1485,Scharniere[[#This Row],[Gruppenschlüssel]]=select!$B$1485)=TRUE,1,0)</f>
        <v>0</v>
      </c>
      <c r="AF609" s="451">
        <f ca="1">IF(AND(Scharniere[[#This Row],[Scharnierart]]=select!$A$1486,Scharniere[[#This Row],[Gruppenschlüssel]]=select!$B$1486)=TRUE,1,0)</f>
        <v>0</v>
      </c>
      <c r="AG609" s="451">
        <f ca="1">IF(AND(Scharniere[[#This Row],[Scharnierart]]=select!$A$1487,Scharniere[[#This Row],[Gruppenschlüssel]]=select!$B$1487)=TRUE,1,0)</f>
        <v>0</v>
      </c>
      <c r="AH609" s="451">
        <f ca="1">IF(AND(Scharniere[[#This Row],[Scharnierart]]=select!$A$1488,Scharniere[[#This Row],[Gruppenschlüssel]]=select!$B$1488)=TRUE,1,0)</f>
        <v>0</v>
      </c>
      <c r="AI609" s="451">
        <f ca="1">IF(SUM(Scharniere[[#This Row],[konf Scharnier 1]:[konf Scharnier 4]])&gt;0,1,0)</f>
        <v>0</v>
      </c>
      <c r="AJ609" s="451"/>
      <c r="AK609" s="451"/>
      <c r="AL609" s="451"/>
      <c r="AM609" s="451"/>
      <c r="AN609" s="451"/>
      <c r="AO609" s="146">
        <v>1</v>
      </c>
      <c r="AP609" s="146">
        <v>4</v>
      </c>
      <c r="AQ609" s="10" t="str">
        <f ca="1">Sprache!$A$111</f>
        <v>Tiomos Scharnier T Impresso</v>
      </c>
      <c r="AR609" t="s">
        <v>1951</v>
      </c>
      <c r="AS609" t="str">
        <f ca="1">Sprache!$A$116</f>
        <v>Tiomos Impresso Scharniere</v>
      </c>
      <c r="AT609">
        <v>9.5</v>
      </c>
      <c r="AU609" s="34" t="s">
        <v>11</v>
      </c>
      <c r="AV609">
        <v>95</v>
      </c>
      <c r="AW609" s="10">
        <v>0</v>
      </c>
      <c r="AX609">
        <v>1</v>
      </c>
      <c r="AY609">
        <v>0</v>
      </c>
      <c r="AZ609" s="10">
        <v>0</v>
      </c>
      <c r="BA609">
        <v>0</v>
      </c>
      <c r="BB609">
        <v>0</v>
      </c>
      <c r="BC609">
        <v>1</v>
      </c>
      <c r="BD609" s="143" t="s">
        <v>177</v>
      </c>
      <c r="BG609"/>
    </row>
    <row r="610" spans="1:59" ht="14.25" customHeight="1" x14ac:dyDescent="0.25">
      <c r="A610" s="37" t="str">
        <f>LEFT(Scharniere[[#This Row],[ArtikelNR]],4)</f>
        <v>F017</v>
      </c>
      <c r="B610" s="35" t="str">
        <f>MID(Scharniere[[#This Row],[ArtikelNR]],5,3)</f>
        <v>139</v>
      </c>
      <c r="C610" s="37" t="str">
        <f>RIGHT(Scharniere[[#This Row],[ArtikelNR]],3)</f>
        <v>525</v>
      </c>
      <c r="D610" s="35">
        <f>IF(AND(Scharniere[[#This Row],[Gruppenschlüssel]]=select!$A$44,Scharniere[[#This Row],[Scharnierart]]=1)=TRUE,1,0)</f>
        <v>0</v>
      </c>
      <c r="E6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0" s="35">
        <f>IF(select!$F$57=IF(Scharniere[[#This Row],[mit Dämpfung]]=1,1,IF(Scharniere[[#This Row],[ohne Dämpfung]]=1,2,IF(Scharniere[[#This Row],[ohne Feder]]=1,3,0))),1,0)</f>
        <v>0</v>
      </c>
      <c r="G610" s="35">
        <f>IF(Scharniere[[#This Row],[Bohrbild]]=select!$V$43,1,0)</f>
        <v>0</v>
      </c>
      <c r="H610" s="35">
        <f>IF(IF(Scharniere[[#This Row],[Anschrauben]]=1,1,IF(Scharniere[[#This Row],[Einpressen]]=1,2,IF(Scharniere[[#This Row],[Quick]]=1,3,IF(Scharniere[[#This Row],[Werkzeuglos]]=1,4,0))))=select!$F$48,1,0)</f>
        <v>0</v>
      </c>
      <c r="I6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0" s="149">
        <f>IF(AND(Scharniere[[#This Row],[Scharnierart]]=2,Scharniere[[#This Row],[Gruppenschlüssel]]=select!$A$318)=TRUE,1,0)</f>
        <v>0</v>
      </c>
      <c r="K610" s="221">
        <f ca="1">IF(select!$O$424&lt;6,1,0)</f>
        <v>1</v>
      </c>
      <c r="L610" s="139">
        <f>IF(select!$A$362=IF(Scharniere[[#This Row],[mit Dämpfung]]=1,1,IF(Scharniere[[#This Row],[ohne Dämpfung]]=1,2,IF(Scharniere[[#This Row],[ohne Feder]]=1,3,0))),1,0)</f>
        <v>1</v>
      </c>
      <c r="M610" s="135">
        <f>IF(Scharniere[[#This Row],[Bohrbild]]=select!$O$334,1,0)</f>
        <v>0</v>
      </c>
      <c r="N610" s="135">
        <f>IF(IF(Scharniere[[#This Row],[Anschrauben]]=1,1,IF(Scharniere[[#This Row],[Einpressen]]=1,2,IF(Scharniere[[#This Row],[Quick]]=1,3,IF(Scharniere[[#This Row],[Werkzeuglos]]=1,4,0))))=select!$E$362,1,0)</f>
        <v>0</v>
      </c>
      <c r="O6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0" s="298">
        <f>IF(AND(Scharniere[[#This Row],[Scharnierart]]=3,Scharniere[[#This Row],[Gruppenschlüssel]]=select!$A$747)=TRUE,1,0)</f>
        <v>0</v>
      </c>
      <c r="Q610" s="298">
        <f ca="1">IF(select!$O$945&lt;6,1,0)</f>
        <v>1</v>
      </c>
      <c r="R610" s="298">
        <f>IF(select!$A$778=IF(Scharniere[[#This Row],[mit Dämpfung]]=1,1,IF(Scharniere[[#This Row],[ohne Dämpfung]]=1,2,IF(Scharniere[[#This Row],[ohne Feder]]=1,3,0))),1,0)</f>
        <v>0</v>
      </c>
      <c r="S610" s="298">
        <f>IF(Scharniere[[#This Row],[Bohrbild]]=select!$A$755,1,0)</f>
        <v>0</v>
      </c>
      <c r="T610" s="298">
        <f>IF(IF(Scharniere[[#This Row],[Anschrauben]]=1,1,IF(Scharniere[[#This Row],[Einpressen]]=1,2,IF(Scharniere[[#This Row],[Quick]]=1,3,IF(Scharniere[[#This Row],[Werkzeuglos]]=1,4,0))))=select!$A$769,1,0)</f>
        <v>0</v>
      </c>
      <c r="U6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0" s="359">
        <f>IF(AND(Scharniere[[#This Row],[Scharnierart]]=4,Scharniere[[#This Row],[Gruppenschlüssel]]=select!$A$981)=TRUE,1,0)</f>
        <v>0</v>
      </c>
      <c r="W610" s="359">
        <f ca="1">IF(select!$O$1185&lt;6,1,0)</f>
        <v>1</v>
      </c>
      <c r="X610" s="359">
        <f>IF(select!$A$1012=IF(Scharniere[[#This Row],[mit Dämpfung]]=1,1,IF(Scharniere[[#This Row],[ohne Dämpfung]]=1,2,IF(Scharniere[[#This Row],[ohne Feder]]=1,3,0))),1,0)</f>
        <v>0</v>
      </c>
      <c r="Y610" s="359">
        <f>IF(Scharniere[[#This Row],[Bohrbild]]=select!$A$989,1,0)</f>
        <v>0</v>
      </c>
      <c r="Z610" s="359">
        <f>IF(IF(Scharniere[[#This Row],[Anschrauben]]=1,1,IF(Scharniere[[#This Row],[Einpressen]]=1,2,IF(Scharniere[[#This Row],[Quick]]=1,3,IF(Scharniere[[#This Row],[Werkzeuglos]]=1,4,0))))=select!$A$1003,1,0)</f>
        <v>0</v>
      </c>
      <c r="AA6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0" s="359">
        <f ca="1">IF(select!$K$980="*",Scharniere[[#This Row],[AG Ges2]],Scharniere[[#This Row],[AG Ges1]])</f>
        <v>0</v>
      </c>
      <c r="AE610" s="451">
        <f ca="1">IF(AND(Scharniere[[#This Row],[Scharnierart]]=select!$A$1485,Scharniere[[#This Row],[Gruppenschlüssel]]=select!$B$1485)=TRUE,1,0)</f>
        <v>0</v>
      </c>
      <c r="AF610" s="451">
        <f ca="1">IF(AND(Scharniere[[#This Row],[Scharnierart]]=select!$A$1486,Scharniere[[#This Row],[Gruppenschlüssel]]=select!$B$1486)=TRUE,1,0)</f>
        <v>0</v>
      </c>
      <c r="AG610" s="451">
        <f ca="1">IF(AND(Scharniere[[#This Row],[Scharnierart]]=select!$A$1487,Scharniere[[#This Row],[Gruppenschlüssel]]=select!$B$1487)=TRUE,1,0)</f>
        <v>0</v>
      </c>
      <c r="AH610" s="451">
        <f ca="1">IF(AND(Scharniere[[#This Row],[Scharnierart]]=select!$A$1488,Scharniere[[#This Row],[Gruppenschlüssel]]=select!$B$1488)=TRUE,1,0)</f>
        <v>0</v>
      </c>
      <c r="AI610" s="451">
        <f ca="1">IF(SUM(Scharniere[[#This Row],[konf Scharnier 1]:[konf Scharnier 4]])&gt;0,1,0)</f>
        <v>0</v>
      </c>
      <c r="AJ610" s="451"/>
      <c r="AK610" s="451"/>
      <c r="AL610" s="451"/>
      <c r="AM610" s="451"/>
      <c r="AN610" s="451"/>
      <c r="AO610" s="146">
        <v>1</v>
      </c>
      <c r="AP610" s="146">
        <v>4</v>
      </c>
      <c r="AQ610" s="10" t="str">
        <f ca="1">Sprache!$A$113</f>
        <v>Tiomos Scharnier TS Impresso</v>
      </c>
      <c r="AR610" t="s">
        <v>1951</v>
      </c>
      <c r="AS610" t="str">
        <f ca="1">Sprache!$A$116</f>
        <v>Tiomos Impresso Scharniere</v>
      </c>
      <c r="AT610">
        <v>9.5</v>
      </c>
      <c r="AU610" s="34" t="s">
        <v>10</v>
      </c>
      <c r="AV610">
        <v>95</v>
      </c>
      <c r="AW610" s="10">
        <v>1</v>
      </c>
      <c r="AX610">
        <v>0</v>
      </c>
      <c r="AY610">
        <v>0</v>
      </c>
      <c r="AZ610" s="10">
        <v>0</v>
      </c>
      <c r="BA610">
        <v>0</v>
      </c>
      <c r="BB610">
        <v>0</v>
      </c>
      <c r="BC610">
        <v>1</v>
      </c>
      <c r="BD610" s="143" t="s">
        <v>130</v>
      </c>
      <c r="BG610"/>
    </row>
    <row r="611" spans="1:59" ht="14.25" customHeight="1" x14ac:dyDescent="0.25">
      <c r="A611" s="37" t="str">
        <f>LEFT(Scharniere[[#This Row],[ArtikelNR]],4)</f>
        <v>F017</v>
      </c>
      <c r="B611" s="35" t="str">
        <f>MID(Scharniere[[#This Row],[ArtikelNR]],5,3)</f>
        <v>139</v>
      </c>
      <c r="C611" s="37" t="str">
        <f>RIGHT(Scharniere[[#This Row],[ArtikelNR]],3)</f>
        <v>525</v>
      </c>
      <c r="D611" s="35">
        <f>IF(AND(Scharniere[[#This Row],[Gruppenschlüssel]]=select!$A$44,Scharniere[[#This Row],[Scharnierart]]=1)=TRUE,1,0)</f>
        <v>0</v>
      </c>
      <c r="E6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1" s="35">
        <f>IF(select!$F$57=IF(Scharniere[[#This Row],[mit Dämpfung]]=1,1,IF(Scharniere[[#This Row],[ohne Dämpfung]]=1,2,IF(Scharniere[[#This Row],[ohne Feder]]=1,3,0))),1,0)</f>
        <v>0</v>
      </c>
      <c r="G611" s="35">
        <f>IF(Scharniere[[#This Row],[Bohrbild]]=select!$V$43,1,0)</f>
        <v>0</v>
      </c>
      <c r="H611" s="35">
        <f>IF(IF(Scharniere[[#This Row],[Anschrauben]]=1,1,IF(Scharniere[[#This Row],[Einpressen]]=1,2,IF(Scharniere[[#This Row],[Quick]]=1,3,IF(Scharniere[[#This Row],[Werkzeuglos]]=1,4,0))))=select!$F$48,1,0)</f>
        <v>0</v>
      </c>
      <c r="I6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1" s="149">
        <f>IF(AND(Scharniere[[#This Row],[Scharnierart]]=2,Scharniere[[#This Row],[Gruppenschlüssel]]=select!$A$318)=TRUE,1,0)</f>
        <v>0</v>
      </c>
      <c r="K611" s="221">
        <f ca="1">IF(select!$O$424&lt;6,1,0)</f>
        <v>1</v>
      </c>
      <c r="L611" s="139">
        <f>IF(select!$A$362=IF(Scharniere[[#This Row],[mit Dämpfung]]=1,1,IF(Scharniere[[#This Row],[ohne Dämpfung]]=1,2,IF(Scharniere[[#This Row],[ohne Feder]]=1,3,0))),1,0)</f>
        <v>1</v>
      </c>
      <c r="M611" s="135">
        <f>IF(Scharniere[[#This Row],[Bohrbild]]=select!$O$334,1,0)</f>
        <v>0</v>
      </c>
      <c r="N611" s="135">
        <f>IF(IF(Scharniere[[#This Row],[Anschrauben]]=1,1,IF(Scharniere[[#This Row],[Einpressen]]=1,2,IF(Scharniere[[#This Row],[Quick]]=1,3,IF(Scharniere[[#This Row],[Werkzeuglos]]=1,4,0))))=select!$E$362,1,0)</f>
        <v>0</v>
      </c>
      <c r="O6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1" s="298">
        <f>IF(AND(Scharniere[[#This Row],[Scharnierart]]=3,Scharniere[[#This Row],[Gruppenschlüssel]]=select!$A$747)=TRUE,1,0)</f>
        <v>0</v>
      </c>
      <c r="Q611" s="298">
        <f ca="1">IF(select!$O$945&lt;6,1,0)</f>
        <v>1</v>
      </c>
      <c r="R611" s="298">
        <f>IF(select!$A$778=IF(Scharniere[[#This Row],[mit Dämpfung]]=1,1,IF(Scharniere[[#This Row],[ohne Dämpfung]]=1,2,IF(Scharniere[[#This Row],[ohne Feder]]=1,3,0))),1,0)</f>
        <v>0</v>
      </c>
      <c r="S611" s="298">
        <f>IF(Scharniere[[#This Row],[Bohrbild]]=select!$A$755,1,0)</f>
        <v>0</v>
      </c>
      <c r="T611" s="298">
        <f>IF(IF(Scharniere[[#This Row],[Anschrauben]]=1,1,IF(Scharniere[[#This Row],[Einpressen]]=1,2,IF(Scharniere[[#This Row],[Quick]]=1,3,IF(Scharniere[[#This Row],[Werkzeuglos]]=1,4,0))))=select!$A$769,1,0)</f>
        <v>0</v>
      </c>
      <c r="U6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1" s="359">
        <f>IF(AND(Scharniere[[#This Row],[Scharnierart]]=4,Scharniere[[#This Row],[Gruppenschlüssel]]=select!$A$981)=TRUE,1,0)</f>
        <v>0</v>
      </c>
      <c r="W611" s="359">
        <f ca="1">IF(select!$O$1185&lt;6,1,0)</f>
        <v>1</v>
      </c>
      <c r="X611" s="359">
        <f>IF(select!$A$1012=IF(Scharniere[[#This Row],[mit Dämpfung]]=1,1,IF(Scharniere[[#This Row],[ohne Dämpfung]]=1,2,IF(Scharniere[[#This Row],[ohne Feder]]=1,3,0))),1,0)</f>
        <v>0</v>
      </c>
      <c r="Y611" s="359">
        <f>IF(Scharniere[[#This Row],[Bohrbild]]=select!$A$989,1,0)</f>
        <v>0</v>
      </c>
      <c r="Z611" s="359">
        <f>IF(IF(Scharniere[[#This Row],[Anschrauben]]=1,1,IF(Scharniere[[#This Row],[Einpressen]]=1,2,IF(Scharniere[[#This Row],[Quick]]=1,3,IF(Scharniere[[#This Row],[Werkzeuglos]]=1,4,0))))=select!$A$1003,1,0)</f>
        <v>0</v>
      </c>
      <c r="AA6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1" s="359">
        <f ca="1">IF(select!$K$980="*",Scharniere[[#This Row],[AG Ges2]],Scharniere[[#This Row],[AG Ges1]])</f>
        <v>0</v>
      </c>
      <c r="AE611" s="451">
        <f ca="1">IF(AND(Scharniere[[#This Row],[Scharnierart]]=select!$A$1485,Scharniere[[#This Row],[Gruppenschlüssel]]=select!$B$1485)=TRUE,1,0)</f>
        <v>0</v>
      </c>
      <c r="AF611" s="451">
        <f ca="1">IF(AND(Scharniere[[#This Row],[Scharnierart]]=select!$A$1486,Scharniere[[#This Row],[Gruppenschlüssel]]=select!$B$1486)=TRUE,1,0)</f>
        <v>0</v>
      </c>
      <c r="AG611" s="451">
        <f ca="1">IF(AND(Scharniere[[#This Row],[Scharnierart]]=select!$A$1487,Scharniere[[#This Row],[Gruppenschlüssel]]=select!$B$1487)=TRUE,1,0)</f>
        <v>0</v>
      </c>
      <c r="AH611" s="451">
        <f ca="1">IF(AND(Scharniere[[#This Row],[Scharnierart]]=select!$A$1488,Scharniere[[#This Row],[Gruppenschlüssel]]=select!$B$1488)=TRUE,1,0)</f>
        <v>0</v>
      </c>
      <c r="AI611" s="451">
        <f ca="1">IF(SUM(Scharniere[[#This Row],[konf Scharnier 1]:[konf Scharnier 4]])&gt;0,1,0)</f>
        <v>0</v>
      </c>
      <c r="AJ611" s="451"/>
      <c r="AK611" s="451"/>
      <c r="AL611" s="451"/>
      <c r="AM611" s="451"/>
      <c r="AN611" s="451"/>
      <c r="AO611" s="146">
        <v>1</v>
      </c>
      <c r="AP611" s="146">
        <v>4</v>
      </c>
      <c r="AQ611" s="10" t="str">
        <f ca="1">Sprache!$A$113</f>
        <v>Tiomos Scharnier TS Impresso</v>
      </c>
      <c r="AR611" t="s">
        <v>1951</v>
      </c>
      <c r="AS611" t="str">
        <f ca="1">Sprache!$A$116</f>
        <v>Tiomos Impresso Scharniere</v>
      </c>
      <c r="AT611">
        <v>9.5</v>
      </c>
      <c r="AU611" t="s">
        <v>11</v>
      </c>
      <c r="AV611">
        <v>95</v>
      </c>
      <c r="AW611" s="10">
        <v>1</v>
      </c>
      <c r="AX611">
        <v>0</v>
      </c>
      <c r="AY611">
        <v>0</v>
      </c>
      <c r="AZ611" s="10">
        <v>0</v>
      </c>
      <c r="BA611">
        <v>0</v>
      </c>
      <c r="BB611">
        <v>0</v>
      </c>
      <c r="BC611">
        <v>1</v>
      </c>
      <c r="BD611" s="143" t="s">
        <v>130</v>
      </c>
      <c r="BG611"/>
    </row>
    <row r="612" spans="1:59" ht="14.25" customHeight="1" x14ac:dyDescent="0.25">
      <c r="A612" s="37" t="str">
        <f>LEFT(Scharniere[[#This Row],[ArtikelNR]],4)</f>
        <v>F035</v>
      </c>
      <c r="B612" s="35" t="str">
        <f>MID(Scharniere[[#This Row],[ArtikelNR]],5,3)</f>
        <v>139</v>
      </c>
      <c r="C612" s="37" t="str">
        <f>RIGHT(Scharniere[[#This Row],[ArtikelNR]],3)</f>
        <v>553</v>
      </c>
      <c r="D612" s="35">
        <f>IF(AND(Scharniere[[#This Row],[Gruppenschlüssel]]=select!$A$44,Scharniere[[#This Row],[Scharnierart]]=1)=TRUE,1,0)</f>
        <v>0</v>
      </c>
      <c r="E6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2" s="35">
        <f>IF(select!$F$57=IF(Scharniere[[#This Row],[mit Dämpfung]]=1,1,IF(Scharniere[[#This Row],[ohne Dämpfung]]=1,2,IF(Scharniere[[#This Row],[ohne Feder]]=1,3,0))),1,0)</f>
        <v>1</v>
      </c>
      <c r="G612" s="35">
        <f>IF(Scharniere[[#This Row],[Bohrbild]]=select!$V$43,1,0)</f>
        <v>0</v>
      </c>
      <c r="H612" s="35">
        <f>IF(IF(Scharniere[[#This Row],[Anschrauben]]=1,1,IF(Scharniere[[#This Row],[Einpressen]]=1,2,IF(Scharniere[[#This Row],[Quick]]=1,3,IF(Scharniere[[#This Row],[Werkzeuglos]]=1,4,0))))=select!$F$48,1,0)</f>
        <v>0</v>
      </c>
      <c r="I6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2" s="149">
        <f>IF(AND(Scharniere[[#This Row],[Scharnierart]]=2,Scharniere[[#This Row],[Gruppenschlüssel]]=select!$A$318)=TRUE,1,0)</f>
        <v>0</v>
      </c>
      <c r="K612" s="221">
        <f ca="1">IF(select!$O$424&lt;6,1,0)</f>
        <v>1</v>
      </c>
      <c r="L612" s="139">
        <f>IF(select!$A$362=IF(Scharniere[[#This Row],[mit Dämpfung]]=1,1,IF(Scharniere[[#This Row],[ohne Dämpfung]]=1,2,IF(Scharniere[[#This Row],[ohne Feder]]=1,3,0))),1,0)</f>
        <v>0</v>
      </c>
      <c r="M612" s="135">
        <f>IF(Scharniere[[#This Row],[Bohrbild]]=select!$O$334,1,0)</f>
        <v>0</v>
      </c>
      <c r="N612" s="135">
        <f>IF(IF(Scharniere[[#This Row],[Anschrauben]]=1,1,IF(Scharniere[[#This Row],[Einpressen]]=1,2,IF(Scharniere[[#This Row],[Quick]]=1,3,IF(Scharniere[[#This Row],[Werkzeuglos]]=1,4,0))))=select!$E$362,1,0)</f>
        <v>0</v>
      </c>
      <c r="O6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2" s="298">
        <f>IF(AND(Scharniere[[#This Row],[Scharnierart]]=3,Scharniere[[#This Row],[Gruppenschlüssel]]=select!$A$747)=TRUE,1,0)</f>
        <v>0</v>
      </c>
      <c r="Q612" s="298">
        <f ca="1">IF(select!$O$945&lt;6,1,0)</f>
        <v>1</v>
      </c>
      <c r="R612" s="298">
        <f>IF(select!$A$778=IF(Scharniere[[#This Row],[mit Dämpfung]]=1,1,IF(Scharniere[[#This Row],[ohne Dämpfung]]=1,2,IF(Scharniere[[#This Row],[ohne Feder]]=1,3,0))),1,0)</f>
        <v>0</v>
      </c>
      <c r="S612" s="298">
        <f>IF(Scharniere[[#This Row],[Bohrbild]]=select!$A$755,1,0)</f>
        <v>0</v>
      </c>
      <c r="T612" s="298">
        <f>IF(IF(Scharniere[[#This Row],[Anschrauben]]=1,1,IF(Scharniere[[#This Row],[Einpressen]]=1,2,IF(Scharniere[[#This Row],[Quick]]=1,3,IF(Scharniere[[#This Row],[Werkzeuglos]]=1,4,0))))=select!$A$769,1,0)</f>
        <v>0</v>
      </c>
      <c r="U6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2" s="359">
        <f>IF(AND(Scharniere[[#This Row],[Scharnierart]]=4,Scharniere[[#This Row],[Gruppenschlüssel]]=select!$A$981)=TRUE,1,0)</f>
        <v>0</v>
      </c>
      <c r="W612" s="359">
        <f ca="1">IF(select!$O$1185&lt;6,1,0)</f>
        <v>1</v>
      </c>
      <c r="X612" s="359">
        <f>IF(select!$A$1012=IF(Scharniere[[#This Row],[mit Dämpfung]]=1,1,IF(Scharniere[[#This Row],[ohne Dämpfung]]=1,2,IF(Scharniere[[#This Row],[ohne Feder]]=1,3,0))),1,0)</f>
        <v>0</v>
      </c>
      <c r="Y612" s="359">
        <f>IF(Scharniere[[#This Row],[Bohrbild]]=select!$A$989,1,0)</f>
        <v>0</v>
      </c>
      <c r="Z612" s="359">
        <f>IF(IF(Scharniere[[#This Row],[Anschrauben]]=1,1,IF(Scharniere[[#This Row],[Einpressen]]=1,2,IF(Scharniere[[#This Row],[Quick]]=1,3,IF(Scharniere[[#This Row],[Werkzeuglos]]=1,4,0))))=select!$A$1003,1,0)</f>
        <v>0</v>
      </c>
      <c r="AA6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2" s="359">
        <f ca="1">IF(select!$K$980="*",Scharniere[[#This Row],[AG Ges2]],Scharniere[[#This Row],[AG Ges1]])</f>
        <v>0</v>
      </c>
      <c r="AE612" s="451">
        <f ca="1">IF(AND(Scharniere[[#This Row],[Scharnierart]]=select!$A$1485,Scharniere[[#This Row],[Gruppenschlüssel]]=select!$B$1485)=TRUE,1,0)</f>
        <v>0</v>
      </c>
      <c r="AF612" s="451">
        <f ca="1">IF(AND(Scharniere[[#This Row],[Scharnierart]]=select!$A$1486,Scharniere[[#This Row],[Gruppenschlüssel]]=select!$B$1486)=TRUE,1,0)</f>
        <v>0</v>
      </c>
      <c r="AG612" s="451">
        <f ca="1">IF(AND(Scharniere[[#This Row],[Scharnierart]]=select!$A$1487,Scharniere[[#This Row],[Gruppenschlüssel]]=select!$B$1487)=TRUE,1,0)</f>
        <v>0</v>
      </c>
      <c r="AH612" s="451">
        <f ca="1">IF(AND(Scharniere[[#This Row],[Scharnierart]]=select!$A$1488,Scharniere[[#This Row],[Gruppenschlüssel]]=select!$B$1488)=TRUE,1,0)</f>
        <v>0</v>
      </c>
      <c r="AI612" s="451">
        <f ca="1">IF(SUM(Scharniere[[#This Row],[konf Scharnier 1]:[konf Scharnier 4]])&gt;0,1,0)</f>
        <v>0</v>
      </c>
      <c r="AJ612" s="451"/>
      <c r="AK612" s="451"/>
      <c r="AL612" s="451"/>
      <c r="AM612" s="451"/>
      <c r="AN612" s="451"/>
      <c r="AO612" s="146">
        <v>1</v>
      </c>
      <c r="AP612" s="146">
        <v>4</v>
      </c>
      <c r="AQ612" s="10" t="str">
        <f ca="1">Sprache!$A$115</f>
        <v>Tiomos Scharnier TT Impresso</v>
      </c>
      <c r="AR612" t="s">
        <v>1951</v>
      </c>
      <c r="AS612" t="str">
        <f ca="1">Sprache!$A$116</f>
        <v>Tiomos Impresso Scharniere</v>
      </c>
      <c r="AT612">
        <v>9.5</v>
      </c>
      <c r="AU612" s="34" t="s">
        <v>10</v>
      </c>
      <c r="AV612">
        <v>95</v>
      </c>
      <c r="AW612" s="10">
        <v>0</v>
      </c>
      <c r="AX612">
        <v>0</v>
      </c>
      <c r="AY612">
        <v>1</v>
      </c>
      <c r="AZ612" s="10">
        <v>0</v>
      </c>
      <c r="BA612">
        <v>0</v>
      </c>
      <c r="BB612">
        <v>0</v>
      </c>
      <c r="BC612">
        <v>1</v>
      </c>
      <c r="BD612" s="143" t="s">
        <v>221</v>
      </c>
      <c r="BG612"/>
    </row>
    <row r="613" spans="1:59" ht="14.25" customHeight="1" x14ac:dyDescent="0.25">
      <c r="A613" s="37" t="str">
        <f>LEFT(Scharniere[[#This Row],[ArtikelNR]],4)</f>
        <v>F035</v>
      </c>
      <c r="B613" s="35" t="str">
        <f>MID(Scharniere[[#This Row],[ArtikelNR]],5,3)</f>
        <v>139</v>
      </c>
      <c r="C613" s="37" t="str">
        <f>RIGHT(Scharniere[[#This Row],[ArtikelNR]],3)</f>
        <v>553</v>
      </c>
      <c r="D613" s="35">
        <f>IF(AND(Scharniere[[#This Row],[Gruppenschlüssel]]=select!$A$44,Scharniere[[#This Row],[Scharnierart]]=1)=TRUE,1,0)</f>
        <v>0</v>
      </c>
      <c r="E6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3" s="35">
        <f>IF(select!$F$57=IF(Scharniere[[#This Row],[mit Dämpfung]]=1,1,IF(Scharniere[[#This Row],[ohne Dämpfung]]=1,2,IF(Scharniere[[#This Row],[ohne Feder]]=1,3,0))),1,0)</f>
        <v>1</v>
      </c>
      <c r="G613" s="35">
        <f>IF(Scharniere[[#This Row],[Bohrbild]]=select!$V$43,1,0)</f>
        <v>0</v>
      </c>
      <c r="H613" s="35">
        <f>IF(IF(Scharniere[[#This Row],[Anschrauben]]=1,1,IF(Scharniere[[#This Row],[Einpressen]]=1,2,IF(Scharniere[[#This Row],[Quick]]=1,3,IF(Scharniere[[#This Row],[Werkzeuglos]]=1,4,0))))=select!$F$48,1,0)</f>
        <v>0</v>
      </c>
      <c r="I6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3" s="149">
        <f>IF(AND(Scharniere[[#This Row],[Scharnierart]]=2,Scharniere[[#This Row],[Gruppenschlüssel]]=select!$A$318)=TRUE,1,0)</f>
        <v>0</v>
      </c>
      <c r="K613" s="221">
        <f ca="1">IF(select!$O$424&lt;6,1,0)</f>
        <v>1</v>
      </c>
      <c r="L613" s="139">
        <f>IF(select!$A$362=IF(Scharniere[[#This Row],[mit Dämpfung]]=1,1,IF(Scharniere[[#This Row],[ohne Dämpfung]]=1,2,IF(Scharniere[[#This Row],[ohne Feder]]=1,3,0))),1,0)</f>
        <v>0</v>
      </c>
      <c r="M613" s="135">
        <f>IF(Scharniere[[#This Row],[Bohrbild]]=select!$O$334,1,0)</f>
        <v>0</v>
      </c>
      <c r="N613" s="135">
        <f>IF(IF(Scharniere[[#This Row],[Anschrauben]]=1,1,IF(Scharniere[[#This Row],[Einpressen]]=1,2,IF(Scharniere[[#This Row],[Quick]]=1,3,IF(Scharniere[[#This Row],[Werkzeuglos]]=1,4,0))))=select!$E$362,1,0)</f>
        <v>0</v>
      </c>
      <c r="O6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3" s="298">
        <f>IF(AND(Scharniere[[#This Row],[Scharnierart]]=3,Scharniere[[#This Row],[Gruppenschlüssel]]=select!$A$747)=TRUE,1,0)</f>
        <v>0</v>
      </c>
      <c r="Q613" s="298">
        <f ca="1">IF(select!$O$945&lt;6,1,0)</f>
        <v>1</v>
      </c>
      <c r="R613" s="298">
        <f>IF(select!$A$778=IF(Scharniere[[#This Row],[mit Dämpfung]]=1,1,IF(Scharniere[[#This Row],[ohne Dämpfung]]=1,2,IF(Scharniere[[#This Row],[ohne Feder]]=1,3,0))),1,0)</f>
        <v>0</v>
      </c>
      <c r="S613" s="298">
        <f>IF(Scharniere[[#This Row],[Bohrbild]]=select!$A$755,1,0)</f>
        <v>0</v>
      </c>
      <c r="T613" s="298">
        <f>IF(IF(Scharniere[[#This Row],[Anschrauben]]=1,1,IF(Scharniere[[#This Row],[Einpressen]]=1,2,IF(Scharniere[[#This Row],[Quick]]=1,3,IF(Scharniere[[#This Row],[Werkzeuglos]]=1,4,0))))=select!$A$769,1,0)</f>
        <v>0</v>
      </c>
      <c r="U6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3" s="359">
        <f>IF(AND(Scharniere[[#This Row],[Scharnierart]]=4,Scharniere[[#This Row],[Gruppenschlüssel]]=select!$A$981)=TRUE,1,0)</f>
        <v>0</v>
      </c>
      <c r="W613" s="359">
        <f ca="1">IF(select!$O$1185&lt;6,1,0)</f>
        <v>1</v>
      </c>
      <c r="X613" s="359">
        <f>IF(select!$A$1012=IF(Scharniere[[#This Row],[mit Dämpfung]]=1,1,IF(Scharniere[[#This Row],[ohne Dämpfung]]=1,2,IF(Scharniere[[#This Row],[ohne Feder]]=1,3,0))),1,0)</f>
        <v>0</v>
      </c>
      <c r="Y613" s="359">
        <f>IF(Scharniere[[#This Row],[Bohrbild]]=select!$A$989,1,0)</f>
        <v>0</v>
      </c>
      <c r="Z613" s="359">
        <f>IF(IF(Scharniere[[#This Row],[Anschrauben]]=1,1,IF(Scharniere[[#This Row],[Einpressen]]=1,2,IF(Scharniere[[#This Row],[Quick]]=1,3,IF(Scharniere[[#This Row],[Werkzeuglos]]=1,4,0))))=select!$A$1003,1,0)</f>
        <v>0</v>
      </c>
      <c r="AA6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3" s="359">
        <f ca="1">IF(select!$K$980="*",Scharniere[[#This Row],[AG Ges2]],Scharniere[[#This Row],[AG Ges1]])</f>
        <v>0</v>
      </c>
      <c r="AE613" s="451">
        <f ca="1">IF(AND(Scharniere[[#This Row],[Scharnierart]]=select!$A$1485,Scharniere[[#This Row],[Gruppenschlüssel]]=select!$B$1485)=TRUE,1,0)</f>
        <v>0</v>
      </c>
      <c r="AF613" s="451">
        <f ca="1">IF(AND(Scharniere[[#This Row],[Scharnierart]]=select!$A$1486,Scharniere[[#This Row],[Gruppenschlüssel]]=select!$B$1486)=TRUE,1,0)</f>
        <v>0</v>
      </c>
      <c r="AG613" s="451">
        <f ca="1">IF(AND(Scharniere[[#This Row],[Scharnierart]]=select!$A$1487,Scharniere[[#This Row],[Gruppenschlüssel]]=select!$B$1487)=TRUE,1,0)</f>
        <v>0</v>
      </c>
      <c r="AH613" s="451">
        <f ca="1">IF(AND(Scharniere[[#This Row],[Scharnierart]]=select!$A$1488,Scharniere[[#This Row],[Gruppenschlüssel]]=select!$B$1488)=TRUE,1,0)</f>
        <v>0</v>
      </c>
      <c r="AI613" s="451">
        <f ca="1">IF(SUM(Scharniere[[#This Row],[konf Scharnier 1]:[konf Scharnier 4]])&gt;0,1,0)</f>
        <v>0</v>
      </c>
      <c r="AJ613" s="451"/>
      <c r="AK613" s="451"/>
      <c r="AL613" s="451"/>
      <c r="AM613" s="451"/>
      <c r="AN613" s="451"/>
      <c r="AO613" s="146">
        <v>1</v>
      </c>
      <c r="AP613" s="146">
        <v>4</v>
      </c>
      <c r="AQ613" s="10" t="str">
        <f ca="1">Sprache!$A$115</f>
        <v>Tiomos Scharnier TT Impresso</v>
      </c>
      <c r="AR613" t="s">
        <v>1951</v>
      </c>
      <c r="AS613" t="str">
        <f ca="1">Sprache!$A$116</f>
        <v>Tiomos Impresso Scharniere</v>
      </c>
      <c r="AT613">
        <v>9.5</v>
      </c>
      <c r="AU613" t="s">
        <v>11</v>
      </c>
      <c r="AV613">
        <v>95</v>
      </c>
      <c r="AW613" s="10">
        <v>0</v>
      </c>
      <c r="AX613">
        <v>0</v>
      </c>
      <c r="AY613">
        <v>1</v>
      </c>
      <c r="AZ613" s="10">
        <v>0</v>
      </c>
      <c r="BA613">
        <v>0</v>
      </c>
      <c r="BB613">
        <v>0</v>
      </c>
      <c r="BC613">
        <v>1</v>
      </c>
      <c r="BD613" s="143" t="s">
        <v>221</v>
      </c>
      <c r="BG613"/>
    </row>
    <row r="614" spans="1:59" ht="14.25" customHeight="1" x14ac:dyDescent="0.25">
      <c r="A614" s="37" t="str">
        <f>LEFT(Scharniere[[#This Row],[ArtikelNR]],4)</f>
        <v>F045</v>
      </c>
      <c r="B614" s="35" t="str">
        <f>MID(Scharniere[[#This Row],[ArtikelNR]],5,3)</f>
        <v>138</v>
      </c>
      <c r="C614" s="37" t="str">
        <f>RIGHT(Scharniere[[#This Row],[ArtikelNR]],3)</f>
        <v>054</v>
      </c>
      <c r="D614" s="35">
        <f>IF(AND(Scharniere[[#This Row],[Gruppenschlüssel]]=select!$A$44,Scharniere[[#This Row],[Scharnierart]]=1)=TRUE,1,0)</f>
        <v>0</v>
      </c>
      <c r="E6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4" s="35">
        <f>IF(select!$F$57=IF(Scharniere[[#This Row],[mit Dämpfung]]=1,1,IF(Scharniere[[#This Row],[ohne Dämpfung]]=1,2,IF(Scharniere[[#This Row],[ohne Feder]]=1,3,0))),1,0)</f>
        <v>0</v>
      </c>
      <c r="G614" s="35">
        <f>IF(Scharniere[[#This Row],[Bohrbild]]=select!$V$43,1,0)</f>
        <v>1</v>
      </c>
      <c r="H614" s="35">
        <f>IF(IF(Scharniere[[#This Row],[Anschrauben]]=1,1,IF(Scharniere[[#This Row],[Einpressen]]=1,2,IF(Scharniere[[#This Row],[Quick]]=1,3,IF(Scharniere[[#This Row],[Werkzeuglos]]=1,4,0))))=select!$F$48,1,0)</f>
        <v>1</v>
      </c>
      <c r="I6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4" s="149">
        <f>IF(AND(Scharniere[[#This Row],[Scharnierart]]=2,Scharniere[[#This Row],[Gruppenschlüssel]]=select!$A$318)=TRUE,1,0)</f>
        <v>0</v>
      </c>
      <c r="K614" s="221">
        <f ca="1">IF(select!$O$424&lt;6,1,0)</f>
        <v>1</v>
      </c>
      <c r="L614" s="139">
        <f>IF(select!$A$362=IF(Scharniere[[#This Row],[mit Dämpfung]]=1,1,IF(Scharniere[[#This Row],[ohne Dämpfung]]=1,2,IF(Scharniere[[#This Row],[ohne Feder]]=1,3,0))),1,0)</f>
        <v>0</v>
      </c>
      <c r="M614" s="135">
        <f>IF(Scharniere[[#This Row],[Bohrbild]]=select!$O$334,1,0)</f>
        <v>1</v>
      </c>
      <c r="N614" s="135">
        <f>IF(IF(Scharniere[[#This Row],[Anschrauben]]=1,1,IF(Scharniere[[#This Row],[Einpressen]]=1,2,IF(Scharniere[[#This Row],[Quick]]=1,3,IF(Scharniere[[#This Row],[Werkzeuglos]]=1,4,0))))=select!$E$362,1,0)</f>
        <v>0</v>
      </c>
      <c r="O6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4" s="298">
        <f>IF(AND(Scharniere[[#This Row],[Scharnierart]]=3,Scharniere[[#This Row],[Gruppenschlüssel]]=select!$A$747)=TRUE,1,0)</f>
        <v>0</v>
      </c>
      <c r="Q614" s="298">
        <f ca="1">IF(select!$O$945&lt;6,1,0)</f>
        <v>1</v>
      </c>
      <c r="R614" s="298">
        <f>IF(select!$A$778=IF(Scharniere[[#This Row],[mit Dämpfung]]=1,1,IF(Scharniere[[#This Row],[ohne Dämpfung]]=1,2,IF(Scharniere[[#This Row],[ohne Feder]]=1,3,0))),1,0)</f>
        <v>1</v>
      </c>
      <c r="S614" s="298">
        <f>IF(Scharniere[[#This Row],[Bohrbild]]=select!$A$755,1,0)</f>
        <v>0</v>
      </c>
      <c r="T614" s="298">
        <f>IF(IF(Scharniere[[#This Row],[Anschrauben]]=1,1,IF(Scharniere[[#This Row],[Einpressen]]=1,2,IF(Scharniere[[#This Row],[Quick]]=1,3,IF(Scharniere[[#This Row],[Werkzeuglos]]=1,4,0))))=select!$A$769,1,0)</f>
        <v>0</v>
      </c>
      <c r="U6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4" s="359">
        <f>IF(AND(Scharniere[[#This Row],[Scharnierart]]=4,Scharniere[[#This Row],[Gruppenschlüssel]]=select!$A$981)=TRUE,1,0)</f>
        <v>0</v>
      </c>
      <c r="W614" s="359">
        <f ca="1">IF(select!$O$1185&lt;6,1,0)</f>
        <v>1</v>
      </c>
      <c r="X614" s="359">
        <f>IF(select!$A$1012=IF(Scharniere[[#This Row],[mit Dämpfung]]=1,1,IF(Scharniere[[#This Row],[ohne Dämpfung]]=1,2,IF(Scharniere[[#This Row],[ohne Feder]]=1,3,0))),1,0)</f>
        <v>1</v>
      </c>
      <c r="Y614" s="359">
        <f>IF(Scharniere[[#This Row],[Bohrbild]]=select!$A$989,1,0)</f>
        <v>0</v>
      </c>
      <c r="Z614" s="359">
        <f>IF(IF(Scharniere[[#This Row],[Anschrauben]]=1,1,IF(Scharniere[[#This Row],[Einpressen]]=1,2,IF(Scharniere[[#This Row],[Quick]]=1,3,IF(Scharniere[[#This Row],[Werkzeuglos]]=1,4,0))))=select!$A$1003,1,0)</f>
        <v>0</v>
      </c>
      <c r="AA6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4" s="359">
        <f ca="1">IF(select!$K$980="*",Scharniere[[#This Row],[AG Ges2]],Scharniere[[#This Row],[AG Ges1]])</f>
        <v>0</v>
      </c>
      <c r="AE614" s="451">
        <f ca="1">IF(AND(Scharniere[[#This Row],[Scharnierart]]=select!$A$1485,Scharniere[[#This Row],[Gruppenschlüssel]]=select!$B$1485)=TRUE,1,0)</f>
        <v>0</v>
      </c>
      <c r="AF614" s="451">
        <f ca="1">IF(AND(Scharniere[[#This Row],[Scharnierart]]=select!$A$1486,Scharniere[[#This Row],[Gruppenschlüssel]]=select!$B$1486)=TRUE,1,0)</f>
        <v>0</v>
      </c>
      <c r="AG614" s="451">
        <f ca="1">IF(AND(Scharniere[[#This Row],[Scharnierart]]=select!$A$1487,Scharniere[[#This Row],[Gruppenschlüssel]]=select!$B$1487)=TRUE,1,0)</f>
        <v>0</v>
      </c>
      <c r="AH614" s="451">
        <f ca="1">IF(AND(Scharniere[[#This Row],[Scharnierart]]=select!$A$1488,Scharniere[[#This Row],[Gruppenschlüssel]]=select!$B$1488)=TRUE,1,0)</f>
        <v>0</v>
      </c>
      <c r="AI614" s="451">
        <f ca="1">IF(SUM(Scharniere[[#This Row],[konf Scharnier 1]:[konf Scharnier 4]])&gt;0,1,0)</f>
        <v>0</v>
      </c>
      <c r="AJ614" s="451"/>
      <c r="AK614" s="451"/>
      <c r="AL614" s="451"/>
      <c r="AM614" s="451"/>
      <c r="AN614" s="451"/>
      <c r="AO614" s="146">
        <v>1</v>
      </c>
      <c r="AP614" s="146">
        <v>4</v>
      </c>
      <c r="AQ614" s="10" t="str">
        <f ca="1">Sprache!$A$110</f>
        <v>Tiomos Scharnier T Click-on</v>
      </c>
      <c r="AR614" t="str">
        <f ca="1">"95°, M-BB, K9.5, "&amp;Sprache!A181&amp;", ni"</f>
        <v>95°, M-BB, K9.5, Dübel, ni</v>
      </c>
      <c r="AS614" t="str">
        <f ca="1">Sprache!$A$103</f>
        <v>Tiomos Click-On Scharniere</v>
      </c>
      <c r="AT614">
        <v>9.5</v>
      </c>
      <c r="AU614" t="s">
        <v>8</v>
      </c>
      <c r="AV614">
        <v>95</v>
      </c>
      <c r="AW614" s="10">
        <v>0</v>
      </c>
      <c r="AX614">
        <v>1</v>
      </c>
      <c r="AY614">
        <v>0</v>
      </c>
      <c r="AZ614" s="10">
        <v>0</v>
      </c>
      <c r="BA614">
        <v>1</v>
      </c>
      <c r="BB614">
        <v>0</v>
      </c>
      <c r="BC614">
        <v>0</v>
      </c>
      <c r="BD614" s="143" t="s">
        <v>455</v>
      </c>
      <c r="BG614"/>
    </row>
    <row r="615" spans="1:59" ht="14.25" customHeight="1" x14ac:dyDescent="0.25">
      <c r="A615" s="37" t="str">
        <f>LEFT(Scharniere[[#This Row],[ArtikelNR]],4)</f>
        <v>F028</v>
      </c>
      <c r="B615" s="35" t="str">
        <f>MID(Scharniere[[#This Row],[ArtikelNR]],5,3)</f>
        <v>138</v>
      </c>
      <c r="C615" s="37" t="str">
        <f>RIGHT(Scharniere[[#This Row],[ArtikelNR]],3)</f>
        <v>147</v>
      </c>
      <c r="D615" s="35">
        <f>IF(AND(Scharniere[[#This Row],[Gruppenschlüssel]]=select!$A$44,Scharniere[[#This Row],[Scharnierart]]=1)=TRUE,1,0)</f>
        <v>0</v>
      </c>
      <c r="E6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5" s="35">
        <f>IF(select!$F$57=IF(Scharniere[[#This Row],[mit Dämpfung]]=1,1,IF(Scharniere[[#This Row],[ohne Dämpfung]]=1,2,IF(Scharniere[[#This Row],[ohne Feder]]=1,3,0))),1,0)</f>
        <v>0</v>
      </c>
      <c r="G615" s="35">
        <f>IF(Scharniere[[#This Row],[Bohrbild]]=select!$V$43,1,0)</f>
        <v>1</v>
      </c>
      <c r="H615" s="35">
        <f>IF(IF(Scharniere[[#This Row],[Anschrauben]]=1,1,IF(Scharniere[[#This Row],[Einpressen]]=1,2,IF(Scharniere[[#This Row],[Quick]]=1,3,IF(Scharniere[[#This Row],[Werkzeuglos]]=1,4,0))))=select!$F$48,1,0)</f>
        <v>1</v>
      </c>
      <c r="I6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5" s="149">
        <f>IF(AND(Scharniere[[#This Row],[Scharnierart]]=2,Scharniere[[#This Row],[Gruppenschlüssel]]=select!$A$318)=TRUE,1,0)</f>
        <v>0</v>
      </c>
      <c r="K615" s="221">
        <f ca="1">IF(select!$O$424&lt;6,1,0)</f>
        <v>1</v>
      </c>
      <c r="L615" s="139">
        <f>IF(select!$A$362=IF(Scharniere[[#This Row],[mit Dämpfung]]=1,1,IF(Scharniere[[#This Row],[ohne Dämpfung]]=1,2,IF(Scharniere[[#This Row],[ohne Feder]]=1,3,0))),1,0)</f>
        <v>1</v>
      </c>
      <c r="M615" s="135">
        <f>IF(Scharniere[[#This Row],[Bohrbild]]=select!$O$334,1,0)</f>
        <v>1</v>
      </c>
      <c r="N615" s="135">
        <f>IF(IF(Scharniere[[#This Row],[Anschrauben]]=1,1,IF(Scharniere[[#This Row],[Einpressen]]=1,2,IF(Scharniere[[#This Row],[Quick]]=1,3,IF(Scharniere[[#This Row],[Werkzeuglos]]=1,4,0))))=select!$E$362,1,0)</f>
        <v>0</v>
      </c>
      <c r="O6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5" s="298">
        <f>IF(AND(Scharniere[[#This Row],[Scharnierart]]=3,Scharniere[[#This Row],[Gruppenschlüssel]]=select!$A$747)=TRUE,1,0)</f>
        <v>0</v>
      </c>
      <c r="Q615" s="298">
        <f ca="1">IF(select!$O$945&lt;6,1,0)</f>
        <v>1</v>
      </c>
      <c r="R615" s="298">
        <f>IF(select!$A$778=IF(Scharniere[[#This Row],[mit Dämpfung]]=1,1,IF(Scharniere[[#This Row],[ohne Dämpfung]]=1,2,IF(Scharniere[[#This Row],[ohne Feder]]=1,3,0))),1,0)</f>
        <v>0</v>
      </c>
      <c r="S615" s="298">
        <f>IF(Scharniere[[#This Row],[Bohrbild]]=select!$A$755,1,0)</f>
        <v>0</v>
      </c>
      <c r="T615" s="298">
        <f>IF(IF(Scharniere[[#This Row],[Anschrauben]]=1,1,IF(Scharniere[[#This Row],[Einpressen]]=1,2,IF(Scharniere[[#This Row],[Quick]]=1,3,IF(Scharniere[[#This Row],[Werkzeuglos]]=1,4,0))))=select!$A$769,1,0)</f>
        <v>0</v>
      </c>
      <c r="U6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5" s="359">
        <f>IF(AND(Scharniere[[#This Row],[Scharnierart]]=4,Scharniere[[#This Row],[Gruppenschlüssel]]=select!$A$981)=TRUE,1,0)</f>
        <v>0</v>
      </c>
      <c r="W615" s="359">
        <f ca="1">IF(select!$O$1185&lt;6,1,0)</f>
        <v>1</v>
      </c>
      <c r="X615" s="359">
        <f>IF(select!$A$1012=IF(Scharniere[[#This Row],[mit Dämpfung]]=1,1,IF(Scharniere[[#This Row],[ohne Dämpfung]]=1,2,IF(Scharniere[[#This Row],[ohne Feder]]=1,3,0))),1,0)</f>
        <v>0</v>
      </c>
      <c r="Y615" s="359">
        <f>IF(Scharniere[[#This Row],[Bohrbild]]=select!$A$989,1,0)</f>
        <v>0</v>
      </c>
      <c r="Z615" s="359">
        <f>IF(IF(Scharniere[[#This Row],[Anschrauben]]=1,1,IF(Scharniere[[#This Row],[Einpressen]]=1,2,IF(Scharniere[[#This Row],[Quick]]=1,3,IF(Scharniere[[#This Row],[Werkzeuglos]]=1,4,0))))=select!$A$1003,1,0)</f>
        <v>0</v>
      </c>
      <c r="AA6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5" s="359">
        <f ca="1">IF(select!$K$980="*",Scharniere[[#This Row],[AG Ges2]],Scharniere[[#This Row],[AG Ges1]])</f>
        <v>0</v>
      </c>
      <c r="AE615" s="451">
        <f ca="1">IF(AND(Scharniere[[#This Row],[Scharnierart]]=select!$A$1485,Scharniere[[#This Row],[Gruppenschlüssel]]=select!$B$1485)=TRUE,1,0)</f>
        <v>0</v>
      </c>
      <c r="AF615" s="451">
        <f ca="1">IF(AND(Scharniere[[#This Row],[Scharnierart]]=select!$A$1486,Scharniere[[#This Row],[Gruppenschlüssel]]=select!$B$1486)=TRUE,1,0)</f>
        <v>0</v>
      </c>
      <c r="AG615" s="451">
        <f ca="1">IF(AND(Scharniere[[#This Row],[Scharnierart]]=select!$A$1487,Scharniere[[#This Row],[Gruppenschlüssel]]=select!$B$1487)=TRUE,1,0)</f>
        <v>0</v>
      </c>
      <c r="AH615" s="451">
        <f ca="1">IF(AND(Scharniere[[#This Row],[Scharnierart]]=select!$A$1488,Scharniere[[#This Row],[Gruppenschlüssel]]=select!$B$1488)=TRUE,1,0)</f>
        <v>0</v>
      </c>
      <c r="AI615" s="451">
        <f ca="1">IF(SUM(Scharniere[[#This Row],[konf Scharnier 1]:[konf Scharnier 4]])&gt;0,1,0)</f>
        <v>0</v>
      </c>
      <c r="AJ615" s="451"/>
      <c r="AK615" s="451"/>
      <c r="AL615" s="451"/>
      <c r="AM615" s="451"/>
      <c r="AN615" s="451"/>
      <c r="AO615" s="146">
        <v>1</v>
      </c>
      <c r="AP615" s="146">
        <v>4</v>
      </c>
      <c r="AQ615" s="10" t="str">
        <f ca="1">Sprache!$A$112</f>
        <v>Tiomos Scharnier TS Click-on</v>
      </c>
      <c r="AR615" t="str">
        <f ca="1">"95°, M-BB, K9.5, "&amp;Sprache!A181&amp;", ni"</f>
        <v>95°, M-BB, K9.5, Dübel, ni</v>
      </c>
      <c r="AS615" t="str">
        <f ca="1">Sprache!$A$103</f>
        <v>Tiomos Click-On Scharniere</v>
      </c>
      <c r="AT615">
        <v>9.5</v>
      </c>
      <c r="AU615" s="34" t="s">
        <v>8</v>
      </c>
      <c r="AV615">
        <v>95</v>
      </c>
      <c r="AW615" s="10">
        <v>1</v>
      </c>
      <c r="AX615">
        <v>0</v>
      </c>
      <c r="AY615">
        <v>0</v>
      </c>
      <c r="AZ615" s="10">
        <v>0</v>
      </c>
      <c r="BA615">
        <v>1</v>
      </c>
      <c r="BB615">
        <v>0</v>
      </c>
      <c r="BC615">
        <v>0</v>
      </c>
      <c r="BD615" s="143" t="s">
        <v>262</v>
      </c>
      <c r="BG615"/>
    </row>
    <row r="616" spans="1:59" ht="14.25" customHeight="1" x14ac:dyDescent="0.25">
      <c r="A616" s="37" t="str">
        <f>LEFT(Scharniere[[#This Row],[ArtikelNR]],4)</f>
        <v>F046</v>
      </c>
      <c r="B616" s="35" t="str">
        <f>MID(Scharniere[[#This Row],[ArtikelNR]],5,3)</f>
        <v>138</v>
      </c>
      <c r="C616" s="37" t="str">
        <f>RIGHT(Scharniere[[#This Row],[ArtikelNR]],3)</f>
        <v>238</v>
      </c>
      <c r="D616" s="35">
        <f>IF(AND(Scharniere[[#This Row],[Gruppenschlüssel]]=select!$A$44,Scharniere[[#This Row],[Scharnierart]]=1)=TRUE,1,0)</f>
        <v>0</v>
      </c>
      <c r="E6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6" s="35">
        <f>IF(select!$F$57=IF(Scharniere[[#This Row],[mit Dämpfung]]=1,1,IF(Scharniere[[#This Row],[ohne Dämpfung]]=1,2,IF(Scharniere[[#This Row],[ohne Feder]]=1,3,0))),1,0)</f>
        <v>1</v>
      </c>
      <c r="G616" s="35">
        <f>IF(Scharniere[[#This Row],[Bohrbild]]=select!$V$43,1,0)</f>
        <v>1</v>
      </c>
      <c r="H616" s="35">
        <f>IF(IF(Scharniere[[#This Row],[Anschrauben]]=1,1,IF(Scharniere[[#This Row],[Einpressen]]=1,2,IF(Scharniere[[#This Row],[Quick]]=1,3,IF(Scharniere[[#This Row],[Werkzeuglos]]=1,4,0))))=select!$F$48,1,0)</f>
        <v>1</v>
      </c>
      <c r="I6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6" s="149">
        <f>IF(AND(Scharniere[[#This Row],[Scharnierart]]=2,Scharniere[[#This Row],[Gruppenschlüssel]]=select!$A$318)=TRUE,1,0)</f>
        <v>0</v>
      </c>
      <c r="K616" s="221">
        <f ca="1">IF(select!$O$424&lt;6,1,0)</f>
        <v>1</v>
      </c>
      <c r="L616" s="139">
        <f>IF(select!$A$362=IF(Scharniere[[#This Row],[mit Dämpfung]]=1,1,IF(Scharniere[[#This Row],[ohne Dämpfung]]=1,2,IF(Scharniere[[#This Row],[ohne Feder]]=1,3,0))),1,0)</f>
        <v>0</v>
      </c>
      <c r="M616" s="135">
        <f>IF(Scharniere[[#This Row],[Bohrbild]]=select!$O$334,1,0)</f>
        <v>1</v>
      </c>
      <c r="N616" s="135">
        <f>IF(IF(Scharniere[[#This Row],[Anschrauben]]=1,1,IF(Scharniere[[#This Row],[Einpressen]]=1,2,IF(Scharniere[[#This Row],[Quick]]=1,3,IF(Scharniere[[#This Row],[Werkzeuglos]]=1,4,0))))=select!$E$362,1,0)</f>
        <v>0</v>
      </c>
      <c r="O6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6" s="298">
        <f>IF(AND(Scharniere[[#This Row],[Scharnierart]]=3,Scharniere[[#This Row],[Gruppenschlüssel]]=select!$A$747)=TRUE,1,0)</f>
        <v>0</v>
      </c>
      <c r="Q616" s="298">
        <f ca="1">IF(select!$O$945&lt;6,1,0)</f>
        <v>1</v>
      </c>
      <c r="R616" s="298">
        <f>IF(select!$A$778=IF(Scharniere[[#This Row],[mit Dämpfung]]=1,1,IF(Scharniere[[#This Row],[ohne Dämpfung]]=1,2,IF(Scharniere[[#This Row],[ohne Feder]]=1,3,0))),1,0)</f>
        <v>0</v>
      </c>
      <c r="S616" s="298">
        <f>IF(Scharniere[[#This Row],[Bohrbild]]=select!$A$755,1,0)</f>
        <v>0</v>
      </c>
      <c r="T616" s="298">
        <f>IF(IF(Scharniere[[#This Row],[Anschrauben]]=1,1,IF(Scharniere[[#This Row],[Einpressen]]=1,2,IF(Scharniere[[#This Row],[Quick]]=1,3,IF(Scharniere[[#This Row],[Werkzeuglos]]=1,4,0))))=select!$A$769,1,0)</f>
        <v>0</v>
      </c>
      <c r="U6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6" s="359">
        <f>IF(AND(Scharniere[[#This Row],[Scharnierart]]=4,Scharniere[[#This Row],[Gruppenschlüssel]]=select!$A$981)=TRUE,1,0)</f>
        <v>0</v>
      </c>
      <c r="W616" s="359">
        <f ca="1">IF(select!$O$1185&lt;6,1,0)</f>
        <v>1</v>
      </c>
      <c r="X616" s="359">
        <f>IF(select!$A$1012=IF(Scharniere[[#This Row],[mit Dämpfung]]=1,1,IF(Scharniere[[#This Row],[ohne Dämpfung]]=1,2,IF(Scharniere[[#This Row],[ohne Feder]]=1,3,0))),1,0)</f>
        <v>0</v>
      </c>
      <c r="Y616" s="359">
        <f>IF(Scharniere[[#This Row],[Bohrbild]]=select!$A$989,1,0)</f>
        <v>0</v>
      </c>
      <c r="Z616" s="359">
        <f>IF(IF(Scharniere[[#This Row],[Anschrauben]]=1,1,IF(Scharniere[[#This Row],[Einpressen]]=1,2,IF(Scharniere[[#This Row],[Quick]]=1,3,IF(Scharniere[[#This Row],[Werkzeuglos]]=1,4,0))))=select!$A$1003,1,0)</f>
        <v>0</v>
      </c>
      <c r="AA6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6" s="359">
        <f ca="1">IF(select!$K$980="*",Scharniere[[#This Row],[AG Ges2]],Scharniere[[#This Row],[AG Ges1]])</f>
        <v>0</v>
      </c>
      <c r="AE616" s="451">
        <f ca="1">IF(AND(Scharniere[[#This Row],[Scharnierart]]=select!$A$1485,Scharniere[[#This Row],[Gruppenschlüssel]]=select!$B$1485)=TRUE,1,0)</f>
        <v>0</v>
      </c>
      <c r="AF616" s="451">
        <f ca="1">IF(AND(Scharniere[[#This Row],[Scharnierart]]=select!$A$1486,Scharniere[[#This Row],[Gruppenschlüssel]]=select!$B$1486)=TRUE,1,0)</f>
        <v>0</v>
      </c>
      <c r="AG616" s="451">
        <f ca="1">IF(AND(Scharniere[[#This Row],[Scharnierart]]=select!$A$1487,Scharniere[[#This Row],[Gruppenschlüssel]]=select!$B$1487)=TRUE,1,0)</f>
        <v>0</v>
      </c>
      <c r="AH616" s="451">
        <f ca="1">IF(AND(Scharniere[[#This Row],[Scharnierart]]=select!$A$1488,Scharniere[[#This Row],[Gruppenschlüssel]]=select!$B$1488)=TRUE,1,0)</f>
        <v>0</v>
      </c>
      <c r="AI616" s="451">
        <f ca="1">IF(SUM(Scharniere[[#This Row],[konf Scharnier 1]:[konf Scharnier 4]])&gt;0,1,0)</f>
        <v>0</v>
      </c>
      <c r="AJ616" s="451"/>
      <c r="AK616" s="451"/>
      <c r="AL616" s="451"/>
      <c r="AM616" s="451"/>
      <c r="AN616" s="451"/>
      <c r="AO616" s="146">
        <v>1</v>
      </c>
      <c r="AP616" s="146">
        <v>4</v>
      </c>
      <c r="AQ616" s="10" t="str">
        <f ca="1">Sprache!$A$114</f>
        <v>Tiomos Scharnier TT Click-on</v>
      </c>
      <c r="AR616" t="str">
        <f ca="1">"95°, M-BB, K9.5, "&amp;Sprache!A181&amp;", ni"</f>
        <v>95°, M-BB, K9.5, Dübel, ni</v>
      </c>
      <c r="AS616" t="str">
        <f ca="1">Sprache!$A$103</f>
        <v>Tiomos Click-On Scharniere</v>
      </c>
      <c r="AT616">
        <v>9.5</v>
      </c>
      <c r="AU616" s="10" t="s">
        <v>8</v>
      </c>
      <c r="AV616">
        <v>95</v>
      </c>
      <c r="AW616" s="10">
        <v>0</v>
      </c>
      <c r="AX616">
        <v>0</v>
      </c>
      <c r="AY616">
        <v>1</v>
      </c>
      <c r="AZ616" s="10">
        <v>0</v>
      </c>
      <c r="BA616">
        <v>1</v>
      </c>
      <c r="BB616">
        <v>0</v>
      </c>
      <c r="BC616">
        <v>0</v>
      </c>
      <c r="BD616" s="143" t="s">
        <v>607</v>
      </c>
      <c r="BG616"/>
    </row>
    <row r="617" spans="1:59" ht="14.25" customHeight="1" x14ac:dyDescent="0.25">
      <c r="A617" s="37" t="str">
        <f>LEFT(Scharniere[[#This Row],[ArtikelNR]],4)</f>
        <v>F045</v>
      </c>
      <c r="B617" s="35" t="str">
        <f>MID(Scharniere[[#This Row],[ArtikelNR]],5,3)</f>
        <v>138</v>
      </c>
      <c r="C617" s="37" t="str">
        <f>RIGHT(Scharniere[[#This Row],[ArtikelNR]],3)</f>
        <v>050</v>
      </c>
      <c r="D617" s="35">
        <f>IF(AND(Scharniere[[#This Row],[Gruppenschlüssel]]=select!$A$44,Scharniere[[#This Row],[Scharnierart]]=1)=TRUE,1,0)</f>
        <v>0</v>
      </c>
      <c r="E6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7" s="35">
        <f>IF(select!$F$57=IF(Scharniere[[#This Row],[mit Dämpfung]]=1,1,IF(Scharniere[[#This Row],[ohne Dämpfung]]=1,2,IF(Scharniere[[#This Row],[ohne Feder]]=1,3,0))),1,0)</f>
        <v>0</v>
      </c>
      <c r="G617" s="35">
        <f>IF(Scharniere[[#This Row],[Bohrbild]]=select!$V$43,1,0)</f>
        <v>1</v>
      </c>
      <c r="H617" s="35">
        <f>IF(IF(Scharniere[[#This Row],[Anschrauben]]=1,1,IF(Scharniere[[#This Row],[Einpressen]]=1,2,IF(Scharniere[[#This Row],[Quick]]=1,3,IF(Scharniere[[#This Row],[Werkzeuglos]]=1,4,0))))=select!$F$48,1,0)</f>
        <v>0</v>
      </c>
      <c r="I6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7" s="149">
        <f>IF(AND(Scharniere[[#This Row],[Scharnierart]]=2,Scharniere[[#This Row],[Gruppenschlüssel]]=select!$A$318)=TRUE,1,0)</f>
        <v>0</v>
      </c>
      <c r="K617" s="221">
        <f ca="1">IF(select!$O$424&lt;6,1,0)</f>
        <v>1</v>
      </c>
      <c r="L617" s="139">
        <f>IF(select!$A$362=IF(Scharniere[[#This Row],[mit Dämpfung]]=1,1,IF(Scharniere[[#This Row],[ohne Dämpfung]]=1,2,IF(Scharniere[[#This Row],[ohne Feder]]=1,3,0))),1,0)</f>
        <v>0</v>
      </c>
      <c r="M617" s="135">
        <f>IF(Scharniere[[#This Row],[Bohrbild]]=select!$O$334,1,0)</f>
        <v>1</v>
      </c>
      <c r="N617" s="135">
        <f>IF(IF(Scharniere[[#This Row],[Anschrauben]]=1,1,IF(Scharniere[[#This Row],[Einpressen]]=1,2,IF(Scharniere[[#This Row],[Quick]]=1,3,IF(Scharniere[[#This Row],[Werkzeuglos]]=1,4,0))))=select!$E$362,1,0)</f>
        <v>1</v>
      </c>
      <c r="O6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7" s="298">
        <f>IF(AND(Scharniere[[#This Row],[Scharnierart]]=3,Scharniere[[#This Row],[Gruppenschlüssel]]=select!$A$747)=TRUE,1,0)</f>
        <v>0</v>
      </c>
      <c r="Q617" s="298">
        <f ca="1">IF(select!$O$945&lt;6,1,0)</f>
        <v>1</v>
      </c>
      <c r="R617" s="298">
        <f>IF(select!$A$778=IF(Scharniere[[#This Row],[mit Dämpfung]]=1,1,IF(Scharniere[[#This Row],[ohne Dämpfung]]=1,2,IF(Scharniere[[#This Row],[ohne Feder]]=1,3,0))),1,0)</f>
        <v>1</v>
      </c>
      <c r="S617" s="298">
        <f>IF(Scharniere[[#This Row],[Bohrbild]]=select!$A$755,1,0)</f>
        <v>0</v>
      </c>
      <c r="T617" s="298">
        <f>IF(IF(Scharniere[[#This Row],[Anschrauben]]=1,1,IF(Scharniere[[#This Row],[Einpressen]]=1,2,IF(Scharniere[[#This Row],[Quick]]=1,3,IF(Scharniere[[#This Row],[Werkzeuglos]]=1,4,0))))=select!$A$769,1,0)</f>
        <v>1</v>
      </c>
      <c r="U6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7" s="359">
        <f>IF(AND(Scharniere[[#This Row],[Scharnierart]]=4,Scharniere[[#This Row],[Gruppenschlüssel]]=select!$A$981)=TRUE,1,0)</f>
        <v>0</v>
      </c>
      <c r="W617" s="359">
        <f ca="1">IF(select!$O$1185&lt;6,1,0)</f>
        <v>1</v>
      </c>
      <c r="X617" s="359">
        <f>IF(select!$A$1012=IF(Scharniere[[#This Row],[mit Dämpfung]]=1,1,IF(Scharniere[[#This Row],[ohne Dämpfung]]=1,2,IF(Scharniere[[#This Row],[ohne Feder]]=1,3,0))),1,0)</f>
        <v>1</v>
      </c>
      <c r="Y617" s="359">
        <f>IF(Scharniere[[#This Row],[Bohrbild]]=select!$A$989,1,0)</f>
        <v>0</v>
      </c>
      <c r="Z617" s="359">
        <f>IF(IF(Scharniere[[#This Row],[Anschrauben]]=1,1,IF(Scharniere[[#This Row],[Einpressen]]=1,2,IF(Scharniere[[#This Row],[Quick]]=1,3,IF(Scharniere[[#This Row],[Werkzeuglos]]=1,4,0))))=select!$A$1003,1,0)</f>
        <v>1</v>
      </c>
      <c r="AA6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7" s="359">
        <f ca="1">IF(select!$K$980="*",Scharniere[[#This Row],[AG Ges2]],Scharniere[[#This Row],[AG Ges1]])</f>
        <v>0</v>
      </c>
      <c r="AE617" s="451">
        <f ca="1">IF(AND(Scharniere[[#This Row],[Scharnierart]]=select!$A$1485,Scharniere[[#This Row],[Gruppenschlüssel]]=select!$B$1485)=TRUE,1,0)</f>
        <v>0</v>
      </c>
      <c r="AF617" s="451">
        <f ca="1">IF(AND(Scharniere[[#This Row],[Scharnierart]]=select!$A$1486,Scharniere[[#This Row],[Gruppenschlüssel]]=select!$B$1486)=TRUE,1,0)</f>
        <v>0</v>
      </c>
      <c r="AG617" s="451">
        <f ca="1">IF(AND(Scharniere[[#This Row],[Scharnierart]]=select!$A$1487,Scharniere[[#This Row],[Gruppenschlüssel]]=select!$B$1487)=TRUE,1,0)</f>
        <v>0</v>
      </c>
      <c r="AH617" s="451">
        <f ca="1">IF(AND(Scharniere[[#This Row],[Scharnierart]]=select!$A$1488,Scharniere[[#This Row],[Gruppenschlüssel]]=select!$B$1488)=TRUE,1,0)</f>
        <v>0</v>
      </c>
      <c r="AI617" s="451">
        <f ca="1">IF(SUM(Scharniere[[#This Row],[konf Scharnier 1]:[konf Scharnier 4]])&gt;0,1,0)</f>
        <v>0</v>
      </c>
      <c r="AJ617" s="451"/>
      <c r="AK617" s="451"/>
      <c r="AL617" s="451"/>
      <c r="AM617" s="451"/>
      <c r="AN617" s="451"/>
      <c r="AO617" s="146">
        <v>1</v>
      </c>
      <c r="AP617" s="146">
        <v>4</v>
      </c>
      <c r="AQ617" s="10" t="str">
        <f ca="1">Sprache!$A$110</f>
        <v>Tiomos Scharnier T Click-on</v>
      </c>
      <c r="AR617" t="s">
        <v>1952</v>
      </c>
      <c r="AS617" t="str">
        <f ca="1">Sprache!$A$103</f>
        <v>Tiomos Click-On Scharniere</v>
      </c>
      <c r="AT617">
        <v>9.5</v>
      </c>
      <c r="AU617" t="s">
        <v>8</v>
      </c>
      <c r="AV617">
        <v>95</v>
      </c>
      <c r="AW617" s="10">
        <v>0</v>
      </c>
      <c r="AX617">
        <v>1</v>
      </c>
      <c r="AY617">
        <v>0</v>
      </c>
      <c r="AZ617" s="10">
        <v>1</v>
      </c>
      <c r="BA617">
        <v>0</v>
      </c>
      <c r="BB617">
        <v>0</v>
      </c>
      <c r="BC617">
        <v>0</v>
      </c>
      <c r="BD617" s="143" t="s">
        <v>451</v>
      </c>
      <c r="BG617"/>
    </row>
    <row r="618" spans="1:59" ht="14.25" customHeight="1" x14ac:dyDescent="0.25">
      <c r="A618" s="37" t="str">
        <f>LEFT(Scharniere[[#This Row],[ArtikelNR]],4)</f>
        <v>F028</v>
      </c>
      <c r="B618" s="35" t="str">
        <f>MID(Scharniere[[#This Row],[ArtikelNR]],5,3)</f>
        <v>138</v>
      </c>
      <c r="C618" s="37" t="str">
        <f>RIGHT(Scharniere[[#This Row],[ArtikelNR]],3)</f>
        <v>143</v>
      </c>
      <c r="D618" s="35">
        <f>IF(AND(Scharniere[[#This Row],[Gruppenschlüssel]]=select!$A$44,Scharniere[[#This Row],[Scharnierart]]=1)=TRUE,1,0)</f>
        <v>0</v>
      </c>
      <c r="E6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8" s="35">
        <f>IF(select!$F$57=IF(Scharniere[[#This Row],[mit Dämpfung]]=1,1,IF(Scharniere[[#This Row],[ohne Dämpfung]]=1,2,IF(Scharniere[[#This Row],[ohne Feder]]=1,3,0))),1,0)</f>
        <v>0</v>
      </c>
      <c r="G618" s="35">
        <f>IF(Scharniere[[#This Row],[Bohrbild]]=select!$V$43,1,0)</f>
        <v>1</v>
      </c>
      <c r="H618" s="35">
        <f>IF(IF(Scharniere[[#This Row],[Anschrauben]]=1,1,IF(Scharniere[[#This Row],[Einpressen]]=1,2,IF(Scharniere[[#This Row],[Quick]]=1,3,IF(Scharniere[[#This Row],[Werkzeuglos]]=1,4,0))))=select!$F$48,1,0)</f>
        <v>0</v>
      </c>
      <c r="I6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8" s="149">
        <f>IF(AND(Scharniere[[#This Row],[Scharnierart]]=2,Scharniere[[#This Row],[Gruppenschlüssel]]=select!$A$318)=TRUE,1,0)</f>
        <v>0</v>
      </c>
      <c r="K618" s="221">
        <f ca="1">IF(select!$O$424&lt;6,1,0)</f>
        <v>1</v>
      </c>
      <c r="L618" s="139">
        <f>IF(select!$A$362=IF(Scharniere[[#This Row],[mit Dämpfung]]=1,1,IF(Scharniere[[#This Row],[ohne Dämpfung]]=1,2,IF(Scharniere[[#This Row],[ohne Feder]]=1,3,0))),1,0)</f>
        <v>1</v>
      </c>
      <c r="M618" s="135">
        <f>IF(Scharniere[[#This Row],[Bohrbild]]=select!$O$334,1,0)</f>
        <v>1</v>
      </c>
      <c r="N618" s="135">
        <f>IF(IF(Scharniere[[#This Row],[Anschrauben]]=1,1,IF(Scharniere[[#This Row],[Einpressen]]=1,2,IF(Scharniere[[#This Row],[Quick]]=1,3,IF(Scharniere[[#This Row],[Werkzeuglos]]=1,4,0))))=select!$E$362,1,0)</f>
        <v>1</v>
      </c>
      <c r="O6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8" s="298">
        <f>IF(AND(Scharniere[[#This Row],[Scharnierart]]=3,Scharniere[[#This Row],[Gruppenschlüssel]]=select!$A$747)=TRUE,1,0)</f>
        <v>0</v>
      </c>
      <c r="Q618" s="298">
        <f ca="1">IF(select!$O$945&lt;6,1,0)</f>
        <v>1</v>
      </c>
      <c r="R618" s="298">
        <f>IF(select!$A$778=IF(Scharniere[[#This Row],[mit Dämpfung]]=1,1,IF(Scharniere[[#This Row],[ohne Dämpfung]]=1,2,IF(Scharniere[[#This Row],[ohne Feder]]=1,3,0))),1,0)</f>
        <v>0</v>
      </c>
      <c r="S618" s="298">
        <f>IF(Scharniere[[#This Row],[Bohrbild]]=select!$A$755,1,0)</f>
        <v>0</v>
      </c>
      <c r="T618" s="298">
        <f>IF(IF(Scharniere[[#This Row],[Anschrauben]]=1,1,IF(Scharniere[[#This Row],[Einpressen]]=1,2,IF(Scharniere[[#This Row],[Quick]]=1,3,IF(Scharniere[[#This Row],[Werkzeuglos]]=1,4,0))))=select!$A$769,1,0)</f>
        <v>1</v>
      </c>
      <c r="U6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8" s="359">
        <f>IF(AND(Scharniere[[#This Row],[Scharnierart]]=4,Scharniere[[#This Row],[Gruppenschlüssel]]=select!$A$981)=TRUE,1,0)</f>
        <v>0</v>
      </c>
      <c r="W618" s="359">
        <f ca="1">IF(select!$O$1185&lt;6,1,0)</f>
        <v>1</v>
      </c>
      <c r="X618" s="359">
        <f>IF(select!$A$1012=IF(Scharniere[[#This Row],[mit Dämpfung]]=1,1,IF(Scharniere[[#This Row],[ohne Dämpfung]]=1,2,IF(Scharniere[[#This Row],[ohne Feder]]=1,3,0))),1,0)</f>
        <v>0</v>
      </c>
      <c r="Y618" s="359">
        <f>IF(Scharniere[[#This Row],[Bohrbild]]=select!$A$989,1,0)</f>
        <v>0</v>
      </c>
      <c r="Z618" s="359">
        <f>IF(IF(Scharniere[[#This Row],[Anschrauben]]=1,1,IF(Scharniere[[#This Row],[Einpressen]]=1,2,IF(Scharniere[[#This Row],[Quick]]=1,3,IF(Scharniere[[#This Row],[Werkzeuglos]]=1,4,0))))=select!$A$1003,1,0)</f>
        <v>1</v>
      </c>
      <c r="AA6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8" s="359">
        <f ca="1">IF(select!$K$980="*",Scharniere[[#This Row],[AG Ges2]],Scharniere[[#This Row],[AG Ges1]])</f>
        <v>0</v>
      </c>
      <c r="AE618" s="451">
        <f ca="1">IF(AND(Scharniere[[#This Row],[Scharnierart]]=select!$A$1485,Scharniere[[#This Row],[Gruppenschlüssel]]=select!$B$1485)=TRUE,1,0)</f>
        <v>0</v>
      </c>
      <c r="AF618" s="451">
        <f ca="1">IF(AND(Scharniere[[#This Row],[Scharnierart]]=select!$A$1486,Scharniere[[#This Row],[Gruppenschlüssel]]=select!$B$1486)=TRUE,1,0)</f>
        <v>0</v>
      </c>
      <c r="AG618" s="451">
        <f ca="1">IF(AND(Scharniere[[#This Row],[Scharnierart]]=select!$A$1487,Scharniere[[#This Row],[Gruppenschlüssel]]=select!$B$1487)=TRUE,1,0)</f>
        <v>0</v>
      </c>
      <c r="AH618" s="451">
        <f ca="1">IF(AND(Scharniere[[#This Row],[Scharnierart]]=select!$A$1488,Scharniere[[#This Row],[Gruppenschlüssel]]=select!$B$1488)=TRUE,1,0)</f>
        <v>0</v>
      </c>
      <c r="AI618" s="451">
        <f ca="1">IF(SUM(Scharniere[[#This Row],[konf Scharnier 1]:[konf Scharnier 4]])&gt;0,1,0)</f>
        <v>0</v>
      </c>
      <c r="AJ618" s="451"/>
      <c r="AK618" s="451"/>
      <c r="AL618" s="451"/>
      <c r="AM618" s="451"/>
      <c r="AN618" s="451"/>
      <c r="AO618" s="146">
        <v>1</v>
      </c>
      <c r="AP618" s="146">
        <v>4</v>
      </c>
      <c r="AQ618" s="10" t="str">
        <f ca="1">Sprache!$A$112</f>
        <v>Tiomos Scharnier TS Click-on</v>
      </c>
      <c r="AR618" t="s">
        <v>1952</v>
      </c>
      <c r="AS618" t="str">
        <f ca="1">Sprache!$A$103</f>
        <v>Tiomos Click-On Scharniere</v>
      </c>
      <c r="AT618">
        <v>9.5</v>
      </c>
      <c r="AU618" t="s">
        <v>8</v>
      </c>
      <c r="AV618">
        <v>95</v>
      </c>
      <c r="AW618" s="10">
        <v>1</v>
      </c>
      <c r="AX618">
        <v>0</v>
      </c>
      <c r="AY618">
        <v>0</v>
      </c>
      <c r="AZ618" s="10">
        <v>1</v>
      </c>
      <c r="BA618">
        <v>0</v>
      </c>
      <c r="BB618">
        <v>0</v>
      </c>
      <c r="BC618">
        <v>0</v>
      </c>
      <c r="BD618" s="143" t="s">
        <v>257</v>
      </c>
      <c r="BG618"/>
    </row>
    <row r="619" spans="1:59" ht="14.25" customHeight="1" x14ac:dyDescent="0.25">
      <c r="A619" s="37" t="str">
        <f>LEFT(Scharniere[[#This Row],[ArtikelNR]],4)</f>
        <v>F046</v>
      </c>
      <c r="B619" s="35" t="str">
        <f>MID(Scharniere[[#This Row],[ArtikelNR]],5,3)</f>
        <v>138</v>
      </c>
      <c r="C619" s="37" t="str">
        <f>RIGHT(Scharniere[[#This Row],[ArtikelNR]],3)</f>
        <v>234</v>
      </c>
      <c r="D619" s="35">
        <f>IF(AND(Scharniere[[#This Row],[Gruppenschlüssel]]=select!$A$44,Scharniere[[#This Row],[Scharnierart]]=1)=TRUE,1,0)</f>
        <v>0</v>
      </c>
      <c r="E6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19" s="35">
        <f>IF(select!$F$57=IF(Scharniere[[#This Row],[mit Dämpfung]]=1,1,IF(Scharniere[[#This Row],[ohne Dämpfung]]=1,2,IF(Scharniere[[#This Row],[ohne Feder]]=1,3,0))),1,0)</f>
        <v>1</v>
      </c>
      <c r="G619" s="35">
        <f>IF(Scharniere[[#This Row],[Bohrbild]]=select!$V$43,1,0)</f>
        <v>1</v>
      </c>
      <c r="H619" s="35">
        <f>IF(IF(Scharniere[[#This Row],[Anschrauben]]=1,1,IF(Scharniere[[#This Row],[Einpressen]]=1,2,IF(Scharniere[[#This Row],[Quick]]=1,3,IF(Scharniere[[#This Row],[Werkzeuglos]]=1,4,0))))=select!$F$48,1,0)</f>
        <v>0</v>
      </c>
      <c r="I6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19" s="149">
        <f>IF(AND(Scharniere[[#This Row],[Scharnierart]]=2,Scharniere[[#This Row],[Gruppenschlüssel]]=select!$A$318)=TRUE,1,0)</f>
        <v>0</v>
      </c>
      <c r="K619" s="221">
        <f ca="1">IF(select!$O$424&lt;6,1,0)</f>
        <v>1</v>
      </c>
      <c r="L619" s="139">
        <f>IF(select!$A$362=IF(Scharniere[[#This Row],[mit Dämpfung]]=1,1,IF(Scharniere[[#This Row],[ohne Dämpfung]]=1,2,IF(Scharniere[[#This Row],[ohne Feder]]=1,3,0))),1,0)</f>
        <v>0</v>
      </c>
      <c r="M619" s="135">
        <f>IF(Scharniere[[#This Row],[Bohrbild]]=select!$O$334,1,0)</f>
        <v>1</v>
      </c>
      <c r="N619" s="135">
        <f>IF(IF(Scharniere[[#This Row],[Anschrauben]]=1,1,IF(Scharniere[[#This Row],[Einpressen]]=1,2,IF(Scharniere[[#This Row],[Quick]]=1,3,IF(Scharniere[[#This Row],[Werkzeuglos]]=1,4,0))))=select!$E$362,1,0)</f>
        <v>1</v>
      </c>
      <c r="O6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19" s="298">
        <f>IF(AND(Scharniere[[#This Row],[Scharnierart]]=3,Scharniere[[#This Row],[Gruppenschlüssel]]=select!$A$747)=TRUE,1,0)</f>
        <v>0</v>
      </c>
      <c r="Q619" s="298">
        <f ca="1">IF(select!$O$945&lt;6,1,0)</f>
        <v>1</v>
      </c>
      <c r="R619" s="298">
        <f>IF(select!$A$778=IF(Scharniere[[#This Row],[mit Dämpfung]]=1,1,IF(Scharniere[[#This Row],[ohne Dämpfung]]=1,2,IF(Scharniere[[#This Row],[ohne Feder]]=1,3,0))),1,0)</f>
        <v>0</v>
      </c>
      <c r="S619" s="298">
        <f>IF(Scharniere[[#This Row],[Bohrbild]]=select!$A$755,1,0)</f>
        <v>0</v>
      </c>
      <c r="T619" s="298">
        <f>IF(IF(Scharniere[[#This Row],[Anschrauben]]=1,1,IF(Scharniere[[#This Row],[Einpressen]]=1,2,IF(Scharniere[[#This Row],[Quick]]=1,3,IF(Scharniere[[#This Row],[Werkzeuglos]]=1,4,0))))=select!$A$769,1,0)</f>
        <v>1</v>
      </c>
      <c r="U6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19" s="359">
        <f>IF(AND(Scharniere[[#This Row],[Scharnierart]]=4,Scharniere[[#This Row],[Gruppenschlüssel]]=select!$A$981)=TRUE,1,0)</f>
        <v>0</v>
      </c>
      <c r="W619" s="359">
        <f ca="1">IF(select!$O$1185&lt;6,1,0)</f>
        <v>1</v>
      </c>
      <c r="X619" s="359">
        <f>IF(select!$A$1012=IF(Scharniere[[#This Row],[mit Dämpfung]]=1,1,IF(Scharniere[[#This Row],[ohne Dämpfung]]=1,2,IF(Scharniere[[#This Row],[ohne Feder]]=1,3,0))),1,0)</f>
        <v>0</v>
      </c>
      <c r="Y619" s="359">
        <f>IF(Scharniere[[#This Row],[Bohrbild]]=select!$A$989,1,0)</f>
        <v>0</v>
      </c>
      <c r="Z619" s="359">
        <f>IF(IF(Scharniere[[#This Row],[Anschrauben]]=1,1,IF(Scharniere[[#This Row],[Einpressen]]=1,2,IF(Scharniere[[#This Row],[Quick]]=1,3,IF(Scharniere[[#This Row],[Werkzeuglos]]=1,4,0))))=select!$A$1003,1,0)</f>
        <v>1</v>
      </c>
      <c r="AA6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19" s="359">
        <f ca="1">IF(select!$K$980="*",Scharniere[[#This Row],[AG Ges2]],Scharniere[[#This Row],[AG Ges1]])</f>
        <v>0</v>
      </c>
      <c r="AE619" s="451">
        <f ca="1">IF(AND(Scharniere[[#This Row],[Scharnierart]]=select!$A$1485,Scharniere[[#This Row],[Gruppenschlüssel]]=select!$B$1485)=TRUE,1,0)</f>
        <v>0</v>
      </c>
      <c r="AF619" s="451">
        <f ca="1">IF(AND(Scharniere[[#This Row],[Scharnierart]]=select!$A$1486,Scharniere[[#This Row],[Gruppenschlüssel]]=select!$B$1486)=TRUE,1,0)</f>
        <v>0</v>
      </c>
      <c r="AG619" s="451">
        <f ca="1">IF(AND(Scharniere[[#This Row],[Scharnierart]]=select!$A$1487,Scharniere[[#This Row],[Gruppenschlüssel]]=select!$B$1487)=TRUE,1,0)</f>
        <v>0</v>
      </c>
      <c r="AH619" s="451">
        <f ca="1">IF(AND(Scharniere[[#This Row],[Scharnierart]]=select!$A$1488,Scharniere[[#This Row],[Gruppenschlüssel]]=select!$B$1488)=TRUE,1,0)</f>
        <v>0</v>
      </c>
      <c r="AI619" s="451">
        <f ca="1">IF(SUM(Scharniere[[#This Row],[konf Scharnier 1]:[konf Scharnier 4]])&gt;0,1,0)</f>
        <v>0</v>
      </c>
      <c r="AJ619" s="451"/>
      <c r="AK619" s="451"/>
      <c r="AL619" s="451"/>
      <c r="AM619" s="451"/>
      <c r="AN619" s="451"/>
      <c r="AO619" s="146">
        <v>1</v>
      </c>
      <c r="AP619" s="146">
        <v>4</v>
      </c>
      <c r="AQ619" s="10" t="str">
        <f ca="1">Sprache!$A$114</f>
        <v>Tiomos Scharnier TT Click-on</v>
      </c>
      <c r="AR619" t="s">
        <v>1952</v>
      </c>
      <c r="AS619" t="str">
        <f ca="1">Sprache!$A$103</f>
        <v>Tiomos Click-On Scharniere</v>
      </c>
      <c r="AT619">
        <v>9.5</v>
      </c>
      <c r="AU619" s="10" t="s">
        <v>8</v>
      </c>
      <c r="AV619">
        <v>95</v>
      </c>
      <c r="AW619" s="10">
        <v>0</v>
      </c>
      <c r="AX619">
        <v>0</v>
      </c>
      <c r="AY619">
        <v>1</v>
      </c>
      <c r="AZ619" s="10">
        <v>1</v>
      </c>
      <c r="BA619">
        <v>0</v>
      </c>
      <c r="BB619">
        <v>0</v>
      </c>
      <c r="BC619">
        <v>0</v>
      </c>
      <c r="BD619" s="143" t="s">
        <v>603</v>
      </c>
      <c r="BG619"/>
    </row>
    <row r="620" spans="1:59" ht="14.25" customHeight="1" x14ac:dyDescent="0.25">
      <c r="A620" s="37" t="str">
        <f>LEFT(Scharniere[[#This Row],[ArtikelNR]],4)</f>
        <v>F034</v>
      </c>
      <c r="B620" s="35" t="str">
        <f>MID(Scharniere[[#This Row],[ArtikelNR]],5,3)</f>
        <v>139</v>
      </c>
      <c r="C620" s="37" t="str">
        <f>RIGHT(Scharniere[[#This Row],[ArtikelNR]],3)</f>
        <v>326</v>
      </c>
      <c r="D620" s="35">
        <f>IF(AND(Scharniere[[#This Row],[Gruppenschlüssel]]=select!$A$44,Scharniere[[#This Row],[Scharnierart]]=1)=TRUE,1,0)</f>
        <v>0</v>
      </c>
      <c r="E6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0" s="35">
        <f>IF(select!$F$57=IF(Scharniere[[#This Row],[mit Dämpfung]]=1,1,IF(Scharniere[[#This Row],[ohne Dämpfung]]=1,2,IF(Scharniere[[#This Row],[ohne Feder]]=1,3,0))),1,0)</f>
        <v>0</v>
      </c>
      <c r="G620" s="35">
        <f>IF(Scharniere[[#This Row],[Bohrbild]]=select!$V$43,1,0)</f>
        <v>1</v>
      </c>
      <c r="H620" s="35">
        <f>IF(IF(Scharniere[[#This Row],[Anschrauben]]=1,1,IF(Scharniere[[#This Row],[Einpressen]]=1,2,IF(Scharniere[[#This Row],[Quick]]=1,3,IF(Scharniere[[#This Row],[Werkzeuglos]]=1,4,0))))=select!$F$48,1,0)</f>
        <v>0</v>
      </c>
      <c r="I6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0" s="149">
        <f>IF(AND(Scharniere[[#This Row],[Scharnierart]]=2,Scharniere[[#This Row],[Gruppenschlüssel]]=select!$A$318)=TRUE,1,0)</f>
        <v>0</v>
      </c>
      <c r="K620" s="221">
        <f ca="1">IF(select!$O$424&lt;6,1,0)</f>
        <v>1</v>
      </c>
      <c r="L620" s="139">
        <f>IF(select!$A$362=IF(Scharniere[[#This Row],[mit Dämpfung]]=1,1,IF(Scharniere[[#This Row],[ohne Dämpfung]]=1,2,IF(Scharniere[[#This Row],[ohne Feder]]=1,3,0))),1,0)</f>
        <v>0</v>
      </c>
      <c r="M620" s="135">
        <f>IF(Scharniere[[#This Row],[Bohrbild]]=select!$O$334,1,0)</f>
        <v>1</v>
      </c>
      <c r="N620" s="135">
        <f>IF(IF(Scharniere[[#This Row],[Anschrauben]]=1,1,IF(Scharniere[[#This Row],[Einpressen]]=1,2,IF(Scharniere[[#This Row],[Quick]]=1,3,IF(Scharniere[[#This Row],[Werkzeuglos]]=1,4,0))))=select!$E$362,1,0)</f>
        <v>0</v>
      </c>
      <c r="O6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0" s="298">
        <f>IF(AND(Scharniere[[#This Row],[Scharnierart]]=3,Scharniere[[#This Row],[Gruppenschlüssel]]=select!$A$747)=TRUE,1,0)</f>
        <v>0</v>
      </c>
      <c r="Q620" s="298">
        <f ca="1">IF(select!$O$945&lt;6,1,0)</f>
        <v>1</v>
      </c>
      <c r="R620" s="298">
        <f>IF(select!$A$778=IF(Scharniere[[#This Row],[mit Dämpfung]]=1,1,IF(Scharniere[[#This Row],[ohne Dämpfung]]=1,2,IF(Scharniere[[#This Row],[ohne Feder]]=1,3,0))),1,0)</f>
        <v>1</v>
      </c>
      <c r="S620" s="298">
        <f>IF(Scharniere[[#This Row],[Bohrbild]]=select!$A$755,1,0)</f>
        <v>0</v>
      </c>
      <c r="T620" s="298">
        <f>IF(IF(Scharniere[[#This Row],[Anschrauben]]=1,1,IF(Scharniere[[#This Row],[Einpressen]]=1,2,IF(Scharniere[[#This Row],[Quick]]=1,3,IF(Scharniere[[#This Row],[Werkzeuglos]]=1,4,0))))=select!$A$769,1,0)</f>
        <v>0</v>
      </c>
      <c r="U6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0" s="359">
        <f>IF(AND(Scharniere[[#This Row],[Scharnierart]]=4,Scharniere[[#This Row],[Gruppenschlüssel]]=select!$A$981)=TRUE,1,0)</f>
        <v>0</v>
      </c>
      <c r="W620" s="359">
        <f ca="1">IF(select!$O$1185&lt;6,1,0)</f>
        <v>1</v>
      </c>
      <c r="X620" s="359">
        <f>IF(select!$A$1012=IF(Scharniere[[#This Row],[mit Dämpfung]]=1,1,IF(Scharniere[[#This Row],[ohne Dämpfung]]=1,2,IF(Scharniere[[#This Row],[ohne Feder]]=1,3,0))),1,0)</f>
        <v>1</v>
      </c>
      <c r="Y620" s="359">
        <f>IF(Scharniere[[#This Row],[Bohrbild]]=select!$A$989,1,0)</f>
        <v>0</v>
      </c>
      <c r="Z620" s="359">
        <f>IF(IF(Scharniere[[#This Row],[Anschrauben]]=1,1,IF(Scharniere[[#This Row],[Einpressen]]=1,2,IF(Scharniere[[#This Row],[Quick]]=1,3,IF(Scharniere[[#This Row],[Werkzeuglos]]=1,4,0))))=select!$A$1003,1,0)</f>
        <v>0</v>
      </c>
      <c r="AA6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0" s="359">
        <f ca="1">IF(select!$K$980="*",Scharniere[[#This Row],[AG Ges2]],Scharniere[[#This Row],[AG Ges1]])</f>
        <v>0</v>
      </c>
      <c r="AE620" s="451">
        <f ca="1">IF(AND(Scharniere[[#This Row],[Scharnierart]]=select!$A$1485,Scharniere[[#This Row],[Gruppenschlüssel]]=select!$B$1485)=TRUE,1,0)</f>
        <v>0</v>
      </c>
      <c r="AF620" s="451">
        <f ca="1">IF(AND(Scharniere[[#This Row],[Scharnierart]]=select!$A$1486,Scharniere[[#This Row],[Gruppenschlüssel]]=select!$B$1486)=TRUE,1,0)</f>
        <v>0</v>
      </c>
      <c r="AG620" s="451">
        <f ca="1">IF(AND(Scharniere[[#This Row],[Scharnierart]]=select!$A$1487,Scharniere[[#This Row],[Gruppenschlüssel]]=select!$B$1487)=TRUE,1,0)</f>
        <v>0</v>
      </c>
      <c r="AH620" s="451">
        <f ca="1">IF(AND(Scharniere[[#This Row],[Scharnierart]]=select!$A$1488,Scharniere[[#This Row],[Gruppenschlüssel]]=select!$B$1488)=TRUE,1,0)</f>
        <v>0</v>
      </c>
      <c r="AI620" s="451">
        <f ca="1">IF(SUM(Scharniere[[#This Row],[konf Scharnier 1]:[konf Scharnier 4]])&gt;0,1,0)</f>
        <v>0</v>
      </c>
      <c r="AJ620" s="451"/>
      <c r="AK620" s="451"/>
      <c r="AL620" s="451"/>
      <c r="AM620" s="451"/>
      <c r="AN620" s="451"/>
      <c r="AO620" s="146">
        <v>1</v>
      </c>
      <c r="AP620" s="146">
        <v>4</v>
      </c>
      <c r="AQ620" s="10" t="str">
        <f ca="1">Sprache!$A$111</f>
        <v>Tiomos Scharnier T Impresso</v>
      </c>
      <c r="AR620" t="s">
        <v>1953</v>
      </c>
      <c r="AS620" t="str">
        <f ca="1">Sprache!$A$116</f>
        <v>Tiomos Impresso Scharniere</v>
      </c>
      <c r="AT620">
        <v>9.5</v>
      </c>
      <c r="AU620" t="s">
        <v>8</v>
      </c>
      <c r="AV620">
        <v>95</v>
      </c>
      <c r="AW620" s="10">
        <v>0</v>
      </c>
      <c r="AX620">
        <v>1</v>
      </c>
      <c r="AY620">
        <v>0</v>
      </c>
      <c r="AZ620" s="10">
        <v>0</v>
      </c>
      <c r="BA620">
        <v>0</v>
      </c>
      <c r="BB620">
        <v>0</v>
      </c>
      <c r="BC620">
        <v>1</v>
      </c>
      <c r="BD620" s="143" t="s">
        <v>149</v>
      </c>
      <c r="BG620"/>
    </row>
    <row r="621" spans="1:59" ht="14.25" customHeight="1" x14ac:dyDescent="0.25">
      <c r="A621" s="37" t="str">
        <f>LEFT(Scharniere[[#This Row],[ArtikelNR]],4)</f>
        <v>F034</v>
      </c>
      <c r="B621" s="35" t="str">
        <f>MID(Scharniere[[#This Row],[ArtikelNR]],5,3)</f>
        <v>139</v>
      </c>
      <c r="C621" s="37" t="str">
        <f>RIGHT(Scharniere[[#This Row],[ArtikelNR]],3)</f>
        <v>326</v>
      </c>
      <c r="D621" s="35">
        <f>IF(AND(Scharniere[[#This Row],[Gruppenschlüssel]]=select!$A$44,Scharniere[[#This Row],[Scharnierart]]=1)=TRUE,1,0)</f>
        <v>0</v>
      </c>
      <c r="E6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1" s="35">
        <f>IF(select!$F$57=IF(Scharniere[[#This Row],[mit Dämpfung]]=1,1,IF(Scharniere[[#This Row],[ohne Dämpfung]]=1,2,IF(Scharniere[[#This Row],[ohne Feder]]=1,3,0))),1,0)</f>
        <v>0</v>
      </c>
      <c r="G621" s="35">
        <f>IF(Scharniere[[#This Row],[Bohrbild]]=select!$V$43,1,0)</f>
        <v>0</v>
      </c>
      <c r="H621" s="35">
        <f>IF(IF(Scharniere[[#This Row],[Anschrauben]]=1,1,IF(Scharniere[[#This Row],[Einpressen]]=1,2,IF(Scharniere[[#This Row],[Quick]]=1,3,IF(Scharniere[[#This Row],[Werkzeuglos]]=1,4,0))))=select!$F$48,1,0)</f>
        <v>0</v>
      </c>
      <c r="I6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1" s="149">
        <f>IF(AND(Scharniere[[#This Row],[Scharnierart]]=2,Scharniere[[#This Row],[Gruppenschlüssel]]=select!$A$318)=TRUE,1,0)</f>
        <v>0</v>
      </c>
      <c r="K621" s="221">
        <f ca="1">IF(select!$O$424&lt;6,1,0)</f>
        <v>1</v>
      </c>
      <c r="L621" s="139">
        <f>IF(select!$A$362=IF(Scharniere[[#This Row],[mit Dämpfung]]=1,1,IF(Scharniere[[#This Row],[ohne Dämpfung]]=1,2,IF(Scharniere[[#This Row],[ohne Feder]]=1,3,0))),1,0)</f>
        <v>0</v>
      </c>
      <c r="M621" s="135">
        <f>IF(Scharniere[[#This Row],[Bohrbild]]=select!$O$334,1,0)</f>
        <v>0</v>
      </c>
      <c r="N621" s="135">
        <f>IF(IF(Scharniere[[#This Row],[Anschrauben]]=1,1,IF(Scharniere[[#This Row],[Einpressen]]=1,2,IF(Scharniere[[#This Row],[Quick]]=1,3,IF(Scharniere[[#This Row],[Werkzeuglos]]=1,4,0))))=select!$E$362,1,0)</f>
        <v>0</v>
      </c>
      <c r="O6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1" s="298">
        <f>IF(AND(Scharniere[[#This Row],[Scharnierart]]=3,Scharniere[[#This Row],[Gruppenschlüssel]]=select!$A$747)=TRUE,1,0)</f>
        <v>0</v>
      </c>
      <c r="Q621" s="298">
        <f ca="1">IF(select!$O$945&lt;6,1,0)</f>
        <v>1</v>
      </c>
      <c r="R621" s="298">
        <f>IF(select!$A$778=IF(Scharniere[[#This Row],[mit Dämpfung]]=1,1,IF(Scharniere[[#This Row],[ohne Dämpfung]]=1,2,IF(Scharniere[[#This Row],[ohne Feder]]=1,3,0))),1,0)</f>
        <v>1</v>
      </c>
      <c r="S621" s="298">
        <f>IF(Scharniere[[#This Row],[Bohrbild]]=select!$A$755,1,0)</f>
        <v>0</v>
      </c>
      <c r="T621" s="298">
        <f>IF(IF(Scharniere[[#This Row],[Anschrauben]]=1,1,IF(Scharniere[[#This Row],[Einpressen]]=1,2,IF(Scharniere[[#This Row],[Quick]]=1,3,IF(Scharniere[[#This Row],[Werkzeuglos]]=1,4,0))))=select!$A$769,1,0)</f>
        <v>0</v>
      </c>
      <c r="U6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1" s="359">
        <f>IF(AND(Scharniere[[#This Row],[Scharnierart]]=4,Scharniere[[#This Row],[Gruppenschlüssel]]=select!$A$981)=TRUE,1,0)</f>
        <v>0</v>
      </c>
      <c r="W621" s="359">
        <f ca="1">IF(select!$O$1185&lt;6,1,0)</f>
        <v>1</v>
      </c>
      <c r="X621" s="359">
        <f>IF(select!$A$1012=IF(Scharniere[[#This Row],[mit Dämpfung]]=1,1,IF(Scharniere[[#This Row],[ohne Dämpfung]]=1,2,IF(Scharniere[[#This Row],[ohne Feder]]=1,3,0))),1,0)</f>
        <v>1</v>
      </c>
      <c r="Y621" s="359">
        <f>IF(Scharniere[[#This Row],[Bohrbild]]=select!$A$989,1,0)</f>
        <v>0</v>
      </c>
      <c r="Z621" s="359">
        <f>IF(IF(Scharniere[[#This Row],[Anschrauben]]=1,1,IF(Scharniere[[#This Row],[Einpressen]]=1,2,IF(Scharniere[[#This Row],[Quick]]=1,3,IF(Scharniere[[#This Row],[Werkzeuglos]]=1,4,0))))=select!$A$1003,1,0)</f>
        <v>0</v>
      </c>
      <c r="AA6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1" s="359">
        <f ca="1">IF(select!$K$980="*",Scharniere[[#This Row],[AG Ges2]],Scharniere[[#This Row],[AG Ges1]])</f>
        <v>0</v>
      </c>
      <c r="AE621" s="451">
        <f ca="1">IF(AND(Scharniere[[#This Row],[Scharnierart]]=select!$A$1485,Scharniere[[#This Row],[Gruppenschlüssel]]=select!$B$1485)=TRUE,1,0)</f>
        <v>0</v>
      </c>
      <c r="AF621" s="451">
        <f ca="1">IF(AND(Scharniere[[#This Row],[Scharnierart]]=select!$A$1486,Scharniere[[#This Row],[Gruppenschlüssel]]=select!$B$1486)=TRUE,1,0)</f>
        <v>0</v>
      </c>
      <c r="AG621" s="451">
        <f ca="1">IF(AND(Scharniere[[#This Row],[Scharnierart]]=select!$A$1487,Scharniere[[#This Row],[Gruppenschlüssel]]=select!$B$1487)=TRUE,1,0)</f>
        <v>0</v>
      </c>
      <c r="AH621" s="451">
        <f ca="1">IF(AND(Scharniere[[#This Row],[Scharnierart]]=select!$A$1488,Scharniere[[#This Row],[Gruppenschlüssel]]=select!$B$1488)=TRUE,1,0)</f>
        <v>0</v>
      </c>
      <c r="AI621" s="451">
        <f ca="1">IF(SUM(Scharniere[[#This Row],[konf Scharnier 1]:[konf Scharnier 4]])&gt;0,1,0)</f>
        <v>0</v>
      </c>
      <c r="AJ621" s="451"/>
      <c r="AK621" s="451"/>
      <c r="AL621" s="451"/>
      <c r="AM621" s="451"/>
      <c r="AN621" s="451"/>
      <c r="AO621" s="146">
        <v>1</v>
      </c>
      <c r="AP621" s="146">
        <v>4</v>
      </c>
      <c r="AQ621" s="10" t="str">
        <f ca="1">Sprache!$A$111</f>
        <v>Tiomos Scharnier T Impresso</v>
      </c>
      <c r="AR621" t="s">
        <v>1953</v>
      </c>
      <c r="AS621" t="str">
        <f ca="1">Sprache!$A$116</f>
        <v>Tiomos Impresso Scharniere</v>
      </c>
      <c r="AT621">
        <v>9.5</v>
      </c>
      <c r="AU621" s="34" t="s">
        <v>3</v>
      </c>
      <c r="AV621">
        <v>95</v>
      </c>
      <c r="AW621" s="10">
        <v>0</v>
      </c>
      <c r="AX621">
        <v>1</v>
      </c>
      <c r="AY621">
        <v>0</v>
      </c>
      <c r="AZ621" s="10">
        <v>0</v>
      </c>
      <c r="BA621">
        <v>0</v>
      </c>
      <c r="BB621">
        <v>0</v>
      </c>
      <c r="BC621">
        <v>1</v>
      </c>
      <c r="BD621" s="143" t="s">
        <v>149</v>
      </c>
      <c r="BG621"/>
    </row>
    <row r="622" spans="1:59" ht="14.25" customHeight="1" x14ac:dyDescent="0.25">
      <c r="A622" s="37" t="str">
        <f>LEFT(Scharniere[[#This Row],[ArtikelNR]],4)</f>
        <v>F017</v>
      </c>
      <c r="B622" s="35" t="str">
        <f>MID(Scharniere[[#This Row],[ArtikelNR]],5,3)</f>
        <v>139</v>
      </c>
      <c r="C622" s="37" t="str">
        <f>RIGHT(Scharniere[[#This Row],[ArtikelNR]],3)</f>
        <v>355</v>
      </c>
      <c r="D622" s="35">
        <f>IF(AND(Scharniere[[#This Row],[Gruppenschlüssel]]=select!$A$44,Scharniere[[#This Row],[Scharnierart]]=1)=TRUE,1,0)</f>
        <v>0</v>
      </c>
      <c r="E6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2" s="35">
        <f>IF(select!$F$57=IF(Scharniere[[#This Row],[mit Dämpfung]]=1,1,IF(Scharniere[[#This Row],[ohne Dämpfung]]=1,2,IF(Scharniere[[#This Row],[ohne Feder]]=1,3,0))),1,0)</f>
        <v>0</v>
      </c>
      <c r="G622" s="35">
        <f>IF(Scharniere[[#This Row],[Bohrbild]]=select!$V$43,1,0)</f>
        <v>1</v>
      </c>
      <c r="H622" s="35">
        <f>IF(IF(Scharniere[[#This Row],[Anschrauben]]=1,1,IF(Scharniere[[#This Row],[Einpressen]]=1,2,IF(Scharniere[[#This Row],[Quick]]=1,3,IF(Scharniere[[#This Row],[Werkzeuglos]]=1,4,0))))=select!$F$48,1,0)</f>
        <v>0</v>
      </c>
      <c r="I6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2" s="149">
        <f>IF(AND(Scharniere[[#This Row],[Scharnierart]]=2,Scharniere[[#This Row],[Gruppenschlüssel]]=select!$A$318)=TRUE,1,0)</f>
        <v>0</v>
      </c>
      <c r="K622" s="221">
        <f ca="1">IF(select!$O$424&lt;6,1,0)</f>
        <v>1</v>
      </c>
      <c r="L622" s="139">
        <f>IF(select!$A$362=IF(Scharniere[[#This Row],[mit Dämpfung]]=1,1,IF(Scharniere[[#This Row],[ohne Dämpfung]]=1,2,IF(Scharniere[[#This Row],[ohne Feder]]=1,3,0))),1,0)</f>
        <v>1</v>
      </c>
      <c r="M622" s="135">
        <f>IF(Scharniere[[#This Row],[Bohrbild]]=select!$O$334,1,0)</f>
        <v>1</v>
      </c>
      <c r="N622" s="135">
        <f>IF(IF(Scharniere[[#This Row],[Anschrauben]]=1,1,IF(Scharniere[[#This Row],[Einpressen]]=1,2,IF(Scharniere[[#This Row],[Quick]]=1,3,IF(Scharniere[[#This Row],[Werkzeuglos]]=1,4,0))))=select!$E$362,1,0)</f>
        <v>0</v>
      </c>
      <c r="O6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2" s="298">
        <f>IF(AND(Scharniere[[#This Row],[Scharnierart]]=3,Scharniere[[#This Row],[Gruppenschlüssel]]=select!$A$747)=TRUE,1,0)</f>
        <v>0</v>
      </c>
      <c r="Q622" s="298">
        <f ca="1">IF(select!$O$945&lt;6,1,0)</f>
        <v>1</v>
      </c>
      <c r="R622" s="298">
        <f>IF(select!$A$778=IF(Scharniere[[#This Row],[mit Dämpfung]]=1,1,IF(Scharniere[[#This Row],[ohne Dämpfung]]=1,2,IF(Scharniere[[#This Row],[ohne Feder]]=1,3,0))),1,0)</f>
        <v>0</v>
      </c>
      <c r="S622" s="298">
        <f>IF(Scharniere[[#This Row],[Bohrbild]]=select!$A$755,1,0)</f>
        <v>0</v>
      </c>
      <c r="T622" s="298">
        <f>IF(IF(Scharniere[[#This Row],[Anschrauben]]=1,1,IF(Scharniere[[#This Row],[Einpressen]]=1,2,IF(Scharniere[[#This Row],[Quick]]=1,3,IF(Scharniere[[#This Row],[Werkzeuglos]]=1,4,0))))=select!$A$769,1,0)</f>
        <v>0</v>
      </c>
      <c r="U6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2" s="359">
        <f>IF(AND(Scharniere[[#This Row],[Scharnierart]]=4,Scharniere[[#This Row],[Gruppenschlüssel]]=select!$A$981)=TRUE,1,0)</f>
        <v>0</v>
      </c>
      <c r="W622" s="359">
        <f ca="1">IF(select!$O$1185&lt;6,1,0)</f>
        <v>1</v>
      </c>
      <c r="X622" s="359">
        <f>IF(select!$A$1012=IF(Scharniere[[#This Row],[mit Dämpfung]]=1,1,IF(Scharniere[[#This Row],[ohne Dämpfung]]=1,2,IF(Scharniere[[#This Row],[ohne Feder]]=1,3,0))),1,0)</f>
        <v>0</v>
      </c>
      <c r="Y622" s="359">
        <f>IF(Scharniere[[#This Row],[Bohrbild]]=select!$A$989,1,0)</f>
        <v>0</v>
      </c>
      <c r="Z622" s="359">
        <f>IF(IF(Scharniere[[#This Row],[Anschrauben]]=1,1,IF(Scharniere[[#This Row],[Einpressen]]=1,2,IF(Scharniere[[#This Row],[Quick]]=1,3,IF(Scharniere[[#This Row],[Werkzeuglos]]=1,4,0))))=select!$A$1003,1,0)</f>
        <v>0</v>
      </c>
      <c r="AA6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2" s="359">
        <f ca="1">IF(select!$K$980="*",Scharniere[[#This Row],[AG Ges2]],Scharniere[[#This Row],[AG Ges1]])</f>
        <v>0</v>
      </c>
      <c r="AE622" s="451">
        <f ca="1">IF(AND(Scharniere[[#This Row],[Scharnierart]]=select!$A$1485,Scharniere[[#This Row],[Gruppenschlüssel]]=select!$B$1485)=TRUE,1,0)</f>
        <v>0</v>
      </c>
      <c r="AF622" s="451">
        <f ca="1">IF(AND(Scharniere[[#This Row],[Scharnierart]]=select!$A$1486,Scharniere[[#This Row],[Gruppenschlüssel]]=select!$B$1486)=TRUE,1,0)</f>
        <v>0</v>
      </c>
      <c r="AG622" s="451">
        <f ca="1">IF(AND(Scharniere[[#This Row],[Scharnierart]]=select!$A$1487,Scharniere[[#This Row],[Gruppenschlüssel]]=select!$B$1487)=TRUE,1,0)</f>
        <v>0</v>
      </c>
      <c r="AH622" s="451">
        <f ca="1">IF(AND(Scharniere[[#This Row],[Scharnierart]]=select!$A$1488,Scharniere[[#This Row],[Gruppenschlüssel]]=select!$B$1488)=TRUE,1,0)</f>
        <v>0</v>
      </c>
      <c r="AI622" s="451">
        <f ca="1">IF(SUM(Scharniere[[#This Row],[konf Scharnier 1]:[konf Scharnier 4]])&gt;0,1,0)</f>
        <v>0</v>
      </c>
      <c r="AJ622" s="451"/>
      <c r="AK622" s="451"/>
      <c r="AL622" s="451"/>
      <c r="AM622" s="451"/>
      <c r="AN622" s="451"/>
      <c r="AO622" s="146">
        <v>1</v>
      </c>
      <c r="AP622" s="146">
        <v>4</v>
      </c>
      <c r="AQ622" s="10" t="str">
        <f ca="1">Sprache!$A$113</f>
        <v>Tiomos Scharnier TS Impresso</v>
      </c>
      <c r="AR622" t="s">
        <v>1953</v>
      </c>
      <c r="AS622" t="str">
        <f ca="1">Sprache!$A$116</f>
        <v>Tiomos Impresso Scharniere</v>
      </c>
      <c r="AT622">
        <v>9.5</v>
      </c>
      <c r="AU622" t="s">
        <v>8</v>
      </c>
      <c r="AV622">
        <v>95</v>
      </c>
      <c r="AW622" s="10">
        <v>1</v>
      </c>
      <c r="AX622">
        <v>0</v>
      </c>
      <c r="AY622">
        <v>0</v>
      </c>
      <c r="AZ622" s="10">
        <v>0</v>
      </c>
      <c r="BA622">
        <v>0</v>
      </c>
      <c r="BB622">
        <v>0</v>
      </c>
      <c r="BC622">
        <v>1</v>
      </c>
      <c r="BD622" s="143" t="s">
        <v>82</v>
      </c>
      <c r="BG622"/>
    </row>
    <row r="623" spans="1:59" ht="14.25" customHeight="1" x14ac:dyDescent="0.25">
      <c r="A623" s="37" t="str">
        <f>LEFT(Scharniere[[#This Row],[ArtikelNR]],4)</f>
        <v>F017</v>
      </c>
      <c r="B623" s="35" t="str">
        <f>MID(Scharniere[[#This Row],[ArtikelNR]],5,3)</f>
        <v>139</v>
      </c>
      <c r="C623" s="37" t="str">
        <f>RIGHT(Scharniere[[#This Row],[ArtikelNR]],3)</f>
        <v>355</v>
      </c>
      <c r="D623" s="35">
        <f>IF(AND(Scharniere[[#This Row],[Gruppenschlüssel]]=select!$A$44,Scharniere[[#This Row],[Scharnierart]]=1)=TRUE,1,0)</f>
        <v>0</v>
      </c>
      <c r="E6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3" s="35">
        <f>IF(select!$F$57=IF(Scharniere[[#This Row],[mit Dämpfung]]=1,1,IF(Scharniere[[#This Row],[ohne Dämpfung]]=1,2,IF(Scharniere[[#This Row],[ohne Feder]]=1,3,0))),1,0)</f>
        <v>0</v>
      </c>
      <c r="G623" s="35">
        <f>IF(Scharniere[[#This Row],[Bohrbild]]=select!$V$43,1,0)</f>
        <v>0</v>
      </c>
      <c r="H623" s="35">
        <f>IF(IF(Scharniere[[#This Row],[Anschrauben]]=1,1,IF(Scharniere[[#This Row],[Einpressen]]=1,2,IF(Scharniere[[#This Row],[Quick]]=1,3,IF(Scharniere[[#This Row],[Werkzeuglos]]=1,4,0))))=select!$F$48,1,0)</f>
        <v>0</v>
      </c>
      <c r="I6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3" s="149">
        <f>IF(AND(Scharniere[[#This Row],[Scharnierart]]=2,Scharniere[[#This Row],[Gruppenschlüssel]]=select!$A$318)=TRUE,1,0)</f>
        <v>0</v>
      </c>
      <c r="K623" s="221">
        <f ca="1">IF(select!$O$424&lt;6,1,0)</f>
        <v>1</v>
      </c>
      <c r="L623" s="139">
        <f>IF(select!$A$362=IF(Scharniere[[#This Row],[mit Dämpfung]]=1,1,IF(Scharniere[[#This Row],[ohne Dämpfung]]=1,2,IF(Scharniere[[#This Row],[ohne Feder]]=1,3,0))),1,0)</f>
        <v>1</v>
      </c>
      <c r="M623" s="135">
        <f>IF(Scharniere[[#This Row],[Bohrbild]]=select!$O$334,1,0)</f>
        <v>0</v>
      </c>
      <c r="N623" s="135">
        <f>IF(IF(Scharniere[[#This Row],[Anschrauben]]=1,1,IF(Scharniere[[#This Row],[Einpressen]]=1,2,IF(Scharniere[[#This Row],[Quick]]=1,3,IF(Scharniere[[#This Row],[Werkzeuglos]]=1,4,0))))=select!$E$362,1,0)</f>
        <v>0</v>
      </c>
      <c r="O6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3" s="298">
        <f>IF(AND(Scharniere[[#This Row],[Scharnierart]]=3,Scharniere[[#This Row],[Gruppenschlüssel]]=select!$A$747)=TRUE,1,0)</f>
        <v>0</v>
      </c>
      <c r="Q623" s="298">
        <f ca="1">IF(select!$O$945&lt;6,1,0)</f>
        <v>1</v>
      </c>
      <c r="R623" s="298">
        <f>IF(select!$A$778=IF(Scharniere[[#This Row],[mit Dämpfung]]=1,1,IF(Scharniere[[#This Row],[ohne Dämpfung]]=1,2,IF(Scharniere[[#This Row],[ohne Feder]]=1,3,0))),1,0)</f>
        <v>0</v>
      </c>
      <c r="S623" s="298">
        <f>IF(Scharniere[[#This Row],[Bohrbild]]=select!$A$755,1,0)</f>
        <v>0</v>
      </c>
      <c r="T623" s="298">
        <f>IF(IF(Scharniere[[#This Row],[Anschrauben]]=1,1,IF(Scharniere[[#This Row],[Einpressen]]=1,2,IF(Scharniere[[#This Row],[Quick]]=1,3,IF(Scharniere[[#This Row],[Werkzeuglos]]=1,4,0))))=select!$A$769,1,0)</f>
        <v>0</v>
      </c>
      <c r="U6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3" s="359">
        <f>IF(AND(Scharniere[[#This Row],[Scharnierart]]=4,Scharniere[[#This Row],[Gruppenschlüssel]]=select!$A$981)=TRUE,1,0)</f>
        <v>0</v>
      </c>
      <c r="W623" s="359">
        <f ca="1">IF(select!$O$1185&lt;6,1,0)</f>
        <v>1</v>
      </c>
      <c r="X623" s="359">
        <f>IF(select!$A$1012=IF(Scharniere[[#This Row],[mit Dämpfung]]=1,1,IF(Scharniere[[#This Row],[ohne Dämpfung]]=1,2,IF(Scharniere[[#This Row],[ohne Feder]]=1,3,0))),1,0)</f>
        <v>0</v>
      </c>
      <c r="Y623" s="359">
        <f>IF(Scharniere[[#This Row],[Bohrbild]]=select!$A$989,1,0)</f>
        <v>0</v>
      </c>
      <c r="Z623" s="359">
        <f>IF(IF(Scharniere[[#This Row],[Anschrauben]]=1,1,IF(Scharniere[[#This Row],[Einpressen]]=1,2,IF(Scharniere[[#This Row],[Quick]]=1,3,IF(Scharniere[[#This Row],[Werkzeuglos]]=1,4,0))))=select!$A$1003,1,0)</f>
        <v>0</v>
      </c>
      <c r="AA6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3" s="359">
        <f ca="1">IF(select!$K$980="*",Scharniere[[#This Row],[AG Ges2]],Scharniere[[#This Row],[AG Ges1]])</f>
        <v>0</v>
      </c>
      <c r="AE623" s="451">
        <f ca="1">IF(AND(Scharniere[[#This Row],[Scharnierart]]=select!$A$1485,Scharniere[[#This Row],[Gruppenschlüssel]]=select!$B$1485)=TRUE,1,0)</f>
        <v>0</v>
      </c>
      <c r="AF623" s="451">
        <f ca="1">IF(AND(Scharniere[[#This Row],[Scharnierart]]=select!$A$1486,Scharniere[[#This Row],[Gruppenschlüssel]]=select!$B$1486)=TRUE,1,0)</f>
        <v>0</v>
      </c>
      <c r="AG623" s="451">
        <f ca="1">IF(AND(Scharniere[[#This Row],[Scharnierart]]=select!$A$1487,Scharniere[[#This Row],[Gruppenschlüssel]]=select!$B$1487)=TRUE,1,0)</f>
        <v>0</v>
      </c>
      <c r="AH623" s="451">
        <f ca="1">IF(AND(Scharniere[[#This Row],[Scharnierart]]=select!$A$1488,Scharniere[[#This Row],[Gruppenschlüssel]]=select!$B$1488)=TRUE,1,0)</f>
        <v>0</v>
      </c>
      <c r="AI623" s="451">
        <f ca="1">IF(SUM(Scharniere[[#This Row],[konf Scharnier 1]:[konf Scharnier 4]])&gt;0,1,0)</f>
        <v>0</v>
      </c>
      <c r="AJ623" s="451"/>
      <c r="AK623" s="451"/>
      <c r="AL623" s="451"/>
      <c r="AM623" s="451"/>
      <c r="AN623" s="451"/>
      <c r="AO623" s="146">
        <v>1</v>
      </c>
      <c r="AP623" s="146">
        <v>4</v>
      </c>
      <c r="AQ623" s="10" t="str">
        <f ca="1">Sprache!$A$113</f>
        <v>Tiomos Scharnier TS Impresso</v>
      </c>
      <c r="AR623" t="s">
        <v>1953</v>
      </c>
      <c r="AS623" t="str">
        <f ca="1">Sprache!$A$116</f>
        <v>Tiomos Impresso Scharniere</v>
      </c>
      <c r="AT623">
        <v>9.5</v>
      </c>
      <c r="AU623" t="s">
        <v>3</v>
      </c>
      <c r="AV623">
        <v>95</v>
      </c>
      <c r="AW623" s="10">
        <v>1</v>
      </c>
      <c r="AX623">
        <v>0</v>
      </c>
      <c r="AY623">
        <v>0</v>
      </c>
      <c r="AZ623" s="10">
        <v>0</v>
      </c>
      <c r="BA623">
        <v>0</v>
      </c>
      <c r="BB623">
        <v>0</v>
      </c>
      <c r="BC623">
        <v>1</v>
      </c>
      <c r="BD623" s="143" t="s">
        <v>82</v>
      </c>
      <c r="BG623"/>
    </row>
    <row r="624" spans="1:59" ht="14.25" customHeight="1" x14ac:dyDescent="0.25">
      <c r="A624" s="37" t="str">
        <f>LEFT(Scharniere[[#This Row],[ArtikelNR]],4)</f>
        <v>F035</v>
      </c>
      <c r="B624" s="35" t="str">
        <f>MID(Scharniere[[#This Row],[ArtikelNR]],5,3)</f>
        <v>139</v>
      </c>
      <c r="C624" s="37" t="str">
        <f>RIGHT(Scharniere[[#This Row],[ArtikelNR]],3)</f>
        <v>383</v>
      </c>
      <c r="D624" s="35">
        <f>IF(AND(Scharniere[[#This Row],[Gruppenschlüssel]]=select!$A$44,Scharniere[[#This Row],[Scharnierart]]=1)=TRUE,1,0)</f>
        <v>0</v>
      </c>
      <c r="E6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4" s="35">
        <f>IF(select!$F$57=IF(Scharniere[[#This Row],[mit Dämpfung]]=1,1,IF(Scharniere[[#This Row],[ohne Dämpfung]]=1,2,IF(Scharniere[[#This Row],[ohne Feder]]=1,3,0))),1,0)</f>
        <v>1</v>
      </c>
      <c r="G624" s="35">
        <f>IF(Scharniere[[#This Row],[Bohrbild]]=select!$V$43,1,0)</f>
        <v>1</v>
      </c>
      <c r="H624" s="35">
        <f>IF(IF(Scharniere[[#This Row],[Anschrauben]]=1,1,IF(Scharniere[[#This Row],[Einpressen]]=1,2,IF(Scharniere[[#This Row],[Quick]]=1,3,IF(Scharniere[[#This Row],[Werkzeuglos]]=1,4,0))))=select!$F$48,1,0)</f>
        <v>0</v>
      </c>
      <c r="I6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4" s="149">
        <f>IF(AND(Scharniere[[#This Row],[Scharnierart]]=2,Scharniere[[#This Row],[Gruppenschlüssel]]=select!$A$318)=TRUE,1,0)</f>
        <v>0</v>
      </c>
      <c r="K624" s="221">
        <f ca="1">IF(select!$O$424&lt;6,1,0)</f>
        <v>1</v>
      </c>
      <c r="L624" s="139">
        <f>IF(select!$A$362=IF(Scharniere[[#This Row],[mit Dämpfung]]=1,1,IF(Scharniere[[#This Row],[ohne Dämpfung]]=1,2,IF(Scharniere[[#This Row],[ohne Feder]]=1,3,0))),1,0)</f>
        <v>0</v>
      </c>
      <c r="M624" s="135">
        <f>IF(Scharniere[[#This Row],[Bohrbild]]=select!$O$334,1,0)</f>
        <v>1</v>
      </c>
      <c r="N624" s="135">
        <f>IF(IF(Scharniere[[#This Row],[Anschrauben]]=1,1,IF(Scharniere[[#This Row],[Einpressen]]=1,2,IF(Scharniere[[#This Row],[Quick]]=1,3,IF(Scharniere[[#This Row],[Werkzeuglos]]=1,4,0))))=select!$E$362,1,0)</f>
        <v>0</v>
      </c>
      <c r="O6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4" s="298">
        <f>IF(AND(Scharniere[[#This Row],[Scharnierart]]=3,Scharniere[[#This Row],[Gruppenschlüssel]]=select!$A$747)=TRUE,1,0)</f>
        <v>0</v>
      </c>
      <c r="Q624" s="298">
        <f ca="1">IF(select!$O$945&lt;6,1,0)</f>
        <v>1</v>
      </c>
      <c r="R624" s="298">
        <f>IF(select!$A$778=IF(Scharniere[[#This Row],[mit Dämpfung]]=1,1,IF(Scharniere[[#This Row],[ohne Dämpfung]]=1,2,IF(Scharniere[[#This Row],[ohne Feder]]=1,3,0))),1,0)</f>
        <v>0</v>
      </c>
      <c r="S624" s="298">
        <f>IF(Scharniere[[#This Row],[Bohrbild]]=select!$A$755,1,0)</f>
        <v>0</v>
      </c>
      <c r="T624" s="298">
        <f>IF(IF(Scharniere[[#This Row],[Anschrauben]]=1,1,IF(Scharniere[[#This Row],[Einpressen]]=1,2,IF(Scharniere[[#This Row],[Quick]]=1,3,IF(Scharniere[[#This Row],[Werkzeuglos]]=1,4,0))))=select!$A$769,1,0)</f>
        <v>0</v>
      </c>
      <c r="U6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4" s="359">
        <f>IF(AND(Scharniere[[#This Row],[Scharnierart]]=4,Scharniere[[#This Row],[Gruppenschlüssel]]=select!$A$981)=TRUE,1,0)</f>
        <v>0</v>
      </c>
      <c r="W624" s="359">
        <f ca="1">IF(select!$O$1185&lt;6,1,0)</f>
        <v>1</v>
      </c>
      <c r="X624" s="359">
        <f>IF(select!$A$1012=IF(Scharniere[[#This Row],[mit Dämpfung]]=1,1,IF(Scharniere[[#This Row],[ohne Dämpfung]]=1,2,IF(Scharniere[[#This Row],[ohne Feder]]=1,3,0))),1,0)</f>
        <v>0</v>
      </c>
      <c r="Y624" s="359">
        <f>IF(Scharniere[[#This Row],[Bohrbild]]=select!$A$989,1,0)</f>
        <v>0</v>
      </c>
      <c r="Z624" s="359">
        <f>IF(IF(Scharniere[[#This Row],[Anschrauben]]=1,1,IF(Scharniere[[#This Row],[Einpressen]]=1,2,IF(Scharniere[[#This Row],[Quick]]=1,3,IF(Scharniere[[#This Row],[Werkzeuglos]]=1,4,0))))=select!$A$1003,1,0)</f>
        <v>0</v>
      </c>
      <c r="AA6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4" s="359">
        <f ca="1">IF(select!$K$980="*",Scharniere[[#This Row],[AG Ges2]],Scharniere[[#This Row],[AG Ges1]])</f>
        <v>0</v>
      </c>
      <c r="AE624" s="451">
        <f ca="1">IF(AND(Scharniere[[#This Row],[Scharnierart]]=select!$A$1485,Scharniere[[#This Row],[Gruppenschlüssel]]=select!$B$1485)=TRUE,1,0)</f>
        <v>0</v>
      </c>
      <c r="AF624" s="451">
        <f ca="1">IF(AND(Scharniere[[#This Row],[Scharnierart]]=select!$A$1486,Scharniere[[#This Row],[Gruppenschlüssel]]=select!$B$1486)=TRUE,1,0)</f>
        <v>0</v>
      </c>
      <c r="AG624" s="451">
        <f ca="1">IF(AND(Scharniere[[#This Row],[Scharnierart]]=select!$A$1487,Scharniere[[#This Row],[Gruppenschlüssel]]=select!$B$1487)=TRUE,1,0)</f>
        <v>0</v>
      </c>
      <c r="AH624" s="451">
        <f ca="1">IF(AND(Scharniere[[#This Row],[Scharnierart]]=select!$A$1488,Scharniere[[#This Row],[Gruppenschlüssel]]=select!$B$1488)=TRUE,1,0)</f>
        <v>0</v>
      </c>
      <c r="AI624" s="451">
        <f ca="1">IF(SUM(Scharniere[[#This Row],[konf Scharnier 1]:[konf Scharnier 4]])&gt;0,1,0)</f>
        <v>0</v>
      </c>
      <c r="AJ624" s="451"/>
      <c r="AK624" s="451"/>
      <c r="AL624" s="451"/>
      <c r="AM624" s="451"/>
      <c r="AN624" s="451"/>
      <c r="AO624" s="146">
        <v>1</v>
      </c>
      <c r="AP624" s="146">
        <v>4</v>
      </c>
      <c r="AQ624" s="10" t="str">
        <f ca="1">Sprache!$A$115</f>
        <v>Tiomos Scharnier TT Impresso</v>
      </c>
      <c r="AR624" t="s">
        <v>1953</v>
      </c>
      <c r="AS624" t="str">
        <f ca="1">Sprache!$A$116</f>
        <v>Tiomos Impresso Scharniere</v>
      </c>
      <c r="AT624">
        <v>9.5</v>
      </c>
      <c r="AU624" t="s">
        <v>8</v>
      </c>
      <c r="AV624">
        <v>95</v>
      </c>
      <c r="AW624" s="10">
        <v>0</v>
      </c>
      <c r="AX624">
        <v>0</v>
      </c>
      <c r="AY624">
        <v>1</v>
      </c>
      <c r="AZ624" s="10">
        <v>0</v>
      </c>
      <c r="BA624">
        <v>0</v>
      </c>
      <c r="BB624">
        <v>0</v>
      </c>
      <c r="BC624">
        <v>1</v>
      </c>
      <c r="BD624" s="143" t="s">
        <v>193</v>
      </c>
      <c r="BG624"/>
    </row>
    <row r="625" spans="1:59" ht="14.25" customHeight="1" x14ac:dyDescent="0.25">
      <c r="A625" s="37" t="str">
        <f>LEFT(Scharniere[[#This Row],[ArtikelNR]],4)</f>
        <v>F035</v>
      </c>
      <c r="B625" s="35" t="str">
        <f>MID(Scharniere[[#This Row],[ArtikelNR]],5,3)</f>
        <v>139</v>
      </c>
      <c r="C625" s="37" t="str">
        <f>RIGHT(Scharniere[[#This Row],[ArtikelNR]],3)</f>
        <v>383</v>
      </c>
      <c r="D625" s="35">
        <f>IF(AND(Scharniere[[#This Row],[Gruppenschlüssel]]=select!$A$44,Scharniere[[#This Row],[Scharnierart]]=1)=TRUE,1,0)</f>
        <v>0</v>
      </c>
      <c r="E6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5" s="35">
        <f>IF(select!$F$57=IF(Scharniere[[#This Row],[mit Dämpfung]]=1,1,IF(Scharniere[[#This Row],[ohne Dämpfung]]=1,2,IF(Scharniere[[#This Row],[ohne Feder]]=1,3,0))),1,0)</f>
        <v>1</v>
      </c>
      <c r="G625" s="35">
        <f>IF(Scharniere[[#This Row],[Bohrbild]]=select!$V$43,1,0)</f>
        <v>0</v>
      </c>
      <c r="H625" s="35">
        <f>IF(IF(Scharniere[[#This Row],[Anschrauben]]=1,1,IF(Scharniere[[#This Row],[Einpressen]]=1,2,IF(Scharniere[[#This Row],[Quick]]=1,3,IF(Scharniere[[#This Row],[Werkzeuglos]]=1,4,0))))=select!$F$48,1,0)</f>
        <v>0</v>
      </c>
      <c r="I6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5" s="149">
        <f>IF(AND(Scharniere[[#This Row],[Scharnierart]]=2,Scharniere[[#This Row],[Gruppenschlüssel]]=select!$A$318)=TRUE,1,0)</f>
        <v>0</v>
      </c>
      <c r="K625" s="221">
        <f ca="1">IF(select!$O$424&lt;6,1,0)</f>
        <v>1</v>
      </c>
      <c r="L625" s="139">
        <f>IF(select!$A$362=IF(Scharniere[[#This Row],[mit Dämpfung]]=1,1,IF(Scharniere[[#This Row],[ohne Dämpfung]]=1,2,IF(Scharniere[[#This Row],[ohne Feder]]=1,3,0))),1,0)</f>
        <v>0</v>
      </c>
      <c r="M625" s="135">
        <f>IF(Scharniere[[#This Row],[Bohrbild]]=select!$O$334,1,0)</f>
        <v>0</v>
      </c>
      <c r="N625" s="135">
        <f>IF(IF(Scharniere[[#This Row],[Anschrauben]]=1,1,IF(Scharniere[[#This Row],[Einpressen]]=1,2,IF(Scharniere[[#This Row],[Quick]]=1,3,IF(Scharniere[[#This Row],[Werkzeuglos]]=1,4,0))))=select!$E$362,1,0)</f>
        <v>0</v>
      </c>
      <c r="O6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5" s="298">
        <f>IF(AND(Scharniere[[#This Row],[Scharnierart]]=3,Scharniere[[#This Row],[Gruppenschlüssel]]=select!$A$747)=TRUE,1,0)</f>
        <v>0</v>
      </c>
      <c r="Q625" s="298">
        <f ca="1">IF(select!$O$945&lt;6,1,0)</f>
        <v>1</v>
      </c>
      <c r="R625" s="298">
        <f>IF(select!$A$778=IF(Scharniere[[#This Row],[mit Dämpfung]]=1,1,IF(Scharniere[[#This Row],[ohne Dämpfung]]=1,2,IF(Scharniere[[#This Row],[ohne Feder]]=1,3,0))),1,0)</f>
        <v>0</v>
      </c>
      <c r="S625" s="298">
        <f>IF(Scharniere[[#This Row],[Bohrbild]]=select!$A$755,1,0)</f>
        <v>0</v>
      </c>
      <c r="T625" s="298">
        <f>IF(IF(Scharniere[[#This Row],[Anschrauben]]=1,1,IF(Scharniere[[#This Row],[Einpressen]]=1,2,IF(Scharniere[[#This Row],[Quick]]=1,3,IF(Scharniere[[#This Row],[Werkzeuglos]]=1,4,0))))=select!$A$769,1,0)</f>
        <v>0</v>
      </c>
      <c r="U6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5" s="359">
        <f>IF(AND(Scharniere[[#This Row],[Scharnierart]]=4,Scharniere[[#This Row],[Gruppenschlüssel]]=select!$A$981)=TRUE,1,0)</f>
        <v>0</v>
      </c>
      <c r="W625" s="359">
        <f ca="1">IF(select!$O$1185&lt;6,1,0)</f>
        <v>1</v>
      </c>
      <c r="X625" s="359">
        <f>IF(select!$A$1012=IF(Scharniere[[#This Row],[mit Dämpfung]]=1,1,IF(Scharniere[[#This Row],[ohne Dämpfung]]=1,2,IF(Scharniere[[#This Row],[ohne Feder]]=1,3,0))),1,0)</f>
        <v>0</v>
      </c>
      <c r="Y625" s="359">
        <f>IF(Scharniere[[#This Row],[Bohrbild]]=select!$A$989,1,0)</f>
        <v>0</v>
      </c>
      <c r="Z625" s="359">
        <f>IF(IF(Scharniere[[#This Row],[Anschrauben]]=1,1,IF(Scharniere[[#This Row],[Einpressen]]=1,2,IF(Scharniere[[#This Row],[Quick]]=1,3,IF(Scharniere[[#This Row],[Werkzeuglos]]=1,4,0))))=select!$A$1003,1,0)</f>
        <v>0</v>
      </c>
      <c r="AA6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5" s="359">
        <f ca="1">IF(select!$K$980="*",Scharniere[[#This Row],[AG Ges2]],Scharniere[[#This Row],[AG Ges1]])</f>
        <v>0</v>
      </c>
      <c r="AE625" s="451">
        <f ca="1">IF(AND(Scharniere[[#This Row],[Scharnierart]]=select!$A$1485,Scharniere[[#This Row],[Gruppenschlüssel]]=select!$B$1485)=TRUE,1,0)</f>
        <v>0</v>
      </c>
      <c r="AF625" s="451">
        <f ca="1">IF(AND(Scharniere[[#This Row],[Scharnierart]]=select!$A$1486,Scharniere[[#This Row],[Gruppenschlüssel]]=select!$B$1486)=TRUE,1,0)</f>
        <v>0</v>
      </c>
      <c r="AG625" s="451">
        <f ca="1">IF(AND(Scharniere[[#This Row],[Scharnierart]]=select!$A$1487,Scharniere[[#This Row],[Gruppenschlüssel]]=select!$B$1487)=TRUE,1,0)</f>
        <v>0</v>
      </c>
      <c r="AH625" s="451">
        <f ca="1">IF(AND(Scharniere[[#This Row],[Scharnierart]]=select!$A$1488,Scharniere[[#This Row],[Gruppenschlüssel]]=select!$B$1488)=TRUE,1,0)</f>
        <v>0</v>
      </c>
      <c r="AI625" s="451">
        <f ca="1">IF(SUM(Scharniere[[#This Row],[konf Scharnier 1]:[konf Scharnier 4]])&gt;0,1,0)</f>
        <v>0</v>
      </c>
      <c r="AJ625" s="451"/>
      <c r="AK625" s="451"/>
      <c r="AL625" s="451"/>
      <c r="AM625" s="451"/>
      <c r="AN625" s="451"/>
      <c r="AO625" s="146">
        <v>1</v>
      </c>
      <c r="AP625" s="146">
        <v>4</v>
      </c>
      <c r="AQ625" s="10" t="str">
        <f ca="1">Sprache!$A$115</f>
        <v>Tiomos Scharnier TT Impresso</v>
      </c>
      <c r="AR625" t="s">
        <v>1953</v>
      </c>
      <c r="AS625" t="str">
        <f ca="1">Sprache!$A$116</f>
        <v>Tiomos Impresso Scharniere</v>
      </c>
      <c r="AT625">
        <v>9.5</v>
      </c>
      <c r="AU625" t="s">
        <v>3</v>
      </c>
      <c r="AV625">
        <v>95</v>
      </c>
      <c r="AW625" s="10">
        <v>0</v>
      </c>
      <c r="AX625">
        <v>0</v>
      </c>
      <c r="AY625">
        <v>1</v>
      </c>
      <c r="AZ625" s="10">
        <v>0</v>
      </c>
      <c r="BA625">
        <v>0</v>
      </c>
      <c r="BB625">
        <v>0</v>
      </c>
      <c r="BC625">
        <v>1</v>
      </c>
      <c r="BD625" s="143" t="s">
        <v>193</v>
      </c>
      <c r="BG625"/>
    </row>
    <row r="626" spans="1:59" ht="14.25" customHeight="1" x14ac:dyDescent="0.25">
      <c r="A626" s="37" t="str">
        <f>LEFT(Scharniere[[#This Row],[ArtikelNR]],4)</f>
        <v>F045</v>
      </c>
      <c r="B626" s="35" t="str">
        <f>MID(Scharniere[[#This Row],[ArtikelNR]],5,3)</f>
        <v>138</v>
      </c>
      <c r="C626" s="37" t="str">
        <f>RIGHT(Scharniere[[#This Row],[ArtikelNR]],3)</f>
        <v>875</v>
      </c>
      <c r="D626" s="35">
        <f>IF(AND(Scharniere[[#This Row],[Gruppenschlüssel]]=select!$A$44,Scharniere[[#This Row],[Scharnierart]]=1)=TRUE,1,0)</f>
        <v>0</v>
      </c>
      <c r="E6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6" s="35">
        <f>IF(select!$F$57=IF(Scharniere[[#This Row],[mit Dämpfung]]=1,1,IF(Scharniere[[#This Row],[ohne Dämpfung]]=1,2,IF(Scharniere[[#This Row],[ohne Feder]]=1,3,0))),1,0)</f>
        <v>0</v>
      </c>
      <c r="G626" s="35">
        <f>IF(Scharniere[[#This Row],[Bohrbild]]=select!$V$43,1,0)</f>
        <v>0</v>
      </c>
      <c r="H626" s="35">
        <f>IF(IF(Scharniere[[#This Row],[Anschrauben]]=1,1,IF(Scharniere[[#This Row],[Einpressen]]=1,2,IF(Scharniere[[#This Row],[Quick]]=1,3,IF(Scharniere[[#This Row],[Werkzeuglos]]=1,4,0))))=select!$F$48,1,0)</f>
        <v>1</v>
      </c>
      <c r="I6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6" s="149">
        <f>IF(AND(Scharniere[[#This Row],[Scharnierart]]=2,Scharniere[[#This Row],[Gruppenschlüssel]]=select!$A$318)=TRUE,1,0)</f>
        <v>0</v>
      </c>
      <c r="K626" s="221">
        <f ca="1">IF(select!$O$424&lt;6,1,0)</f>
        <v>1</v>
      </c>
      <c r="L626" s="139">
        <f>IF(select!$A$362=IF(Scharniere[[#This Row],[mit Dämpfung]]=1,1,IF(Scharniere[[#This Row],[ohne Dämpfung]]=1,2,IF(Scharniere[[#This Row],[ohne Feder]]=1,3,0))),1,0)</f>
        <v>0</v>
      </c>
      <c r="M626" s="135">
        <f>IF(Scharniere[[#This Row],[Bohrbild]]=select!$O$334,1,0)</f>
        <v>0</v>
      </c>
      <c r="N626" s="135">
        <f>IF(IF(Scharniere[[#This Row],[Anschrauben]]=1,1,IF(Scharniere[[#This Row],[Einpressen]]=1,2,IF(Scharniere[[#This Row],[Quick]]=1,3,IF(Scharniere[[#This Row],[Werkzeuglos]]=1,4,0))))=select!$E$362,1,0)</f>
        <v>0</v>
      </c>
      <c r="O6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6" s="298">
        <f>IF(AND(Scharniere[[#This Row],[Scharnierart]]=3,Scharniere[[#This Row],[Gruppenschlüssel]]=select!$A$747)=TRUE,1,0)</f>
        <v>0</v>
      </c>
      <c r="Q626" s="298">
        <f ca="1">IF(select!$O$945&lt;6,1,0)</f>
        <v>1</v>
      </c>
      <c r="R626" s="298">
        <f>IF(select!$A$778=IF(Scharniere[[#This Row],[mit Dämpfung]]=1,1,IF(Scharniere[[#This Row],[ohne Dämpfung]]=1,2,IF(Scharniere[[#This Row],[ohne Feder]]=1,3,0))),1,0)</f>
        <v>1</v>
      </c>
      <c r="S626" s="298">
        <f>IF(Scharniere[[#This Row],[Bohrbild]]=select!$A$755,1,0)</f>
        <v>0</v>
      </c>
      <c r="T626" s="298">
        <f>IF(IF(Scharniere[[#This Row],[Anschrauben]]=1,1,IF(Scharniere[[#This Row],[Einpressen]]=1,2,IF(Scharniere[[#This Row],[Quick]]=1,3,IF(Scharniere[[#This Row],[Werkzeuglos]]=1,4,0))))=select!$A$769,1,0)</f>
        <v>0</v>
      </c>
      <c r="U6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6" s="359">
        <f>IF(AND(Scharniere[[#This Row],[Scharnierart]]=4,Scharniere[[#This Row],[Gruppenschlüssel]]=select!$A$981)=TRUE,1,0)</f>
        <v>0</v>
      </c>
      <c r="W626" s="359">
        <f ca="1">IF(select!$O$1185&lt;6,1,0)</f>
        <v>1</v>
      </c>
      <c r="X626" s="359">
        <f>IF(select!$A$1012=IF(Scharniere[[#This Row],[mit Dämpfung]]=1,1,IF(Scharniere[[#This Row],[ohne Dämpfung]]=1,2,IF(Scharniere[[#This Row],[ohne Feder]]=1,3,0))),1,0)</f>
        <v>1</v>
      </c>
      <c r="Y626" s="359">
        <f>IF(Scharniere[[#This Row],[Bohrbild]]=select!$A$989,1,0)</f>
        <v>0</v>
      </c>
      <c r="Z626" s="359">
        <f>IF(IF(Scharniere[[#This Row],[Anschrauben]]=1,1,IF(Scharniere[[#This Row],[Einpressen]]=1,2,IF(Scharniere[[#This Row],[Quick]]=1,3,IF(Scharniere[[#This Row],[Werkzeuglos]]=1,4,0))))=select!$A$1003,1,0)</f>
        <v>0</v>
      </c>
      <c r="AA6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6" s="359">
        <f ca="1">IF(select!$K$980="*",Scharniere[[#This Row],[AG Ges2]],Scharniere[[#This Row],[AG Ges1]])</f>
        <v>0</v>
      </c>
      <c r="AE626" s="451">
        <f ca="1">IF(AND(Scharniere[[#This Row],[Scharnierart]]=select!$A$1485,Scharniere[[#This Row],[Gruppenschlüssel]]=select!$B$1485)=TRUE,1,0)</f>
        <v>0</v>
      </c>
      <c r="AF626" s="451">
        <f ca="1">IF(AND(Scharniere[[#This Row],[Scharnierart]]=select!$A$1486,Scharniere[[#This Row],[Gruppenschlüssel]]=select!$B$1486)=TRUE,1,0)</f>
        <v>0</v>
      </c>
      <c r="AG626" s="451">
        <f ca="1">IF(AND(Scharniere[[#This Row],[Scharnierart]]=select!$A$1487,Scharniere[[#This Row],[Gruppenschlüssel]]=select!$B$1487)=TRUE,1,0)</f>
        <v>0</v>
      </c>
      <c r="AH626" s="451">
        <f ca="1">IF(AND(Scharniere[[#This Row],[Scharnierart]]=select!$A$1488,Scharniere[[#This Row],[Gruppenschlüssel]]=select!$B$1488)=TRUE,1,0)</f>
        <v>0</v>
      </c>
      <c r="AI626" s="451">
        <f ca="1">IF(SUM(Scharniere[[#This Row],[konf Scharnier 1]:[konf Scharnier 4]])&gt;0,1,0)</f>
        <v>0</v>
      </c>
      <c r="AJ626" s="451"/>
      <c r="AK626" s="451"/>
      <c r="AL626" s="451"/>
      <c r="AM626" s="451"/>
      <c r="AN626" s="451"/>
      <c r="AO626" s="146">
        <v>1</v>
      </c>
      <c r="AP626" s="146">
        <v>4</v>
      </c>
      <c r="AQ626" s="10" t="str">
        <f ca="1">Sprache!$A$110</f>
        <v>Tiomos Scharnier T Click-on</v>
      </c>
      <c r="AR626" t="str">
        <f ca="1">"95°, S-BB, K9.5, "&amp;Sprache!A181&amp;", ni"</f>
        <v>95°, S-BB, K9.5, Dübel, ni</v>
      </c>
      <c r="AS626" t="str">
        <f ca="1">Sprache!$A$103</f>
        <v>Tiomos Click-On Scharniere</v>
      </c>
      <c r="AT626">
        <v>9.5</v>
      </c>
      <c r="AU626" s="34" t="s">
        <v>11</v>
      </c>
      <c r="AV626">
        <v>95</v>
      </c>
      <c r="AW626" s="10">
        <v>0</v>
      </c>
      <c r="AX626">
        <v>1</v>
      </c>
      <c r="AY626">
        <v>0</v>
      </c>
      <c r="AZ626" s="10">
        <v>0</v>
      </c>
      <c r="BA626">
        <v>1</v>
      </c>
      <c r="BB626">
        <v>0</v>
      </c>
      <c r="BC626">
        <v>0</v>
      </c>
      <c r="BD626" s="143" t="s">
        <v>568</v>
      </c>
      <c r="BG626"/>
    </row>
    <row r="627" spans="1:59" ht="14.25" customHeight="1" x14ac:dyDescent="0.25">
      <c r="A627" s="37" t="str">
        <f>LEFT(Scharniere[[#This Row],[ArtikelNR]],4)</f>
        <v>F028</v>
      </c>
      <c r="B627" s="35" t="str">
        <f>MID(Scharniere[[#This Row],[ArtikelNR]],5,3)</f>
        <v>138</v>
      </c>
      <c r="C627" s="37" t="str">
        <f>RIGHT(Scharniere[[#This Row],[ArtikelNR]],3)</f>
        <v>937</v>
      </c>
      <c r="D627" s="35">
        <f>IF(AND(Scharniere[[#This Row],[Gruppenschlüssel]]=select!$A$44,Scharniere[[#This Row],[Scharnierart]]=1)=TRUE,1,0)</f>
        <v>0</v>
      </c>
      <c r="E6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7" s="35">
        <f>IF(select!$F$57=IF(Scharniere[[#This Row],[mit Dämpfung]]=1,1,IF(Scharniere[[#This Row],[ohne Dämpfung]]=1,2,IF(Scharniere[[#This Row],[ohne Feder]]=1,3,0))),1,0)</f>
        <v>0</v>
      </c>
      <c r="G627" s="35">
        <f>IF(Scharniere[[#This Row],[Bohrbild]]=select!$V$43,1,0)</f>
        <v>0</v>
      </c>
      <c r="H627" s="35">
        <f>IF(IF(Scharniere[[#This Row],[Anschrauben]]=1,1,IF(Scharniere[[#This Row],[Einpressen]]=1,2,IF(Scharniere[[#This Row],[Quick]]=1,3,IF(Scharniere[[#This Row],[Werkzeuglos]]=1,4,0))))=select!$F$48,1,0)</f>
        <v>1</v>
      </c>
      <c r="I6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7" s="149">
        <f>IF(AND(Scharniere[[#This Row],[Scharnierart]]=2,Scharniere[[#This Row],[Gruppenschlüssel]]=select!$A$318)=TRUE,1,0)</f>
        <v>0</v>
      </c>
      <c r="K627" s="221">
        <f ca="1">IF(select!$O$424&lt;6,1,0)</f>
        <v>1</v>
      </c>
      <c r="L627" s="139">
        <f>IF(select!$A$362=IF(Scharniere[[#This Row],[mit Dämpfung]]=1,1,IF(Scharniere[[#This Row],[ohne Dämpfung]]=1,2,IF(Scharniere[[#This Row],[ohne Feder]]=1,3,0))),1,0)</f>
        <v>1</v>
      </c>
      <c r="M627" s="135">
        <f>IF(Scharniere[[#This Row],[Bohrbild]]=select!$O$334,1,0)</f>
        <v>0</v>
      </c>
      <c r="N627" s="135">
        <f>IF(IF(Scharniere[[#This Row],[Anschrauben]]=1,1,IF(Scharniere[[#This Row],[Einpressen]]=1,2,IF(Scharniere[[#This Row],[Quick]]=1,3,IF(Scharniere[[#This Row],[Werkzeuglos]]=1,4,0))))=select!$E$362,1,0)</f>
        <v>0</v>
      </c>
      <c r="O6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7" s="298">
        <f>IF(AND(Scharniere[[#This Row],[Scharnierart]]=3,Scharniere[[#This Row],[Gruppenschlüssel]]=select!$A$747)=TRUE,1,0)</f>
        <v>0</v>
      </c>
      <c r="Q627" s="298">
        <f ca="1">IF(select!$O$945&lt;6,1,0)</f>
        <v>1</v>
      </c>
      <c r="R627" s="298">
        <f>IF(select!$A$778=IF(Scharniere[[#This Row],[mit Dämpfung]]=1,1,IF(Scharniere[[#This Row],[ohne Dämpfung]]=1,2,IF(Scharniere[[#This Row],[ohne Feder]]=1,3,0))),1,0)</f>
        <v>0</v>
      </c>
      <c r="S627" s="298">
        <f>IF(Scharniere[[#This Row],[Bohrbild]]=select!$A$755,1,0)</f>
        <v>0</v>
      </c>
      <c r="T627" s="298">
        <f>IF(IF(Scharniere[[#This Row],[Anschrauben]]=1,1,IF(Scharniere[[#This Row],[Einpressen]]=1,2,IF(Scharniere[[#This Row],[Quick]]=1,3,IF(Scharniere[[#This Row],[Werkzeuglos]]=1,4,0))))=select!$A$769,1,0)</f>
        <v>0</v>
      </c>
      <c r="U6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7" s="359">
        <f>IF(AND(Scharniere[[#This Row],[Scharnierart]]=4,Scharniere[[#This Row],[Gruppenschlüssel]]=select!$A$981)=TRUE,1,0)</f>
        <v>0</v>
      </c>
      <c r="W627" s="359">
        <f ca="1">IF(select!$O$1185&lt;6,1,0)</f>
        <v>1</v>
      </c>
      <c r="X627" s="359">
        <f>IF(select!$A$1012=IF(Scharniere[[#This Row],[mit Dämpfung]]=1,1,IF(Scharniere[[#This Row],[ohne Dämpfung]]=1,2,IF(Scharniere[[#This Row],[ohne Feder]]=1,3,0))),1,0)</f>
        <v>0</v>
      </c>
      <c r="Y627" s="359">
        <f>IF(Scharniere[[#This Row],[Bohrbild]]=select!$A$989,1,0)</f>
        <v>0</v>
      </c>
      <c r="Z627" s="359">
        <f>IF(IF(Scharniere[[#This Row],[Anschrauben]]=1,1,IF(Scharniere[[#This Row],[Einpressen]]=1,2,IF(Scharniere[[#This Row],[Quick]]=1,3,IF(Scharniere[[#This Row],[Werkzeuglos]]=1,4,0))))=select!$A$1003,1,0)</f>
        <v>0</v>
      </c>
      <c r="AA6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7" s="359">
        <f ca="1">IF(select!$K$980="*",Scharniere[[#This Row],[AG Ges2]],Scharniere[[#This Row],[AG Ges1]])</f>
        <v>0</v>
      </c>
      <c r="AE627" s="451">
        <f ca="1">IF(AND(Scharniere[[#This Row],[Scharnierart]]=select!$A$1485,Scharniere[[#This Row],[Gruppenschlüssel]]=select!$B$1485)=TRUE,1,0)</f>
        <v>0</v>
      </c>
      <c r="AF627" s="451">
        <f ca="1">IF(AND(Scharniere[[#This Row],[Scharnierart]]=select!$A$1486,Scharniere[[#This Row],[Gruppenschlüssel]]=select!$B$1486)=TRUE,1,0)</f>
        <v>0</v>
      </c>
      <c r="AG627" s="451">
        <f ca="1">IF(AND(Scharniere[[#This Row],[Scharnierart]]=select!$A$1487,Scharniere[[#This Row],[Gruppenschlüssel]]=select!$B$1487)=TRUE,1,0)</f>
        <v>0</v>
      </c>
      <c r="AH627" s="451">
        <f ca="1">IF(AND(Scharniere[[#This Row],[Scharnierart]]=select!$A$1488,Scharniere[[#This Row],[Gruppenschlüssel]]=select!$B$1488)=TRUE,1,0)</f>
        <v>0</v>
      </c>
      <c r="AI627" s="451">
        <f ca="1">IF(SUM(Scharniere[[#This Row],[konf Scharnier 1]:[konf Scharnier 4]])&gt;0,1,0)</f>
        <v>0</v>
      </c>
      <c r="AJ627" s="451"/>
      <c r="AK627" s="451"/>
      <c r="AL627" s="451"/>
      <c r="AM627" s="451"/>
      <c r="AN627" s="451"/>
      <c r="AO627" s="146">
        <v>1</v>
      </c>
      <c r="AP627" s="146">
        <v>4</v>
      </c>
      <c r="AQ627" s="10" t="str">
        <f ca="1">Sprache!$A$112</f>
        <v>Tiomos Scharnier TS Click-on</v>
      </c>
      <c r="AR627" t="str">
        <f ca="1">"95°, S-BB, K9.5, "&amp;Sprache!A181&amp;", ni"</f>
        <v>95°, S-BB, K9.5, Dübel, ni</v>
      </c>
      <c r="AS627" t="str">
        <f ca="1">Sprache!$A$103</f>
        <v>Tiomos Click-On Scharniere</v>
      </c>
      <c r="AT627">
        <v>9.5</v>
      </c>
      <c r="AU627" t="s">
        <v>11</v>
      </c>
      <c r="AV627">
        <v>95</v>
      </c>
      <c r="AW627" s="10">
        <v>1</v>
      </c>
      <c r="AX627">
        <v>0</v>
      </c>
      <c r="AY627">
        <v>0</v>
      </c>
      <c r="AZ627" s="10">
        <v>0</v>
      </c>
      <c r="BA627">
        <v>1</v>
      </c>
      <c r="BB627">
        <v>0</v>
      </c>
      <c r="BC627">
        <v>0</v>
      </c>
      <c r="BD627" s="143" t="s">
        <v>415</v>
      </c>
      <c r="BG627"/>
    </row>
    <row r="628" spans="1:59" ht="14.25" customHeight="1" x14ac:dyDescent="0.25">
      <c r="A628" s="37" t="str">
        <f>LEFT(Scharniere[[#This Row],[ArtikelNR]],4)</f>
        <v>F046</v>
      </c>
      <c r="B628" s="35" t="str">
        <f>MID(Scharniere[[#This Row],[ArtikelNR]],5,3)</f>
        <v>138</v>
      </c>
      <c r="C628" s="37" t="str">
        <f>RIGHT(Scharniere[[#This Row],[ArtikelNR]],3)</f>
        <v>997</v>
      </c>
      <c r="D628" s="35">
        <f>IF(AND(Scharniere[[#This Row],[Gruppenschlüssel]]=select!$A$44,Scharniere[[#This Row],[Scharnierart]]=1)=TRUE,1,0)</f>
        <v>0</v>
      </c>
      <c r="E6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8" s="35">
        <f>IF(select!$F$57=IF(Scharniere[[#This Row],[mit Dämpfung]]=1,1,IF(Scharniere[[#This Row],[ohne Dämpfung]]=1,2,IF(Scharniere[[#This Row],[ohne Feder]]=1,3,0))),1,0)</f>
        <v>1</v>
      </c>
      <c r="G628" s="35">
        <f>IF(Scharniere[[#This Row],[Bohrbild]]=select!$V$43,1,0)</f>
        <v>0</v>
      </c>
      <c r="H628" s="35">
        <f>IF(IF(Scharniere[[#This Row],[Anschrauben]]=1,1,IF(Scharniere[[#This Row],[Einpressen]]=1,2,IF(Scharniere[[#This Row],[Quick]]=1,3,IF(Scharniere[[#This Row],[Werkzeuglos]]=1,4,0))))=select!$F$48,1,0)</f>
        <v>1</v>
      </c>
      <c r="I6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8" s="149">
        <f>IF(AND(Scharniere[[#This Row],[Scharnierart]]=2,Scharniere[[#This Row],[Gruppenschlüssel]]=select!$A$318)=TRUE,1,0)</f>
        <v>0</v>
      </c>
      <c r="K628" s="221">
        <f ca="1">IF(select!$O$424&lt;6,1,0)</f>
        <v>1</v>
      </c>
      <c r="L628" s="139">
        <f>IF(select!$A$362=IF(Scharniere[[#This Row],[mit Dämpfung]]=1,1,IF(Scharniere[[#This Row],[ohne Dämpfung]]=1,2,IF(Scharniere[[#This Row],[ohne Feder]]=1,3,0))),1,0)</f>
        <v>0</v>
      </c>
      <c r="M628" s="135">
        <f>IF(Scharniere[[#This Row],[Bohrbild]]=select!$O$334,1,0)</f>
        <v>0</v>
      </c>
      <c r="N628" s="135">
        <f>IF(IF(Scharniere[[#This Row],[Anschrauben]]=1,1,IF(Scharniere[[#This Row],[Einpressen]]=1,2,IF(Scharniere[[#This Row],[Quick]]=1,3,IF(Scharniere[[#This Row],[Werkzeuglos]]=1,4,0))))=select!$E$362,1,0)</f>
        <v>0</v>
      </c>
      <c r="O6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8" s="298">
        <f>IF(AND(Scharniere[[#This Row],[Scharnierart]]=3,Scharniere[[#This Row],[Gruppenschlüssel]]=select!$A$747)=TRUE,1,0)</f>
        <v>0</v>
      </c>
      <c r="Q628" s="298">
        <f ca="1">IF(select!$O$945&lt;6,1,0)</f>
        <v>1</v>
      </c>
      <c r="R628" s="298">
        <f>IF(select!$A$778=IF(Scharniere[[#This Row],[mit Dämpfung]]=1,1,IF(Scharniere[[#This Row],[ohne Dämpfung]]=1,2,IF(Scharniere[[#This Row],[ohne Feder]]=1,3,0))),1,0)</f>
        <v>0</v>
      </c>
      <c r="S628" s="298">
        <f>IF(Scharniere[[#This Row],[Bohrbild]]=select!$A$755,1,0)</f>
        <v>0</v>
      </c>
      <c r="T628" s="298">
        <f>IF(IF(Scharniere[[#This Row],[Anschrauben]]=1,1,IF(Scharniere[[#This Row],[Einpressen]]=1,2,IF(Scharniere[[#This Row],[Quick]]=1,3,IF(Scharniere[[#This Row],[Werkzeuglos]]=1,4,0))))=select!$A$769,1,0)</f>
        <v>0</v>
      </c>
      <c r="U6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8" s="359">
        <f>IF(AND(Scharniere[[#This Row],[Scharnierart]]=4,Scharniere[[#This Row],[Gruppenschlüssel]]=select!$A$981)=TRUE,1,0)</f>
        <v>0</v>
      </c>
      <c r="W628" s="359">
        <f ca="1">IF(select!$O$1185&lt;6,1,0)</f>
        <v>1</v>
      </c>
      <c r="X628" s="359">
        <f>IF(select!$A$1012=IF(Scharniere[[#This Row],[mit Dämpfung]]=1,1,IF(Scharniere[[#This Row],[ohne Dämpfung]]=1,2,IF(Scharniere[[#This Row],[ohne Feder]]=1,3,0))),1,0)</f>
        <v>0</v>
      </c>
      <c r="Y628" s="359">
        <f>IF(Scharniere[[#This Row],[Bohrbild]]=select!$A$989,1,0)</f>
        <v>0</v>
      </c>
      <c r="Z628" s="359">
        <f>IF(IF(Scharniere[[#This Row],[Anschrauben]]=1,1,IF(Scharniere[[#This Row],[Einpressen]]=1,2,IF(Scharniere[[#This Row],[Quick]]=1,3,IF(Scharniere[[#This Row],[Werkzeuglos]]=1,4,0))))=select!$A$1003,1,0)</f>
        <v>0</v>
      </c>
      <c r="AA6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8" s="359">
        <f ca="1">IF(select!$K$980="*",Scharniere[[#This Row],[AG Ges2]],Scharniere[[#This Row],[AG Ges1]])</f>
        <v>0</v>
      </c>
      <c r="AE628" s="451">
        <f ca="1">IF(AND(Scharniere[[#This Row],[Scharnierart]]=select!$A$1485,Scharniere[[#This Row],[Gruppenschlüssel]]=select!$B$1485)=TRUE,1,0)</f>
        <v>0</v>
      </c>
      <c r="AF628" s="451">
        <f ca="1">IF(AND(Scharniere[[#This Row],[Scharnierart]]=select!$A$1486,Scharniere[[#This Row],[Gruppenschlüssel]]=select!$B$1486)=TRUE,1,0)</f>
        <v>0</v>
      </c>
      <c r="AG628" s="451">
        <f ca="1">IF(AND(Scharniere[[#This Row],[Scharnierart]]=select!$A$1487,Scharniere[[#This Row],[Gruppenschlüssel]]=select!$B$1487)=TRUE,1,0)</f>
        <v>0</v>
      </c>
      <c r="AH628" s="451">
        <f ca="1">IF(AND(Scharniere[[#This Row],[Scharnierart]]=select!$A$1488,Scharniere[[#This Row],[Gruppenschlüssel]]=select!$B$1488)=TRUE,1,0)</f>
        <v>0</v>
      </c>
      <c r="AI628" s="451">
        <f ca="1">IF(SUM(Scharniere[[#This Row],[konf Scharnier 1]:[konf Scharnier 4]])&gt;0,1,0)</f>
        <v>0</v>
      </c>
      <c r="AJ628" s="451"/>
      <c r="AK628" s="451"/>
      <c r="AL628" s="451"/>
      <c r="AM628" s="451"/>
      <c r="AN628" s="451"/>
      <c r="AO628" s="146">
        <v>1</v>
      </c>
      <c r="AP628" s="146">
        <v>4</v>
      </c>
      <c r="AQ628" s="10" t="str">
        <f ca="1">Sprache!$A$114</f>
        <v>Tiomos Scharnier TT Click-on</v>
      </c>
      <c r="AR628" t="str">
        <f ca="1">"95°, S-BB, K9.5, "&amp;Sprache!A181&amp;", ni"</f>
        <v>95°, S-BB, K9.5, Dübel, ni</v>
      </c>
      <c r="AS628" t="str">
        <f ca="1">Sprache!$A$103</f>
        <v>Tiomos Click-On Scharniere</v>
      </c>
      <c r="AT628">
        <v>9.5</v>
      </c>
      <c r="AU628" t="s">
        <v>11</v>
      </c>
      <c r="AV628">
        <v>95</v>
      </c>
      <c r="AW628" s="10">
        <v>0</v>
      </c>
      <c r="AX628">
        <v>0</v>
      </c>
      <c r="AY628">
        <v>1</v>
      </c>
      <c r="AZ628" s="10">
        <v>0</v>
      </c>
      <c r="BA628">
        <v>1</v>
      </c>
      <c r="BB628">
        <v>0</v>
      </c>
      <c r="BC628">
        <v>0</v>
      </c>
      <c r="BD628" s="143" t="s">
        <v>720</v>
      </c>
      <c r="BG628"/>
    </row>
    <row r="629" spans="1:59" ht="14.25" customHeight="1" x14ac:dyDescent="0.25">
      <c r="A629" s="37" t="str">
        <f>LEFT(Scharniere[[#This Row],[ArtikelNR]],4)</f>
        <v>F045</v>
      </c>
      <c r="B629" s="35" t="str">
        <f>MID(Scharniere[[#This Row],[ArtikelNR]],5,3)</f>
        <v>138</v>
      </c>
      <c r="C629" s="37" t="str">
        <f>RIGHT(Scharniere[[#This Row],[ArtikelNR]],3)</f>
        <v>871</v>
      </c>
      <c r="D629" s="35">
        <f>IF(AND(Scharniere[[#This Row],[Gruppenschlüssel]]=select!$A$44,Scharniere[[#This Row],[Scharnierart]]=1)=TRUE,1,0)</f>
        <v>0</v>
      </c>
      <c r="E6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29" s="35">
        <f>IF(select!$F$57=IF(Scharniere[[#This Row],[mit Dämpfung]]=1,1,IF(Scharniere[[#This Row],[ohne Dämpfung]]=1,2,IF(Scharniere[[#This Row],[ohne Feder]]=1,3,0))),1,0)</f>
        <v>0</v>
      </c>
      <c r="G629" s="35">
        <f>IF(Scharniere[[#This Row],[Bohrbild]]=select!$V$43,1,0)</f>
        <v>0</v>
      </c>
      <c r="H629" s="35">
        <f>IF(IF(Scharniere[[#This Row],[Anschrauben]]=1,1,IF(Scharniere[[#This Row],[Einpressen]]=1,2,IF(Scharniere[[#This Row],[Quick]]=1,3,IF(Scharniere[[#This Row],[Werkzeuglos]]=1,4,0))))=select!$F$48,1,0)</f>
        <v>0</v>
      </c>
      <c r="I6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29" s="149">
        <f>IF(AND(Scharniere[[#This Row],[Scharnierart]]=2,Scharniere[[#This Row],[Gruppenschlüssel]]=select!$A$318)=TRUE,1,0)</f>
        <v>0</v>
      </c>
      <c r="K629" s="221">
        <f ca="1">IF(select!$O$424&lt;6,1,0)</f>
        <v>1</v>
      </c>
      <c r="L629" s="139">
        <f>IF(select!$A$362=IF(Scharniere[[#This Row],[mit Dämpfung]]=1,1,IF(Scharniere[[#This Row],[ohne Dämpfung]]=1,2,IF(Scharniere[[#This Row],[ohne Feder]]=1,3,0))),1,0)</f>
        <v>0</v>
      </c>
      <c r="M629" s="135">
        <f>IF(Scharniere[[#This Row],[Bohrbild]]=select!$O$334,1,0)</f>
        <v>0</v>
      </c>
      <c r="N629" s="135">
        <f>IF(IF(Scharniere[[#This Row],[Anschrauben]]=1,1,IF(Scharniere[[#This Row],[Einpressen]]=1,2,IF(Scharniere[[#This Row],[Quick]]=1,3,IF(Scharniere[[#This Row],[Werkzeuglos]]=1,4,0))))=select!$E$362,1,0)</f>
        <v>1</v>
      </c>
      <c r="O6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29" s="298">
        <f>IF(AND(Scharniere[[#This Row],[Scharnierart]]=3,Scharniere[[#This Row],[Gruppenschlüssel]]=select!$A$747)=TRUE,1,0)</f>
        <v>0</v>
      </c>
      <c r="Q629" s="298">
        <f ca="1">IF(select!$O$945&lt;6,1,0)</f>
        <v>1</v>
      </c>
      <c r="R629" s="298">
        <f>IF(select!$A$778=IF(Scharniere[[#This Row],[mit Dämpfung]]=1,1,IF(Scharniere[[#This Row],[ohne Dämpfung]]=1,2,IF(Scharniere[[#This Row],[ohne Feder]]=1,3,0))),1,0)</f>
        <v>1</v>
      </c>
      <c r="S629" s="298">
        <f>IF(Scharniere[[#This Row],[Bohrbild]]=select!$A$755,1,0)</f>
        <v>0</v>
      </c>
      <c r="T629" s="298">
        <f>IF(IF(Scharniere[[#This Row],[Anschrauben]]=1,1,IF(Scharniere[[#This Row],[Einpressen]]=1,2,IF(Scharniere[[#This Row],[Quick]]=1,3,IF(Scharniere[[#This Row],[Werkzeuglos]]=1,4,0))))=select!$A$769,1,0)</f>
        <v>1</v>
      </c>
      <c r="U6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29" s="359">
        <f>IF(AND(Scharniere[[#This Row],[Scharnierart]]=4,Scharniere[[#This Row],[Gruppenschlüssel]]=select!$A$981)=TRUE,1,0)</f>
        <v>0</v>
      </c>
      <c r="W629" s="359">
        <f ca="1">IF(select!$O$1185&lt;6,1,0)</f>
        <v>1</v>
      </c>
      <c r="X629" s="359">
        <f>IF(select!$A$1012=IF(Scharniere[[#This Row],[mit Dämpfung]]=1,1,IF(Scharniere[[#This Row],[ohne Dämpfung]]=1,2,IF(Scharniere[[#This Row],[ohne Feder]]=1,3,0))),1,0)</f>
        <v>1</v>
      </c>
      <c r="Y629" s="359">
        <f>IF(Scharniere[[#This Row],[Bohrbild]]=select!$A$989,1,0)</f>
        <v>0</v>
      </c>
      <c r="Z629" s="359">
        <f>IF(IF(Scharniere[[#This Row],[Anschrauben]]=1,1,IF(Scharniere[[#This Row],[Einpressen]]=1,2,IF(Scharniere[[#This Row],[Quick]]=1,3,IF(Scharniere[[#This Row],[Werkzeuglos]]=1,4,0))))=select!$A$1003,1,0)</f>
        <v>1</v>
      </c>
      <c r="AA6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29" s="359">
        <f ca="1">IF(select!$K$980="*",Scharniere[[#This Row],[AG Ges2]],Scharniere[[#This Row],[AG Ges1]])</f>
        <v>0</v>
      </c>
      <c r="AE629" s="451">
        <f ca="1">IF(AND(Scharniere[[#This Row],[Scharnierart]]=select!$A$1485,Scharniere[[#This Row],[Gruppenschlüssel]]=select!$B$1485)=TRUE,1,0)</f>
        <v>0</v>
      </c>
      <c r="AF629" s="451">
        <f ca="1">IF(AND(Scharniere[[#This Row],[Scharnierart]]=select!$A$1486,Scharniere[[#This Row],[Gruppenschlüssel]]=select!$B$1486)=TRUE,1,0)</f>
        <v>0</v>
      </c>
      <c r="AG629" s="451">
        <f ca="1">IF(AND(Scharniere[[#This Row],[Scharnierart]]=select!$A$1487,Scharniere[[#This Row],[Gruppenschlüssel]]=select!$B$1487)=TRUE,1,0)</f>
        <v>0</v>
      </c>
      <c r="AH629" s="451">
        <f ca="1">IF(AND(Scharniere[[#This Row],[Scharnierart]]=select!$A$1488,Scharniere[[#This Row],[Gruppenschlüssel]]=select!$B$1488)=TRUE,1,0)</f>
        <v>0</v>
      </c>
      <c r="AI629" s="451">
        <f ca="1">IF(SUM(Scharniere[[#This Row],[konf Scharnier 1]:[konf Scharnier 4]])&gt;0,1,0)</f>
        <v>0</v>
      </c>
      <c r="AJ629" s="451"/>
      <c r="AK629" s="451"/>
      <c r="AL629" s="451"/>
      <c r="AM629" s="451"/>
      <c r="AN629" s="451"/>
      <c r="AO629" s="146">
        <v>1</v>
      </c>
      <c r="AP629" s="146">
        <v>4</v>
      </c>
      <c r="AQ629" s="10" t="str">
        <f ca="1">Sprache!$A$110</f>
        <v>Tiomos Scharnier T Click-on</v>
      </c>
      <c r="AR629" t="s">
        <v>1954</v>
      </c>
      <c r="AS629" t="str">
        <f ca="1">Sprache!$A$103</f>
        <v>Tiomos Click-On Scharniere</v>
      </c>
      <c r="AT629">
        <v>9.5</v>
      </c>
      <c r="AU629" s="34" t="s">
        <v>11</v>
      </c>
      <c r="AV629">
        <v>95</v>
      </c>
      <c r="AW629" s="10">
        <v>0</v>
      </c>
      <c r="AX629">
        <v>1</v>
      </c>
      <c r="AY629">
        <v>0</v>
      </c>
      <c r="AZ629" s="10">
        <v>1</v>
      </c>
      <c r="BA629">
        <v>0</v>
      </c>
      <c r="BB629">
        <v>0</v>
      </c>
      <c r="BC629">
        <v>0</v>
      </c>
      <c r="BD629" s="143" t="s">
        <v>564</v>
      </c>
      <c r="BG629"/>
    </row>
    <row r="630" spans="1:59" ht="14.25" customHeight="1" x14ac:dyDescent="0.25">
      <c r="A630" s="37" t="str">
        <f>LEFT(Scharniere[[#This Row],[ArtikelNR]],4)</f>
        <v>F028</v>
      </c>
      <c r="B630" s="35" t="str">
        <f>MID(Scharniere[[#This Row],[ArtikelNR]],5,3)</f>
        <v>138</v>
      </c>
      <c r="C630" s="37" t="str">
        <f>RIGHT(Scharniere[[#This Row],[ArtikelNR]],3)</f>
        <v>933</v>
      </c>
      <c r="D630" s="35">
        <f>IF(AND(Scharniere[[#This Row],[Gruppenschlüssel]]=select!$A$44,Scharniere[[#This Row],[Scharnierart]]=1)=TRUE,1,0)</f>
        <v>0</v>
      </c>
      <c r="E6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30" s="35">
        <f>IF(select!$F$57=IF(Scharniere[[#This Row],[mit Dämpfung]]=1,1,IF(Scharniere[[#This Row],[ohne Dämpfung]]=1,2,IF(Scharniere[[#This Row],[ohne Feder]]=1,3,0))),1,0)</f>
        <v>0</v>
      </c>
      <c r="G630" s="35">
        <f>IF(Scharniere[[#This Row],[Bohrbild]]=select!$V$43,1,0)</f>
        <v>0</v>
      </c>
      <c r="H630" s="35">
        <f>IF(IF(Scharniere[[#This Row],[Anschrauben]]=1,1,IF(Scharniere[[#This Row],[Einpressen]]=1,2,IF(Scharniere[[#This Row],[Quick]]=1,3,IF(Scharniere[[#This Row],[Werkzeuglos]]=1,4,0))))=select!$F$48,1,0)</f>
        <v>0</v>
      </c>
      <c r="I6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0" s="149">
        <f>IF(AND(Scharniere[[#This Row],[Scharnierart]]=2,Scharniere[[#This Row],[Gruppenschlüssel]]=select!$A$318)=TRUE,1,0)</f>
        <v>0</v>
      </c>
      <c r="K630" s="221">
        <f ca="1">IF(select!$O$424&lt;6,1,0)</f>
        <v>1</v>
      </c>
      <c r="L630" s="139">
        <f>IF(select!$A$362=IF(Scharniere[[#This Row],[mit Dämpfung]]=1,1,IF(Scharniere[[#This Row],[ohne Dämpfung]]=1,2,IF(Scharniere[[#This Row],[ohne Feder]]=1,3,0))),1,0)</f>
        <v>1</v>
      </c>
      <c r="M630" s="135">
        <f>IF(Scharniere[[#This Row],[Bohrbild]]=select!$O$334,1,0)</f>
        <v>0</v>
      </c>
      <c r="N630" s="135">
        <f>IF(IF(Scharniere[[#This Row],[Anschrauben]]=1,1,IF(Scharniere[[#This Row],[Einpressen]]=1,2,IF(Scharniere[[#This Row],[Quick]]=1,3,IF(Scharniere[[#This Row],[Werkzeuglos]]=1,4,0))))=select!$E$362,1,0)</f>
        <v>1</v>
      </c>
      <c r="O6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0" s="298">
        <f>IF(AND(Scharniere[[#This Row],[Scharnierart]]=3,Scharniere[[#This Row],[Gruppenschlüssel]]=select!$A$747)=TRUE,1,0)</f>
        <v>0</v>
      </c>
      <c r="Q630" s="298">
        <f ca="1">IF(select!$O$945&lt;6,1,0)</f>
        <v>1</v>
      </c>
      <c r="R630" s="298">
        <f>IF(select!$A$778=IF(Scharniere[[#This Row],[mit Dämpfung]]=1,1,IF(Scharniere[[#This Row],[ohne Dämpfung]]=1,2,IF(Scharniere[[#This Row],[ohne Feder]]=1,3,0))),1,0)</f>
        <v>0</v>
      </c>
      <c r="S630" s="298">
        <f>IF(Scharniere[[#This Row],[Bohrbild]]=select!$A$755,1,0)</f>
        <v>0</v>
      </c>
      <c r="T630" s="298">
        <f>IF(IF(Scharniere[[#This Row],[Anschrauben]]=1,1,IF(Scharniere[[#This Row],[Einpressen]]=1,2,IF(Scharniere[[#This Row],[Quick]]=1,3,IF(Scharniere[[#This Row],[Werkzeuglos]]=1,4,0))))=select!$A$769,1,0)</f>
        <v>1</v>
      </c>
      <c r="U6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0" s="359">
        <f>IF(AND(Scharniere[[#This Row],[Scharnierart]]=4,Scharniere[[#This Row],[Gruppenschlüssel]]=select!$A$981)=TRUE,1,0)</f>
        <v>0</v>
      </c>
      <c r="W630" s="359">
        <f ca="1">IF(select!$O$1185&lt;6,1,0)</f>
        <v>1</v>
      </c>
      <c r="X630" s="359">
        <f>IF(select!$A$1012=IF(Scharniere[[#This Row],[mit Dämpfung]]=1,1,IF(Scharniere[[#This Row],[ohne Dämpfung]]=1,2,IF(Scharniere[[#This Row],[ohne Feder]]=1,3,0))),1,0)</f>
        <v>0</v>
      </c>
      <c r="Y630" s="359">
        <f>IF(Scharniere[[#This Row],[Bohrbild]]=select!$A$989,1,0)</f>
        <v>0</v>
      </c>
      <c r="Z630" s="359">
        <f>IF(IF(Scharniere[[#This Row],[Anschrauben]]=1,1,IF(Scharniere[[#This Row],[Einpressen]]=1,2,IF(Scharniere[[#This Row],[Quick]]=1,3,IF(Scharniere[[#This Row],[Werkzeuglos]]=1,4,0))))=select!$A$1003,1,0)</f>
        <v>1</v>
      </c>
      <c r="AA6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0" s="359">
        <f ca="1">IF(select!$K$980="*",Scharniere[[#This Row],[AG Ges2]],Scharniere[[#This Row],[AG Ges1]])</f>
        <v>0</v>
      </c>
      <c r="AE630" s="451">
        <f ca="1">IF(AND(Scharniere[[#This Row],[Scharnierart]]=select!$A$1485,Scharniere[[#This Row],[Gruppenschlüssel]]=select!$B$1485)=TRUE,1,0)</f>
        <v>0</v>
      </c>
      <c r="AF630" s="451">
        <f ca="1">IF(AND(Scharniere[[#This Row],[Scharnierart]]=select!$A$1486,Scharniere[[#This Row],[Gruppenschlüssel]]=select!$B$1486)=TRUE,1,0)</f>
        <v>0</v>
      </c>
      <c r="AG630" s="451">
        <f ca="1">IF(AND(Scharniere[[#This Row],[Scharnierart]]=select!$A$1487,Scharniere[[#This Row],[Gruppenschlüssel]]=select!$B$1487)=TRUE,1,0)</f>
        <v>0</v>
      </c>
      <c r="AH630" s="451">
        <f ca="1">IF(AND(Scharniere[[#This Row],[Scharnierart]]=select!$A$1488,Scharniere[[#This Row],[Gruppenschlüssel]]=select!$B$1488)=TRUE,1,0)</f>
        <v>0</v>
      </c>
      <c r="AI630" s="451">
        <f ca="1">IF(SUM(Scharniere[[#This Row],[konf Scharnier 1]:[konf Scharnier 4]])&gt;0,1,0)</f>
        <v>0</v>
      </c>
      <c r="AJ630" s="451"/>
      <c r="AK630" s="451"/>
      <c r="AL630" s="451"/>
      <c r="AM630" s="451"/>
      <c r="AN630" s="451"/>
      <c r="AO630" s="146">
        <v>1</v>
      </c>
      <c r="AP630" s="146">
        <v>4</v>
      </c>
      <c r="AQ630" s="10" t="str">
        <f ca="1">Sprache!$A$112</f>
        <v>Tiomos Scharnier TS Click-on</v>
      </c>
      <c r="AR630" t="s">
        <v>1954</v>
      </c>
      <c r="AS630" t="str">
        <f ca="1">Sprache!$A$103</f>
        <v>Tiomos Click-On Scharniere</v>
      </c>
      <c r="AT630">
        <v>9.5</v>
      </c>
      <c r="AU630" t="s">
        <v>11</v>
      </c>
      <c r="AV630">
        <v>95</v>
      </c>
      <c r="AW630" s="10">
        <v>1</v>
      </c>
      <c r="AX630">
        <v>0</v>
      </c>
      <c r="AY630">
        <v>0</v>
      </c>
      <c r="AZ630" s="10">
        <v>1</v>
      </c>
      <c r="BA630">
        <v>0</v>
      </c>
      <c r="BB630">
        <v>0</v>
      </c>
      <c r="BC630">
        <v>0</v>
      </c>
      <c r="BD630" s="143" t="s">
        <v>410</v>
      </c>
      <c r="BG630"/>
    </row>
    <row r="631" spans="1:59" ht="14.25" customHeight="1" x14ac:dyDescent="0.25">
      <c r="A631" s="37" t="str">
        <f>LEFT(Scharniere[[#This Row],[ArtikelNR]],4)</f>
        <v>F046</v>
      </c>
      <c r="B631" s="35" t="str">
        <f>MID(Scharniere[[#This Row],[ArtikelNR]],5,3)</f>
        <v>138</v>
      </c>
      <c r="C631" s="37" t="str">
        <f>RIGHT(Scharniere[[#This Row],[ArtikelNR]],3)</f>
        <v>993</v>
      </c>
      <c r="D631" s="35">
        <f>IF(AND(Scharniere[[#This Row],[Gruppenschlüssel]]=select!$A$44,Scharniere[[#This Row],[Scharnierart]]=1)=TRUE,1,0)</f>
        <v>0</v>
      </c>
      <c r="E6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31" s="35">
        <f>IF(select!$F$57=IF(Scharniere[[#This Row],[mit Dämpfung]]=1,1,IF(Scharniere[[#This Row],[ohne Dämpfung]]=1,2,IF(Scharniere[[#This Row],[ohne Feder]]=1,3,0))),1,0)</f>
        <v>1</v>
      </c>
      <c r="G631" s="35">
        <f>IF(Scharniere[[#This Row],[Bohrbild]]=select!$V$43,1,0)</f>
        <v>0</v>
      </c>
      <c r="H631" s="35">
        <f>IF(IF(Scharniere[[#This Row],[Anschrauben]]=1,1,IF(Scharniere[[#This Row],[Einpressen]]=1,2,IF(Scharniere[[#This Row],[Quick]]=1,3,IF(Scharniere[[#This Row],[Werkzeuglos]]=1,4,0))))=select!$F$48,1,0)</f>
        <v>0</v>
      </c>
      <c r="I6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1" s="149">
        <f>IF(AND(Scharniere[[#This Row],[Scharnierart]]=2,Scharniere[[#This Row],[Gruppenschlüssel]]=select!$A$318)=TRUE,1,0)</f>
        <v>0</v>
      </c>
      <c r="K631" s="221">
        <f ca="1">IF(select!$O$424&lt;6,1,0)</f>
        <v>1</v>
      </c>
      <c r="L631" s="139">
        <f>IF(select!$A$362=IF(Scharniere[[#This Row],[mit Dämpfung]]=1,1,IF(Scharniere[[#This Row],[ohne Dämpfung]]=1,2,IF(Scharniere[[#This Row],[ohne Feder]]=1,3,0))),1,0)</f>
        <v>0</v>
      </c>
      <c r="M631" s="135">
        <f>IF(Scharniere[[#This Row],[Bohrbild]]=select!$O$334,1,0)</f>
        <v>0</v>
      </c>
      <c r="N631" s="135">
        <f>IF(IF(Scharniere[[#This Row],[Anschrauben]]=1,1,IF(Scharniere[[#This Row],[Einpressen]]=1,2,IF(Scharniere[[#This Row],[Quick]]=1,3,IF(Scharniere[[#This Row],[Werkzeuglos]]=1,4,0))))=select!$E$362,1,0)</f>
        <v>1</v>
      </c>
      <c r="O6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1" s="298">
        <f>IF(AND(Scharniere[[#This Row],[Scharnierart]]=3,Scharniere[[#This Row],[Gruppenschlüssel]]=select!$A$747)=TRUE,1,0)</f>
        <v>0</v>
      </c>
      <c r="Q631" s="298">
        <f ca="1">IF(select!$O$945&lt;6,1,0)</f>
        <v>1</v>
      </c>
      <c r="R631" s="298">
        <f>IF(select!$A$778=IF(Scharniere[[#This Row],[mit Dämpfung]]=1,1,IF(Scharniere[[#This Row],[ohne Dämpfung]]=1,2,IF(Scharniere[[#This Row],[ohne Feder]]=1,3,0))),1,0)</f>
        <v>0</v>
      </c>
      <c r="S631" s="298">
        <f>IF(Scharniere[[#This Row],[Bohrbild]]=select!$A$755,1,0)</f>
        <v>0</v>
      </c>
      <c r="T631" s="298">
        <f>IF(IF(Scharniere[[#This Row],[Anschrauben]]=1,1,IF(Scharniere[[#This Row],[Einpressen]]=1,2,IF(Scharniere[[#This Row],[Quick]]=1,3,IF(Scharniere[[#This Row],[Werkzeuglos]]=1,4,0))))=select!$A$769,1,0)</f>
        <v>1</v>
      </c>
      <c r="U6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1" s="359">
        <f>IF(AND(Scharniere[[#This Row],[Scharnierart]]=4,Scharniere[[#This Row],[Gruppenschlüssel]]=select!$A$981)=TRUE,1,0)</f>
        <v>0</v>
      </c>
      <c r="W631" s="359">
        <f ca="1">IF(select!$O$1185&lt;6,1,0)</f>
        <v>1</v>
      </c>
      <c r="X631" s="359">
        <f>IF(select!$A$1012=IF(Scharniere[[#This Row],[mit Dämpfung]]=1,1,IF(Scharniere[[#This Row],[ohne Dämpfung]]=1,2,IF(Scharniere[[#This Row],[ohne Feder]]=1,3,0))),1,0)</f>
        <v>0</v>
      </c>
      <c r="Y631" s="359">
        <f>IF(Scharniere[[#This Row],[Bohrbild]]=select!$A$989,1,0)</f>
        <v>0</v>
      </c>
      <c r="Z631" s="359">
        <f>IF(IF(Scharniere[[#This Row],[Anschrauben]]=1,1,IF(Scharniere[[#This Row],[Einpressen]]=1,2,IF(Scharniere[[#This Row],[Quick]]=1,3,IF(Scharniere[[#This Row],[Werkzeuglos]]=1,4,0))))=select!$A$1003,1,0)</f>
        <v>1</v>
      </c>
      <c r="AA6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1" s="359">
        <f ca="1">IF(select!$K$980="*",Scharniere[[#This Row],[AG Ges2]],Scharniere[[#This Row],[AG Ges1]])</f>
        <v>0</v>
      </c>
      <c r="AE631" s="451">
        <f ca="1">IF(AND(Scharniere[[#This Row],[Scharnierart]]=select!$A$1485,Scharniere[[#This Row],[Gruppenschlüssel]]=select!$B$1485)=TRUE,1,0)</f>
        <v>0</v>
      </c>
      <c r="AF631" s="451">
        <f ca="1">IF(AND(Scharniere[[#This Row],[Scharnierart]]=select!$A$1486,Scharniere[[#This Row],[Gruppenschlüssel]]=select!$B$1486)=TRUE,1,0)</f>
        <v>0</v>
      </c>
      <c r="AG631" s="451">
        <f ca="1">IF(AND(Scharniere[[#This Row],[Scharnierart]]=select!$A$1487,Scharniere[[#This Row],[Gruppenschlüssel]]=select!$B$1487)=TRUE,1,0)</f>
        <v>0</v>
      </c>
      <c r="AH631" s="451">
        <f ca="1">IF(AND(Scharniere[[#This Row],[Scharnierart]]=select!$A$1488,Scharniere[[#This Row],[Gruppenschlüssel]]=select!$B$1488)=TRUE,1,0)</f>
        <v>0</v>
      </c>
      <c r="AI631" s="451">
        <f ca="1">IF(SUM(Scharniere[[#This Row],[konf Scharnier 1]:[konf Scharnier 4]])&gt;0,1,0)</f>
        <v>0</v>
      </c>
      <c r="AJ631" s="451"/>
      <c r="AK631" s="451"/>
      <c r="AL631" s="451"/>
      <c r="AM631" s="451"/>
      <c r="AN631" s="451"/>
      <c r="AO631" s="146">
        <v>1</v>
      </c>
      <c r="AP631" s="146">
        <v>4</v>
      </c>
      <c r="AQ631" s="10" t="str">
        <f ca="1">Sprache!$A$114</f>
        <v>Tiomos Scharnier TT Click-on</v>
      </c>
      <c r="AR631" t="s">
        <v>1954</v>
      </c>
      <c r="AS631" t="str">
        <f ca="1">Sprache!$A$103</f>
        <v>Tiomos Click-On Scharniere</v>
      </c>
      <c r="AT631">
        <v>9.5</v>
      </c>
      <c r="AU631" t="s">
        <v>11</v>
      </c>
      <c r="AV631">
        <v>95</v>
      </c>
      <c r="AW631" s="10">
        <v>0</v>
      </c>
      <c r="AX631">
        <v>0</v>
      </c>
      <c r="AY631">
        <v>1</v>
      </c>
      <c r="AZ631" s="10">
        <v>1</v>
      </c>
      <c r="BA631">
        <v>0</v>
      </c>
      <c r="BB631">
        <v>0</v>
      </c>
      <c r="BC631">
        <v>0</v>
      </c>
      <c r="BD631" s="143" t="s">
        <v>716</v>
      </c>
      <c r="BG631"/>
    </row>
    <row r="632" spans="1:59" ht="14.25" customHeight="1" x14ac:dyDescent="0.25">
      <c r="A632" s="37" t="str">
        <f>LEFT(Scharniere[[#This Row],[ArtikelNR]],4)</f>
        <v>F045</v>
      </c>
      <c r="B632" s="35" t="str">
        <f>MID(Scharniere[[#This Row],[ArtikelNR]],5,3)</f>
        <v>138</v>
      </c>
      <c r="C632" s="37" t="str">
        <f>RIGHT(Scharniere[[#This Row],[ArtikelNR]],3)</f>
        <v>510</v>
      </c>
      <c r="D632" s="35">
        <f>IF(AND(Scharniere[[#This Row],[Gruppenschlüssel]]=select!$A$44,Scharniere[[#This Row],[Scharnierart]]=1)=TRUE,1,0)</f>
        <v>0</v>
      </c>
      <c r="E6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2" s="35">
        <f>IF(select!$F$57=IF(Scharniere[[#This Row],[mit Dämpfung]]=1,1,IF(Scharniere[[#This Row],[ohne Dämpfung]]=1,2,IF(Scharniere[[#This Row],[ohne Feder]]=1,3,0))),1,0)</f>
        <v>0</v>
      </c>
      <c r="G632" s="35">
        <f>IF(Scharniere[[#This Row],[Bohrbild]]=select!$V$43,1,0)</f>
        <v>0</v>
      </c>
      <c r="H632" s="35">
        <f>IF(IF(Scharniere[[#This Row],[Anschrauben]]=1,1,IF(Scharniere[[#This Row],[Einpressen]]=1,2,IF(Scharniere[[#This Row],[Quick]]=1,3,IF(Scharniere[[#This Row],[Werkzeuglos]]=1,4,0))))=select!$F$48,1,0)</f>
        <v>1</v>
      </c>
      <c r="I6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2" s="149">
        <f>IF(AND(Scharniere[[#This Row],[Scharnierart]]=2,Scharniere[[#This Row],[Gruppenschlüssel]]=select!$A$318)=TRUE,1,0)</f>
        <v>0</v>
      </c>
      <c r="K632" s="221">
        <f ca="1">IF(select!$O$424&lt;6,1,0)</f>
        <v>1</v>
      </c>
      <c r="L632" s="139">
        <f>IF(select!$A$362=IF(Scharniere[[#This Row],[mit Dämpfung]]=1,1,IF(Scharniere[[#This Row],[ohne Dämpfung]]=1,2,IF(Scharniere[[#This Row],[ohne Feder]]=1,3,0))),1,0)</f>
        <v>0</v>
      </c>
      <c r="M632" s="135">
        <f>IF(Scharniere[[#This Row],[Bohrbild]]=select!$O$334,1,0)</f>
        <v>0</v>
      </c>
      <c r="N632" s="135">
        <f>IF(IF(Scharniere[[#This Row],[Anschrauben]]=1,1,IF(Scharniere[[#This Row],[Einpressen]]=1,2,IF(Scharniere[[#This Row],[Quick]]=1,3,IF(Scharniere[[#This Row],[Werkzeuglos]]=1,4,0))))=select!$E$362,1,0)</f>
        <v>0</v>
      </c>
      <c r="O6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2" s="298">
        <f>IF(AND(Scharniere[[#This Row],[Scharnierart]]=3,Scharniere[[#This Row],[Gruppenschlüssel]]=select!$A$747)=TRUE,1,0)</f>
        <v>0</v>
      </c>
      <c r="Q632" s="298">
        <f ca="1">IF(select!$O$945&lt;6,1,0)</f>
        <v>1</v>
      </c>
      <c r="R632" s="298">
        <f>IF(select!$A$778=IF(Scharniere[[#This Row],[mit Dämpfung]]=1,1,IF(Scharniere[[#This Row],[ohne Dämpfung]]=1,2,IF(Scharniere[[#This Row],[ohne Feder]]=1,3,0))),1,0)</f>
        <v>1</v>
      </c>
      <c r="S632" s="298">
        <f>IF(Scharniere[[#This Row],[Bohrbild]]=select!$A$755,1,0)</f>
        <v>0</v>
      </c>
      <c r="T632" s="298">
        <f>IF(IF(Scharniere[[#This Row],[Anschrauben]]=1,1,IF(Scharniere[[#This Row],[Einpressen]]=1,2,IF(Scharniere[[#This Row],[Quick]]=1,3,IF(Scharniere[[#This Row],[Werkzeuglos]]=1,4,0))))=select!$A$769,1,0)</f>
        <v>0</v>
      </c>
      <c r="U6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2" s="359">
        <f>IF(AND(Scharniere[[#This Row],[Scharnierart]]=4,Scharniere[[#This Row],[Gruppenschlüssel]]=select!$A$981)=TRUE,1,0)</f>
        <v>0</v>
      </c>
      <c r="W632" s="359">
        <f ca="1">IF(select!$O$1185&lt;6,1,0)</f>
        <v>1</v>
      </c>
      <c r="X632" s="359">
        <f>IF(select!$A$1012=IF(Scharniere[[#This Row],[mit Dämpfung]]=1,1,IF(Scharniere[[#This Row],[ohne Dämpfung]]=1,2,IF(Scharniere[[#This Row],[ohne Feder]]=1,3,0))),1,0)</f>
        <v>1</v>
      </c>
      <c r="Y632" s="359">
        <f>IF(Scharniere[[#This Row],[Bohrbild]]=select!$A$989,1,0)</f>
        <v>0</v>
      </c>
      <c r="Z632" s="359">
        <f>IF(IF(Scharniere[[#This Row],[Anschrauben]]=1,1,IF(Scharniere[[#This Row],[Einpressen]]=1,2,IF(Scharniere[[#This Row],[Quick]]=1,3,IF(Scharniere[[#This Row],[Werkzeuglos]]=1,4,0))))=select!$A$1003,1,0)</f>
        <v>0</v>
      </c>
      <c r="AA6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2" s="359">
        <f ca="1">IF(select!$K$980="*",Scharniere[[#This Row],[AG Ges2]],Scharniere[[#This Row],[AG Ges1]])</f>
        <v>0</v>
      </c>
      <c r="AE632" s="451">
        <f ca="1">IF(AND(Scharniere[[#This Row],[Scharnierart]]=select!$A$1485,Scharniere[[#This Row],[Gruppenschlüssel]]=select!$B$1485)=TRUE,1,0)</f>
        <v>0</v>
      </c>
      <c r="AF632" s="451">
        <f ca="1">IF(AND(Scharniere[[#This Row],[Scharnierart]]=select!$A$1486,Scharniere[[#This Row],[Gruppenschlüssel]]=select!$B$1486)=TRUE,1,0)</f>
        <v>0</v>
      </c>
      <c r="AG632" s="451">
        <f ca="1">IF(AND(Scharniere[[#This Row],[Scharnierart]]=select!$A$1487,Scharniere[[#This Row],[Gruppenschlüssel]]=select!$B$1487)=TRUE,1,0)</f>
        <v>0</v>
      </c>
      <c r="AH632" s="451">
        <f ca="1">IF(AND(Scharniere[[#This Row],[Scharnierart]]=select!$A$1488,Scharniere[[#This Row],[Gruppenschlüssel]]=select!$B$1488)=TRUE,1,0)</f>
        <v>0</v>
      </c>
      <c r="AI632" s="451">
        <f ca="1">IF(SUM(Scharniere[[#This Row],[konf Scharnier 1]:[konf Scharnier 4]])&gt;0,1,0)</f>
        <v>0</v>
      </c>
      <c r="AJ632" s="451"/>
      <c r="AK632" s="451"/>
      <c r="AL632" s="451"/>
      <c r="AM632" s="451"/>
      <c r="AN632" s="451"/>
      <c r="AO632" s="146">
        <v>1</v>
      </c>
      <c r="AP632" s="146">
        <v>4</v>
      </c>
      <c r="AQ632" s="10" t="str">
        <f ca="1">Sprache!$A$110</f>
        <v>Tiomos Scharnier T Click-on</v>
      </c>
      <c r="AR632" t="str">
        <f ca="1">"95°, B-BB, K03, "&amp;Sprache!A181&amp;", ni"</f>
        <v>95°, B-BB, K03, Dübel, ni</v>
      </c>
      <c r="AS632" t="str">
        <f ca="1">Sprache!$A$103</f>
        <v>Tiomos Click-On Scharniere</v>
      </c>
      <c r="AT632">
        <v>3</v>
      </c>
      <c r="AU632" t="s">
        <v>3</v>
      </c>
      <c r="AV632">
        <v>95</v>
      </c>
      <c r="AW632" s="10">
        <v>0</v>
      </c>
      <c r="AX632">
        <v>1</v>
      </c>
      <c r="AY632">
        <v>0</v>
      </c>
      <c r="AZ632" s="10">
        <v>0</v>
      </c>
      <c r="BA632">
        <v>1</v>
      </c>
      <c r="BB632">
        <v>0</v>
      </c>
      <c r="BC632">
        <v>0</v>
      </c>
      <c r="BD632" s="143" t="s">
        <v>511</v>
      </c>
      <c r="BG632"/>
    </row>
    <row r="633" spans="1:59" ht="14.25" customHeight="1" x14ac:dyDescent="0.25">
      <c r="A633" s="37" t="str">
        <f>LEFT(Scharniere[[#This Row],[ArtikelNR]],4)</f>
        <v>F028</v>
      </c>
      <c r="B633" s="35" t="str">
        <f>MID(Scharniere[[#This Row],[ArtikelNR]],5,3)</f>
        <v>138</v>
      </c>
      <c r="C633" s="37" t="str">
        <f>RIGHT(Scharniere[[#This Row],[ArtikelNR]],3)</f>
        <v>572</v>
      </c>
      <c r="D633" s="35">
        <f>IF(AND(Scharniere[[#This Row],[Gruppenschlüssel]]=select!$A$44,Scharniere[[#This Row],[Scharnierart]]=1)=TRUE,1,0)</f>
        <v>0</v>
      </c>
      <c r="E6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3" s="35">
        <f>IF(select!$F$57=IF(Scharniere[[#This Row],[mit Dämpfung]]=1,1,IF(Scharniere[[#This Row],[ohne Dämpfung]]=1,2,IF(Scharniere[[#This Row],[ohne Feder]]=1,3,0))),1,0)</f>
        <v>0</v>
      </c>
      <c r="G633" s="35">
        <f>IF(Scharniere[[#This Row],[Bohrbild]]=select!$V$43,1,0)</f>
        <v>0</v>
      </c>
      <c r="H633" s="35">
        <f>IF(IF(Scharniere[[#This Row],[Anschrauben]]=1,1,IF(Scharniere[[#This Row],[Einpressen]]=1,2,IF(Scharniere[[#This Row],[Quick]]=1,3,IF(Scharniere[[#This Row],[Werkzeuglos]]=1,4,0))))=select!$F$48,1,0)</f>
        <v>1</v>
      </c>
      <c r="I6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3" s="149">
        <f>IF(AND(Scharniere[[#This Row],[Scharnierart]]=2,Scharniere[[#This Row],[Gruppenschlüssel]]=select!$A$318)=TRUE,1,0)</f>
        <v>0</v>
      </c>
      <c r="K633" s="221">
        <f ca="1">IF(select!$O$424&lt;6,1,0)</f>
        <v>1</v>
      </c>
      <c r="L633" s="139">
        <f>IF(select!$A$362=IF(Scharniere[[#This Row],[mit Dämpfung]]=1,1,IF(Scharniere[[#This Row],[ohne Dämpfung]]=1,2,IF(Scharniere[[#This Row],[ohne Feder]]=1,3,0))),1,0)</f>
        <v>1</v>
      </c>
      <c r="M633" s="135">
        <f>IF(Scharniere[[#This Row],[Bohrbild]]=select!$O$334,1,0)</f>
        <v>0</v>
      </c>
      <c r="N633" s="135">
        <f>IF(IF(Scharniere[[#This Row],[Anschrauben]]=1,1,IF(Scharniere[[#This Row],[Einpressen]]=1,2,IF(Scharniere[[#This Row],[Quick]]=1,3,IF(Scharniere[[#This Row],[Werkzeuglos]]=1,4,0))))=select!$E$362,1,0)</f>
        <v>0</v>
      </c>
      <c r="O6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3" s="298">
        <f>IF(AND(Scharniere[[#This Row],[Scharnierart]]=3,Scharniere[[#This Row],[Gruppenschlüssel]]=select!$A$747)=TRUE,1,0)</f>
        <v>0</v>
      </c>
      <c r="Q633" s="298">
        <f ca="1">IF(select!$O$945&lt;6,1,0)</f>
        <v>1</v>
      </c>
      <c r="R633" s="298">
        <f>IF(select!$A$778=IF(Scharniere[[#This Row],[mit Dämpfung]]=1,1,IF(Scharniere[[#This Row],[ohne Dämpfung]]=1,2,IF(Scharniere[[#This Row],[ohne Feder]]=1,3,0))),1,0)</f>
        <v>0</v>
      </c>
      <c r="S633" s="298">
        <f>IF(Scharniere[[#This Row],[Bohrbild]]=select!$A$755,1,0)</f>
        <v>0</v>
      </c>
      <c r="T633" s="298">
        <f>IF(IF(Scharniere[[#This Row],[Anschrauben]]=1,1,IF(Scharniere[[#This Row],[Einpressen]]=1,2,IF(Scharniere[[#This Row],[Quick]]=1,3,IF(Scharniere[[#This Row],[Werkzeuglos]]=1,4,0))))=select!$A$769,1,0)</f>
        <v>0</v>
      </c>
      <c r="U6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3" s="359">
        <f>IF(AND(Scharniere[[#This Row],[Scharnierart]]=4,Scharniere[[#This Row],[Gruppenschlüssel]]=select!$A$981)=TRUE,1,0)</f>
        <v>0</v>
      </c>
      <c r="W633" s="359">
        <f ca="1">IF(select!$O$1185&lt;6,1,0)</f>
        <v>1</v>
      </c>
      <c r="X633" s="359">
        <f>IF(select!$A$1012=IF(Scharniere[[#This Row],[mit Dämpfung]]=1,1,IF(Scharniere[[#This Row],[ohne Dämpfung]]=1,2,IF(Scharniere[[#This Row],[ohne Feder]]=1,3,0))),1,0)</f>
        <v>0</v>
      </c>
      <c r="Y633" s="359">
        <f>IF(Scharniere[[#This Row],[Bohrbild]]=select!$A$989,1,0)</f>
        <v>0</v>
      </c>
      <c r="Z633" s="359">
        <f>IF(IF(Scharniere[[#This Row],[Anschrauben]]=1,1,IF(Scharniere[[#This Row],[Einpressen]]=1,2,IF(Scharniere[[#This Row],[Quick]]=1,3,IF(Scharniere[[#This Row],[Werkzeuglos]]=1,4,0))))=select!$A$1003,1,0)</f>
        <v>0</v>
      </c>
      <c r="AA6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3" s="359">
        <f ca="1">IF(select!$K$980="*",Scharniere[[#This Row],[AG Ges2]],Scharniere[[#This Row],[AG Ges1]])</f>
        <v>0</v>
      </c>
      <c r="AE633" s="451">
        <f ca="1">IF(AND(Scharniere[[#This Row],[Scharnierart]]=select!$A$1485,Scharniere[[#This Row],[Gruppenschlüssel]]=select!$B$1485)=TRUE,1,0)</f>
        <v>0</v>
      </c>
      <c r="AF633" s="451">
        <f ca="1">IF(AND(Scharniere[[#This Row],[Scharnierart]]=select!$A$1486,Scharniere[[#This Row],[Gruppenschlüssel]]=select!$B$1486)=TRUE,1,0)</f>
        <v>0</v>
      </c>
      <c r="AG633" s="451">
        <f ca="1">IF(AND(Scharniere[[#This Row],[Scharnierart]]=select!$A$1487,Scharniere[[#This Row],[Gruppenschlüssel]]=select!$B$1487)=TRUE,1,0)</f>
        <v>0</v>
      </c>
      <c r="AH633" s="451">
        <f ca="1">IF(AND(Scharniere[[#This Row],[Scharnierart]]=select!$A$1488,Scharniere[[#This Row],[Gruppenschlüssel]]=select!$B$1488)=TRUE,1,0)</f>
        <v>0</v>
      </c>
      <c r="AI633" s="451">
        <f ca="1">IF(SUM(Scharniere[[#This Row],[konf Scharnier 1]:[konf Scharnier 4]])&gt;0,1,0)</f>
        <v>0</v>
      </c>
      <c r="AJ633" s="451"/>
      <c r="AK633" s="451"/>
      <c r="AL633" s="451"/>
      <c r="AM633" s="451"/>
      <c r="AN633" s="451"/>
      <c r="AO633" s="146">
        <v>1</v>
      </c>
      <c r="AP633" s="146">
        <v>4</v>
      </c>
      <c r="AQ633" s="10" t="str">
        <f ca="1">Sprache!$A$112</f>
        <v>Tiomos Scharnier TS Click-on</v>
      </c>
      <c r="AR633" t="str">
        <f ca="1">"95°, B-BB, K03, "&amp;Sprache!A181&amp;", ni"</f>
        <v>95°, B-BB, K03, Dübel, ni</v>
      </c>
      <c r="AS633" t="str">
        <f ca="1">Sprache!$A$103</f>
        <v>Tiomos Click-On Scharniere</v>
      </c>
      <c r="AT633">
        <v>3</v>
      </c>
      <c r="AU633" t="s">
        <v>3</v>
      </c>
      <c r="AV633">
        <v>95</v>
      </c>
      <c r="AW633" s="10">
        <v>1</v>
      </c>
      <c r="AX633">
        <v>0</v>
      </c>
      <c r="AY633">
        <v>0</v>
      </c>
      <c r="AZ633" s="10">
        <v>0</v>
      </c>
      <c r="BA633">
        <v>1</v>
      </c>
      <c r="BB633">
        <v>0</v>
      </c>
      <c r="BC633">
        <v>0</v>
      </c>
      <c r="BD633" s="143" t="s">
        <v>338</v>
      </c>
      <c r="BG633"/>
    </row>
    <row r="634" spans="1:59" ht="14.25" customHeight="1" x14ac:dyDescent="0.25">
      <c r="A634" s="37" t="str">
        <f>LEFT(Scharniere[[#This Row],[ArtikelNR]],4)</f>
        <v>F046</v>
      </c>
      <c r="B634" s="35" t="str">
        <f>MID(Scharniere[[#This Row],[ArtikelNR]],5,3)</f>
        <v>138</v>
      </c>
      <c r="C634" s="37" t="str">
        <f>RIGHT(Scharniere[[#This Row],[ArtikelNR]],3)</f>
        <v>632</v>
      </c>
      <c r="D634" s="35">
        <f>IF(AND(Scharniere[[#This Row],[Gruppenschlüssel]]=select!$A$44,Scharniere[[#This Row],[Scharnierart]]=1)=TRUE,1,0)</f>
        <v>0</v>
      </c>
      <c r="E6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4" s="35">
        <f>IF(select!$F$57=IF(Scharniere[[#This Row],[mit Dämpfung]]=1,1,IF(Scharniere[[#This Row],[ohne Dämpfung]]=1,2,IF(Scharniere[[#This Row],[ohne Feder]]=1,3,0))),1,0)</f>
        <v>1</v>
      </c>
      <c r="G634" s="35">
        <f>IF(Scharniere[[#This Row],[Bohrbild]]=select!$V$43,1,0)</f>
        <v>0</v>
      </c>
      <c r="H634" s="35">
        <f>IF(IF(Scharniere[[#This Row],[Anschrauben]]=1,1,IF(Scharniere[[#This Row],[Einpressen]]=1,2,IF(Scharniere[[#This Row],[Quick]]=1,3,IF(Scharniere[[#This Row],[Werkzeuglos]]=1,4,0))))=select!$F$48,1,0)</f>
        <v>1</v>
      </c>
      <c r="I6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4" s="149">
        <f>IF(AND(Scharniere[[#This Row],[Scharnierart]]=2,Scharniere[[#This Row],[Gruppenschlüssel]]=select!$A$318)=TRUE,1,0)</f>
        <v>0</v>
      </c>
      <c r="K634" s="221">
        <f ca="1">IF(select!$O$424&lt;6,1,0)</f>
        <v>1</v>
      </c>
      <c r="L634" s="139">
        <f>IF(select!$A$362=IF(Scharniere[[#This Row],[mit Dämpfung]]=1,1,IF(Scharniere[[#This Row],[ohne Dämpfung]]=1,2,IF(Scharniere[[#This Row],[ohne Feder]]=1,3,0))),1,0)</f>
        <v>0</v>
      </c>
      <c r="M634" s="135">
        <f>IF(Scharniere[[#This Row],[Bohrbild]]=select!$O$334,1,0)</f>
        <v>0</v>
      </c>
      <c r="N634" s="135">
        <f>IF(IF(Scharniere[[#This Row],[Anschrauben]]=1,1,IF(Scharniere[[#This Row],[Einpressen]]=1,2,IF(Scharniere[[#This Row],[Quick]]=1,3,IF(Scharniere[[#This Row],[Werkzeuglos]]=1,4,0))))=select!$E$362,1,0)</f>
        <v>0</v>
      </c>
      <c r="O6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4" s="298">
        <f>IF(AND(Scharniere[[#This Row],[Scharnierart]]=3,Scharniere[[#This Row],[Gruppenschlüssel]]=select!$A$747)=TRUE,1,0)</f>
        <v>0</v>
      </c>
      <c r="Q634" s="298">
        <f ca="1">IF(select!$O$945&lt;6,1,0)</f>
        <v>1</v>
      </c>
      <c r="R634" s="298">
        <f>IF(select!$A$778=IF(Scharniere[[#This Row],[mit Dämpfung]]=1,1,IF(Scharniere[[#This Row],[ohne Dämpfung]]=1,2,IF(Scharniere[[#This Row],[ohne Feder]]=1,3,0))),1,0)</f>
        <v>0</v>
      </c>
      <c r="S634" s="298">
        <f>IF(Scharniere[[#This Row],[Bohrbild]]=select!$A$755,1,0)</f>
        <v>0</v>
      </c>
      <c r="T634" s="298">
        <f>IF(IF(Scharniere[[#This Row],[Anschrauben]]=1,1,IF(Scharniere[[#This Row],[Einpressen]]=1,2,IF(Scharniere[[#This Row],[Quick]]=1,3,IF(Scharniere[[#This Row],[Werkzeuglos]]=1,4,0))))=select!$A$769,1,0)</f>
        <v>0</v>
      </c>
      <c r="U6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4" s="359">
        <f>IF(AND(Scharniere[[#This Row],[Scharnierart]]=4,Scharniere[[#This Row],[Gruppenschlüssel]]=select!$A$981)=TRUE,1,0)</f>
        <v>0</v>
      </c>
      <c r="W634" s="359">
        <f ca="1">IF(select!$O$1185&lt;6,1,0)</f>
        <v>1</v>
      </c>
      <c r="X634" s="359">
        <f>IF(select!$A$1012=IF(Scharniere[[#This Row],[mit Dämpfung]]=1,1,IF(Scharniere[[#This Row],[ohne Dämpfung]]=1,2,IF(Scharniere[[#This Row],[ohne Feder]]=1,3,0))),1,0)</f>
        <v>0</v>
      </c>
      <c r="Y634" s="359">
        <f>IF(Scharniere[[#This Row],[Bohrbild]]=select!$A$989,1,0)</f>
        <v>0</v>
      </c>
      <c r="Z634" s="359">
        <f>IF(IF(Scharniere[[#This Row],[Anschrauben]]=1,1,IF(Scharniere[[#This Row],[Einpressen]]=1,2,IF(Scharniere[[#This Row],[Quick]]=1,3,IF(Scharniere[[#This Row],[Werkzeuglos]]=1,4,0))))=select!$A$1003,1,0)</f>
        <v>0</v>
      </c>
      <c r="AA6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4" s="359">
        <f ca="1">IF(select!$K$980="*",Scharniere[[#This Row],[AG Ges2]],Scharniere[[#This Row],[AG Ges1]])</f>
        <v>0</v>
      </c>
      <c r="AE634" s="451">
        <f ca="1">IF(AND(Scharniere[[#This Row],[Scharnierart]]=select!$A$1485,Scharniere[[#This Row],[Gruppenschlüssel]]=select!$B$1485)=TRUE,1,0)</f>
        <v>0</v>
      </c>
      <c r="AF634" s="451">
        <f ca="1">IF(AND(Scharniere[[#This Row],[Scharnierart]]=select!$A$1486,Scharniere[[#This Row],[Gruppenschlüssel]]=select!$B$1486)=TRUE,1,0)</f>
        <v>0</v>
      </c>
      <c r="AG634" s="451">
        <f ca="1">IF(AND(Scharniere[[#This Row],[Scharnierart]]=select!$A$1487,Scharniere[[#This Row],[Gruppenschlüssel]]=select!$B$1487)=TRUE,1,0)</f>
        <v>0</v>
      </c>
      <c r="AH634" s="451">
        <f ca="1">IF(AND(Scharniere[[#This Row],[Scharnierart]]=select!$A$1488,Scharniere[[#This Row],[Gruppenschlüssel]]=select!$B$1488)=TRUE,1,0)</f>
        <v>0</v>
      </c>
      <c r="AI634" s="451">
        <f ca="1">IF(SUM(Scharniere[[#This Row],[konf Scharnier 1]:[konf Scharnier 4]])&gt;0,1,0)</f>
        <v>0</v>
      </c>
      <c r="AJ634" s="451"/>
      <c r="AK634" s="451"/>
      <c r="AL634" s="451"/>
      <c r="AM634" s="451"/>
      <c r="AN634" s="451"/>
      <c r="AO634" s="146">
        <v>1</v>
      </c>
      <c r="AP634" s="146">
        <v>4</v>
      </c>
      <c r="AQ634" s="10" t="str">
        <f ca="1">Sprache!$A$114</f>
        <v>Tiomos Scharnier TT Click-on</v>
      </c>
      <c r="AR634" t="str">
        <f ca="1">"95°, B-BB, K03, "&amp;Sprache!A181&amp;", ni"</f>
        <v>95°, B-BB, K03, Dübel, ni</v>
      </c>
      <c r="AS634" t="str">
        <f ca="1">Sprache!$A$103</f>
        <v>Tiomos Click-On Scharniere</v>
      </c>
      <c r="AT634">
        <v>3</v>
      </c>
      <c r="AU634" t="s">
        <v>3</v>
      </c>
      <c r="AV634">
        <v>95</v>
      </c>
      <c r="AW634" s="10">
        <v>0</v>
      </c>
      <c r="AX634">
        <v>0</v>
      </c>
      <c r="AY634">
        <v>1</v>
      </c>
      <c r="AZ634" s="10">
        <v>0</v>
      </c>
      <c r="BA634">
        <v>1</v>
      </c>
      <c r="BB634">
        <v>0</v>
      </c>
      <c r="BC634">
        <v>0</v>
      </c>
      <c r="BD634" s="143" t="s">
        <v>663</v>
      </c>
      <c r="BG634"/>
    </row>
    <row r="635" spans="1:59" ht="14.25" customHeight="1" x14ac:dyDescent="0.25">
      <c r="A635" s="37" t="str">
        <f>LEFT(Scharniere[[#This Row],[ArtikelNR]],4)</f>
        <v>F045</v>
      </c>
      <c r="B635" s="35" t="str">
        <f>MID(Scharniere[[#This Row],[ArtikelNR]],5,3)</f>
        <v>138</v>
      </c>
      <c r="C635" s="37" t="str">
        <f>RIGHT(Scharniere[[#This Row],[ArtikelNR]],3)</f>
        <v>506</v>
      </c>
      <c r="D635" s="35">
        <f>IF(AND(Scharniere[[#This Row],[Gruppenschlüssel]]=select!$A$44,Scharniere[[#This Row],[Scharnierart]]=1)=TRUE,1,0)</f>
        <v>0</v>
      </c>
      <c r="E6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5" s="35">
        <f>IF(select!$F$57=IF(Scharniere[[#This Row],[mit Dämpfung]]=1,1,IF(Scharniere[[#This Row],[ohne Dämpfung]]=1,2,IF(Scharniere[[#This Row],[ohne Feder]]=1,3,0))),1,0)</f>
        <v>0</v>
      </c>
      <c r="G635" s="35">
        <f>IF(Scharniere[[#This Row],[Bohrbild]]=select!$V$43,1,0)</f>
        <v>0</v>
      </c>
      <c r="H635" s="35">
        <f>IF(IF(Scharniere[[#This Row],[Anschrauben]]=1,1,IF(Scharniere[[#This Row],[Einpressen]]=1,2,IF(Scharniere[[#This Row],[Quick]]=1,3,IF(Scharniere[[#This Row],[Werkzeuglos]]=1,4,0))))=select!$F$48,1,0)</f>
        <v>0</v>
      </c>
      <c r="I6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5" s="149">
        <f>IF(AND(Scharniere[[#This Row],[Scharnierart]]=2,Scharniere[[#This Row],[Gruppenschlüssel]]=select!$A$318)=TRUE,1,0)</f>
        <v>0</v>
      </c>
      <c r="K635" s="221">
        <f ca="1">IF(select!$O$424&lt;6,1,0)</f>
        <v>1</v>
      </c>
      <c r="L635" s="139">
        <f>IF(select!$A$362=IF(Scharniere[[#This Row],[mit Dämpfung]]=1,1,IF(Scharniere[[#This Row],[ohne Dämpfung]]=1,2,IF(Scharniere[[#This Row],[ohne Feder]]=1,3,0))),1,0)</f>
        <v>0</v>
      </c>
      <c r="M635" s="135">
        <f>IF(Scharniere[[#This Row],[Bohrbild]]=select!$O$334,1,0)</f>
        <v>0</v>
      </c>
      <c r="N635" s="135">
        <f>IF(IF(Scharniere[[#This Row],[Anschrauben]]=1,1,IF(Scharniere[[#This Row],[Einpressen]]=1,2,IF(Scharniere[[#This Row],[Quick]]=1,3,IF(Scharniere[[#This Row],[Werkzeuglos]]=1,4,0))))=select!$E$362,1,0)</f>
        <v>1</v>
      </c>
      <c r="O6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5" s="298">
        <f>IF(AND(Scharniere[[#This Row],[Scharnierart]]=3,Scharniere[[#This Row],[Gruppenschlüssel]]=select!$A$747)=TRUE,1,0)</f>
        <v>0</v>
      </c>
      <c r="Q635" s="298">
        <f ca="1">IF(select!$O$945&lt;6,1,0)</f>
        <v>1</v>
      </c>
      <c r="R635" s="298">
        <f>IF(select!$A$778=IF(Scharniere[[#This Row],[mit Dämpfung]]=1,1,IF(Scharniere[[#This Row],[ohne Dämpfung]]=1,2,IF(Scharniere[[#This Row],[ohne Feder]]=1,3,0))),1,0)</f>
        <v>1</v>
      </c>
      <c r="S635" s="298">
        <f>IF(Scharniere[[#This Row],[Bohrbild]]=select!$A$755,1,0)</f>
        <v>0</v>
      </c>
      <c r="T635" s="298">
        <f>IF(IF(Scharniere[[#This Row],[Anschrauben]]=1,1,IF(Scharniere[[#This Row],[Einpressen]]=1,2,IF(Scharniere[[#This Row],[Quick]]=1,3,IF(Scharniere[[#This Row],[Werkzeuglos]]=1,4,0))))=select!$A$769,1,0)</f>
        <v>1</v>
      </c>
      <c r="U6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5" s="359">
        <f>IF(AND(Scharniere[[#This Row],[Scharnierart]]=4,Scharniere[[#This Row],[Gruppenschlüssel]]=select!$A$981)=TRUE,1,0)</f>
        <v>0</v>
      </c>
      <c r="W635" s="359">
        <f ca="1">IF(select!$O$1185&lt;6,1,0)</f>
        <v>1</v>
      </c>
      <c r="X635" s="359">
        <f>IF(select!$A$1012=IF(Scharniere[[#This Row],[mit Dämpfung]]=1,1,IF(Scharniere[[#This Row],[ohne Dämpfung]]=1,2,IF(Scharniere[[#This Row],[ohne Feder]]=1,3,0))),1,0)</f>
        <v>1</v>
      </c>
      <c r="Y635" s="359">
        <f>IF(Scharniere[[#This Row],[Bohrbild]]=select!$A$989,1,0)</f>
        <v>0</v>
      </c>
      <c r="Z635" s="359">
        <f>IF(IF(Scharniere[[#This Row],[Anschrauben]]=1,1,IF(Scharniere[[#This Row],[Einpressen]]=1,2,IF(Scharniere[[#This Row],[Quick]]=1,3,IF(Scharniere[[#This Row],[Werkzeuglos]]=1,4,0))))=select!$A$1003,1,0)</f>
        <v>1</v>
      </c>
      <c r="AA6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5" s="359">
        <f ca="1">IF(select!$K$980="*",Scharniere[[#This Row],[AG Ges2]],Scharniere[[#This Row],[AG Ges1]])</f>
        <v>0</v>
      </c>
      <c r="AE635" s="451">
        <f ca="1">IF(AND(Scharniere[[#This Row],[Scharnierart]]=select!$A$1485,Scharniere[[#This Row],[Gruppenschlüssel]]=select!$B$1485)=TRUE,1,0)</f>
        <v>0</v>
      </c>
      <c r="AF635" s="451">
        <f ca="1">IF(AND(Scharniere[[#This Row],[Scharnierart]]=select!$A$1486,Scharniere[[#This Row],[Gruppenschlüssel]]=select!$B$1486)=TRUE,1,0)</f>
        <v>0</v>
      </c>
      <c r="AG635" s="451">
        <f ca="1">IF(AND(Scharniere[[#This Row],[Scharnierart]]=select!$A$1487,Scharniere[[#This Row],[Gruppenschlüssel]]=select!$B$1487)=TRUE,1,0)</f>
        <v>0</v>
      </c>
      <c r="AH635" s="451">
        <f ca="1">IF(AND(Scharniere[[#This Row],[Scharnierart]]=select!$A$1488,Scharniere[[#This Row],[Gruppenschlüssel]]=select!$B$1488)=TRUE,1,0)</f>
        <v>0</v>
      </c>
      <c r="AI635" s="451">
        <f ca="1">IF(SUM(Scharniere[[#This Row],[konf Scharnier 1]:[konf Scharnier 4]])&gt;0,1,0)</f>
        <v>0</v>
      </c>
      <c r="AJ635" s="451"/>
      <c r="AK635" s="451"/>
      <c r="AL635" s="451"/>
      <c r="AM635" s="451"/>
      <c r="AN635" s="451"/>
      <c r="AO635" s="146">
        <v>1</v>
      </c>
      <c r="AP635" s="146">
        <v>4</v>
      </c>
      <c r="AQ635" s="10" t="str">
        <f ca="1">Sprache!$A$110</f>
        <v>Tiomos Scharnier T Click-on</v>
      </c>
      <c r="AR635" t="s">
        <v>333</v>
      </c>
      <c r="AS635" t="str">
        <f ca="1">Sprache!$A$103</f>
        <v>Tiomos Click-On Scharniere</v>
      </c>
      <c r="AT635">
        <v>3</v>
      </c>
      <c r="AU635" t="s">
        <v>3</v>
      </c>
      <c r="AV635">
        <v>95</v>
      </c>
      <c r="AW635" s="10">
        <v>0</v>
      </c>
      <c r="AX635">
        <v>1</v>
      </c>
      <c r="AY635">
        <v>0</v>
      </c>
      <c r="AZ635" s="10">
        <v>1</v>
      </c>
      <c r="BA635">
        <v>0</v>
      </c>
      <c r="BB635">
        <v>0</v>
      </c>
      <c r="BC635">
        <v>0</v>
      </c>
      <c r="BD635" s="143" t="s">
        <v>507</v>
      </c>
      <c r="BG635"/>
    </row>
    <row r="636" spans="1:59" ht="14.25" customHeight="1" x14ac:dyDescent="0.25">
      <c r="A636" s="37" t="str">
        <f>LEFT(Scharniere[[#This Row],[ArtikelNR]],4)</f>
        <v>F028</v>
      </c>
      <c r="B636" s="35" t="str">
        <f>MID(Scharniere[[#This Row],[ArtikelNR]],5,3)</f>
        <v>138</v>
      </c>
      <c r="C636" s="37" t="str">
        <f>RIGHT(Scharniere[[#This Row],[ArtikelNR]],3)</f>
        <v>568</v>
      </c>
      <c r="D636" s="35">
        <f>IF(AND(Scharniere[[#This Row],[Gruppenschlüssel]]=select!$A$44,Scharniere[[#This Row],[Scharnierart]]=1)=TRUE,1,0)</f>
        <v>0</v>
      </c>
      <c r="E6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6" s="35">
        <f>IF(select!$F$57=IF(Scharniere[[#This Row],[mit Dämpfung]]=1,1,IF(Scharniere[[#This Row],[ohne Dämpfung]]=1,2,IF(Scharniere[[#This Row],[ohne Feder]]=1,3,0))),1,0)</f>
        <v>0</v>
      </c>
      <c r="G636" s="35">
        <f>IF(Scharniere[[#This Row],[Bohrbild]]=select!$V$43,1,0)</f>
        <v>0</v>
      </c>
      <c r="H636" s="35">
        <f>IF(IF(Scharniere[[#This Row],[Anschrauben]]=1,1,IF(Scharniere[[#This Row],[Einpressen]]=1,2,IF(Scharniere[[#This Row],[Quick]]=1,3,IF(Scharniere[[#This Row],[Werkzeuglos]]=1,4,0))))=select!$F$48,1,0)</f>
        <v>0</v>
      </c>
      <c r="I6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6" s="149">
        <f>IF(AND(Scharniere[[#This Row],[Scharnierart]]=2,Scharniere[[#This Row],[Gruppenschlüssel]]=select!$A$318)=TRUE,1,0)</f>
        <v>0</v>
      </c>
      <c r="K636" s="221">
        <f ca="1">IF(select!$O$424&lt;6,1,0)</f>
        <v>1</v>
      </c>
      <c r="L636" s="139">
        <f>IF(select!$A$362=IF(Scharniere[[#This Row],[mit Dämpfung]]=1,1,IF(Scharniere[[#This Row],[ohne Dämpfung]]=1,2,IF(Scharniere[[#This Row],[ohne Feder]]=1,3,0))),1,0)</f>
        <v>1</v>
      </c>
      <c r="M636" s="135">
        <f>IF(Scharniere[[#This Row],[Bohrbild]]=select!$O$334,1,0)</f>
        <v>0</v>
      </c>
      <c r="N636" s="135">
        <f>IF(IF(Scharniere[[#This Row],[Anschrauben]]=1,1,IF(Scharniere[[#This Row],[Einpressen]]=1,2,IF(Scharniere[[#This Row],[Quick]]=1,3,IF(Scharniere[[#This Row],[Werkzeuglos]]=1,4,0))))=select!$E$362,1,0)</f>
        <v>1</v>
      </c>
      <c r="O6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6" s="298">
        <f>IF(AND(Scharniere[[#This Row],[Scharnierart]]=3,Scharniere[[#This Row],[Gruppenschlüssel]]=select!$A$747)=TRUE,1,0)</f>
        <v>0</v>
      </c>
      <c r="Q636" s="298">
        <f ca="1">IF(select!$O$945&lt;6,1,0)</f>
        <v>1</v>
      </c>
      <c r="R636" s="298">
        <f>IF(select!$A$778=IF(Scharniere[[#This Row],[mit Dämpfung]]=1,1,IF(Scharniere[[#This Row],[ohne Dämpfung]]=1,2,IF(Scharniere[[#This Row],[ohne Feder]]=1,3,0))),1,0)</f>
        <v>0</v>
      </c>
      <c r="S636" s="298">
        <f>IF(Scharniere[[#This Row],[Bohrbild]]=select!$A$755,1,0)</f>
        <v>0</v>
      </c>
      <c r="T636" s="298">
        <f>IF(IF(Scharniere[[#This Row],[Anschrauben]]=1,1,IF(Scharniere[[#This Row],[Einpressen]]=1,2,IF(Scharniere[[#This Row],[Quick]]=1,3,IF(Scharniere[[#This Row],[Werkzeuglos]]=1,4,0))))=select!$A$769,1,0)</f>
        <v>1</v>
      </c>
      <c r="U6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6" s="359">
        <f>IF(AND(Scharniere[[#This Row],[Scharnierart]]=4,Scharniere[[#This Row],[Gruppenschlüssel]]=select!$A$981)=TRUE,1,0)</f>
        <v>0</v>
      </c>
      <c r="W636" s="359">
        <f ca="1">IF(select!$O$1185&lt;6,1,0)</f>
        <v>1</v>
      </c>
      <c r="X636" s="359">
        <f>IF(select!$A$1012=IF(Scharniere[[#This Row],[mit Dämpfung]]=1,1,IF(Scharniere[[#This Row],[ohne Dämpfung]]=1,2,IF(Scharniere[[#This Row],[ohne Feder]]=1,3,0))),1,0)</f>
        <v>0</v>
      </c>
      <c r="Y636" s="359">
        <f>IF(Scharniere[[#This Row],[Bohrbild]]=select!$A$989,1,0)</f>
        <v>0</v>
      </c>
      <c r="Z636" s="359">
        <f>IF(IF(Scharniere[[#This Row],[Anschrauben]]=1,1,IF(Scharniere[[#This Row],[Einpressen]]=1,2,IF(Scharniere[[#This Row],[Quick]]=1,3,IF(Scharniere[[#This Row],[Werkzeuglos]]=1,4,0))))=select!$A$1003,1,0)</f>
        <v>1</v>
      </c>
      <c r="AA6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6" s="359">
        <f ca="1">IF(select!$K$980="*",Scharniere[[#This Row],[AG Ges2]],Scharniere[[#This Row],[AG Ges1]])</f>
        <v>0</v>
      </c>
      <c r="AE636" s="451">
        <f ca="1">IF(AND(Scharniere[[#This Row],[Scharnierart]]=select!$A$1485,Scharniere[[#This Row],[Gruppenschlüssel]]=select!$B$1485)=TRUE,1,0)</f>
        <v>0</v>
      </c>
      <c r="AF636" s="451">
        <f ca="1">IF(AND(Scharniere[[#This Row],[Scharnierart]]=select!$A$1486,Scharniere[[#This Row],[Gruppenschlüssel]]=select!$B$1486)=TRUE,1,0)</f>
        <v>0</v>
      </c>
      <c r="AG636" s="451">
        <f ca="1">IF(AND(Scharniere[[#This Row],[Scharnierart]]=select!$A$1487,Scharniere[[#This Row],[Gruppenschlüssel]]=select!$B$1487)=TRUE,1,0)</f>
        <v>0</v>
      </c>
      <c r="AH636" s="451">
        <f ca="1">IF(AND(Scharniere[[#This Row],[Scharnierart]]=select!$A$1488,Scharniere[[#This Row],[Gruppenschlüssel]]=select!$B$1488)=TRUE,1,0)</f>
        <v>0</v>
      </c>
      <c r="AI636" s="451">
        <f ca="1">IF(SUM(Scharniere[[#This Row],[konf Scharnier 1]:[konf Scharnier 4]])&gt;0,1,0)</f>
        <v>0</v>
      </c>
      <c r="AJ636" s="451"/>
      <c r="AK636" s="451"/>
      <c r="AL636" s="451"/>
      <c r="AM636" s="451"/>
      <c r="AN636" s="451"/>
      <c r="AO636" s="146">
        <v>1</v>
      </c>
      <c r="AP636" s="146">
        <v>4</v>
      </c>
      <c r="AQ636" s="10" t="str">
        <f ca="1">Sprache!$A$112</f>
        <v>Tiomos Scharnier TS Click-on</v>
      </c>
      <c r="AR636" t="s">
        <v>333</v>
      </c>
      <c r="AS636" t="str">
        <f ca="1">Sprache!$A$103</f>
        <v>Tiomos Click-On Scharniere</v>
      </c>
      <c r="AT636">
        <v>3</v>
      </c>
      <c r="AU636" s="34" t="s">
        <v>3</v>
      </c>
      <c r="AV636">
        <v>95</v>
      </c>
      <c r="AW636" s="10">
        <v>1</v>
      </c>
      <c r="AX636">
        <v>0</v>
      </c>
      <c r="AY636">
        <v>0</v>
      </c>
      <c r="AZ636" s="10">
        <v>1</v>
      </c>
      <c r="BA636">
        <v>0</v>
      </c>
      <c r="BB636">
        <v>0</v>
      </c>
      <c r="BC636">
        <v>0</v>
      </c>
      <c r="BD636" s="143" t="s">
        <v>332</v>
      </c>
      <c r="BG636"/>
    </row>
    <row r="637" spans="1:59" ht="14.25" customHeight="1" x14ac:dyDescent="0.25">
      <c r="A637" s="37" t="str">
        <f>LEFT(Scharniere[[#This Row],[ArtikelNR]],4)</f>
        <v>F046</v>
      </c>
      <c r="B637" s="35" t="str">
        <f>MID(Scharniere[[#This Row],[ArtikelNR]],5,3)</f>
        <v>138</v>
      </c>
      <c r="C637" s="37" t="str">
        <f>RIGHT(Scharniere[[#This Row],[ArtikelNR]],3)</f>
        <v>628</v>
      </c>
      <c r="D637" s="35">
        <f>IF(AND(Scharniere[[#This Row],[Gruppenschlüssel]]=select!$A$44,Scharniere[[#This Row],[Scharnierart]]=1)=TRUE,1,0)</f>
        <v>0</v>
      </c>
      <c r="E6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7" s="35">
        <f>IF(select!$F$57=IF(Scharniere[[#This Row],[mit Dämpfung]]=1,1,IF(Scharniere[[#This Row],[ohne Dämpfung]]=1,2,IF(Scharniere[[#This Row],[ohne Feder]]=1,3,0))),1,0)</f>
        <v>1</v>
      </c>
      <c r="G637" s="35">
        <f>IF(Scharniere[[#This Row],[Bohrbild]]=select!$V$43,1,0)</f>
        <v>0</v>
      </c>
      <c r="H637" s="35">
        <f>IF(IF(Scharniere[[#This Row],[Anschrauben]]=1,1,IF(Scharniere[[#This Row],[Einpressen]]=1,2,IF(Scharniere[[#This Row],[Quick]]=1,3,IF(Scharniere[[#This Row],[Werkzeuglos]]=1,4,0))))=select!$F$48,1,0)</f>
        <v>0</v>
      </c>
      <c r="I6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7" s="149">
        <f>IF(AND(Scharniere[[#This Row],[Scharnierart]]=2,Scharniere[[#This Row],[Gruppenschlüssel]]=select!$A$318)=TRUE,1,0)</f>
        <v>0</v>
      </c>
      <c r="K637" s="221">
        <f ca="1">IF(select!$O$424&lt;6,1,0)</f>
        <v>1</v>
      </c>
      <c r="L637" s="139">
        <f>IF(select!$A$362=IF(Scharniere[[#This Row],[mit Dämpfung]]=1,1,IF(Scharniere[[#This Row],[ohne Dämpfung]]=1,2,IF(Scharniere[[#This Row],[ohne Feder]]=1,3,0))),1,0)</f>
        <v>0</v>
      </c>
      <c r="M637" s="135">
        <f>IF(Scharniere[[#This Row],[Bohrbild]]=select!$O$334,1,0)</f>
        <v>0</v>
      </c>
      <c r="N637" s="135">
        <f>IF(IF(Scharniere[[#This Row],[Anschrauben]]=1,1,IF(Scharniere[[#This Row],[Einpressen]]=1,2,IF(Scharniere[[#This Row],[Quick]]=1,3,IF(Scharniere[[#This Row],[Werkzeuglos]]=1,4,0))))=select!$E$362,1,0)</f>
        <v>1</v>
      </c>
      <c r="O6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7" s="298">
        <f>IF(AND(Scharniere[[#This Row],[Scharnierart]]=3,Scharniere[[#This Row],[Gruppenschlüssel]]=select!$A$747)=TRUE,1,0)</f>
        <v>0</v>
      </c>
      <c r="Q637" s="298">
        <f ca="1">IF(select!$O$945&lt;6,1,0)</f>
        <v>1</v>
      </c>
      <c r="R637" s="298">
        <f>IF(select!$A$778=IF(Scharniere[[#This Row],[mit Dämpfung]]=1,1,IF(Scharniere[[#This Row],[ohne Dämpfung]]=1,2,IF(Scharniere[[#This Row],[ohne Feder]]=1,3,0))),1,0)</f>
        <v>0</v>
      </c>
      <c r="S637" s="298">
        <f>IF(Scharniere[[#This Row],[Bohrbild]]=select!$A$755,1,0)</f>
        <v>0</v>
      </c>
      <c r="T637" s="298">
        <f>IF(IF(Scharniere[[#This Row],[Anschrauben]]=1,1,IF(Scharniere[[#This Row],[Einpressen]]=1,2,IF(Scharniere[[#This Row],[Quick]]=1,3,IF(Scharniere[[#This Row],[Werkzeuglos]]=1,4,0))))=select!$A$769,1,0)</f>
        <v>1</v>
      </c>
      <c r="U6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7" s="359">
        <f>IF(AND(Scharniere[[#This Row],[Scharnierart]]=4,Scharniere[[#This Row],[Gruppenschlüssel]]=select!$A$981)=TRUE,1,0)</f>
        <v>0</v>
      </c>
      <c r="W637" s="359">
        <f ca="1">IF(select!$O$1185&lt;6,1,0)</f>
        <v>1</v>
      </c>
      <c r="X637" s="359">
        <f>IF(select!$A$1012=IF(Scharniere[[#This Row],[mit Dämpfung]]=1,1,IF(Scharniere[[#This Row],[ohne Dämpfung]]=1,2,IF(Scharniere[[#This Row],[ohne Feder]]=1,3,0))),1,0)</f>
        <v>0</v>
      </c>
      <c r="Y637" s="359">
        <f>IF(Scharniere[[#This Row],[Bohrbild]]=select!$A$989,1,0)</f>
        <v>0</v>
      </c>
      <c r="Z637" s="359">
        <f>IF(IF(Scharniere[[#This Row],[Anschrauben]]=1,1,IF(Scharniere[[#This Row],[Einpressen]]=1,2,IF(Scharniere[[#This Row],[Quick]]=1,3,IF(Scharniere[[#This Row],[Werkzeuglos]]=1,4,0))))=select!$A$1003,1,0)</f>
        <v>1</v>
      </c>
      <c r="AA6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7" s="359">
        <f ca="1">IF(select!$K$980="*",Scharniere[[#This Row],[AG Ges2]],Scharniere[[#This Row],[AG Ges1]])</f>
        <v>0</v>
      </c>
      <c r="AE637" s="451">
        <f ca="1">IF(AND(Scharniere[[#This Row],[Scharnierart]]=select!$A$1485,Scharniere[[#This Row],[Gruppenschlüssel]]=select!$B$1485)=TRUE,1,0)</f>
        <v>0</v>
      </c>
      <c r="AF637" s="451">
        <f ca="1">IF(AND(Scharniere[[#This Row],[Scharnierart]]=select!$A$1486,Scharniere[[#This Row],[Gruppenschlüssel]]=select!$B$1486)=TRUE,1,0)</f>
        <v>0</v>
      </c>
      <c r="AG637" s="451">
        <f ca="1">IF(AND(Scharniere[[#This Row],[Scharnierart]]=select!$A$1487,Scharniere[[#This Row],[Gruppenschlüssel]]=select!$B$1487)=TRUE,1,0)</f>
        <v>0</v>
      </c>
      <c r="AH637" s="451">
        <f ca="1">IF(AND(Scharniere[[#This Row],[Scharnierart]]=select!$A$1488,Scharniere[[#This Row],[Gruppenschlüssel]]=select!$B$1488)=TRUE,1,0)</f>
        <v>0</v>
      </c>
      <c r="AI637" s="451">
        <f ca="1">IF(SUM(Scharniere[[#This Row],[konf Scharnier 1]:[konf Scharnier 4]])&gt;0,1,0)</f>
        <v>0</v>
      </c>
      <c r="AJ637" s="451"/>
      <c r="AK637" s="451"/>
      <c r="AL637" s="451"/>
      <c r="AM637" s="451"/>
      <c r="AN637" s="451"/>
      <c r="AO637" s="146">
        <v>1</v>
      </c>
      <c r="AP637" s="146">
        <v>4</v>
      </c>
      <c r="AQ637" s="10" t="str">
        <f ca="1">Sprache!$A$114</f>
        <v>Tiomos Scharnier TT Click-on</v>
      </c>
      <c r="AR637" t="s">
        <v>333</v>
      </c>
      <c r="AS637" t="str">
        <f ca="1">Sprache!$A$103</f>
        <v>Tiomos Click-On Scharniere</v>
      </c>
      <c r="AT637">
        <v>3</v>
      </c>
      <c r="AU637" t="s">
        <v>3</v>
      </c>
      <c r="AV637">
        <v>95</v>
      </c>
      <c r="AW637" s="10">
        <v>0</v>
      </c>
      <c r="AX637">
        <v>0</v>
      </c>
      <c r="AY637">
        <v>1</v>
      </c>
      <c r="AZ637" s="10">
        <v>1</v>
      </c>
      <c r="BA637">
        <v>0</v>
      </c>
      <c r="BB637">
        <v>0</v>
      </c>
      <c r="BC637">
        <v>0</v>
      </c>
      <c r="BD637" s="143" t="s">
        <v>659</v>
      </c>
      <c r="BG637"/>
    </row>
    <row r="638" spans="1:59" ht="14.25" customHeight="1" x14ac:dyDescent="0.25">
      <c r="A638" s="37" t="str">
        <f>LEFT(Scharniere[[#This Row],[ArtikelNR]],4)</f>
        <v>F045</v>
      </c>
      <c r="B638" s="35" t="str">
        <f>MID(Scharniere[[#This Row],[ArtikelNR]],5,3)</f>
        <v>138</v>
      </c>
      <c r="C638" s="37" t="str">
        <f>RIGHT(Scharniere[[#This Row],[ArtikelNR]],3)</f>
        <v>328</v>
      </c>
      <c r="D638" s="35">
        <f>IF(AND(Scharniere[[#This Row],[Gruppenschlüssel]]=select!$A$44,Scharniere[[#This Row],[Scharnierart]]=1)=TRUE,1,0)</f>
        <v>0</v>
      </c>
      <c r="E6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8" s="35">
        <f>IF(select!$F$57=IF(Scharniere[[#This Row],[mit Dämpfung]]=1,1,IF(Scharniere[[#This Row],[ohne Dämpfung]]=1,2,IF(Scharniere[[#This Row],[ohne Feder]]=1,3,0))),1,0)</f>
        <v>0</v>
      </c>
      <c r="G638" s="35">
        <f>IF(Scharniere[[#This Row],[Bohrbild]]=select!$V$43,1,0)</f>
        <v>0</v>
      </c>
      <c r="H638" s="35">
        <f>IF(IF(Scharniere[[#This Row],[Anschrauben]]=1,1,IF(Scharniere[[#This Row],[Einpressen]]=1,2,IF(Scharniere[[#This Row],[Quick]]=1,3,IF(Scharniere[[#This Row],[Werkzeuglos]]=1,4,0))))=select!$F$48,1,0)</f>
        <v>1</v>
      </c>
      <c r="I6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8" s="149">
        <f>IF(AND(Scharniere[[#This Row],[Scharnierart]]=2,Scharniere[[#This Row],[Gruppenschlüssel]]=select!$A$318)=TRUE,1,0)</f>
        <v>0</v>
      </c>
      <c r="K638" s="221">
        <f ca="1">IF(select!$O$424&lt;6,1,0)</f>
        <v>1</v>
      </c>
      <c r="L638" s="139">
        <f>IF(select!$A$362=IF(Scharniere[[#This Row],[mit Dämpfung]]=1,1,IF(Scharniere[[#This Row],[ohne Dämpfung]]=1,2,IF(Scharniere[[#This Row],[ohne Feder]]=1,3,0))),1,0)</f>
        <v>0</v>
      </c>
      <c r="M638" s="135">
        <f>IF(Scharniere[[#This Row],[Bohrbild]]=select!$O$334,1,0)</f>
        <v>0</v>
      </c>
      <c r="N638" s="135">
        <f>IF(IF(Scharniere[[#This Row],[Anschrauben]]=1,1,IF(Scharniere[[#This Row],[Einpressen]]=1,2,IF(Scharniere[[#This Row],[Quick]]=1,3,IF(Scharniere[[#This Row],[Werkzeuglos]]=1,4,0))))=select!$E$362,1,0)</f>
        <v>0</v>
      </c>
      <c r="O6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8" s="298">
        <f>IF(AND(Scharniere[[#This Row],[Scharnierart]]=3,Scharniere[[#This Row],[Gruppenschlüssel]]=select!$A$747)=TRUE,1,0)</f>
        <v>0</v>
      </c>
      <c r="Q638" s="298">
        <f ca="1">IF(select!$O$945&lt;6,1,0)</f>
        <v>1</v>
      </c>
      <c r="R638" s="298">
        <f>IF(select!$A$778=IF(Scharniere[[#This Row],[mit Dämpfung]]=1,1,IF(Scharniere[[#This Row],[ohne Dämpfung]]=1,2,IF(Scharniere[[#This Row],[ohne Feder]]=1,3,0))),1,0)</f>
        <v>1</v>
      </c>
      <c r="S638" s="298">
        <f>IF(Scharniere[[#This Row],[Bohrbild]]=select!$A$755,1,0)</f>
        <v>0</v>
      </c>
      <c r="T638" s="298">
        <f>IF(IF(Scharniere[[#This Row],[Anschrauben]]=1,1,IF(Scharniere[[#This Row],[Einpressen]]=1,2,IF(Scharniere[[#This Row],[Quick]]=1,3,IF(Scharniere[[#This Row],[Werkzeuglos]]=1,4,0))))=select!$A$769,1,0)</f>
        <v>0</v>
      </c>
      <c r="U6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8" s="359">
        <f>IF(AND(Scharniere[[#This Row],[Scharnierart]]=4,Scharniere[[#This Row],[Gruppenschlüssel]]=select!$A$981)=TRUE,1,0)</f>
        <v>0</v>
      </c>
      <c r="W638" s="359">
        <f ca="1">IF(select!$O$1185&lt;6,1,0)</f>
        <v>1</v>
      </c>
      <c r="X638" s="359">
        <f>IF(select!$A$1012=IF(Scharniere[[#This Row],[mit Dämpfung]]=1,1,IF(Scharniere[[#This Row],[ohne Dämpfung]]=1,2,IF(Scharniere[[#This Row],[ohne Feder]]=1,3,0))),1,0)</f>
        <v>1</v>
      </c>
      <c r="Y638" s="359">
        <f>IF(Scharniere[[#This Row],[Bohrbild]]=select!$A$989,1,0)</f>
        <v>0</v>
      </c>
      <c r="Z638" s="359">
        <f>IF(IF(Scharniere[[#This Row],[Anschrauben]]=1,1,IF(Scharniere[[#This Row],[Einpressen]]=1,2,IF(Scharniere[[#This Row],[Quick]]=1,3,IF(Scharniere[[#This Row],[Werkzeuglos]]=1,4,0))))=select!$A$1003,1,0)</f>
        <v>0</v>
      </c>
      <c r="AA6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8" s="359">
        <f ca="1">IF(select!$K$980="*",Scharniere[[#This Row],[AG Ges2]],Scharniere[[#This Row],[AG Ges1]])</f>
        <v>0</v>
      </c>
      <c r="AE638" s="451">
        <f ca="1">IF(AND(Scharniere[[#This Row],[Scharnierart]]=select!$A$1485,Scharniere[[#This Row],[Gruppenschlüssel]]=select!$B$1485)=TRUE,1,0)</f>
        <v>0</v>
      </c>
      <c r="AF638" s="451">
        <f ca="1">IF(AND(Scharniere[[#This Row],[Scharnierart]]=select!$A$1486,Scharniere[[#This Row],[Gruppenschlüssel]]=select!$B$1486)=TRUE,1,0)</f>
        <v>0</v>
      </c>
      <c r="AG638" s="451">
        <f ca="1">IF(AND(Scharniere[[#This Row],[Scharnierart]]=select!$A$1487,Scharniere[[#This Row],[Gruppenschlüssel]]=select!$B$1487)=TRUE,1,0)</f>
        <v>0</v>
      </c>
      <c r="AH638" s="451">
        <f ca="1">IF(AND(Scharniere[[#This Row],[Scharnierart]]=select!$A$1488,Scharniere[[#This Row],[Gruppenschlüssel]]=select!$B$1488)=TRUE,1,0)</f>
        <v>0</v>
      </c>
      <c r="AI638" s="451">
        <f ca="1">IF(SUM(Scharniere[[#This Row],[konf Scharnier 1]:[konf Scharnier 4]])&gt;0,1,0)</f>
        <v>0</v>
      </c>
      <c r="AJ638" s="451"/>
      <c r="AK638" s="451"/>
      <c r="AL638" s="451"/>
      <c r="AM638" s="451"/>
      <c r="AN638" s="451"/>
      <c r="AO638" s="146">
        <v>1</v>
      </c>
      <c r="AP638" s="146">
        <v>4</v>
      </c>
      <c r="AQ638" s="10" t="str">
        <f ca="1">Sprache!$A$110</f>
        <v>Tiomos Scharnier T Click-on</v>
      </c>
      <c r="AR638" t="str">
        <f ca="1">"95°, G-BB, K03, "&amp;Sprache!A181&amp;", ni"</f>
        <v>95°, G-BB, K03, Dübel, ni</v>
      </c>
      <c r="AS638" t="str">
        <f ca="1">Sprache!$A$103</f>
        <v>Tiomos Click-On Scharniere</v>
      </c>
      <c r="AT638">
        <v>3</v>
      </c>
      <c r="AU638" t="s">
        <v>9</v>
      </c>
      <c r="AV638">
        <v>95</v>
      </c>
      <c r="AW638" s="10">
        <v>0</v>
      </c>
      <c r="AX638">
        <v>1</v>
      </c>
      <c r="AY638">
        <v>0</v>
      </c>
      <c r="AZ638" s="10">
        <v>0</v>
      </c>
      <c r="BA638">
        <v>1</v>
      </c>
      <c r="BB638">
        <v>0</v>
      </c>
      <c r="BC638">
        <v>0</v>
      </c>
      <c r="BD638" s="143" t="s">
        <v>482</v>
      </c>
      <c r="BG638"/>
    </row>
    <row r="639" spans="1:59" ht="14.25" customHeight="1" x14ac:dyDescent="0.25">
      <c r="A639" s="37" t="str">
        <f>LEFT(Scharniere[[#This Row],[ArtikelNR]],4)</f>
        <v>F028</v>
      </c>
      <c r="B639" s="35" t="str">
        <f>MID(Scharniere[[#This Row],[ArtikelNR]],5,3)</f>
        <v>138</v>
      </c>
      <c r="C639" s="37" t="str">
        <f>RIGHT(Scharniere[[#This Row],[ArtikelNR]],3)</f>
        <v>390</v>
      </c>
      <c r="D639" s="35">
        <f>IF(AND(Scharniere[[#This Row],[Gruppenschlüssel]]=select!$A$44,Scharniere[[#This Row],[Scharnierart]]=1)=TRUE,1,0)</f>
        <v>0</v>
      </c>
      <c r="E6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39" s="35">
        <f>IF(select!$F$57=IF(Scharniere[[#This Row],[mit Dämpfung]]=1,1,IF(Scharniere[[#This Row],[ohne Dämpfung]]=1,2,IF(Scharniere[[#This Row],[ohne Feder]]=1,3,0))),1,0)</f>
        <v>0</v>
      </c>
      <c r="G639" s="35">
        <f>IF(Scharniere[[#This Row],[Bohrbild]]=select!$V$43,1,0)</f>
        <v>0</v>
      </c>
      <c r="H639" s="35">
        <f>IF(IF(Scharniere[[#This Row],[Anschrauben]]=1,1,IF(Scharniere[[#This Row],[Einpressen]]=1,2,IF(Scharniere[[#This Row],[Quick]]=1,3,IF(Scharniere[[#This Row],[Werkzeuglos]]=1,4,0))))=select!$F$48,1,0)</f>
        <v>1</v>
      </c>
      <c r="I6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39" s="149">
        <f>IF(AND(Scharniere[[#This Row],[Scharnierart]]=2,Scharniere[[#This Row],[Gruppenschlüssel]]=select!$A$318)=TRUE,1,0)</f>
        <v>0</v>
      </c>
      <c r="K639" s="221">
        <f ca="1">IF(select!$O$424&lt;6,1,0)</f>
        <v>1</v>
      </c>
      <c r="L639" s="139">
        <f>IF(select!$A$362=IF(Scharniere[[#This Row],[mit Dämpfung]]=1,1,IF(Scharniere[[#This Row],[ohne Dämpfung]]=1,2,IF(Scharniere[[#This Row],[ohne Feder]]=1,3,0))),1,0)</f>
        <v>1</v>
      </c>
      <c r="M639" s="135">
        <f>IF(Scharniere[[#This Row],[Bohrbild]]=select!$O$334,1,0)</f>
        <v>0</v>
      </c>
      <c r="N639" s="135">
        <f>IF(IF(Scharniere[[#This Row],[Anschrauben]]=1,1,IF(Scharniere[[#This Row],[Einpressen]]=1,2,IF(Scharniere[[#This Row],[Quick]]=1,3,IF(Scharniere[[#This Row],[Werkzeuglos]]=1,4,0))))=select!$E$362,1,0)</f>
        <v>0</v>
      </c>
      <c r="O6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39" s="298">
        <f>IF(AND(Scharniere[[#This Row],[Scharnierart]]=3,Scharniere[[#This Row],[Gruppenschlüssel]]=select!$A$747)=TRUE,1,0)</f>
        <v>0</v>
      </c>
      <c r="Q639" s="298">
        <f ca="1">IF(select!$O$945&lt;6,1,0)</f>
        <v>1</v>
      </c>
      <c r="R639" s="298">
        <f>IF(select!$A$778=IF(Scharniere[[#This Row],[mit Dämpfung]]=1,1,IF(Scharniere[[#This Row],[ohne Dämpfung]]=1,2,IF(Scharniere[[#This Row],[ohne Feder]]=1,3,0))),1,0)</f>
        <v>0</v>
      </c>
      <c r="S639" s="298">
        <f>IF(Scharniere[[#This Row],[Bohrbild]]=select!$A$755,1,0)</f>
        <v>0</v>
      </c>
      <c r="T639" s="298">
        <f>IF(IF(Scharniere[[#This Row],[Anschrauben]]=1,1,IF(Scharniere[[#This Row],[Einpressen]]=1,2,IF(Scharniere[[#This Row],[Quick]]=1,3,IF(Scharniere[[#This Row],[Werkzeuglos]]=1,4,0))))=select!$A$769,1,0)</f>
        <v>0</v>
      </c>
      <c r="U6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39" s="359">
        <f>IF(AND(Scharniere[[#This Row],[Scharnierart]]=4,Scharniere[[#This Row],[Gruppenschlüssel]]=select!$A$981)=TRUE,1,0)</f>
        <v>0</v>
      </c>
      <c r="W639" s="359">
        <f ca="1">IF(select!$O$1185&lt;6,1,0)</f>
        <v>1</v>
      </c>
      <c r="X639" s="359">
        <f>IF(select!$A$1012=IF(Scharniere[[#This Row],[mit Dämpfung]]=1,1,IF(Scharniere[[#This Row],[ohne Dämpfung]]=1,2,IF(Scharniere[[#This Row],[ohne Feder]]=1,3,0))),1,0)</f>
        <v>0</v>
      </c>
      <c r="Y639" s="359">
        <f>IF(Scharniere[[#This Row],[Bohrbild]]=select!$A$989,1,0)</f>
        <v>0</v>
      </c>
      <c r="Z639" s="359">
        <f>IF(IF(Scharniere[[#This Row],[Anschrauben]]=1,1,IF(Scharniere[[#This Row],[Einpressen]]=1,2,IF(Scharniere[[#This Row],[Quick]]=1,3,IF(Scharniere[[#This Row],[Werkzeuglos]]=1,4,0))))=select!$A$1003,1,0)</f>
        <v>0</v>
      </c>
      <c r="AA6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39" s="359">
        <f ca="1">IF(select!$K$980="*",Scharniere[[#This Row],[AG Ges2]],Scharniere[[#This Row],[AG Ges1]])</f>
        <v>0</v>
      </c>
      <c r="AE639" s="451">
        <f ca="1">IF(AND(Scharniere[[#This Row],[Scharnierart]]=select!$A$1485,Scharniere[[#This Row],[Gruppenschlüssel]]=select!$B$1485)=TRUE,1,0)</f>
        <v>0</v>
      </c>
      <c r="AF639" s="451">
        <f ca="1">IF(AND(Scharniere[[#This Row],[Scharnierart]]=select!$A$1486,Scharniere[[#This Row],[Gruppenschlüssel]]=select!$B$1486)=TRUE,1,0)</f>
        <v>0</v>
      </c>
      <c r="AG639" s="451">
        <f ca="1">IF(AND(Scharniere[[#This Row],[Scharnierart]]=select!$A$1487,Scharniere[[#This Row],[Gruppenschlüssel]]=select!$B$1487)=TRUE,1,0)</f>
        <v>0</v>
      </c>
      <c r="AH639" s="451">
        <f ca="1">IF(AND(Scharniere[[#This Row],[Scharnierart]]=select!$A$1488,Scharniere[[#This Row],[Gruppenschlüssel]]=select!$B$1488)=TRUE,1,0)</f>
        <v>0</v>
      </c>
      <c r="AI639" s="451">
        <f ca="1">IF(SUM(Scharniere[[#This Row],[konf Scharnier 1]:[konf Scharnier 4]])&gt;0,1,0)</f>
        <v>0</v>
      </c>
      <c r="AJ639" s="451"/>
      <c r="AK639" s="451"/>
      <c r="AL639" s="451"/>
      <c r="AM639" s="451"/>
      <c r="AN639" s="451"/>
      <c r="AO639" s="146">
        <v>1</v>
      </c>
      <c r="AP639" s="146">
        <v>4</v>
      </c>
      <c r="AQ639" s="10" t="str">
        <f ca="1">Sprache!$A$112</f>
        <v>Tiomos Scharnier TS Click-on</v>
      </c>
      <c r="AR639" t="str">
        <f ca="1">"95°, G-BB, K03, "&amp;Sprache!A181&amp;", ni"</f>
        <v>95°, G-BB, K03, Dübel, ni</v>
      </c>
      <c r="AS639" t="str">
        <f ca="1">Sprache!$A$103</f>
        <v>Tiomos Click-On Scharniere</v>
      </c>
      <c r="AT639">
        <v>3</v>
      </c>
      <c r="AU639" s="34" t="s">
        <v>9</v>
      </c>
      <c r="AV639">
        <v>95</v>
      </c>
      <c r="AW639" s="10">
        <v>1</v>
      </c>
      <c r="AX639">
        <v>0</v>
      </c>
      <c r="AY639">
        <v>0</v>
      </c>
      <c r="AZ639" s="10">
        <v>0</v>
      </c>
      <c r="BA639">
        <v>1</v>
      </c>
      <c r="BB639">
        <v>0</v>
      </c>
      <c r="BC639">
        <v>0</v>
      </c>
      <c r="BD639" s="143" t="s">
        <v>299</v>
      </c>
      <c r="BG639"/>
    </row>
    <row r="640" spans="1:59" ht="14.25" customHeight="1" x14ac:dyDescent="0.25">
      <c r="A640" s="37" t="str">
        <f>LEFT(Scharniere[[#This Row],[ArtikelNR]],4)</f>
        <v>F046</v>
      </c>
      <c r="B640" s="35" t="str">
        <f>MID(Scharniere[[#This Row],[ArtikelNR]],5,3)</f>
        <v>138</v>
      </c>
      <c r="C640" s="37" t="str">
        <f>RIGHT(Scharniere[[#This Row],[ArtikelNR]],3)</f>
        <v>450</v>
      </c>
      <c r="D640" s="35">
        <f>IF(AND(Scharniere[[#This Row],[Gruppenschlüssel]]=select!$A$44,Scharniere[[#This Row],[Scharnierart]]=1)=TRUE,1,0)</f>
        <v>0</v>
      </c>
      <c r="E6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0" s="35">
        <f>IF(select!$F$57=IF(Scharniere[[#This Row],[mit Dämpfung]]=1,1,IF(Scharniere[[#This Row],[ohne Dämpfung]]=1,2,IF(Scharniere[[#This Row],[ohne Feder]]=1,3,0))),1,0)</f>
        <v>1</v>
      </c>
      <c r="G640" s="35">
        <f>IF(Scharniere[[#This Row],[Bohrbild]]=select!$V$43,1,0)</f>
        <v>0</v>
      </c>
      <c r="H640" s="35">
        <f>IF(IF(Scharniere[[#This Row],[Anschrauben]]=1,1,IF(Scharniere[[#This Row],[Einpressen]]=1,2,IF(Scharniere[[#This Row],[Quick]]=1,3,IF(Scharniere[[#This Row],[Werkzeuglos]]=1,4,0))))=select!$F$48,1,0)</f>
        <v>1</v>
      </c>
      <c r="I6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0" s="149">
        <f>IF(AND(Scharniere[[#This Row],[Scharnierart]]=2,Scharniere[[#This Row],[Gruppenschlüssel]]=select!$A$318)=TRUE,1,0)</f>
        <v>0</v>
      </c>
      <c r="K640" s="221">
        <f ca="1">IF(select!$O$424&lt;6,1,0)</f>
        <v>1</v>
      </c>
      <c r="L640" s="139">
        <f>IF(select!$A$362=IF(Scharniere[[#This Row],[mit Dämpfung]]=1,1,IF(Scharniere[[#This Row],[ohne Dämpfung]]=1,2,IF(Scharniere[[#This Row],[ohne Feder]]=1,3,0))),1,0)</f>
        <v>0</v>
      </c>
      <c r="M640" s="135">
        <f>IF(Scharniere[[#This Row],[Bohrbild]]=select!$O$334,1,0)</f>
        <v>0</v>
      </c>
      <c r="N640" s="135">
        <f>IF(IF(Scharniere[[#This Row],[Anschrauben]]=1,1,IF(Scharniere[[#This Row],[Einpressen]]=1,2,IF(Scharniere[[#This Row],[Quick]]=1,3,IF(Scharniere[[#This Row],[Werkzeuglos]]=1,4,0))))=select!$E$362,1,0)</f>
        <v>0</v>
      </c>
      <c r="O6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0" s="298">
        <f>IF(AND(Scharniere[[#This Row],[Scharnierart]]=3,Scharniere[[#This Row],[Gruppenschlüssel]]=select!$A$747)=TRUE,1,0)</f>
        <v>0</v>
      </c>
      <c r="Q640" s="298">
        <f ca="1">IF(select!$O$945&lt;6,1,0)</f>
        <v>1</v>
      </c>
      <c r="R640" s="298">
        <f>IF(select!$A$778=IF(Scharniere[[#This Row],[mit Dämpfung]]=1,1,IF(Scharniere[[#This Row],[ohne Dämpfung]]=1,2,IF(Scharniere[[#This Row],[ohne Feder]]=1,3,0))),1,0)</f>
        <v>0</v>
      </c>
      <c r="S640" s="298">
        <f>IF(Scharniere[[#This Row],[Bohrbild]]=select!$A$755,1,0)</f>
        <v>0</v>
      </c>
      <c r="T640" s="298">
        <f>IF(IF(Scharniere[[#This Row],[Anschrauben]]=1,1,IF(Scharniere[[#This Row],[Einpressen]]=1,2,IF(Scharniere[[#This Row],[Quick]]=1,3,IF(Scharniere[[#This Row],[Werkzeuglos]]=1,4,0))))=select!$A$769,1,0)</f>
        <v>0</v>
      </c>
      <c r="U6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0" s="359">
        <f>IF(AND(Scharniere[[#This Row],[Scharnierart]]=4,Scharniere[[#This Row],[Gruppenschlüssel]]=select!$A$981)=TRUE,1,0)</f>
        <v>0</v>
      </c>
      <c r="W640" s="359">
        <f ca="1">IF(select!$O$1185&lt;6,1,0)</f>
        <v>1</v>
      </c>
      <c r="X640" s="359">
        <f>IF(select!$A$1012=IF(Scharniere[[#This Row],[mit Dämpfung]]=1,1,IF(Scharniere[[#This Row],[ohne Dämpfung]]=1,2,IF(Scharniere[[#This Row],[ohne Feder]]=1,3,0))),1,0)</f>
        <v>0</v>
      </c>
      <c r="Y640" s="359">
        <f>IF(Scharniere[[#This Row],[Bohrbild]]=select!$A$989,1,0)</f>
        <v>0</v>
      </c>
      <c r="Z640" s="359">
        <f>IF(IF(Scharniere[[#This Row],[Anschrauben]]=1,1,IF(Scharniere[[#This Row],[Einpressen]]=1,2,IF(Scharniere[[#This Row],[Quick]]=1,3,IF(Scharniere[[#This Row],[Werkzeuglos]]=1,4,0))))=select!$A$1003,1,0)</f>
        <v>0</v>
      </c>
      <c r="AA6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0" s="359">
        <f ca="1">IF(select!$K$980="*",Scharniere[[#This Row],[AG Ges2]],Scharniere[[#This Row],[AG Ges1]])</f>
        <v>0</v>
      </c>
      <c r="AE640" s="451">
        <f ca="1">IF(AND(Scharniere[[#This Row],[Scharnierart]]=select!$A$1485,Scharniere[[#This Row],[Gruppenschlüssel]]=select!$B$1485)=TRUE,1,0)</f>
        <v>0</v>
      </c>
      <c r="AF640" s="451">
        <f ca="1">IF(AND(Scharniere[[#This Row],[Scharnierart]]=select!$A$1486,Scharniere[[#This Row],[Gruppenschlüssel]]=select!$B$1486)=TRUE,1,0)</f>
        <v>0</v>
      </c>
      <c r="AG640" s="451">
        <f ca="1">IF(AND(Scharniere[[#This Row],[Scharnierart]]=select!$A$1487,Scharniere[[#This Row],[Gruppenschlüssel]]=select!$B$1487)=TRUE,1,0)</f>
        <v>0</v>
      </c>
      <c r="AH640" s="451">
        <f ca="1">IF(AND(Scharniere[[#This Row],[Scharnierart]]=select!$A$1488,Scharniere[[#This Row],[Gruppenschlüssel]]=select!$B$1488)=TRUE,1,0)</f>
        <v>0</v>
      </c>
      <c r="AI640" s="451">
        <f ca="1">IF(SUM(Scharniere[[#This Row],[konf Scharnier 1]:[konf Scharnier 4]])&gt;0,1,0)</f>
        <v>0</v>
      </c>
      <c r="AJ640" s="451"/>
      <c r="AK640" s="451"/>
      <c r="AL640" s="451"/>
      <c r="AM640" s="451"/>
      <c r="AN640" s="451"/>
      <c r="AO640" s="146">
        <v>1</v>
      </c>
      <c r="AP640" s="146">
        <v>4</v>
      </c>
      <c r="AQ640" s="10" t="str">
        <f ca="1">Sprache!$A$114</f>
        <v>Tiomos Scharnier TT Click-on</v>
      </c>
      <c r="AR640" t="str">
        <f ca="1">"95°, G-BB, K03, "&amp;Sprache!A181&amp;", ni"</f>
        <v>95°, G-BB, K03, Dübel, ni</v>
      </c>
      <c r="AS640" t="str">
        <f ca="1">Sprache!$A$103</f>
        <v>Tiomos Click-On Scharniere</v>
      </c>
      <c r="AT640">
        <v>3</v>
      </c>
      <c r="AU640" t="s">
        <v>9</v>
      </c>
      <c r="AV640">
        <v>95</v>
      </c>
      <c r="AW640" s="10">
        <v>0</v>
      </c>
      <c r="AX640">
        <v>0</v>
      </c>
      <c r="AY640">
        <v>1</v>
      </c>
      <c r="AZ640" s="10">
        <v>0</v>
      </c>
      <c r="BA640">
        <v>1</v>
      </c>
      <c r="BB640">
        <v>0</v>
      </c>
      <c r="BC640">
        <v>0</v>
      </c>
      <c r="BD640" s="143" t="s">
        <v>634</v>
      </c>
      <c r="BG640"/>
    </row>
    <row r="641" spans="1:59" ht="14.25" customHeight="1" x14ac:dyDescent="0.25">
      <c r="A641" s="37" t="str">
        <f>LEFT(Scharniere[[#This Row],[ArtikelNR]],4)</f>
        <v>F045</v>
      </c>
      <c r="B641" s="35" t="str">
        <f>MID(Scharniere[[#This Row],[ArtikelNR]],5,3)</f>
        <v>138</v>
      </c>
      <c r="C641" s="37" t="str">
        <f>RIGHT(Scharniere[[#This Row],[ArtikelNR]],3)</f>
        <v>324</v>
      </c>
      <c r="D641" s="35">
        <f>IF(AND(Scharniere[[#This Row],[Gruppenschlüssel]]=select!$A$44,Scharniere[[#This Row],[Scharnierart]]=1)=TRUE,1,0)</f>
        <v>0</v>
      </c>
      <c r="E6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1" s="35">
        <f>IF(select!$F$57=IF(Scharniere[[#This Row],[mit Dämpfung]]=1,1,IF(Scharniere[[#This Row],[ohne Dämpfung]]=1,2,IF(Scharniere[[#This Row],[ohne Feder]]=1,3,0))),1,0)</f>
        <v>0</v>
      </c>
      <c r="G641" s="35">
        <f>IF(Scharniere[[#This Row],[Bohrbild]]=select!$V$43,1,0)</f>
        <v>0</v>
      </c>
      <c r="H641" s="35">
        <f>IF(IF(Scharniere[[#This Row],[Anschrauben]]=1,1,IF(Scharniere[[#This Row],[Einpressen]]=1,2,IF(Scharniere[[#This Row],[Quick]]=1,3,IF(Scharniere[[#This Row],[Werkzeuglos]]=1,4,0))))=select!$F$48,1,0)</f>
        <v>0</v>
      </c>
      <c r="I6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1" s="149">
        <f>IF(AND(Scharniere[[#This Row],[Scharnierart]]=2,Scharniere[[#This Row],[Gruppenschlüssel]]=select!$A$318)=TRUE,1,0)</f>
        <v>0</v>
      </c>
      <c r="K641" s="221">
        <f ca="1">IF(select!$O$424&lt;6,1,0)</f>
        <v>1</v>
      </c>
      <c r="L641" s="139">
        <f>IF(select!$A$362=IF(Scharniere[[#This Row],[mit Dämpfung]]=1,1,IF(Scharniere[[#This Row],[ohne Dämpfung]]=1,2,IF(Scharniere[[#This Row],[ohne Feder]]=1,3,0))),1,0)</f>
        <v>0</v>
      </c>
      <c r="M641" s="135">
        <f>IF(Scharniere[[#This Row],[Bohrbild]]=select!$O$334,1,0)</f>
        <v>0</v>
      </c>
      <c r="N641" s="135">
        <f>IF(IF(Scharniere[[#This Row],[Anschrauben]]=1,1,IF(Scharniere[[#This Row],[Einpressen]]=1,2,IF(Scharniere[[#This Row],[Quick]]=1,3,IF(Scharniere[[#This Row],[Werkzeuglos]]=1,4,0))))=select!$E$362,1,0)</f>
        <v>1</v>
      </c>
      <c r="O6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1" s="298">
        <f>IF(AND(Scharniere[[#This Row],[Scharnierart]]=3,Scharniere[[#This Row],[Gruppenschlüssel]]=select!$A$747)=TRUE,1,0)</f>
        <v>0</v>
      </c>
      <c r="Q641" s="298">
        <f ca="1">IF(select!$O$945&lt;6,1,0)</f>
        <v>1</v>
      </c>
      <c r="R641" s="298">
        <f>IF(select!$A$778=IF(Scharniere[[#This Row],[mit Dämpfung]]=1,1,IF(Scharniere[[#This Row],[ohne Dämpfung]]=1,2,IF(Scharniere[[#This Row],[ohne Feder]]=1,3,0))),1,0)</f>
        <v>1</v>
      </c>
      <c r="S641" s="298">
        <f>IF(Scharniere[[#This Row],[Bohrbild]]=select!$A$755,1,0)</f>
        <v>0</v>
      </c>
      <c r="T641" s="298">
        <f>IF(IF(Scharniere[[#This Row],[Anschrauben]]=1,1,IF(Scharniere[[#This Row],[Einpressen]]=1,2,IF(Scharniere[[#This Row],[Quick]]=1,3,IF(Scharniere[[#This Row],[Werkzeuglos]]=1,4,0))))=select!$A$769,1,0)</f>
        <v>1</v>
      </c>
      <c r="U6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1" s="359">
        <f>IF(AND(Scharniere[[#This Row],[Scharnierart]]=4,Scharniere[[#This Row],[Gruppenschlüssel]]=select!$A$981)=TRUE,1,0)</f>
        <v>0</v>
      </c>
      <c r="W641" s="359">
        <f ca="1">IF(select!$O$1185&lt;6,1,0)</f>
        <v>1</v>
      </c>
      <c r="X641" s="359">
        <f>IF(select!$A$1012=IF(Scharniere[[#This Row],[mit Dämpfung]]=1,1,IF(Scharniere[[#This Row],[ohne Dämpfung]]=1,2,IF(Scharniere[[#This Row],[ohne Feder]]=1,3,0))),1,0)</f>
        <v>1</v>
      </c>
      <c r="Y641" s="359">
        <f>IF(Scharniere[[#This Row],[Bohrbild]]=select!$A$989,1,0)</f>
        <v>0</v>
      </c>
      <c r="Z641" s="359">
        <f>IF(IF(Scharniere[[#This Row],[Anschrauben]]=1,1,IF(Scharniere[[#This Row],[Einpressen]]=1,2,IF(Scharniere[[#This Row],[Quick]]=1,3,IF(Scharniere[[#This Row],[Werkzeuglos]]=1,4,0))))=select!$A$1003,1,0)</f>
        <v>1</v>
      </c>
      <c r="AA6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1" s="359">
        <f ca="1">IF(select!$K$980="*",Scharniere[[#This Row],[AG Ges2]],Scharniere[[#This Row],[AG Ges1]])</f>
        <v>0</v>
      </c>
      <c r="AE641" s="451">
        <f ca="1">IF(AND(Scharniere[[#This Row],[Scharnierart]]=select!$A$1485,Scharniere[[#This Row],[Gruppenschlüssel]]=select!$B$1485)=TRUE,1,0)</f>
        <v>0</v>
      </c>
      <c r="AF641" s="451">
        <f ca="1">IF(AND(Scharniere[[#This Row],[Scharnierart]]=select!$A$1486,Scharniere[[#This Row],[Gruppenschlüssel]]=select!$B$1486)=TRUE,1,0)</f>
        <v>0</v>
      </c>
      <c r="AG641" s="451">
        <f ca="1">IF(AND(Scharniere[[#This Row],[Scharnierart]]=select!$A$1487,Scharniere[[#This Row],[Gruppenschlüssel]]=select!$B$1487)=TRUE,1,0)</f>
        <v>0</v>
      </c>
      <c r="AH641" s="451">
        <f ca="1">IF(AND(Scharniere[[#This Row],[Scharnierart]]=select!$A$1488,Scharniere[[#This Row],[Gruppenschlüssel]]=select!$B$1488)=TRUE,1,0)</f>
        <v>0</v>
      </c>
      <c r="AI641" s="451">
        <f ca="1">IF(SUM(Scharniere[[#This Row],[konf Scharnier 1]:[konf Scharnier 4]])&gt;0,1,0)</f>
        <v>0</v>
      </c>
      <c r="AJ641" s="451"/>
      <c r="AK641" s="451"/>
      <c r="AL641" s="451"/>
      <c r="AM641" s="451"/>
      <c r="AN641" s="451"/>
      <c r="AO641" s="146">
        <v>1</v>
      </c>
      <c r="AP641" s="146">
        <v>4</v>
      </c>
      <c r="AQ641" s="10" t="str">
        <f ca="1">Sprache!$A$110</f>
        <v>Tiomos Scharnier T Click-on</v>
      </c>
      <c r="AR641" t="s">
        <v>294</v>
      </c>
      <c r="AS641" t="str">
        <f ca="1">Sprache!$A$103</f>
        <v>Tiomos Click-On Scharniere</v>
      </c>
      <c r="AT641">
        <v>3</v>
      </c>
      <c r="AU641" t="s">
        <v>9</v>
      </c>
      <c r="AV641">
        <v>95</v>
      </c>
      <c r="AW641" s="10">
        <v>0</v>
      </c>
      <c r="AX641">
        <v>1</v>
      </c>
      <c r="AY641">
        <v>0</v>
      </c>
      <c r="AZ641" s="10">
        <v>1</v>
      </c>
      <c r="BA641">
        <v>0</v>
      </c>
      <c r="BB641">
        <v>0</v>
      </c>
      <c r="BC641">
        <v>0</v>
      </c>
      <c r="BD641" s="143" t="s">
        <v>478</v>
      </c>
      <c r="BG641"/>
    </row>
    <row r="642" spans="1:59" ht="14.25" customHeight="1" x14ac:dyDescent="0.25">
      <c r="A642" s="37" t="str">
        <f>LEFT(Scharniere[[#This Row],[ArtikelNR]],4)</f>
        <v>F028</v>
      </c>
      <c r="B642" s="35" t="str">
        <f>MID(Scharniere[[#This Row],[ArtikelNR]],5,3)</f>
        <v>138</v>
      </c>
      <c r="C642" s="37" t="str">
        <f>RIGHT(Scharniere[[#This Row],[ArtikelNR]],3)</f>
        <v>386</v>
      </c>
      <c r="D642" s="35">
        <f>IF(AND(Scharniere[[#This Row],[Gruppenschlüssel]]=select!$A$44,Scharniere[[#This Row],[Scharnierart]]=1)=TRUE,1,0)</f>
        <v>0</v>
      </c>
      <c r="E6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2" s="35">
        <f>IF(select!$F$57=IF(Scharniere[[#This Row],[mit Dämpfung]]=1,1,IF(Scharniere[[#This Row],[ohne Dämpfung]]=1,2,IF(Scharniere[[#This Row],[ohne Feder]]=1,3,0))),1,0)</f>
        <v>0</v>
      </c>
      <c r="G642" s="35">
        <f>IF(Scharniere[[#This Row],[Bohrbild]]=select!$V$43,1,0)</f>
        <v>0</v>
      </c>
      <c r="H642" s="35">
        <f>IF(IF(Scharniere[[#This Row],[Anschrauben]]=1,1,IF(Scharniere[[#This Row],[Einpressen]]=1,2,IF(Scharniere[[#This Row],[Quick]]=1,3,IF(Scharniere[[#This Row],[Werkzeuglos]]=1,4,0))))=select!$F$48,1,0)</f>
        <v>0</v>
      </c>
      <c r="I6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2" s="149">
        <f>IF(AND(Scharniere[[#This Row],[Scharnierart]]=2,Scharniere[[#This Row],[Gruppenschlüssel]]=select!$A$318)=TRUE,1,0)</f>
        <v>0</v>
      </c>
      <c r="K642" s="221">
        <f ca="1">IF(select!$O$424&lt;6,1,0)</f>
        <v>1</v>
      </c>
      <c r="L642" s="139">
        <f>IF(select!$A$362=IF(Scharniere[[#This Row],[mit Dämpfung]]=1,1,IF(Scharniere[[#This Row],[ohne Dämpfung]]=1,2,IF(Scharniere[[#This Row],[ohne Feder]]=1,3,0))),1,0)</f>
        <v>1</v>
      </c>
      <c r="M642" s="135">
        <f>IF(Scharniere[[#This Row],[Bohrbild]]=select!$O$334,1,0)</f>
        <v>0</v>
      </c>
      <c r="N642" s="135">
        <f>IF(IF(Scharniere[[#This Row],[Anschrauben]]=1,1,IF(Scharniere[[#This Row],[Einpressen]]=1,2,IF(Scharniere[[#This Row],[Quick]]=1,3,IF(Scharniere[[#This Row],[Werkzeuglos]]=1,4,0))))=select!$E$362,1,0)</f>
        <v>1</v>
      </c>
      <c r="O6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2" s="298">
        <f>IF(AND(Scharniere[[#This Row],[Scharnierart]]=3,Scharniere[[#This Row],[Gruppenschlüssel]]=select!$A$747)=TRUE,1,0)</f>
        <v>0</v>
      </c>
      <c r="Q642" s="298">
        <f ca="1">IF(select!$O$945&lt;6,1,0)</f>
        <v>1</v>
      </c>
      <c r="R642" s="298">
        <f>IF(select!$A$778=IF(Scharniere[[#This Row],[mit Dämpfung]]=1,1,IF(Scharniere[[#This Row],[ohne Dämpfung]]=1,2,IF(Scharniere[[#This Row],[ohne Feder]]=1,3,0))),1,0)</f>
        <v>0</v>
      </c>
      <c r="S642" s="298">
        <f>IF(Scharniere[[#This Row],[Bohrbild]]=select!$A$755,1,0)</f>
        <v>0</v>
      </c>
      <c r="T642" s="298">
        <f>IF(IF(Scharniere[[#This Row],[Anschrauben]]=1,1,IF(Scharniere[[#This Row],[Einpressen]]=1,2,IF(Scharniere[[#This Row],[Quick]]=1,3,IF(Scharniere[[#This Row],[Werkzeuglos]]=1,4,0))))=select!$A$769,1,0)</f>
        <v>1</v>
      </c>
      <c r="U6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2" s="359">
        <f>IF(AND(Scharniere[[#This Row],[Scharnierart]]=4,Scharniere[[#This Row],[Gruppenschlüssel]]=select!$A$981)=TRUE,1,0)</f>
        <v>0</v>
      </c>
      <c r="W642" s="359">
        <f ca="1">IF(select!$O$1185&lt;6,1,0)</f>
        <v>1</v>
      </c>
      <c r="X642" s="359">
        <f>IF(select!$A$1012=IF(Scharniere[[#This Row],[mit Dämpfung]]=1,1,IF(Scharniere[[#This Row],[ohne Dämpfung]]=1,2,IF(Scharniere[[#This Row],[ohne Feder]]=1,3,0))),1,0)</f>
        <v>0</v>
      </c>
      <c r="Y642" s="359">
        <f>IF(Scharniere[[#This Row],[Bohrbild]]=select!$A$989,1,0)</f>
        <v>0</v>
      </c>
      <c r="Z642" s="359">
        <f>IF(IF(Scharniere[[#This Row],[Anschrauben]]=1,1,IF(Scharniere[[#This Row],[Einpressen]]=1,2,IF(Scharniere[[#This Row],[Quick]]=1,3,IF(Scharniere[[#This Row],[Werkzeuglos]]=1,4,0))))=select!$A$1003,1,0)</f>
        <v>1</v>
      </c>
      <c r="AA6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2" s="359">
        <f ca="1">IF(select!$K$980="*",Scharniere[[#This Row],[AG Ges2]],Scharniere[[#This Row],[AG Ges1]])</f>
        <v>0</v>
      </c>
      <c r="AE642" s="451">
        <f ca="1">IF(AND(Scharniere[[#This Row],[Scharnierart]]=select!$A$1485,Scharniere[[#This Row],[Gruppenschlüssel]]=select!$B$1485)=TRUE,1,0)</f>
        <v>0</v>
      </c>
      <c r="AF642" s="451">
        <f ca="1">IF(AND(Scharniere[[#This Row],[Scharnierart]]=select!$A$1486,Scharniere[[#This Row],[Gruppenschlüssel]]=select!$B$1486)=TRUE,1,0)</f>
        <v>0</v>
      </c>
      <c r="AG642" s="451">
        <f ca="1">IF(AND(Scharniere[[#This Row],[Scharnierart]]=select!$A$1487,Scharniere[[#This Row],[Gruppenschlüssel]]=select!$B$1487)=TRUE,1,0)</f>
        <v>0</v>
      </c>
      <c r="AH642" s="451">
        <f ca="1">IF(AND(Scharniere[[#This Row],[Scharnierart]]=select!$A$1488,Scharniere[[#This Row],[Gruppenschlüssel]]=select!$B$1488)=TRUE,1,0)</f>
        <v>0</v>
      </c>
      <c r="AI642" s="451">
        <f ca="1">IF(SUM(Scharniere[[#This Row],[konf Scharnier 1]:[konf Scharnier 4]])&gt;0,1,0)</f>
        <v>0</v>
      </c>
      <c r="AJ642" s="451"/>
      <c r="AK642" s="451"/>
      <c r="AL642" s="451"/>
      <c r="AM642" s="451"/>
      <c r="AN642" s="451"/>
      <c r="AO642" s="146">
        <v>1</v>
      </c>
      <c r="AP642" s="146">
        <v>4</v>
      </c>
      <c r="AQ642" s="10" t="str">
        <f ca="1">Sprache!$A$112</f>
        <v>Tiomos Scharnier TS Click-on</v>
      </c>
      <c r="AR642" t="s">
        <v>294</v>
      </c>
      <c r="AS642" t="str">
        <f ca="1">Sprache!$A$103</f>
        <v>Tiomos Click-On Scharniere</v>
      </c>
      <c r="AT642">
        <v>3</v>
      </c>
      <c r="AU642" s="34" t="s">
        <v>9</v>
      </c>
      <c r="AV642">
        <v>95</v>
      </c>
      <c r="AW642" s="10">
        <v>1</v>
      </c>
      <c r="AX642">
        <v>0</v>
      </c>
      <c r="AY642">
        <v>0</v>
      </c>
      <c r="AZ642" s="10">
        <v>1</v>
      </c>
      <c r="BA642">
        <v>0</v>
      </c>
      <c r="BB642">
        <v>0</v>
      </c>
      <c r="BC642">
        <v>0</v>
      </c>
      <c r="BD642" s="143" t="s">
        <v>293</v>
      </c>
      <c r="BG642"/>
    </row>
    <row r="643" spans="1:59" ht="14.25" customHeight="1" x14ac:dyDescent="0.25">
      <c r="A643" s="37" t="str">
        <f>LEFT(Scharniere[[#This Row],[ArtikelNR]],4)</f>
        <v>F046</v>
      </c>
      <c r="B643" s="35" t="str">
        <f>MID(Scharniere[[#This Row],[ArtikelNR]],5,3)</f>
        <v>138</v>
      </c>
      <c r="C643" s="37" t="str">
        <f>RIGHT(Scharniere[[#This Row],[ArtikelNR]],3)</f>
        <v>446</v>
      </c>
      <c r="D643" s="35">
        <f>IF(AND(Scharniere[[#This Row],[Gruppenschlüssel]]=select!$A$44,Scharniere[[#This Row],[Scharnierart]]=1)=TRUE,1,0)</f>
        <v>0</v>
      </c>
      <c r="E6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3" s="35">
        <f>IF(select!$F$57=IF(Scharniere[[#This Row],[mit Dämpfung]]=1,1,IF(Scharniere[[#This Row],[ohne Dämpfung]]=1,2,IF(Scharniere[[#This Row],[ohne Feder]]=1,3,0))),1,0)</f>
        <v>1</v>
      </c>
      <c r="G643" s="35">
        <f>IF(Scharniere[[#This Row],[Bohrbild]]=select!$V$43,1,0)</f>
        <v>0</v>
      </c>
      <c r="H643" s="35">
        <f>IF(IF(Scharniere[[#This Row],[Anschrauben]]=1,1,IF(Scharniere[[#This Row],[Einpressen]]=1,2,IF(Scharniere[[#This Row],[Quick]]=1,3,IF(Scharniere[[#This Row],[Werkzeuglos]]=1,4,0))))=select!$F$48,1,0)</f>
        <v>0</v>
      </c>
      <c r="I6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3" s="149">
        <f>IF(AND(Scharniere[[#This Row],[Scharnierart]]=2,Scharniere[[#This Row],[Gruppenschlüssel]]=select!$A$318)=TRUE,1,0)</f>
        <v>0</v>
      </c>
      <c r="K643" s="221">
        <f ca="1">IF(select!$O$424&lt;6,1,0)</f>
        <v>1</v>
      </c>
      <c r="L643" s="139">
        <f>IF(select!$A$362=IF(Scharniere[[#This Row],[mit Dämpfung]]=1,1,IF(Scharniere[[#This Row],[ohne Dämpfung]]=1,2,IF(Scharniere[[#This Row],[ohne Feder]]=1,3,0))),1,0)</f>
        <v>0</v>
      </c>
      <c r="M643" s="135">
        <f>IF(Scharniere[[#This Row],[Bohrbild]]=select!$O$334,1,0)</f>
        <v>0</v>
      </c>
      <c r="N643" s="135">
        <f>IF(IF(Scharniere[[#This Row],[Anschrauben]]=1,1,IF(Scharniere[[#This Row],[Einpressen]]=1,2,IF(Scharniere[[#This Row],[Quick]]=1,3,IF(Scharniere[[#This Row],[Werkzeuglos]]=1,4,0))))=select!$E$362,1,0)</f>
        <v>1</v>
      </c>
      <c r="O6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3" s="298">
        <f>IF(AND(Scharniere[[#This Row],[Scharnierart]]=3,Scharniere[[#This Row],[Gruppenschlüssel]]=select!$A$747)=TRUE,1,0)</f>
        <v>0</v>
      </c>
      <c r="Q643" s="298">
        <f ca="1">IF(select!$O$945&lt;6,1,0)</f>
        <v>1</v>
      </c>
      <c r="R643" s="298">
        <f>IF(select!$A$778=IF(Scharniere[[#This Row],[mit Dämpfung]]=1,1,IF(Scharniere[[#This Row],[ohne Dämpfung]]=1,2,IF(Scharniere[[#This Row],[ohne Feder]]=1,3,0))),1,0)</f>
        <v>0</v>
      </c>
      <c r="S643" s="298">
        <f>IF(Scharniere[[#This Row],[Bohrbild]]=select!$A$755,1,0)</f>
        <v>0</v>
      </c>
      <c r="T643" s="298">
        <f>IF(IF(Scharniere[[#This Row],[Anschrauben]]=1,1,IF(Scharniere[[#This Row],[Einpressen]]=1,2,IF(Scharniere[[#This Row],[Quick]]=1,3,IF(Scharniere[[#This Row],[Werkzeuglos]]=1,4,0))))=select!$A$769,1,0)</f>
        <v>1</v>
      </c>
      <c r="U6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3" s="359">
        <f>IF(AND(Scharniere[[#This Row],[Scharnierart]]=4,Scharniere[[#This Row],[Gruppenschlüssel]]=select!$A$981)=TRUE,1,0)</f>
        <v>0</v>
      </c>
      <c r="W643" s="359">
        <f ca="1">IF(select!$O$1185&lt;6,1,0)</f>
        <v>1</v>
      </c>
      <c r="X643" s="359">
        <f>IF(select!$A$1012=IF(Scharniere[[#This Row],[mit Dämpfung]]=1,1,IF(Scharniere[[#This Row],[ohne Dämpfung]]=1,2,IF(Scharniere[[#This Row],[ohne Feder]]=1,3,0))),1,0)</f>
        <v>0</v>
      </c>
      <c r="Y643" s="359">
        <f>IF(Scharniere[[#This Row],[Bohrbild]]=select!$A$989,1,0)</f>
        <v>0</v>
      </c>
      <c r="Z643" s="359">
        <f>IF(IF(Scharniere[[#This Row],[Anschrauben]]=1,1,IF(Scharniere[[#This Row],[Einpressen]]=1,2,IF(Scharniere[[#This Row],[Quick]]=1,3,IF(Scharniere[[#This Row],[Werkzeuglos]]=1,4,0))))=select!$A$1003,1,0)</f>
        <v>1</v>
      </c>
      <c r="AA6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3" s="359">
        <f ca="1">IF(select!$K$980="*",Scharniere[[#This Row],[AG Ges2]],Scharniere[[#This Row],[AG Ges1]])</f>
        <v>0</v>
      </c>
      <c r="AE643" s="451">
        <f ca="1">IF(AND(Scharniere[[#This Row],[Scharnierart]]=select!$A$1485,Scharniere[[#This Row],[Gruppenschlüssel]]=select!$B$1485)=TRUE,1,0)</f>
        <v>0</v>
      </c>
      <c r="AF643" s="451">
        <f ca="1">IF(AND(Scharniere[[#This Row],[Scharnierart]]=select!$A$1486,Scharniere[[#This Row],[Gruppenschlüssel]]=select!$B$1486)=TRUE,1,0)</f>
        <v>0</v>
      </c>
      <c r="AG643" s="451">
        <f ca="1">IF(AND(Scharniere[[#This Row],[Scharnierart]]=select!$A$1487,Scharniere[[#This Row],[Gruppenschlüssel]]=select!$B$1487)=TRUE,1,0)</f>
        <v>0</v>
      </c>
      <c r="AH643" s="451">
        <f ca="1">IF(AND(Scharniere[[#This Row],[Scharnierart]]=select!$A$1488,Scharniere[[#This Row],[Gruppenschlüssel]]=select!$B$1488)=TRUE,1,0)</f>
        <v>0</v>
      </c>
      <c r="AI643" s="451">
        <f ca="1">IF(SUM(Scharniere[[#This Row],[konf Scharnier 1]:[konf Scharnier 4]])&gt;0,1,0)</f>
        <v>0</v>
      </c>
      <c r="AJ643" s="451"/>
      <c r="AK643" s="451"/>
      <c r="AL643" s="451"/>
      <c r="AM643" s="451"/>
      <c r="AN643" s="451"/>
      <c r="AO643" s="146">
        <v>1</v>
      </c>
      <c r="AP643" s="146">
        <v>4</v>
      </c>
      <c r="AQ643" s="10" t="str">
        <f ca="1">Sprache!$A$114</f>
        <v>Tiomos Scharnier TT Click-on</v>
      </c>
      <c r="AR643" t="s">
        <v>294</v>
      </c>
      <c r="AS643" t="str">
        <f ca="1">Sprache!$A$103</f>
        <v>Tiomos Click-On Scharniere</v>
      </c>
      <c r="AT643">
        <v>3</v>
      </c>
      <c r="AU643" t="s">
        <v>9</v>
      </c>
      <c r="AV643">
        <v>95</v>
      </c>
      <c r="AW643" s="10">
        <v>0</v>
      </c>
      <c r="AX643">
        <v>0</v>
      </c>
      <c r="AY643">
        <v>1</v>
      </c>
      <c r="AZ643" s="10">
        <v>1</v>
      </c>
      <c r="BA643">
        <v>0</v>
      </c>
      <c r="BB643">
        <v>0</v>
      </c>
      <c r="BC643">
        <v>0</v>
      </c>
      <c r="BD643" s="143" t="s">
        <v>630</v>
      </c>
      <c r="BG643"/>
    </row>
    <row r="644" spans="1:59" ht="14.25" customHeight="1" x14ac:dyDescent="0.25">
      <c r="A644" s="37" t="str">
        <f>LEFT(Scharniere[[#This Row],[ArtikelNR]],4)</f>
        <v>F034</v>
      </c>
      <c r="B644" s="35" t="str">
        <f>MID(Scharniere[[#This Row],[ArtikelNR]],5,3)</f>
        <v>139</v>
      </c>
      <c r="C644" s="37" t="str">
        <f>RIGHT(Scharniere[[#This Row],[ArtikelNR]],3)</f>
        <v>410</v>
      </c>
      <c r="D644" s="35">
        <f>IF(AND(Scharniere[[#This Row],[Gruppenschlüssel]]=select!$A$44,Scharniere[[#This Row],[Scharnierart]]=1)=TRUE,1,0)</f>
        <v>0</v>
      </c>
      <c r="E6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4" s="35">
        <f>IF(select!$F$57=IF(Scharniere[[#This Row],[mit Dämpfung]]=1,1,IF(Scharniere[[#This Row],[ohne Dämpfung]]=1,2,IF(Scharniere[[#This Row],[ohne Feder]]=1,3,0))),1,0)</f>
        <v>0</v>
      </c>
      <c r="G644" s="35">
        <f>IF(Scharniere[[#This Row],[Bohrbild]]=select!$V$43,1,0)</f>
        <v>0</v>
      </c>
      <c r="H644" s="35">
        <f>IF(IF(Scharniere[[#This Row],[Anschrauben]]=1,1,IF(Scharniere[[#This Row],[Einpressen]]=1,2,IF(Scharniere[[#This Row],[Quick]]=1,3,IF(Scharniere[[#This Row],[Werkzeuglos]]=1,4,0))))=select!$F$48,1,0)</f>
        <v>0</v>
      </c>
      <c r="I6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4" s="149">
        <f>IF(AND(Scharniere[[#This Row],[Scharnierart]]=2,Scharniere[[#This Row],[Gruppenschlüssel]]=select!$A$318)=TRUE,1,0)</f>
        <v>0</v>
      </c>
      <c r="K644" s="221">
        <f ca="1">IF(select!$O$424&lt;6,1,0)</f>
        <v>1</v>
      </c>
      <c r="L644" s="139">
        <f>IF(select!$A$362=IF(Scharniere[[#This Row],[mit Dämpfung]]=1,1,IF(Scharniere[[#This Row],[ohne Dämpfung]]=1,2,IF(Scharniere[[#This Row],[ohne Feder]]=1,3,0))),1,0)</f>
        <v>0</v>
      </c>
      <c r="M644" s="135">
        <f>IF(Scharniere[[#This Row],[Bohrbild]]=select!$O$334,1,0)</f>
        <v>0</v>
      </c>
      <c r="N644" s="135">
        <f>IF(IF(Scharniere[[#This Row],[Anschrauben]]=1,1,IF(Scharniere[[#This Row],[Einpressen]]=1,2,IF(Scharniere[[#This Row],[Quick]]=1,3,IF(Scharniere[[#This Row],[Werkzeuglos]]=1,4,0))))=select!$E$362,1,0)</f>
        <v>0</v>
      </c>
      <c r="O6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4" s="298">
        <f>IF(AND(Scharniere[[#This Row],[Scharnierart]]=3,Scharniere[[#This Row],[Gruppenschlüssel]]=select!$A$747)=TRUE,1,0)</f>
        <v>0</v>
      </c>
      <c r="Q644" s="298">
        <f ca="1">IF(select!$O$945&lt;6,1,0)</f>
        <v>1</v>
      </c>
      <c r="R644" s="298">
        <f>IF(select!$A$778=IF(Scharniere[[#This Row],[mit Dämpfung]]=1,1,IF(Scharniere[[#This Row],[ohne Dämpfung]]=1,2,IF(Scharniere[[#This Row],[ohne Feder]]=1,3,0))),1,0)</f>
        <v>1</v>
      </c>
      <c r="S644" s="298">
        <f>IF(Scharniere[[#This Row],[Bohrbild]]=select!$A$755,1,0)</f>
        <v>0</v>
      </c>
      <c r="T644" s="298">
        <f>IF(IF(Scharniere[[#This Row],[Anschrauben]]=1,1,IF(Scharniere[[#This Row],[Einpressen]]=1,2,IF(Scharniere[[#This Row],[Quick]]=1,3,IF(Scharniere[[#This Row],[Werkzeuglos]]=1,4,0))))=select!$A$769,1,0)</f>
        <v>0</v>
      </c>
      <c r="U6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4" s="359">
        <f>IF(AND(Scharniere[[#This Row],[Scharnierart]]=4,Scharniere[[#This Row],[Gruppenschlüssel]]=select!$A$981)=TRUE,1,0)</f>
        <v>0</v>
      </c>
      <c r="W644" s="359">
        <f ca="1">IF(select!$O$1185&lt;6,1,0)</f>
        <v>1</v>
      </c>
      <c r="X644" s="359">
        <f>IF(select!$A$1012=IF(Scharniere[[#This Row],[mit Dämpfung]]=1,1,IF(Scharniere[[#This Row],[ohne Dämpfung]]=1,2,IF(Scharniere[[#This Row],[ohne Feder]]=1,3,0))),1,0)</f>
        <v>1</v>
      </c>
      <c r="Y644" s="359">
        <f>IF(Scharniere[[#This Row],[Bohrbild]]=select!$A$989,1,0)</f>
        <v>0</v>
      </c>
      <c r="Z644" s="359">
        <f>IF(IF(Scharniere[[#This Row],[Anschrauben]]=1,1,IF(Scharniere[[#This Row],[Einpressen]]=1,2,IF(Scharniere[[#This Row],[Quick]]=1,3,IF(Scharniere[[#This Row],[Werkzeuglos]]=1,4,0))))=select!$A$1003,1,0)</f>
        <v>0</v>
      </c>
      <c r="AA6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4" s="359">
        <f ca="1">IF(select!$K$980="*",Scharniere[[#This Row],[AG Ges2]],Scharniere[[#This Row],[AG Ges1]])</f>
        <v>0</v>
      </c>
      <c r="AE644" s="451">
        <f ca="1">IF(AND(Scharniere[[#This Row],[Scharnierart]]=select!$A$1485,Scharniere[[#This Row],[Gruppenschlüssel]]=select!$B$1485)=TRUE,1,0)</f>
        <v>0</v>
      </c>
      <c r="AF644" s="451">
        <f ca="1">IF(AND(Scharniere[[#This Row],[Scharnierart]]=select!$A$1486,Scharniere[[#This Row],[Gruppenschlüssel]]=select!$B$1486)=TRUE,1,0)</f>
        <v>0</v>
      </c>
      <c r="AG644" s="451">
        <f ca="1">IF(AND(Scharniere[[#This Row],[Scharnierart]]=select!$A$1487,Scharniere[[#This Row],[Gruppenschlüssel]]=select!$B$1487)=TRUE,1,0)</f>
        <v>0</v>
      </c>
      <c r="AH644" s="451">
        <f ca="1">IF(AND(Scharniere[[#This Row],[Scharnierart]]=select!$A$1488,Scharniere[[#This Row],[Gruppenschlüssel]]=select!$B$1488)=TRUE,1,0)</f>
        <v>0</v>
      </c>
      <c r="AI644" s="451">
        <f ca="1">IF(SUM(Scharniere[[#This Row],[konf Scharnier 1]:[konf Scharnier 4]])&gt;0,1,0)</f>
        <v>0</v>
      </c>
      <c r="AJ644" s="451"/>
      <c r="AK644" s="451"/>
      <c r="AL644" s="451"/>
      <c r="AM644" s="451"/>
      <c r="AN644" s="451"/>
      <c r="AO644" s="146">
        <v>1</v>
      </c>
      <c r="AP644" s="146">
        <v>4</v>
      </c>
      <c r="AQ644" s="10" t="str">
        <f ca="1">Sprache!$A$111</f>
        <v>Tiomos Scharnier T Impresso</v>
      </c>
      <c r="AR644" t="s">
        <v>105</v>
      </c>
      <c r="AS644" t="str">
        <f ca="1">Sprache!$A$116</f>
        <v>Tiomos Impresso Scharniere</v>
      </c>
      <c r="AT644">
        <v>3</v>
      </c>
      <c r="AU644" s="34" t="s">
        <v>9</v>
      </c>
      <c r="AV644">
        <v>95</v>
      </c>
      <c r="AW644" s="10">
        <v>0</v>
      </c>
      <c r="AX644">
        <v>1</v>
      </c>
      <c r="AY644">
        <v>0</v>
      </c>
      <c r="AZ644" s="10">
        <v>0</v>
      </c>
      <c r="BA644">
        <v>0</v>
      </c>
      <c r="BB644">
        <v>0</v>
      </c>
      <c r="BC644">
        <v>1</v>
      </c>
      <c r="BD644" s="143" t="s">
        <v>162</v>
      </c>
      <c r="BG644"/>
    </row>
    <row r="645" spans="1:59" ht="14.25" customHeight="1" x14ac:dyDescent="0.25">
      <c r="A645" s="37" t="str">
        <f>LEFT(Scharniere[[#This Row],[ArtikelNR]],4)</f>
        <v>F034</v>
      </c>
      <c r="B645" s="35" t="str">
        <f>MID(Scharniere[[#This Row],[ArtikelNR]],5,3)</f>
        <v>139</v>
      </c>
      <c r="C645" s="37" t="str">
        <f>RIGHT(Scharniere[[#This Row],[ArtikelNR]],3)</f>
        <v>410</v>
      </c>
      <c r="D645" s="35">
        <f>IF(AND(Scharniere[[#This Row],[Gruppenschlüssel]]=select!$A$44,Scharniere[[#This Row],[Scharnierart]]=1)=TRUE,1,0)</f>
        <v>0</v>
      </c>
      <c r="E6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5" s="35">
        <f>IF(select!$F$57=IF(Scharniere[[#This Row],[mit Dämpfung]]=1,1,IF(Scharniere[[#This Row],[ohne Dämpfung]]=1,2,IF(Scharniere[[#This Row],[ohne Feder]]=1,3,0))),1,0)</f>
        <v>0</v>
      </c>
      <c r="G645" s="35">
        <f>IF(Scharniere[[#This Row],[Bohrbild]]=select!$V$43,1,0)</f>
        <v>0</v>
      </c>
      <c r="H645" s="35">
        <f>IF(IF(Scharniere[[#This Row],[Anschrauben]]=1,1,IF(Scharniere[[#This Row],[Einpressen]]=1,2,IF(Scharniere[[#This Row],[Quick]]=1,3,IF(Scharniere[[#This Row],[Werkzeuglos]]=1,4,0))))=select!$F$48,1,0)</f>
        <v>0</v>
      </c>
      <c r="I6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5" s="149">
        <f>IF(AND(Scharniere[[#This Row],[Scharnierart]]=2,Scharniere[[#This Row],[Gruppenschlüssel]]=select!$A$318)=TRUE,1,0)</f>
        <v>0</v>
      </c>
      <c r="K645" s="221">
        <f ca="1">IF(select!$O$424&lt;6,1,0)</f>
        <v>1</v>
      </c>
      <c r="L645" s="139">
        <f>IF(select!$A$362=IF(Scharniere[[#This Row],[mit Dämpfung]]=1,1,IF(Scharniere[[#This Row],[ohne Dämpfung]]=1,2,IF(Scharniere[[#This Row],[ohne Feder]]=1,3,0))),1,0)</f>
        <v>0</v>
      </c>
      <c r="M645" s="135">
        <f>IF(Scharniere[[#This Row],[Bohrbild]]=select!$O$334,1,0)</f>
        <v>0</v>
      </c>
      <c r="N645" s="135">
        <f>IF(IF(Scharniere[[#This Row],[Anschrauben]]=1,1,IF(Scharniere[[#This Row],[Einpressen]]=1,2,IF(Scharniere[[#This Row],[Quick]]=1,3,IF(Scharniere[[#This Row],[Werkzeuglos]]=1,4,0))))=select!$E$362,1,0)</f>
        <v>0</v>
      </c>
      <c r="O6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5" s="298">
        <f>IF(AND(Scharniere[[#This Row],[Scharnierart]]=3,Scharniere[[#This Row],[Gruppenschlüssel]]=select!$A$747)=TRUE,1,0)</f>
        <v>0</v>
      </c>
      <c r="Q645" s="298">
        <f ca="1">IF(select!$O$945&lt;6,1,0)</f>
        <v>1</v>
      </c>
      <c r="R645" s="298">
        <f>IF(select!$A$778=IF(Scharniere[[#This Row],[mit Dämpfung]]=1,1,IF(Scharniere[[#This Row],[ohne Dämpfung]]=1,2,IF(Scharniere[[#This Row],[ohne Feder]]=1,3,0))),1,0)</f>
        <v>1</v>
      </c>
      <c r="S645" s="298">
        <f>IF(Scharniere[[#This Row],[Bohrbild]]=select!$A$755,1,0)</f>
        <v>0</v>
      </c>
      <c r="T645" s="298">
        <f>IF(IF(Scharniere[[#This Row],[Anschrauben]]=1,1,IF(Scharniere[[#This Row],[Einpressen]]=1,2,IF(Scharniere[[#This Row],[Quick]]=1,3,IF(Scharniere[[#This Row],[Werkzeuglos]]=1,4,0))))=select!$A$769,1,0)</f>
        <v>0</v>
      </c>
      <c r="U6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5" s="359">
        <f>IF(AND(Scharniere[[#This Row],[Scharnierart]]=4,Scharniere[[#This Row],[Gruppenschlüssel]]=select!$A$981)=TRUE,1,0)</f>
        <v>0</v>
      </c>
      <c r="W645" s="359">
        <f ca="1">IF(select!$O$1185&lt;6,1,0)</f>
        <v>1</v>
      </c>
      <c r="X645" s="359">
        <f>IF(select!$A$1012=IF(Scharniere[[#This Row],[mit Dämpfung]]=1,1,IF(Scharniere[[#This Row],[ohne Dämpfung]]=1,2,IF(Scharniere[[#This Row],[ohne Feder]]=1,3,0))),1,0)</f>
        <v>1</v>
      </c>
      <c r="Y645" s="359">
        <f>IF(Scharniere[[#This Row],[Bohrbild]]=select!$A$989,1,0)</f>
        <v>0</v>
      </c>
      <c r="Z645" s="359">
        <f>IF(IF(Scharniere[[#This Row],[Anschrauben]]=1,1,IF(Scharniere[[#This Row],[Einpressen]]=1,2,IF(Scharniere[[#This Row],[Quick]]=1,3,IF(Scharniere[[#This Row],[Werkzeuglos]]=1,4,0))))=select!$A$1003,1,0)</f>
        <v>0</v>
      </c>
      <c r="AA6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5" s="359">
        <f ca="1">IF(select!$K$980="*",Scharniere[[#This Row],[AG Ges2]],Scharniere[[#This Row],[AG Ges1]])</f>
        <v>0</v>
      </c>
      <c r="AE645" s="451">
        <f ca="1">IF(AND(Scharniere[[#This Row],[Scharnierart]]=select!$A$1485,Scharniere[[#This Row],[Gruppenschlüssel]]=select!$B$1485)=TRUE,1,0)</f>
        <v>0</v>
      </c>
      <c r="AF645" s="451">
        <f ca="1">IF(AND(Scharniere[[#This Row],[Scharnierart]]=select!$A$1486,Scharniere[[#This Row],[Gruppenschlüssel]]=select!$B$1486)=TRUE,1,0)</f>
        <v>0</v>
      </c>
      <c r="AG645" s="451">
        <f ca="1">IF(AND(Scharniere[[#This Row],[Scharnierart]]=select!$A$1487,Scharniere[[#This Row],[Gruppenschlüssel]]=select!$B$1487)=TRUE,1,0)</f>
        <v>0</v>
      </c>
      <c r="AH645" s="451">
        <f ca="1">IF(AND(Scharniere[[#This Row],[Scharnierart]]=select!$A$1488,Scharniere[[#This Row],[Gruppenschlüssel]]=select!$B$1488)=TRUE,1,0)</f>
        <v>0</v>
      </c>
      <c r="AI645" s="451">
        <f ca="1">IF(SUM(Scharniere[[#This Row],[konf Scharnier 1]:[konf Scharnier 4]])&gt;0,1,0)</f>
        <v>0</v>
      </c>
      <c r="AJ645" s="451"/>
      <c r="AK645" s="451"/>
      <c r="AL645" s="451"/>
      <c r="AM645" s="451"/>
      <c r="AN645" s="451"/>
      <c r="AO645" s="146">
        <v>1</v>
      </c>
      <c r="AP645" s="146">
        <v>4</v>
      </c>
      <c r="AQ645" s="10" t="str">
        <f ca="1">Sprache!$A$111</f>
        <v>Tiomos Scharnier T Impresso</v>
      </c>
      <c r="AR645" t="s">
        <v>105</v>
      </c>
      <c r="AS645" t="str">
        <f ca="1">Sprache!$A$116</f>
        <v>Tiomos Impresso Scharniere</v>
      </c>
      <c r="AT645">
        <v>3</v>
      </c>
      <c r="AU645" s="34" t="s">
        <v>3</v>
      </c>
      <c r="AV645">
        <v>95</v>
      </c>
      <c r="AW645" s="10">
        <v>0</v>
      </c>
      <c r="AX645">
        <v>1</v>
      </c>
      <c r="AY645">
        <v>0</v>
      </c>
      <c r="AZ645" s="10">
        <v>0</v>
      </c>
      <c r="BA645">
        <v>0</v>
      </c>
      <c r="BB645">
        <v>0</v>
      </c>
      <c r="BC645">
        <v>1</v>
      </c>
      <c r="BD645" s="143" t="s">
        <v>162</v>
      </c>
      <c r="BG645"/>
    </row>
    <row r="646" spans="1:59" ht="14.25" customHeight="1" x14ac:dyDescent="0.25">
      <c r="A646" s="37" t="str">
        <f>LEFT(Scharniere[[#This Row],[ArtikelNR]],4)</f>
        <v>F017</v>
      </c>
      <c r="B646" s="35" t="str">
        <f>MID(Scharniere[[#This Row],[ArtikelNR]],5,3)</f>
        <v>139</v>
      </c>
      <c r="C646" s="37" t="str">
        <f>RIGHT(Scharniere[[#This Row],[ArtikelNR]],3)</f>
        <v>439</v>
      </c>
      <c r="D646" s="35">
        <f>IF(AND(Scharniere[[#This Row],[Gruppenschlüssel]]=select!$A$44,Scharniere[[#This Row],[Scharnierart]]=1)=TRUE,1,0)</f>
        <v>0</v>
      </c>
      <c r="E6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6" s="35">
        <f>IF(select!$F$57=IF(Scharniere[[#This Row],[mit Dämpfung]]=1,1,IF(Scharniere[[#This Row],[ohne Dämpfung]]=1,2,IF(Scharniere[[#This Row],[ohne Feder]]=1,3,0))),1,0)</f>
        <v>0</v>
      </c>
      <c r="G646" s="35">
        <f>IF(Scharniere[[#This Row],[Bohrbild]]=select!$V$43,1,0)</f>
        <v>0</v>
      </c>
      <c r="H646" s="35">
        <f>IF(IF(Scharniere[[#This Row],[Anschrauben]]=1,1,IF(Scharniere[[#This Row],[Einpressen]]=1,2,IF(Scharniere[[#This Row],[Quick]]=1,3,IF(Scharniere[[#This Row],[Werkzeuglos]]=1,4,0))))=select!$F$48,1,0)</f>
        <v>0</v>
      </c>
      <c r="I6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6" s="149">
        <f>IF(AND(Scharniere[[#This Row],[Scharnierart]]=2,Scharniere[[#This Row],[Gruppenschlüssel]]=select!$A$318)=TRUE,1,0)</f>
        <v>0</v>
      </c>
      <c r="K646" s="221">
        <f ca="1">IF(select!$O$424&lt;6,1,0)</f>
        <v>1</v>
      </c>
      <c r="L646" s="139">
        <f>IF(select!$A$362=IF(Scharniere[[#This Row],[mit Dämpfung]]=1,1,IF(Scharniere[[#This Row],[ohne Dämpfung]]=1,2,IF(Scharniere[[#This Row],[ohne Feder]]=1,3,0))),1,0)</f>
        <v>1</v>
      </c>
      <c r="M646" s="135">
        <f>IF(Scharniere[[#This Row],[Bohrbild]]=select!$O$334,1,0)</f>
        <v>0</v>
      </c>
      <c r="N646" s="135">
        <f>IF(IF(Scharniere[[#This Row],[Anschrauben]]=1,1,IF(Scharniere[[#This Row],[Einpressen]]=1,2,IF(Scharniere[[#This Row],[Quick]]=1,3,IF(Scharniere[[#This Row],[Werkzeuglos]]=1,4,0))))=select!$E$362,1,0)</f>
        <v>0</v>
      </c>
      <c r="O6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6" s="298">
        <f>IF(AND(Scharniere[[#This Row],[Scharnierart]]=3,Scharniere[[#This Row],[Gruppenschlüssel]]=select!$A$747)=TRUE,1,0)</f>
        <v>0</v>
      </c>
      <c r="Q646" s="298">
        <f ca="1">IF(select!$O$945&lt;6,1,0)</f>
        <v>1</v>
      </c>
      <c r="R646" s="298">
        <f>IF(select!$A$778=IF(Scharniere[[#This Row],[mit Dämpfung]]=1,1,IF(Scharniere[[#This Row],[ohne Dämpfung]]=1,2,IF(Scharniere[[#This Row],[ohne Feder]]=1,3,0))),1,0)</f>
        <v>0</v>
      </c>
      <c r="S646" s="298">
        <f>IF(Scharniere[[#This Row],[Bohrbild]]=select!$A$755,1,0)</f>
        <v>0</v>
      </c>
      <c r="T646" s="298">
        <f>IF(IF(Scharniere[[#This Row],[Anschrauben]]=1,1,IF(Scharniere[[#This Row],[Einpressen]]=1,2,IF(Scharniere[[#This Row],[Quick]]=1,3,IF(Scharniere[[#This Row],[Werkzeuglos]]=1,4,0))))=select!$A$769,1,0)</f>
        <v>0</v>
      </c>
      <c r="U6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6" s="359">
        <f>IF(AND(Scharniere[[#This Row],[Scharnierart]]=4,Scharniere[[#This Row],[Gruppenschlüssel]]=select!$A$981)=TRUE,1,0)</f>
        <v>0</v>
      </c>
      <c r="W646" s="359">
        <f ca="1">IF(select!$O$1185&lt;6,1,0)</f>
        <v>1</v>
      </c>
      <c r="X646" s="359">
        <f>IF(select!$A$1012=IF(Scharniere[[#This Row],[mit Dämpfung]]=1,1,IF(Scharniere[[#This Row],[ohne Dämpfung]]=1,2,IF(Scharniere[[#This Row],[ohne Feder]]=1,3,0))),1,0)</f>
        <v>0</v>
      </c>
      <c r="Y646" s="359">
        <f>IF(Scharniere[[#This Row],[Bohrbild]]=select!$A$989,1,0)</f>
        <v>0</v>
      </c>
      <c r="Z646" s="359">
        <f>IF(IF(Scharniere[[#This Row],[Anschrauben]]=1,1,IF(Scharniere[[#This Row],[Einpressen]]=1,2,IF(Scharniere[[#This Row],[Quick]]=1,3,IF(Scharniere[[#This Row],[Werkzeuglos]]=1,4,0))))=select!$A$1003,1,0)</f>
        <v>0</v>
      </c>
      <c r="AA6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6" s="359">
        <f ca="1">IF(select!$K$980="*",Scharniere[[#This Row],[AG Ges2]],Scharniere[[#This Row],[AG Ges1]])</f>
        <v>0</v>
      </c>
      <c r="AE646" s="451">
        <f ca="1">IF(AND(Scharniere[[#This Row],[Scharnierart]]=select!$A$1485,Scharniere[[#This Row],[Gruppenschlüssel]]=select!$B$1485)=TRUE,1,0)</f>
        <v>0</v>
      </c>
      <c r="AF646" s="451">
        <f ca="1">IF(AND(Scharniere[[#This Row],[Scharnierart]]=select!$A$1486,Scharniere[[#This Row],[Gruppenschlüssel]]=select!$B$1486)=TRUE,1,0)</f>
        <v>0</v>
      </c>
      <c r="AG646" s="451">
        <f ca="1">IF(AND(Scharniere[[#This Row],[Scharnierart]]=select!$A$1487,Scharniere[[#This Row],[Gruppenschlüssel]]=select!$B$1487)=TRUE,1,0)</f>
        <v>0</v>
      </c>
      <c r="AH646" s="451">
        <f ca="1">IF(AND(Scharniere[[#This Row],[Scharnierart]]=select!$A$1488,Scharniere[[#This Row],[Gruppenschlüssel]]=select!$B$1488)=TRUE,1,0)</f>
        <v>0</v>
      </c>
      <c r="AI646" s="451">
        <f ca="1">IF(SUM(Scharniere[[#This Row],[konf Scharnier 1]:[konf Scharnier 4]])&gt;0,1,0)</f>
        <v>0</v>
      </c>
      <c r="AJ646" s="451"/>
      <c r="AK646" s="451"/>
      <c r="AL646" s="451"/>
      <c r="AM646" s="451"/>
      <c r="AN646" s="451"/>
      <c r="AO646" s="146">
        <v>1</v>
      </c>
      <c r="AP646" s="146">
        <v>4</v>
      </c>
      <c r="AQ646" s="10" t="str">
        <f ca="1">Sprache!$A$113</f>
        <v>Tiomos Scharnier TS Impresso</v>
      </c>
      <c r="AR646" t="s">
        <v>105</v>
      </c>
      <c r="AS646" t="str">
        <f ca="1">Sprache!$A$116</f>
        <v>Tiomos Impresso Scharniere</v>
      </c>
      <c r="AT646">
        <v>3</v>
      </c>
      <c r="AU646" s="10" t="s">
        <v>9</v>
      </c>
      <c r="AV646">
        <v>95</v>
      </c>
      <c r="AW646" s="10">
        <v>1</v>
      </c>
      <c r="AX646">
        <v>0</v>
      </c>
      <c r="AY646">
        <v>0</v>
      </c>
      <c r="AZ646" s="10">
        <v>0</v>
      </c>
      <c r="BA646">
        <v>0</v>
      </c>
      <c r="BB646">
        <v>0</v>
      </c>
      <c r="BC646">
        <v>1</v>
      </c>
      <c r="BD646" s="143" t="s">
        <v>104</v>
      </c>
      <c r="BG646"/>
    </row>
    <row r="647" spans="1:59" ht="14.25" customHeight="1" x14ac:dyDescent="0.25">
      <c r="A647" s="37" t="str">
        <f>LEFT(Scharniere[[#This Row],[ArtikelNR]],4)</f>
        <v>F017</v>
      </c>
      <c r="B647" s="35" t="str">
        <f>MID(Scharniere[[#This Row],[ArtikelNR]],5,3)</f>
        <v>139</v>
      </c>
      <c r="C647" s="37" t="str">
        <f>RIGHT(Scharniere[[#This Row],[ArtikelNR]],3)</f>
        <v>439</v>
      </c>
      <c r="D647" s="35">
        <f>IF(AND(Scharniere[[#This Row],[Gruppenschlüssel]]=select!$A$44,Scharniere[[#This Row],[Scharnierart]]=1)=TRUE,1,0)</f>
        <v>0</v>
      </c>
      <c r="E6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7" s="35">
        <f>IF(select!$F$57=IF(Scharniere[[#This Row],[mit Dämpfung]]=1,1,IF(Scharniere[[#This Row],[ohne Dämpfung]]=1,2,IF(Scharniere[[#This Row],[ohne Feder]]=1,3,0))),1,0)</f>
        <v>0</v>
      </c>
      <c r="G647" s="35">
        <f>IF(Scharniere[[#This Row],[Bohrbild]]=select!$V$43,1,0)</f>
        <v>0</v>
      </c>
      <c r="H647" s="35">
        <f>IF(IF(Scharniere[[#This Row],[Anschrauben]]=1,1,IF(Scharniere[[#This Row],[Einpressen]]=1,2,IF(Scharniere[[#This Row],[Quick]]=1,3,IF(Scharniere[[#This Row],[Werkzeuglos]]=1,4,0))))=select!$F$48,1,0)</f>
        <v>0</v>
      </c>
      <c r="I6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7" s="149">
        <f>IF(AND(Scharniere[[#This Row],[Scharnierart]]=2,Scharniere[[#This Row],[Gruppenschlüssel]]=select!$A$318)=TRUE,1,0)</f>
        <v>0</v>
      </c>
      <c r="K647" s="221">
        <f ca="1">IF(select!$O$424&lt;6,1,0)</f>
        <v>1</v>
      </c>
      <c r="L647" s="139">
        <f>IF(select!$A$362=IF(Scharniere[[#This Row],[mit Dämpfung]]=1,1,IF(Scharniere[[#This Row],[ohne Dämpfung]]=1,2,IF(Scharniere[[#This Row],[ohne Feder]]=1,3,0))),1,0)</f>
        <v>1</v>
      </c>
      <c r="M647" s="135">
        <f>IF(Scharniere[[#This Row],[Bohrbild]]=select!$O$334,1,0)</f>
        <v>0</v>
      </c>
      <c r="N647" s="135">
        <f>IF(IF(Scharniere[[#This Row],[Anschrauben]]=1,1,IF(Scharniere[[#This Row],[Einpressen]]=1,2,IF(Scharniere[[#This Row],[Quick]]=1,3,IF(Scharniere[[#This Row],[Werkzeuglos]]=1,4,0))))=select!$E$362,1,0)</f>
        <v>0</v>
      </c>
      <c r="O6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7" s="298">
        <f>IF(AND(Scharniere[[#This Row],[Scharnierart]]=3,Scharniere[[#This Row],[Gruppenschlüssel]]=select!$A$747)=TRUE,1,0)</f>
        <v>0</v>
      </c>
      <c r="Q647" s="298">
        <f ca="1">IF(select!$O$945&lt;6,1,0)</f>
        <v>1</v>
      </c>
      <c r="R647" s="298">
        <f>IF(select!$A$778=IF(Scharniere[[#This Row],[mit Dämpfung]]=1,1,IF(Scharniere[[#This Row],[ohne Dämpfung]]=1,2,IF(Scharniere[[#This Row],[ohne Feder]]=1,3,0))),1,0)</f>
        <v>0</v>
      </c>
      <c r="S647" s="298">
        <f>IF(Scharniere[[#This Row],[Bohrbild]]=select!$A$755,1,0)</f>
        <v>0</v>
      </c>
      <c r="T647" s="298">
        <f>IF(IF(Scharniere[[#This Row],[Anschrauben]]=1,1,IF(Scharniere[[#This Row],[Einpressen]]=1,2,IF(Scharniere[[#This Row],[Quick]]=1,3,IF(Scharniere[[#This Row],[Werkzeuglos]]=1,4,0))))=select!$A$769,1,0)</f>
        <v>0</v>
      </c>
      <c r="U6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7" s="359">
        <f>IF(AND(Scharniere[[#This Row],[Scharnierart]]=4,Scharniere[[#This Row],[Gruppenschlüssel]]=select!$A$981)=TRUE,1,0)</f>
        <v>0</v>
      </c>
      <c r="W647" s="359">
        <f ca="1">IF(select!$O$1185&lt;6,1,0)</f>
        <v>1</v>
      </c>
      <c r="X647" s="359">
        <f>IF(select!$A$1012=IF(Scharniere[[#This Row],[mit Dämpfung]]=1,1,IF(Scharniere[[#This Row],[ohne Dämpfung]]=1,2,IF(Scharniere[[#This Row],[ohne Feder]]=1,3,0))),1,0)</f>
        <v>0</v>
      </c>
      <c r="Y647" s="359">
        <f>IF(Scharniere[[#This Row],[Bohrbild]]=select!$A$989,1,0)</f>
        <v>0</v>
      </c>
      <c r="Z647" s="359">
        <f>IF(IF(Scharniere[[#This Row],[Anschrauben]]=1,1,IF(Scharniere[[#This Row],[Einpressen]]=1,2,IF(Scharniere[[#This Row],[Quick]]=1,3,IF(Scharniere[[#This Row],[Werkzeuglos]]=1,4,0))))=select!$A$1003,1,0)</f>
        <v>0</v>
      </c>
      <c r="AA6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7" s="359">
        <f ca="1">IF(select!$K$980="*",Scharniere[[#This Row],[AG Ges2]],Scharniere[[#This Row],[AG Ges1]])</f>
        <v>0</v>
      </c>
      <c r="AE647" s="451">
        <f ca="1">IF(AND(Scharniere[[#This Row],[Scharnierart]]=select!$A$1485,Scharniere[[#This Row],[Gruppenschlüssel]]=select!$B$1485)=TRUE,1,0)</f>
        <v>0</v>
      </c>
      <c r="AF647" s="451">
        <f ca="1">IF(AND(Scharniere[[#This Row],[Scharnierart]]=select!$A$1486,Scharniere[[#This Row],[Gruppenschlüssel]]=select!$B$1486)=TRUE,1,0)</f>
        <v>0</v>
      </c>
      <c r="AG647" s="451">
        <f ca="1">IF(AND(Scharniere[[#This Row],[Scharnierart]]=select!$A$1487,Scharniere[[#This Row],[Gruppenschlüssel]]=select!$B$1487)=TRUE,1,0)</f>
        <v>0</v>
      </c>
      <c r="AH647" s="451">
        <f ca="1">IF(AND(Scharniere[[#This Row],[Scharnierart]]=select!$A$1488,Scharniere[[#This Row],[Gruppenschlüssel]]=select!$B$1488)=TRUE,1,0)</f>
        <v>0</v>
      </c>
      <c r="AI647" s="451">
        <f ca="1">IF(SUM(Scharniere[[#This Row],[konf Scharnier 1]:[konf Scharnier 4]])&gt;0,1,0)</f>
        <v>0</v>
      </c>
      <c r="AJ647" s="451"/>
      <c r="AK647" s="451"/>
      <c r="AL647" s="451"/>
      <c r="AM647" s="451"/>
      <c r="AN647" s="451"/>
      <c r="AO647" s="146">
        <v>1</v>
      </c>
      <c r="AP647" s="146">
        <v>4</v>
      </c>
      <c r="AQ647" s="10" t="str">
        <f ca="1">Sprache!$A$113</f>
        <v>Tiomos Scharnier TS Impresso</v>
      </c>
      <c r="AR647" t="s">
        <v>105</v>
      </c>
      <c r="AS647" t="str">
        <f ca="1">Sprache!$A$116</f>
        <v>Tiomos Impresso Scharniere</v>
      </c>
      <c r="AT647">
        <v>3</v>
      </c>
      <c r="AU647" s="34" t="s">
        <v>3</v>
      </c>
      <c r="AV647">
        <v>95</v>
      </c>
      <c r="AW647" s="10">
        <v>1</v>
      </c>
      <c r="AX647">
        <v>0</v>
      </c>
      <c r="AY647">
        <v>0</v>
      </c>
      <c r="AZ647" s="10">
        <v>0</v>
      </c>
      <c r="BA647">
        <v>0</v>
      </c>
      <c r="BB647">
        <v>0</v>
      </c>
      <c r="BC647">
        <v>1</v>
      </c>
      <c r="BD647" s="143" t="s">
        <v>104</v>
      </c>
      <c r="BG647"/>
    </row>
    <row r="648" spans="1:59" ht="14.25" customHeight="1" x14ac:dyDescent="0.25">
      <c r="A648" s="37" t="str">
        <f>LEFT(Scharniere[[#This Row],[ArtikelNR]],4)</f>
        <v>F035</v>
      </c>
      <c r="B648" s="35" t="str">
        <f>MID(Scharniere[[#This Row],[ArtikelNR]],5,3)</f>
        <v>139</v>
      </c>
      <c r="C648" s="37" t="str">
        <f>RIGHT(Scharniere[[#This Row],[ArtikelNR]],3)</f>
        <v>467</v>
      </c>
      <c r="D648" s="35">
        <f>IF(AND(Scharniere[[#This Row],[Gruppenschlüssel]]=select!$A$44,Scharniere[[#This Row],[Scharnierart]]=1)=TRUE,1,0)</f>
        <v>0</v>
      </c>
      <c r="E6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8" s="35">
        <f>IF(select!$F$57=IF(Scharniere[[#This Row],[mit Dämpfung]]=1,1,IF(Scharniere[[#This Row],[ohne Dämpfung]]=1,2,IF(Scharniere[[#This Row],[ohne Feder]]=1,3,0))),1,0)</f>
        <v>1</v>
      </c>
      <c r="G648" s="35">
        <f>IF(Scharniere[[#This Row],[Bohrbild]]=select!$V$43,1,0)</f>
        <v>0</v>
      </c>
      <c r="H648" s="35">
        <f>IF(IF(Scharniere[[#This Row],[Anschrauben]]=1,1,IF(Scharniere[[#This Row],[Einpressen]]=1,2,IF(Scharniere[[#This Row],[Quick]]=1,3,IF(Scharniere[[#This Row],[Werkzeuglos]]=1,4,0))))=select!$F$48,1,0)</f>
        <v>0</v>
      </c>
      <c r="I6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8" s="149">
        <f>IF(AND(Scharniere[[#This Row],[Scharnierart]]=2,Scharniere[[#This Row],[Gruppenschlüssel]]=select!$A$318)=TRUE,1,0)</f>
        <v>0</v>
      </c>
      <c r="K648" s="221">
        <f ca="1">IF(select!$O$424&lt;6,1,0)</f>
        <v>1</v>
      </c>
      <c r="L648" s="139">
        <f>IF(select!$A$362=IF(Scharniere[[#This Row],[mit Dämpfung]]=1,1,IF(Scharniere[[#This Row],[ohne Dämpfung]]=1,2,IF(Scharniere[[#This Row],[ohne Feder]]=1,3,0))),1,0)</f>
        <v>0</v>
      </c>
      <c r="M648" s="135">
        <f>IF(Scharniere[[#This Row],[Bohrbild]]=select!$O$334,1,0)</f>
        <v>0</v>
      </c>
      <c r="N648" s="135">
        <f>IF(IF(Scharniere[[#This Row],[Anschrauben]]=1,1,IF(Scharniere[[#This Row],[Einpressen]]=1,2,IF(Scharniere[[#This Row],[Quick]]=1,3,IF(Scharniere[[#This Row],[Werkzeuglos]]=1,4,0))))=select!$E$362,1,0)</f>
        <v>0</v>
      </c>
      <c r="O6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8" s="298">
        <f>IF(AND(Scharniere[[#This Row],[Scharnierart]]=3,Scharniere[[#This Row],[Gruppenschlüssel]]=select!$A$747)=TRUE,1,0)</f>
        <v>0</v>
      </c>
      <c r="Q648" s="298">
        <f ca="1">IF(select!$O$945&lt;6,1,0)</f>
        <v>1</v>
      </c>
      <c r="R648" s="298">
        <f>IF(select!$A$778=IF(Scharniere[[#This Row],[mit Dämpfung]]=1,1,IF(Scharniere[[#This Row],[ohne Dämpfung]]=1,2,IF(Scharniere[[#This Row],[ohne Feder]]=1,3,0))),1,0)</f>
        <v>0</v>
      </c>
      <c r="S648" s="298">
        <f>IF(Scharniere[[#This Row],[Bohrbild]]=select!$A$755,1,0)</f>
        <v>0</v>
      </c>
      <c r="T648" s="298">
        <f>IF(IF(Scharniere[[#This Row],[Anschrauben]]=1,1,IF(Scharniere[[#This Row],[Einpressen]]=1,2,IF(Scharniere[[#This Row],[Quick]]=1,3,IF(Scharniere[[#This Row],[Werkzeuglos]]=1,4,0))))=select!$A$769,1,0)</f>
        <v>0</v>
      </c>
      <c r="U6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8" s="359">
        <f>IF(AND(Scharniere[[#This Row],[Scharnierart]]=4,Scharniere[[#This Row],[Gruppenschlüssel]]=select!$A$981)=TRUE,1,0)</f>
        <v>0</v>
      </c>
      <c r="W648" s="359">
        <f ca="1">IF(select!$O$1185&lt;6,1,0)</f>
        <v>1</v>
      </c>
      <c r="X648" s="359">
        <f>IF(select!$A$1012=IF(Scharniere[[#This Row],[mit Dämpfung]]=1,1,IF(Scharniere[[#This Row],[ohne Dämpfung]]=1,2,IF(Scharniere[[#This Row],[ohne Feder]]=1,3,0))),1,0)</f>
        <v>0</v>
      </c>
      <c r="Y648" s="359">
        <f>IF(Scharniere[[#This Row],[Bohrbild]]=select!$A$989,1,0)</f>
        <v>0</v>
      </c>
      <c r="Z648" s="359">
        <f>IF(IF(Scharniere[[#This Row],[Anschrauben]]=1,1,IF(Scharniere[[#This Row],[Einpressen]]=1,2,IF(Scharniere[[#This Row],[Quick]]=1,3,IF(Scharniere[[#This Row],[Werkzeuglos]]=1,4,0))))=select!$A$1003,1,0)</f>
        <v>0</v>
      </c>
      <c r="AA6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8" s="359">
        <f ca="1">IF(select!$K$980="*",Scharniere[[#This Row],[AG Ges2]],Scharniere[[#This Row],[AG Ges1]])</f>
        <v>0</v>
      </c>
      <c r="AE648" s="451">
        <f ca="1">IF(AND(Scharniere[[#This Row],[Scharnierart]]=select!$A$1485,Scharniere[[#This Row],[Gruppenschlüssel]]=select!$B$1485)=TRUE,1,0)</f>
        <v>0</v>
      </c>
      <c r="AF648" s="451">
        <f ca="1">IF(AND(Scharniere[[#This Row],[Scharnierart]]=select!$A$1486,Scharniere[[#This Row],[Gruppenschlüssel]]=select!$B$1486)=TRUE,1,0)</f>
        <v>0</v>
      </c>
      <c r="AG648" s="451">
        <f ca="1">IF(AND(Scharniere[[#This Row],[Scharnierart]]=select!$A$1487,Scharniere[[#This Row],[Gruppenschlüssel]]=select!$B$1487)=TRUE,1,0)</f>
        <v>0</v>
      </c>
      <c r="AH648" s="451">
        <f ca="1">IF(AND(Scharniere[[#This Row],[Scharnierart]]=select!$A$1488,Scharniere[[#This Row],[Gruppenschlüssel]]=select!$B$1488)=TRUE,1,0)</f>
        <v>0</v>
      </c>
      <c r="AI648" s="451">
        <f ca="1">IF(SUM(Scharniere[[#This Row],[konf Scharnier 1]:[konf Scharnier 4]])&gt;0,1,0)</f>
        <v>0</v>
      </c>
      <c r="AJ648" s="451"/>
      <c r="AK648" s="451"/>
      <c r="AL648" s="451"/>
      <c r="AM648" s="451"/>
      <c r="AN648" s="451"/>
      <c r="AO648" s="146">
        <v>1</v>
      </c>
      <c r="AP648" s="146">
        <v>4</v>
      </c>
      <c r="AQ648" s="10" t="str">
        <f ca="1">Sprache!$A$115</f>
        <v>Tiomos Scharnier TT Impresso</v>
      </c>
      <c r="AR648" t="s">
        <v>105</v>
      </c>
      <c r="AS648" t="str">
        <f ca="1">Sprache!$A$116</f>
        <v>Tiomos Impresso Scharniere</v>
      </c>
      <c r="AT648">
        <v>3</v>
      </c>
      <c r="AU648" t="s">
        <v>9</v>
      </c>
      <c r="AV648">
        <v>95</v>
      </c>
      <c r="AW648" s="10">
        <v>0</v>
      </c>
      <c r="AX648">
        <v>0</v>
      </c>
      <c r="AY648">
        <v>1</v>
      </c>
      <c r="AZ648" s="10">
        <v>0</v>
      </c>
      <c r="BA648">
        <v>0</v>
      </c>
      <c r="BB648">
        <v>0</v>
      </c>
      <c r="BC648">
        <v>1</v>
      </c>
      <c r="BD648" s="143" t="s">
        <v>206</v>
      </c>
      <c r="BG648"/>
    </row>
    <row r="649" spans="1:59" ht="14.25" customHeight="1" x14ac:dyDescent="0.25">
      <c r="A649" s="37" t="str">
        <f>LEFT(Scharniere[[#This Row],[ArtikelNR]],4)</f>
        <v>F035</v>
      </c>
      <c r="B649" s="35" t="str">
        <f>MID(Scharniere[[#This Row],[ArtikelNR]],5,3)</f>
        <v>139</v>
      </c>
      <c r="C649" s="37" t="str">
        <f>RIGHT(Scharniere[[#This Row],[ArtikelNR]],3)</f>
        <v>467</v>
      </c>
      <c r="D649" s="35">
        <f>IF(AND(Scharniere[[#This Row],[Gruppenschlüssel]]=select!$A$44,Scharniere[[#This Row],[Scharnierart]]=1)=TRUE,1,0)</f>
        <v>0</v>
      </c>
      <c r="E6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49" s="35">
        <f>IF(select!$F$57=IF(Scharniere[[#This Row],[mit Dämpfung]]=1,1,IF(Scharniere[[#This Row],[ohne Dämpfung]]=1,2,IF(Scharniere[[#This Row],[ohne Feder]]=1,3,0))),1,0)</f>
        <v>1</v>
      </c>
      <c r="G649" s="35">
        <f>IF(Scharniere[[#This Row],[Bohrbild]]=select!$V$43,1,0)</f>
        <v>0</v>
      </c>
      <c r="H649" s="35">
        <f>IF(IF(Scharniere[[#This Row],[Anschrauben]]=1,1,IF(Scharniere[[#This Row],[Einpressen]]=1,2,IF(Scharniere[[#This Row],[Quick]]=1,3,IF(Scharniere[[#This Row],[Werkzeuglos]]=1,4,0))))=select!$F$48,1,0)</f>
        <v>0</v>
      </c>
      <c r="I6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49" s="149">
        <f>IF(AND(Scharniere[[#This Row],[Scharnierart]]=2,Scharniere[[#This Row],[Gruppenschlüssel]]=select!$A$318)=TRUE,1,0)</f>
        <v>0</v>
      </c>
      <c r="K649" s="221">
        <f ca="1">IF(select!$O$424&lt;6,1,0)</f>
        <v>1</v>
      </c>
      <c r="L649" s="139">
        <f>IF(select!$A$362=IF(Scharniere[[#This Row],[mit Dämpfung]]=1,1,IF(Scharniere[[#This Row],[ohne Dämpfung]]=1,2,IF(Scharniere[[#This Row],[ohne Feder]]=1,3,0))),1,0)</f>
        <v>0</v>
      </c>
      <c r="M649" s="135">
        <f>IF(Scharniere[[#This Row],[Bohrbild]]=select!$O$334,1,0)</f>
        <v>0</v>
      </c>
      <c r="N649" s="135">
        <f>IF(IF(Scharniere[[#This Row],[Anschrauben]]=1,1,IF(Scharniere[[#This Row],[Einpressen]]=1,2,IF(Scharniere[[#This Row],[Quick]]=1,3,IF(Scharniere[[#This Row],[Werkzeuglos]]=1,4,0))))=select!$E$362,1,0)</f>
        <v>0</v>
      </c>
      <c r="O6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49" s="298">
        <f>IF(AND(Scharniere[[#This Row],[Scharnierart]]=3,Scharniere[[#This Row],[Gruppenschlüssel]]=select!$A$747)=TRUE,1,0)</f>
        <v>0</v>
      </c>
      <c r="Q649" s="298">
        <f ca="1">IF(select!$O$945&lt;6,1,0)</f>
        <v>1</v>
      </c>
      <c r="R649" s="298">
        <f>IF(select!$A$778=IF(Scharniere[[#This Row],[mit Dämpfung]]=1,1,IF(Scharniere[[#This Row],[ohne Dämpfung]]=1,2,IF(Scharniere[[#This Row],[ohne Feder]]=1,3,0))),1,0)</f>
        <v>0</v>
      </c>
      <c r="S649" s="298">
        <f>IF(Scharniere[[#This Row],[Bohrbild]]=select!$A$755,1,0)</f>
        <v>0</v>
      </c>
      <c r="T649" s="298">
        <f>IF(IF(Scharniere[[#This Row],[Anschrauben]]=1,1,IF(Scharniere[[#This Row],[Einpressen]]=1,2,IF(Scharniere[[#This Row],[Quick]]=1,3,IF(Scharniere[[#This Row],[Werkzeuglos]]=1,4,0))))=select!$A$769,1,0)</f>
        <v>0</v>
      </c>
      <c r="U6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49" s="359">
        <f>IF(AND(Scharniere[[#This Row],[Scharnierart]]=4,Scharniere[[#This Row],[Gruppenschlüssel]]=select!$A$981)=TRUE,1,0)</f>
        <v>0</v>
      </c>
      <c r="W649" s="359">
        <f ca="1">IF(select!$O$1185&lt;6,1,0)</f>
        <v>1</v>
      </c>
      <c r="X649" s="359">
        <f>IF(select!$A$1012=IF(Scharniere[[#This Row],[mit Dämpfung]]=1,1,IF(Scharniere[[#This Row],[ohne Dämpfung]]=1,2,IF(Scharniere[[#This Row],[ohne Feder]]=1,3,0))),1,0)</f>
        <v>0</v>
      </c>
      <c r="Y649" s="359">
        <f>IF(Scharniere[[#This Row],[Bohrbild]]=select!$A$989,1,0)</f>
        <v>0</v>
      </c>
      <c r="Z649" s="359">
        <f>IF(IF(Scharniere[[#This Row],[Anschrauben]]=1,1,IF(Scharniere[[#This Row],[Einpressen]]=1,2,IF(Scharniere[[#This Row],[Quick]]=1,3,IF(Scharniere[[#This Row],[Werkzeuglos]]=1,4,0))))=select!$A$1003,1,0)</f>
        <v>0</v>
      </c>
      <c r="AA6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49" s="359">
        <f ca="1">IF(select!$K$980="*",Scharniere[[#This Row],[AG Ges2]],Scharniere[[#This Row],[AG Ges1]])</f>
        <v>0</v>
      </c>
      <c r="AE649" s="451">
        <f ca="1">IF(AND(Scharniere[[#This Row],[Scharnierart]]=select!$A$1485,Scharniere[[#This Row],[Gruppenschlüssel]]=select!$B$1485)=TRUE,1,0)</f>
        <v>0</v>
      </c>
      <c r="AF649" s="451">
        <f ca="1">IF(AND(Scharniere[[#This Row],[Scharnierart]]=select!$A$1486,Scharniere[[#This Row],[Gruppenschlüssel]]=select!$B$1486)=TRUE,1,0)</f>
        <v>0</v>
      </c>
      <c r="AG649" s="451">
        <f ca="1">IF(AND(Scharniere[[#This Row],[Scharnierart]]=select!$A$1487,Scharniere[[#This Row],[Gruppenschlüssel]]=select!$B$1487)=TRUE,1,0)</f>
        <v>0</v>
      </c>
      <c r="AH649" s="451">
        <f ca="1">IF(AND(Scharniere[[#This Row],[Scharnierart]]=select!$A$1488,Scharniere[[#This Row],[Gruppenschlüssel]]=select!$B$1488)=TRUE,1,0)</f>
        <v>0</v>
      </c>
      <c r="AI649" s="451">
        <f ca="1">IF(SUM(Scharniere[[#This Row],[konf Scharnier 1]:[konf Scharnier 4]])&gt;0,1,0)</f>
        <v>0</v>
      </c>
      <c r="AJ649" s="451"/>
      <c r="AK649" s="451"/>
      <c r="AL649" s="451"/>
      <c r="AM649" s="451"/>
      <c r="AN649" s="451"/>
      <c r="AO649" s="146">
        <v>1</v>
      </c>
      <c r="AP649" s="146">
        <v>4</v>
      </c>
      <c r="AQ649" s="10" t="str">
        <f ca="1">Sprache!$A$115</f>
        <v>Tiomos Scharnier TT Impresso</v>
      </c>
      <c r="AR649" t="s">
        <v>105</v>
      </c>
      <c r="AS649" t="str">
        <f ca="1">Sprache!$A$116</f>
        <v>Tiomos Impresso Scharniere</v>
      </c>
      <c r="AT649">
        <v>3</v>
      </c>
      <c r="AU649" s="10" t="s">
        <v>3</v>
      </c>
      <c r="AV649">
        <v>95</v>
      </c>
      <c r="AW649" s="10">
        <v>0</v>
      </c>
      <c r="AX649">
        <v>0</v>
      </c>
      <c r="AY649">
        <v>1</v>
      </c>
      <c r="AZ649" s="10">
        <v>0</v>
      </c>
      <c r="BA649">
        <v>0</v>
      </c>
      <c r="BB649">
        <v>0</v>
      </c>
      <c r="BC649">
        <v>1</v>
      </c>
      <c r="BD649" s="143" t="s">
        <v>206</v>
      </c>
      <c r="BG649"/>
    </row>
    <row r="650" spans="1:59" ht="14.25" customHeight="1" x14ac:dyDescent="0.25">
      <c r="A650" s="37" t="str">
        <f>LEFT(Scharniere[[#This Row],[ArtikelNR]],4)</f>
        <v>F045</v>
      </c>
      <c r="B650" s="35" t="str">
        <f>MID(Scharniere[[#This Row],[ArtikelNR]],5,3)</f>
        <v>138</v>
      </c>
      <c r="C650" s="37" t="str">
        <f>RIGHT(Scharniere[[#This Row],[ArtikelNR]],3)</f>
        <v>692</v>
      </c>
      <c r="D650" s="35">
        <f>IF(AND(Scharniere[[#This Row],[Gruppenschlüssel]]=select!$A$44,Scharniere[[#This Row],[Scharnierart]]=1)=TRUE,1,0)</f>
        <v>0</v>
      </c>
      <c r="E6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0" s="35">
        <f>IF(select!$F$57=IF(Scharniere[[#This Row],[mit Dämpfung]]=1,1,IF(Scharniere[[#This Row],[ohne Dämpfung]]=1,2,IF(Scharniere[[#This Row],[ohne Feder]]=1,3,0))),1,0)</f>
        <v>0</v>
      </c>
      <c r="G650" s="35">
        <f>IF(Scharniere[[#This Row],[Bohrbild]]=select!$V$43,1,0)</f>
        <v>0</v>
      </c>
      <c r="H650" s="35">
        <f>IF(IF(Scharniere[[#This Row],[Anschrauben]]=1,1,IF(Scharniere[[#This Row],[Einpressen]]=1,2,IF(Scharniere[[#This Row],[Quick]]=1,3,IF(Scharniere[[#This Row],[Werkzeuglos]]=1,4,0))))=select!$F$48,1,0)</f>
        <v>1</v>
      </c>
      <c r="I6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0" s="149">
        <f>IF(AND(Scharniere[[#This Row],[Scharnierart]]=2,Scharniere[[#This Row],[Gruppenschlüssel]]=select!$A$318)=TRUE,1,0)</f>
        <v>0</v>
      </c>
      <c r="K650" s="221">
        <f ca="1">IF(select!$O$424&lt;6,1,0)</f>
        <v>1</v>
      </c>
      <c r="L650" s="139">
        <f>IF(select!$A$362=IF(Scharniere[[#This Row],[mit Dämpfung]]=1,1,IF(Scharniere[[#This Row],[ohne Dämpfung]]=1,2,IF(Scharniere[[#This Row],[ohne Feder]]=1,3,0))),1,0)</f>
        <v>0</v>
      </c>
      <c r="M650" s="135">
        <f>IF(Scharniere[[#This Row],[Bohrbild]]=select!$O$334,1,0)</f>
        <v>0</v>
      </c>
      <c r="N650" s="135">
        <f>IF(IF(Scharniere[[#This Row],[Anschrauben]]=1,1,IF(Scharniere[[#This Row],[Einpressen]]=1,2,IF(Scharniere[[#This Row],[Quick]]=1,3,IF(Scharniere[[#This Row],[Werkzeuglos]]=1,4,0))))=select!$E$362,1,0)</f>
        <v>0</v>
      </c>
      <c r="O6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0" s="298">
        <f>IF(AND(Scharniere[[#This Row],[Scharnierart]]=3,Scharniere[[#This Row],[Gruppenschlüssel]]=select!$A$747)=TRUE,1,0)</f>
        <v>0</v>
      </c>
      <c r="Q650" s="298">
        <f ca="1">IF(select!$O$945&lt;6,1,0)</f>
        <v>1</v>
      </c>
      <c r="R650" s="298">
        <f>IF(select!$A$778=IF(Scharniere[[#This Row],[mit Dämpfung]]=1,1,IF(Scharniere[[#This Row],[ohne Dämpfung]]=1,2,IF(Scharniere[[#This Row],[ohne Feder]]=1,3,0))),1,0)</f>
        <v>1</v>
      </c>
      <c r="S650" s="298">
        <f>IF(Scharniere[[#This Row],[Bohrbild]]=select!$A$755,1,0)</f>
        <v>0</v>
      </c>
      <c r="T650" s="298">
        <f>IF(IF(Scharniere[[#This Row],[Anschrauben]]=1,1,IF(Scharniere[[#This Row],[Einpressen]]=1,2,IF(Scharniere[[#This Row],[Quick]]=1,3,IF(Scharniere[[#This Row],[Werkzeuglos]]=1,4,0))))=select!$A$769,1,0)</f>
        <v>0</v>
      </c>
      <c r="U6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0" s="359">
        <f>IF(AND(Scharniere[[#This Row],[Scharnierart]]=4,Scharniere[[#This Row],[Gruppenschlüssel]]=select!$A$981)=TRUE,1,0)</f>
        <v>0</v>
      </c>
      <c r="W650" s="359">
        <f ca="1">IF(select!$O$1185&lt;6,1,0)</f>
        <v>1</v>
      </c>
      <c r="X650" s="359">
        <f>IF(select!$A$1012=IF(Scharniere[[#This Row],[mit Dämpfung]]=1,1,IF(Scharniere[[#This Row],[ohne Dämpfung]]=1,2,IF(Scharniere[[#This Row],[ohne Feder]]=1,3,0))),1,0)</f>
        <v>1</v>
      </c>
      <c r="Y650" s="359">
        <f>IF(Scharniere[[#This Row],[Bohrbild]]=select!$A$989,1,0)</f>
        <v>0</v>
      </c>
      <c r="Z650" s="359">
        <f>IF(IF(Scharniere[[#This Row],[Anschrauben]]=1,1,IF(Scharniere[[#This Row],[Einpressen]]=1,2,IF(Scharniere[[#This Row],[Quick]]=1,3,IF(Scharniere[[#This Row],[Werkzeuglos]]=1,4,0))))=select!$A$1003,1,0)</f>
        <v>0</v>
      </c>
      <c r="AA6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0" s="359">
        <f ca="1">IF(select!$K$980="*",Scharniere[[#This Row],[AG Ges2]],Scharniere[[#This Row],[AG Ges1]])</f>
        <v>0</v>
      </c>
      <c r="AE650" s="451">
        <f ca="1">IF(AND(Scharniere[[#This Row],[Scharnierart]]=select!$A$1485,Scharniere[[#This Row],[Gruppenschlüssel]]=select!$B$1485)=TRUE,1,0)</f>
        <v>0</v>
      </c>
      <c r="AF650" s="451">
        <f ca="1">IF(AND(Scharniere[[#This Row],[Scharnierart]]=select!$A$1486,Scharniere[[#This Row],[Gruppenschlüssel]]=select!$B$1486)=TRUE,1,0)</f>
        <v>0</v>
      </c>
      <c r="AG650" s="451">
        <f ca="1">IF(AND(Scharniere[[#This Row],[Scharnierart]]=select!$A$1487,Scharniere[[#This Row],[Gruppenschlüssel]]=select!$B$1487)=TRUE,1,0)</f>
        <v>0</v>
      </c>
      <c r="AH650" s="451">
        <f ca="1">IF(AND(Scharniere[[#This Row],[Scharnierart]]=select!$A$1488,Scharniere[[#This Row],[Gruppenschlüssel]]=select!$B$1488)=TRUE,1,0)</f>
        <v>0</v>
      </c>
      <c r="AI650" s="451">
        <f ca="1">IF(SUM(Scharniere[[#This Row],[konf Scharnier 1]:[konf Scharnier 4]])&gt;0,1,0)</f>
        <v>0</v>
      </c>
      <c r="AJ650" s="451"/>
      <c r="AK650" s="451"/>
      <c r="AL650" s="451"/>
      <c r="AM650" s="451"/>
      <c r="AN650" s="451"/>
      <c r="AO650" s="146">
        <v>1</v>
      </c>
      <c r="AP650" s="146">
        <v>4</v>
      </c>
      <c r="AQ650" s="10" t="str">
        <f ca="1">Sprache!$A$110</f>
        <v>Tiomos Scharnier T Click-on</v>
      </c>
      <c r="AR650" t="str">
        <f ca="1">"95°, H-BB, K03, "&amp;Sprache!A181&amp;", ni"</f>
        <v>95°, H-BB, K03, Dübel, ni</v>
      </c>
      <c r="AS650" t="str">
        <f ca="1">Sprache!$A$103</f>
        <v>Tiomos Click-On Scharniere</v>
      </c>
      <c r="AT650">
        <v>3</v>
      </c>
      <c r="AU650" t="s">
        <v>10</v>
      </c>
      <c r="AV650">
        <v>95</v>
      </c>
      <c r="AW650" s="10">
        <v>0</v>
      </c>
      <c r="AX650">
        <v>1</v>
      </c>
      <c r="AY650">
        <v>0</v>
      </c>
      <c r="AZ650" s="10">
        <v>0</v>
      </c>
      <c r="BA650">
        <v>1</v>
      </c>
      <c r="BB650">
        <v>0</v>
      </c>
      <c r="BC650">
        <v>0</v>
      </c>
      <c r="BD650" s="143" t="s">
        <v>539</v>
      </c>
      <c r="BG650"/>
    </row>
    <row r="651" spans="1:59" ht="14.25" customHeight="1" x14ac:dyDescent="0.25">
      <c r="A651" s="37" t="str">
        <f>LEFT(Scharniere[[#This Row],[ArtikelNR]],4)</f>
        <v>F028</v>
      </c>
      <c r="B651" s="35" t="str">
        <f>MID(Scharniere[[#This Row],[ArtikelNR]],5,3)</f>
        <v>138</v>
      </c>
      <c r="C651" s="37" t="str">
        <f>RIGHT(Scharniere[[#This Row],[ArtikelNR]],3)</f>
        <v>754</v>
      </c>
      <c r="D651" s="35">
        <f>IF(AND(Scharniere[[#This Row],[Gruppenschlüssel]]=select!$A$44,Scharniere[[#This Row],[Scharnierart]]=1)=TRUE,1,0)</f>
        <v>0</v>
      </c>
      <c r="E6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1" s="35">
        <f>IF(select!$F$57=IF(Scharniere[[#This Row],[mit Dämpfung]]=1,1,IF(Scharniere[[#This Row],[ohne Dämpfung]]=1,2,IF(Scharniere[[#This Row],[ohne Feder]]=1,3,0))),1,0)</f>
        <v>0</v>
      </c>
      <c r="G651" s="35">
        <f>IF(Scharniere[[#This Row],[Bohrbild]]=select!$V$43,1,0)</f>
        <v>0</v>
      </c>
      <c r="H651" s="35">
        <f>IF(IF(Scharniere[[#This Row],[Anschrauben]]=1,1,IF(Scharniere[[#This Row],[Einpressen]]=1,2,IF(Scharniere[[#This Row],[Quick]]=1,3,IF(Scharniere[[#This Row],[Werkzeuglos]]=1,4,0))))=select!$F$48,1,0)</f>
        <v>1</v>
      </c>
      <c r="I6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1" s="149">
        <f>IF(AND(Scharniere[[#This Row],[Scharnierart]]=2,Scharniere[[#This Row],[Gruppenschlüssel]]=select!$A$318)=TRUE,1,0)</f>
        <v>0</v>
      </c>
      <c r="K651" s="221">
        <f ca="1">IF(select!$O$424&lt;6,1,0)</f>
        <v>1</v>
      </c>
      <c r="L651" s="139">
        <f>IF(select!$A$362=IF(Scharniere[[#This Row],[mit Dämpfung]]=1,1,IF(Scharniere[[#This Row],[ohne Dämpfung]]=1,2,IF(Scharniere[[#This Row],[ohne Feder]]=1,3,0))),1,0)</f>
        <v>1</v>
      </c>
      <c r="M651" s="135">
        <f>IF(Scharniere[[#This Row],[Bohrbild]]=select!$O$334,1,0)</f>
        <v>0</v>
      </c>
      <c r="N651" s="135">
        <f>IF(IF(Scharniere[[#This Row],[Anschrauben]]=1,1,IF(Scharniere[[#This Row],[Einpressen]]=1,2,IF(Scharniere[[#This Row],[Quick]]=1,3,IF(Scharniere[[#This Row],[Werkzeuglos]]=1,4,0))))=select!$E$362,1,0)</f>
        <v>0</v>
      </c>
      <c r="O6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1" s="298">
        <f>IF(AND(Scharniere[[#This Row],[Scharnierart]]=3,Scharniere[[#This Row],[Gruppenschlüssel]]=select!$A$747)=TRUE,1,0)</f>
        <v>0</v>
      </c>
      <c r="Q651" s="298">
        <f ca="1">IF(select!$O$945&lt;6,1,0)</f>
        <v>1</v>
      </c>
      <c r="R651" s="298">
        <f>IF(select!$A$778=IF(Scharniere[[#This Row],[mit Dämpfung]]=1,1,IF(Scharniere[[#This Row],[ohne Dämpfung]]=1,2,IF(Scharniere[[#This Row],[ohne Feder]]=1,3,0))),1,0)</f>
        <v>0</v>
      </c>
      <c r="S651" s="298">
        <f>IF(Scharniere[[#This Row],[Bohrbild]]=select!$A$755,1,0)</f>
        <v>0</v>
      </c>
      <c r="T651" s="298">
        <f>IF(IF(Scharniere[[#This Row],[Anschrauben]]=1,1,IF(Scharniere[[#This Row],[Einpressen]]=1,2,IF(Scharniere[[#This Row],[Quick]]=1,3,IF(Scharniere[[#This Row],[Werkzeuglos]]=1,4,0))))=select!$A$769,1,0)</f>
        <v>0</v>
      </c>
      <c r="U6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1" s="359">
        <f>IF(AND(Scharniere[[#This Row],[Scharnierart]]=4,Scharniere[[#This Row],[Gruppenschlüssel]]=select!$A$981)=TRUE,1,0)</f>
        <v>0</v>
      </c>
      <c r="W651" s="359">
        <f ca="1">IF(select!$O$1185&lt;6,1,0)</f>
        <v>1</v>
      </c>
      <c r="X651" s="359">
        <f>IF(select!$A$1012=IF(Scharniere[[#This Row],[mit Dämpfung]]=1,1,IF(Scharniere[[#This Row],[ohne Dämpfung]]=1,2,IF(Scharniere[[#This Row],[ohne Feder]]=1,3,0))),1,0)</f>
        <v>0</v>
      </c>
      <c r="Y651" s="359">
        <f>IF(Scharniere[[#This Row],[Bohrbild]]=select!$A$989,1,0)</f>
        <v>0</v>
      </c>
      <c r="Z651" s="359">
        <f>IF(IF(Scharniere[[#This Row],[Anschrauben]]=1,1,IF(Scharniere[[#This Row],[Einpressen]]=1,2,IF(Scharniere[[#This Row],[Quick]]=1,3,IF(Scharniere[[#This Row],[Werkzeuglos]]=1,4,0))))=select!$A$1003,1,0)</f>
        <v>0</v>
      </c>
      <c r="AA6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1" s="359">
        <f ca="1">IF(select!$K$980="*",Scharniere[[#This Row],[AG Ges2]],Scharniere[[#This Row],[AG Ges1]])</f>
        <v>0</v>
      </c>
      <c r="AE651" s="451">
        <f ca="1">IF(AND(Scharniere[[#This Row],[Scharnierart]]=select!$A$1485,Scharniere[[#This Row],[Gruppenschlüssel]]=select!$B$1485)=TRUE,1,0)</f>
        <v>0</v>
      </c>
      <c r="AF651" s="451">
        <f ca="1">IF(AND(Scharniere[[#This Row],[Scharnierart]]=select!$A$1486,Scharniere[[#This Row],[Gruppenschlüssel]]=select!$B$1486)=TRUE,1,0)</f>
        <v>0</v>
      </c>
      <c r="AG651" s="451">
        <f ca="1">IF(AND(Scharniere[[#This Row],[Scharnierart]]=select!$A$1487,Scharniere[[#This Row],[Gruppenschlüssel]]=select!$B$1487)=TRUE,1,0)</f>
        <v>0</v>
      </c>
      <c r="AH651" s="451">
        <f ca="1">IF(AND(Scharniere[[#This Row],[Scharnierart]]=select!$A$1488,Scharniere[[#This Row],[Gruppenschlüssel]]=select!$B$1488)=TRUE,1,0)</f>
        <v>0</v>
      </c>
      <c r="AI651" s="451">
        <f ca="1">IF(SUM(Scharniere[[#This Row],[konf Scharnier 1]:[konf Scharnier 4]])&gt;0,1,0)</f>
        <v>0</v>
      </c>
      <c r="AJ651" s="451"/>
      <c r="AK651" s="451"/>
      <c r="AL651" s="451"/>
      <c r="AM651" s="451"/>
      <c r="AN651" s="451"/>
      <c r="AO651" s="146">
        <v>1</v>
      </c>
      <c r="AP651" s="146">
        <v>4</v>
      </c>
      <c r="AQ651" s="10" t="str">
        <f ca="1">Sprache!$A$112</f>
        <v>Tiomos Scharnier TS Click-on</v>
      </c>
      <c r="AR651" t="str">
        <f ca="1">"95°, H-BB, K03, "&amp;Sprache!A181&amp;", ni"</f>
        <v>95°, H-BB, K03, Dübel, ni</v>
      </c>
      <c r="AS651" t="str">
        <f ca="1">Sprache!$A$103</f>
        <v>Tiomos Click-On Scharniere</v>
      </c>
      <c r="AT651">
        <v>3</v>
      </c>
      <c r="AU651" s="34" t="s">
        <v>10</v>
      </c>
      <c r="AV651">
        <v>95</v>
      </c>
      <c r="AW651" s="10">
        <v>1</v>
      </c>
      <c r="AX651">
        <v>0</v>
      </c>
      <c r="AY651">
        <v>0</v>
      </c>
      <c r="AZ651" s="10">
        <v>0</v>
      </c>
      <c r="BA651">
        <v>1</v>
      </c>
      <c r="BB651">
        <v>0</v>
      </c>
      <c r="BC651">
        <v>0</v>
      </c>
      <c r="BD651" s="143" t="s">
        <v>376</v>
      </c>
      <c r="BG651"/>
    </row>
    <row r="652" spans="1:59" ht="14.25" customHeight="1" x14ac:dyDescent="0.25">
      <c r="A652" s="37" t="str">
        <f>LEFT(Scharniere[[#This Row],[ArtikelNR]],4)</f>
        <v>F046</v>
      </c>
      <c r="B652" s="35" t="str">
        <f>MID(Scharniere[[#This Row],[ArtikelNR]],5,3)</f>
        <v>138</v>
      </c>
      <c r="C652" s="37" t="str">
        <f>RIGHT(Scharniere[[#This Row],[ArtikelNR]],3)</f>
        <v>814</v>
      </c>
      <c r="D652" s="35">
        <f>IF(AND(Scharniere[[#This Row],[Gruppenschlüssel]]=select!$A$44,Scharniere[[#This Row],[Scharnierart]]=1)=TRUE,1,0)</f>
        <v>0</v>
      </c>
      <c r="E6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2" s="35">
        <f>IF(select!$F$57=IF(Scharniere[[#This Row],[mit Dämpfung]]=1,1,IF(Scharniere[[#This Row],[ohne Dämpfung]]=1,2,IF(Scharniere[[#This Row],[ohne Feder]]=1,3,0))),1,0)</f>
        <v>1</v>
      </c>
      <c r="G652" s="35">
        <f>IF(Scharniere[[#This Row],[Bohrbild]]=select!$V$43,1,0)</f>
        <v>0</v>
      </c>
      <c r="H652" s="35">
        <f>IF(IF(Scharniere[[#This Row],[Anschrauben]]=1,1,IF(Scharniere[[#This Row],[Einpressen]]=1,2,IF(Scharniere[[#This Row],[Quick]]=1,3,IF(Scharniere[[#This Row],[Werkzeuglos]]=1,4,0))))=select!$F$48,1,0)</f>
        <v>1</v>
      </c>
      <c r="I6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2" s="149">
        <f>IF(AND(Scharniere[[#This Row],[Scharnierart]]=2,Scharniere[[#This Row],[Gruppenschlüssel]]=select!$A$318)=TRUE,1,0)</f>
        <v>0</v>
      </c>
      <c r="K652" s="221">
        <f ca="1">IF(select!$O$424&lt;6,1,0)</f>
        <v>1</v>
      </c>
      <c r="L652" s="139">
        <f>IF(select!$A$362=IF(Scharniere[[#This Row],[mit Dämpfung]]=1,1,IF(Scharniere[[#This Row],[ohne Dämpfung]]=1,2,IF(Scharniere[[#This Row],[ohne Feder]]=1,3,0))),1,0)</f>
        <v>0</v>
      </c>
      <c r="M652" s="135">
        <f>IF(Scharniere[[#This Row],[Bohrbild]]=select!$O$334,1,0)</f>
        <v>0</v>
      </c>
      <c r="N652" s="135">
        <f>IF(IF(Scharniere[[#This Row],[Anschrauben]]=1,1,IF(Scharniere[[#This Row],[Einpressen]]=1,2,IF(Scharniere[[#This Row],[Quick]]=1,3,IF(Scharniere[[#This Row],[Werkzeuglos]]=1,4,0))))=select!$E$362,1,0)</f>
        <v>0</v>
      </c>
      <c r="O6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2" s="298">
        <f>IF(AND(Scharniere[[#This Row],[Scharnierart]]=3,Scharniere[[#This Row],[Gruppenschlüssel]]=select!$A$747)=TRUE,1,0)</f>
        <v>0</v>
      </c>
      <c r="Q652" s="298">
        <f ca="1">IF(select!$O$945&lt;6,1,0)</f>
        <v>1</v>
      </c>
      <c r="R652" s="298">
        <f>IF(select!$A$778=IF(Scharniere[[#This Row],[mit Dämpfung]]=1,1,IF(Scharniere[[#This Row],[ohne Dämpfung]]=1,2,IF(Scharniere[[#This Row],[ohne Feder]]=1,3,0))),1,0)</f>
        <v>0</v>
      </c>
      <c r="S652" s="298">
        <f>IF(Scharniere[[#This Row],[Bohrbild]]=select!$A$755,1,0)</f>
        <v>0</v>
      </c>
      <c r="T652" s="298">
        <f>IF(IF(Scharniere[[#This Row],[Anschrauben]]=1,1,IF(Scharniere[[#This Row],[Einpressen]]=1,2,IF(Scharniere[[#This Row],[Quick]]=1,3,IF(Scharniere[[#This Row],[Werkzeuglos]]=1,4,0))))=select!$A$769,1,0)</f>
        <v>0</v>
      </c>
      <c r="U6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2" s="359">
        <f>IF(AND(Scharniere[[#This Row],[Scharnierart]]=4,Scharniere[[#This Row],[Gruppenschlüssel]]=select!$A$981)=TRUE,1,0)</f>
        <v>0</v>
      </c>
      <c r="W652" s="359">
        <f ca="1">IF(select!$O$1185&lt;6,1,0)</f>
        <v>1</v>
      </c>
      <c r="X652" s="359">
        <f>IF(select!$A$1012=IF(Scharniere[[#This Row],[mit Dämpfung]]=1,1,IF(Scharniere[[#This Row],[ohne Dämpfung]]=1,2,IF(Scharniere[[#This Row],[ohne Feder]]=1,3,0))),1,0)</f>
        <v>0</v>
      </c>
      <c r="Y652" s="359">
        <f>IF(Scharniere[[#This Row],[Bohrbild]]=select!$A$989,1,0)</f>
        <v>0</v>
      </c>
      <c r="Z652" s="359">
        <f>IF(IF(Scharniere[[#This Row],[Anschrauben]]=1,1,IF(Scharniere[[#This Row],[Einpressen]]=1,2,IF(Scharniere[[#This Row],[Quick]]=1,3,IF(Scharniere[[#This Row],[Werkzeuglos]]=1,4,0))))=select!$A$1003,1,0)</f>
        <v>0</v>
      </c>
      <c r="AA6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2" s="359">
        <f ca="1">IF(select!$K$980="*",Scharniere[[#This Row],[AG Ges2]],Scharniere[[#This Row],[AG Ges1]])</f>
        <v>0</v>
      </c>
      <c r="AE652" s="451">
        <f ca="1">IF(AND(Scharniere[[#This Row],[Scharnierart]]=select!$A$1485,Scharniere[[#This Row],[Gruppenschlüssel]]=select!$B$1485)=TRUE,1,0)</f>
        <v>0</v>
      </c>
      <c r="AF652" s="451">
        <f ca="1">IF(AND(Scharniere[[#This Row],[Scharnierart]]=select!$A$1486,Scharniere[[#This Row],[Gruppenschlüssel]]=select!$B$1486)=TRUE,1,0)</f>
        <v>0</v>
      </c>
      <c r="AG652" s="451">
        <f ca="1">IF(AND(Scharniere[[#This Row],[Scharnierart]]=select!$A$1487,Scharniere[[#This Row],[Gruppenschlüssel]]=select!$B$1487)=TRUE,1,0)</f>
        <v>0</v>
      </c>
      <c r="AH652" s="451">
        <f ca="1">IF(AND(Scharniere[[#This Row],[Scharnierart]]=select!$A$1488,Scharniere[[#This Row],[Gruppenschlüssel]]=select!$B$1488)=TRUE,1,0)</f>
        <v>0</v>
      </c>
      <c r="AI652" s="451">
        <f ca="1">IF(SUM(Scharniere[[#This Row],[konf Scharnier 1]:[konf Scharnier 4]])&gt;0,1,0)</f>
        <v>0</v>
      </c>
      <c r="AJ652" s="451"/>
      <c r="AK652" s="451"/>
      <c r="AL652" s="451"/>
      <c r="AM652" s="451"/>
      <c r="AN652" s="451"/>
      <c r="AO652" s="146">
        <v>1</v>
      </c>
      <c r="AP652" s="146">
        <v>4</v>
      </c>
      <c r="AQ652" s="10" t="str">
        <f ca="1">Sprache!$A$114</f>
        <v>Tiomos Scharnier TT Click-on</v>
      </c>
      <c r="AR652" t="str">
        <f ca="1">"95°, H-BB, K03, "&amp;Sprache!A181&amp;", ni"</f>
        <v>95°, H-BB, K03, Dübel, ni</v>
      </c>
      <c r="AS652" t="str">
        <f ca="1">Sprache!$A$103</f>
        <v>Tiomos Click-On Scharniere</v>
      </c>
      <c r="AT652">
        <v>3</v>
      </c>
      <c r="AU652" s="34" t="s">
        <v>10</v>
      </c>
      <c r="AV652">
        <v>95</v>
      </c>
      <c r="AW652" s="10">
        <v>0</v>
      </c>
      <c r="AX652">
        <v>0</v>
      </c>
      <c r="AY652">
        <v>1</v>
      </c>
      <c r="AZ652" s="10">
        <v>0</v>
      </c>
      <c r="BA652">
        <v>1</v>
      </c>
      <c r="BB652">
        <v>0</v>
      </c>
      <c r="BC652">
        <v>0</v>
      </c>
      <c r="BD652" s="143" t="s">
        <v>691</v>
      </c>
      <c r="BG652"/>
    </row>
    <row r="653" spans="1:59" ht="14.25" customHeight="1" x14ac:dyDescent="0.25">
      <c r="A653" s="37" t="str">
        <f>LEFT(Scharniere[[#This Row],[ArtikelNR]],4)</f>
        <v>F045</v>
      </c>
      <c r="B653" s="35" t="str">
        <f>MID(Scharniere[[#This Row],[ArtikelNR]],5,3)</f>
        <v>138</v>
      </c>
      <c r="C653" s="37" t="str">
        <f>RIGHT(Scharniere[[#This Row],[ArtikelNR]],3)</f>
        <v>688</v>
      </c>
      <c r="D653" s="35">
        <f>IF(AND(Scharniere[[#This Row],[Gruppenschlüssel]]=select!$A$44,Scharniere[[#This Row],[Scharnierart]]=1)=TRUE,1,0)</f>
        <v>0</v>
      </c>
      <c r="E6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3" s="35">
        <f>IF(select!$F$57=IF(Scharniere[[#This Row],[mit Dämpfung]]=1,1,IF(Scharniere[[#This Row],[ohne Dämpfung]]=1,2,IF(Scharniere[[#This Row],[ohne Feder]]=1,3,0))),1,0)</f>
        <v>0</v>
      </c>
      <c r="G653" s="35">
        <f>IF(Scharniere[[#This Row],[Bohrbild]]=select!$V$43,1,0)</f>
        <v>0</v>
      </c>
      <c r="H653" s="35">
        <f>IF(IF(Scharniere[[#This Row],[Anschrauben]]=1,1,IF(Scharniere[[#This Row],[Einpressen]]=1,2,IF(Scharniere[[#This Row],[Quick]]=1,3,IF(Scharniere[[#This Row],[Werkzeuglos]]=1,4,0))))=select!$F$48,1,0)</f>
        <v>0</v>
      </c>
      <c r="I6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3" s="149">
        <f>IF(AND(Scharniere[[#This Row],[Scharnierart]]=2,Scharniere[[#This Row],[Gruppenschlüssel]]=select!$A$318)=TRUE,1,0)</f>
        <v>0</v>
      </c>
      <c r="K653" s="221">
        <f ca="1">IF(select!$O$424&lt;6,1,0)</f>
        <v>1</v>
      </c>
      <c r="L653" s="139">
        <f>IF(select!$A$362=IF(Scharniere[[#This Row],[mit Dämpfung]]=1,1,IF(Scharniere[[#This Row],[ohne Dämpfung]]=1,2,IF(Scharniere[[#This Row],[ohne Feder]]=1,3,0))),1,0)</f>
        <v>0</v>
      </c>
      <c r="M653" s="135">
        <f>IF(Scharniere[[#This Row],[Bohrbild]]=select!$O$334,1,0)</f>
        <v>0</v>
      </c>
      <c r="N653" s="135">
        <f>IF(IF(Scharniere[[#This Row],[Anschrauben]]=1,1,IF(Scharniere[[#This Row],[Einpressen]]=1,2,IF(Scharniere[[#This Row],[Quick]]=1,3,IF(Scharniere[[#This Row],[Werkzeuglos]]=1,4,0))))=select!$E$362,1,0)</f>
        <v>1</v>
      </c>
      <c r="O6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3" s="298">
        <f>IF(AND(Scharniere[[#This Row],[Scharnierart]]=3,Scharniere[[#This Row],[Gruppenschlüssel]]=select!$A$747)=TRUE,1,0)</f>
        <v>0</v>
      </c>
      <c r="Q653" s="298">
        <f ca="1">IF(select!$O$945&lt;6,1,0)</f>
        <v>1</v>
      </c>
      <c r="R653" s="298">
        <f>IF(select!$A$778=IF(Scharniere[[#This Row],[mit Dämpfung]]=1,1,IF(Scharniere[[#This Row],[ohne Dämpfung]]=1,2,IF(Scharniere[[#This Row],[ohne Feder]]=1,3,0))),1,0)</f>
        <v>1</v>
      </c>
      <c r="S653" s="298">
        <f>IF(Scharniere[[#This Row],[Bohrbild]]=select!$A$755,1,0)</f>
        <v>0</v>
      </c>
      <c r="T653" s="298">
        <f>IF(IF(Scharniere[[#This Row],[Anschrauben]]=1,1,IF(Scharniere[[#This Row],[Einpressen]]=1,2,IF(Scharniere[[#This Row],[Quick]]=1,3,IF(Scharniere[[#This Row],[Werkzeuglos]]=1,4,0))))=select!$A$769,1,0)</f>
        <v>1</v>
      </c>
      <c r="U6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3" s="359">
        <f>IF(AND(Scharniere[[#This Row],[Scharnierart]]=4,Scharniere[[#This Row],[Gruppenschlüssel]]=select!$A$981)=TRUE,1,0)</f>
        <v>0</v>
      </c>
      <c r="W653" s="359">
        <f ca="1">IF(select!$O$1185&lt;6,1,0)</f>
        <v>1</v>
      </c>
      <c r="X653" s="359">
        <f>IF(select!$A$1012=IF(Scharniere[[#This Row],[mit Dämpfung]]=1,1,IF(Scharniere[[#This Row],[ohne Dämpfung]]=1,2,IF(Scharniere[[#This Row],[ohne Feder]]=1,3,0))),1,0)</f>
        <v>1</v>
      </c>
      <c r="Y653" s="359">
        <f>IF(Scharniere[[#This Row],[Bohrbild]]=select!$A$989,1,0)</f>
        <v>0</v>
      </c>
      <c r="Z653" s="359">
        <f>IF(IF(Scharniere[[#This Row],[Anschrauben]]=1,1,IF(Scharniere[[#This Row],[Einpressen]]=1,2,IF(Scharniere[[#This Row],[Quick]]=1,3,IF(Scharniere[[#This Row],[Werkzeuglos]]=1,4,0))))=select!$A$1003,1,0)</f>
        <v>1</v>
      </c>
      <c r="AA6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3" s="359">
        <f ca="1">IF(select!$K$980="*",Scharniere[[#This Row],[AG Ges2]],Scharniere[[#This Row],[AG Ges1]])</f>
        <v>0</v>
      </c>
      <c r="AE653" s="451">
        <f ca="1">IF(AND(Scharniere[[#This Row],[Scharnierart]]=select!$A$1485,Scharniere[[#This Row],[Gruppenschlüssel]]=select!$B$1485)=TRUE,1,0)</f>
        <v>0</v>
      </c>
      <c r="AF653" s="451">
        <f ca="1">IF(AND(Scharniere[[#This Row],[Scharnierart]]=select!$A$1486,Scharniere[[#This Row],[Gruppenschlüssel]]=select!$B$1486)=TRUE,1,0)</f>
        <v>0</v>
      </c>
      <c r="AG653" s="451">
        <f ca="1">IF(AND(Scharniere[[#This Row],[Scharnierart]]=select!$A$1487,Scharniere[[#This Row],[Gruppenschlüssel]]=select!$B$1487)=TRUE,1,0)</f>
        <v>0</v>
      </c>
      <c r="AH653" s="451">
        <f ca="1">IF(AND(Scharniere[[#This Row],[Scharnierart]]=select!$A$1488,Scharniere[[#This Row],[Gruppenschlüssel]]=select!$B$1488)=TRUE,1,0)</f>
        <v>0</v>
      </c>
      <c r="AI653" s="451">
        <f ca="1">IF(SUM(Scharniere[[#This Row],[konf Scharnier 1]:[konf Scharnier 4]])&gt;0,1,0)</f>
        <v>0</v>
      </c>
      <c r="AJ653" s="451"/>
      <c r="AK653" s="451"/>
      <c r="AL653" s="451"/>
      <c r="AM653" s="451"/>
      <c r="AN653" s="451"/>
      <c r="AO653" s="146">
        <v>1</v>
      </c>
      <c r="AP653" s="146">
        <v>4</v>
      </c>
      <c r="AQ653" s="10" t="str">
        <f ca="1">Sprache!$A$110</f>
        <v>Tiomos Scharnier T Click-on</v>
      </c>
      <c r="AR653" t="s">
        <v>371</v>
      </c>
      <c r="AS653" t="str">
        <f ca="1">Sprache!$A$103</f>
        <v>Tiomos Click-On Scharniere</v>
      </c>
      <c r="AT653">
        <v>3</v>
      </c>
      <c r="AU653" t="s">
        <v>10</v>
      </c>
      <c r="AV653">
        <v>95</v>
      </c>
      <c r="AW653" s="10">
        <v>0</v>
      </c>
      <c r="AX653">
        <v>1</v>
      </c>
      <c r="AY653">
        <v>0</v>
      </c>
      <c r="AZ653" s="10">
        <v>1</v>
      </c>
      <c r="BA653">
        <v>0</v>
      </c>
      <c r="BB653">
        <v>0</v>
      </c>
      <c r="BC653">
        <v>0</v>
      </c>
      <c r="BD653" s="143" t="s">
        <v>535</v>
      </c>
      <c r="BG653"/>
    </row>
    <row r="654" spans="1:59" ht="14.25" customHeight="1" x14ac:dyDescent="0.25">
      <c r="A654" s="37" t="str">
        <f>LEFT(Scharniere[[#This Row],[ArtikelNR]],4)</f>
        <v>F028</v>
      </c>
      <c r="B654" s="35" t="str">
        <f>MID(Scharniere[[#This Row],[ArtikelNR]],5,3)</f>
        <v>138</v>
      </c>
      <c r="C654" s="37" t="str">
        <f>RIGHT(Scharniere[[#This Row],[ArtikelNR]],3)</f>
        <v>750</v>
      </c>
      <c r="D654" s="35">
        <f>IF(AND(Scharniere[[#This Row],[Gruppenschlüssel]]=select!$A$44,Scharniere[[#This Row],[Scharnierart]]=1)=TRUE,1,0)</f>
        <v>0</v>
      </c>
      <c r="E6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4" s="35">
        <f>IF(select!$F$57=IF(Scharniere[[#This Row],[mit Dämpfung]]=1,1,IF(Scharniere[[#This Row],[ohne Dämpfung]]=1,2,IF(Scharniere[[#This Row],[ohne Feder]]=1,3,0))),1,0)</f>
        <v>0</v>
      </c>
      <c r="G654" s="35">
        <f>IF(Scharniere[[#This Row],[Bohrbild]]=select!$V$43,1,0)</f>
        <v>0</v>
      </c>
      <c r="H654" s="35">
        <f>IF(IF(Scharniere[[#This Row],[Anschrauben]]=1,1,IF(Scharniere[[#This Row],[Einpressen]]=1,2,IF(Scharniere[[#This Row],[Quick]]=1,3,IF(Scharniere[[#This Row],[Werkzeuglos]]=1,4,0))))=select!$F$48,1,0)</f>
        <v>0</v>
      </c>
      <c r="I6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4" s="149">
        <f>IF(AND(Scharniere[[#This Row],[Scharnierart]]=2,Scharniere[[#This Row],[Gruppenschlüssel]]=select!$A$318)=TRUE,1,0)</f>
        <v>0</v>
      </c>
      <c r="K654" s="221">
        <f ca="1">IF(select!$O$424&lt;6,1,0)</f>
        <v>1</v>
      </c>
      <c r="L654" s="139">
        <f>IF(select!$A$362=IF(Scharniere[[#This Row],[mit Dämpfung]]=1,1,IF(Scharniere[[#This Row],[ohne Dämpfung]]=1,2,IF(Scharniere[[#This Row],[ohne Feder]]=1,3,0))),1,0)</f>
        <v>1</v>
      </c>
      <c r="M654" s="135">
        <f>IF(Scharniere[[#This Row],[Bohrbild]]=select!$O$334,1,0)</f>
        <v>0</v>
      </c>
      <c r="N654" s="135">
        <f>IF(IF(Scharniere[[#This Row],[Anschrauben]]=1,1,IF(Scharniere[[#This Row],[Einpressen]]=1,2,IF(Scharniere[[#This Row],[Quick]]=1,3,IF(Scharniere[[#This Row],[Werkzeuglos]]=1,4,0))))=select!$E$362,1,0)</f>
        <v>1</v>
      </c>
      <c r="O6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4" s="298">
        <f>IF(AND(Scharniere[[#This Row],[Scharnierart]]=3,Scharniere[[#This Row],[Gruppenschlüssel]]=select!$A$747)=TRUE,1,0)</f>
        <v>0</v>
      </c>
      <c r="Q654" s="298">
        <f ca="1">IF(select!$O$945&lt;6,1,0)</f>
        <v>1</v>
      </c>
      <c r="R654" s="298">
        <f>IF(select!$A$778=IF(Scharniere[[#This Row],[mit Dämpfung]]=1,1,IF(Scharniere[[#This Row],[ohne Dämpfung]]=1,2,IF(Scharniere[[#This Row],[ohne Feder]]=1,3,0))),1,0)</f>
        <v>0</v>
      </c>
      <c r="S654" s="298">
        <f>IF(Scharniere[[#This Row],[Bohrbild]]=select!$A$755,1,0)</f>
        <v>0</v>
      </c>
      <c r="T654" s="298">
        <f>IF(IF(Scharniere[[#This Row],[Anschrauben]]=1,1,IF(Scharniere[[#This Row],[Einpressen]]=1,2,IF(Scharniere[[#This Row],[Quick]]=1,3,IF(Scharniere[[#This Row],[Werkzeuglos]]=1,4,0))))=select!$A$769,1,0)</f>
        <v>1</v>
      </c>
      <c r="U6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4" s="359">
        <f>IF(AND(Scharniere[[#This Row],[Scharnierart]]=4,Scharniere[[#This Row],[Gruppenschlüssel]]=select!$A$981)=TRUE,1,0)</f>
        <v>0</v>
      </c>
      <c r="W654" s="359">
        <f ca="1">IF(select!$O$1185&lt;6,1,0)</f>
        <v>1</v>
      </c>
      <c r="X654" s="359">
        <f>IF(select!$A$1012=IF(Scharniere[[#This Row],[mit Dämpfung]]=1,1,IF(Scharniere[[#This Row],[ohne Dämpfung]]=1,2,IF(Scharniere[[#This Row],[ohne Feder]]=1,3,0))),1,0)</f>
        <v>0</v>
      </c>
      <c r="Y654" s="359">
        <f>IF(Scharniere[[#This Row],[Bohrbild]]=select!$A$989,1,0)</f>
        <v>0</v>
      </c>
      <c r="Z654" s="359">
        <f>IF(IF(Scharniere[[#This Row],[Anschrauben]]=1,1,IF(Scharniere[[#This Row],[Einpressen]]=1,2,IF(Scharniere[[#This Row],[Quick]]=1,3,IF(Scharniere[[#This Row],[Werkzeuglos]]=1,4,0))))=select!$A$1003,1,0)</f>
        <v>1</v>
      </c>
      <c r="AA6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4" s="359">
        <f ca="1">IF(select!$K$980="*",Scharniere[[#This Row],[AG Ges2]],Scharniere[[#This Row],[AG Ges1]])</f>
        <v>0</v>
      </c>
      <c r="AE654" s="451">
        <f ca="1">IF(AND(Scharniere[[#This Row],[Scharnierart]]=select!$A$1485,Scharniere[[#This Row],[Gruppenschlüssel]]=select!$B$1485)=TRUE,1,0)</f>
        <v>0</v>
      </c>
      <c r="AF654" s="451">
        <f ca="1">IF(AND(Scharniere[[#This Row],[Scharnierart]]=select!$A$1486,Scharniere[[#This Row],[Gruppenschlüssel]]=select!$B$1486)=TRUE,1,0)</f>
        <v>0</v>
      </c>
      <c r="AG654" s="451">
        <f ca="1">IF(AND(Scharniere[[#This Row],[Scharnierart]]=select!$A$1487,Scharniere[[#This Row],[Gruppenschlüssel]]=select!$B$1487)=TRUE,1,0)</f>
        <v>0</v>
      </c>
      <c r="AH654" s="451">
        <f ca="1">IF(AND(Scharniere[[#This Row],[Scharnierart]]=select!$A$1488,Scharniere[[#This Row],[Gruppenschlüssel]]=select!$B$1488)=TRUE,1,0)</f>
        <v>0</v>
      </c>
      <c r="AI654" s="451">
        <f ca="1">IF(SUM(Scharniere[[#This Row],[konf Scharnier 1]:[konf Scharnier 4]])&gt;0,1,0)</f>
        <v>0</v>
      </c>
      <c r="AJ654" s="451"/>
      <c r="AK654" s="451"/>
      <c r="AL654" s="451"/>
      <c r="AM654" s="451"/>
      <c r="AN654" s="451"/>
      <c r="AO654" s="146">
        <v>1</v>
      </c>
      <c r="AP654" s="146">
        <v>4</v>
      </c>
      <c r="AQ654" s="10" t="str">
        <f ca="1">Sprache!$A$112</f>
        <v>Tiomos Scharnier TS Click-on</v>
      </c>
      <c r="AR654" t="s">
        <v>371</v>
      </c>
      <c r="AS654" t="str">
        <f ca="1">Sprache!$A$103</f>
        <v>Tiomos Click-On Scharniere</v>
      </c>
      <c r="AT654">
        <v>3</v>
      </c>
      <c r="AU654" t="s">
        <v>10</v>
      </c>
      <c r="AV654">
        <v>95</v>
      </c>
      <c r="AW654" s="10">
        <v>1</v>
      </c>
      <c r="AX654">
        <v>0</v>
      </c>
      <c r="AY654">
        <v>0</v>
      </c>
      <c r="AZ654" s="10">
        <v>1</v>
      </c>
      <c r="BA654">
        <v>0</v>
      </c>
      <c r="BB654">
        <v>0</v>
      </c>
      <c r="BC654">
        <v>0</v>
      </c>
      <c r="BD654" s="143" t="s">
        <v>370</v>
      </c>
      <c r="BG654"/>
    </row>
    <row r="655" spans="1:59" ht="14.25" customHeight="1" x14ac:dyDescent="0.25">
      <c r="A655" s="37" t="str">
        <f>LEFT(Scharniere[[#This Row],[ArtikelNR]],4)</f>
        <v>F046</v>
      </c>
      <c r="B655" s="35" t="str">
        <f>MID(Scharniere[[#This Row],[ArtikelNR]],5,3)</f>
        <v>138</v>
      </c>
      <c r="C655" s="37" t="str">
        <f>RIGHT(Scharniere[[#This Row],[ArtikelNR]],3)</f>
        <v>810</v>
      </c>
      <c r="D655" s="35">
        <f>IF(AND(Scharniere[[#This Row],[Gruppenschlüssel]]=select!$A$44,Scharniere[[#This Row],[Scharnierart]]=1)=TRUE,1,0)</f>
        <v>0</v>
      </c>
      <c r="E6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5" s="35">
        <f>IF(select!$F$57=IF(Scharniere[[#This Row],[mit Dämpfung]]=1,1,IF(Scharniere[[#This Row],[ohne Dämpfung]]=1,2,IF(Scharniere[[#This Row],[ohne Feder]]=1,3,0))),1,0)</f>
        <v>1</v>
      </c>
      <c r="G655" s="35">
        <f>IF(Scharniere[[#This Row],[Bohrbild]]=select!$V$43,1,0)</f>
        <v>0</v>
      </c>
      <c r="H655" s="35">
        <f>IF(IF(Scharniere[[#This Row],[Anschrauben]]=1,1,IF(Scharniere[[#This Row],[Einpressen]]=1,2,IF(Scharniere[[#This Row],[Quick]]=1,3,IF(Scharniere[[#This Row],[Werkzeuglos]]=1,4,0))))=select!$F$48,1,0)</f>
        <v>0</v>
      </c>
      <c r="I6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5" s="149">
        <f>IF(AND(Scharniere[[#This Row],[Scharnierart]]=2,Scharniere[[#This Row],[Gruppenschlüssel]]=select!$A$318)=TRUE,1,0)</f>
        <v>0</v>
      </c>
      <c r="K655" s="221">
        <f ca="1">IF(select!$O$424&lt;6,1,0)</f>
        <v>1</v>
      </c>
      <c r="L655" s="139">
        <f>IF(select!$A$362=IF(Scharniere[[#This Row],[mit Dämpfung]]=1,1,IF(Scharniere[[#This Row],[ohne Dämpfung]]=1,2,IF(Scharniere[[#This Row],[ohne Feder]]=1,3,0))),1,0)</f>
        <v>0</v>
      </c>
      <c r="M655" s="135">
        <f>IF(Scharniere[[#This Row],[Bohrbild]]=select!$O$334,1,0)</f>
        <v>0</v>
      </c>
      <c r="N655" s="135">
        <f>IF(IF(Scharniere[[#This Row],[Anschrauben]]=1,1,IF(Scharniere[[#This Row],[Einpressen]]=1,2,IF(Scharniere[[#This Row],[Quick]]=1,3,IF(Scharniere[[#This Row],[Werkzeuglos]]=1,4,0))))=select!$E$362,1,0)</f>
        <v>1</v>
      </c>
      <c r="O6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5" s="298">
        <f>IF(AND(Scharniere[[#This Row],[Scharnierart]]=3,Scharniere[[#This Row],[Gruppenschlüssel]]=select!$A$747)=TRUE,1,0)</f>
        <v>0</v>
      </c>
      <c r="Q655" s="298">
        <f ca="1">IF(select!$O$945&lt;6,1,0)</f>
        <v>1</v>
      </c>
      <c r="R655" s="298">
        <f>IF(select!$A$778=IF(Scharniere[[#This Row],[mit Dämpfung]]=1,1,IF(Scharniere[[#This Row],[ohne Dämpfung]]=1,2,IF(Scharniere[[#This Row],[ohne Feder]]=1,3,0))),1,0)</f>
        <v>0</v>
      </c>
      <c r="S655" s="298">
        <f>IF(Scharniere[[#This Row],[Bohrbild]]=select!$A$755,1,0)</f>
        <v>0</v>
      </c>
      <c r="T655" s="298">
        <f>IF(IF(Scharniere[[#This Row],[Anschrauben]]=1,1,IF(Scharniere[[#This Row],[Einpressen]]=1,2,IF(Scharniere[[#This Row],[Quick]]=1,3,IF(Scharniere[[#This Row],[Werkzeuglos]]=1,4,0))))=select!$A$769,1,0)</f>
        <v>1</v>
      </c>
      <c r="U6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5" s="359">
        <f>IF(AND(Scharniere[[#This Row],[Scharnierart]]=4,Scharniere[[#This Row],[Gruppenschlüssel]]=select!$A$981)=TRUE,1,0)</f>
        <v>0</v>
      </c>
      <c r="W655" s="359">
        <f ca="1">IF(select!$O$1185&lt;6,1,0)</f>
        <v>1</v>
      </c>
      <c r="X655" s="359">
        <f>IF(select!$A$1012=IF(Scharniere[[#This Row],[mit Dämpfung]]=1,1,IF(Scharniere[[#This Row],[ohne Dämpfung]]=1,2,IF(Scharniere[[#This Row],[ohne Feder]]=1,3,0))),1,0)</f>
        <v>0</v>
      </c>
      <c r="Y655" s="359">
        <f>IF(Scharniere[[#This Row],[Bohrbild]]=select!$A$989,1,0)</f>
        <v>0</v>
      </c>
      <c r="Z655" s="359">
        <f>IF(IF(Scharniere[[#This Row],[Anschrauben]]=1,1,IF(Scharniere[[#This Row],[Einpressen]]=1,2,IF(Scharniere[[#This Row],[Quick]]=1,3,IF(Scharniere[[#This Row],[Werkzeuglos]]=1,4,0))))=select!$A$1003,1,0)</f>
        <v>1</v>
      </c>
      <c r="AA6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5" s="359">
        <f ca="1">IF(select!$K$980="*",Scharniere[[#This Row],[AG Ges2]],Scharniere[[#This Row],[AG Ges1]])</f>
        <v>0</v>
      </c>
      <c r="AE655" s="451">
        <f ca="1">IF(AND(Scharniere[[#This Row],[Scharnierart]]=select!$A$1485,Scharniere[[#This Row],[Gruppenschlüssel]]=select!$B$1485)=TRUE,1,0)</f>
        <v>0</v>
      </c>
      <c r="AF655" s="451">
        <f ca="1">IF(AND(Scharniere[[#This Row],[Scharnierart]]=select!$A$1486,Scharniere[[#This Row],[Gruppenschlüssel]]=select!$B$1486)=TRUE,1,0)</f>
        <v>0</v>
      </c>
      <c r="AG655" s="451">
        <f ca="1">IF(AND(Scharniere[[#This Row],[Scharnierart]]=select!$A$1487,Scharniere[[#This Row],[Gruppenschlüssel]]=select!$B$1487)=TRUE,1,0)</f>
        <v>0</v>
      </c>
      <c r="AH655" s="451">
        <f ca="1">IF(AND(Scharniere[[#This Row],[Scharnierart]]=select!$A$1488,Scharniere[[#This Row],[Gruppenschlüssel]]=select!$B$1488)=TRUE,1,0)</f>
        <v>0</v>
      </c>
      <c r="AI655" s="451">
        <f ca="1">IF(SUM(Scharniere[[#This Row],[konf Scharnier 1]:[konf Scharnier 4]])&gt;0,1,0)</f>
        <v>0</v>
      </c>
      <c r="AJ655" s="451"/>
      <c r="AK655" s="451"/>
      <c r="AL655" s="451"/>
      <c r="AM655" s="451"/>
      <c r="AN655" s="451"/>
      <c r="AO655" s="146">
        <v>1</v>
      </c>
      <c r="AP655" s="146">
        <v>4</v>
      </c>
      <c r="AQ655" s="10" t="str">
        <f ca="1">Sprache!$A$114</f>
        <v>Tiomos Scharnier TT Click-on</v>
      </c>
      <c r="AR655" t="s">
        <v>371</v>
      </c>
      <c r="AS655" t="str">
        <f ca="1">Sprache!$A$103</f>
        <v>Tiomos Click-On Scharniere</v>
      </c>
      <c r="AT655">
        <v>3</v>
      </c>
      <c r="AU655" t="s">
        <v>10</v>
      </c>
      <c r="AV655">
        <v>95</v>
      </c>
      <c r="AW655" s="10">
        <v>0</v>
      </c>
      <c r="AX655">
        <v>0</v>
      </c>
      <c r="AY655">
        <v>1</v>
      </c>
      <c r="AZ655" s="10">
        <v>1</v>
      </c>
      <c r="BA655">
        <v>0</v>
      </c>
      <c r="BB655">
        <v>0</v>
      </c>
      <c r="BC655">
        <v>0</v>
      </c>
      <c r="BD655" s="143" t="s">
        <v>687</v>
      </c>
      <c r="BG655"/>
    </row>
    <row r="656" spans="1:59" ht="14.25" customHeight="1" x14ac:dyDescent="0.25">
      <c r="A656" s="37" t="str">
        <f>LEFT(Scharniere[[#This Row],[ArtikelNR]],4)</f>
        <v>F034</v>
      </c>
      <c r="B656" s="35" t="str">
        <f>MID(Scharniere[[#This Row],[ArtikelNR]],5,3)</f>
        <v>139</v>
      </c>
      <c r="C656" s="37" t="str">
        <f>RIGHT(Scharniere[[#This Row],[ArtikelNR]],3)</f>
        <v>495</v>
      </c>
      <c r="D656" s="35">
        <f>IF(AND(Scharniere[[#This Row],[Gruppenschlüssel]]=select!$A$44,Scharniere[[#This Row],[Scharnierart]]=1)=TRUE,1,0)</f>
        <v>0</v>
      </c>
      <c r="E6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6" s="35">
        <f>IF(select!$F$57=IF(Scharniere[[#This Row],[mit Dämpfung]]=1,1,IF(Scharniere[[#This Row],[ohne Dämpfung]]=1,2,IF(Scharniere[[#This Row],[ohne Feder]]=1,3,0))),1,0)</f>
        <v>0</v>
      </c>
      <c r="G656" s="35">
        <f>IF(Scharniere[[#This Row],[Bohrbild]]=select!$V$43,1,0)</f>
        <v>0</v>
      </c>
      <c r="H656" s="35">
        <f>IF(IF(Scharniere[[#This Row],[Anschrauben]]=1,1,IF(Scharniere[[#This Row],[Einpressen]]=1,2,IF(Scharniere[[#This Row],[Quick]]=1,3,IF(Scharniere[[#This Row],[Werkzeuglos]]=1,4,0))))=select!$F$48,1,0)</f>
        <v>0</v>
      </c>
      <c r="I6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6" s="149">
        <f>IF(AND(Scharniere[[#This Row],[Scharnierart]]=2,Scharniere[[#This Row],[Gruppenschlüssel]]=select!$A$318)=TRUE,1,0)</f>
        <v>0</v>
      </c>
      <c r="K656" s="221">
        <f ca="1">IF(select!$O$424&lt;6,1,0)</f>
        <v>1</v>
      </c>
      <c r="L656" s="139">
        <f>IF(select!$A$362=IF(Scharniere[[#This Row],[mit Dämpfung]]=1,1,IF(Scharniere[[#This Row],[ohne Dämpfung]]=1,2,IF(Scharniere[[#This Row],[ohne Feder]]=1,3,0))),1,0)</f>
        <v>0</v>
      </c>
      <c r="M656" s="135">
        <f>IF(Scharniere[[#This Row],[Bohrbild]]=select!$O$334,1,0)</f>
        <v>0</v>
      </c>
      <c r="N656" s="135">
        <f>IF(IF(Scharniere[[#This Row],[Anschrauben]]=1,1,IF(Scharniere[[#This Row],[Einpressen]]=1,2,IF(Scharniere[[#This Row],[Quick]]=1,3,IF(Scharniere[[#This Row],[Werkzeuglos]]=1,4,0))))=select!$E$362,1,0)</f>
        <v>0</v>
      </c>
      <c r="O6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6" s="298">
        <f>IF(AND(Scharniere[[#This Row],[Scharnierart]]=3,Scharniere[[#This Row],[Gruppenschlüssel]]=select!$A$747)=TRUE,1,0)</f>
        <v>0</v>
      </c>
      <c r="Q656" s="298">
        <f ca="1">IF(select!$O$945&lt;6,1,0)</f>
        <v>1</v>
      </c>
      <c r="R656" s="298">
        <f>IF(select!$A$778=IF(Scharniere[[#This Row],[mit Dämpfung]]=1,1,IF(Scharniere[[#This Row],[ohne Dämpfung]]=1,2,IF(Scharniere[[#This Row],[ohne Feder]]=1,3,0))),1,0)</f>
        <v>1</v>
      </c>
      <c r="S656" s="298">
        <f>IF(Scharniere[[#This Row],[Bohrbild]]=select!$A$755,1,0)</f>
        <v>0</v>
      </c>
      <c r="T656" s="298">
        <f>IF(IF(Scharniere[[#This Row],[Anschrauben]]=1,1,IF(Scharniere[[#This Row],[Einpressen]]=1,2,IF(Scharniere[[#This Row],[Quick]]=1,3,IF(Scharniere[[#This Row],[Werkzeuglos]]=1,4,0))))=select!$A$769,1,0)</f>
        <v>0</v>
      </c>
      <c r="U6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6" s="359">
        <f>IF(AND(Scharniere[[#This Row],[Scharnierart]]=4,Scharniere[[#This Row],[Gruppenschlüssel]]=select!$A$981)=TRUE,1,0)</f>
        <v>0</v>
      </c>
      <c r="W656" s="359">
        <f ca="1">IF(select!$O$1185&lt;6,1,0)</f>
        <v>1</v>
      </c>
      <c r="X656" s="359">
        <f>IF(select!$A$1012=IF(Scharniere[[#This Row],[mit Dämpfung]]=1,1,IF(Scharniere[[#This Row],[ohne Dämpfung]]=1,2,IF(Scharniere[[#This Row],[ohne Feder]]=1,3,0))),1,0)</f>
        <v>1</v>
      </c>
      <c r="Y656" s="359">
        <f>IF(Scharniere[[#This Row],[Bohrbild]]=select!$A$989,1,0)</f>
        <v>0</v>
      </c>
      <c r="Z656" s="359">
        <f>IF(IF(Scharniere[[#This Row],[Anschrauben]]=1,1,IF(Scharniere[[#This Row],[Einpressen]]=1,2,IF(Scharniere[[#This Row],[Quick]]=1,3,IF(Scharniere[[#This Row],[Werkzeuglos]]=1,4,0))))=select!$A$1003,1,0)</f>
        <v>0</v>
      </c>
      <c r="AA6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6" s="359">
        <f ca="1">IF(select!$K$980="*",Scharniere[[#This Row],[AG Ges2]],Scharniere[[#This Row],[AG Ges1]])</f>
        <v>0</v>
      </c>
      <c r="AE656" s="451">
        <f ca="1">IF(AND(Scharniere[[#This Row],[Scharnierart]]=select!$A$1485,Scharniere[[#This Row],[Gruppenschlüssel]]=select!$B$1485)=TRUE,1,0)</f>
        <v>0</v>
      </c>
      <c r="AF656" s="451">
        <f ca="1">IF(AND(Scharniere[[#This Row],[Scharnierart]]=select!$A$1486,Scharniere[[#This Row],[Gruppenschlüssel]]=select!$B$1486)=TRUE,1,0)</f>
        <v>0</v>
      </c>
      <c r="AG656" s="451">
        <f ca="1">IF(AND(Scharniere[[#This Row],[Scharnierart]]=select!$A$1487,Scharniere[[#This Row],[Gruppenschlüssel]]=select!$B$1487)=TRUE,1,0)</f>
        <v>0</v>
      </c>
      <c r="AH656" s="451">
        <f ca="1">IF(AND(Scharniere[[#This Row],[Scharnierart]]=select!$A$1488,Scharniere[[#This Row],[Gruppenschlüssel]]=select!$B$1488)=TRUE,1,0)</f>
        <v>0</v>
      </c>
      <c r="AI656" s="451">
        <f ca="1">IF(SUM(Scharniere[[#This Row],[konf Scharnier 1]:[konf Scharnier 4]])&gt;0,1,0)</f>
        <v>0</v>
      </c>
      <c r="AJ656" s="451"/>
      <c r="AK656" s="451"/>
      <c r="AL656" s="451"/>
      <c r="AM656" s="451"/>
      <c r="AN656" s="451"/>
      <c r="AO656" s="146">
        <v>1</v>
      </c>
      <c r="AP656" s="146">
        <v>4</v>
      </c>
      <c r="AQ656" s="10" t="str">
        <f ca="1">Sprache!$A$111</f>
        <v>Tiomos Scharnier T Impresso</v>
      </c>
      <c r="AR656" t="s">
        <v>129</v>
      </c>
      <c r="AS656" t="str">
        <f ca="1">Sprache!$A$116</f>
        <v>Tiomos Impresso Scharniere</v>
      </c>
      <c r="AT656">
        <v>3</v>
      </c>
      <c r="AU656" t="s">
        <v>10</v>
      </c>
      <c r="AV656">
        <v>95</v>
      </c>
      <c r="AW656" s="10">
        <v>0</v>
      </c>
      <c r="AX656">
        <v>1</v>
      </c>
      <c r="AY656">
        <v>0</v>
      </c>
      <c r="AZ656" s="10">
        <v>0</v>
      </c>
      <c r="BA656">
        <v>0</v>
      </c>
      <c r="BB656">
        <v>0</v>
      </c>
      <c r="BC656">
        <v>1</v>
      </c>
      <c r="BD656" s="143" t="s">
        <v>176</v>
      </c>
      <c r="BG656"/>
    </row>
    <row r="657" spans="1:59" ht="14.25" customHeight="1" x14ac:dyDescent="0.25">
      <c r="A657" s="37" t="str">
        <f>LEFT(Scharniere[[#This Row],[ArtikelNR]],4)</f>
        <v>F034</v>
      </c>
      <c r="B657" s="35" t="str">
        <f>MID(Scharniere[[#This Row],[ArtikelNR]],5,3)</f>
        <v>139</v>
      </c>
      <c r="C657" s="37" t="str">
        <f>RIGHT(Scharniere[[#This Row],[ArtikelNR]],3)</f>
        <v>495</v>
      </c>
      <c r="D657" s="35">
        <f>IF(AND(Scharniere[[#This Row],[Gruppenschlüssel]]=select!$A$44,Scharniere[[#This Row],[Scharnierart]]=1)=TRUE,1,0)</f>
        <v>0</v>
      </c>
      <c r="E6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7" s="35">
        <f>IF(select!$F$57=IF(Scharniere[[#This Row],[mit Dämpfung]]=1,1,IF(Scharniere[[#This Row],[ohne Dämpfung]]=1,2,IF(Scharniere[[#This Row],[ohne Feder]]=1,3,0))),1,0)</f>
        <v>0</v>
      </c>
      <c r="G657" s="35">
        <f>IF(Scharniere[[#This Row],[Bohrbild]]=select!$V$43,1,0)</f>
        <v>0</v>
      </c>
      <c r="H657" s="35">
        <f>IF(IF(Scharniere[[#This Row],[Anschrauben]]=1,1,IF(Scharniere[[#This Row],[Einpressen]]=1,2,IF(Scharniere[[#This Row],[Quick]]=1,3,IF(Scharniere[[#This Row],[Werkzeuglos]]=1,4,0))))=select!$F$48,1,0)</f>
        <v>0</v>
      </c>
      <c r="I6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7" s="149">
        <f>IF(AND(Scharniere[[#This Row],[Scharnierart]]=2,Scharniere[[#This Row],[Gruppenschlüssel]]=select!$A$318)=TRUE,1,0)</f>
        <v>0</v>
      </c>
      <c r="K657" s="221">
        <f ca="1">IF(select!$O$424&lt;6,1,0)</f>
        <v>1</v>
      </c>
      <c r="L657" s="139">
        <f>IF(select!$A$362=IF(Scharniere[[#This Row],[mit Dämpfung]]=1,1,IF(Scharniere[[#This Row],[ohne Dämpfung]]=1,2,IF(Scharniere[[#This Row],[ohne Feder]]=1,3,0))),1,0)</f>
        <v>0</v>
      </c>
      <c r="M657" s="135">
        <f>IF(Scharniere[[#This Row],[Bohrbild]]=select!$O$334,1,0)</f>
        <v>0</v>
      </c>
      <c r="N657" s="135">
        <f>IF(IF(Scharniere[[#This Row],[Anschrauben]]=1,1,IF(Scharniere[[#This Row],[Einpressen]]=1,2,IF(Scharniere[[#This Row],[Quick]]=1,3,IF(Scharniere[[#This Row],[Werkzeuglos]]=1,4,0))))=select!$E$362,1,0)</f>
        <v>0</v>
      </c>
      <c r="O6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7" s="298">
        <f>IF(AND(Scharniere[[#This Row],[Scharnierart]]=3,Scharniere[[#This Row],[Gruppenschlüssel]]=select!$A$747)=TRUE,1,0)</f>
        <v>0</v>
      </c>
      <c r="Q657" s="298">
        <f ca="1">IF(select!$O$945&lt;6,1,0)</f>
        <v>1</v>
      </c>
      <c r="R657" s="298">
        <f>IF(select!$A$778=IF(Scharniere[[#This Row],[mit Dämpfung]]=1,1,IF(Scharniere[[#This Row],[ohne Dämpfung]]=1,2,IF(Scharniere[[#This Row],[ohne Feder]]=1,3,0))),1,0)</f>
        <v>1</v>
      </c>
      <c r="S657" s="298">
        <f>IF(Scharniere[[#This Row],[Bohrbild]]=select!$A$755,1,0)</f>
        <v>0</v>
      </c>
      <c r="T657" s="298">
        <f>IF(IF(Scharniere[[#This Row],[Anschrauben]]=1,1,IF(Scharniere[[#This Row],[Einpressen]]=1,2,IF(Scharniere[[#This Row],[Quick]]=1,3,IF(Scharniere[[#This Row],[Werkzeuglos]]=1,4,0))))=select!$A$769,1,0)</f>
        <v>0</v>
      </c>
      <c r="U6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7" s="359">
        <f>IF(AND(Scharniere[[#This Row],[Scharnierart]]=4,Scharniere[[#This Row],[Gruppenschlüssel]]=select!$A$981)=TRUE,1,0)</f>
        <v>0</v>
      </c>
      <c r="W657" s="359">
        <f ca="1">IF(select!$O$1185&lt;6,1,0)</f>
        <v>1</v>
      </c>
      <c r="X657" s="359">
        <f>IF(select!$A$1012=IF(Scharniere[[#This Row],[mit Dämpfung]]=1,1,IF(Scharniere[[#This Row],[ohne Dämpfung]]=1,2,IF(Scharniere[[#This Row],[ohne Feder]]=1,3,0))),1,0)</f>
        <v>1</v>
      </c>
      <c r="Y657" s="359">
        <f>IF(Scharniere[[#This Row],[Bohrbild]]=select!$A$989,1,0)</f>
        <v>0</v>
      </c>
      <c r="Z657" s="359">
        <f>IF(IF(Scharniere[[#This Row],[Anschrauben]]=1,1,IF(Scharniere[[#This Row],[Einpressen]]=1,2,IF(Scharniere[[#This Row],[Quick]]=1,3,IF(Scharniere[[#This Row],[Werkzeuglos]]=1,4,0))))=select!$A$1003,1,0)</f>
        <v>0</v>
      </c>
      <c r="AA6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7" s="359">
        <f ca="1">IF(select!$K$980="*",Scharniere[[#This Row],[AG Ges2]],Scharniere[[#This Row],[AG Ges1]])</f>
        <v>0</v>
      </c>
      <c r="AE657" s="451">
        <f ca="1">IF(AND(Scharniere[[#This Row],[Scharnierart]]=select!$A$1485,Scharniere[[#This Row],[Gruppenschlüssel]]=select!$B$1485)=TRUE,1,0)</f>
        <v>0</v>
      </c>
      <c r="AF657" s="451">
        <f ca="1">IF(AND(Scharniere[[#This Row],[Scharnierart]]=select!$A$1486,Scharniere[[#This Row],[Gruppenschlüssel]]=select!$B$1486)=TRUE,1,0)</f>
        <v>0</v>
      </c>
      <c r="AG657" s="451">
        <f ca="1">IF(AND(Scharniere[[#This Row],[Scharnierart]]=select!$A$1487,Scharniere[[#This Row],[Gruppenschlüssel]]=select!$B$1487)=TRUE,1,0)</f>
        <v>0</v>
      </c>
      <c r="AH657" s="451">
        <f ca="1">IF(AND(Scharniere[[#This Row],[Scharnierart]]=select!$A$1488,Scharniere[[#This Row],[Gruppenschlüssel]]=select!$B$1488)=TRUE,1,0)</f>
        <v>0</v>
      </c>
      <c r="AI657" s="451">
        <f ca="1">IF(SUM(Scharniere[[#This Row],[konf Scharnier 1]:[konf Scharnier 4]])&gt;0,1,0)</f>
        <v>0</v>
      </c>
      <c r="AJ657" s="451"/>
      <c r="AK657" s="451"/>
      <c r="AL657" s="451"/>
      <c r="AM657" s="451"/>
      <c r="AN657" s="451"/>
      <c r="AO657" s="146">
        <v>1</v>
      </c>
      <c r="AP657" s="146">
        <v>4</v>
      </c>
      <c r="AQ657" s="10" t="str">
        <f ca="1">Sprache!$A$111</f>
        <v>Tiomos Scharnier T Impresso</v>
      </c>
      <c r="AR657" t="s">
        <v>129</v>
      </c>
      <c r="AS657" t="str">
        <f ca="1">Sprache!$A$116</f>
        <v>Tiomos Impresso Scharniere</v>
      </c>
      <c r="AT657">
        <v>3</v>
      </c>
      <c r="AU657" t="s">
        <v>11</v>
      </c>
      <c r="AV657">
        <v>95</v>
      </c>
      <c r="AW657" s="10">
        <v>0</v>
      </c>
      <c r="AX657">
        <v>1</v>
      </c>
      <c r="AY657">
        <v>0</v>
      </c>
      <c r="AZ657" s="10">
        <v>0</v>
      </c>
      <c r="BA657">
        <v>0</v>
      </c>
      <c r="BB657">
        <v>0</v>
      </c>
      <c r="BC657">
        <v>1</v>
      </c>
      <c r="BD657" s="143" t="s">
        <v>176</v>
      </c>
      <c r="BG657"/>
    </row>
    <row r="658" spans="1:59" ht="14.25" customHeight="1" x14ac:dyDescent="0.25">
      <c r="A658" s="37" t="str">
        <f>LEFT(Scharniere[[#This Row],[ArtikelNR]],4)</f>
        <v>F017</v>
      </c>
      <c r="B658" s="35" t="str">
        <f>MID(Scharniere[[#This Row],[ArtikelNR]],5,3)</f>
        <v>139</v>
      </c>
      <c r="C658" s="37" t="str">
        <f>RIGHT(Scharniere[[#This Row],[ArtikelNR]],3)</f>
        <v>524</v>
      </c>
      <c r="D658" s="35">
        <f>IF(AND(Scharniere[[#This Row],[Gruppenschlüssel]]=select!$A$44,Scharniere[[#This Row],[Scharnierart]]=1)=TRUE,1,0)</f>
        <v>0</v>
      </c>
      <c r="E6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8" s="35">
        <f>IF(select!$F$57=IF(Scharniere[[#This Row],[mit Dämpfung]]=1,1,IF(Scharniere[[#This Row],[ohne Dämpfung]]=1,2,IF(Scharniere[[#This Row],[ohne Feder]]=1,3,0))),1,0)</f>
        <v>0</v>
      </c>
      <c r="G658" s="35">
        <f>IF(Scharniere[[#This Row],[Bohrbild]]=select!$V$43,1,0)</f>
        <v>0</v>
      </c>
      <c r="H658" s="35">
        <f>IF(IF(Scharniere[[#This Row],[Anschrauben]]=1,1,IF(Scharniere[[#This Row],[Einpressen]]=1,2,IF(Scharniere[[#This Row],[Quick]]=1,3,IF(Scharniere[[#This Row],[Werkzeuglos]]=1,4,0))))=select!$F$48,1,0)</f>
        <v>0</v>
      </c>
      <c r="I6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8" s="149">
        <f>IF(AND(Scharniere[[#This Row],[Scharnierart]]=2,Scharniere[[#This Row],[Gruppenschlüssel]]=select!$A$318)=TRUE,1,0)</f>
        <v>0</v>
      </c>
      <c r="K658" s="221">
        <f ca="1">IF(select!$O$424&lt;6,1,0)</f>
        <v>1</v>
      </c>
      <c r="L658" s="139">
        <f>IF(select!$A$362=IF(Scharniere[[#This Row],[mit Dämpfung]]=1,1,IF(Scharniere[[#This Row],[ohne Dämpfung]]=1,2,IF(Scharniere[[#This Row],[ohne Feder]]=1,3,0))),1,0)</f>
        <v>1</v>
      </c>
      <c r="M658" s="135">
        <f>IF(Scharniere[[#This Row],[Bohrbild]]=select!$O$334,1,0)</f>
        <v>0</v>
      </c>
      <c r="N658" s="135">
        <f>IF(IF(Scharniere[[#This Row],[Anschrauben]]=1,1,IF(Scharniere[[#This Row],[Einpressen]]=1,2,IF(Scharniere[[#This Row],[Quick]]=1,3,IF(Scharniere[[#This Row],[Werkzeuglos]]=1,4,0))))=select!$E$362,1,0)</f>
        <v>0</v>
      </c>
      <c r="O6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8" s="298">
        <f>IF(AND(Scharniere[[#This Row],[Scharnierart]]=3,Scharniere[[#This Row],[Gruppenschlüssel]]=select!$A$747)=TRUE,1,0)</f>
        <v>0</v>
      </c>
      <c r="Q658" s="298">
        <f ca="1">IF(select!$O$945&lt;6,1,0)</f>
        <v>1</v>
      </c>
      <c r="R658" s="298">
        <f>IF(select!$A$778=IF(Scharniere[[#This Row],[mit Dämpfung]]=1,1,IF(Scharniere[[#This Row],[ohne Dämpfung]]=1,2,IF(Scharniere[[#This Row],[ohne Feder]]=1,3,0))),1,0)</f>
        <v>0</v>
      </c>
      <c r="S658" s="298">
        <f>IF(Scharniere[[#This Row],[Bohrbild]]=select!$A$755,1,0)</f>
        <v>0</v>
      </c>
      <c r="T658" s="298">
        <f>IF(IF(Scharniere[[#This Row],[Anschrauben]]=1,1,IF(Scharniere[[#This Row],[Einpressen]]=1,2,IF(Scharniere[[#This Row],[Quick]]=1,3,IF(Scharniere[[#This Row],[Werkzeuglos]]=1,4,0))))=select!$A$769,1,0)</f>
        <v>0</v>
      </c>
      <c r="U6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8" s="359">
        <f>IF(AND(Scharniere[[#This Row],[Scharnierart]]=4,Scharniere[[#This Row],[Gruppenschlüssel]]=select!$A$981)=TRUE,1,0)</f>
        <v>0</v>
      </c>
      <c r="W658" s="359">
        <f ca="1">IF(select!$O$1185&lt;6,1,0)</f>
        <v>1</v>
      </c>
      <c r="X658" s="359">
        <f>IF(select!$A$1012=IF(Scharniere[[#This Row],[mit Dämpfung]]=1,1,IF(Scharniere[[#This Row],[ohne Dämpfung]]=1,2,IF(Scharniere[[#This Row],[ohne Feder]]=1,3,0))),1,0)</f>
        <v>0</v>
      </c>
      <c r="Y658" s="359">
        <f>IF(Scharniere[[#This Row],[Bohrbild]]=select!$A$989,1,0)</f>
        <v>0</v>
      </c>
      <c r="Z658" s="359">
        <f>IF(IF(Scharniere[[#This Row],[Anschrauben]]=1,1,IF(Scharniere[[#This Row],[Einpressen]]=1,2,IF(Scharniere[[#This Row],[Quick]]=1,3,IF(Scharniere[[#This Row],[Werkzeuglos]]=1,4,0))))=select!$A$1003,1,0)</f>
        <v>0</v>
      </c>
      <c r="AA6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8" s="359">
        <f ca="1">IF(select!$K$980="*",Scharniere[[#This Row],[AG Ges2]],Scharniere[[#This Row],[AG Ges1]])</f>
        <v>0</v>
      </c>
      <c r="AE658" s="451">
        <f ca="1">IF(AND(Scharniere[[#This Row],[Scharnierart]]=select!$A$1485,Scharniere[[#This Row],[Gruppenschlüssel]]=select!$B$1485)=TRUE,1,0)</f>
        <v>0</v>
      </c>
      <c r="AF658" s="451">
        <f ca="1">IF(AND(Scharniere[[#This Row],[Scharnierart]]=select!$A$1486,Scharniere[[#This Row],[Gruppenschlüssel]]=select!$B$1486)=TRUE,1,0)</f>
        <v>0</v>
      </c>
      <c r="AG658" s="451">
        <f ca="1">IF(AND(Scharniere[[#This Row],[Scharnierart]]=select!$A$1487,Scharniere[[#This Row],[Gruppenschlüssel]]=select!$B$1487)=TRUE,1,0)</f>
        <v>0</v>
      </c>
      <c r="AH658" s="451">
        <f ca="1">IF(AND(Scharniere[[#This Row],[Scharnierart]]=select!$A$1488,Scharniere[[#This Row],[Gruppenschlüssel]]=select!$B$1488)=TRUE,1,0)</f>
        <v>0</v>
      </c>
      <c r="AI658" s="451">
        <f ca="1">IF(SUM(Scharniere[[#This Row],[konf Scharnier 1]:[konf Scharnier 4]])&gt;0,1,0)</f>
        <v>0</v>
      </c>
      <c r="AJ658" s="451"/>
      <c r="AK658" s="451"/>
      <c r="AL658" s="451"/>
      <c r="AM658" s="451"/>
      <c r="AN658" s="451"/>
      <c r="AO658" s="146">
        <v>1</v>
      </c>
      <c r="AP658" s="146">
        <v>4</v>
      </c>
      <c r="AQ658" s="10" t="str">
        <f ca="1">Sprache!$A$113</f>
        <v>Tiomos Scharnier TS Impresso</v>
      </c>
      <c r="AR658" t="s">
        <v>129</v>
      </c>
      <c r="AS658" t="str">
        <f ca="1">Sprache!$A$116</f>
        <v>Tiomos Impresso Scharniere</v>
      </c>
      <c r="AT658">
        <v>3</v>
      </c>
      <c r="AU658" t="s">
        <v>10</v>
      </c>
      <c r="AV658">
        <v>95</v>
      </c>
      <c r="AW658" s="10">
        <v>1</v>
      </c>
      <c r="AX658">
        <v>0</v>
      </c>
      <c r="AY658">
        <v>0</v>
      </c>
      <c r="AZ658" s="10">
        <v>0</v>
      </c>
      <c r="BA658">
        <v>0</v>
      </c>
      <c r="BB658">
        <v>0</v>
      </c>
      <c r="BC658">
        <v>1</v>
      </c>
      <c r="BD658" s="143" t="s">
        <v>128</v>
      </c>
      <c r="BG658"/>
    </row>
    <row r="659" spans="1:59" ht="14.25" customHeight="1" x14ac:dyDescent="0.25">
      <c r="A659" s="37" t="str">
        <f>LEFT(Scharniere[[#This Row],[ArtikelNR]],4)</f>
        <v>F017</v>
      </c>
      <c r="B659" s="35" t="str">
        <f>MID(Scharniere[[#This Row],[ArtikelNR]],5,3)</f>
        <v>139</v>
      </c>
      <c r="C659" s="37" t="str">
        <f>RIGHT(Scharniere[[#This Row],[ArtikelNR]],3)</f>
        <v>524</v>
      </c>
      <c r="D659" s="35">
        <f>IF(AND(Scharniere[[#This Row],[Gruppenschlüssel]]=select!$A$44,Scharniere[[#This Row],[Scharnierart]]=1)=TRUE,1,0)</f>
        <v>0</v>
      </c>
      <c r="E6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59" s="35">
        <f>IF(select!$F$57=IF(Scharniere[[#This Row],[mit Dämpfung]]=1,1,IF(Scharniere[[#This Row],[ohne Dämpfung]]=1,2,IF(Scharniere[[#This Row],[ohne Feder]]=1,3,0))),1,0)</f>
        <v>0</v>
      </c>
      <c r="G659" s="35">
        <f>IF(Scharniere[[#This Row],[Bohrbild]]=select!$V$43,1,0)</f>
        <v>0</v>
      </c>
      <c r="H659" s="35">
        <f>IF(IF(Scharniere[[#This Row],[Anschrauben]]=1,1,IF(Scharniere[[#This Row],[Einpressen]]=1,2,IF(Scharniere[[#This Row],[Quick]]=1,3,IF(Scharniere[[#This Row],[Werkzeuglos]]=1,4,0))))=select!$F$48,1,0)</f>
        <v>0</v>
      </c>
      <c r="I6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59" s="149">
        <f>IF(AND(Scharniere[[#This Row],[Scharnierart]]=2,Scharniere[[#This Row],[Gruppenschlüssel]]=select!$A$318)=TRUE,1,0)</f>
        <v>0</v>
      </c>
      <c r="K659" s="221">
        <f ca="1">IF(select!$O$424&lt;6,1,0)</f>
        <v>1</v>
      </c>
      <c r="L659" s="139">
        <f>IF(select!$A$362=IF(Scharniere[[#This Row],[mit Dämpfung]]=1,1,IF(Scharniere[[#This Row],[ohne Dämpfung]]=1,2,IF(Scharniere[[#This Row],[ohne Feder]]=1,3,0))),1,0)</f>
        <v>1</v>
      </c>
      <c r="M659" s="135">
        <f>IF(Scharniere[[#This Row],[Bohrbild]]=select!$O$334,1,0)</f>
        <v>0</v>
      </c>
      <c r="N659" s="135">
        <f>IF(IF(Scharniere[[#This Row],[Anschrauben]]=1,1,IF(Scharniere[[#This Row],[Einpressen]]=1,2,IF(Scharniere[[#This Row],[Quick]]=1,3,IF(Scharniere[[#This Row],[Werkzeuglos]]=1,4,0))))=select!$E$362,1,0)</f>
        <v>0</v>
      </c>
      <c r="O6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59" s="298">
        <f>IF(AND(Scharniere[[#This Row],[Scharnierart]]=3,Scharniere[[#This Row],[Gruppenschlüssel]]=select!$A$747)=TRUE,1,0)</f>
        <v>0</v>
      </c>
      <c r="Q659" s="298">
        <f ca="1">IF(select!$O$945&lt;6,1,0)</f>
        <v>1</v>
      </c>
      <c r="R659" s="298">
        <f>IF(select!$A$778=IF(Scharniere[[#This Row],[mit Dämpfung]]=1,1,IF(Scharniere[[#This Row],[ohne Dämpfung]]=1,2,IF(Scharniere[[#This Row],[ohne Feder]]=1,3,0))),1,0)</f>
        <v>0</v>
      </c>
      <c r="S659" s="298">
        <f>IF(Scharniere[[#This Row],[Bohrbild]]=select!$A$755,1,0)</f>
        <v>0</v>
      </c>
      <c r="T659" s="298">
        <f>IF(IF(Scharniere[[#This Row],[Anschrauben]]=1,1,IF(Scharniere[[#This Row],[Einpressen]]=1,2,IF(Scharniere[[#This Row],[Quick]]=1,3,IF(Scharniere[[#This Row],[Werkzeuglos]]=1,4,0))))=select!$A$769,1,0)</f>
        <v>0</v>
      </c>
      <c r="U6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59" s="359">
        <f>IF(AND(Scharniere[[#This Row],[Scharnierart]]=4,Scharniere[[#This Row],[Gruppenschlüssel]]=select!$A$981)=TRUE,1,0)</f>
        <v>0</v>
      </c>
      <c r="W659" s="359">
        <f ca="1">IF(select!$O$1185&lt;6,1,0)</f>
        <v>1</v>
      </c>
      <c r="X659" s="359">
        <f>IF(select!$A$1012=IF(Scharniere[[#This Row],[mit Dämpfung]]=1,1,IF(Scharniere[[#This Row],[ohne Dämpfung]]=1,2,IF(Scharniere[[#This Row],[ohne Feder]]=1,3,0))),1,0)</f>
        <v>0</v>
      </c>
      <c r="Y659" s="359">
        <f>IF(Scharniere[[#This Row],[Bohrbild]]=select!$A$989,1,0)</f>
        <v>0</v>
      </c>
      <c r="Z659" s="359">
        <f>IF(IF(Scharniere[[#This Row],[Anschrauben]]=1,1,IF(Scharniere[[#This Row],[Einpressen]]=1,2,IF(Scharniere[[#This Row],[Quick]]=1,3,IF(Scharniere[[#This Row],[Werkzeuglos]]=1,4,0))))=select!$A$1003,1,0)</f>
        <v>0</v>
      </c>
      <c r="AA6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59" s="359">
        <f ca="1">IF(select!$K$980="*",Scharniere[[#This Row],[AG Ges2]],Scharniere[[#This Row],[AG Ges1]])</f>
        <v>0</v>
      </c>
      <c r="AE659" s="451">
        <f ca="1">IF(AND(Scharniere[[#This Row],[Scharnierart]]=select!$A$1485,Scharniere[[#This Row],[Gruppenschlüssel]]=select!$B$1485)=TRUE,1,0)</f>
        <v>0</v>
      </c>
      <c r="AF659" s="451">
        <f ca="1">IF(AND(Scharniere[[#This Row],[Scharnierart]]=select!$A$1486,Scharniere[[#This Row],[Gruppenschlüssel]]=select!$B$1486)=TRUE,1,0)</f>
        <v>0</v>
      </c>
      <c r="AG659" s="451">
        <f ca="1">IF(AND(Scharniere[[#This Row],[Scharnierart]]=select!$A$1487,Scharniere[[#This Row],[Gruppenschlüssel]]=select!$B$1487)=TRUE,1,0)</f>
        <v>0</v>
      </c>
      <c r="AH659" s="451">
        <f ca="1">IF(AND(Scharniere[[#This Row],[Scharnierart]]=select!$A$1488,Scharniere[[#This Row],[Gruppenschlüssel]]=select!$B$1488)=TRUE,1,0)</f>
        <v>0</v>
      </c>
      <c r="AI659" s="451">
        <f ca="1">IF(SUM(Scharniere[[#This Row],[konf Scharnier 1]:[konf Scharnier 4]])&gt;0,1,0)</f>
        <v>0</v>
      </c>
      <c r="AJ659" s="451"/>
      <c r="AK659" s="451"/>
      <c r="AL659" s="451"/>
      <c r="AM659" s="451"/>
      <c r="AN659" s="451"/>
      <c r="AO659" s="146">
        <v>1</v>
      </c>
      <c r="AP659" s="146">
        <v>4</v>
      </c>
      <c r="AQ659" s="10" t="str">
        <f ca="1">Sprache!$A$113</f>
        <v>Tiomos Scharnier TS Impresso</v>
      </c>
      <c r="AR659" t="s">
        <v>129</v>
      </c>
      <c r="AS659" t="str">
        <f ca="1">Sprache!$A$116</f>
        <v>Tiomos Impresso Scharniere</v>
      </c>
      <c r="AT659">
        <v>3</v>
      </c>
      <c r="AU659" t="s">
        <v>11</v>
      </c>
      <c r="AV659">
        <v>95</v>
      </c>
      <c r="AW659" s="10">
        <v>1</v>
      </c>
      <c r="AX659">
        <v>0</v>
      </c>
      <c r="AY659">
        <v>0</v>
      </c>
      <c r="AZ659" s="10">
        <v>0</v>
      </c>
      <c r="BA659">
        <v>0</v>
      </c>
      <c r="BB659">
        <v>0</v>
      </c>
      <c r="BC659">
        <v>1</v>
      </c>
      <c r="BD659" s="143" t="s">
        <v>128</v>
      </c>
      <c r="BG659"/>
    </row>
    <row r="660" spans="1:59" ht="14.25" customHeight="1" x14ac:dyDescent="0.25">
      <c r="A660" s="37" t="str">
        <f>LEFT(Scharniere[[#This Row],[ArtikelNR]],4)</f>
        <v>F035</v>
      </c>
      <c r="B660" s="35" t="str">
        <f>MID(Scharniere[[#This Row],[ArtikelNR]],5,3)</f>
        <v>139</v>
      </c>
      <c r="C660" s="37" t="str">
        <f>RIGHT(Scharniere[[#This Row],[ArtikelNR]],3)</f>
        <v>552</v>
      </c>
      <c r="D660" s="35">
        <f>IF(AND(Scharniere[[#This Row],[Gruppenschlüssel]]=select!$A$44,Scharniere[[#This Row],[Scharnierart]]=1)=TRUE,1,0)</f>
        <v>0</v>
      </c>
      <c r="E6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0" s="35">
        <f>IF(select!$F$57=IF(Scharniere[[#This Row],[mit Dämpfung]]=1,1,IF(Scharniere[[#This Row],[ohne Dämpfung]]=1,2,IF(Scharniere[[#This Row],[ohne Feder]]=1,3,0))),1,0)</f>
        <v>1</v>
      </c>
      <c r="G660" s="35">
        <f>IF(Scharniere[[#This Row],[Bohrbild]]=select!$V$43,1,0)</f>
        <v>0</v>
      </c>
      <c r="H660" s="35">
        <f>IF(IF(Scharniere[[#This Row],[Anschrauben]]=1,1,IF(Scharniere[[#This Row],[Einpressen]]=1,2,IF(Scharniere[[#This Row],[Quick]]=1,3,IF(Scharniere[[#This Row],[Werkzeuglos]]=1,4,0))))=select!$F$48,1,0)</f>
        <v>0</v>
      </c>
      <c r="I6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0" s="149">
        <f>IF(AND(Scharniere[[#This Row],[Scharnierart]]=2,Scharniere[[#This Row],[Gruppenschlüssel]]=select!$A$318)=TRUE,1,0)</f>
        <v>0</v>
      </c>
      <c r="K660" s="221">
        <f ca="1">IF(select!$O$424&lt;6,1,0)</f>
        <v>1</v>
      </c>
      <c r="L660" s="139">
        <f>IF(select!$A$362=IF(Scharniere[[#This Row],[mit Dämpfung]]=1,1,IF(Scharniere[[#This Row],[ohne Dämpfung]]=1,2,IF(Scharniere[[#This Row],[ohne Feder]]=1,3,0))),1,0)</f>
        <v>0</v>
      </c>
      <c r="M660" s="135">
        <f>IF(Scharniere[[#This Row],[Bohrbild]]=select!$O$334,1,0)</f>
        <v>0</v>
      </c>
      <c r="N660" s="135">
        <f>IF(IF(Scharniere[[#This Row],[Anschrauben]]=1,1,IF(Scharniere[[#This Row],[Einpressen]]=1,2,IF(Scharniere[[#This Row],[Quick]]=1,3,IF(Scharniere[[#This Row],[Werkzeuglos]]=1,4,0))))=select!$E$362,1,0)</f>
        <v>0</v>
      </c>
      <c r="O6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0" s="298">
        <f>IF(AND(Scharniere[[#This Row],[Scharnierart]]=3,Scharniere[[#This Row],[Gruppenschlüssel]]=select!$A$747)=TRUE,1,0)</f>
        <v>0</v>
      </c>
      <c r="Q660" s="298">
        <f ca="1">IF(select!$O$945&lt;6,1,0)</f>
        <v>1</v>
      </c>
      <c r="R660" s="298">
        <f>IF(select!$A$778=IF(Scharniere[[#This Row],[mit Dämpfung]]=1,1,IF(Scharniere[[#This Row],[ohne Dämpfung]]=1,2,IF(Scharniere[[#This Row],[ohne Feder]]=1,3,0))),1,0)</f>
        <v>0</v>
      </c>
      <c r="S660" s="298">
        <f>IF(Scharniere[[#This Row],[Bohrbild]]=select!$A$755,1,0)</f>
        <v>0</v>
      </c>
      <c r="T660" s="298">
        <f>IF(IF(Scharniere[[#This Row],[Anschrauben]]=1,1,IF(Scharniere[[#This Row],[Einpressen]]=1,2,IF(Scharniere[[#This Row],[Quick]]=1,3,IF(Scharniere[[#This Row],[Werkzeuglos]]=1,4,0))))=select!$A$769,1,0)</f>
        <v>0</v>
      </c>
      <c r="U6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0" s="359">
        <f>IF(AND(Scharniere[[#This Row],[Scharnierart]]=4,Scharniere[[#This Row],[Gruppenschlüssel]]=select!$A$981)=TRUE,1,0)</f>
        <v>0</v>
      </c>
      <c r="W660" s="359">
        <f ca="1">IF(select!$O$1185&lt;6,1,0)</f>
        <v>1</v>
      </c>
      <c r="X660" s="359">
        <f>IF(select!$A$1012=IF(Scharniere[[#This Row],[mit Dämpfung]]=1,1,IF(Scharniere[[#This Row],[ohne Dämpfung]]=1,2,IF(Scharniere[[#This Row],[ohne Feder]]=1,3,0))),1,0)</f>
        <v>0</v>
      </c>
      <c r="Y660" s="359">
        <f>IF(Scharniere[[#This Row],[Bohrbild]]=select!$A$989,1,0)</f>
        <v>0</v>
      </c>
      <c r="Z660" s="359">
        <f>IF(IF(Scharniere[[#This Row],[Anschrauben]]=1,1,IF(Scharniere[[#This Row],[Einpressen]]=1,2,IF(Scharniere[[#This Row],[Quick]]=1,3,IF(Scharniere[[#This Row],[Werkzeuglos]]=1,4,0))))=select!$A$1003,1,0)</f>
        <v>0</v>
      </c>
      <c r="AA6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0" s="359">
        <f ca="1">IF(select!$K$980="*",Scharniere[[#This Row],[AG Ges2]],Scharniere[[#This Row],[AG Ges1]])</f>
        <v>0</v>
      </c>
      <c r="AE660" s="451">
        <f ca="1">IF(AND(Scharniere[[#This Row],[Scharnierart]]=select!$A$1485,Scharniere[[#This Row],[Gruppenschlüssel]]=select!$B$1485)=TRUE,1,0)</f>
        <v>0</v>
      </c>
      <c r="AF660" s="451">
        <f ca="1">IF(AND(Scharniere[[#This Row],[Scharnierart]]=select!$A$1486,Scharniere[[#This Row],[Gruppenschlüssel]]=select!$B$1486)=TRUE,1,0)</f>
        <v>0</v>
      </c>
      <c r="AG660" s="451">
        <f ca="1">IF(AND(Scharniere[[#This Row],[Scharnierart]]=select!$A$1487,Scharniere[[#This Row],[Gruppenschlüssel]]=select!$B$1487)=TRUE,1,0)</f>
        <v>0</v>
      </c>
      <c r="AH660" s="451">
        <f ca="1">IF(AND(Scharniere[[#This Row],[Scharnierart]]=select!$A$1488,Scharniere[[#This Row],[Gruppenschlüssel]]=select!$B$1488)=TRUE,1,0)</f>
        <v>0</v>
      </c>
      <c r="AI660" s="451">
        <f ca="1">IF(SUM(Scharniere[[#This Row],[konf Scharnier 1]:[konf Scharnier 4]])&gt;0,1,0)</f>
        <v>0</v>
      </c>
      <c r="AJ660" s="451"/>
      <c r="AK660" s="451"/>
      <c r="AL660" s="451"/>
      <c r="AM660" s="451"/>
      <c r="AN660" s="451"/>
      <c r="AO660" s="146">
        <v>1</v>
      </c>
      <c r="AP660" s="146">
        <v>4</v>
      </c>
      <c r="AQ660" s="10" t="str">
        <f ca="1">Sprache!$A$115</f>
        <v>Tiomos Scharnier TT Impresso</v>
      </c>
      <c r="AR660" t="s">
        <v>129</v>
      </c>
      <c r="AS660" t="str">
        <f ca="1">Sprache!$A$116</f>
        <v>Tiomos Impresso Scharniere</v>
      </c>
      <c r="AT660">
        <v>3</v>
      </c>
      <c r="AU660" t="s">
        <v>10</v>
      </c>
      <c r="AV660">
        <v>95</v>
      </c>
      <c r="AW660" s="10">
        <v>0</v>
      </c>
      <c r="AX660">
        <v>0</v>
      </c>
      <c r="AY660">
        <v>1</v>
      </c>
      <c r="AZ660" s="10">
        <v>0</v>
      </c>
      <c r="BA660">
        <v>0</v>
      </c>
      <c r="BB660">
        <v>0</v>
      </c>
      <c r="BC660">
        <v>1</v>
      </c>
      <c r="BD660" s="143" t="s">
        <v>220</v>
      </c>
      <c r="BG660"/>
    </row>
    <row r="661" spans="1:59" ht="14.25" customHeight="1" x14ac:dyDescent="0.25">
      <c r="A661" s="37" t="str">
        <f>LEFT(Scharniere[[#This Row],[ArtikelNR]],4)</f>
        <v>F035</v>
      </c>
      <c r="B661" s="35" t="str">
        <f>MID(Scharniere[[#This Row],[ArtikelNR]],5,3)</f>
        <v>139</v>
      </c>
      <c r="C661" s="37" t="str">
        <f>RIGHT(Scharniere[[#This Row],[ArtikelNR]],3)</f>
        <v>552</v>
      </c>
      <c r="D661" s="35">
        <f>IF(AND(Scharniere[[#This Row],[Gruppenschlüssel]]=select!$A$44,Scharniere[[#This Row],[Scharnierart]]=1)=TRUE,1,0)</f>
        <v>0</v>
      </c>
      <c r="E6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1" s="35">
        <f>IF(select!$F$57=IF(Scharniere[[#This Row],[mit Dämpfung]]=1,1,IF(Scharniere[[#This Row],[ohne Dämpfung]]=1,2,IF(Scharniere[[#This Row],[ohne Feder]]=1,3,0))),1,0)</f>
        <v>1</v>
      </c>
      <c r="G661" s="35">
        <f>IF(Scharniere[[#This Row],[Bohrbild]]=select!$V$43,1,0)</f>
        <v>0</v>
      </c>
      <c r="H661" s="35">
        <f>IF(IF(Scharniere[[#This Row],[Anschrauben]]=1,1,IF(Scharniere[[#This Row],[Einpressen]]=1,2,IF(Scharniere[[#This Row],[Quick]]=1,3,IF(Scharniere[[#This Row],[Werkzeuglos]]=1,4,0))))=select!$F$48,1,0)</f>
        <v>0</v>
      </c>
      <c r="I6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1" s="149">
        <f>IF(AND(Scharniere[[#This Row],[Scharnierart]]=2,Scharniere[[#This Row],[Gruppenschlüssel]]=select!$A$318)=TRUE,1,0)</f>
        <v>0</v>
      </c>
      <c r="K661" s="221">
        <f ca="1">IF(select!$O$424&lt;6,1,0)</f>
        <v>1</v>
      </c>
      <c r="L661" s="139">
        <f>IF(select!$A$362=IF(Scharniere[[#This Row],[mit Dämpfung]]=1,1,IF(Scharniere[[#This Row],[ohne Dämpfung]]=1,2,IF(Scharniere[[#This Row],[ohne Feder]]=1,3,0))),1,0)</f>
        <v>0</v>
      </c>
      <c r="M661" s="135">
        <f>IF(Scharniere[[#This Row],[Bohrbild]]=select!$O$334,1,0)</f>
        <v>0</v>
      </c>
      <c r="N661" s="135">
        <f>IF(IF(Scharniere[[#This Row],[Anschrauben]]=1,1,IF(Scharniere[[#This Row],[Einpressen]]=1,2,IF(Scharniere[[#This Row],[Quick]]=1,3,IF(Scharniere[[#This Row],[Werkzeuglos]]=1,4,0))))=select!$E$362,1,0)</f>
        <v>0</v>
      </c>
      <c r="O6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1" s="298">
        <f>IF(AND(Scharniere[[#This Row],[Scharnierart]]=3,Scharniere[[#This Row],[Gruppenschlüssel]]=select!$A$747)=TRUE,1,0)</f>
        <v>0</v>
      </c>
      <c r="Q661" s="298">
        <f ca="1">IF(select!$O$945&lt;6,1,0)</f>
        <v>1</v>
      </c>
      <c r="R661" s="298">
        <f>IF(select!$A$778=IF(Scharniere[[#This Row],[mit Dämpfung]]=1,1,IF(Scharniere[[#This Row],[ohne Dämpfung]]=1,2,IF(Scharniere[[#This Row],[ohne Feder]]=1,3,0))),1,0)</f>
        <v>0</v>
      </c>
      <c r="S661" s="298">
        <f>IF(Scharniere[[#This Row],[Bohrbild]]=select!$A$755,1,0)</f>
        <v>0</v>
      </c>
      <c r="T661" s="298">
        <f>IF(IF(Scharniere[[#This Row],[Anschrauben]]=1,1,IF(Scharniere[[#This Row],[Einpressen]]=1,2,IF(Scharniere[[#This Row],[Quick]]=1,3,IF(Scharniere[[#This Row],[Werkzeuglos]]=1,4,0))))=select!$A$769,1,0)</f>
        <v>0</v>
      </c>
      <c r="U6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1" s="359">
        <f>IF(AND(Scharniere[[#This Row],[Scharnierart]]=4,Scharniere[[#This Row],[Gruppenschlüssel]]=select!$A$981)=TRUE,1,0)</f>
        <v>0</v>
      </c>
      <c r="W661" s="359">
        <f ca="1">IF(select!$O$1185&lt;6,1,0)</f>
        <v>1</v>
      </c>
      <c r="X661" s="359">
        <f>IF(select!$A$1012=IF(Scharniere[[#This Row],[mit Dämpfung]]=1,1,IF(Scharniere[[#This Row],[ohne Dämpfung]]=1,2,IF(Scharniere[[#This Row],[ohne Feder]]=1,3,0))),1,0)</f>
        <v>0</v>
      </c>
      <c r="Y661" s="359">
        <f>IF(Scharniere[[#This Row],[Bohrbild]]=select!$A$989,1,0)</f>
        <v>0</v>
      </c>
      <c r="Z661" s="359">
        <f>IF(IF(Scharniere[[#This Row],[Anschrauben]]=1,1,IF(Scharniere[[#This Row],[Einpressen]]=1,2,IF(Scharniere[[#This Row],[Quick]]=1,3,IF(Scharniere[[#This Row],[Werkzeuglos]]=1,4,0))))=select!$A$1003,1,0)</f>
        <v>0</v>
      </c>
      <c r="AA6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1" s="359">
        <f ca="1">IF(select!$K$980="*",Scharniere[[#This Row],[AG Ges2]],Scharniere[[#This Row],[AG Ges1]])</f>
        <v>0</v>
      </c>
      <c r="AE661" s="451">
        <f ca="1">IF(AND(Scharniere[[#This Row],[Scharnierart]]=select!$A$1485,Scharniere[[#This Row],[Gruppenschlüssel]]=select!$B$1485)=TRUE,1,0)</f>
        <v>0</v>
      </c>
      <c r="AF661" s="451">
        <f ca="1">IF(AND(Scharniere[[#This Row],[Scharnierart]]=select!$A$1486,Scharniere[[#This Row],[Gruppenschlüssel]]=select!$B$1486)=TRUE,1,0)</f>
        <v>0</v>
      </c>
      <c r="AG661" s="451">
        <f ca="1">IF(AND(Scharniere[[#This Row],[Scharnierart]]=select!$A$1487,Scharniere[[#This Row],[Gruppenschlüssel]]=select!$B$1487)=TRUE,1,0)</f>
        <v>0</v>
      </c>
      <c r="AH661" s="451">
        <f ca="1">IF(AND(Scharniere[[#This Row],[Scharnierart]]=select!$A$1488,Scharniere[[#This Row],[Gruppenschlüssel]]=select!$B$1488)=TRUE,1,0)</f>
        <v>0</v>
      </c>
      <c r="AI661" s="451">
        <f ca="1">IF(SUM(Scharniere[[#This Row],[konf Scharnier 1]:[konf Scharnier 4]])&gt;0,1,0)</f>
        <v>0</v>
      </c>
      <c r="AJ661" s="451"/>
      <c r="AK661" s="451"/>
      <c r="AL661" s="451"/>
      <c r="AM661" s="451"/>
      <c r="AN661" s="451"/>
      <c r="AO661" s="146">
        <v>1</v>
      </c>
      <c r="AP661" s="146">
        <v>4</v>
      </c>
      <c r="AQ661" s="10" t="str">
        <f ca="1">Sprache!$A$115</f>
        <v>Tiomos Scharnier TT Impresso</v>
      </c>
      <c r="AR661" t="s">
        <v>129</v>
      </c>
      <c r="AS661" t="str">
        <f ca="1">Sprache!$A$116</f>
        <v>Tiomos Impresso Scharniere</v>
      </c>
      <c r="AT661">
        <v>3</v>
      </c>
      <c r="AU661" t="s">
        <v>11</v>
      </c>
      <c r="AV661">
        <v>95</v>
      </c>
      <c r="AW661" s="10">
        <v>0</v>
      </c>
      <c r="AX661">
        <v>0</v>
      </c>
      <c r="AY661">
        <v>1</v>
      </c>
      <c r="AZ661" s="10">
        <v>0</v>
      </c>
      <c r="BA661">
        <v>0</v>
      </c>
      <c r="BB661">
        <v>0</v>
      </c>
      <c r="BC661">
        <v>1</v>
      </c>
      <c r="BD661" s="143" t="s">
        <v>220</v>
      </c>
      <c r="BG661"/>
    </row>
    <row r="662" spans="1:59" ht="14.25" customHeight="1" x14ac:dyDescent="0.25">
      <c r="A662" s="37" t="str">
        <f>LEFT(Scharniere[[#This Row],[ArtikelNR]],4)</f>
        <v>F045</v>
      </c>
      <c r="B662" s="35" t="str">
        <f>MID(Scharniere[[#This Row],[ArtikelNR]],5,3)</f>
        <v>138</v>
      </c>
      <c r="C662" s="37" t="str">
        <f>RIGHT(Scharniere[[#This Row],[ArtikelNR]],3)</f>
        <v>053</v>
      </c>
      <c r="D662" s="35">
        <f>IF(AND(Scharniere[[#This Row],[Gruppenschlüssel]]=select!$A$44,Scharniere[[#This Row],[Scharnierart]]=1)=TRUE,1,0)</f>
        <v>0</v>
      </c>
      <c r="E6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2" s="35">
        <f>IF(select!$F$57=IF(Scharniere[[#This Row],[mit Dämpfung]]=1,1,IF(Scharniere[[#This Row],[ohne Dämpfung]]=1,2,IF(Scharniere[[#This Row],[ohne Feder]]=1,3,0))),1,0)</f>
        <v>0</v>
      </c>
      <c r="G662" s="35">
        <f>IF(Scharniere[[#This Row],[Bohrbild]]=select!$V$43,1,0)</f>
        <v>1</v>
      </c>
      <c r="H662" s="35">
        <f>IF(IF(Scharniere[[#This Row],[Anschrauben]]=1,1,IF(Scharniere[[#This Row],[Einpressen]]=1,2,IF(Scharniere[[#This Row],[Quick]]=1,3,IF(Scharniere[[#This Row],[Werkzeuglos]]=1,4,0))))=select!$F$48,1,0)</f>
        <v>1</v>
      </c>
      <c r="I6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2" s="149">
        <f>IF(AND(Scharniere[[#This Row],[Scharnierart]]=2,Scharniere[[#This Row],[Gruppenschlüssel]]=select!$A$318)=TRUE,1,0)</f>
        <v>0</v>
      </c>
      <c r="K662" s="221">
        <f ca="1">IF(select!$O$424&lt;6,1,0)</f>
        <v>1</v>
      </c>
      <c r="L662" s="139">
        <f>IF(select!$A$362=IF(Scharniere[[#This Row],[mit Dämpfung]]=1,1,IF(Scharniere[[#This Row],[ohne Dämpfung]]=1,2,IF(Scharniere[[#This Row],[ohne Feder]]=1,3,0))),1,0)</f>
        <v>0</v>
      </c>
      <c r="M662" s="135">
        <f>IF(Scharniere[[#This Row],[Bohrbild]]=select!$O$334,1,0)</f>
        <v>1</v>
      </c>
      <c r="N662" s="135">
        <f>IF(IF(Scharniere[[#This Row],[Anschrauben]]=1,1,IF(Scharniere[[#This Row],[Einpressen]]=1,2,IF(Scharniere[[#This Row],[Quick]]=1,3,IF(Scharniere[[#This Row],[Werkzeuglos]]=1,4,0))))=select!$E$362,1,0)</f>
        <v>0</v>
      </c>
      <c r="O6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2" s="298">
        <f>IF(AND(Scharniere[[#This Row],[Scharnierart]]=3,Scharniere[[#This Row],[Gruppenschlüssel]]=select!$A$747)=TRUE,1,0)</f>
        <v>0</v>
      </c>
      <c r="Q662" s="298">
        <f ca="1">IF(select!$O$945&lt;6,1,0)</f>
        <v>1</v>
      </c>
      <c r="R662" s="298">
        <f>IF(select!$A$778=IF(Scharniere[[#This Row],[mit Dämpfung]]=1,1,IF(Scharniere[[#This Row],[ohne Dämpfung]]=1,2,IF(Scharniere[[#This Row],[ohne Feder]]=1,3,0))),1,0)</f>
        <v>1</v>
      </c>
      <c r="S662" s="298">
        <f>IF(Scharniere[[#This Row],[Bohrbild]]=select!$A$755,1,0)</f>
        <v>0</v>
      </c>
      <c r="T662" s="298">
        <f>IF(IF(Scharniere[[#This Row],[Anschrauben]]=1,1,IF(Scharniere[[#This Row],[Einpressen]]=1,2,IF(Scharniere[[#This Row],[Quick]]=1,3,IF(Scharniere[[#This Row],[Werkzeuglos]]=1,4,0))))=select!$A$769,1,0)</f>
        <v>0</v>
      </c>
      <c r="U6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2" s="359">
        <f>IF(AND(Scharniere[[#This Row],[Scharnierart]]=4,Scharniere[[#This Row],[Gruppenschlüssel]]=select!$A$981)=TRUE,1,0)</f>
        <v>0</v>
      </c>
      <c r="W662" s="359">
        <f ca="1">IF(select!$O$1185&lt;6,1,0)</f>
        <v>1</v>
      </c>
      <c r="X662" s="359">
        <f>IF(select!$A$1012=IF(Scharniere[[#This Row],[mit Dämpfung]]=1,1,IF(Scharniere[[#This Row],[ohne Dämpfung]]=1,2,IF(Scharniere[[#This Row],[ohne Feder]]=1,3,0))),1,0)</f>
        <v>1</v>
      </c>
      <c r="Y662" s="359">
        <f>IF(Scharniere[[#This Row],[Bohrbild]]=select!$A$989,1,0)</f>
        <v>0</v>
      </c>
      <c r="Z662" s="359">
        <f>IF(IF(Scharniere[[#This Row],[Anschrauben]]=1,1,IF(Scharniere[[#This Row],[Einpressen]]=1,2,IF(Scharniere[[#This Row],[Quick]]=1,3,IF(Scharniere[[#This Row],[Werkzeuglos]]=1,4,0))))=select!$A$1003,1,0)</f>
        <v>0</v>
      </c>
      <c r="AA6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2" s="359">
        <f ca="1">IF(select!$K$980="*",Scharniere[[#This Row],[AG Ges2]],Scharniere[[#This Row],[AG Ges1]])</f>
        <v>0</v>
      </c>
      <c r="AE662" s="451">
        <f ca="1">IF(AND(Scharniere[[#This Row],[Scharnierart]]=select!$A$1485,Scharniere[[#This Row],[Gruppenschlüssel]]=select!$B$1485)=TRUE,1,0)</f>
        <v>0</v>
      </c>
      <c r="AF662" s="451">
        <f ca="1">IF(AND(Scharniere[[#This Row],[Scharnierart]]=select!$A$1486,Scharniere[[#This Row],[Gruppenschlüssel]]=select!$B$1486)=TRUE,1,0)</f>
        <v>0</v>
      </c>
      <c r="AG662" s="451">
        <f ca="1">IF(AND(Scharniere[[#This Row],[Scharnierart]]=select!$A$1487,Scharniere[[#This Row],[Gruppenschlüssel]]=select!$B$1487)=TRUE,1,0)</f>
        <v>0</v>
      </c>
      <c r="AH662" s="451">
        <f ca="1">IF(AND(Scharniere[[#This Row],[Scharnierart]]=select!$A$1488,Scharniere[[#This Row],[Gruppenschlüssel]]=select!$B$1488)=TRUE,1,0)</f>
        <v>0</v>
      </c>
      <c r="AI662" s="451">
        <f ca="1">IF(SUM(Scharniere[[#This Row],[konf Scharnier 1]:[konf Scharnier 4]])&gt;0,1,0)</f>
        <v>0</v>
      </c>
      <c r="AJ662" s="451"/>
      <c r="AK662" s="451"/>
      <c r="AL662" s="451"/>
      <c r="AM662" s="451"/>
      <c r="AN662" s="451"/>
      <c r="AO662" s="146">
        <v>1</v>
      </c>
      <c r="AP662" s="146">
        <v>4</v>
      </c>
      <c r="AQ662" s="10" t="str">
        <f ca="1">Sprache!$A$110</f>
        <v>Tiomos Scharnier T Click-on</v>
      </c>
      <c r="AR662" t="str">
        <f ca="1">"95°, M-BB, K03, "&amp;Sprache!A181&amp;", ni"</f>
        <v>95°, M-BB, K03, Dübel, ni</v>
      </c>
      <c r="AS662" t="str">
        <f ca="1">Sprache!$A$103</f>
        <v>Tiomos Click-On Scharniere</v>
      </c>
      <c r="AT662">
        <v>3</v>
      </c>
      <c r="AU662" t="s">
        <v>8</v>
      </c>
      <c r="AV662">
        <v>95</v>
      </c>
      <c r="AW662" s="10">
        <v>0</v>
      </c>
      <c r="AX662">
        <v>1</v>
      </c>
      <c r="AY662">
        <v>0</v>
      </c>
      <c r="AZ662" s="10">
        <v>0</v>
      </c>
      <c r="BA662">
        <v>1</v>
      </c>
      <c r="BB662">
        <v>0</v>
      </c>
      <c r="BC662">
        <v>0</v>
      </c>
      <c r="BD662" s="143" t="s">
        <v>454</v>
      </c>
      <c r="BG662"/>
    </row>
    <row r="663" spans="1:59" ht="14.25" customHeight="1" x14ac:dyDescent="0.25">
      <c r="A663" s="37" t="str">
        <f>LEFT(Scharniere[[#This Row],[ArtikelNR]],4)</f>
        <v>F028</v>
      </c>
      <c r="B663" s="35" t="str">
        <f>MID(Scharniere[[#This Row],[ArtikelNR]],5,3)</f>
        <v>138</v>
      </c>
      <c r="C663" s="37" t="str">
        <f>RIGHT(Scharniere[[#This Row],[ArtikelNR]],3)</f>
        <v>146</v>
      </c>
      <c r="D663" s="35">
        <f>IF(AND(Scharniere[[#This Row],[Gruppenschlüssel]]=select!$A$44,Scharniere[[#This Row],[Scharnierart]]=1)=TRUE,1,0)</f>
        <v>0</v>
      </c>
      <c r="E6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3" s="35">
        <f>IF(select!$F$57=IF(Scharniere[[#This Row],[mit Dämpfung]]=1,1,IF(Scharniere[[#This Row],[ohne Dämpfung]]=1,2,IF(Scharniere[[#This Row],[ohne Feder]]=1,3,0))),1,0)</f>
        <v>0</v>
      </c>
      <c r="G663" s="35">
        <f>IF(Scharniere[[#This Row],[Bohrbild]]=select!$V$43,1,0)</f>
        <v>1</v>
      </c>
      <c r="H663" s="35">
        <f>IF(IF(Scharniere[[#This Row],[Anschrauben]]=1,1,IF(Scharniere[[#This Row],[Einpressen]]=1,2,IF(Scharniere[[#This Row],[Quick]]=1,3,IF(Scharniere[[#This Row],[Werkzeuglos]]=1,4,0))))=select!$F$48,1,0)</f>
        <v>1</v>
      </c>
      <c r="I6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3" s="149">
        <f>IF(AND(Scharniere[[#This Row],[Scharnierart]]=2,Scharniere[[#This Row],[Gruppenschlüssel]]=select!$A$318)=TRUE,1,0)</f>
        <v>0</v>
      </c>
      <c r="K663" s="221">
        <f ca="1">IF(select!$O$424&lt;6,1,0)</f>
        <v>1</v>
      </c>
      <c r="L663" s="139">
        <f>IF(select!$A$362=IF(Scharniere[[#This Row],[mit Dämpfung]]=1,1,IF(Scharniere[[#This Row],[ohne Dämpfung]]=1,2,IF(Scharniere[[#This Row],[ohne Feder]]=1,3,0))),1,0)</f>
        <v>1</v>
      </c>
      <c r="M663" s="135">
        <f>IF(Scharniere[[#This Row],[Bohrbild]]=select!$O$334,1,0)</f>
        <v>1</v>
      </c>
      <c r="N663" s="135">
        <f>IF(IF(Scharniere[[#This Row],[Anschrauben]]=1,1,IF(Scharniere[[#This Row],[Einpressen]]=1,2,IF(Scharniere[[#This Row],[Quick]]=1,3,IF(Scharniere[[#This Row],[Werkzeuglos]]=1,4,0))))=select!$E$362,1,0)</f>
        <v>0</v>
      </c>
      <c r="O6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3" s="298">
        <f>IF(AND(Scharniere[[#This Row],[Scharnierart]]=3,Scharniere[[#This Row],[Gruppenschlüssel]]=select!$A$747)=TRUE,1,0)</f>
        <v>0</v>
      </c>
      <c r="Q663" s="298">
        <f ca="1">IF(select!$O$945&lt;6,1,0)</f>
        <v>1</v>
      </c>
      <c r="R663" s="298">
        <f>IF(select!$A$778=IF(Scharniere[[#This Row],[mit Dämpfung]]=1,1,IF(Scharniere[[#This Row],[ohne Dämpfung]]=1,2,IF(Scharniere[[#This Row],[ohne Feder]]=1,3,0))),1,0)</f>
        <v>0</v>
      </c>
      <c r="S663" s="298">
        <f>IF(Scharniere[[#This Row],[Bohrbild]]=select!$A$755,1,0)</f>
        <v>0</v>
      </c>
      <c r="T663" s="298">
        <f>IF(IF(Scharniere[[#This Row],[Anschrauben]]=1,1,IF(Scharniere[[#This Row],[Einpressen]]=1,2,IF(Scharniere[[#This Row],[Quick]]=1,3,IF(Scharniere[[#This Row],[Werkzeuglos]]=1,4,0))))=select!$A$769,1,0)</f>
        <v>0</v>
      </c>
      <c r="U6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3" s="359">
        <f>IF(AND(Scharniere[[#This Row],[Scharnierart]]=4,Scharniere[[#This Row],[Gruppenschlüssel]]=select!$A$981)=TRUE,1,0)</f>
        <v>0</v>
      </c>
      <c r="W663" s="359">
        <f ca="1">IF(select!$O$1185&lt;6,1,0)</f>
        <v>1</v>
      </c>
      <c r="X663" s="359">
        <f>IF(select!$A$1012=IF(Scharniere[[#This Row],[mit Dämpfung]]=1,1,IF(Scharniere[[#This Row],[ohne Dämpfung]]=1,2,IF(Scharniere[[#This Row],[ohne Feder]]=1,3,0))),1,0)</f>
        <v>0</v>
      </c>
      <c r="Y663" s="359">
        <f>IF(Scharniere[[#This Row],[Bohrbild]]=select!$A$989,1,0)</f>
        <v>0</v>
      </c>
      <c r="Z663" s="359">
        <f>IF(IF(Scharniere[[#This Row],[Anschrauben]]=1,1,IF(Scharniere[[#This Row],[Einpressen]]=1,2,IF(Scharniere[[#This Row],[Quick]]=1,3,IF(Scharniere[[#This Row],[Werkzeuglos]]=1,4,0))))=select!$A$1003,1,0)</f>
        <v>0</v>
      </c>
      <c r="AA6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3" s="359">
        <f ca="1">IF(select!$K$980="*",Scharniere[[#This Row],[AG Ges2]],Scharniere[[#This Row],[AG Ges1]])</f>
        <v>0</v>
      </c>
      <c r="AE663" s="451">
        <f ca="1">IF(AND(Scharniere[[#This Row],[Scharnierart]]=select!$A$1485,Scharniere[[#This Row],[Gruppenschlüssel]]=select!$B$1485)=TRUE,1,0)</f>
        <v>0</v>
      </c>
      <c r="AF663" s="451">
        <f ca="1">IF(AND(Scharniere[[#This Row],[Scharnierart]]=select!$A$1486,Scharniere[[#This Row],[Gruppenschlüssel]]=select!$B$1486)=TRUE,1,0)</f>
        <v>0</v>
      </c>
      <c r="AG663" s="451">
        <f ca="1">IF(AND(Scharniere[[#This Row],[Scharnierart]]=select!$A$1487,Scharniere[[#This Row],[Gruppenschlüssel]]=select!$B$1487)=TRUE,1,0)</f>
        <v>0</v>
      </c>
      <c r="AH663" s="451">
        <f ca="1">IF(AND(Scharniere[[#This Row],[Scharnierart]]=select!$A$1488,Scharniere[[#This Row],[Gruppenschlüssel]]=select!$B$1488)=TRUE,1,0)</f>
        <v>0</v>
      </c>
      <c r="AI663" s="451">
        <f ca="1">IF(SUM(Scharniere[[#This Row],[konf Scharnier 1]:[konf Scharnier 4]])&gt;0,1,0)</f>
        <v>0</v>
      </c>
      <c r="AJ663" s="451"/>
      <c r="AK663" s="451"/>
      <c r="AL663" s="451"/>
      <c r="AM663" s="451"/>
      <c r="AN663" s="451"/>
      <c r="AO663" s="146">
        <v>1</v>
      </c>
      <c r="AP663" s="146">
        <v>4</v>
      </c>
      <c r="AQ663" s="10" t="str">
        <f ca="1">Sprache!$A$112</f>
        <v>Tiomos Scharnier TS Click-on</v>
      </c>
      <c r="AR663" t="str">
        <f ca="1">"95°, M-BB, K03, "&amp;Sprache!A181&amp;", ni"</f>
        <v>95°, M-BB, K03, Dübel, ni</v>
      </c>
      <c r="AS663" t="str">
        <f ca="1">Sprache!$A$103</f>
        <v>Tiomos Click-On Scharniere</v>
      </c>
      <c r="AT663">
        <v>3</v>
      </c>
      <c r="AU663" t="s">
        <v>8</v>
      </c>
      <c r="AV663">
        <v>95</v>
      </c>
      <c r="AW663" s="10">
        <v>1</v>
      </c>
      <c r="AX663">
        <v>0</v>
      </c>
      <c r="AY663">
        <v>0</v>
      </c>
      <c r="AZ663" s="10">
        <v>0</v>
      </c>
      <c r="BA663">
        <v>1</v>
      </c>
      <c r="BB663">
        <v>0</v>
      </c>
      <c r="BC663">
        <v>0</v>
      </c>
      <c r="BD663" s="143" t="s">
        <v>261</v>
      </c>
      <c r="BG663"/>
    </row>
    <row r="664" spans="1:59" ht="14.25" customHeight="1" x14ac:dyDescent="0.25">
      <c r="A664" s="37" t="str">
        <f>LEFT(Scharniere[[#This Row],[ArtikelNR]],4)</f>
        <v>F046</v>
      </c>
      <c r="B664" s="35" t="str">
        <f>MID(Scharniere[[#This Row],[ArtikelNR]],5,3)</f>
        <v>138</v>
      </c>
      <c r="C664" s="37" t="str">
        <f>RIGHT(Scharniere[[#This Row],[ArtikelNR]],3)</f>
        <v>237</v>
      </c>
      <c r="D664" s="35">
        <f>IF(AND(Scharniere[[#This Row],[Gruppenschlüssel]]=select!$A$44,Scharniere[[#This Row],[Scharnierart]]=1)=TRUE,1,0)</f>
        <v>0</v>
      </c>
      <c r="E6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4" s="35">
        <f>IF(select!$F$57=IF(Scharniere[[#This Row],[mit Dämpfung]]=1,1,IF(Scharniere[[#This Row],[ohne Dämpfung]]=1,2,IF(Scharniere[[#This Row],[ohne Feder]]=1,3,0))),1,0)</f>
        <v>1</v>
      </c>
      <c r="G664" s="35">
        <f>IF(Scharniere[[#This Row],[Bohrbild]]=select!$V$43,1,0)</f>
        <v>1</v>
      </c>
      <c r="H664" s="35">
        <f>IF(IF(Scharniere[[#This Row],[Anschrauben]]=1,1,IF(Scharniere[[#This Row],[Einpressen]]=1,2,IF(Scharniere[[#This Row],[Quick]]=1,3,IF(Scharniere[[#This Row],[Werkzeuglos]]=1,4,0))))=select!$F$48,1,0)</f>
        <v>1</v>
      </c>
      <c r="I6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4" s="149">
        <f>IF(AND(Scharniere[[#This Row],[Scharnierart]]=2,Scharniere[[#This Row],[Gruppenschlüssel]]=select!$A$318)=TRUE,1,0)</f>
        <v>0</v>
      </c>
      <c r="K664" s="221">
        <f ca="1">IF(select!$O$424&lt;6,1,0)</f>
        <v>1</v>
      </c>
      <c r="L664" s="139">
        <f>IF(select!$A$362=IF(Scharniere[[#This Row],[mit Dämpfung]]=1,1,IF(Scharniere[[#This Row],[ohne Dämpfung]]=1,2,IF(Scharniere[[#This Row],[ohne Feder]]=1,3,0))),1,0)</f>
        <v>0</v>
      </c>
      <c r="M664" s="135">
        <f>IF(Scharniere[[#This Row],[Bohrbild]]=select!$O$334,1,0)</f>
        <v>1</v>
      </c>
      <c r="N664" s="135">
        <f>IF(IF(Scharniere[[#This Row],[Anschrauben]]=1,1,IF(Scharniere[[#This Row],[Einpressen]]=1,2,IF(Scharniere[[#This Row],[Quick]]=1,3,IF(Scharniere[[#This Row],[Werkzeuglos]]=1,4,0))))=select!$E$362,1,0)</f>
        <v>0</v>
      </c>
      <c r="O6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4" s="298">
        <f>IF(AND(Scharniere[[#This Row],[Scharnierart]]=3,Scharniere[[#This Row],[Gruppenschlüssel]]=select!$A$747)=TRUE,1,0)</f>
        <v>0</v>
      </c>
      <c r="Q664" s="298">
        <f ca="1">IF(select!$O$945&lt;6,1,0)</f>
        <v>1</v>
      </c>
      <c r="R664" s="298">
        <f>IF(select!$A$778=IF(Scharniere[[#This Row],[mit Dämpfung]]=1,1,IF(Scharniere[[#This Row],[ohne Dämpfung]]=1,2,IF(Scharniere[[#This Row],[ohne Feder]]=1,3,0))),1,0)</f>
        <v>0</v>
      </c>
      <c r="S664" s="298">
        <f>IF(Scharniere[[#This Row],[Bohrbild]]=select!$A$755,1,0)</f>
        <v>0</v>
      </c>
      <c r="T664" s="298">
        <f>IF(IF(Scharniere[[#This Row],[Anschrauben]]=1,1,IF(Scharniere[[#This Row],[Einpressen]]=1,2,IF(Scharniere[[#This Row],[Quick]]=1,3,IF(Scharniere[[#This Row],[Werkzeuglos]]=1,4,0))))=select!$A$769,1,0)</f>
        <v>0</v>
      </c>
      <c r="U6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4" s="359">
        <f>IF(AND(Scharniere[[#This Row],[Scharnierart]]=4,Scharniere[[#This Row],[Gruppenschlüssel]]=select!$A$981)=TRUE,1,0)</f>
        <v>0</v>
      </c>
      <c r="W664" s="359">
        <f ca="1">IF(select!$O$1185&lt;6,1,0)</f>
        <v>1</v>
      </c>
      <c r="X664" s="359">
        <f>IF(select!$A$1012=IF(Scharniere[[#This Row],[mit Dämpfung]]=1,1,IF(Scharniere[[#This Row],[ohne Dämpfung]]=1,2,IF(Scharniere[[#This Row],[ohne Feder]]=1,3,0))),1,0)</f>
        <v>0</v>
      </c>
      <c r="Y664" s="359">
        <f>IF(Scharniere[[#This Row],[Bohrbild]]=select!$A$989,1,0)</f>
        <v>0</v>
      </c>
      <c r="Z664" s="359">
        <f>IF(IF(Scharniere[[#This Row],[Anschrauben]]=1,1,IF(Scharniere[[#This Row],[Einpressen]]=1,2,IF(Scharniere[[#This Row],[Quick]]=1,3,IF(Scharniere[[#This Row],[Werkzeuglos]]=1,4,0))))=select!$A$1003,1,0)</f>
        <v>0</v>
      </c>
      <c r="AA6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4" s="359">
        <f ca="1">IF(select!$K$980="*",Scharniere[[#This Row],[AG Ges2]],Scharniere[[#This Row],[AG Ges1]])</f>
        <v>0</v>
      </c>
      <c r="AE664" s="451">
        <f ca="1">IF(AND(Scharniere[[#This Row],[Scharnierart]]=select!$A$1485,Scharniere[[#This Row],[Gruppenschlüssel]]=select!$B$1485)=TRUE,1,0)</f>
        <v>0</v>
      </c>
      <c r="AF664" s="451">
        <f ca="1">IF(AND(Scharniere[[#This Row],[Scharnierart]]=select!$A$1486,Scharniere[[#This Row],[Gruppenschlüssel]]=select!$B$1486)=TRUE,1,0)</f>
        <v>0</v>
      </c>
      <c r="AG664" s="451">
        <f ca="1">IF(AND(Scharniere[[#This Row],[Scharnierart]]=select!$A$1487,Scharniere[[#This Row],[Gruppenschlüssel]]=select!$B$1487)=TRUE,1,0)</f>
        <v>0</v>
      </c>
      <c r="AH664" s="451">
        <f ca="1">IF(AND(Scharniere[[#This Row],[Scharnierart]]=select!$A$1488,Scharniere[[#This Row],[Gruppenschlüssel]]=select!$B$1488)=TRUE,1,0)</f>
        <v>0</v>
      </c>
      <c r="AI664" s="451">
        <f ca="1">IF(SUM(Scharniere[[#This Row],[konf Scharnier 1]:[konf Scharnier 4]])&gt;0,1,0)</f>
        <v>0</v>
      </c>
      <c r="AJ664" s="451"/>
      <c r="AK664" s="451"/>
      <c r="AL664" s="451"/>
      <c r="AM664" s="451"/>
      <c r="AN664" s="451"/>
      <c r="AO664" s="146">
        <v>1</v>
      </c>
      <c r="AP664" s="146">
        <v>4</v>
      </c>
      <c r="AQ664" s="10" t="str">
        <f ca="1">Sprache!$A$114</f>
        <v>Tiomos Scharnier TT Click-on</v>
      </c>
      <c r="AR664" t="str">
        <f ca="1">"95°, M-BB, K03, "&amp;Sprache!A181&amp;", ni"</f>
        <v>95°, M-BB, K03, Dübel, ni</v>
      </c>
      <c r="AS664" t="str">
        <f ca="1">Sprache!$A$103</f>
        <v>Tiomos Click-On Scharniere</v>
      </c>
      <c r="AT664">
        <v>3</v>
      </c>
      <c r="AU664" s="34" t="s">
        <v>8</v>
      </c>
      <c r="AV664">
        <v>95</v>
      </c>
      <c r="AW664" s="10">
        <v>0</v>
      </c>
      <c r="AX664">
        <v>0</v>
      </c>
      <c r="AY664">
        <v>1</v>
      </c>
      <c r="AZ664" s="10">
        <v>0</v>
      </c>
      <c r="BA664">
        <v>1</v>
      </c>
      <c r="BB664">
        <v>0</v>
      </c>
      <c r="BC664">
        <v>0</v>
      </c>
      <c r="BD664" s="143" t="s">
        <v>606</v>
      </c>
      <c r="BG664"/>
    </row>
    <row r="665" spans="1:59" ht="14.25" customHeight="1" x14ac:dyDescent="0.25">
      <c r="A665" s="37" t="str">
        <f>LEFT(Scharniere[[#This Row],[ArtikelNR]],4)</f>
        <v>F045</v>
      </c>
      <c r="B665" s="35" t="str">
        <f>MID(Scharniere[[#This Row],[ArtikelNR]],5,3)</f>
        <v>138</v>
      </c>
      <c r="C665" s="37" t="str">
        <f>RIGHT(Scharniere[[#This Row],[ArtikelNR]],3)</f>
        <v>049</v>
      </c>
      <c r="D665" s="35">
        <f>IF(AND(Scharniere[[#This Row],[Gruppenschlüssel]]=select!$A$44,Scharniere[[#This Row],[Scharnierart]]=1)=TRUE,1,0)</f>
        <v>0</v>
      </c>
      <c r="E6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5" s="35">
        <f>IF(select!$F$57=IF(Scharniere[[#This Row],[mit Dämpfung]]=1,1,IF(Scharniere[[#This Row],[ohne Dämpfung]]=1,2,IF(Scharniere[[#This Row],[ohne Feder]]=1,3,0))),1,0)</f>
        <v>0</v>
      </c>
      <c r="G665" s="35">
        <f>IF(Scharniere[[#This Row],[Bohrbild]]=select!$V$43,1,0)</f>
        <v>1</v>
      </c>
      <c r="H665" s="35">
        <f>IF(IF(Scharniere[[#This Row],[Anschrauben]]=1,1,IF(Scharniere[[#This Row],[Einpressen]]=1,2,IF(Scharniere[[#This Row],[Quick]]=1,3,IF(Scharniere[[#This Row],[Werkzeuglos]]=1,4,0))))=select!$F$48,1,0)</f>
        <v>0</v>
      </c>
      <c r="I6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5" s="149">
        <f>IF(AND(Scharniere[[#This Row],[Scharnierart]]=2,Scharniere[[#This Row],[Gruppenschlüssel]]=select!$A$318)=TRUE,1,0)</f>
        <v>0</v>
      </c>
      <c r="K665" s="221">
        <f ca="1">IF(select!$O$424&lt;6,1,0)</f>
        <v>1</v>
      </c>
      <c r="L665" s="139">
        <f>IF(select!$A$362=IF(Scharniere[[#This Row],[mit Dämpfung]]=1,1,IF(Scharniere[[#This Row],[ohne Dämpfung]]=1,2,IF(Scharniere[[#This Row],[ohne Feder]]=1,3,0))),1,0)</f>
        <v>0</v>
      </c>
      <c r="M665" s="135">
        <f>IF(Scharniere[[#This Row],[Bohrbild]]=select!$O$334,1,0)</f>
        <v>1</v>
      </c>
      <c r="N665" s="135">
        <f>IF(IF(Scharniere[[#This Row],[Anschrauben]]=1,1,IF(Scharniere[[#This Row],[Einpressen]]=1,2,IF(Scharniere[[#This Row],[Quick]]=1,3,IF(Scharniere[[#This Row],[Werkzeuglos]]=1,4,0))))=select!$E$362,1,0)</f>
        <v>1</v>
      </c>
      <c r="O6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5" s="298">
        <f>IF(AND(Scharniere[[#This Row],[Scharnierart]]=3,Scharniere[[#This Row],[Gruppenschlüssel]]=select!$A$747)=TRUE,1,0)</f>
        <v>0</v>
      </c>
      <c r="Q665" s="298">
        <f ca="1">IF(select!$O$945&lt;6,1,0)</f>
        <v>1</v>
      </c>
      <c r="R665" s="298">
        <f>IF(select!$A$778=IF(Scharniere[[#This Row],[mit Dämpfung]]=1,1,IF(Scharniere[[#This Row],[ohne Dämpfung]]=1,2,IF(Scharniere[[#This Row],[ohne Feder]]=1,3,0))),1,0)</f>
        <v>1</v>
      </c>
      <c r="S665" s="298">
        <f>IF(Scharniere[[#This Row],[Bohrbild]]=select!$A$755,1,0)</f>
        <v>0</v>
      </c>
      <c r="T665" s="298">
        <f>IF(IF(Scharniere[[#This Row],[Anschrauben]]=1,1,IF(Scharniere[[#This Row],[Einpressen]]=1,2,IF(Scharniere[[#This Row],[Quick]]=1,3,IF(Scharniere[[#This Row],[Werkzeuglos]]=1,4,0))))=select!$A$769,1,0)</f>
        <v>1</v>
      </c>
      <c r="U6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5" s="359">
        <f>IF(AND(Scharniere[[#This Row],[Scharnierart]]=4,Scharniere[[#This Row],[Gruppenschlüssel]]=select!$A$981)=TRUE,1,0)</f>
        <v>0</v>
      </c>
      <c r="W665" s="359">
        <f ca="1">IF(select!$O$1185&lt;6,1,0)</f>
        <v>1</v>
      </c>
      <c r="X665" s="359">
        <f>IF(select!$A$1012=IF(Scharniere[[#This Row],[mit Dämpfung]]=1,1,IF(Scharniere[[#This Row],[ohne Dämpfung]]=1,2,IF(Scharniere[[#This Row],[ohne Feder]]=1,3,0))),1,0)</f>
        <v>1</v>
      </c>
      <c r="Y665" s="359">
        <f>IF(Scharniere[[#This Row],[Bohrbild]]=select!$A$989,1,0)</f>
        <v>0</v>
      </c>
      <c r="Z665" s="359">
        <f>IF(IF(Scharniere[[#This Row],[Anschrauben]]=1,1,IF(Scharniere[[#This Row],[Einpressen]]=1,2,IF(Scharniere[[#This Row],[Quick]]=1,3,IF(Scharniere[[#This Row],[Werkzeuglos]]=1,4,0))))=select!$A$1003,1,0)</f>
        <v>1</v>
      </c>
      <c r="AA6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5" s="359">
        <f ca="1">IF(select!$K$980="*",Scharniere[[#This Row],[AG Ges2]],Scharniere[[#This Row],[AG Ges1]])</f>
        <v>0</v>
      </c>
      <c r="AE665" s="451">
        <f ca="1">IF(AND(Scharniere[[#This Row],[Scharnierart]]=select!$A$1485,Scharniere[[#This Row],[Gruppenschlüssel]]=select!$B$1485)=TRUE,1,0)</f>
        <v>0</v>
      </c>
      <c r="AF665" s="451">
        <f ca="1">IF(AND(Scharniere[[#This Row],[Scharnierart]]=select!$A$1486,Scharniere[[#This Row],[Gruppenschlüssel]]=select!$B$1486)=TRUE,1,0)</f>
        <v>0</v>
      </c>
      <c r="AG665" s="451">
        <f ca="1">IF(AND(Scharniere[[#This Row],[Scharnierart]]=select!$A$1487,Scharniere[[#This Row],[Gruppenschlüssel]]=select!$B$1487)=TRUE,1,0)</f>
        <v>0</v>
      </c>
      <c r="AH665" s="451">
        <f ca="1">IF(AND(Scharniere[[#This Row],[Scharnierart]]=select!$A$1488,Scharniere[[#This Row],[Gruppenschlüssel]]=select!$B$1488)=TRUE,1,0)</f>
        <v>0</v>
      </c>
      <c r="AI665" s="451">
        <f ca="1">IF(SUM(Scharniere[[#This Row],[konf Scharnier 1]:[konf Scharnier 4]])&gt;0,1,0)</f>
        <v>0</v>
      </c>
      <c r="AJ665" s="451"/>
      <c r="AK665" s="451"/>
      <c r="AL665" s="451"/>
      <c r="AM665" s="451"/>
      <c r="AN665" s="451"/>
      <c r="AO665" s="146">
        <v>1</v>
      </c>
      <c r="AP665" s="146">
        <v>4</v>
      </c>
      <c r="AQ665" s="10" t="str">
        <f ca="1">Sprache!$A$110</f>
        <v>Tiomos Scharnier T Click-on</v>
      </c>
      <c r="AR665" t="s">
        <v>256</v>
      </c>
      <c r="AS665" t="str">
        <f ca="1">Sprache!$A$103</f>
        <v>Tiomos Click-On Scharniere</v>
      </c>
      <c r="AT665">
        <v>3</v>
      </c>
      <c r="AU665" t="s">
        <v>8</v>
      </c>
      <c r="AV665">
        <v>95</v>
      </c>
      <c r="AW665" s="10">
        <v>0</v>
      </c>
      <c r="AX665">
        <v>1</v>
      </c>
      <c r="AY665">
        <v>0</v>
      </c>
      <c r="AZ665" s="10">
        <v>1</v>
      </c>
      <c r="BA665">
        <v>0</v>
      </c>
      <c r="BB665">
        <v>0</v>
      </c>
      <c r="BC665">
        <v>0</v>
      </c>
      <c r="BD665" s="143" t="s">
        <v>450</v>
      </c>
      <c r="BG665"/>
    </row>
    <row r="666" spans="1:59" ht="14.25" customHeight="1" x14ac:dyDescent="0.25">
      <c r="A666" s="37" t="str">
        <f>LEFT(Scharniere[[#This Row],[ArtikelNR]],4)</f>
        <v>F028</v>
      </c>
      <c r="B666" s="35" t="str">
        <f>MID(Scharniere[[#This Row],[ArtikelNR]],5,3)</f>
        <v>138</v>
      </c>
      <c r="C666" s="37" t="str">
        <f>RIGHT(Scharniere[[#This Row],[ArtikelNR]],3)</f>
        <v>142</v>
      </c>
      <c r="D666" s="35">
        <f>IF(AND(Scharniere[[#This Row],[Gruppenschlüssel]]=select!$A$44,Scharniere[[#This Row],[Scharnierart]]=1)=TRUE,1,0)</f>
        <v>0</v>
      </c>
      <c r="E6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6" s="35">
        <f>IF(select!$F$57=IF(Scharniere[[#This Row],[mit Dämpfung]]=1,1,IF(Scharniere[[#This Row],[ohne Dämpfung]]=1,2,IF(Scharniere[[#This Row],[ohne Feder]]=1,3,0))),1,0)</f>
        <v>0</v>
      </c>
      <c r="G666" s="35">
        <f>IF(Scharniere[[#This Row],[Bohrbild]]=select!$V$43,1,0)</f>
        <v>1</v>
      </c>
      <c r="H666" s="35">
        <f>IF(IF(Scharniere[[#This Row],[Anschrauben]]=1,1,IF(Scharniere[[#This Row],[Einpressen]]=1,2,IF(Scharniere[[#This Row],[Quick]]=1,3,IF(Scharniere[[#This Row],[Werkzeuglos]]=1,4,0))))=select!$F$48,1,0)</f>
        <v>0</v>
      </c>
      <c r="I6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6" s="149">
        <f>IF(AND(Scharniere[[#This Row],[Scharnierart]]=2,Scharniere[[#This Row],[Gruppenschlüssel]]=select!$A$318)=TRUE,1,0)</f>
        <v>0</v>
      </c>
      <c r="K666" s="221">
        <f ca="1">IF(select!$O$424&lt;6,1,0)</f>
        <v>1</v>
      </c>
      <c r="L666" s="139">
        <f>IF(select!$A$362=IF(Scharniere[[#This Row],[mit Dämpfung]]=1,1,IF(Scharniere[[#This Row],[ohne Dämpfung]]=1,2,IF(Scharniere[[#This Row],[ohne Feder]]=1,3,0))),1,0)</f>
        <v>1</v>
      </c>
      <c r="M666" s="135">
        <f>IF(Scharniere[[#This Row],[Bohrbild]]=select!$O$334,1,0)</f>
        <v>1</v>
      </c>
      <c r="N666" s="135">
        <f>IF(IF(Scharniere[[#This Row],[Anschrauben]]=1,1,IF(Scharniere[[#This Row],[Einpressen]]=1,2,IF(Scharniere[[#This Row],[Quick]]=1,3,IF(Scharniere[[#This Row],[Werkzeuglos]]=1,4,0))))=select!$E$362,1,0)</f>
        <v>1</v>
      </c>
      <c r="O6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6" s="298">
        <f>IF(AND(Scharniere[[#This Row],[Scharnierart]]=3,Scharniere[[#This Row],[Gruppenschlüssel]]=select!$A$747)=TRUE,1,0)</f>
        <v>0</v>
      </c>
      <c r="Q666" s="298">
        <f ca="1">IF(select!$O$945&lt;6,1,0)</f>
        <v>1</v>
      </c>
      <c r="R666" s="298">
        <f>IF(select!$A$778=IF(Scharniere[[#This Row],[mit Dämpfung]]=1,1,IF(Scharniere[[#This Row],[ohne Dämpfung]]=1,2,IF(Scharniere[[#This Row],[ohne Feder]]=1,3,0))),1,0)</f>
        <v>0</v>
      </c>
      <c r="S666" s="298">
        <f>IF(Scharniere[[#This Row],[Bohrbild]]=select!$A$755,1,0)</f>
        <v>0</v>
      </c>
      <c r="T666" s="298">
        <f>IF(IF(Scharniere[[#This Row],[Anschrauben]]=1,1,IF(Scharniere[[#This Row],[Einpressen]]=1,2,IF(Scharniere[[#This Row],[Quick]]=1,3,IF(Scharniere[[#This Row],[Werkzeuglos]]=1,4,0))))=select!$A$769,1,0)</f>
        <v>1</v>
      </c>
      <c r="U6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6" s="359">
        <f>IF(AND(Scharniere[[#This Row],[Scharnierart]]=4,Scharniere[[#This Row],[Gruppenschlüssel]]=select!$A$981)=TRUE,1,0)</f>
        <v>0</v>
      </c>
      <c r="W666" s="359">
        <f ca="1">IF(select!$O$1185&lt;6,1,0)</f>
        <v>1</v>
      </c>
      <c r="X666" s="359">
        <f>IF(select!$A$1012=IF(Scharniere[[#This Row],[mit Dämpfung]]=1,1,IF(Scharniere[[#This Row],[ohne Dämpfung]]=1,2,IF(Scharniere[[#This Row],[ohne Feder]]=1,3,0))),1,0)</f>
        <v>0</v>
      </c>
      <c r="Y666" s="359">
        <f>IF(Scharniere[[#This Row],[Bohrbild]]=select!$A$989,1,0)</f>
        <v>0</v>
      </c>
      <c r="Z666" s="359">
        <f>IF(IF(Scharniere[[#This Row],[Anschrauben]]=1,1,IF(Scharniere[[#This Row],[Einpressen]]=1,2,IF(Scharniere[[#This Row],[Quick]]=1,3,IF(Scharniere[[#This Row],[Werkzeuglos]]=1,4,0))))=select!$A$1003,1,0)</f>
        <v>1</v>
      </c>
      <c r="AA6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6" s="359">
        <f ca="1">IF(select!$K$980="*",Scharniere[[#This Row],[AG Ges2]],Scharniere[[#This Row],[AG Ges1]])</f>
        <v>0</v>
      </c>
      <c r="AE666" s="451">
        <f ca="1">IF(AND(Scharniere[[#This Row],[Scharnierart]]=select!$A$1485,Scharniere[[#This Row],[Gruppenschlüssel]]=select!$B$1485)=TRUE,1,0)</f>
        <v>0</v>
      </c>
      <c r="AF666" s="451">
        <f ca="1">IF(AND(Scharniere[[#This Row],[Scharnierart]]=select!$A$1486,Scharniere[[#This Row],[Gruppenschlüssel]]=select!$B$1486)=TRUE,1,0)</f>
        <v>0</v>
      </c>
      <c r="AG666" s="451">
        <f ca="1">IF(AND(Scharniere[[#This Row],[Scharnierart]]=select!$A$1487,Scharniere[[#This Row],[Gruppenschlüssel]]=select!$B$1487)=TRUE,1,0)</f>
        <v>0</v>
      </c>
      <c r="AH666" s="451">
        <f ca="1">IF(AND(Scharniere[[#This Row],[Scharnierart]]=select!$A$1488,Scharniere[[#This Row],[Gruppenschlüssel]]=select!$B$1488)=TRUE,1,0)</f>
        <v>0</v>
      </c>
      <c r="AI666" s="451">
        <f ca="1">IF(SUM(Scharniere[[#This Row],[konf Scharnier 1]:[konf Scharnier 4]])&gt;0,1,0)</f>
        <v>0</v>
      </c>
      <c r="AJ666" s="451"/>
      <c r="AK666" s="451"/>
      <c r="AL666" s="451"/>
      <c r="AM666" s="451"/>
      <c r="AN666" s="451"/>
      <c r="AO666" s="146">
        <v>1</v>
      </c>
      <c r="AP666" s="146">
        <v>4</v>
      </c>
      <c r="AQ666" s="10" t="str">
        <f ca="1">Sprache!$A$112</f>
        <v>Tiomos Scharnier TS Click-on</v>
      </c>
      <c r="AR666" t="s">
        <v>256</v>
      </c>
      <c r="AS666" t="str">
        <f ca="1">Sprache!$A$103</f>
        <v>Tiomos Click-On Scharniere</v>
      </c>
      <c r="AT666">
        <v>3</v>
      </c>
      <c r="AU666" s="34" t="s">
        <v>8</v>
      </c>
      <c r="AV666">
        <v>95</v>
      </c>
      <c r="AW666" s="10">
        <v>1</v>
      </c>
      <c r="AX666">
        <v>0</v>
      </c>
      <c r="AY666">
        <v>0</v>
      </c>
      <c r="AZ666" s="10">
        <v>1</v>
      </c>
      <c r="BA666">
        <v>0</v>
      </c>
      <c r="BB666">
        <v>0</v>
      </c>
      <c r="BC666">
        <v>0</v>
      </c>
      <c r="BD666" s="143" t="s">
        <v>255</v>
      </c>
      <c r="BG666"/>
    </row>
    <row r="667" spans="1:59" ht="14.25" customHeight="1" x14ac:dyDescent="0.25">
      <c r="A667" s="37" t="str">
        <f>LEFT(Scharniere[[#This Row],[ArtikelNR]],4)</f>
        <v>F046</v>
      </c>
      <c r="B667" s="35" t="str">
        <f>MID(Scharniere[[#This Row],[ArtikelNR]],5,3)</f>
        <v>138</v>
      </c>
      <c r="C667" s="37" t="str">
        <f>RIGHT(Scharniere[[#This Row],[ArtikelNR]],3)</f>
        <v>233</v>
      </c>
      <c r="D667" s="35">
        <f>IF(AND(Scharniere[[#This Row],[Gruppenschlüssel]]=select!$A$44,Scharniere[[#This Row],[Scharnierart]]=1)=TRUE,1,0)</f>
        <v>0</v>
      </c>
      <c r="E6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7" s="35">
        <f>IF(select!$F$57=IF(Scharniere[[#This Row],[mit Dämpfung]]=1,1,IF(Scharniere[[#This Row],[ohne Dämpfung]]=1,2,IF(Scharniere[[#This Row],[ohne Feder]]=1,3,0))),1,0)</f>
        <v>1</v>
      </c>
      <c r="G667" s="35">
        <f>IF(Scharniere[[#This Row],[Bohrbild]]=select!$V$43,1,0)</f>
        <v>1</v>
      </c>
      <c r="H667" s="35">
        <f>IF(IF(Scharniere[[#This Row],[Anschrauben]]=1,1,IF(Scharniere[[#This Row],[Einpressen]]=1,2,IF(Scharniere[[#This Row],[Quick]]=1,3,IF(Scharniere[[#This Row],[Werkzeuglos]]=1,4,0))))=select!$F$48,1,0)</f>
        <v>0</v>
      </c>
      <c r="I6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7" s="149">
        <f>IF(AND(Scharniere[[#This Row],[Scharnierart]]=2,Scharniere[[#This Row],[Gruppenschlüssel]]=select!$A$318)=TRUE,1,0)</f>
        <v>0</v>
      </c>
      <c r="K667" s="221">
        <f ca="1">IF(select!$O$424&lt;6,1,0)</f>
        <v>1</v>
      </c>
      <c r="L667" s="139">
        <f>IF(select!$A$362=IF(Scharniere[[#This Row],[mit Dämpfung]]=1,1,IF(Scharniere[[#This Row],[ohne Dämpfung]]=1,2,IF(Scharniere[[#This Row],[ohne Feder]]=1,3,0))),1,0)</f>
        <v>0</v>
      </c>
      <c r="M667" s="135">
        <f>IF(Scharniere[[#This Row],[Bohrbild]]=select!$O$334,1,0)</f>
        <v>1</v>
      </c>
      <c r="N667" s="135">
        <f>IF(IF(Scharniere[[#This Row],[Anschrauben]]=1,1,IF(Scharniere[[#This Row],[Einpressen]]=1,2,IF(Scharniere[[#This Row],[Quick]]=1,3,IF(Scharniere[[#This Row],[Werkzeuglos]]=1,4,0))))=select!$E$362,1,0)</f>
        <v>1</v>
      </c>
      <c r="O6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7" s="298">
        <f>IF(AND(Scharniere[[#This Row],[Scharnierart]]=3,Scharniere[[#This Row],[Gruppenschlüssel]]=select!$A$747)=TRUE,1,0)</f>
        <v>0</v>
      </c>
      <c r="Q667" s="298">
        <f ca="1">IF(select!$O$945&lt;6,1,0)</f>
        <v>1</v>
      </c>
      <c r="R667" s="298">
        <f>IF(select!$A$778=IF(Scharniere[[#This Row],[mit Dämpfung]]=1,1,IF(Scharniere[[#This Row],[ohne Dämpfung]]=1,2,IF(Scharniere[[#This Row],[ohne Feder]]=1,3,0))),1,0)</f>
        <v>0</v>
      </c>
      <c r="S667" s="298">
        <f>IF(Scharniere[[#This Row],[Bohrbild]]=select!$A$755,1,0)</f>
        <v>0</v>
      </c>
      <c r="T667" s="298">
        <f>IF(IF(Scharniere[[#This Row],[Anschrauben]]=1,1,IF(Scharniere[[#This Row],[Einpressen]]=1,2,IF(Scharniere[[#This Row],[Quick]]=1,3,IF(Scharniere[[#This Row],[Werkzeuglos]]=1,4,0))))=select!$A$769,1,0)</f>
        <v>1</v>
      </c>
      <c r="U6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7" s="359">
        <f>IF(AND(Scharniere[[#This Row],[Scharnierart]]=4,Scharniere[[#This Row],[Gruppenschlüssel]]=select!$A$981)=TRUE,1,0)</f>
        <v>0</v>
      </c>
      <c r="W667" s="359">
        <f ca="1">IF(select!$O$1185&lt;6,1,0)</f>
        <v>1</v>
      </c>
      <c r="X667" s="359">
        <f>IF(select!$A$1012=IF(Scharniere[[#This Row],[mit Dämpfung]]=1,1,IF(Scharniere[[#This Row],[ohne Dämpfung]]=1,2,IF(Scharniere[[#This Row],[ohne Feder]]=1,3,0))),1,0)</f>
        <v>0</v>
      </c>
      <c r="Y667" s="359">
        <f>IF(Scharniere[[#This Row],[Bohrbild]]=select!$A$989,1,0)</f>
        <v>0</v>
      </c>
      <c r="Z667" s="359">
        <f>IF(IF(Scharniere[[#This Row],[Anschrauben]]=1,1,IF(Scharniere[[#This Row],[Einpressen]]=1,2,IF(Scharniere[[#This Row],[Quick]]=1,3,IF(Scharniere[[#This Row],[Werkzeuglos]]=1,4,0))))=select!$A$1003,1,0)</f>
        <v>1</v>
      </c>
      <c r="AA6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7" s="359">
        <f ca="1">IF(select!$K$980="*",Scharniere[[#This Row],[AG Ges2]],Scharniere[[#This Row],[AG Ges1]])</f>
        <v>0</v>
      </c>
      <c r="AE667" s="451">
        <f ca="1">IF(AND(Scharniere[[#This Row],[Scharnierart]]=select!$A$1485,Scharniere[[#This Row],[Gruppenschlüssel]]=select!$B$1485)=TRUE,1,0)</f>
        <v>0</v>
      </c>
      <c r="AF667" s="451">
        <f ca="1">IF(AND(Scharniere[[#This Row],[Scharnierart]]=select!$A$1486,Scharniere[[#This Row],[Gruppenschlüssel]]=select!$B$1486)=TRUE,1,0)</f>
        <v>0</v>
      </c>
      <c r="AG667" s="451">
        <f ca="1">IF(AND(Scharniere[[#This Row],[Scharnierart]]=select!$A$1487,Scharniere[[#This Row],[Gruppenschlüssel]]=select!$B$1487)=TRUE,1,0)</f>
        <v>0</v>
      </c>
      <c r="AH667" s="451">
        <f ca="1">IF(AND(Scharniere[[#This Row],[Scharnierart]]=select!$A$1488,Scharniere[[#This Row],[Gruppenschlüssel]]=select!$B$1488)=TRUE,1,0)</f>
        <v>0</v>
      </c>
      <c r="AI667" s="451">
        <f ca="1">IF(SUM(Scharniere[[#This Row],[konf Scharnier 1]:[konf Scharnier 4]])&gt;0,1,0)</f>
        <v>0</v>
      </c>
      <c r="AJ667" s="451"/>
      <c r="AK667" s="451"/>
      <c r="AL667" s="451"/>
      <c r="AM667" s="451"/>
      <c r="AN667" s="451"/>
      <c r="AO667" s="146">
        <v>1</v>
      </c>
      <c r="AP667" s="146">
        <v>4</v>
      </c>
      <c r="AQ667" s="10" t="str">
        <f ca="1">Sprache!$A$114</f>
        <v>Tiomos Scharnier TT Click-on</v>
      </c>
      <c r="AR667" t="s">
        <v>256</v>
      </c>
      <c r="AS667" t="str">
        <f ca="1">Sprache!$A$103</f>
        <v>Tiomos Click-On Scharniere</v>
      </c>
      <c r="AT667">
        <v>3</v>
      </c>
      <c r="AU667" s="34" t="s">
        <v>8</v>
      </c>
      <c r="AV667">
        <v>95</v>
      </c>
      <c r="AW667" s="10">
        <v>0</v>
      </c>
      <c r="AX667">
        <v>0</v>
      </c>
      <c r="AY667">
        <v>1</v>
      </c>
      <c r="AZ667" s="10">
        <v>1</v>
      </c>
      <c r="BA667">
        <v>0</v>
      </c>
      <c r="BB667">
        <v>0</v>
      </c>
      <c r="BC667">
        <v>0</v>
      </c>
      <c r="BD667" s="143" t="s">
        <v>602</v>
      </c>
      <c r="BG667"/>
    </row>
    <row r="668" spans="1:59" ht="14.25" customHeight="1" x14ac:dyDescent="0.25">
      <c r="A668" s="37" t="str">
        <f>LEFT(Scharniere[[#This Row],[ArtikelNR]],4)</f>
        <v>F034</v>
      </c>
      <c r="B668" s="35" t="str">
        <f>MID(Scharniere[[#This Row],[ArtikelNR]],5,3)</f>
        <v>139</v>
      </c>
      <c r="C668" s="37" t="str">
        <f>RIGHT(Scharniere[[#This Row],[ArtikelNR]],3)</f>
        <v>325</v>
      </c>
      <c r="D668" s="35">
        <f>IF(AND(Scharniere[[#This Row],[Gruppenschlüssel]]=select!$A$44,Scharniere[[#This Row],[Scharnierart]]=1)=TRUE,1,0)</f>
        <v>0</v>
      </c>
      <c r="E6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8" s="35">
        <f>IF(select!$F$57=IF(Scharniere[[#This Row],[mit Dämpfung]]=1,1,IF(Scharniere[[#This Row],[ohne Dämpfung]]=1,2,IF(Scharniere[[#This Row],[ohne Feder]]=1,3,0))),1,0)</f>
        <v>0</v>
      </c>
      <c r="G668" s="35">
        <f>IF(Scharniere[[#This Row],[Bohrbild]]=select!$V$43,1,0)</f>
        <v>1</v>
      </c>
      <c r="H668" s="35">
        <f>IF(IF(Scharniere[[#This Row],[Anschrauben]]=1,1,IF(Scharniere[[#This Row],[Einpressen]]=1,2,IF(Scharniere[[#This Row],[Quick]]=1,3,IF(Scharniere[[#This Row],[Werkzeuglos]]=1,4,0))))=select!$F$48,1,0)</f>
        <v>0</v>
      </c>
      <c r="I6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8" s="149">
        <f>IF(AND(Scharniere[[#This Row],[Scharnierart]]=2,Scharniere[[#This Row],[Gruppenschlüssel]]=select!$A$318)=TRUE,1,0)</f>
        <v>0</v>
      </c>
      <c r="K668" s="221">
        <f ca="1">IF(select!$O$424&lt;6,1,0)</f>
        <v>1</v>
      </c>
      <c r="L668" s="139">
        <f>IF(select!$A$362=IF(Scharniere[[#This Row],[mit Dämpfung]]=1,1,IF(Scharniere[[#This Row],[ohne Dämpfung]]=1,2,IF(Scharniere[[#This Row],[ohne Feder]]=1,3,0))),1,0)</f>
        <v>0</v>
      </c>
      <c r="M668" s="135">
        <f>IF(Scharniere[[#This Row],[Bohrbild]]=select!$O$334,1,0)</f>
        <v>1</v>
      </c>
      <c r="N668" s="135">
        <f>IF(IF(Scharniere[[#This Row],[Anschrauben]]=1,1,IF(Scharniere[[#This Row],[Einpressen]]=1,2,IF(Scharniere[[#This Row],[Quick]]=1,3,IF(Scharniere[[#This Row],[Werkzeuglos]]=1,4,0))))=select!$E$362,1,0)</f>
        <v>0</v>
      </c>
      <c r="O6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8" s="298">
        <f>IF(AND(Scharniere[[#This Row],[Scharnierart]]=3,Scharniere[[#This Row],[Gruppenschlüssel]]=select!$A$747)=TRUE,1,0)</f>
        <v>0</v>
      </c>
      <c r="Q668" s="298">
        <f ca="1">IF(select!$O$945&lt;6,1,0)</f>
        <v>1</v>
      </c>
      <c r="R668" s="298">
        <f>IF(select!$A$778=IF(Scharniere[[#This Row],[mit Dämpfung]]=1,1,IF(Scharniere[[#This Row],[ohne Dämpfung]]=1,2,IF(Scharniere[[#This Row],[ohne Feder]]=1,3,0))),1,0)</f>
        <v>1</v>
      </c>
      <c r="S668" s="298">
        <f>IF(Scharniere[[#This Row],[Bohrbild]]=select!$A$755,1,0)</f>
        <v>0</v>
      </c>
      <c r="T668" s="298">
        <f>IF(IF(Scharniere[[#This Row],[Anschrauben]]=1,1,IF(Scharniere[[#This Row],[Einpressen]]=1,2,IF(Scharniere[[#This Row],[Quick]]=1,3,IF(Scharniere[[#This Row],[Werkzeuglos]]=1,4,0))))=select!$A$769,1,0)</f>
        <v>0</v>
      </c>
      <c r="U6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8" s="359">
        <f>IF(AND(Scharniere[[#This Row],[Scharnierart]]=4,Scharniere[[#This Row],[Gruppenschlüssel]]=select!$A$981)=TRUE,1,0)</f>
        <v>0</v>
      </c>
      <c r="W668" s="359">
        <f ca="1">IF(select!$O$1185&lt;6,1,0)</f>
        <v>1</v>
      </c>
      <c r="X668" s="359">
        <f>IF(select!$A$1012=IF(Scharniere[[#This Row],[mit Dämpfung]]=1,1,IF(Scharniere[[#This Row],[ohne Dämpfung]]=1,2,IF(Scharniere[[#This Row],[ohne Feder]]=1,3,0))),1,0)</f>
        <v>1</v>
      </c>
      <c r="Y668" s="359">
        <f>IF(Scharniere[[#This Row],[Bohrbild]]=select!$A$989,1,0)</f>
        <v>0</v>
      </c>
      <c r="Z668" s="359">
        <f>IF(IF(Scharniere[[#This Row],[Anschrauben]]=1,1,IF(Scharniere[[#This Row],[Einpressen]]=1,2,IF(Scharniere[[#This Row],[Quick]]=1,3,IF(Scharniere[[#This Row],[Werkzeuglos]]=1,4,0))))=select!$A$1003,1,0)</f>
        <v>0</v>
      </c>
      <c r="AA6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8" s="359">
        <f ca="1">IF(select!$K$980="*",Scharniere[[#This Row],[AG Ges2]],Scharniere[[#This Row],[AG Ges1]])</f>
        <v>0</v>
      </c>
      <c r="AE668" s="451">
        <f ca="1">IF(AND(Scharniere[[#This Row],[Scharnierart]]=select!$A$1485,Scharniere[[#This Row],[Gruppenschlüssel]]=select!$B$1485)=TRUE,1,0)</f>
        <v>0</v>
      </c>
      <c r="AF668" s="451">
        <f ca="1">IF(AND(Scharniere[[#This Row],[Scharnierart]]=select!$A$1486,Scharniere[[#This Row],[Gruppenschlüssel]]=select!$B$1486)=TRUE,1,0)</f>
        <v>0</v>
      </c>
      <c r="AG668" s="451">
        <f ca="1">IF(AND(Scharniere[[#This Row],[Scharnierart]]=select!$A$1487,Scharniere[[#This Row],[Gruppenschlüssel]]=select!$B$1487)=TRUE,1,0)</f>
        <v>0</v>
      </c>
      <c r="AH668" s="451">
        <f ca="1">IF(AND(Scharniere[[#This Row],[Scharnierart]]=select!$A$1488,Scharniere[[#This Row],[Gruppenschlüssel]]=select!$B$1488)=TRUE,1,0)</f>
        <v>0</v>
      </c>
      <c r="AI668" s="451">
        <f ca="1">IF(SUM(Scharniere[[#This Row],[konf Scharnier 1]:[konf Scharnier 4]])&gt;0,1,0)</f>
        <v>0</v>
      </c>
      <c r="AJ668" s="451"/>
      <c r="AK668" s="451"/>
      <c r="AL668" s="451"/>
      <c r="AM668" s="451"/>
      <c r="AN668" s="451"/>
      <c r="AO668" s="146">
        <v>1</v>
      </c>
      <c r="AP668" s="146">
        <v>4</v>
      </c>
      <c r="AQ668" s="10" t="str">
        <f ca="1">Sprache!$A$111</f>
        <v>Tiomos Scharnier T Impresso</v>
      </c>
      <c r="AR668" t="s">
        <v>81</v>
      </c>
      <c r="AS668" t="str">
        <f ca="1">Sprache!$A$116</f>
        <v>Tiomos Impresso Scharniere</v>
      </c>
      <c r="AT668">
        <v>3</v>
      </c>
      <c r="AU668" t="s">
        <v>8</v>
      </c>
      <c r="AV668">
        <v>95</v>
      </c>
      <c r="AW668" s="10">
        <v>0</v>
      </c>
      <c r="AX668">
        <v>1</v>
      </c>
      <c r="AY668">
        <v>0</v>
      </c>
      <c r="AZ668" s="10">
        <v>0</v>
      </c>
      <c r="BA668">
        <v>0</v>
      </c>
      <c r="BB668">
        <v>0</v>
      </c>
      <c r="BC668">
        <v>1</v>
      </c>
      <c r="BD668" s="143" t="s">
        <v>148</v>
      </c>
      <c r="BG668"/>
    </row>
    <row r="669" spans="1:59" ht="14.25" customHeight="1" x14ac:dyDescent="0.25">
      <c r="A669" s="37" t="str">
        <f>LEFT(Scharniere[[#This Row],[ArtikelNR]],4)</f>
        <v>F034</v>
      </c>
      <c r="B669" s="35" t="str">
        <f>MID(Scharniere[[#This Row],[ArtikelNR]],5,3)</f>
        <v>139</v>
      </c>
      <c r="C669" s="37" t="str">
        <f>RIGHT(Scharniere[[#This Row],[ArtikelNR]],3)</f>
        <v>325</v>
      </c>
      <c r="D669" s="35">
        <f>IF(AND(Scharniere[[#This Row],[Gruppenschlüssel]]=select!$A$44,Scharniere[[#This Row],[Scharnierart]]=1)=TRUE,1,0)</f>
        <v>0</v>
      </c>
      <c r="E6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69" s="35">
        <f>IF(select!$F$57=IF(Scharniere[[#This Row],[mit Dämpfung]]=1,1,IF(Scharniere[[#This Row],[ohne Dämpfung]]=1,2,IF(Scharniere[[#This Row],[ohne Feder]]=1,3,0))),1,0)</f>
        <v>0</v>
      </c>
      <c r="G669" s="35">
        <f>IF(Scharniere[[#This Row],[Bohrbild]]=select!$V$43,1,0)</f>
        <v>0</v>
      </c>
      <c r="H669" s="35">
        <f>IF(IF(Scharniere[[#This Row],[Anschrauben]]=1,1,IF(Scharniere[[#This Row],[Einpressen]]=1,2,IF(Scharniere[[#This Row],[Quick]]=1,3,IF(Scharniere[[#This Row],[Werkzeuglos]]=1,4,0))))=select!$F$48,1,0)</f>
        <v>0</v>
      </c>
      <c r="I6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69" s="149">
        <f>IF(AND(Scharniere[[#This Row],[Scharnierart]]=2,Scharniere[[#This Row],[Gruppenschlüssel]]=select!$A$318)=TRUE,1,0)</f>
        <v>0</v>
      </c>
      <c r="K669" s="221">
        <f ca="1">IF(select!$O$424&lt;6,1,0)</f>
        <v>1</v>
      </c>
      <c r="L669" s="139">
        <f>IF(select!$A$362=IF(Scharniere[[#This Row],[mit Dämpfung]]=1,1,IF(Scharniere[[#This Row],[ohne Dämpfung]]=1,2,IF(Scharniere[[#This Row],[ohne Feder]]=1,3,0))),1,0)</f>
        <v>0</v>
      </c>
      <c r="M669" s="135">
        <f>IF(Scharniere[[#This Row],[Bohrbild]]=select!$O$334,1,0)</f>
        <v>0</v>
      </c>
      <c r="N669" s="135">
        <f>IF(IF(Scharniere[[#This Row],[Anschrauben]]=1,1,IF(Scharniere[[#This Row],[Einpressen]]=1,2,IF(Scharniere[[#This Row],[Quick]]=1,3,IF(Scharniere[[#This Row],[Werkzeuglos]]=1,4,0))))=select!$E$362,1,0)</f>
        <v>0</v>
      </c>
      <c r="O6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69" s="298">
        <f>IF(AND(Scharniere[[#This Row],[Scharnierart]]=3,Scharniere[[#This Row],[Gruppenschlüssel]]=select!$A$747)=TRUE,1,0)</f>
        <v>0</v>
      </c>
      <c r="Q669" s="298">
        <f ca="1">IF(select!$O$945&lt;6,1,0)</f>
        <v>1</v>
      </c>
      <c r="R669" s="298">
        <f>IF(select!$A$778=IF(Scharniere[[#This Row],[mit Dämpfung]]=1,1,IF(Scharniere[[#This Row],[ohne Dämpfung]]=1,2,IF(Scharniere[[#This Row],[ohne Feder]]=1,3,0))),1,0)</f>
        <v>1</v>
      </c>
      <c r="S669" s="298">
        <f>IF(Scharniere[[#This Row],[Bohrbild]]=select!$A$755,1,0)</f>
        <v>0</v>
      </c>
      <c r="T669" s="298">
        <f>IF(IF(Scharniere[[#This Row],[Anschrauben]]=1,1,IF(Scharniere[[#This Row],[Einpressen]]=1,2,IF(Scharniere[[#This Row],[Quick]]=1,3,IF(Scharniere[[#This Row],[Werkzeuglos]]=1,4,0))))=select!$A$769,1,0)</f>
        <v>0</v>
      </c>
      <c r="U6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69" s="359">
        <f>IF(AND(Scharniere[[#This Row],[Scharnierart]]=4,Scharniere[[#This Row],[Gruppenschlüssel]]=select!$A$981)=TRUE,1,0)</f>
        <v>0</v>
      </c>
      <c r="W669" s="359">
        <f ca="1">IF(select!$O$1185&lt;6,1,0)</f>
        <v>1</v>
      </c>
      <c r="X669" s="359">
        <f>IF(select!$A$1012=IF(Scharniere[[#This Row],[mit Dämpfung]]=1,1,IF(Scharniere[[#This Row],[ohne Dämpfung]]=1,2,IF(Scharniere[[#This Row],[ohne Feder]]=1,3,0))),1,0)</f>
        <v>1</v>
      </c>
      <c r="Y669" s="359">
        <f>IF(Scharniere[[#This Row],[Bohrbild]]=select!$A$989,1,0)</f>
        <v>0</v>
      </c>
      <c r="Z669" s="359">
        <f>IF(IF(Scharniere[[#This Row],[Anschrauben]]=1,1,IF(Scharniere[[#This Row],[Einpressen]]=1,2,IF(Scharniere[[#This Row],[Quick]]=1,3,IF(Scharniere[[#This Row],[Werkzeuglos]]=1,4,0))))=select!$A$1003,1,0)</f>
        <v>0</v>
      </c>
      <c r="AA6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69" s="359">
        <f ca="1">IF(select!$K$980="*",Scharniere[[#This Row],[AG Ges2]],Scharniere[[#This Row],[AG Ges1]])</f>
        <v>0</v>
      </c>
      <c r="AE669" s="451">
        <f ca="1">IF(AND(Scharniere[[#This Row],[Scharnierart]]=select!$A$1485,Scharniere[[#This Row],[Gruppenschlüssel]]=select!$B$1485)=TRUE,1,0)</f>
        <v>0</v>
      </c>
      <c r="AF669" s="451">
        <f ca="1">IF(AND(Scharniere[[#This Row],[Scharnierart]]=select!$A$1486,Scharniere[[#This Row],[Gruppenschlüssel]]=select!$B$1486)=TRUE,1,0)</f>
        <v>0</v>
      </c>
      <c r="AG669" s="451">
        <f ca="1">IF(AND(Scharniere[[#This Row],[Scharnierart]]=select!$A$1487,Scharniere[[#This Row],[Gruppenschlüssel]]=select!$B$1487)=TRUE,1,0)</f>
        <v>0</v>
      </c>
      <c r="AH669" s="451">
        <f ca="1">IF(AND(Scharniere[[#This Row],[Scharnierart]]=select!$A$1488,Scharniere[[#This Row],[Gruppenschlüssel]]=select!$B$1488)=TRUE,1,0)</f>
        <v>0</v>
      </c>
      <c r="AI669" s="451">
        <f ca="1">IF(SUM(Scharniere[[#This Row],[konf Scharnier 1]:[konf Scharnier 4]])&gt;0,1,0)</f>
        <v>0</v>
      </c>
      <c r="AJ669" s="451"/>
      <c r="AK669" s="451"/>
      <c r="AL669" s="451"/>
      <c r="AM669" s="451"/>
      <c r="AN669" s="451"/>
      <c r="AO669" s="146">
        <v>1</v>
      </c>
      <c r="AP669" s="146">
        <v>4</v>
      </c>
      <c r="AQ669" s="10" t="str">
        <f ca="1">Sprache!$A$111</f>
        <v>Tiomos Scharnier T Impresso</v>
      </c>
      <c r="AR669" t="s">
        <v>81</v>
      </c>
      <c r="AS669" t="str">
        <f ca="1">Sprache!$A$116</f>
        <v>Tiomos Impresso Scharniere</v>
      </c>
      <c r="AT669">
        <v>3</v>
      </c>
      <c r="AU669" t="s">
        <v>3</v>
      </c>
      <c r="AV669">
        <v>95</v>
      </c>
      <c r="AW669" s="10">
        <v>0</v>
      </c>
      <c r="AX669">
        <v>1</v>
      </c>
      <c r="AY669">
        <v>0</v>
      </c>
      <c r="AZ669" s="10">
        <v>0</v>
      </c>
      <c r="BA669">
        <v>0</v>
      </c>
      <c r="BB669">
        <v>0</v>
      </c>
      <c r="BC669">
        <v>1</v>
      </c>
      <c r="BD669" s="143" t="s">
        <v>148</v>
      </c>
      <c r="BG669"/>
    </row>
    <row r="670" spans="1:59" ht="14.25" customHeight="1" x14ac:dyDescent="0.25">
      <c r="A670" s="37" t="str">
        <f>LEFT(Scharniere[[#This Row],[ArtikelNR]],4)</f>
        <v>F017</v>
      </c>
      <c r="B670" s="35" t="str">
        <f>MID(Scharniere[[#This Row],[ArtikelNR]],5,3)</f>
        <v>139</v>
      </c>
      <c r="C670" s="37" t="str">
        <f>RIGHT(Scharniere[[#This Row],[ArtikelNR]],3)</f>
        <v>354</v>
      </c>
      <c r="D670" s="35">
        <f>IF(AND(Scharniere[[#This Row],[Gruppenschlüssel]]=select!$A$44,Scharniere[[#This Row],[Scharnierart]]=1)=TRUE,1,0)</f>
        <v>0</v>
      </c>
      <c r="E6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0" s="35">
        <f>IF(select!$F$57=IF(Scharniere[[#This Row],[mit Dämpfung]]=1,1,IF(Scharniere[[#This Row],[ohne Dämpfung]]=1,2,IF(Scharniere[[#This Row],[ohne Feder]]=1,3,0))),1,0)</f>
        <v>0</v>
      </c>
      <c r="G670" s="35">
        <f>IF(Scharniere[[#This Row],[Bohrbild]]=select!$V$43,1,0)</f>
        <v>1</v>
      </c>
      <c r="H670" s="35">
        <f>IF(IF(Scharniere[[#This Row],[Anschrauben]]=1,1,IF(Scharniere[[#This Row],[Einpressen]]=1,2,IF(Scharniere[[#This Row],[Quick]]=1,3,IF(Scharniere[[#This Row],[Werkzeuglos]]=1,4,0))))=select!$F$48,1,0)</f>
        <v>0</v>
      </c>
      <c r="I6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0" s="149">
        <f>IF(AND(Scharniere[[#This Row],[Scharnierart]]=2,Scharniere[[#This Row],[Gruppenschlüssel]]=select!$A$318)=TRUE,1,0)</f>
        <v>0</v>
      </c>
      <c r="K670" s="221">
        <f ca="1">IF(select!$O$424&lt;6,1,0)</f>
        <v>1</v>
      </c>
      <c r="L670" s="139">
        <f>IF(select!$A$362=IF(Scharniere[[#This Row],[mit Dämpfung]]=1,1,IF(Scharniere[[#This Row],[ohne Dämpfung]]=1,2,IF(Scharniere[[#This Row],[ohne Feder]]=1,3,0))),1,0)</f>
        <v>1</v>
      </c>
      <c r="M670" s="135">
        <f>IF(Scharniere[[#This Row],[Bohrbild]]=select!$O$334,1,0)</f>
        <v>1</v>
      </c>
      <c r="N670" s="135">
        <f>IF(IF(Scharniere[[#This Row],[Anschrauben]]=1,1,IF(Scharniere[[#This Row],[Einpressen]]=1,2,IF(Scharniere[[#This Row],[Quick]]=1,3,IF(Scharniere[[#This Row],[Werkzeuglos]]=1,4,0))))=select!$E$362,1,0)</f>
        <v>0</v>
      </c>
      <c r="O6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0" s="298">
        <f>IF(AND(Scharniere[[#This Row],[Scharnierart]]=3,Scharniere[[#This Row],[Gruppenschlüssel]]=select!$A$747)=TRUE,1,0)</f>
        <v>0</v>
      </c>
      <c r="Q670" s="298">
        <f ca="1">IF(select!$O$945&lt;6,1,0)</f>
        <v>1</v>
      </c>
      <c r="R670" s="298">
        <f>IF(select!$A$778=IF(Scharniere[[#This Row],[mit Dämpfung]]=1,1,IF(Scharniere[[#This Row],[ohne Dämpfung]]=1,2,IF(Scharniere[[#This Row],[ohne Feder]]=1,3,0))),1,0)</f>
        <v>0</v>
      </c>
      <c r="S670" s="298">
        <f>IF(Scharniere[[#This Row],[Bohrbild]]=select!$A$755,1,0)</f>
        <v>0</v>
      </c>
      <c r="T670" s="298">
        <f>IF(IF(Scharniere[[#This Row],[Anschrauben]]=1,1,IF(Scharniere[[#This Row],[Einpressen]]=1,2,IF(Scharniere[[#This Row],[Quick]]=1,3,IF(Scharniere[[#This Row],[Werkzeuglos]]=1,4,0))))=select!$A$769,1,0)</f>
        <v>0</v>
      </c>
      <c r="U6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0" s="359">
        <f>IF(AND(Scharniere[[#This Row],[Scharnierart]]=4,Scharniere[[#This Row],[Gruppenschlüssel]]=select!$A$981)=TRUE,1,0)</f>
        <v>0</v>
      </c>
      <c r="W670" s="359">
        <f ca="1">IF(select!$O$1185&lt;6,1,0)</f>
        <v>1</v>
      </c>
      <c r="X670" s="359">
        <f>IF(select!$A$1012=IF(Scharniere[[#This Row],[mit Dämpfung]]=1,1,IF(Scharniere[[#This Row],[ohne Dämpfung]]=1,2,IF(Scharniere[[#This Row],[ohne Feder]]=1,3,0))),1,0)</f>
        <v>0</v>
      </c>
      <c r="Y670" s="359">
        <f>IF(Scharniere[[#This Row],[Bohrbild]]=select!$A$989,1,0)</f>
        <v>0</v>
      </c>
      <c r="Z670" s="359">
        <f>IF(IF(Scharniere[[#This Row],[Anschrauben]]=1,1,IF(Scharniere[[#This Row],[Einpressen]]=1,2,IF(Scharniere[[#This Row],[Quick]]=1,3,IF(Scharniere[[#This Row],[Werkzeuglos]]=1,4,0))))=select!$A$1003,1,0)</f>
        <v>0</v>
      </c>
      <c r="AA6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0" s="359">
        <f ca="1">IF(select!$K$980="*",Scharniere[[#This Row],[AG Ges2]],Scharniere[[#This Row],[AG Ges1]])</f>
        <v>0</v>
      </c>
      <c r="AE670" s="451">
        <f ca="1">IF(AND(Scharniere[[#This Row],[Scharnierart]]=select!$A$1485,Scharniere[[#This Row],[Gruppenschlüssel]]=select!$B$1485)=TRUE,1,0)</f>
        <v>0</v>
      </c>
      <c r="AF670" s="451">
        <f ca="1">IF(AND(Scharniere[[#This Row],[Scharnierart]]=select!$A$1486,Scharniere[[#This Row],[Gruppenschlüssel]]=select!$B$1486)=TRUE,1,0)</f>
        <v>0</v>
      </c>
      <c r="AG670" s="451">
        <f ca="1">IF(AND(Scharniere[[#This Row],[Scharnierart]]=select!$A$1487,Scharniere[[#This Row],[Gruppenschlüssel]]=select!$B$1487)=TRUE,1,0)</f>
        <v>0</v>
      </c>
      <c r="AH670" s="451">
        <f ca="1">IF(AND(Scharniere[[#This Row],[Scharnierart]]=select!$A$1488,Scharniere[[#This Row],[Gruppenschlüssel]]=select!$B$1488)=TRUE,1,0)</f>
        <v>0</v>
      </c>
      <c r="AI670" s="451">
        <f ca="1">IF(SUM(Scharniere[[#This Row],[konf Scharnier 1]:[konf Scharnier 4]])&gt;0,1,0)</f>
        <v>0</v>
      </c>
      <c r="AJ670" s="451"/>
      <c r="AK670" s="451"/>
      <c r="AL670" s="451"/>
      <c r="AM670" s="451"/>
      <c r="AN670" s="451"/>
      <c r="AO670" s="146">
        <v>1</v>
      </c>
      <c r="AP670" s="146">
        <v>4</v>
      </c>
      <c r="AQ670" s="10" t="str">
        <f ca="1">Sprache!$A$113</f>
        <v>Tiomos Scharnier TS Impresso</v>
      </c>
      <c r="AR670" t="s">
        <v>81</v>
      </c>
      <c r="AS670" t="str">
        <f ca="1">Sprache!$A$116</f>
        <v>Tiomos Impresso Scharniere</v>
      </c>
      <c r="AT670">
        <v>3</v>
      </c>
      <c r="AU670" s="34" t="s">
        <v>8</v>
      </c>
      <c r="AV670">
        <v>95</v>
      </c>
      <c r="AW670" s="10">
        <v>1</v>
      </c>
      <c r="AX670">
        <v>0</v>
      </c>
      <c r="AY670">
        <v>0</v>
      </c>
      <c r="AZ670" s="10">
        <v>0</v>
      </c>
      <c r="BA670">
        <v>0</v>
      </c>
      <c r="BB670">
        <v>0</v>
      </c>
      <c r="BC670">
        <v>1</v>
      </c>
      <c r="BD670" s="143" t="s">
        <v>80</v>
      </c>
      <c r="BG670"/>
    </row>
    <row r="671" spans="1:59" ht="14.25" customHeight="1" x14ac:dyDescent="0.25">
      <c r="A671" s="37" t="str">
        <f>LEFT(Scharniere[[#This Row],[ArtikelNR]],4)</f>
        <v>F017</v>
      </c>
      <c r="B671" s="35" t="str">
        <f>MID(Scharniere[[#This Row],[ArtikelNR]],5,3)</f>
        <v>139</v>
      </c>
      <c r="C671" s="37" t="str">
        <f>RIGHT(Scharniere[[#This Row],[ArtikelNR]],3)</f>
        <v>354</v>
      </c>
      <c r="D671" s="35">
        <f>IF(AND(Scharniere[[#This Row],[Gruppenschlüssel]]=select!$A$44,Scharniere[[#This Row],[Scharnierart]]=1)=TRUE,1,0)</f>
        <v>0</v>
      </c>
      <c r="E6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1" s="35">
        <f>IF(select!$F$57=IF(Scharniere[[#This Row],[mit Dämpfung]]=1,1,IF(Scharniere[[#This Row],[ohne Dämpfung]]=1,2,IF(Scharniere[[#This Row],[ohne Feder]]=1,3,0))),1,0)</f>
        <v>0</v>
      </c>
      <c r="G671" s="35">
        <f>IF(Scharniere[[#This Row],[Bohrbild]]=select!$V$43,1,0)</f>
        <v>0</v>
      </c>
      <c r="H671" s="35">
        <f>IF(IF(Scharniere[[#This Row],[Anschrauben]]=1,1,IF(Scharniere[[#This Row],[Einpressen]]=1,2,IF(Scharniere[[#This Row],[Quick]]=1,3,IF(Scharniere[[#This Row],[Werkzeuglos]]=1,4,0))))=select!$F$48,1,0)</f>
        <v>0</v>
      </c>
      <c r="I6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1" s="149">
        <f>IF(AND(Scharniere[[#This Row],[Scharnierart]]=2,Scharniere[[#This Row],[Gruppenschlüssel]]=select!$A$318)=TRUE,1,0)</f>
        <v>0</v>
      </c>
      <c r="K671" s="221">
        <f ca="1">IF(select!$O$424&lt;6,1,0)</f>
        <v>1</v>
      </c>
      <c r="L671" s="139">
        <f>IF(select!$A$362=IF(Scharniere[[#This Row],[mit Dämpfung]]=1,1,IF(Scharniere[[#This Row],[ohne Dämpfung]]=1,2,IF(Scharniere[[#This Row],[ohne Feder]]=1,3,0))),1,0)</f>
        <v>1</v>
      </c>
      <c r="M671" s="135">
        <f>IF(Scharniere[[#This Row],[Bohrbild]]=select!$O$334,1,0)</f>
        <v>0</v>
      </c>
      <c r="N671" s="135">
        <f>IF(IF(Scharniere[[#This Row],[Anschrauben]]=1,1,IF(Scharniere[[#This Row],[Einpressen]]=1,2,IF(Scharniere[[#This Row],[Quick]]=1,3,IF(Scharniere[[#This Row],[Werkzeuglos]]=1,4,0))))=select!$E$362,1,0)</f>
        <v>0</v>
      </c>
      <c r="O6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1" s="298">
        <f>IF(AND(Scharniere[[#This Row],[Scharnierart]]=3,Scharniere[[#This Row],[Gruppenschlüssel]]=select!$A$747)=TRUE,1,0)</f>
        <v>0</v>
      </c>
      <c r="Q671" s="298">
        <f ca="1">IF(select!$O$945&lt;6,1,0)</f>
        <v>1</v>
      </c>
      <c r="R671" s="298">
        <f>IF(select!$A$778=IF(Scharniere[[#This Row],[mit Dämpfung]]=1,1,IF(Scharniere[[#This Row],[ohne Dämpfung]]=1,2,IF(Scharniere[[#This Row],[ohne Feder]]=1,3,0))),1,0)</f>
        <v>0</v>
      </c>
      <c r="S671" s="298">
        <f>IF(Scharniere[[#This Row],[Bohrbild]]=select!$A$755,1,0)</f>
        <v>0</v>
      </c>
      <c r="T671" s="298">
        <f>IF(IF(Scharniere[[#This Row],[Anschrauben]]=1,1,IF(Scharniere[[#This Row],[Einpressen]]=1,2,IF(Scharniere[[#This Row],[Quick]]=1,3,IF(Scharniere[[#This Row],[Werkzeuglos]]=1,4,0))))=select!$A$769,1,0)</f>
        <v>0</v>
      </c>
      <c r="U6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1" s="359">
        <f>IF(AND(Scharniere[[#This Row],[Scharnierart]]=4,Scharniere[[#This Row],[Gruppenschlüssel]]=select!$A$981)=TRUE,1,0)</f>
        <v>0</v>
      </c>
      <c r="W671" s="359">
        <f ca="1">IF(select!$O$1185&lt;6,1,0)</f>
        <v>1</v>
      </c>
      <c r="X671" s="359">
        <f>IF(select!$A$1012=IF(Scharniere[[#This Row],[mit Dämpfung]]=1,1,IF(Scharniere[[#This Row],[ohne Dämpfung]]=1,2,IF(Scharniere[[#This Row],[ohne Feder]]=1,3,0))),1,0)</f>
        <v>0</v>
      </c>
      <c r="Y671" s="359">
        <f>IF(Scharniere[[#This Row],[Bohrbild]]=select!$A$989,1,0)</f>
        <v>0</v>
      </c>
      <c r="Z671" s="359">
        <f>IF(IF(Scharniere[[#This Row],[Anschrauben]]=1,1,IF(Scharniere[[#This Row],[Einpressen]]=1,2,IF(Scharniere[[#This Row],[Quick]]=1,3,IF(Scharniere[[#This Row],[Werkzeuglos]]=1,4,0))))=select!$A$1003,1,0)</f>
        <v>0</v>
      </c>
      <c r="AA6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1" s="359">
        <f ca="1">IF(select!$K$980="*",Scharniere[[#This Row],[AG Ges2]],Scharniere[[#This Row],[AG Ges1]])</f>
        <v>0</v>
      </c>
      <c r="AE671" s="451">
        <f ca="1">IF(AND(Scharniere[[#This Row],[Scharnierart]]=select!$A$1485,Scharniere[[#This Row],[Gruppenschlüssel]]=select!$B$1485)=TRUE,1,0)</f>
        <v>0</v>
      </c>
      <c r="AF671" s="451">
        <f ca="1">IF(AND(Scharniere[[#This Row],[Scharnierart]]=select!$A$1486,Scharniere[[#This Row],[Gruppenschlüssel]]=select!$B$1486)=TRUE,1,0)</f>
        <v>0</v>
      </c>
      <c r="AG671" s="451">
        <f ca="1">IF(AND(Scharniere[[#This Row],[Scharnierart]]=select!$A$1487,Scharniere[[#This Row],[Gruppenschlüssel]]=select!$B$1487)=TRUE,1,0)</f>
        <v>0</v>
      </c>
      <c r="AH671" s="451">
        <f ca="1">IF(AND(Scharniere[[#This Row],[Scharnierart]]=select!$A$1488,Scharniere[[#This Row],[Gruppenschlüssel]]=select!$B$1488)=TRUE,1,0)</f>
        <v>0</v>
      </c>
      <c r="AI671" s="451">
        <f ca="1">IF(SUM(Scharniere[[#This Row],[konf Scharnier 1]:[konf Scharnier 4]])&gt;0,1,0)</f>
        <v>0</v>
      </c>
      <c r="AJ671" s="451"/>
      <c r="AK671" s="451"/>
      <c r="AL671" s="451"/>
      <c r="AM671" s="451"/>
      <c r="AN671" s="451"/>
      <c r="AO671" s="146">
        <v>1</v>
      </c>
      <c r="AP671" s="146">
        <v>4</v>
      </c>
      <c r="AQ671" s="10" t="str">
        <f ca="1">Sprache!$A$113</f>
        <v>Tiomos Scharnier TS Impresso</v>
      </c>
      <c r="AR671" t="s">
        <v>81</v>
      </c>
      <c r="AS671" t="str">
        <f ca="1">Sprache!$A$116</f>
        <v>Tiomos Impresso Scharniere</v>
      </c>
      <c r="AT671">
        <v>3</v>
      </c>
      <c r="AU671" t="s">
        <v>3</v>
      </c>
      <c r="AV671">
        <v>95</v>
      </c>
      <c r="AW671" s="10">
        <v>1</v>
      </c>
      <c r="AX671">
        <v>0</v>
      </c>
      <c r="AY671">
        <v>0</v>
      </c>
      <c r="AZ671" s="10">
        <v>0</v>
      </c>
      <c r="BA671">
        <v>0</v>
      </c>
      <c r="BB671">
        <v>0</v>
      </c>
      <c r="BC671">
        <v>1</v>
      </c>
      <c r="BD671" s="143" t="s">
        <v>80</v>
      </c>
      <c r="BG671"/>
    </row>
    <row r="672" spans="1:59" ht="14.25" customHeight="1" x14ac:dyDescent="0.25">
      <c r="A672" s="37" t="str">
        <f>LEFT(Scharniere[[#This Row],[ArtikelNR]],4)</f>
        <v>F035</v>
      </c>
      <c r="B672" s="35" t="str">
        <f>MID(Scharniere[[#This Row],[ArtikelNR]],5,3)</f>
        <v>139</v>
      </c>
      <c r="C672" s="37" t="str">
        <f>RIGHT(Scharniere[[#This Row],[ArtikelNR]],3)</f>
        <v>382</v>
      </c>
      <c r="D672" s="35">
        <f>IF(AND(Scharniere[[#This Row],[Gruppenschlüssel]]=select!$A$44,Scharniere[[#This Row],[Scharnierart]]=1)=TRUE,1,0)</f>
        <v>0</v>
      </c>
      <c r="E6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2" s="35">
        <f>IF(select!$F$57=IF(Scharniere[[#This Row],[mit Dämpfung]]=1,1,IF(Scharniere[[#This Row],[ohne Dämpfung]]=1,2,IF(Scharniere[[#This Row],[ohne Feder]]=1,3,0))),1,0)</f>
        <v>1</v>
      </c>
      <c r="G672" s="35">
        <f>IF(Scharniere[[#This Row],[Bohrbild]]=select!$V$43,1,0)</f>
        <v>1</v>
      </c>
      <c r="H672" s="35">
        <f>IF(IF(Scharniere[[#This Row],[Anschrauben]]=1,1,IF(Scharniere[[#This Row],[Einpressen]]=1,2,IF(Scharniere[[#This Row],[Quick]]=1,3,IF(Scharniere[[#This Row],[Werkzeuglos]]=1,4,0))))=select!$F$48,1,0)</f>
        <v>0</v>
      </c>
      <c r="I6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2" s="149">
        <f>IF(AND(Scharniere[[#This Row],[Scharnierart]]=2,Scharniere[[#This Row],[Gruppenschlüssel]]=select!$A$318)=TRUE,1,0)</f>
        <v>0</v>
      </c>
      <c r="K672" s="221">
        <f ca="1">IF(select!$O$424&lt;6,1,0)</f>
        <v>1</v>
      </c>
      <c r="L672" s="139">
        <f>IF(select!$A$362=IF(Scharniere[[#This Row],[mit Dämpfung]]=1,1,IF(Scharniere[[#This Row],[ohne Dämpfung]]=1,2,IF(Scharniere[[#This Row],[ohne Feder]]=1,3,0))),1,0)</f>
        <v>0</v>
      </c>
      <c r="M672" s="135">
        <f>IF(Scharniere[[#This Row],[Bohrbild]]=select!$O$334,1,0)</f>
        <v>1</v>
      </c>
      <c r="N672" s="135">
        <f>IF(IF(Scharniere[[#This Row],[Anschrauben]]=1,1,IF(Scharniere[[#This Row],[Einpressen]]=1,2,IF(Scharniere[[#This Row],[Quick]]=1,3,IF(Scharniere[[#This Row],[Werkzeuglos]]=1,4,0))))=select!$E$362,1,0)</f>
        <v>0</v>
      </c>
      <c r="O6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2" s="298">
        <f>IF(AND(Scharniere[[#This Row],[Scharnierart]]=3,Scharniere[[#This Row],[Gruppenschlüssel]]=select!$A$747)=TRUE,1,0)</f>
        <v>0</v>
      </c>
      <c r="Q672" s="298">
        <f ca="1">IF(select!$O$945&lt;6,1,0)</f>
        <v>1</v>
      </c>
      <c r="R672" s="298">
        <f>IF(select!$A$778=IF(Scharniere[[#This Row],[mit Dämpfung]]=1,1,IF(Scharniere[[#This Row],[ohne Dämpfung]]=1,2,IF(Scharniere[[#This Row],[ohne Feder]]=1,3,0))),1,0)</f>
        <v>0</v>
      </c>
      <c r="S672" s="298">
        <f>IF(Scharniere[[#This Row],[Bohrbild]]=select!$A$755,1,0)</f>
        <v>0</v>
      </c>
      <c r="T672" s="298">
        <f>IF(IF(Scharniere[[#This Row],[Anschrauben]]=1,1,IF(Scharniere[[#This Row],[Einpressen]]=1,2,IF(Scharniere[[#This Row],[Quick]]=1,3,IF(Scharniere[[#This Row],[Werkzeuglos]]=1,4,0))))=select!$A$769,1,0)</f>
        <v>0</v>
      </c>
      <c r="U6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2" s="359">
        <f>IF(AND(Scharniere[[#This Row],[Scharnierart]]=4,Scharniere[[#This Row],[Gruppenschlüssel]]=select!$A$981)=TRUE,1,0)</f>
        <v>0</v>
      </c>
      <c r="W672" s="359">
        <f ca="1">IF(select!$O$1185&lt;6,1,0)</f>
        <v>1</v>
      </c>
      <c r="X672" s="359">
        <f>IF(select!$A$1012=IF(Scharniere[[#This Row],[mit Dämpfung]]=1,1,IF(Scharniere[[#This Row],[ohne Dämpfung]]=1,2,IF(Scharniere[[#This Row],[ohne Feder]]=1,3,0))),1,0)</f>
        <v>0</v>
      </c>
      <c r="Y672" s="359">
        <f>IF(Scharniere[[#This Row],[Bohrbild]]=select!$A$989,1,0)</f>
        <v>0</v>
      </c>
      <c r="Z672" s="359">
        <f>IF(IF(Scharniere[[#This Row],[Anschrauben]]=1,1,IF(Scharniere[[#This Row],[Einpressen]]=1,2,IF(Scharniere[[#This Row],[Quick]]=1,3,IF(Scharniere[[#This Row],[Werkzeuglos]]=1,4,0))))=select!$A$1003,1,0)</f>
        <v>0</v>
      </c>
      <c r="AA6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2" s="359">
        <f ca="1">IF(select!$K$980="*",Scharniere[[#This Row],[AG Ges2]],Scharniere[[#This Row],[AG Ges1]])</f>
        <v>0</v>
      </c>
      <c r="AE672" s="451">
        <f ca="1">IF(AND(Scharniere[[#This Row],[Scharnierart]]=select!$A$1485,Scharniere[[#This Row],[Gruppenschlüssel]]=select!$B$1485)=TRUE,1,0)</f>
        <v>0</v>
      </c>
      <c r="AF672" s="451">
        <f ca="1">IF(AND(Scharniere[[#This Row],[Scharnierart]]=select!$A$1486,Scharniere[[#This Row],[Gruppenschlüssel]]=select!$B$1486)=TRUE,1,0)</f>
        <v>0</v>
      </c>
      <c r="AG672" s="451">
        <f ca="1">IF(AND(Scharniere[[#This Row],[Scharnierart]]=select!$A$1487,Scharniere[[#This Row],[Gruppenschlüssel]]=select!$B$1487)=TRUE,1,0)</f>
        <v>0</v>
      </c>
      <c r="AH672" s="451">
        <f ca="1">IF(AND(Scharniere[[#This Row],[Scharnierart]]=select!$A$1488,Scharniere[[#This Row],[Gruppenschlüssel]]=select!$B$1488)=TRUE,1,0)</f>
        <v>0</v>
      </c>
      <c r="AI672" s="451">
        <f ca="1">IF(SUM(Scharniere[[#This Row],[konf Scharnier 1]:[konf Scharnier 4]])&gt;0,1,0)</f>
        <v>0</v>
      </c>
      <c r="AJ672" s="451"/>
      <c r="AK672" s="451"/>
      <c r="AL672" s="451"/>
      <c r="AM672" s="451"/>
      <c r="AN672" s="451"/>
      <c r="AO672" s="146">
        <v>1</v>
      </c>
      <c r="AP672" s="146">
        <v>4</v>
      </c>
      <c r="AQ672" s="10" t="str">
        <f ca="1">Sprache!$A$115</f>
        <v>Tiomos Scharnier TT Impresso</v>
      </c>
      <c r="AR672" t="s">
        <v>81</v>
      </c>
      <c r="AS672" t="str">
        <f ca="1">Sprache!$A$116</f>
        <v>Tiomos Impresso Scharniere</v>
      </c>
      <c r="AT672">
        <v>3</v>
      </c>
      <c r="AU672" s="34" t="s">
        <v>8</v>
      </c>
      <c r="AV672">
        <v>95</v>
      </c>
      <c r="AW672" s="10">
        <v>0</v>
      </c>
      <c r="AX672">
        <v>0</v>
      </c>
      <c r="AY672">
        <v>1</v>
      </c>
      <c r="AZ672" s="10">
        <v>0</v>
      </c>
      <c r="BA672">
        <v>0</v>
      </c>
      <c r="BB672">
        <v>0</v>
      </c>
      <c r="BC672">
        <v>1</v>
      </c>
      <c r="BD672" s="143" t="s">
        <v>192</v>
      </c>
      <c r="BG672"/>
    </row>
    <row r="673" spans="1:59" ht="14.25" customHeight="1" x14ac:dyDescent="0.25">
      <c r="A673" s="37" t="str">
        <f>LEFT(Scharniere[[#This Row],[ArtikelNR]],4)</f>
        <v>F035</v>
      </c>
      <c r="B673" s="35" t="str">
        <f>MID(Scharniere[[#This Row],[ArtikelNR]],5,3)</f>
        <v>139</v>
      </c>
      <c r="C673" s="37" t="str">
        <f>RIGHT(Scharniere[[#This Row],[ArtikelNR]],3)</f>
        <v>382</v>
      </c>
      <c r="D673" s="35">
        <f>IF(AND(Scharniere[[#This Row],[Gruppenschlüssel]]=select!$A$44,Scharniere[[#This Row],[Scharnierart]]=1)=TRUE,1,0)</f>
        <v>0</v>
      </c>
      <c r="E6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3" s="35">
        <f>IF(select!$F$57=IF(Scharniere[[#This Row],[mit Dämpfung]]=1,1,IF(Scharniere[[#This Row],[ohne Dämpfung]]=1,2,IF(Scharniere[[#This Row],[ohne Feder]]=1,3,0))),1,0)</f>
        <v>1</v>
      </c>
      <c r="G673" s="35">
        <f>IF(Scharniere[[#This Row],[Bohrbild]]=select!$V$43,1,0)</f>
        <v>0</v>
      </c>
      <c r="H673" s="35">
        <f>IF(IF(Scharniere[[#This Row],[Anschrauben]]=1,1,IF(Scharniere[[#This Row],[Einpressen]]=1,2,IF(Scharniere[[#This Row],[Quick]]=1,3,IF(Scharniere[[#This Row],[Werkzeuglos]]=1,4,0))))=select!$F$48,1,0)</f>
        <v>0</v>
      </c>
      <c r="I6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3" s="149">
        <f>IF(AND(Scharniere[[#This Row],[Scharnierart]]=2,Scharniere[[#This Row],[Gruppenschlüssel]]=select!$A$318)=TRUE,1,0)</f>
        <v>0</v>
      </c>
      <c r="K673" s="221">
        <f ca="1">IF(select!$O$424&lt;6,1,0)</f>
        <v>1</v>
      </c>
      <c r="L673" s="139">
        <f>IF(select!$A$362=IF(Scharniere[[#This Row],[mit Dämpfung]]=1,1,IF(Scharniere[[#This Row],[ohne Dämpfung]]=1,2,IF(Scharniere[[#This Row],[ohne Feder]]=1,3,0))),1,0)</f>
        <v>0</v>
      </c>
      <c r="M673" s="135">
        <f>IF(Scharniere[[#This Row],[Bohrbild]]=select!$O$334,1,0)</f>
        <v>0</v>
      </c>
      <c r="N673" s="135">
        <f>IF(IF(Scharniere[[#This Row],[Anschrauben]]=1,1,IF(Scharniere[[#This Row],[Einpressen]]=1,2,IF(Scharniere[[#This Row],[Quick]]=1,3,IF(Scharniere[[#This Row],[Werkzeuglos]]=1,4,0))))=select!$E$362,1,0)</f>
        <v>0</v>
      </c>
      <c r="O6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3" s="298">
        <f>IF(AND(Scharniere[[#This Row],[Scharnierart]]=3,Scharniere[[#This Row],[Gruppenschlüssel]]=select!$A$747)=TRUE,1,0)</f>
        <v>0</v>
      </c>
      <c r="Q673" s="298">
        <f ca="1">IF(select!$O$945&lt;6,1,0)</f>
        <v>1</v>
      </c>
      <c r="R673" s="298">
        <f>IF(select!$A$778=IF(Scharniere[[#This Row],[mit Dämpfung]]=1,1,IF(Scharniere[[#This Row],[ohne Dämpfung]]=1,2,IF(Scharniere[[#This Row],[ohne Feder]]=1,3,0))),1,0)</f>
        <v>0</v>
      </c>
      <c r="S673" s="298">
        <f>IF(Scharniere[[#This Row],[Bohrbild]]=select!$A$755,1,0)</f>
        <v>0</v>
      </c>
      <c r="T673" s="298">
        <f>IF(IF(Scharniere[[#This Row],[Anschrauben]]=1,1,IF(Scharniere[[#This Row],[Einpressen]]=1,2,IF(Scharniere[[#This Row],[Quick]]=1,3,IF(Scharniere[[#This Row],[Werkzeuglos]]=1,4,0))))=select!$A$769,1,0)</f>
        <v>0</v>
      </c>
      <c r="U6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3" s="359">
        <f>IF(AND(Scharniere[[#This Row],[Scharnierart]]=4,Scharniere[[#This Row],[Gruppenschlüssel]]=select!$A$981)=TRUE,1,0)</f>
        <v>0</v>
      </c>
      <c r="W673" s="359">
        <f ca="1">IF(select!$O$1185&lt;6,1,0)</f>
        <v>1</v>
      </c>
      <c r="X673" s="359">
        <f>IF(select!$A$1012=IF(Scharniere[[#This Row],[mit Dämpfung]]=1,1,IF(Scharniere[[#This Row],[ohne Dämpfung]]=1,2,IF(Scharniere[[#This Row],[ohne Feder]]=1,3,0))),1,0)</f>
        <v>0</v>
      </c>
      <c r="Y673" s="359">
        <f>IF(Scharniere[[#This Row],[Bohrbild]]=select!$A$989,1,0)</f>
        <v>0</v>
      </c>
      <c r="Z673" s="359">
        <f>IF(IF(Scharniere[[#This Row],[Anschrauben]]=1,1,IF(Scharniere[[#This Row],[Einpressen]]=1,2,IF(Scharniere[[#This Row],[Quick]]=1,3,IF(Scharniere[[#This Row],[Werkzeuglos]]=1,4,0))))=select!$A$1003,1,0)</f>
        <v>0</v>
      </c>
      <c r="AA6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3" s="359">
        <f ca="1">IF(select!$K$980="*",Scharniere[[#This Row],[AG Ges2]],Scharniere[[#This Row],[AG Ges1]])</f>
        <v>0</v>
      </c>
      <c r="AE673" s="451">
        <f ca="1">IF(AND(Scharniere[[#This Row],[Scharnierart]]=select!$A$1485,Scharniere[[#This Row],[Gruppenschlüssel]]=select!$B$1485)=TRUE,1,0)</f>
        <v>0</v>
      </c>
      <c r="AF673" s="451">
        <f ca="1">IF(AND(Scharniere[[#This Row],[Scharnierart]]=select!$A$1486,Scharniere[[#This Row],[Gruppenschlüssel]]=select!$B$1486)=TRUE,1,0)</f>
        <v>0</v>
      </c>
      <c r="AG673" s="451">
        <f ca="1">IF(AND(Scharniere[[#This Row],[Scharnierart]]=select!$A$1487,Scharniere[[#This Row],[Gruppenschlüssel]]=select!$B$1487)=TRUE,1,0)</f>
        <v>0</v>
      </c>
      <c r="AH673" s="451">
        <f ca="1">IF(AND(Scharniere[[#This Row],[Scharnierart]]=select!$A$1488,Scharniere[[#This Row],[Gruppenschlüssel]]=select!$B$1488)=TRUE,1,0)</f>
        <v>0</v>
      </c>
      <c r="AI673" s="451">
        <f ca="1">IF(SUM(Scharniere[[#This Row],[konf Scharnier 1]:[konf Scharnier 4]])&gt;0,1,0)</f>
        <v>0</v>
      </c>
      <c r="AJ673" s="451"/>
      <c r="AK673" s="451"/>
      <c r="AL673" s="451"/>
      <c r="AM673" s="451"/>
      <c r="AN673" s="451"/>
      <c r="AO673" s="146">
        <v>1</v>
      </c>
      <c r="AP673" s="146">
        <v>4</v>
      </c>
      <c r="AQ673" s="10" t="str">
        <f ca="1">Sprache!$A$115</f>
        <v>Tiomos Scharnier TT Impresso</v>
      </c>
      <c r="AR673" t="s">
        <v>81</v>
      </c>
      <c r="AS673" t="str">
        <f ca="1">Sprache!$A$116</f>
        <v>Tiomos Impresso Scharniere</v>
      </c>
      <c r="AT673">
        <v>3</v>
      </c>
      <c r="AU673" s="34" t="s">
        <v>3</v>
      </c>
      <c r="AV673">
        <v>95</v>
      </c>
      <c r="AW673" s="10">
        <v>0</v>
      </c>
      <c r="AX673">
        <v>0</v>
      </c>
      <c r="AY673">
        <v>1</v>
      </c>
      <c r="AZ673" s="10">
        <v>0</v>
      </c>
      <c r="BA673">
        <v>0</v>
      </c>
      <c r="BB673">
        <v>0</v>
      </c>
      <c r="BC673">
        <v>1</v>
      </c>
      <c r="BD673" s="143" t="s">
        <v>192</v>
      </c>
      <c r="BG673"/>
    </row>
    <row r="674" spans="1:59" ht="14.25" customHeight="1" x14ac:dyDescent="0.25">
      <c r="A674" s="37" t="str">
        <f>LEFT(Scharniere[[#This Row],[ArtikelNR]],4)</f>
        <v>F045</v>
      </c>
      <c r="B674" s="35" t="str">
        <f>MID(Scharniere[[#This Row],[ArtikelNR]],5,3)</f>
        <v>138</v>
      </c>
      <c r="C674" s="37" t="str">
        <f>RIGHT(Scharniere[[#This Row],[ArtikelNR]],3)</f>
        <v>874</v>
      </c>
      <c r="D674" s="35">
        <f>IF(AND(Scharniere[[#This Row],[Gruppenschlüssel]]=select!$A$44,Scharniere[[#This Row],[Scharnierart]]=1)=TRUE,1,0)</f>
        <v>0</v>
      </c>
      <c r="E6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4" s="35">
        <f>IF(select!$F$57=IF(Scharniere[[#This Row],[mit Dämpfung]]=1,1,IF(Scharniere[[#This Row],[ohne Dämpfung]]=1,2,IF(Scharniere[[#This Row],[ohne Feder]]=1,3,0))),1,0)</f>
        <v>0</v>
      </c>
      <c r="G674" s="35">
        <f>IF(Scharniere[[#This Row],[Bohrbild]]=select!$V$43,1,0)</f>
        <v>0</v>
      </c>
      <c r="H674" s="35">
        <f>IF(IF(Scharniere[[#This Row],[Anschrauben]]=1,1,IF(Scharniere[[#This Row],[Einpressen]]=1,2,IF(Scharniere[[#This Row],[Quick]]=1,3,IF(Scharniere[[#This Row],[Werkzeuglos]]=1,4,0))))=select!$F$48,1,0)</f>
        <v>1</v>
      </c>
      <c r="I6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4" s="149">
        <f>IF(AND(Scharniere[[#This Row],[Scharnierart]]=2,Scharniere[[#This Row],[Gruppenschlüssel]]=select!$A$318)=TRUE,1,0)</f>
        <v>0</v>
      </c>
      <c r="K674" s="221">
        <f ca="1">IF(select!$O$424&lt;6,1,0)</f>
        <v>1</v>
      </c>
      <c r="L674" s="139">
        <f>IF(select!$A$362=IF(Scharniere[[#This Row],[mit Dämpfung]]=1,1,IF(Scharniere[[#This Row],[ohne Dämpfung]]=1,2,IF(Scharniere[[#This Row],[ohne Feder]]=1,3,0))),1,0)</f>
        <v>0</v>
      </c>
      <c r="M674" s="135">
        <f>IF(Scharniere[[#This Row],[Bohrbild]]=select!$O$334,1,0)</f>
        <v>0</v>
      </c>
      <c r="N674" s="135">
        <f>IF(IF(Scharniere[[#This Row],[Anschrauben]]=1,1,IF(Scharniere[[#This Row],[Einpressen]]=1,2,IF(Scharniere[[#This Row],[Quick]]=1,3,IF(Scharniere[[#This Row],[Werkzeuglos]]=1,4,0))))=select!$E$362,1,0)</f>
        <v>0</v>
      </c>
      <c r="O6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4" s="298">
        <f>IF(AND(Scharniere[[#This Row],[Scharnierart]]=3,Scharniere[[#This Row],[Gruppenschlüssel]]=select!$A$747)=TRUE,1,0)</f>
        <v>0</v>
      </c>
      <c r="Q674" s="298">
        <f ca="1">IF(select!$O$945&lt;6,1,0)</f>
        <v>1</v>
      </c>
      <c r="R674" s="298">
        <f>IF(select!$A$778=IF(Scharniere[[#This Row],[mit Dämpfung]]=1,1,IF(Scharniere[[#This Row],[ohne Dämpfung]]=1,2,IF(Scharniere[[#This Row],[ohne Feder]]=1,3,0))),1,0)</f>
        <v>1</v>
      </c>
      <c r="S674" s="298">
        <f>IF(Scharniere[[#This Row],[Bohrbild]]=select!$A$755,1,0)</f>
        <v>0</v>
      </c>
      <c r="T674" s="298">
        <f>IF(IF(Scharniere[[#This Row],[Anschrauben]]=1,1,IF(Scharniere[[#This Row],[Einpressen]]=1,2,IF(Scharniere[[#This Row],[Quick]]=1,3,IF(Scharniere[[#This Row],[Werkzeuglos]]=1,4,0))))=select!$A$769,1,0)</f>
        <v>0</v>
      </c>
      <c r="U6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4" s="359">
        <f>IF(AND(Scharniere[[#This Row],[Scharnierart]]=4,Scharniere[[#This Row],[Gruppenschlüssel]]=select!$A$981)=TRUE,1,0)</f>
        <v>0</v>
      </c>
      <c r="W674" s="359">
        <f ca="1">IF(select!$O$1185&lt;6,1,0)</f>
        <v>1</v>
      </c>
      <c r="X674" s="359">
        <f>IF(select!$A$1012=IF(Scharniere[[#This Row],[mit Dämpfung]]=1,1,IF(Scharniere[[#This Row],[ohne Dämpfung]]=1,2,IF(Scharniere[[#This Row],[ohne Feder]]=1,3,0))),1,0)</f>
        <v>1</v>
      </c>
      <c r="Y674" s="359">
        <f>IF(Scharniere[[#This Row],[Bohrbild]]=select!$A$989,1,0)</f>
        <v>0</v>
      </c>
      <c r="Z674" s="359">
        <f>IF(IF(Scharniere[[#This Row],[Anschrauben]]=1,1,IF(Scharniere[[#This Row],[Einpressen]]=1,2,IF(Scharniere[[#This Row],[Quick]]=1,3,IF(Scharniere[[#This Row],[Werkzeuglos]]=1,4,0))))=select!$A$1003,1,0)</f>
        <v>0</v>
      </c>
      <c r="AA6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4" s="359">
        <f ca="1">IF(select!$K$980="*",Scharniere[[#This Row],[AG Ges2]],Scharniere[[#This Row],[AG Ges1]])</f>
        <v>0</v>
      </c>
      <c r="AE674" s="451">
        <f ca="1">IF(AND(Scharniere[[#This Row],[Scharnierart]]=select!$A$1485,Scharniere[[#This Row],[Gruppenschlüssel]]=select!$B$1485)=TRUE,1,0)</f>
        <v>0</v>
      </c>
      <c r="AF674" s="451">
        <f ca="1">IF(AND(Scharniere[[#This Row],[Scharnierart]]=select!$A$1486,Scharniere[[#This Row],[Gruppenschlüssel]]=select!$B$1486)=TRUE,1,0)</f>
        <v>0</v>
      </c>
      <c r="AG674" s="451">
        <f ca="1">IF(AND(Scharniere[[#This Row],[Scharnierart]]=select!$A$1487,Scharniere[[#This Row],[Gruppenschlüssel]]=select!$B$1487)=TRUE,1,0)</f>
        <v>0</v>
      </c>
      <c r="AH674" s="451">
        <f ca="1">IF(AND(Scharniere[[#This Row],[Scharnierart]]=select!$A$1488,Scharniere[[#This Row],[Gruppenschlüssel]]=select!$B$1488)=TRUE,1,0)</f>
        <v>0</v>
      </c>
      <c r="AI674" s="451">
        <f ca="1">IF(SUM(Scharniere[[#This Row],[konf Scharnier 1]:[konf Scharnier 4]])&gt;0,1,0)</f>
        <v>0</v>
      </c>
      <c r="AJ674" s="451"/>
      <c r="AK674" s="451"/>
      <c r="AL674" s="451"/>
      <c r="AM674" s="451"/>
      <c r="AN674" s="451"/>
      <c r="AO674" s="146">
        <v>1</v>
      </c>
      <c r="AP674" s="146">
        <v>4</v>
      </c>
      <c r="AQ674" s="10" t="str">
        <f ca="1">Sprache!$A$110</f>
        <v>Tiomos Scharnier T Click-on</v>
      </c>
      <c r="AR674" t="str">
        <f ca="1">"95°, S-BB, K03, "&amp;Sprache!A181&amp;", ni"</f>
        <v>95°, S-BB, K03, Dübel, ni</v>
      </c>
      <c r="AS674" t="str">
        <f ca="1">Sprache!$A$103</f>
        <v>Tiomos Click-On Scharniere</v>
      </c>
      <c r="AT674">
        <v>3</v>
      </c>
      <c r="AU674" s="10" t="s">
        <v>11</v>
      </c>
      <c r="AV674">
        <v>95</v>
      </c>
      <c r="AW674" s="10">
        <v>0</v>
      </c>
      <c r="AX674">
        <v>1</v>
      </c>
      <c r="AY674">
        <v>0</v>
      </c>
      <c r="AZ674" s="10">
        <v>0</v>
      </c>
      <c r="BA674">
        <v>1</v>
      </c>
      <c r="BB674">
        <v>0</v>
      </c>
      <c r="BC674">
        <v>0</v>
      </c>
      <c r="BD674" s="143" t="s">
        <v>567</v>
      </c>
      <c r="BG674"/>
    </row>
    <row r="675" spans="1:59" ht="14.25" customHeight="1" x14ac:dyDescent="0.25">
      <c r="A675" s="37" t="str">
        <f>LEFT(Scharniere[[#This Row],[ArtikelNR]],4)</f>
        <v>F028</v>
      </c>
      <c r="B675" s="35" t="str">
        <f>MID(Scharniere[[#This Row],[ArtikelNR]],5,3)</f>
        <v>138</v>
      </c>
      <c r="C675" s="37" t="str">
        <f>RIGHT(Scharniere[[#This Row],[ArtikelNR]],3)</f>
        <v>936</v>
      </c>
      <c r="D675" s="35">
        <f>IF(AND(Scharniere[[#This Row],[Gruppenschlüssel]]=select!$A$44,Scharniere[[#This Row],[Scharnierart]]=1)=TRUE,1,0)</f>
        <v>0</v>
      </c>
      <c r="E6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5" s="35">
        <f>IF(select!$F$57=IF(Scharniere[[#This Row],[mit Dämpfung]]=1,1,IF(Scharniere[[#This Row],[ohne Dämpfung]]=1,2,IF(Scharniere[[#This Row],[ohne Feder]]=1,3,0))),1,0)</f>
        <v>0</v>
      </c>
      <c r="G675" s="35">
        <f>IF(Scharniere[[#This Row],[Bohrbild]]=select!$V$43,1,0)</f>
        <v>0</v>
      </c>
      <c r="H675" s="35">
        <f>IF(IF(Scharniere[[#This Row],[Anschrauben]]=1,1,IF(Scharniere[[#This Row],[Einpressen]]=1,2,IF(Scharniere[[#This Row],[Quick]]=1,3,IF(Scharniere[[#This Row],[Werkzeuglos]]=1,4,0))))=select!$F$48,1,0)</f>
        <v>1</v>
      </c>
      <c r="I6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5" s="149">
        <f>IF(AND(Scharniere[[#This Row],[Scharnierart]]=2,Scharniere[[#This Row],[Gruppenschlüssel]]=select!$A$318)=TRUE,1,0)</f>
        <v>0</v>
      </c>
      <c r="K675" s="221">
        <f ca="1">IF(select!$O$424&lt;6,1,0)</f>
        <v>1</v>
      </c>
      <c r="L675" s="139">
        <f>IF(select!$A$362=IF(Scharniere[[#This Row],[mit Dämpfung]]=1,1,IF(Scharniere[[#This Row],[ohne Dämpfung]]=1,2,IF(Scharniere[[#This Row],[ohne Feder]]=1,3,0))),1,0)</f>
        <v>1</v>
      </c>
      <c r="M675" s="135">
        <f>IF(Scharniere[[#This Row],[Bohrbild]]=select!$O$334,1,0)</f>
        <v>0</v>
      </c>
      <c r="N675" s="135">
        <f>IF(IF(Scharniere[[#This Row],[Anschrauben]]=1,1,IF(Scharniere[[#This Row],[Einpressen]]=1,2,IF(Scharniere[[#This Row],[Quick]]=1,3,IF(Scharniere[[#This Row],[Werkzeuglos]]=1,4,0))))=select!$E$362,1,0)</f>
        <v>0</v>
      </c>
      <c r="O6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5" s="298">
        <f>IF(AND(Scharniere[[#This Row],[Scharnierart]]=3,Scharniere[[#This Row],[Gruppenschlüssel]]=select!$A$747)=TRUE,1,0)</f>
        <v>0</v>
      </c>
      <c r="Q675" s="298">
        <f ca="1">IF(select!$O$945&lt;6,1,0)</f>
        <v>1</v>
      </c>
      <c r="R675" s="298">
        <f>IF(select!$A$778=IF(Scharniere[[#This Row],[mit Dämpfung]]=1,1,IF(Scharniere[[#This Row],[ohne Dämpfung]]=1,2,IF(Scharniere[[#This Row],[ohne Feder]]=1,3,0))),1,0)</f>
        <v>0</v>
      </c>
      <c r="S675" s="298">
        <f>IF(Scharniere[[#This Row],[Bohrbild]]=select!$A$755,1,0)</f>
        <v>0</v>
      </c>
      <c r="T675" s="298">
        <f>IF(IF(Scharniere[[#This Row],[Anschrauben]]=1,1,IF(Scharniere[[#This Row],[Einpressen]]=1,2,IF(Scharniere[[#This Row],[Quick]]=1,3,IF(Scharniere[[#This Row],[Werkzeuglos]]=1,4,0))))=select!$A$769,1,0)</f>
        <v>0</v>
      </c>
      <c r="U6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5" s="359">
        <f>IF(AND(Scharniere[[#This Row],[Scharnierart]]=4,Scharniere[[#This Row],[Gruppenschlüssel]]=select!$A$981)=TRUE,1,0)</f>
        <v>0</v>
      </c>
      <c r="W675" s="359">
        <f ca="1">IF(select!$O$1185&lt;6,1,0)</f>
        <v>1</v>
      </c>
      <c r="X675" s="359">
        <f>IF(select!$A$1012=IF(Scharniere[[#This Row],[mit Dämpfung]]=1,1,IF(Scharniere[[#This Row],[ohne Dämpfung]]=1,2,IF(Scharniere[[#This Row],[ohne Feder]]=1,3,0))),1,0)</f>
        <v>0</v>
      </c>
      <c r="Y675" s="359">
        <f>IF(Scharniere[[#This Row],[Bohrbild]]=select!$A$989,1,0)</f>
        <v>0</v>
      </c>
      <c r="Z675" s="359">
        <f>IF(IF(Scharniere[[#This Row],[Anschrauben]]=1,1,IF(Scharniere[[#This Row],[Einpressen]]=1,2,IF(Scharniere[[#This Row],[Quick]]=1,3,IF(Scharniere[[#This Row],[Werkzeuglos]]=1,4,0))))=select!$A$1003,1,0)</f>
        <v>0</v>
      </c>
      <c r="AA6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5" s="359">
        <f ca="1">IF(select!$K$980="*",Scharniere[[#This Row],[AG Ges2]],Scharniere[[#This Row],[AG Ges1]])</f>
        <v>0</v>
      </c>
      <c r="AE675" s="451">
        <f ca="1">IF(AND(Scharniere[[#This Row],[Scharnierart]]=select!$A$1485,Scharniere[[#This Row],[Gruppenschlüssel]]=select!$B$1485)=TRUE,1,0)</f>
        <v>0</v>
      </c>
      <c r="AF675" s="451">
        <f ca="1">IF(AND(Scharniere[[#This Row],[Scharnierart]]=select!$A$1486,Scharniere[[#This Row],[Gruppenschlüssel]]=select!$B$1486)=TRUE,1,0)</f>
        <v>0</v>
      </c>
      <c r="AG675" s="451">
        <f ca="1">IF(AND(Scharniere[[#This Row],[Scharnierart]]=select!$A$1487,Scharniere[[#This Row],[Gruppenschlüssel]]=select!$B$1487)=TRUE,1,0)</f>
        <v>0</v>
      </c>
      <c r="AH675" s="451">
        <f ca="1">IF(AND(Scharniere[[#This Row],[Scharnierart]]=select!$A$1488,Scharniere[[#This Row],[Gruppenschlüssel]]=select!$B$1488)=TRUE,1,0)</f>
        <v>0</v>
      </c>
      <c r="AI675" s="451">
        <f ca="1">IF(SUM(Scharniere[[#This Row],[konf Scharnier 1]:[konf Scharnier 4]])&gt;0,1,0)</f>
        <v>0</v>
      </c>
      <c r="AJ675" s="451"/>
      <c r="AK675" s="451"/>
      <c r="AL675" s="451"/>
      <c r="AM675" s="451"/>
      <c r="AN675" s="451"/>
      <c r="AO675" s="146">
        <v>1</v>
      </c>
      <c r="AP675" s="146">
        <v>4</v>
      </c>
      <c r="AQ675" s="10" t="str">
        <f ca="1">Sprache!$A$112</f>
        <v>Tiomos Scharnier TS Click-on</v>
      </c>
      <c r="AR675" t="str">
        <f ca="1">"95°, S-BB, K03, "&amp;Sprache!A181&amp;", ni"</f>
        <v>95°, S-BB, K03, Dübel, ni</v>
      </c>
      <c r="AS675" t="str">
        <f ca="1">Sprache!$A$103</f>
        <v>Tiomos Click-On Scharniere</v>
      </c>
      <c r="AT675">
        <v>3</v>
      </c>
      <c r="AU675" s="34" t="s">
        <v>11</v>
      </c>
      <c r="AV675">
        <v>95</v>
      </c>
      <c r="AW675" s="10">
        <v>1</v>
      </c>
      <c r="AX675">
        <v>0</v>
      </c>
      <c r="AY675">
        <v>0</v>
      </c>
      <c r="AZ675" s="10">
        <v>0</v>
      </c>
      <c r="BA675">
        <v>1</v>
      </c>
      <c r="BB675">
        <v>0</v>
      </c>
      <c r="BC675">
        <v>0</v>
      </c>
      <c r="BD675" s="143" t="s">
        <v>414</v>
      </c>
      <c r="BG675"/>
    </row>
    <row r="676" spans="1:59" ht="14.25" customHeight="1" x14ac:dyDescent="0.25">
      <c r="A676" s="37" t="str">
        <f>LEFT(Scharniere[[#This Row],[ArtikelNR]],4)</f>
        <v>F046</v>
      </c>
      <c r="B676" s="35" t="str">
        <f>MID(Scharniere[[#This Row],[ArtikelNR]],5,3)</f>
        <v>138</v>
      </c>
      <c r="C676" s="37" t="str">
        <f>RIGHT(Scharniere[[#This Row],[ArtikelNR]],3)</f>
        <v>996</v>
      </c>
      <c r="D676" s="35">
        <f>IF(AND(Scharniere[[#This Row],[Gruppenschlüssel]]=select!$A$44,Scharniere[[#This Row],[Scharnierart]]=1)=TRUE,1,0)</f>
        <v>0</v>
      </c>
      <c r="E6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6" s="35">
        <f>IF(select!$F$57=IF(Scharniere[[#This Row],[mit Dämpfung]]=1,1,IF(Scharniere[[#This Row],[ohne Dämpfung]]=1,2,IF(Scharniere[[#This Row],[ohne Feder]]=1,3,0))),1,0)</f>
        <v>1</v>
      </c>
      <c r="G676" s="35">
        <f>IF(Scharniere[[#This Row],[Bohrbild]]=select!$V$43,1,0)</f>
        <v>0</v>
      </c>
      <c r="H676" s="35">
        <f>IF(IF(Scharniere[[#This Row],[Anschrauben]]=1,1,IF(Scharniere[[#This Row],[Einpressen]]=1,2,IF(Scharniere[[#This Row],[Quick]]=1,3,IF(Scharniere[[#This Row],[Werkzeuglos]]=1,4,0))))=select!$F$48,1,0)</f>
        <v>1</v>
      </c>
      <c r="I6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6" s="149">
        <f>IF(AND(Scharniere[[#This Row],[Scharnierart]]=2,Scharniere[[#This Row],[Gruppenschlüssel]]=select!$A$318)=TRUE,1,0)</f>
        <v>0</v>
      </c>
      <c r="K676" s="221">
        <f ca="1">IF(select!$O$424&lt;6,1,0)</f>
        <v>1</v>
      </c>
      <c r="L676" s="139">
        <f>IF(select!$A$362=IF(Scharniere[[#This Row],[mit Dämpfung]]=1,1,IF(Scharniere[[#This Row],[ohne Dämpfung]]=1,2,IF(Scharniere[[#This Row],[ohne Feder]]=1,3,0))),1,0)</f>
        <v>0</v>
      </c>
      <c r="M676" s="135">
        <f>IF(Scharniere[[#This Row],[Bohrbild]]=select!$O$334,1,0)</f>
        <v>0</v>
      </c>
      <c r="N676" s="135">
        <f>IF(IF(Scharniere[[#This Row],[Anschrauben]]=1,1,IF(Scharniere[[#This Row],[Einpressen]]=1,2,IF(Scharniere[[#This Row],[Quick]]=1,3,IF(Scharniere[[#This Row],[Werkzeuglos]]=1,4,0))))=select!$E$362,1,0)</f>
        <v>0</v>
      </c>
      <c r="O6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6" s="298">
        <f>IF(AND(Scharniere[[#This Row],[Scharnierart]]=3,Scharniere[[#This Row],[Gruppenschlüssel]]=select!$A$747)=TRUE,1,0)</f>
        <v>0</v>
      </c>
      <c r="Q676" s="298">
        <f ca="1">IF(select!$O$945&lt;6,1,0)</f>
        <v>1</v>
      </c>
      <c r="R676" s="298">
        <f>IF(select!$A$778=IF(Scharniere[[#This Row],[mit Dämpfung]]=1,1,IF(Scharniere[[#This Row],[ohne Dämpfung]]=1,2,IF(Scharniere[[#This Row],[ohne Feder]]=1,3,0))),1,0)</f>
        <v>0</v>
      </c>
      <c r="S676" s="298">
        <f>IF(Scharniere[[#This Row],[Bohrbild]]=select!$A$755,1,0)</f>
        <v>0</v>
      </c>
      <c r="T676" s="298">
        <f>IF(IF(Scharniere[[#This Row],[Anschrauben]]=1,1,IF(Scharniere[[#This Row],[Einpressen]]=1,2,IF(Scharniere[[#This Row],[Quick]]=1,3,IF(Scharniere[[#This Row],[Werkzeuglos]]=1,4,0))))=select!$A$769,1,0)</f>
        <v>0</v>
      </c>
      <c r="U6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6" s="359">
        <f>IF(AND(Scharniere[[#This Row],[Scharnierart]]=4,Scharniere[[#This Row],[Gruppenschlüssel]]=select!$A$981)=TRUE,1,0)</f>
        <v>0</v>
      </c>
      <c r="W676" s="359">
        <f ca="1">IF(select!$O$1185&lt;6,1,0)</f>
        <v>1</v>
      </c>
      <c r="X676" s="359">
        <f>IF(select!$A$1012=IF(Scharniere[[#This Row],[mit Dämpfung]]=1,1,IF(Scharniere[[#This Row],[ohne Dämpfung]]=1,2,IF(Scharniere[[#This Row],[ohne Feder]]=1,3,0))),1,0)</f>
        <v>0</v>
      </c>
      <c r="Y676" s="359">
        <f>IF(Scharniere[[#This Row],[Bohrbild]]=select!$A$989,1,0)</f>
        <v>0</v>
      </c>
      <c r="Z676" s="359">
        <f>IF(IF(Scharniere[[#This Row],[Anschrauben]]=1,1,IF(Scharniere[[#This Row],[Einpressen]]=1,2,IF(Scharniere[[#This Row],[Quick]]=1,3,IF(Scharniere[[#This Row],[Werkzeuglos]]=1,4,0))))=select!$A$1003,1,0)</f>
        <v>0</v>
      </c>
      <c r="AA6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6" s="359">
        <f ca="1">IF(select!$K$980="*",Scharniere[[#This Row],[AG Ges2]],Scharniere[[#This Row],[AG Ges1]])</f>
        <v>0</v>
      </c>
      <c r="AE676" s="451">
        <f ca="1">IF(AND(Scharniere[[#This Row],[Scharnierart]]=select!$A$1485,Scharniere[[#This Row],[Gruppenschlüssel]]=select!$B$1485)=TRUE,1,0)</f>
        <v>0</v>
      </c>
      <c r="AF676" s="451">
        <f ca="1">IF(AND(Scharniere[[#This Row],[Scharnierart]]=select!$A$1486,Scharniere[[#This Row],[Gruppenschlüssel]]=select!$B$1486)=TRUE,1,0)</f>
        <v>0</v>
      </c>
      <c r="AG676" s="451">
        <f ca="1">IF(AND(Scharniere[[#This Row],[Scharnierart]]=select!$A$1487,Scharniere[[#This Row],[Gruppenschlüssel]]=select!$B$1487)=TRUE,1,0)</f>
        <v>0</v>
      </c>
      <c r="AH676" s="451">
        <f ca="1">IF(AND(Scharniere[[#This Row],[Scharnierart]]=select!$A$1488,Scharniere[[#This Row],[Gruppenschlüssel]]=select!$B$1488)=TRUE,1,0)</f>
        <v>0</v>
      </c>
      <c r="AI676" s="451">
        <f ca="1">IF(SUM(Scharniere[[#This Row],[konf Scharnier 1]:[konf Scharnier 4]])&gt;0,1,0)</f>
        <v>0</v>
      </c>
      <c r="AJ676" s="451"/>
      <c r="AK676" s="451"/>
      <c r="AL676" s="451"/>
      <c r="AM676" s="451"/>
      <c r="AN676" s="451"/>
      <c r="AO676" s="146">
        <v>1</v>
      </c>
      <c r="AP676" s="146">
        <v>4</v>
      </c>
      <c r="AQ676" s="10" t="str">
        <f ca="1">Sprache!$A$114</f>
        <v>Tiomos Scharnier TT Click-on</v>
      </c>
      <c r="AR676" t="str">
        <f ca="1">"95°, S-BB, K03, "&amp;Sprache!A181&amp;", ni"</f>
        <v>95°, S-BB, K03, Dübel, ni</v>
      </c>
      <c r="AS676" t="str">
        <f ca="1">Sprache!$A$103</f>
        <v>Tiomos Click-On Scharniere</v>
      </c>
      <c r="AT676">
        <v>3</v>
      </c>
      <c r="AU676" t="s">
        <v>11</v>
      </c>
      <c r="AV676">
        <v>95</v>
      </c>
      <c r="AW676" s="10">
        <v>0</v>
      </c>
      <c r="AX676">
        <v>0</v>
      </c>
      <c r="AY676">
        <v>1</v>
      </c>
      <c r="AZ676" s="10">
        <v>0</v>
      </c>
      <c r="BA676">
        <v>1</v>
      </c>
      <c r="BB676">
        <v>0</v>
      </c>
      <c r="BC676">
        <v>0</v>
      </c>
      <c r="BD676" s="143" t="s">
        <v>719</v>
      </c>
      <c r="BG676"/>
    </row>
    <row r="677" spans="1:59" ht="14.25" customHeight="1" x14ac:dyDescent="0.25">
      <c r="A677" s="37" t="str">
        <f>LEFT(Scharniere[[#This Row],[ArtikelNR]],4)</f>
        <v>F045</v>
      </c>
      <c r="B677" s="35" t="str">
        <f>MID(Scharniere[[#This Row],[ArtikelNR]],5,3)</f>
        <v>138</v>
      </c>
      <c r="C677" s="37" t="str">
        <f>RIGHT(Scharniere[[#This Row],[ArtikelNR]],3)</f>
        <v>870</v>
      </c>
      <c r="D677" s="35">
        <f>IF(AND(Scharniere[[#This Row],[Gruppenschlüssel]]=select!$A$44,Scharniere[[#This Row],[Scharnierart]]=1)=TRUE,1,0)</f>
        <v>0</v>
      </c>
      <c r="E6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7" s="35">
        <f>IF(select!$F$57=IF(Scharniere[[#This Row],[mit Dämpfung]]=1,1,IF(Scharniere[[#This Row],[ohne Dämpfung]]=1,2,IF(Scharniere[[#This Row],[ohne Feder]]=1,3,0))),1,0)</f>
        <v>0</v>
      </c>
      <c r="G677" s="35">
        <f>IF(Scharniere[[#This Row],[Bohrbild]]=select!$V$43,1,0)</f>
        <v>0</v>
      </c>
      <c r="H677" s="35">
        <f>IF(IF(Scharniere[[#This Row],[Anschrauben]]=1,1,IF(Scharniere[[#This Row],[Einpressen]]=1,2,IF(Scharniere[[#This Row],[Quick]]=1,3,IF(Scharniere[[#This Row],[Werkzeuglos]]=1,4,0))))=select!$F$48,1,0)</f>
        <v>0</v>
      </c>
      <c r="I6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7" s="149">
        <f>IF(AND(Scharniere[[#This Row],[Scharnierart]]=2,Scharniere[[#This Row],[Gruppenschlüssel]]=select!$A$318)=TRUE,1,0)</f>
        <v>0</v>
      </c>
      <c r="K677" s="221">
        <f ca="1">IF(select!$O$424&lt;6,1,0)</f>
        <v>1</v>
      </c>
      <c r="L677" s="139">
        <f>IF(select!$A$362=IF(Scharniere[[#This Row],[mit Dämpfung]]=1,1,IF(Scharniere[[#This Row],[ohne Dämpfung]]=1,2,IF(Scharniere[[#This Row],[ohne Feder]]=1,3,0))),1,0)</f>
        <v>0</v>
      </c>
      <c r="M677" s="135">
        <f>IF(Scharniere[[#This Row],[Bohrbild]]=select!$O$334,1,0)</f>
        <v>0</v>
      </c>
      <c r="N677" s="135">
        <f>IF(IF(Scharniere[[#This Row],[Anschrauben]]=1,1,IF(Scharniere[[#This Row],[Einpressen]]=1,2,IF(Scharniere[[#This Row],[Quick]]=1,3,IF(Scharniere[[#This Row],[Werkzeuglos]]=1,4,0))))=select!$E$362,1,0)</f>
        <v>1</v>
      </c>
      <c r="O6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7" s="298">
        <f>IF(AND(Scharniere[[#This Row],[Scharnierart]]=3,Scharniere[[#This Row],[Gruppenschlüssel]]=select!$A$747)=TRUE,1,0)</f>
        <v>0</v>
      </c>
      <c r="Q677" s="298">
        <f ca="1">IF(select!$O$945&lt;6,1,0)</f>
        <v>1</v>
      </c>
      <c r="R677" s="298">
        <f>IF(select!$A$778=IF(Scharniere[[#This Row],[mit Dämpfung]]=1,1,IF(Scharniere[[#This Row],[ohne Dämpfung]]=1,2,IF(Scharniere[[#This Row],[ohne Feder]]=1,3,0))),1,0)</f>
        <v>1</v>
      </c>
      <c r="S677" s="298">
        <f>IF(Scharniere[[#This Row],[Bohrbild]]=select!$A$755,1,0)</f>
        <v>0</v>
      </c>
      <c r="T677" s="298">
        <f>IF(IF(Scharniere[[#This Row],[Anschrauben]]=1,1,IF(Scharniere[[#This Row],[Einpressen]]=1,2,IF(Scharniere[[#This Row],[Quick]]=1,3,IF(Scharniere[[#This Row],[Werkzeuglos]]=1,4,0))))=select!$A$769,1,0)</f>
        <v>1</v>
      </c>
      <c r="U6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7" s="359">
        <f>IF(AND(Scharniere[[#This Row],[Scharnierart]]=4,Scharniere[[#This Row],[Gruppenschlüssel]]=select!$A$981)=TRUE,1,0)</f>
        <v>0</v>
      </c>
      <c r="W677" s="359">
        <f ca="1">IF(select!$O$1185&lt;6,1,0)</f>
        <v>1</v>
      </c>
      <c r="X677" s="359">
        <f>IF(select!$A$1012=IF(Scharniere[[#This Row],[mit Dämpfung]]=1,1,IF(Scharniere[[#This Row],[ohne Dämpfung]]=1,2,IF(Scharniere[[#This Row],[ohne Feder]]=1,3,0))),1,0)</f>
        <v>1</v>
      </c>
      <c r="Y677" s="359">
        <f>IF(Scharniere[[#This Row],[Bohrbild]]=select!$A$989,1,0)</f>
        <v>0</v>
      </c>
      <c r="Z677" s="359">
        <f>IF(IF(Scharniere[[#This Row],[Anschrauben]]=1,1,IF(Scharniere[[#This Row],[Einpressen]]=1,2,IF(Scharniere[[#This Row],[Quick]]=1,3,IF(Scharniere[[#This Row],[Werkzeuglos]]=1,4,0))))=select!$A$1003,1,0)</f>
        <v>1</v>
      </c>
      <c r="AA6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7" s="359">
        <f ca="1">IF(select!$K$980="*",Scharniere[[#This Row],[AG Ges2]],Scharniere[[#This Row],[AG Ges1]])</f>
        <v>0</v>
      </c>
      <c r="AE677" s="451">
        <f ca="1">IF(AND(Scharniere[[#This Row],[Scharnierart]]=select!$A$1485,Scharniere[[#This Row],[Gruppenschlüssel]]=select!$B$1485)=TRUE,1,0)</f>
        <v>0</v>
      </c>
      <c r="AF677" s="451">
        <f ca="1">IF(AND(Scharniere[[#This Row],[Scharnierart]]=select!$A$1486,Scharniere[[#This Row],[Gruppenschlüssel]]=select!$B$1486)=TRUE,1,0)</f>
        <v>0</v>
      </c>
      <c r="AG677" s="451">
        <f ca="1">IF(AND(Scharniere[[#This Row],[Scharnierart]]=select!$A$1487,Scharniere[[#This Row],[Gruppenschlüssel]]=select!$B$1487)=TRUE,1,0)</f>
        <v>0</v>
      </c>
      <c r="AH677" s="451">
        <f ca="1">IF(AND(Scharniere[[#This Row],[Scharnierart]]=select!$A$1488,Scharniere[[#This Row],[Gruppenschlüssel]]=select!$B$1488)=TRUE,1,0)</f>
        <v>0</v>
      </c>
      <c r="AI677" s="451">
        <f ca="1">IF(SUM(Scharniere[[#This Row],[konf Scharnier 1]:[konf Scharnier 4]])&gt;0,1,0)</f>
        <v>0</v>
      </c>
      <c r="AJ677" s="451"/>
      <c r="AK677" s="451"/>
      <c r="AL677" s="451"/>
      <c r="AM677" s="451"/>
      <c r="AN677" s="451"/>
      <c r="AO677" s="146">
        <v>1</v>
      </c>
      <c r="AP677" s="146">
        <v>4</v>
      </c>
      <c r="AQ677" s="10" t="str">
        <f ca="1">Sprache!$A$110</f>
        <v>Tiomos Scharnier T Click-on</v>
      </c>
      <c r="AR677" t="s">
        <v>409</v>
      </c>
      <c r="AS677" t="str">
        <f ca="1">Sprache!$A$103</f>
        <v>Tiomos Click-On Scharniere</v>
      </c>
      <c r="AT677">
        <v>3</v>
      </c>
      <c r="AU677" s="10" t="s">
        <v>11</v>
      </c>
      <c r="AV677">
        <v>95</v>
      </c>
      <c r="AW677" s="10">
        <v>0</v>
      </c>
      <c r="AX677">
        <v>1</v>
      </c>
      <c r="AY677">
        <v>0</v>
      </c>
      <c r="AZ677" s="10">
        <v>1</v>
      </c>
      <c r="BA677">
        <v>0</v>
      </c>
      <c r="BB677">
        <v>0</v>
      </c>
      <c r="BC677">
        <v>0</v>
      </c>
      <c r="BD677" s="143" t="s">
        <v>563</v>
      </c>
      <c r="BG677"/>
    </row>
    <row r="678" spans="1:59" ht="14.25" customHeight="1" x14ac:dyDescent="0.25">
      <c r="A678" s="37" t="str">
        <f>LEFT(Scharniere[[#This Row],[ArtikelNR]],4)</f>
        <v>F028</v>
      </c>
      <c r="B678" s="35" t="str">
        <f>MID(Scharniere[[#This Row],[ArtikelNR]],5,3)</f>
        <v>138</v>
      </c>
      <c r="C678" s="37" t="str">
        <f>RIGHT(Scharniere[[#This Row],[ArtikelNR]],3)</f>
        <v>932</v>
      </c>
      <c r="D678" s="35">
        <f>IF(AND(Scharniere[[#This Row],[Gruppenschlüssel]]=select!$A$44,Scharniere[[#This Row],[Scharnierart]]=1)=TRUE,1,0)</f>
        <v>0</v>
      </c>
      <c r="E6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8" s="35">
        <f>IF(select!$F$57=IF(Scharniere[[#This Row],[mit Dämpfung]]=1,1,IF(Scharniere[[#This Row],[ohne Dämpfung]]=1,2,IF(Scharniere[[#This Row],[ohne Feder]]=1,3,0))),1,0)</f>
        <v>0</v>
      </c>
      <c r="G678" s="35">
        <f>IF(Scharniere[[#This Row],[Bohrbild]]=select!$V$43,1,0)</f>
        <v>0</v>
      </c>
      <c r="H678" s="35">
        <f>IF(IF(Scharniere[[#This Row],[Anschrauben]]=1,1,IF(Scharniere[[#This Row],[Einpressen]]=1,2,IF(Scharniere[[#This Row],[Quick]]=1,3,IF(Scharniere[[#This Row],[Werkzeuglos]]=1,4,0))))=select!$F$48,1,0)</f>
        <v>0</v>
      </c>
      <c r="I6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8" s="149">
        <f>IF(AND(Scharniere[[#This Row],[Scharnierart]]=2,Scharniere[[#This Row],[Gruppenschlüssel]]=select!$A$318)=TRUE,1,0)</f>
        <v>0</v>
      </c>
      <c r="K678" s="221">
        <f ca="1">IF(select!$O$424&lt;6,1,0)</f>
        <v>1</v>
      </c>
      <c r="L678" s="139">
        <f>IF(select!$A$362=IF(Scharniere[[#This Row],[mit Dämpfung]]=1,1,IF(Scharniere[[#This Row],[ohne Dämpfung]]=1,2,IF(Scharniere[[#This Row],[ohne Feder]]=1,3,0))),1,0)</f>
        <v>1</v>
      </c>
      <c r="M678" s="135">
        <f>IF(Scharniere[[#This Row],[Bohrbild]]=select!$O$334,1,0)</f>
        <v>0</v>
      </c>
      <c r="N678" s="135">
        <f>IF(IF(Scharniere[[#This Row],[Anschrauben]]=1,1,IF(Scharniere[[#This Row],[Einpressen]]=1,2,IF(Scharniere[[#This Row],[Quick]]=1,3,IF(Scharniere[[#This Row],[Werkzeuglos]]=1,4,0))))=select!$E$362,1,0)</f>
        <v>1</v>
      </c>
      <c r="O6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8" s="298">
        <f>IF(AND(Scharniere[[#This Row],[Scharnierart]]=3,Scharniere[[#This Row],[Gruppenschlüssel]]=select!$A$747)=TRUE,1,0)</f>
        <v>0</v>
      </c>
      <c r="Q678" s="298">
        <f ca="1">IF(select!$O$945&lt;6,1,0)</f>
        <v>1</v>
      </c>
      <c r="R678" s="298">
        <f>IF(select!$A$778=IF(Scharniere[[#This Row],[mit Dämpfung]]=1,1,IF(Scharniere[[#This Row],[ohne Dämpfung]]=1,2,IF(Scharniere[[#This Row],[ohne Feder]]=1,3,0))),1,0)</f>
        <v>0</v>
      </c>
      <c r="S678" s="298">
        <f>IF(Scharniere[[#This Row],[Bohrbild]]=select!$A$755,1,0)</f>
        <v>0</v>
      </c>
      <c r="T678" s="298">
        <f>IF(IF(Scharniere[[#This Row],[Anschrauben]]=1,1,IF(Scharniere[[#This Row],[Einpressen]]=1,2,IF(Scharniere[[#This Row],[Quick]]=1,3,IF(Scharniere[[#This Row],[Werkzeuglos]]=1,4,0))))=select!$A$769,1,0)</f>
        <v>1</v>
      </c>
      <c r="U6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8" s="359">
        <f>IF(AND(Scharniere[[#This Row],[Scharnierart]]=4,Scharniere[[#This Row],[Gruppenschlüssel]]=select!$A$981)=TRUE,1,0)</f>
        <v>0</v>
      </c>
      <c r="W678" s="359">
        <f ca="1">IF(select!$O$1185&lt;6,1,0)</f>
        <v>1</v>
      </c>
      <c r="X678" s="359">
        <f>IF(select!$A$1012=IF(Scharniere[[#This Row],[mit Dämpfung]]=1,1,IF(Scharniere[[#This Row],[ohne Dämpfung]]=1,2,IF(Scharniere[[#This Row],[ohne Feder]]=1,3,0))),1,0)</f>
        <v>0</v>
      </c>
      <c r="Y678" s="359">
        <f>IF(Scharniere[[#This Row],[Bohrbild]]=select!$A$989,1,0)</f>
        <v>0</v>
      </c>
      <c r="Z678" s="359">
        <f>IF(IF(Scharniere[[#This Row],[Anschrauben]]=1,1,IF(Scharniere[[#This Row],[Einpressen]]=1,2,IF(Scharniere[[#This Row],[Quick]]=1,3,IF(Scharniere[[#This Row],[Werkzeuglos]]=1,4,0))))=select!$A$1003,1,0)</f>
        <v>1</v>
      </c>
      <c r="AA6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8" s="359">
        <f ca="1">IF(select!$K$980="*",Scharniere[[#This Row],[AG Ges2]],Scharniere[[#This Row],[AG Ges1]])</f>
        <v>0</v>
      </c>
      <c r="AE678" s="451">
        <f ca="1">IF(AND(Scharniere[[#This Row],[Scharnierart]]=select!$A$1485,Scharniere[[#This Row],[Gruppenschlüssel]]=select!$B$1485)=TRUE,1,0)</f>
        <v>0</v>
      </c>
      <c r="AF678" s="451">
        <f ca="1">IF(AND(Scharniere[[#This Row],[Scharnierart]]=select!$A$1486,Scharniere[[#This Row],[Gruppenschlüssel]]=select!$B$1486)=TRUE,1,0)</f>
        <v>0</v>
      </c>
      <c r="AG678" s="451">
        <f ca="1">IF(AND(Scharniere[[#This Row],[Scharnierart]]=select!$A$1487,Scharniere[[#This Row],[Gruppenschlüssel]]=select!$B$1487)=TRUE,1,0)</f>
        <v>0</v>
      </c>
      <c r="AH678" s="451">
        <f ca="1">IF(AND(Scharniere[[#This Row],[Scharnierart]]=select!$A$1488,Scharniere[[#This Row],[Gruppenschlüssel]]=select!$B$1488)=TRUE,1,0)</f>
        <v>0</v>
      </c>
      <c r="AI678" s="451">
        <f ca="1">IF(SUM(Scharniere[[#This Row],[konf Scharnier 1]:[konf Scharnier 4]])&gt;0,1,0)</f>
        <v>0</v>
      </c>
      <c r="AJ678" s="451"/>
      <c r="AK678" s="451"/>
      <c r="AL678" s="451"/>
      <c r="AM678" s="451"/>
      <c r="AN678" s="451"/>
      <c r="AO678" s="146">
        <v>1</v>
      </c>
      <c r="AP678" s="146">
        <v>4</v>
      </c>
      <c r="AQ678" s="10" t="str">
        <f ca="1">Sprache!$A$112</f>
        <v>Tiomos Scharnier TS Click-on</v>
      </c>
      <c r="AR678" t="s">
        <v>409</v>
      </c>
      <c r="AS678" t="str">
        <f ca="1">Sprache!$A$103</f>
        <v>Tiomos Click-On Scharniere</v>
      </c>
      <c r="AT678">
        <v>3</v>
      </c>
      <c r="AU678" t="s">
        <v>11</v>
      </c>
      <c r="AV678">
        <v>95</v>
      </c>
      <c r="AW678" s="10">
        <v>1</v>
      </c>
      <c r="AX678">
        <v>0</v>
      </c>
      <c r="AY678">
        <v>0</v>
      </c>
      <c r="AZ678" s="10">
        <v>1</v>
      </c>
      <c r="BA678">
        <v>0</v>
      </c>
      <c r="BB678">
        <v>0</v>
      </c>
      <c r="BC678">
        <v>0</v>
      </c>
      <c r="BD678" s="143" t="s">
        <v>408</v>
      </c>
      <c r="BG678"/>
    </row>
    <row r="679" spans="1:59" ht="14.25" customHeight="1" x14ac:dyDescent="0.25">
      <c r="A679" s="37" t="str">
        <f>LEFT(Scharniere[[#This Row],[ArtikelNR]],4)</f>
        <v>F046</v>
      </c>
      <c r="B679" s="35" t="str">
        <f>MID(Scharniere[[#This Row],[ArtikelNR]],5,3)</f>
        <v>138</v>
      </c>
      <c r="C679" s="37" t="str">
        <f>RIGHT(Scharniere[[#This Row],[ArtikelNR]],3)</f>
        <v>992</v>
      </c>
      <c r="D679" s="35">
        <f>IF(AND(Scharniere[[#This Row],[Gruppenschlüssel]]=select!$A$44,Scharniere[[#This Row],[Scharnierart]]=1)=TRUE,1,0)</f>
        <v>0</v>
      </c>
      <c r="E6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679" s="35">
        <f>IF(select!$F$57=IF(Scharniere[[#This Row],[mit Dämpfung]]=1,1,IF(Scharniere[[#This Row],[ohne Dämpfung]]=1,2,IF(Scharniere[[#This Row],[ohne Feder]]=1,3,0))),1,0)</f>
        <v>1</v>
      </c>
      <c r="G679" s="35">
        <f>IF(Scharniere[[#This Row],[Bohrbild]]=select!$V$43,1,0)</f>
        <v>0</v>
      </c>
      <c r="H679" s="35">
        <f>IF(IF(Scharniere[[#This Row],[Anschrauben]]=1,1,IF(Scharniere[[#This Row],[Einpressen]]=1,2,IF(Scharniere[[#This Row],[Quick]]=1,3,IF(Scharniere[[#This Row],[Werkzeuglos]]=1,4,0))))=select!$F$48,1,0)</f>
        <v>0</v>
      </c>
      <c r="I6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79" s="149">
        <f>IF(AND(Scharniere[[#This Row],[Scharnierart]]=2,Scharniere[[#This Row],[Gruppenschlüssel]]=select!$A$318)=TRUE,1,0)</f>
        <v>0</v>
      </c>
      <c r="K679" s="221">
        <f ca="1">IF(select!$O$424&lt;6,1,0)</f>
        <v>1</v>
      </c>
      <c r="L679" s="139">
        <f>IF(select!$A$362=IF(Scharniere[[#This Row],[mit Dämpfung]]=1,1,IF(Scharniere[[#This Row],[ohne Dämpfung]]=1,2,IF(Scharniere[[#This Row],[ohne Feder]]=1,3,0))),1,0)</f>
        <v>0</v>
      </c>
      <c r="M679" s="135">
        <f>IF(Scharniere[[#This Row],[Bohrbild]]=select!$O$334,1,0)</f>
        <v>0</v>
      </c>
      <c r="N679" s="135">
        <f>IF(IF(Scharniere[[#This Row],[Anschrauben]]=1,1,IF(Scharniere[[#This Row],[Einpressen]]=1,2,IF(Scharniere[[#This Row],[Quick]]=1,3,IF(Scharniere[[#This Row],[Werkzeuglos]]=1,4,0))))=select!$E$362,1,0)</f>
        <v>1</v>
      </c>
      <c r="O6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79" s="298">
        <f>IF(AND(Scharniere[[#This Row],[Scharnierart]]=3,Scharniere[[#This Row],[Gruppenschlüssel]]=select!$A$747)=TRUE,1,0)</f>
        <v>0</v>
      </c>
      <c r="Q679" s="298">
        <f ca="1">IF(select!$O$945&lt;6,1,0)</f>
        <v>1</v>
      </c>
      <c r="R679" s="298">
        <f>IF(select!$A$778=IF(Scharniere[[#This Row],[mit Dämpfung]]=1,1,IF(Scharniere[[#This Row],[ohne Dämpfung]]=1,2,IF(Scharniere[[#This Row],[ohne Feder]]=1,3,0))),1,0)</f>
        <v>0</v>
      </c>
      <c r="S679" s="298">
        <f>IF(Scharniere[[#This Row],[Bohrbild]]=select!$A$755,1,0)</f>
        <v>0</v>
      </c>
      <c r="T679" s="298">
        <f>IF(IF(Scharniere[[#This Row],[Anschrauben]]=1,1,IF(Scharniere[[#This Row],[Einpressen]]=1,2,IF(Scharniere[[#This Row],[Quick]]=1,3,IF(Scharniere[[#This Row],[Werkzeuglos]]=1,4,0))))=select!$A$769,1,0)</f>
        <v>1</v>
      </c>
      <c r="U6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79" s="359">
        <f>IF(AND(Scharniere[[#This Row],[Scharnierart]]=4,Scharniere[[#This Row],[Gruppenschlüssel]]=select!$A$981)=TRUE,1,0)</f>
        <v>0</v>
      </c>
      <c r="W679" s="359">
        <f ca="1">IF(select!$O$1185&lt;6,1,0)</f>
        <v>1</v>
      </c>
      <c r="X679" s="359">
        <f>IF(select!$A$1012=IF(Scharniere[[#This Row],[mit Dämpfung]]=1,1,IF(Scharniere[[#This Row],[ohne Dämpfung]]=1,2,IF(Scharniere[[#This Row],[ohne Feder]]=1,3,0))),1,0)</f>
        <v>0</v>
      </c>
      <c r="Y679" s="359">
        <f>IF(Scharniere[[#This Row],[Bohrbild]]=select!$A$989,1,0)</f>
        <v>0</v>
      </c>
      <c r="Z679" s="359">
        <f>IF(IF(Scharniere[[#This Row],[Anschrauben]]=1,1,IF(Scharniere[[#This Row],[Einpressen]]=1,2,IF(Scharniere[[#This Row],[Quick]]=1,3,IF(Scharniere[[#This Row],[Werkzeuglos]]=1,4,0))))=select!$A$1003,1,0)</f>
        <v>1</v>
      </c>
      <c r="AA6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79" s="359">
        <f ca="1">IF(select!$K$980="*",Scharniere[[#This Row],[AG Ges2]],Scharniere[[#This Row],[AG Ges1]])</f>
        <v>0</v>
      </c>
      <c r="AE679" s="451">
        <f ca="1">IF(AND(Scharniere[[#This Row],[Scharnierart]]=select!$A$1485,Scharniere[[#This Row],[Gruppenschlüssel]]=select!$B$1485)=TRUE,1,0)</f>
        <v>0</v>
      </c>
      <c r="AF679" s="451">
        <f ca="1">IF(AND(Scharniere[[#This Row],[Scharnierart]]=select!$A$1486,Scharniere[[#This Row],[Gruppenschlüssel]]=select!$B$1486)=TRUE,1,0)</f>
        <v>0</v>
      </c>
      <c r="AG679" s="451">
        <f ca="1">IF(AND(Scharniere[[#This Row],[Scharnierart]]=select!$A$1487,Scharniere[[#This Row],[Gruppenschlüssel]]=select!$B$1487)=TRUE,1,0)</f>
        <v>0</v>
      </c>
      <c r="AH679" s="451">
        <f ca="1">IF(AND(Scharniere[[#This Row],[Scharnierart]]=select!$A$1488,Scharniere[[#This Row],[Gruppenschlüssel]]=select!$B$1488)=TRUE,1,0)</f>
        <v>0</v>
      </c>
      <c r="AI679" s="451">
        <f ca="1">IF(SUM(Scharniere[[#This Row],[konf Scharnier 1]:[konf Scharnier 4]])&gt;0,1,0)</f>
        <v>0</v>
      </c>
      <c r="AJ679" s="451"/>
      <c r="AK679" s="451"/>
      <c r="AL679" s="451"/>
      <c r="AM679" s="451"/>
      <c r="AN679" s="451"/>
      <c r="AO679" s="146">
        <v>1</v>
      </c>
      <c r="AP679" s="146">
        <v>4</v>
      </c>
      <c r="AQ679" s="10" t="str">
        <f ca="1">Sprache!$A$114</f>
        <v>Tiomos Scharnier TT Click-on</v>
      </c>
      <c r="AR679" t="s">
        <v>409</v>
      </c>
      <c r="AS679" t="str">
        <f ca="1">Sprache!$A$103</f>
        <v>Tiomos Click-On Scharniere</v>
      </c>
      <c r="AT679">
        <v>3</v>
      </c>
      <c r="AU679" t="s">
        <v>11</v>
      </c>
      <c r="AV679">
        <v>95</v>
      </c>
      <c r="AW679" s="10">
        <v>0</v>
      </c>
      <c r="AX679">
        <v>0</v>
      </c>
      <c r="AY679">
        <v>1</v>
      </c>
      <c r="AZ679" s="10">
        <v>1</v>
      </c>
      <c r="BA679">
        <v>0</v>
      </c>
      <c r="BB679">
        <v>0</v>
      </c>
      <c r="BC679">
        <v>0</v>
      </c>
      <c r="BD679" s="143" t="s">
        <v>715</v>
      </c>
      <c r="BG679"/>
    </row>
    <row r="680" spans="1:59" ht="14.25" customHeight="1" x14ac:dyDescent="0.25">
      <c r="A680" s="37" t="str">
        <f>LEFT(Scharniere[[#This Row],[ArtikelNR]],4)</f>
        <v>F045</v>
      </c>
      <c r="B680" s="35" t="str">
        <f>MID(Scharniere[[#This Row],[ArtikelNR]],5,3)</f>
        <v>138</v>
      </c>
      <c r="C680" s="37" t="str">
        <f>RIGHT(Scharniere[[#This Row],[ArtikelNR]],3)</f>
        <v>509</v>
      </c>
      <c r="D680" s="35">
        <f>IF(AND(Scharniere[[#This Row],[Gruppenschlüssel]]=select!$A$44,Scharniere[[#This Row],[Scharnierart]]=1)=TRUE,1,0)</f>
        <v>0</v>
      </c>
      <c r="E6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0" s="35">
        <f>IF(select!$F$57=IF(Scharniere[[#This Row],[mit Dämpfung]]=1,1,IF(Scharniere[[#This Row],[ohne Dämpfung]]=1,2,IF(Scharniere[[#This Row],[ohne Feder]]=1,3,0))),1,0)</f>
        <v>0</v>
      </c>
      <c r="G680" s="35">
        <f>IF(Scharniere[[#This Row],[Bohrbild]]=select!$V$43,1,0)</f>
        <v>0</v>
      </c>
      <c r="H680" s="35">
        <f>IF(IF(Scharniere[[#This Row],[Anschrauben]]=1,1,IF(Scharniere[[#This Row],[Einpressen]]=1,2,IF(Scharniere[[#This Row],[Quick]]=1,3,IF(Scharniere[[#This Row],[Werkzeuglos]]=1,4,0))))=select!$F$48,1,0)</f>
        <v>1</v>
      </c>
      <c r="I6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0" s="149">
        <f>IF(AND(Scharniere[[#This Row],[Scharnierart]]=2,Scharniere[[#This Row],[Gruppenschlüssel]]=select!$A$318)=TRUE,1,0)</f>
        <v>0</v>
      </c>
      <c r="K680" s="221">
        <f ca="1">IF(select!$O$424&lt;6,1,0)</f>
        <v>1</v>
      </c>
      <c r="L680" s="139">
        <f>IF(select!$A$362=IF(Scharniere[[#This Row],[mit Dämpfung]]=1,1,IF(Scharniere[[#This Row],[ohne Dämpfung]]=1,2,IF(Scharniere[[#This Row],[ohne Feder]]=1,3,0))),1,0)</f>
        <v>0</v>
      </c>
      <c r="M680" s="135">
        <f>IF(Scharniere[[#This Row],[Bohrbild]]=select!$O$334,1,0)</f>
        <v>0</v>
      </c>
      <c r="N680" s="135">
        <f>IF(IF(Scharniere[[#This Row],[Anschrauben]]=1,1,IF(Scharniere[[#This Row],[Einpressen]]=1,2,IF(Scharniere[[#This Row],[Quick]]=1,3,IF(Scharniere[[#This Row],[Werkzeuglos]]=1,4,0))))=select!$E$362,1,0)</f>
        <v>0</v>
      </c>
      <c r="O6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0" s="298">
        <f>IF(AND(Scharniere[[#This Row],[Scharnierart]]=3,Scharniere[[#This Row],[Gruppenschlüssel]]=select!$A$747)=TRUE,1,0)</f>
        <v>0</v>
      </c>
      <c r="Q680" s="298">
        <f ca="1">IF(select!$O$945&lt;6,1,0)</f>
        <v>1</v>
      </c>
      <c r="R680" s="298">
        <f>IF(select!$A$778=IF(Scharniere[[#This Row],[mit Dämpfung]]=1,1,IF(Scharniere[[#This Row],[ohne Dämpfung]]=1,2,IF(Scharniere[[#This Row],[ohne Feder]]=1,3,0))),1,0)</f>
        <v>1</v>
      </c>
      <c r="S680" s="298">
        <f>IF(Scharniere[[#This Row],[Bohrbild]]=select!$A$755,1,0)</f>
        <v>0</v>
      </c>
      <c r="T680" s="298">
        <f>IF(IF(Scharniere[[#This Row],[Anschrauben]]=1,1,IF(Scharniere[[#This Row],[Einpressen]]=1,2,IF(Scharniere[[#This Row],[Quick]]=1,3,IF(Scharniere[[#This Row],[Werkzeuglos]]=1,4,0))))=select!$A$769,1,0)</f>
        <v>0</v>
      </c>
      <c r="U6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0" s="359">
        <f>IF(AND(Scharniere[[#This Row],[Scharnierart]]=4,Scharniere[[#This Row],[Gruppenschlüssel]]=select!$A$981)=TRUE,1,0)</f>
        <v>0</v>
      </c>
      <c r="W680" s="359">
        <f ca="1">IF(select!$O$1185&lt;6,1,0)</f>
        <v>1</v>
      </c>
      <c r="X680" s="359">
        <f>IF(select!$A$1012=IF(Scharniere[[#This Row],[mit Dämpfung]]=1,1,IF(Scharniere[[#This Row],[ohne Dämpfung]]=1,2,IF(Scharniere[[#This Row],[ohne Feder]]=1,3,0))),1,0)</f>
        <v>1</v>
      </c>
      <c r="Y680" s="359">
        <f>IF(Scharniere[[#This Row],[Bohrbild]]=select!$A$989,1,0)</f>
        <v>0</v>
      </c>
      <c r="Z680" s="359">
        <f>IF(IF(Scharniere[[#This Row],[Anschrauben]]=1,1,IF(Scharniere[[#This Row],[Einpressen]]=1,2,IF(Scharniere[[#This Row],[Quick]]=1,3,IF(Scharniere[[#This Row],[Werkzeuglos]]=1,4,0))))=select!$A$1003,1,0)</f>
        <v>0</v>
      </c>
      <c r="AA6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0" s="359">
        <f ca="1">IF(select!$K$980="*",Scharniere[[#This Row],[AG Ges2]],Scharniere[[#This Row],[AG Ges1]])</f>
        <v>0</v>
      </c>
      <c r="AE680" s="451">
        <f ca="1">IF(AND(Scharniere[[#This Row],[Scharnierart]]=select!$A$1485,Scharniere[[#This Row],[Gruppenschlüssel]]=select!$B$1485)=TRUE,1,0)</f>
        <v>0</v>
      </c>
      <c r="AF680" s="451">
        <f ca="1">IF(AND(Scharniere[[#This Row],[Scharnierart]]=select!$A$1486,Scharniere[[#This Row],[Gruppenschlüssel]]=select!$B$1486)=TRUE,1,0)</f>
        <v>0</v>
      </c>
      <c r="AG680" s="451">
        <f ca="1">IF(AND(Scharniere[[#This Row],[Scharnierart]]=select!$A$1487,Scharniere[[#This Row],[Gruppenschlüssel]]=select!$B$1487)=TRUE,1,0)</f>
        <v>0</v>
      </c>
      <c r="AH680" s="451">
        <f ca="1">IF(AND(Scharniere[[#This Row],[Scharnierart]]=select!$A$1488,Scharniere[[#This Row],[Gruppenschlüssel]]=select!$B$1488)=TRUE,1,0)</f>
        <v>0</v>
      </c>
      <c r="AI680" s="451">
        <f ca="1">IF(SUM(Scharniere[[#This Row],[konf Scharnier 1]:[konf Scharnier 4]])&gt;0,1,0)</f>
        <v>0</v>
      </c>
      <c r="AJ680" s="451"/>
      <c r="AK680" s="451"/>
      <c r="AL680" s="451"/>
      <c r="AM680" s="451"/>
      <c r="AN680" s="451"/>
      <c r="AO680" s="146">
        <v>1</v>
      </c>
      <c r="AP680" s="146">
        <v>4</v>
      </c>
      <c r="AQ680" s="10" t="str">
        <f ca="1">Sprache!$A$110</f>
        <v>Tiomos Scharnier T Click-on</v>
      </c>
      <c r="AR680" t="str">
        <f ca="1">"95°, B-BB, K00, "&amp;Sprache!A181&amp;", ni"</f>
        <v>95°, B-BB, K00, Dübel, ni</v>
      </c>
      <c r="AS680" t="str">
        <f ca="1">Sprache!$A$103</f>
        <v>Tiomos Click-On Scharniere</v>
      </c>
      <c r="AT680">
        <v>0</v>
      </c>
      <c r="AU680" t="s">
        <v>3</v>
      </c>
      <c r="AV680">
        <v>95</v>
      </c>
      <c r="AW680" s="10">
        <v>0</v>
      </c>
      <c r="AX680">
        <v>1</v>
      </c>
      <c r="AY680">
        <v>0</v>
      </c>
      <c r="AZ680" s="10">
        <v>0</v>
      </c>
      <c r="BA680">
        <v>1</v>
      </c>
      <c r="BB680">
        <v>0</v>
      </c>
      <c r="BC680">
        <v>0</v>
      </c>
      <c r="BD680" s="143" t="s">
        <v>510</v>
      </c>
      <c r="BG680"/>
    </row>
    <row r="681" spans="1:59" ht="14.25" customHeight="1" x14ac:dyDescent="0.25">
      <c r="A681" s="37" t="str">
        <f>LEFT(Scharniere[[#This Row],[ArtikelNR]],4)</f>
        <v>F028</v>
      </c>
      <c r="B681" s="35" t="str">
        <f>MID(Scharniere[[#This Row],[ArtikelNR]],5,3)</f>
        <v>138</v>
      </c>
      <c r="C681" s="37" t="str">
        <f>RIGHT(Scharniere[[#This Row],[ArtikelNR]],3)</f>
        <v>571</v>
      </c>
      <c r="D681" s="35">
        <f>IF(AND(Scharniere[[#This Row],[Gruppenschlüssel]]=select!$A$44,Scharniere[[#This Row],[Scharnierart]]=1)=TRUE,1,0)</f>
        <v>0</v>
      </c>
      <c r="E6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1" s="35">
        <f>IF(select!$F$57=IF(Scharniere[[#This Row],[mit Dämpfung]]=1,1,IF(Scharniere[[#This Row],[ohne Dämpfung]]=1,2,IF(Scharniere[[#This Row],[ohne Feder]]=1,3,0))),1,0)</f>
        <v>0</v>
      </c>
      <c r="G681" s="35">
        <f>IF(Scharniere[[#This Row],[Bohrbild]]=select!$V$43,1,0)</f>
        <v>0</v>
      </c>
      <c r="H681" s="35">
        <f>IF(IF(Scharniere[[#This Row],[Anschrauben]]=1,1,IF(Scharniere[[#This Row],[Einpressen]]=1,2,IF(Scharniere[[#This Row],[Quick]]=1,3,IF(Scharniere[[#This Row],[Werkzeuglos]]=1,4,0))))=select!$F$48,1,0)</f>
        <v>1</v>
      </c>
      <c r="I6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1" s="149">
        <f>IF(AND(Scharniere[[#This Row],[Scharnierart]]=2,Scharniere[[#This Row],[Gruppenschlüssel]]=select!$A$318)=TRUE,1,0)</f>
        <v>0</v>
      </c>
      <c r="K681" s="221">
        <f ca="1">IF(select!$O$424&lt;6,1,0)</f>
        <v>1</v>
      </c>
      <c r="L681" s="139">
        <f>IF(select!$A$362=IF(Scharniere[[#This Row],[mit Dämpfung]]=1,1,IF(Scharniere[[#This Row],[ohne Dämpfung]]=1,2,IF(Scharniere[[#This Row],[ohne Feder]]=1,3,0))),1,0)</f>
        <v>1</v>
      </c>
      <c r="M681" s="135">
        <f>IF(Scharniere[[#This Row],[Bohrbild]]=select!$O$334,1,0)</f>
        <v>0</v>
      </c>
      <c r="N681" s="135">
        <f>IF(IF(Scharniere[[#This Row],[Anschrauben]]=1,1,IF(Scharniere[[#This Row],[Einpressen]]=1,2,IF(Scharniere[[#This Row],[Quick]]=1,3,IF(Scharniere[[#This Row],[Werkzeuglos]]=1,4,0))))=select!$E$362,1,0)</f>
        <v>0</v>
      </c>
      <c r="O6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1" s="298">
        <f>IF(AND(Scharniere[[#This Row],[Scharnierart]]=3,Scharniere[[#This Row],[Gruppenschlüssel]]=select!$A$747)=TRUE,1,0)</f>
        <v>0</v>
      </c>
      <c r="Q681" s="298">
        <f ca="1">IF(select!$O$945&lt;6,1,0)</f>
        <v>1</v>
      </c>
      <c r="R681" s="298">
        <f>IF(select!$A$778=IF(Scharniere[[#This Row],[mit Dämpfung]]=1,1,IF(Scharniere[[#This Row],[ohne Dämpfung]]=1,2,IF(Scharniere[[#This Row],[ohne Feder]]=1,3,0))),1,0)</f>
        <v>0</v>
      </c>
      <c r="S681" s="298">
        <f>IF(Scharniere[[#This Row],[Bohrbild]]=select!$A$755,1,0)</f>
        <v>0</v>
      </c>
      <c r="T681" s="298">
        <f>IF(IF(Scharniere[[#This Row],[Anschrauben]]=1,1,IF(Scharniere[[#This Row],[Einpressen]]=1,2,IF(Scharniere[[#This Row],[Quick]]=1,3,IF(Scharniere[[#This Row],[Werkzeuglos]]=1,4,0))))=select!$A$769,1,0)</f>
        <v>0</v>
      </c>
      <c r="U6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1" s="359">
        <f>IF(AND(Scharniere[[#This Row],[Scharnierart]]=4,Scharniere[[#This Row],[Gruppenschlüssel]]=select!$A$981)=TRUE,1,0)</f>
        <v>0</v>
      </c>
      <c r="W681" s="359">
        <f ca="1">IF(select!$O$1185&lt;6,1,0)</f>
        <v>1</v>
      </c>
      <c r="X681" s="359">
        <f>IF(select!$A$1012=IF(Scharniere[[#This Row],[mit Dämpfung]]=1,1,IF(Scharniere[[#This Row],[ohne Dämpfung]]=1,2,IF(Scharniere[[#This Row],[ohne Feder]]=1,3,0))),1,0)</f>
        <v>0</v>
      </c>
      <c r="Y681" s="359">
        <f>IF(Scharniere[[#This Row],[Bohrbild]]=select!$A$989,1,0)</f>
        <v>0</v>
      </c>
      <c r="Z681" s="359">
        <f>IF(IF(Scharniere[[#This Row],[Anschrauben]]=1,1,IF(Scharniere[[#This Row],[Einpressen]]=1,2,IF(Scharniere[[#This Row],[Quick]]=1,3,IF(Scharniere[[#This Row],[Werkzeuglos]]=1,4,0))))=select!$A$1003,1,0)</f>
        <v>0</v>
      </c>
      <c r="AA6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1" s="359">
        <f ca="1">IF(select!$K$980="*",Scharniere[[#This Row],[AG Ges2]],Scharniere[[#This Row],[AG Ges1]])</f>
        <v>0</v>
      </c>
      <c r="AE681" s="451">
        <f ca="1">IF(AND(Scharniere[[#This Row],[Scharnierart]]=select!$A$1485,Scharniere[[#This Row],[Gruppenschlüssel]]=select!$B$1485)=TRUE,1,0)</f>
        <v>0</v>
      </c>
      <c r="AF681" s="451">
        <f ca="1">IF(AND(Scharniere[[#This Row],[Scharnierart]]=select!$A$1486,Scharniere[[#This Row],[Gruppenschlüssel]]=select!$B$1486)=TRUE,1,0)</f>
        <v>0</v>
      </c>
      <c r="AG681" s="451">
        <f ca="1">IF(AND(Scharniere[[#This Row],[Scharnierart]]=select!$A$1487,Scharniere[[#This Row],[Gruppenschlüssel]]=select!$B$1487)=TRUE,1,0)</f>
        <v>0</v>
      </c>
      <c r="AH681" s="451">
        <f ca="1">IF(AND(Scharniere[[#This Row],[Scharnierart]]=select!$A$1488,Scharniere[[#This Row],[Gruppenschlüssel]]=select!$B$1488)=TRUE,1,0)</f>
        <v>0</v>
      </c>
      <c r="AI681" s="451">
        <f ca="1">IF(SUM(Scharniere[[#This Row],[konf Scharnier 1]:[konf Scharnier 4]])&gt;0,1,0)</f>
        <v>0</v>
      </c>
      <c r="AJ681" s="451"/>
      <c r="AK681" s="451"/>
      <c r="AL681" s="451"/>
      <c r="AM681" s="451"/>
      <c r="AN681" s="451"/>
      <c r="AO681" s="146">
        <v>1</v>
      </c>
      <c r="AP681" s="146">
        <v>4</v>
      </c>
      <c r="AQ681" s="10" t="str">
        <f ca="1">Sprache!$A$112</f>
        <v>Tiomos Scharnier TS Click-on</v>
      </c>
      <c r="AR681" t="str">
        <f ca="1">"95°, B-BB, K00, "&amp;Sprache!A181&amp;", ni"</f>
        <v>95°, B-BB, K00, Dübel, ni</v>
      </c>
      <c r="AS681" t="str">
        <f ca="1">Sprache!$A$103</f>
        <v>Tiomos Click-On Scharniere</v>
      </c>
      <c r="AT681">
        <v>0</v>
      </c>
      <c r="AU681" t="s">
        <v>3</v>
      </c>
      <c r="AV681">
        <v>95</v>
      </c>
      <c r="AW681" s="10">
        <v>1</v>
      </c>
      <c r="AX681">
        <v>0</v>
      </c>
      <c r="AY681">
        <v>0</v>
      </c>
      <c r="AZ681" s="10">
        <v>0</v>
      </c>
      <c r="BA681">
        <v>1</v>
      </c>
      <c r="BB681">
        <v>0</v>
      </c>
      <c r="BC681">
        <v>0</v>
      </c>
      <c r="BD681" s="143" t="s">
        <v>337</v>
      </c>
      <c r="BG681"/>
    </row>
    <row r="682" spans="1:59" ht="14.25" customHeight="1" x14ac:dyDescent="0.25">
      <c r="A682" s="37" t="str">
        <f>LEFT(Scharniere[[#This Row],[ArtikelNR]],4)</f>
        <v>F046</v>
      </c>
      <c r="B682" s="35" t="str">
        <f>MID(Scharniere[[#This Row],[ArtikelNR]],5,3)</f>
        <v>138</v>
      </c>
      <c r="C682" s="37" t="str">
        <f>RIGHT(Scharniere[[#This Row],[ArtikelNR]],3)</f>
        <v>631</v>
      </c>
      <c r="D682" s="35">
        <f>IF(AND(Scharniere[[#This Row],[Gruppenschlüssel]]=select!$A$44,Scharniere[[#This Row],[Scharnierart]]=1)=TRUE,1,0)</f>
        <v>0</v>
      </c>
      <c r="E6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2" s="35">
        <f>IF(select!$F$57=IF(Scharniere[[#This Row],[mit Dämpfung]]=1,1,IF(Scharniere[[#This Row],[ohne Dämpfung]]=1,2,IF(Scharniere[[#This Row],[ohne Feder]]=1,3,0))),1,0)</f>
        <v>1</v>
      </c>
      <c r="G682" s="35">
        <f>IF(Scharniere[[#This Row],[Bohrbild]]=select!$V$43,1,0)</f>
        <v>0</v>
      </c>
      <c r="H682" s="35">
        <f>IF(IF(Scharniere[[#This Row],[Anschrauben]]=1,1,IF(Scharniere[[#This Row],[Einpressen]]=1,2,IF(Scharniere[[#This Row],[Quick]]=1,3,IF(Scharniere[[#This Row],[Werkzeuglos]]=1,4,0))))=select!$F$48,1,0)</f>
        <v>1</v>
      </c>
      <c r="I6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2" s="149">
        <f>IF(AND(Scharniere[[#This Row],[Scharnierart]]=2,Scharniere[[#This Row],[Gruppenschlüssel]]=select!$A$318)=TRUE,1,0)</f>
        <v>0</v>
      </c>
      <c r="K682" s="221">
        <f ca="1">IF(select!$O$424&lt;6,1,0)</f>
        <v>1</v>
      </c>
      <c r="L682" s="139">
        <f>IF(select!$A$362=IF(Scharniere[[#This Row],[mit Dämpfung]]=1,1,IF(Scharniere[[#This Row],[ohne Dämpfung]]=1,2,IF(Scharniere[[#This Row],[ohne Feder]]=1,3,0))),1,0)</f>
        <v>0</v>
      </c>
      <c r="M682" s="135">
        <f>IF(Scharniere[[#This Row],[Bohrbild]]=select!$O$334,1,0)</f>
        <v>0</v>
      </c>
      <c r="N682" s="135">
        <f>IF(IF(Scharniere[[#This Row],[Anschrauben]]=1,1,IF(Scharniere[[#This Row],[Einpressen]]=1,2,IF(Scharniere[[#This Row],[Quick]]=1,3,IF(Scharniere[[#This Row],[Werkzeuglos]]=1,4,0))))=select!$E$362,1,0)</f>
        <v>0</v>
      </c>
      <c r="O6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2" s="298">
        <f>IF(AND(Scharniere[[#This Row],[Scharnierart]]=3,Scharniere[[#This Row],[Gruppenschlüssel]]=select!$A$747)=TRUE,1,0)</f>
        <v>0</v>
      </c>
      <c r="Q682" s="298">
        <f ca="1">IF(select!$O$945&lt;6,1,0)</f>
        <v>1</v>
      </c>
      <c r="R682" s="298">
        <f>IF(select!$A$778=IF(Scharniere[[#This Row],[mit Dämpfung]]=1,1,IF(Scharniere[[#This Row],[ohne Dämpfung]]=1,2,IF(Scharniere[[#This Row],[ohne Feder]]=1,3,0))),1,0)</f>
        <v>0</v>
      </c>
      <c r="S682" s="298">
        <f>IF(Scharniere[[#This Row],[Bohrbild]]=select!$A$755,1,0)</f>
        <v>0</v>
      </c>
      <c r="T682" s="298">
        <f>IF(IF(Scharniere[[#This Row],[Anschrauben]]=1,1,IF(Scharniere[[#This Row],[Einpressen]]=1,2,IF(Scharniere[[#This Row],[Quick]]=1,3,IF(Scharniere[[#This Row],[Werkzeuglos]]=1,4,0))))=select!$A$769,1,0)</f>
        <v>0</v>
      </c>
      <c r="U6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2" s="359">
        <f>IF(AND(Scharniere[[#This Row],[Scharnierart]]=4,Scharniere[[#This Row],[Gruppenschlüssel]]=select!$A$981)=TRUE,1,0)</f>
        <v>0</v>
      </c>
      <c r="W682" s="359">
        <f ca="1">IF(select!$O$1185&lt;6,1,0)</f>
        <v>1</v>
      </c>
      <c r="X682" s="359">
        <f>IF(select!$A$1012=IF(Scharniere[[#This Row],[mit Dämpfung]]=1,1,IF(Scharniere[[#This Row],[ohne Dämpfung]]=1,2,IF(Scharniere[[#This Row],[ohne Feder]]=1,3,0))),1,0)</f>
        <v>0</v>
      </c>
      <c r="Y682" s="359">
        <f>IF(Scharniere[[#This Row],[Bohrbild]]=select!$A$989,1,0)</f>
        <v>0</v>
      </c>
      <c r="Z682" s="359">
        <f>IF(IF(Scharniere[[#This Row],[Anschrauben]]=1,1,IF(Scharniere[[#This Row],[Einpressen]]=1,2,IF(Scharniere[[#This Row],[Quick]]=1,3,IF(Scharniere[[#This Row],[Werkzeuglos]]=1,4,0))))=select!$A$1003,1,0)</f>
        <v>0</v>
      </c>
      <c r="AA6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2" s="359">
        <f ca="1">IF(select!$K$980="*",Scharniere[[#This Row],[AG Ges2]],Scharniere[[#This Row],[AG Ges1]])</f>
        <v>0</v>
      </c>
      <c r="AE682" s="451">
        <f ca="1">IF(AND(Scharniere[[#This Row],[Scharnierart]]=select!$A$1485,Scharniere[[#This Row],[Gruppenschlüssel]]=select!$B$1485)=TRUE,1,0)</f>
        <v>0</v>
      </c>
      <c r="AF682" s="451">
        <f ca="1">IF(AND(Scharniere[[#This Row],[Scharnierart]]=select!$A$1486,Scharniere[[#This Row],[Gruppenschlüssel]]=select!$B$1486)=TRUE,1,0)</f>
        <v>0</v>
      </c>
      <c r="AG682" s="451">
        <f ca="1">IF(AND(Scharniere[[#This Row],[Scharnierart]]=select!$A$1487,Scharniere[[#This Row],[Gruppenschlüssel]]=select!$B$1487)=TRUE,1,0)</f>
        <v>0</v>
      </c>
      <c r="AH682" s="451">
        <f ca="1">IF(AND(Scharniere[[#This Row],[Scharnierart]]=select!$A$1488,Scharniere[[#This Row],[Gruppenschlüssel]]=select!$B$1488)=TRUE,1,0)</f>
        <v>0</v>
      </c>
      <c r="AI682" s="451">
        <f ca="1">IF(SUM(Scharniere[[#This Row],[konf Scharnier 1]:[konf Scharnier 4]])&gt;0,1,0)</f>
        <v>0</v>
      </c>
      <c r="AJ682" s="451"/>
      <c r="AK682" s="451"/>
      <c r="AL682" s="451"/>
      <c r="AM682" s="451"/>
      <c r="AN682" s="451"/>
      <c r="AO682" s="146">
        <v>1</v>
      </c>
      <c r="AP682" s="146">
        <v>4</v>
      </c>
      <c r="AQ682" s="10" t="str">
        <f ca="1">Sprache!$A$114</f>
        <v>Tiomos Scharnier TT Click-on</v>
      </c>
      <c r="AR682" t="str">
        <f ca="1">"95°, B-BB, K00, "&amp;Sprache!A181&amp;", ni"</f>
        <v>95°, B-BB, K00, Dübel, ni</v>
      </c>
      <c r="AS682" t="str">
        <f ca="1">Sprache!$A$103</f>
        <v>Tiomos Click-On Scharniere</v>
      </c>
      <c r="AT682">
        <v>0</v>
      </c>
      <c r="AU682" t="s">
        <v>3</v>
      </c>
      <c r="AV682">
        <v>95</v>
      </c>
      <c r="AW682" s="10">
        <v>0</v>
      </c>
      <c r="AX682">
        <v>0</v>
      </c>
      <c r="AY682">
        <v>1</v>
      </c>
      <c r="AZ682" s="10">
        <v>0</v>
      </c>
      <c r="BA682">
        <v>1</v>
      </c>
      <c r="BB682">
        <v>0</v>
      </c>
      <c r="BC682">
        <v>0</v>
      </c>
      <c r="BD682" s="143" t="s">
        <v>662</v>
      </c>
      <c r="BG682"/>
    </row>
    <row r="683" spans="1:59" ht="14.25" customHeight="1" x14ac:dyDescent="0.25">
      <c r="A683" s="37" t="str">
        <f>LEFT(Scharniere[[#This Row],[ArtikelNR]],4)</f>
        <v>F045</v>
      </c>
      <c r="B683" s="35" t="str">
        <f>MID(Scharniere[[#This Row],[ArtikelNR]],5,3)</f>
        <v>138</v>
      </c>
      <c r="C683" s="37" t="str">
        <f>RIGHT(Scharniere[[#This Row],[ArtikelNR]],3)</f>
        <v>505</v>
      </c>
      <c r="D683" s="35">
        <f>IF(AND(Scharniere[[#This Row],[Gruppenschlüssel]]=select!$A$44,Scharniere[[#This Row],[Scharnierart]]=1)=TRUE,1,0)</f>
        <v>0</v>
      </c>
      <c r="E6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3" s="35">
        <f>IF(select!$F$57=IF(Scharniere[[#This Row],[mit Dämpfung]]=1,1,IF(Scharniere[[#This Row],[ohne Dämpfung]]=1,2,IF(Scharniere[[#This Row],[ohne Feder]]=1,3,0))),1,0)</f>
        <v>0</v>
      </c>
      <c r="G683" s="35">
        <f>IF(Scharniere[[#This Row],[Bohrbild]]=select!$V$43,1,0)</f>
        <v>0</v>
      </c>
      <c r="H683" s="35">
        <f>IF(IF(Scharniere[[#This Row],[Anschrauben]]=1,1,IF(Scharniere[[#This Row],[Einpressen]]=1,2,IF(Scharniere[[#This Row],[Quick]]=1,3,IF(Scharniere[[#This Row],[Werkzeuglos]]=1,4,0))))=select!$F$48,1,0)</f>
        <v>0</v>
      </c>
      <c r="I6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3" s="149">
        <f>IF(AND(Scharniere[[#This Row],[Scharnierart]]=2,Scharniere[[#This Row],[Gruppenschlüssel]]=select!$A$318)=TRUE,1,0)</f>
        <v>0</v>
      </c>
      <c r="K683" s="221">
        <f ca="1">IF(select!$O$424&lt;6,1,0)</f>
        <v>1</v>
      </c>
      <c r="L683" s="139">
        <f>IF(select!$A$362=IF(Scharniere[[#This Row],[mit Dämpfung]]=1,1,IF(Scharniere[[#This Row],[ohne Dämpfung]]=1,2,IF(Scharniere[[#This Row],[ohne Feder]]=1,3,0))),1,0)</f>
        <v>0</v>
      </c>
      <c r="M683" s="135">
        <f>IF(Scharniere[[#This Row],[Bohrbild]]=select!$O$334,1,0)</f>
        <v>0</v>
      </c>
      <c r="N683" s="135">
        <f>IF(IF(Scharniere[[#This Row],[Anschrauben]]=1,1,IF(Scharniere[[#This Row],[Einpressen]]=1,2,IF(Scharniere[[#This Row],[Quick]]=1,3,IF(Scharniere[[#This Row],[Werkzeuglos]]=1,4,0))))=select!$E$362,1,0)</f>
        <v>1</v>
      </c>
      <c r="O6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3" s="298">
        <f>IF(AND(Scharniere[[#This Row],[Scharnierart]]=3,Scharniere[[#This Row],[Gruppenschlüssel]]=select!$A$747)=TRUE,1,0)</f>
        <v>0</v>
      </c>
      <c r="Q683" s="298">
        <f ca="1">IF(select!$O$945&lt;6,1,0)</f>
        <v>1</v>
      </c>
      <c r="R683" s="298">
        <f>IF(select!$A$778=IF(Scharniere[[#This Row],[mit Dämpfung]]=1,1,IF(Scharniere[[#This Row],[ohne Dämpfung]]=1,2,IF(Scharniere[[#This Row],[ohne Feder]]=1,3,0))),1,0)</f>
        <v>1</v>
      </c>
      <c r="S683" s="298">
        <f>IF(Scharniere[[#This Row],[Bohrbild]]=select!$A$755,1,0)</f>
        <v>0</v>
      </c>
      <c r="T683" s="298">
        <f>IF(IF(Scharniere[[#This Row],[Anschrauben]]=1,1,IF(Scharniere[[#This Row],[Einpressen]]=1,2,IF(Scharniere[[#This Row],[Quick]]=1,3,IF(Scharniere[[#This Row],[Werkzeuglos]]=1,4,0))))=select!$A$769,1,0)</f>
        <v>1</v>
      </c>
      <c r="U6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3" s="359">
        <f>IF(AND(Scharniere[[#This Row],[Scharnierart]]=4,Scharniere[[#This Row],[Gruppenschlüssel]]=select!$A$981)=TRUE,1,0)</f>
        <v>0</v>
      </c>
      <c r="W683" s="359">
        <f ca="1">IF(select!$O$1185&lt;6,1,0)</f>
        <v>1</v>
      </c>
      <c r="X683" s="359">
        <f>IF(select!$A$1012=IF(Scharniere[[#This Row],[mit Dämpfung]]=1,1,IF(Scharniere[[#This Row],[ohne Dämpfung]]=1,2,IF(Scharniere[[#This Row],[ohne Feder]]=1,3,0))),1,0)</f>
        <v>1</v>
      </c>
      <c r="Y683" s="359">
        <f>IF(Scharniere[[#This Row],[Bohrbild]]=select!$A$989,1,0)</f>
        <v>0</v>
      </c>
      <c r="Z683" s="359">
        <f>IF(IF(Scharniere[[#This Row],[Anschrauben]]=1,1,IF(Scharniere[[#This Row],[Einpressen]]=1,2,IF(Scharniere[[#This Row],[Quick]]=1,3,IF(Scharniere[[#This Row],[Werkzeuglos]]=1,4,0))))=select!$A$1003,1,0)</f>
        <v>1</v>
      </c>
      <c r="AA6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3" s="359">
        <f ca="1">IF(select!$K$980="*",Scharniere[[#This Row],[AG Ges2]],Scharniere[[#This Row],[AG Ges1]])</f>
        <v>0</v>
      </c>
      <c r="AE683" s="451">
        <f ca="1">IF(AND(Scharniere[[#This Row],[Scharnierart]]=select!$A$1485,Scharniere[[#This Row],[Gruppenschlüssel]]=select!$B$1485)=TRUE,1,0)</f>
        <v>0</v>
      </c>
      <c r="AF683" s="451">
        <f ca="1">IF(AND(Scharniere[[#This Row],[Scharnierart]]=select!$A$1486,Scharniere[[#This Row],[Gruppenschlüssel]]=select!$B$1486)=TRUE,1,0)</f>
        <v>0</v>
      </c>
      <c r="AG683" s="451">
        <f ca="1">IF(AND(Scharniere[[#This Row],[Scharnierart]]=select!$A$1487,Scharniere[[#This Row],[Gruppenschlüssel]]=select!$B$1487)=TRUE,1,0)</f>
        <v>0</v>
      </c>
      <c r="AH683" s="451">
        <f ca="1">IF(AND(Scharniere[[#This Row],[Scharnierart]]=select!$A$1488,Scharniere[[#This Row],[Gruppenschlüssel]]=select!$B$1488)=TRUE,1,0)</f>
        <v>0</v>
      </c>
      <c r="AI683" s="451">
        <f ca="1">IF(SUM(Scharniere[[#This Row],[konf Scharnier 1]:[konf Scharnier 4]])&gt;0,1,0)</f>
        <v>0</v>
      </c>
      <c r="AJ683" s="451"/>
      <c r="AK683" s="451"/>
      <c r="AL683" s="451"/>
      <c r="AM683" s="451"/>
      <c r="AN683" s="451"/>
      <c r="AO683" s="146">
        <v>1</v>
      </c>
      <c r="AP683" s="146">
        <v>4</v>
      </c>
      <c r="AQ683" s="10" t="str">
        <f ca="1">Sprache!$A$110</f>
        <v>Tiomos Scharnier T Click-on</v>
      </c>
      <c r="AR683" t="s">
        <v>331</v>
      </c>
      <c r="AS683" t="str">
        <f ca="1">Sprache!$A$103</f>
        <v>Tiomos Click-On Scharniere</v>
      </c>
      <c r="AT683">
        <v>0</v>
      </c>
      <c r="AU683" t="s">
        <v>3</v>
      </c>
      <c r="AV683">
        <v>95</v>
      </c>
      <c r="AW683" s="10">
        <v>0</v>
      </c>
      <c r="AX683">
        <v>1</v>
      </c>
      <c r="AY683">
        <v>0</v>
      </c>
      <c r="AZ683" s="10">
        <v>1</v>
      </c>
      <c r="BA683">
        <v>0</v>
      </c>
      <c r="BB683">
        <v>0</v>
      </c>
      <c r="BC683">
        <v>0</v>
      </c>
      <c r="BD683" s="143" t="s">
        <v>506</v>
      </c>
      <c r="BG683"/>
    </row>
    <row r="684" spans="1:59" ht="14.25" customHeight="1" x14ac:dyDescent="0.25">
      <c r="A684" s="37" t="str">
        <f>LEFT(Scharniere[[#This Row],[ArtikelNR]],4)</f>
        <v>F028</v>
      </c>
      <c r="B684" s="35" t="str">
        <f>MID(Scharniere[[#This Row],[ArtikelNR]],5,3)</f>
        <v>138</v>
      </c>
      <c r="C684" s="37" t="str">
        <f>RIGHT(Scharniere[[#This Row],[ArtikelNR]],3)</f>
        <v>567</v>
      </c>
      <c r="D684" s="35">
        <f>IF(AND(Scharniere[[#This Row],[Gruppenschlüssel]]=select!$A$44,Scharniere[[#This Row],[Scharnierart]]=1)=TRUE,1,0)</f>
        <v>0</v>
      </c>
      <c r="E6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4" s="35">
        <f>IF(select!$F$57=IF(Scharniere[[#This Row],[mit Dämpfung]]=1,1,IF(Scharniere[[#This Row],[ohne Dämpfung]]=1,2,IF(Scharniere[[#This Row],[ohne Feder]]=1,3,0))),1,0)</f>
        <v>0</v>
      </c>
      <c r="G684" s="35">
        <f>IF(Scharniere[[#This Row],[Bohrbild]]=select!$V$43,1,0)</f>
        <v>0</v>
      </c>
      <c r="H684" s="35">
        <f>IF(IF(Scharniere[[#This Row],[Anschrauben]]=1,1,IF(Scharniere[[#This Row],[Einpressen]]=1,2,IF(Scharniere[[#This Row],[Quick]]=1,3,IF(Scharniere[[#This Row],[Werkzeuglos]]=1,4,0))))=select!$F$48,1,0)</f>
        <v>0</v>
      </c>
      <c r="I6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4" s="149">
        <f>IF(AND(Scharniere[[#This Row],[Scharnierart]]=2,Scharniere[[#This Row],[Gruppenschlüssel]]=select!$A$318)=TRUE,1,0)</f>
        <v>0</v>
      </c>
      <c r="K684" s="221">
        <f ca="1">IF(select!$O$424&lt;6,1,0)</f>
        <v>1</v>
      </c>
      <c r="L684" s="139">
        <f>IF(select!$A$362=IF(Scharniere[[#This Row],[mit Dämpfung]]=1,1,IF(Scharniere[[#This Row],[ohne Dämpfung]]=1,2,IF(Scharniere[[#This Row],[ohne Feder]]=1,3,0))),1,0)</f>
        <v>1</v>
      </c>
      <c r="M684" s="135">
        <f>IF(Scharniere[[#This Row],[Bohrbild]]=select!$O$334,1,0)</f>
        <v>0</v>
      </c>
      <c r="N684" s="135">
        <f>IF(IF(Scharniere[[#This Row],[Anschrauben]]=1,1,IF(Scharniere[[#This Row],[Einpressen]]=1,2,IF(Scharniere[[#This Row],[Quick]]=1,3,IF(Scharniere[[#This Row],[Werkzeuglos]]=1,4,0))))=select!$E$362,1,0)</f>
        <v>1</v>
      </c>
      <c r="O6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4" s="298">
        <f>IF(AND(Scharniere[[#This Row],[Scharnierart]]=3,Scharniere[[#This Row],[Gruppenschlüssel]]=select!$A$747)=TRUE,1,0)</f>
        <v>0</v>
      </c>
      <c r="Q684" s="298">
        <f ca="1">IF(select!$O$945&lt;6,1,0)</f>
        <v>1</v>
      </c>
      <c r="R684" s="298">
        <f>IF(select!$A$778=IF(Scharniere[[#This Row],[mit Dämpfung]]=1,1,IF(Scharniere[[#This Row],[ohne Dämpfung]]=1,2,IF(Scharniere[[#This Row],[ohne Feder]]=1,3,0))),1,0)</f>
        <v>0</v>
      </c>
      <c r="S684" s="298">
        <f>IF(Scharniere[[#This Row],[Bohrbild]]=select!$A$755,1,0)</f>
        <v>0</v>
      </c>
      <c r="T684" s="298">
        <f>IF(IF(Scharniere[[#This Row],[Anschrauben]]=1,1,IF(Scharniere[[#This Row],[Einpressen]]=1,2,IF(Scharniere[[#This Row],[Quick]]=1,3,IF(Scharniere[[#This Row],[Werkzeuglos]]=1,4,0))))=select!$A$769,1,0)</f>
        <v>1</v>
      </c>
      <c r="U6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4" s="359">
        <f>IF(AND(Scharniere[[#This Row],[Scharnierart]]=4,Scharniere[[#This Row],[Gruppenschlüssel]]=select!$A$981)=TRUE,1,0)</f>
        <v>0</v>
      </c>
      <c r="W684" s="359">
        <f ca="1">IF(select!$O$1185&lt;6,1,0)</f>
        <v>1</v>
      </c>
      <c r="X684" s="359">
        <f>IF(select!$A$1012=IF(Scharniere[[#This Row],[mit Dämpfung]]=1,1,IF(Scharniere[[#This Row],[ohne Dämpfung]]=1,2,IF(Scharniere[[#This Row],[ohne Feder]]=1,3,0))),1,0)</f>
        <v>0</v>
      </c>
      <c r="Y684" s="359">
        <f>IF(Scharniere[[#This Row],[Bohrbild]]=select!$A$989,1,0)</f>
        <v>0</v>
      </c>
      <c r="Z684" s="359">
        <f>IF(IF(Scharniere[[#This Row],[Anschrauben]]=1,1,IF(Scharniere[[#This Row],[Einpressen]]=1,2,IF(Scharniere[[#This Row],[Quick]]=1,3,IF(Scharniere[[#This Row],[Werkzeuglos]]=1,4,0))))=select!$A$1003,1,0)</f>
        <v>1</v>
      </c>
      <c r="AA6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4" s="359">
        <f ca="1">IF(select!$K$980="*",Scharniere[[#This Row],[AG Ges2]],Scharniere[[#This Row],[AG Ges1]])</f>
        <v>0</v>
      </c>
      <c r="AE684" s="451">
        <f ca="1">IF(AND(Scharniere[[#This Row],[Scharnierart]]=select!$A$1485,Scharniere[[#This Row],[Gruppenschlüssel]]=select!$B$1485)=TRUE,1,0)</f>
        <v>0</v>
      </c>
      <c r="AF684" s="451">
        <f ca="1">IF(AND(Scharniere[[#This Row],[Scharnierart]]=select!$A$1486,Scharniere[[#This Row],[Gruppenschlüssel]]=select!$B$1486)=TRUE,1,0)</f>
        <v>0</v>
      </c>
      <c r="AG684" s="451">
        <f ca="1">IF(AND(Scharniere[[#This Row],[Scharnierart]]=select!$A$1487,Scharniere[[#This Row],[Gruppenschlüssel]]=select!$B$1487)=TRUE,1,0)</f>
        <v>0</v>
      </c>
      <c r="AH684" s="451">
        <f ca="1">IF(AND(Scharniere[[#This Row],[Scharnierart]]=select!$A$1488,Scharniere[[#This Row],[Gruppenschlüssel]]=select!$B$1488)=TRUE,1,0)</f>
        <v>0</v>
      </c>
      <c r="AI684" s="451">
        <f ca="1">IF(SUM(Scharniere[[#This Row],[konf Scharnier 1]:[konf Scharnier 4]])&gt;0,1,0)</f>
        <v>0</v>
      </c>
      <c r="AJ684" s="451"/>
      <c r="AK684" s="451"/>
      <c r="AL684" s="451"/>
      <c r="AM684" s="451"/>
      <c r="AN684" s="451"/>
      <c r="AO684" s="146">
        <v>1</v>
      </c>
      <c r="AP684" s="146">
        <v>4</v>
      </c>
      <c r="AQ684" s="10" t="str">
        <f ca="1">Sprache!$A$112</f>
        <v>Tiomos Scharnier TS Click-on</v>
      </c>
      <c r="AR684" t="s">
        <v>331</v>
      </c>
      <c r="AS684" t="str">
        <f ca="1">Sprache!$A$103</f>
        <v>Tiomos Click-On Scharniere</v>
      </c>
      <c r="AT684">
        <v>0</v>
      </c>
      <c r="AU684" t="s">
        <v>3</v>
      </c>
      <c r="AV684">
        <v>95</v>
      </c>
      <c r="AW684" s="10">
        <v>1</v>
      </c>
      <c r="AX684">
        <v>0</v>
      </c>
      <c r="AY684">
        <v>0</v>
      </c>
      <c r="AZ684" s="10">
        <v>1</v>
      </c>
      <c r="BA684">
        <v>0</v>
      </c>
      <c r="BB684">
        <v>0</v>
      </c>
      <c r="BC684">
        <v>0</v>
      </c>
      <c r="BD684" s="143" t="s">
        <v>330</v>
      </c>
      <c r="BG684"/>
    </row>
    <row r="685" spans="1:59" ht="14.25" customHeight="1" x14ac:dyDescent="0.25">
      <c r="A685" s="37" t="str">
        <f>LEFT(Scharniere[[#This Row],[ArtikelNR]],4)</f>
        <v>F046</v>
      </c>
      <c r="B685" s="35" t="str">
        <f>MID(Scharniere[[#This Row],[ArtikelNR]],5,3)</f>
        <v>138</v>
      </c>
      <c r="C685" s="37" t="str">
        <f>RIGHT(Scharniere[[#This Row],[ArtikelNR]],3)</f>
        <v>627</v>
      </c>
      <c r="D685" s="35">
        <f>IF(AND(Scharniere[[#This Row],[Gruppenschlüssel]]=select!$A$44,Scharniere[[#This Row],[Scharnierart]]=1)=TRUE,1,0)</f>
        <v>0</v>
      </c>
      <c r="E6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5" s="35">
        <f>IF(select!$F$57=IF(Scharniere[[#This Row],[mit Dämpfung]]=1,1,IF(Scharniere[[#This Row],[ohne Dämpfung]]=1,2,IF(Scharniere[[#This Row],[ohne Feder]]=1,3,0))),1,0)</f>
        <v>1</v>
      </c>
      <c r="G685" s="35">
        <f>IF(Scharniere[[#This Row],[Bohrbild]]=select!$V$43,1,0)</f>
        <v>0</v>
      </c>
      <c r="H685" s="35">
        <f>IF(IF(Scharniere[[#This Row],[Anschrauben]]=1,1,IF(Scharniere[[#This Row],[Einpressen]]=1,2,IF(Scharniere[[#This Row],[Quick]]=1,3,IF(Scharniere[[#This Row],[Werkzeuglos]]=1,4,0))))=select!$F$48,1,0)</f>
        <v>0</v>
      </c>
      <c r="I6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5" s="149">
        <f>IF(AND(Scharniere[[#This Row],[Scharnierart]]=2,Scharniere[[#This Row],[Gruppenschlüssel]]=select!$A$318)=TRUE,1,0)</f>
        <v>0</v>
      </c>
      <c r="K685" s="221">
        <f ca="1">IF(select!$O$424&lt;6,1,0)</f>
        <v>1</v>
      </c>
      <c r="L685" s="139">
        <f>IF(select!$A$362=IF(Scharniere[[#This Row],[mit Dämpfung]]=1,1,IF(Scharniere[[#This Row],[ohne Dämpfung]]=1,2,IF(Scharniere[[#This Row],[ohne Feder]]=1,3,0))),1,0)</f>
        <v>0</v>
      </c>
      <c r="M685" s="135">
        <f>IF(Scharniere[[#This Row],[Bohrbild]]=select!$O$334,1,0)</f>
        <v>0</v>
      </c>
      <c r="N685" s="135">
        <f>IF(IF(Scharniere[[#This Row],[Anschrauben]]=1,1,IF(Scharniere[[#This Row],[Einpressen]]=1,2,IF(Scharniere[[#This Row],[Quick]]=1,3,IF(Scharniere[[#This Row],[Werkzeuglos]]=1,4,0))))=select!$E$362,1,0)</f>
        <v>1</v>
      </c>
      <c r="O6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5" s="298">
        <f>IF(AND(Scharniere[[#This Row],[Scharnierart]]=3,Scharniere[[#This Row],[Gruppenschlüssel]]=select!$A$747)=TRUE,1,0)</f>
        <v>0</v>
      </c>
      <c r="Q685" s="298">
        <f ca="1">IF(select!$O$945&lt;6,1,0)</f>
        <v>1</v>
      </c>
      <c r="R685" s="298">
        <f>IF(select!$A$778=IF(Scharniere[[#This Row],[mit Dämpfung]]=1,1,IF(Scharniere[[#This Row],[ohne Dämpfung]]=1,2,IF(Scharniere[[#This Row],[ohne Feder]]=1,3,0))),1,0)</f>
        <v>0</v>
      </c>
      <c r="S685" s="298">
        <f>IF(Scharniere[[#This Row],[Bohrbild]]=select!$A$755,1,0)</f>
        <v>0</v>
      </c>
      <c r="T685" s="298">
        <f>IF(IF(Scharniere[[#This Row],[Anschrauben]]=1,1,IF(Scharniere[[#This Row],[Einpressen]]=1,2,IF(Scharniere[[#This Row],[Quick]]=1,3,IF(Scharniere[[#This Row],[Werkzeuglos]]=1,4,0))))=select!$A$769,1,0)</f>
        <v>1</v>
      </c>
      <c r="U6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5" s="359">
        <f>IF(AND(Scharniere[[#This Row],[Scharnierart]]=4,Scharniere[[#This Row],[Gruppenschlüssel]]=select!$A$981)=TRUE,1,0)</f>
        <v>0</v>
      </c>
      <c r="W685" s="359">
        <f ca="1">IF(select!$O$1185&lt;6,1,0)</f>
        <v>1</v>
      </c>
      <c r="X685" s="359">
        <f>IF(select!$A$1012=IF(Scharniere[[#This Row],[mit Dämpfung]]=1,1,IF(Scharniere[[#This Row],[ohne Dämpfung]]=1,2,IF(Scharniere[[#This Row],[ohne Feder]]=1,3,0))),1,0)</f>
        <v>0</v>
      </c>
      <c r="Y685" s="359">
        <f>IF(Scharniere[[#This Row],[Bohrbild]]=select!$A$989,1,0)</f>
        <v>0</v>
      </c>
      <c r="Z685" s="359">
        <f>IF(IF(Scharniere[[#This Row],[Anschrauben]]=1,1,IF(Scharniere[[#This Row],[Einpressen]]=1,2,IF(Scharniere[[#This Row],[Quick]]=1,3,IF(Scharniere[[#This Row],[Werkzeuglos]]=1,4,0))))=select!$A$1003,1,0)</f>
        <v>1</v>
      </c>
      <c r="AA6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5" s="359">
        <f ca="1">IF(select!$K$980="*",Scharniere[[#This Row],[AG Ges2]],Scharniere[[#This Row],[AG Ges1]])</f>
        <v>0</v>
      </c>
      <c r="AE685" s="451">
        <f ca="1">IF(AND(Scharniere[[#This Row],[Scharnierart]]=select!$A$1485,Scharniere[[#This Row],[Gruppenschlüssel]]=select!$B$1485)=TRUE,1,0)</f>
        <v>0</v>
      </c>
      <c r="AF685" s="451">
        <f ca="1">IF(AND(Scharniere[[#This Row],[Scharnierart]]=select!$A$1486,Scharniere[[#This Row],[Gruppenschlüssel]]=select!$B$1486)=TRUE,1,0)</f>
        <v>0</v>
      </c>
      <c r="AG685" s="451">
        <f ca="1">IF(AND(Scharniere[[#This Row],[Scharnierart]]=select!$A$1487,Scharniere[[#This Row],[Gruppenschlüssel]]=select!$B$1487)=TRUE,1,0)</f>
        <v>0</v>
      </c>
      <c r="AH685" s="451">
        <f ca="1">IF(AND(Scharniere[[#This Row],[Scharnierart]]=select!$A$1488,Scharniere[[#This Row],[Gruppenschlüssel]]=select!$B$1488)=TRUE,1,0)</f>
        <v>0</v>
      </c>
      <c r="AI685" s="451">
        <f ca="1">IF(SUM(Scharniere[[#This Row],[konf Scharnier 1]:[konf Scharnier 4]])&gt;0,1,0)</f>
        <v>0</v>
      </c>
      <c r="AJ685" s="451"/>
      <c r="AK685" s="451"/>
      <c r="AL685" s="451"/>
      <c r="AM685" s="451"/>
      <c r="AN685" s="451"/>
      <c r="AO685" s="146">
        <v>1</v>
      </c>
      <c r="AP685" s="146">
        <v>4</v>
      </c>
      <c r="AQ685" s="10" t="str">
        <f ca="1">Sprache!$A$114</f>
        <v>Tiomos Scharnier TT Click-on</v>
      </c>
      <c r="AR685" t="s">
        <v>331</v>
      </c>
      <c r="AS685" t="str">
        <f ca="1">Sprache!$A$103</f>
        <v>Tiomos Click-On Scharniere</v>
      </c>
      <c r="AT685">
        <v>0</v>
      </c>
      <c r="AU685" t="s">
        <v>3</v>
      </c>
      <c r="AV685">
        <v>95</v>
      </c>
      <c r="AW685" s="10">
        <v>0</v>
      </c>
      <c r="AX685">
        <v>0</v>
      </c>
      <c r="AY685">
        <v>1</v>
      </c>
      <c r="AZ685" s="10">
        <v>1</v>
      </c>
      <c r="BA685">
        <v>0</v>
      </c>
      <c r="BB685">
        <v>0</v>
      </c>
      <c r="BC685">
        <v>0</v>
      </c>
      <c r="BD685" s="143" t="s">
        <v>658</v>
      </c>
      <c r="BG685"/>
    </row>
    <row r="686" spans="1:59" ht="14.25" customHeight="1" x14ac:dyDescent="0.25">
      <c r="A686" s="37" t="str">
        <f>LEFT(Scharniere[[#This Row],[ArtikelNR]],4)</f>
        <v>F045</v>
      </c>
      <c r="B686" s="35" t="str">
        <f>MID(Scharniere[[#This Row],[ArtikelNR]],5,3)</f>
        <v>138</v>
      </c>
      <c r="C686" s="37" t="str">
        <f>RIGHT(Scharniere[[#This Row],[ArtikelNR]],3)</f>
        <v>327</v>
      </c>
      <c r="D686" s="35">
        <f>IF(AND(Scharniere[[#This Row],[Gruppenschlüssel]]=select!$A$44,Scharniere[[#This Row],[Scharnierart]]=1)=TRUE,1,0)</f>
        <v>0</v>
      </c>
      <c r="E6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6" s="35">
        <f>IF(select!$F$57=IF(Scharniere[[#This Row],[mit Dämpfung]]=1,1,IF(Scharniere[[#This Row],[ohne Dämpfung]]=1,2,IF(Scharniere[[#This Row],[ohne Feder]]=1,3,0))),1,0)</f>
        <v>0</v>
      </c>
      <c r="G686" s="35">
        <f>IF(Scharniere[[#This Row],[Bohrbild]]=select!$V$43,1,0)</f>
        <v>0</v>
      </c>
      <c r="H686" s="35">
        <f>IF(IF(Scharniere[[#This Row],[Anschrauben]]=1,1,IF(Scharniere[[#This Row],[Einpressen]]=1,2,IF(Scharniere[[#This Row],[Quick]]=1,3,IF(Scharniere[[#This Row],[Werkzeuglos]]=1,4,0))))=select!$F$48,1,0)</f>
        <v>1</v>
      </c>
      <c r="I6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6" s="149">
        <f>IF(AND(Scharniere[[#This Row],[Scharnierart]]=2,Scharniere[[#This Row],[Gruppenschlüssel]]=select!$A$318)=TRUE,1,0)</f>
        <v>0</v>
      </c>
      <c r="K686" s="221">
        <f ca="1">IF(select!$O$424&lt;6,1,0)</f>
        <v>1</v>
      </c>
      <c r="L686" s="139">
        <f>IF(select!$A$362=IF(Scharniere[[#This Row],[mit Dämpfung]]=1,1,IF(Scharniere[[#This Row],[ohne Dämpfung]]=1,2,IF(Scharniere[[#This Row],[ohne Feder]]=1,3,0))),1,0)</f>
        <v>0</v>
      </c>
      <c r="M686" s="135">
        <f>IF(Scharniere[[#This Row],[Bohrbild]]=select!$O$334,1,0)</f>
        <v>0</v>
      </c>
      <c r="N686" s="135">
        <f>IF(IF(Scharniere[[#This Row],[Anschrauben]]=1,1,IF(Scharniere[[#This Row],[Einpressen]]=1,2,IF(Scharniere[[#This Row],[Quick]]=1,3,IF(Scharniere[[#This Row],[Werkzeuglos]]=1,4,0))))=select!$E$362,1,0)</f>
        <v>0</v>
      </c>
      <c r="O6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6" s="298">
        <f>IF(AND(Scharniere[[#This Row],[Scharnierart]]=3,Scharniere[[#This Row],[Gruppenschlüssel]]=select!$A$747)=TRUE,1,0)</f>
        <v>0</v>
      </c>
      <c r="Q686" s="298">
        <f ca="1">IF(select!$O$945&lt;6,1,0)</f>
        <v>1</v>
      </c>
      <c r="R686" s="298">
        <f>IF(select!$A$778=IF(Scharniere[[#This Row],[mit Dämpfung]]=1,1,IF(Scharniere[[#This Row],[ohne Dämpfung]]=1,2,IF(Scharniere[[#This Row],[ohne Feder]]=1,3,0))),1,0)</f>
        <v>1</v>
      </c>
      <c r="S686" s="298">
        <f>IF(Scharniere[[#This Row],[Bohrbild]]=select!$A$755,1,0)</f>
        <v>0</v>
      </c>
      <c r="T686" s="298">
        <f>IF(IF(Scharniere[[#This Row],[Anschrauben]]=1,1,IF(Scharniere[[#This Row],[Einpressen]]=1,2,IF(Scharniere[[#This Row],[Quick]]=1,3,IF(Scharniere[[#This Row],[Werkzeuglos]]=1,4,0))))=select!$A$769,1,0)</f>
        <v>0</v>
      </c>
      <c r="U6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6" s="359">
        <f>IF(AND(Scharniere[[#This Row],[Scharnierart]]=4,Scharniere[[#This Row],[Gruppenschlüssel]]=select!$A$981)=TRUE,1,0)</f>
        <v>0</v>
      </c>
      <c r="W686" s="359">
        <f ca="1">IF(select!$O$1185&lt;6,1,0)</f>
        <v>1</v>
      </c>
      <c r="X686" s="359">
        <f>IF(select!$A$1012=IF(Scharniere[[#This Row],[mit Dämpfung]]=1,1,IF(Scharniere[[#This Row],[ohne Dämpfung]]=1,2,IF(Scharniere[[#This Row],[ohne Feder]]=1,3,0))),1,0)</f>
        <v>1</v>
      </c>
      <c r="Y686" s="359">
        <f>IF(Scharniere[[#This Row],[Bohrbild]]=select!$A$989,1,0)</f>
        <v>0</v>
      </c>
      <c r="Z686" s="359">
        <f>IF(IF(Scharniere[[#This Row],[Anschrauben]]=1,1,IF(Scharniere[[#This Row],[Einpressen]]=1,2,IF(Scharniere[[#This Row],[Quick]]=1,3,IF(Scharniere[[#This Row],[Werkzeuglos]]=1,4,0))))=select!$A$1003,1,0)</f>
        <v>0</v>
      </c>
      <c r="AA6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6" s="359">
        <f ca="1">IF(select!$K$980="*",Scharniere[[#This Row],[AG Ges2]],Scharniere[[#This Row],[AG Ges1]])</f>
        <v>0</v>
      </c>
      <c r="AE686" s="451">
        <f ca="1">IF(AND(Scharniere[[#This Row],[Scharnierart]]=select!$A$1485,Scharniere[[#This Row],[Gruppenschlüssel]]=select!$B$1485)=TRUE,1,0)</f>
        <v>0</v>
      </c>
      <c r="AF686" s="451">
        <f ca="1">IF(AND(Scharniere[[#This Row],[Scharnierart]]=select!$A$1486,Scharniere[[#This Row],[Gruppenschlüssel]]=select!$B$1486)=TRUE,1,0)</f>
        <v>0</v>
      </c>
      <c r="AG686" s="451">
        <f ca="1">IF(AND(Scharniere[[#This Row],[Scharnierart]]=select!$A$1487,Scharniere[[#This Row],[Gruppenschlüssel]]=select!$B$1487)=TRUE,1,0)</f>
        <v>0</v>
      </c>
      <c r="AH686" s="451">
        <f ca="1">IF(AND(Scharniere[[#This Row],[Scharnierart]]=select!$A$1488,Scharniere[[#This Row],[Gruppenschlüssel]]=select!$B$1488)=TRUE,1,0)</f>
        <v>0</v>
      </c>
      <c r="AI686" s="451">
        <f ca="1">IF(SUM(Scharniere[[#This Row],[konf Scharnier 1]:[konf Scharnier 4]])&gt;0,1,0)</f>
        <v>0</v>
      </c>
      <c r="AJ686" s="451"/>
      <c r="AK686" s="451"/>
      <c r="AL686" s="451"/>
      <c r="AM686" s="451"/>
      <c r="AN686" s="451"/>
      <c r="AO686" s="146">
        <v>1</v>
      </c>
      <c r="AP686" s="146">
        <v>4</v>
      </c>
      <c r="AQ686" s="10" t="str">
        <f ca="1">Sprache!$A$110</f>
        <v>Tiomos Scharnier T Click-on</v>
      </c>
      <c r="AR686" t="str">
        <f ca="1">"95°, G-BB, K00, "&amp;Sprache!A181&amp;", ni"</f>
        <v>95°, G-BB, K00, Dübel, ni</v>
      </c>
      <c r="AS686" t="str">
        <f ca="1">Sprache!$A$103</f>
        <v>Tiomos Click-On Scharniere</v>
      </c>
      <c r="AT686">
        <v>0</v>
      </c>
      <c r="AU686" t="s">
        <v>9</v>
      </c>
      <c r="AV686">
        <v>95</v>
      </c>
      <c r="AW686" s="10">
        <v>0</v>
      </c>
      <c r="AX686">
        <v>1</v>
      </c>
      <c r="AY686">
        <v>0</v>
      </c>
      <c r="AZ686" s="10">
        <v>0</v>
      </c>
      <c r="BA686">
        <v>1</v>
      </c>
      <c r="BB686">
        <v>0</v>
      </c>
      <c r="BC686">
        <v>0</v>
      </c>
      <c r="BD686" s="143" t="s">
        <v>481</v>
      </c>
      <c r="BG686"/>
    </row>
    <row r="687" spans="1:59" ht="14.25" customHeight="1" x14ac:dyDescent="0.25">
      <c r="A687" s="37" t="str">
        <f>LEFT(Scharniere[[#This Row],[ArtikelNR]],4)</f>
        <v>F028</v>
      </c>
      <c r="B687" s="35" t="str">
        <f>MID(Scharniere[[#This Row],[ArtikelNR]],5,3)</f>
        <v>138</v>
      </c>
      <c r="C687" s="37" t="str">
        <f>RIGHT(Scharniere[[#This Row],[ArtikelNR]],3)</f>
        <v>389</v>
      </c>
      <c r="D687" s="35">
        <f>IF(AND(Scharniere[[#This Row],[Gruppenschlüssel]]=select!$A$44,Scharniere[[#This Row],[Scharnierart]]=1)=TRUE,1,0)</f>
        <v>0</v>
      </c>
      <c r="E6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7" s="35">
        <f>IF(select!$F$57=IF(Scharniere[[#This Row],[mit Dämpfung]]=1,1,IF(Scharniere[[#This Row],[ohne Dämpfung]]=1,2,IF(Scharniere[[#This Row],[ohne Feder]]=1,3,0))),1,0)</f>
        <v>0</v>
      </c>
      <c r="G687" s="35">
        <f>IF(Scharniere[[#This Row],[Bohrbild]]=select!$V$43,1,0)</f>
        <v>0</v>
      </c>
      <c r="H687" s="35">
        <f>IF(IF(Scharniere[[#This Row],[Anschrauben]]=1,1,IF(Scharniere[[#This Row],[Einpressen]]=1,2,IF(Scharniere[[#This Row],[Quick]]=1,3,IF(Scharniere[[#This Row],[Werkzeuglos]]=1,4,0))))=select!$F$48,1,0)</f>
        <v>1</v>
      </c>
      <c r="I6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7" s="149">
        <f>IF(AND(Scharniere[[#This Row],[Scharnierart]]=2,Scharniere[[#This Row],[Gruppenschlüssel]]=select!$A$318)=TRUE,1,0)</f>
        <v>0</v>
      </c>
      <c r="K687" s="221">
        <f ca="1">IF(select!$O$424&lt;6,1,0)</f>
        <v>1</v>
      </c>
      <c r="L687" s="139">
        <f>IF(select!$A$362=IF(Scharniere[[#This Row],[mit Dämpfung]]=1,1,IF(Scharniere[[#This Row],[ohne Dämpfung]]=1,2,IF(Scharniere[[#This Row],[ohne Feder]]=1,3,0))),1,0)</f>
        <v>1</v>
      </c>
      <c r="M687" s="135">
        <f>IF(Scharniere[[#This Row],[Bohrbild]]=select!$O$334,1,0)</f>
        <v>0</v>
      </c>
      <c r="N687" s="135">
        <f>IF(IF(Scharniere[[#This Row],[Anschrauben]]=1,1,IF(Scharniere[[#This Row],[Einpressen]]=1,2,IF(Scharniere[[#This Row],[Quick]]=1,3,IF(Scharniere[[#This Row],[Werkzeuglos]]=1,4,0))))=select!$E$362,1,0)</f>
        <v>0</v>
      </c>
      <c r="O6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7" s="298">
        <f>IF(AND(Scharniere[[#This Row],[Scharnierart]]=3,Scharniere[[#This Row],[Gruppenschlüssel]]=select!$A$747)=TRUE,1,0)</f>
        <v>0</v>
      </c>
      <c r="Q687" s="298">
        <f ca="1">IF(select!$O$945&lt;6,1,0)</f>
        <v>1</v>
      </c>
      <c r="R687" s="298">
        <f>IF(select!$A$778=IF(Scharniere[[#This Row],[mit Dämpfung]]=1,1,IF(Scharniere[[#This Row],[ohne Dämpfung]]=1,2,IF(Scharniere[[#This Row],[ohne Feder]]=1,3,0))),1,0)</f>
        <v>0</v>
      </c>
      <c r="S687" s="298">
        <f>IF(Scharniere[[#This Row],[Bohrbild]]=select!$A$755,1,0)</f>
        <v>0</v>
      </c>
      <c r="T687" s="298">
        <f>IF(IF(Scharniere[[#This Row],[Anschrauben]]=1,1,IF(Scharniere[[#This Row],[Einpressen]]=1,2,IF(Scharniere[[#This Row],[Quick]]=1,3,IF(Scharniere[[#This Row],[Werkzeuglos]]=1,4,0))))=select!$A$769,1,0)</f>
        <v>0</v>
      </c>
      <c r="U6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7" s="359">
        <f>IF(AND(Scharniere[[#This Row],[Scharnierart]]=4,Scharniere[[#This Row],[Gruppenschlüssel]]=select!$A$981)=TRUE,1,0)</f>
        <v>0</v>
      </c>
      <c r="W687" s="359">
        <f ca="1">IF(select!$O$1185&lt;6,1,0)</f>
        <v>1</v>
      </c>
      <c r="X687" s="359">
        <f>IF(select!$A$1012=IF(Scharniere[[#This Row],[mit Dämpfung]]=1,1,IF(Scharniere[[#This Row],[ohne Dämpfung]]=1,2,IF(Scharniere[[#This Row],[ohne Feder]]=1,3,0))),1,0)</f>
        <v>0</v>
      </c>
      <c r="Y687" s="359">
        <f>IF(Scharniere[[#This Row],[Bohrbild]]=select!$A$989,1,0)</f>
        <v>0</v>
      </c>
      <c r="Z687" s="359">
        <f>IF(IF(Scharniere[[#This Row],[Anschrauben]]=1,1,IF(Scharniere[[#This Row],[Einpressen]]=1,2,IF(Scharniere[[#This Row],[Quick]]=1,3,IF(Scharniere[[#This Row],[Werkzeuglos]]=1,4,0))))=select!$A$1003,1,0)</f>
        <v>0</v>
      </c>
      <c r="AA6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7" s="359">
        <f ca="1">IF(select!$K$980="*",Scharniere[[#This Row],[AG Ges2]],Scharniere[[#This Row],[AG Ges1]])</f>
        <v>0</v>
      </c>
      <c r="AE687" s="451">
        <f ca="1">IF(AND(Scharniere[[#This Row],[Scharnierart]]=select!$A$1485,Scharniere[[#This Row],[Gruppenschlüssel]]=select!$B$1485)=TRUE,1,0)</f>
        <v>0</v>
      </c>
      <c r="AF687" s="451">
        <f ca="1">IF(AND(Scharniere[[#This Row],[Scharnierart]]=select!$A$1486,Scharniere[[#This Row],[Gruppenschlüssel]]=select!$B$1486)=TRUE,1,0)</f>
        <v>0</v>
      </c>
      <c r="AG687" s="451">
        <f ca="1">IF(AND(Scharniere[[#This Row],[Scharnierart]]=select!$A$1487,Scharniere[[#This Row],[Gruppenschlüssel]]=select!$B$1487)=TRUE,1,0)</f>
        <v>0</v>
      </c>
      <c r="AH687" s="451">
        <f ca="1">IF(AND(Scharniere[[#This Row],[Scharnierart]]=select!$A$1488,Scharniere[[#This Row],[Gruppenschlüssel]]=select!$B$1488)=TRUE,1,0)</f>
        <v>0</v>
      </c>
      <c r="AI687" s="451">
        <f ca="1">IF(SUM(Scharniere[[#This Row],[konf Scharnier 1]:[konf Scharnier 4]])&gt;0,1,0)</f>
        <v>0</v>
      </c>
      <c r="AJ687" s="451"/>
      <c r="AK687" s="451"/>
      <c r="AL687" s="451"/>
      <c r="AM687" s="451"/>
      <c r="AN687" s="451"/>
      <c r="AO687" s="146">
        <v>1</v>
      </c>
      <c r="AP687" s="146">
        <v>4</v>
      </c>
      <c r="AQ687" s="10" t="str">
        <f ca="1">Sprache!$A$112</f>
        <v>Tiomos Scharnier TS Click-on</v>
      </c>
      <c r="AR687" t="str">
        <f ca="1">"95°, G-BB, K00, "&amp;Sprache!A181&amp;", ni"</f>
        <v>95°, G-BB, K00, Dübel, ni</v>
      </c>
      <c r="AS687" t="str">
        <f ca="1">Sprache!$A$103</f>
        <v>Tiomos Click-On Scharniere</v>
      </c>
      <c r="AT687">
        <v>0</v>
      </c>
      <c r="AU687" s="34" t="s">
        <v>9</v>
      </c>
      <c r="AV687">
        <v>95</v>
      </c>
      <c r="AW687" s="10">
        <v>1</v>
      </c>
      <c r="AX687">
        <v>0</v>
      </c>
      <c r="AY687">
        <v>0</v>
      </c>
      <c r="AZ687" s="10">
        <v>0</v>
      </c>
      <c r="BA687">
        <v>1</v>
      </c>
      <c r="BB687">
        <v>0</v>
      </c>
      <c r="BC687">
        <v>0</v>
      </c>
      <c r="BD687" s="143" t="s">
        <v>298</v>
      </c>
      <c r="BG687"/>
    </row>
    <row r="688" spans="1:59" ht="14.25" customHeight="1" x14ac:dyDescent="0.25">
      <c r="A688" s="37" t="str">
        <f>LEFT(Scharniere[[#This Row],[ArtikelNR]],4)</f>
        <v>F046</v>
      </c>
      <c r="B688" s="35" t="str">
        <f>MID(Scharniere[[#This Row],[ArtikelNR]],5,3)</f>
        <v>138</v>
      </c>
      <c r="C688" s="37" t="str">
        <f>RIGHT(Scharniere[[#This Row],[ArtikelNR]],3)</f>
        <v>449</v>
      </c>
      <c r="D688" s="35">
        <f>IF(AND(Scharniere[[#This Row],[Gruppenschlüssel]]=select!$A$44,Scharniere[[#This Row],[Scharnierart]]=1)=TRUE,1,0)</f>
        <v>0</v>
      </c>
      <c r="E6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8" s="35">
        <f>IF(select!$F$57=IF(Scharniere[[#This Row],[mit Dämpfung]]=1,1,IF(Scharniere[[#This Row],[ohne Dämpfung]]=1,2,IF(Scharniere[[#This Row],[ohne Feder]]=1,3,0))),1,0)</f>
        <v>1</v>
      </c>
      <c r="G688" s="35">
        <f>IF(Scharniere[[#This Row],[Bohrbild]]=select!$V$43,1,0)</f>
        <v>0</v>
      </c>
      <c r="H688" s="35">
        <f>IF(IF(Scharniere[[#This Row],[Anschrauben]]=1,1,IF(Scharniere[[#This Row],[Einpressen]]=1,2,IF(Scharniere[[#This Row],[Quick]]=1,3,IF(Scharniere[[#This Row],[Werkzeuglos]]=1,4,0))))=select!$F$48,1,0)</f>
        <v>1</v>
      </c>
      <c r="I6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8" s="149">
        <f>IF(AND(Scharniere[[#This Row],[Scharnierart]]=2,Scharniere[[#This Row],[Gruppenschlüssel]]=select!$A$318)=TRUE,1,0)</f>
        <v>0</v>
      </c>
      <c r="K688" s="221">
        <f ca="1">IF(select!$O$424&lt;6,1,0)</f>
        <v>1</v>
      </c>
      <c r="L688" s="139">
        <f>IF(select!$A$362=IF(Scharniere[[#This Row],[mit Dämpfung]]=1,1,IF(Scharniere[[#This Row],[ohne Dämpfung]]=1,2,IF(Scharniere[[#This Row],[ohne Feder]]=1,3,0))),1,0)</f>
        <v>0</v>
      </c>
      <c r="M688" s="135">
        <f>IF(Scharniere[[#This Row],[Bohrbild]]=select!$O$334,1,0)</f>
        <v>0</v>
      </c>
      <c r="N688" s="135">
        <f>IF(IF(Scharniere[[#This Row],[Anschrauben]]=1,1,IF(Scharniere[[#This Row],[Einpressen]]=1,2,IF(Scharniere[[#This Row],[Quick]]=1,3,IF(Scharniere[[#This Row],[Werkzeuglos]]=1,4,0))))=select!$E$362,1,0)</f>
        <v>0</v>
      </c>
      <c r="O6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8" s="298">
        <f>IF(AND(Scharniere[[#This Row],[Scharnierart]]=3,Scharniere[[#This Row],[Gruppenschlüssel]]=select!$A$747)=TRUE,1,0)</f>
        <v>0</v>
      </c>
      <c r="Q688" s="298">
        <f ca="1">IF(select!$O$945&lt;6,1,0)</f>
        <v>1</v>
      </c>
      <c r="R688" s="298">
        <f>IF(select!$A$778=IF(Scharniere[[#This Row],[mit Dämpfung]]=1,1,IF(Scharniere[[#This Row],[ohne Dämpfung]]=1,2,IF(Scharniere[[#This Row],[ohne Feder]]=1,3,0))),1,0)</f>
        <v>0</v>
      </c>
      <c r="S688" s="298">
        <f>IF(Scharniere[[#This Row],[Bohrbild]]=select!$A$755,1,0)</f>
        <v>0</v>
      </c>
      <c r="T688" s="298">
        <f>IF(IF(Scharniere[[#This Row],[Anschrauben]]=1,1,IF(Scharniere[[#This Row],[Einpressen]]=1,2,IF(Scharniere[[#This Row],[Quick]]=1,3,IF(Scharniere[[#This Row],[Werkzeuglos]]=1,4,0))))=select!$A$769,1,0)</f>
        <v>0</v>
      </c>
      <c r="U6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8" s="359">
        <f>IF(AND(Scharniere[[#This Row],[Scharnierart]]=4,Scharniere[[#This Row],[Gruppenschlüssel]]=select!$A$981)=TRUE,1,0)</f>
        <v>0</v>
      </c>
      <c r="W688" s="359">
        <f ca="1">IF(select!$O$1185&lt;6,1,0)</f>
        <v>1</v>
      </c>
      <c r="X688" s="359">
        <f>IF(select!$A$1012=IF(Scharniere[[#This Row],[mit Dämpfung]]=1,1,IF(Scharniere[[#This Row],[ohne Dämpfung]]=1,2,IF(Scharniere[[#This Row],[ohne Feder]]=1,3,0))),1,0)</f>
        <v>0</v>
      </c>
      <c r="Y688" s="359">
        <f>IF(Scharniere[[#This Row],[Bohrbild]]=select!$A$989,1,0)</f>
        <v>0</v>
      </c>
      <c r="Z688" s="359">
        <f>IF(IF(Scharniere[[#This Row],[Anschrauben]]=1,1,IF(Scharniere[[#This Row],[Einpressen]]=1,2,IF(Scharniere[[#This Row],[Quick]]=1,3,IF(Scharniere[[#This Row],[Werkzeuglos]]=1,4,0))))=select!$A$1003,1,0)</f>
        <v>0</v>
      </c>
      <c r="AA6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8" s="359">
        <f ca="1">IF(select!$K$980="*",Scharniere[[#This Row],[AG Ges2]],Scharniere[[#This Row],[AG Ges1]])</f>
        <v>0</v>
      </c>
      <c r="AE688" s="451">
        <f ca="1">IF(AND(Scharniere[[#This Row],[Scharnierart]]=select!$A$1485,Scharniere[[#This Row],[Gruppenschlüssel]]=select!$B$1485)=TRUE,1,0)</f>
        <v>0</v>
      </c>
      <c r="AF688" s="451">
        <f ca="1">IF(AND(Scharniere[[#This Row],[Scharnierart]]=select!$A$1486,Scharniere[[#This Row],[Gruppenschlüssel]]=select!$B$1486)=TRUE,1,0)</f>
        <v>0</v>
      </c>
      <c r="AG688" s="451">
        <f ca="1">IF(AND(Scharniere[[#This Row],[Scharnierart]]=select!$A$1487,Scharniere[[#This Row],[Gruppenschlüssel]]=select!$B$1487)=TRUE,1,0)</f>
        <v>0</v>
      </c>
      <c r="AH688" s="451">
        <f ca="1">IF(AND(Scharniere[[#This Row],[Scharnierart]]=select!$A$1488,Scharniere[[#This Row],[Gruppenschlüssel]]=select!$B$1488)=TRUE,1,0)</f>
        <v>0</v>
      </c>
      <c r="AI688" s="451">
        <f ca="1">IF(SUM(Scharniere[[#This Row],[konf Scharnier 1]:[konf Scharnier 4]])&gt;0,1,0)</f>
        <v>0</v>
      </c>
      <c r="AJ688" s="451"/>
      <c r="AK688" s="451"/>
      <c r="AL688" s="451"/>
      <c r="AM688" s="451"/>
      <c r="AN688" s="451"/>
      <c r="AO688" s="146">
        <v>1</v>
      </c>
      <c r="AP688" s="146">
        <v>4</v>
      </c>
      <c r="AQ688" s="10" t="str">
        <f ca="1">Sprache!$A$114</f>
        <v>Tiomos Scharnier TT Click-on</v>
      </c>
      <c r="AR688" t="str">
        <f ca="1">"95°, G-BB, K00, "&amp;Sprache!A181&amp;", ni"</f>
        <v>95°, G-BB, K00, Dübel, ni</v>
      </c>
      <c r="AS688" t="str">
        <f ca="1">Sprache!$A$103</f>
        <v>Tiomos Click-On Scharniere</v>
      </c>
      <c r="AT688">
        <v>0</v>
      </c>
      <c r="AU688" t="s">
        <v>9</v>
      </c>
      <c r="AV688">
        <v>95</v>
      </c>
      <c r="AW688" s="10">
        <v>0</v>
      </c>
      <c r="AX688">
        <v>0</v>
      </c>
      <c r="AY688">
        <v>1</v>
      </c>
      <c r="AZ688" s="10">
        <v>0</v>
      </c>
      <c r="BA688">
        <v>1</v>
      </c>
      <c r="BB688">
        <v>0</v>
      </c>
      <c r="BC688">
        <v>0</v>
      </c>
      <c r="BD688" s="143" t="s">
        <v>633</v>
      </c>
      <c r="BG688"/>
    </row>
    <row r="689" spans="1:59" ht="14.25" customHeight="1" x14ac:dyDescent="0.25">
      <c r="A689" s="37" t="str">
        <f>LEFT(Scharniere[[#This Row],[ArtikelNR]],4)</f>
        <v>F045</v>
      </c>
      <c r="B689" s="35" t="str">
        <f>MID(Scharniere[[#This Row],[ArtikelNR]],5,3)</f>
        <v>138</v>
      </c>
      <c r="C689" s="37" t="str">
        <f>RIGHT(Scharniere[[#This Row],[ArtikelNR]],3)</f>
        <v>323</v>
      </c>
      <c r="D689" s="35">
        <f>IF(AND(Scharniere[[#This Row],[Gruppenschlüssel]]=select!$A$44,Scharniere[[#This Row],[Scharnierart]]=1)=TRUE,1,0)</f>
        <v>0</v>
      </c>
      <c r="E6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89" s="35">
        <f>IF(select!$F$57=IF(Scharniere[[#This Row],[mit Dämpfung]]=1,1,IF(Scharniere[[#This Row],[ohne Dämpfung]]=1,2,IF(Scharniere[[#This Row],[ohne Feder]]=1,3,0))),1,0)</f>
        <v>0</v>
      </c>
      <c r="G689" s="35">
        <f>IF(Scharniere[[#This Row],[Bohrbild]]=select!$V$43,1,0)</f>
        <v>0</v>
      </c>
      <c r="H689" s="35">
        <f>IF(IF(Scharniere[[#This Row],[Anschrauben]]=1,1,IF(Scharniere[[#This Row],[Einpressen]]=1,2,IF(Scharniere[[#This Row],[Quick]]=1,3,IF(Scharniere[[#This Row],[Werkzeuglos]]=1,4,0))))=select!$F$48,1,0)</f>
        <v>0</v>
      </c>
      <c r="I6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89" s="149">
        <f>IF(AND(Scharniere[[#This Row],[Scharnierart]]=2,Scharniere[[#This Row],[Gruppenschlüssel]]=select!$A$318)=TRUE,1,0)</f>
        <v>0</v>
      </c>
      <c r="K689" s="221">
        <f ca="1">IF(select!$O$424&lt;6,1,0)</f>
        <v>1</v>
      </c>
      <c r="L689" s="139">
        <f>IF(select!$A$362=IF(Scharniere[[#This Row],[mit Dämpfung]]=1,1,IF(Scharniere[[#This Row],[ohne Dämpfung]]=1,2,IF(Scharniere[[#This Row],[ohne Feder]]=1,3,0))),1,0)</f>
        <v>0</v>
      </c>
      <c r="M689" s="135">
        <f>IF(Scharniere[[#This Row],[Bohrbild]]=select!$O$334,1,0)</f>
        <v>0</v>
      </c>
      <c r="N689" s="135">
        <f>IF(IF(Scharniere[[#This Row],[Anschrauben]]=1,1,IF(Scharniere[[#This Row],[Einpressen]]=1,2,IF(Scharniere[[#This Row],[Quick]]=1,3,IF(Scharniere[[#This Row],[Werkzeuglos]]=1,4,0))))=select!$E$362,1,0)</f>
        <v>1</v>
      </c>
      <c r="O6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89" s="298">
        <f>IF(AND(Scharniere[[#This Row],[Scharnierart]]=3,Scharniere[[#This Row],[Gruppenschlüssel]]=select!$A$747)=TRUE,1,0)</f>
        <v>0</v>
      </c>
      <c r="Q689" s="298">
        <f ca="1">IF(select!$O$945&lt;6,1,0)</f>
        <v>1</v>
      </c>
      <c r="R689" s="298">
        <f>IF(select!$A$778=IF(Scharniere[[#This Row],[mit Dämpfung]]=1,1,IF(Scharniere[[#This Row],[ohne Dämpfung]]=1,2,IF(Scharniere[[#This Row],[ohne Feder]]=1,3,0))),1,0)</f>
        <v>1</v>
      </c>
      <c r="S689" s="298">
        <f>IF(Scharniere[[#This Row],[Bohrbild]]=select!$A$755,1,0)</f>
        <v>0</v>
      </c>
      <c r="T689" s="298">
        <f>IF(IF(Scharniere[[#This Row],[Anschrauben]]=1,1,IF(Scharniere[[#This Row],[Einpressen]]=1,2,IF(Scharniere[[#This Row],[Quick]]=1,3,IF(Scharniere[[#This Row],[Werkzeuglos]]=1,4,0))))=select!$A$769,1,0)</f>
        <v>1</v>
      </c>
      <c r="U6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89" s="359">
        <f>IF(AND(Scharniere[[#This Row],[Scharnierart]]=4,Scharniere[[#This Row],[Gruppenschlüssel]]=select!$A$981)=TRUE,1,0)</f>
        <v>0</v>
      </c>
      <c r="W689" s="359">
        <f ca="1">IF(select!$O$1185&lt;6,1,0)</f>
        <v>1</v>
      </c>
      <c r="X689" s="359">
        <f>IF(select!$A$1012=IF(Scharniere[[#This Row],[mit Dämpfung]]=1,1,IF(Scharniere[[#This Row],[ohne Dämpfung]]=1,2,IF(Scharniere[[#This Row],[ohne Feder]]=1,3,0))),1,0)</f>
        <v>1</v>
      </c>
      <c r="Y689" s="359">
        <f>IF(Scharniere[[#This Row],[Bohrbild]]=select!$A$989,1,0)</f>
        <v>0</v>
      </c>
      <c r="Z689" s="359">
        <f>IF(IF(Scharniere[[#This Row],[Anschrauben]]=1,1,IF(Scharniere[[#This Row],[Einpressen]]=1,2,IF(Scharniere[[#This Row],[Quick]]=1,3,IF(Scharniere[[#This Row],[Werkzeuglos]]=1,4,0))))=select!$A$1003,1,0)</f>
        <v>1</v>
      </c>
      <c r="AA6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89" s="359">
        <f ca="1">IF(select!$K$980="*",Scharniere[[#This Row],[AG Ges2]],Scharniere[[#This Row],[AG Ges1]])</f>
        <v>0</v>
      </c>
      <c r="AE689" s="451">
        <f ca="1">IF(AND(Scharniere[[#This Row],[Scharnierart]]=select!$A$1485,Scharniere[[#This Row],[Gruppenschlüssel]]=select!$B$1485)=TRUE,1,0)</f>
        <v>0</v>
      </c>
      <c r="AF689" s="451">
        <f ca="1">IF(AND(Scharniere[[#This Row],[Scharnierart]]=select!$A$1486,Scharniere[[#This Row],[Gruppenschlüssel]]=select!$B$1486)=TRUE,1,0)</f>
        <v>0</v>
      </c>
      <c r="AG689" s="451">
        <f ca="1">IF(AND(Scharniere[[#This Row],[Scharnierart]]=select!$A$1487,Scharniere[[#This Row],[Gruppenschlüssel]]=select!$B$1487)=TRUE,1,0)</f>
        <v>0</v>
      </c>
      <c r="AH689" s="451">
        <f ca="1">IF(AND(Scharniere[[#This Row],[Scharnierart]]=select!$A$1488,Scharniere[[#This Row],[Gruppenschlüssel]]=select!$B$1488)=TRUE,1,0)</f>
        <v>0</v>
      </c>
      <c r="AI689" s="451">
        <f ca="1">IF(SUM(Scharniere[[#This Row],[konf Scharnier 1]:[konf Scharnier 4]])&gt;0,1,0)</f>
        <v>0</v>
      </c>
      <c r="AJ689" s="451"/>
      <c r="AK689" s="451"/>
      <c r="AL689" s="451"/>
      <c r="AM689" s="451"/>
      <c r="AN689" s="451"/>
      <c r="AO689" s="146">
        <v>1</v>
      </c>
      <c r="AP689" s="146">
        <v>4</v>
      </c>
      <c r="AQ689" s="10" t="str">
        <f ca="1">Sprache!$A$110</f>
        <v>Tiomos Scharnier T Click-on</v>
      </c>
      <c r="AR689" t="s">
        <v>292</v>
      </c>
      <c r="AS689" t="str">
        <f ca="1">Sprache!$A$103</f>
        <v>Tiomos Click-On Scharniere</v>
      </c>
      <c r="AT689">
        <v>0</v>
      </c>
      <c r="AU689" t="s">
        <v>9</v>
      </c>
      <c r="AV689">
        <v>95</v>
      </c>
      <c r="AW689" s="10">
        <v>0</v>
      </c>
      <c r="AX689">
        <v>1</v>
      </c>
      <c r="AY689">
        <v>0</v>
      </c>
      <c r="AZ689" s="10">
        <v>1</v>
      </c>
      <c r="BA689">
        <v>0</v>
      </c>
      <c r="BB689">
        <v>0</v>
      </c>
      <c r="BC689">
        <v>0</v>
      </c>
      <c r="BD689" s="143" t="s">
        <v>477</v>
      </c>
      <c r="BG689"/>
    </row>
    <row r="690" spans="1:59" ht="14.25" customHeight="1" x14ac:dyDescent="0.25">
      <c r="A690" s="37" t="str">
        <f>LEFT(Scharniere[[#This Row],[ArtikelNR]],4)</f>
        <v>F028</v>
      </c>
      <c r="B690" s="35" t="str">
        <f>MID(Scharniere[[#This Row],[ArtikelNR]],5,3)</f>
        <v>138</v>
      </c>
      <c r="C690" s="37" t="str">
        <f>RIGHT(Scharniere[[#This Row],[ArtikelNR]],3)</f>
        <v>385</v>
      </c>
      <c r="D690" s="35">
        <f>IF(AND(Scharniere[[#This Row],[Gruppenschlüssel]]=select!$A$44,Scharniere[[#This Row],[Scharnierart]]=1)=TRUE,1,0)</f>
        <v>0</v>
      </c>
      <c r="E6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0" s="35">
        <f>IF(select!$F$57=IF(Scharniere[[#This Row],[mit Dämpfung]]=1,1,IF(Scharniere[[#This Row],[ohne Dämpfung]]=1,2,IF(Scharniere[[#This Row],[ohne Feder]]=1,3,0))),1,0)</f>
        <v>0</v>
      </c>
      <c r="G690" s="35">
        <f>IF(Scharniere[[#This Row],[Bohrbild]]=select!$V$43,1,0)</f>
        <v>0</v>
      </c>
      <c r="H690" s="35">
        <f>IF(IF(Scharniere[[#This Row],[Anschrauben]]=1,1,IF(Scharniere[[#This Row],[Einpressen]]=1,2,IF(Scharniere[[#This Row],[Quick]]=1,3,IF(Scharniere[[#This Row],[Werkzeuglos]]=1,4,0))))=select!$F$48,1,0)</f>
        <v>0</v>
      </c>
      <c r="I6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0" s="149">
        <f>IF(AND(Scharniere[[#This Row],[Scharnierart]]=2,Scharniere[[#This Row],[Gruppenschlüssel]]=select!$A$318)=TRUE,1,0)</f>
        <v>0</v>
      </c>
      <c r="K690" s="221">
        <f ca="1">IF(select!$O$424&lt;6,1,0)</f>
        <v>1</v>
      </c>
      <c r="L690" s="139">
        <f>IF(select!$A$362=IF(Scharniere[[#This Row],[mit Dämpfung]]=1,1,IF(Scharniere[[#This Row],[ohne Dämpfung]]=1,2,IF(Scharniere[[#This Row],[ohne Feder]]=1,3,0))),1,0)</f>
        <v>1</v>
      </c>
      <c r="M690" s="135">
        <f>IF(Scharniere[[#This Row],[Bohrbild]]=select!$O$334,1,0)</f>
        <v>0</v>
      </c>
      <c r="N690" s="135">
        <f>IF(IF(Scharniere[[#This Row],[Anschrauben]]=1,1,IF(Scharniere[[#This Row],[Einpressen]]=1,2,IF(Scharniere[[#This Row],[Quick]]=1,3,IF(Scharniere[[#This Row],[Werkzeuglos]]=1,4,0))))=select!$E$362,1,0)</f>
        <v>1</v>
      </c>
      <c r="O6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0" s="298">
        <f>IF(AND(Scharniere[[#This Row],[Scharnierart]]=3,Scharniere[[#This Row],[Gruppenschlüssel]]=select!$A$747)=TRUE,1,0)</f>
        <v>0</v>
      </c>
      <c r="Q690" s="298">
        <f ca="1">IF(select!$O$945&lt;6,1,0)</f>
        <v>1</v>
      </c>
      <c r="R690" s="298">
        <f>IF(select!$A$778=IF(Scharniere[[#This Row],[mit Dämpfung]]=1,1,IF(Scharniere[[#This Row],[ohne Dämpfung]]=1,2,IF(Scharniere[[#This Row],[ohne Feder]]=1,3,0))),1,0)</f>
        <v>0</v>
      </c>
      <c r="S690" s="298">
        <f>IF(Scharniere[[#This Row],[Bohrbild]]=select!$A$755,1,0)</f>
        <v>0</v>
      </c>
      <c r="T690" s="298">
        <f>IF(IF(Scharniere[[#This Row],[Anschrauben]]=1,1,IF(Scharniere[[#This Row],[Einpressen]]=1,2,IF(Scharniere[[#This Row],[Quick]]=1,3,IF(Scharniere[[#This Row],[Werkzeuglos]]=1,4,0))))=select!$A$769,1,0)</f>
        <v>1</v>
      </c>
      <c r="U6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0" s="359">
        <f>IF(AND(Scharniere[[#This Row],[Scharnierart]]=4,Scharniere[[#This Row],[Gruppenschlüssel]]=select!$A$981)=TRUE,1,0)</f>
        <v>0</v>
      </c>
      <c r="W690" s="359">
        <f ca="1">IF(select!$O$1185&lt;6,1,0)</f>
        <v>1</v>
      </c>
      <c r="X690" s="359">
        <f>IF(select!$A$1012=IF(Scharniere[[#This Row],[mit Dämpfung]]=1,1,IF(Scharniere[[#This Row],[ohne Dämpfung]]=1,2,IF(Scharniere[[#This Row],[ohne Feder]]=1,3,0))),1,0)</f>
        <v>0</v>
      </c>
      <c r="Y690" s="359">
        <f>IF(Scharniere[[#This Row],[Bohrbild]]=select!$A$989,1,0)</f>
        <v>0</v>
      </c>
      <c r="Z690" s="359">
        <f>IF(IF(Scharniere[[#This Row],[Anschrauben]]=1,1,IF(Scharniere[[#This Row],[Einpressen]]=1,2,IF(Scharniere[[#This Row],[Quick]]=1,3,IF(Scharniere[[#This Row],[Werkzeuglos]]=1,4,0))))=select!$A$1003,1,0)</f>
        <v>1</v>
      </c>
      <c r="AA6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0" s="359">
        <f ca="1">IF(select!$K$980="*",Scharniere[[#This Row],[AG Ges2]],Scharniere[[#This Row],[AG Ges1]])</f>
        <v>0</v>
      </c>
      <c r="AE690" s="451">
        <f ca="1">IF(AND(Scharniere[[#This Row],[Scharnierart]]=select!$A$1485,Scharniere[[#This Row],[Gruppenschlüssel]]=select!$B$1485)=TRUE,1,0)</f>
        <v>0</v>
      </c>
      <c r="AF690" s="451">
        <f ca="1">IF(AND(Scharniere[[#This Row],[Scharnierart]]=select!$A$1486,Scharniere[[#This Row],[Gruppenschlüssel]]=select!$B$1486)=TRUE,1,0)</f>
        <v>0</v>
      </c>
      <c r="AG690" s="451">
        <f ca="1">IF(AND(Scharniere[[#This Row],[Scharnierart]]=select!$A$1487,Scharniere[[#This Row],[Gruppenschlüssel]]=select!$B$1487)=TRUE,1,0)</f>
        <v>0</v>
      </c>
      <c r="AH690" s="451">
        <f ca="1">IF(AND(Scharniere[[#This Row],[Scharnierart]]=select!$A$1488,Scharniere[[#This Row],[Gruppenschlüssel]]=select!$B$1488)=TRUE,1,0)</f>
        <v>0</v>
      </c>
      <c r="AI690" s="451">
        <f ca="1">IF(SUM(Scharniere[[#This Row],[konf Scharnier 1]:[konf Scharnier 4]])&gt;0,1,0)</f>
        <v>0</v>
      </c>
      <c r="AJ690" s="451"/>
      <c r="AK690" s="451"/>
      <c r="AL690" s="451"/>
      <c r="AM690" s="451"/>
      <c r="AN690" s="451"/>
      <c r="AO690" s="146">
        <v>1</v>
      </c>
      <c r="AP690" s="146">
        <v>4</v>
      </c>
      <c r="AQ690" s="10" t="str">
        <f ca="1">Sprache!$A$112</f>
        <v>Tiomos Scharnier TS Click-on</v>
      </c>
      <c r="AR690" t="s">
        <v>292</v>
      </c>
      <c r="AS690" t="str">
        <f ca="1">Sprache!$A$103</f>
        <v>Tiomos Click-On Scharniere</v>
      </c>
      <c r="AT690">
        <v>0</v>
      </c>
      <c r="AU690" t="s">
        <v>9</v>
      </c>
      <c r="AV690">
        <v>95</v>
      </c>
      <c r="AW690" s="10">
        <v>1</v>
      </c>
      <c r="AX690">
        <v>0</v>
      </c>
      <c r="AY690">
        <v>0</v>
      </c>
      <c r="AZ690" s="10">
        <v>1</v>
      </c>
      <c r="BA690">
        <v>0</v>
      </c>
      <c r="BB690">
        <v>0</v>
      </c>
      <c r="BC690">
        <v>0</v>
      </c>
      <c r="BD690" s="143" t="s">
        <v>291</v>
      </c>
      <c r="BG690"/>
    </row>
    <row r="691" spans="1:59" ht="14.25" customHeight="1" x14ac:dyDescent="0.25">
      <c r="A691" s="37" t="str">
        <f>LEFT(Scharniere[[#This Row],[ArtikelNR]],4)</f>
        <v>F046</v>
      </c>
      <c r="B691" s="35" t="str">
        <f>MID(Scharniere[[#This Row],[ArtikelNR]],5,3)</f>
        <v>138</v>
      </c>
      <c r="C691" s="37" t="str">
        <f>RIGHT(Scharniere[[#This Row],[ArtikelNR]],3)</f>
        <v>445</v>
      </c>
      <c r="D691" s="35">
        <f>IF(AND(Scharniere[[#This Row],[Gruppenschlüssel]]=select!$A$44,Scharniere[[#This Row],[Scharnierart]]=1)=TRUE,1,0)</f>
        <v>0</v>
      </c>
      <c r="E6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1" s="35">
        <f>IF(select!$F$57=IF(Scharniere[[#This Row],[mit Dämpfung]]=1,1,IF(Scharniere[[#This Row],[ohne Dämpfung]]=1,2,IF(Scharniere[[#This Row],[ohne Feder]]=1,3,0))),1,0)</f>
        <v>1</v>
      </c>
      <c r="G691" s="35">
        <f>IF(Scharniere[[#This Row],[Bohrbild]]=select!$V$43,1,0)</f>
        <v>0</v>
      </c>
      <c r="H691" s="35">
        <f>IF(IF(Scharniere[[#This Row],[Anschrauben]]=1,1,IF(Scharniere[[#This Row],[Einpressen]]=1,2,IF(Scharniere[[#This Row],[Quick]]=1,3,IF(Scharniere[[#This Row],[Werkzeuglos]]=1,4,0))))=select!$F$48,1,0)</f>
        <v>0</v>
      </c>
      <c r="I6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1" s="149">
        <f>IF(AND(Scharniere[[#This Row],[Scharnierart]]=2,Scharniere[[#This Row],[Gruppenschlüssel]]=select!$A$318)=TRUE,1,0)</f>
        <v>0</v>
      </c>
      <c r="K691" s="221">
        <f ca="1">IF(select!$O$424&lt;6,1,0)</f>
        <v>1</v>
      </c>
      <c r="L691" s="139">
        <f>IF(select!$A$362=IF(Scharniere[[#This Row],[mit Dämpfung]]=1,1,IF(Scharniere[[#This Row],[ohne Dämpfung]]=1,2,IF(Scharniere[[#This Row],[ohne Feder]]=1,3,0))),1,0)</f>
        <v>0</v>
      </c>
      <c r="M691" s="135">
        <f>IF(Scharniere[[#This Row],[Bohrbild]]=select!$O$334,1,0)</f>
        <v>0</v>
      </c>
      <c r="N691" s="135">
        <f>IF(IF(Scharniere[[#This Row],[Anschrauben]]=1,1,IF(Scharniere[[#This Row],[Einpressen]]=1,2,IF(Scharniere[[#This Row],[Quick]]=1,3,IF(Scharniere[[#This Row],[Werkzeuglos]]=1,4,0))))=select!$E$362,1,0)</f>
        <v>1</v>
      </c>
      <c r="O6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1" s="298">
        <f>IF(AND(Scharniere[[#This Row],[Scharnierart]]=3,Scharniere[[#This Row],[Gruppenschlüssel]]=select!$A$747)=TRUE,1,0)</f>
        <v>0</v>
      </c>
      <c r="Q691" s="298">
        <f ca="1">IF(select!$O$945&lt;6,1,0)</f>
        <v>1</v>
      </c>
      <c r="R691" s="298">
        <f>IF(select!$A$778=IF(Scharniere[[#This Row],[mit Dämpfung]]=1,1,IF(Scharniere[[#This Row],[ohne Dämpfung]]=1,2,IF(Scharniere[[#This Row],[ohne Feder]]=1,3,0))),1,0)</f>
        <v>0</v>
      </c>
      <c r="S691" s="298">
        <f>IF(Scharniere[[#This Row],[Bohrbild]]=select!$A$755,1,0)</f>
        <v>0</v>
      </c>
      <c r="T691" s="298">
        <f>IF(IF(Scharniere[[#This Row],[Anschrauben]]=1,1,IF(Scharniere[[#This Row],[Einpressen]]=1,2,IF(Scharniere[[#This Row],[Quick]]=1,3,IF(Scharniere[[#This Row],[Werkzeuglos]]=1,4,0))))=select!$A$769,1,0)</f>
        <v>1</v>
      </c>
      <c r="U6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1" s="359">
        <f>IF(AND(Scharniere[[#This Row],[Scharnierart]]=4,Scharniere[[#This Row],[Gruppenschlüssel]]=select!$A$981)=TRUE,1,0)</f>
        <v>0</v>
      </c>
      <c r="W691" s="359">
        <f ca="1">IF(select!$O$1185&lt;6,1,0)</f>
        <v>1</v>
      </c>
      <c r="X691" s="359">
        <f>IF(select!$A$1012=IF(Scharniere[[#This Row],[mit Dämpfung]]=1,1,IF(Scharniere[[#This Row],[ohne Dämpfung]]=1,2,IF(Scharniere[[#This Row],[ohne Feder]]=1,3,0))),1,0)</f>
        <v>0</v>
      </c>
      <c r="Y691" s="359">
        <f>IF(Scharniere[[#This Row],[Bohrbild]]=select!$A$989,1,0)</f>
        <v>0</v>
      </c>
      <c r="Z691" s="359">
        <f>IF(IF(Scharniere[[#This Row],[Anschrauben]]=1,1,IF(Scharniere[[#This Row],[Einpressen]]=1,2,IF(Scharniere[[#This Row],[Quick]]=1,3,IF(Scharniere[[#This Row],[Werkzeuglos]]=1,4,0))))=select!$A$1003,1,0)</f>
        <v>1</v>
      </c>
      <c r="AA6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1" s="359">
        <f ca="1">IF(select!$K$980="*",Scharniere[[#This Row],[AG Ges2]],Scharniere[[#This Row],[AG Ges1]])</f>
        <v>0</v>
      </c>
      <c r="AE691" s="451">
        <f ca="1">IF(AND(Scharniere[[#This Row],[Scharnierart]]=select!$A$1485,Scharniere[[#This Row],[Gruppenschlüssel]]=select!$B$1485)=TRUE,1,0)</f>
        <v>0</v>
      </c>
      <c r="AF691" s="451">
        <f ca="1">IF(AND(Scharniere[[#This Row],[Scharnierart]]=select!$A$1486,Scharniere[[#This Row],[Gruppenschlüssel]]=select!$B$1486)=TRUE,1,0)</f>
        <v>0</v>
      </c>
      <c r="AG691" s="451">
        <f ca="1">IF(AND(Scharniere[[#This Row],[Scharnierart]]=select!$A$1487,Scharniere[[#This Row],[Gruppenschlüssel]]=select!$B$1487)=TRUE,1,0)</f>
        <v>0</v>
      </c>
      <c r="AH691" s="451">
        <f ca="1">IF(AND(Scharniere[[#This Row],[Scharnierart]]=select!$A$1488,Scharniere[[#This Row],[Gruppenschlüssel]]=select!$B$1488)=TRUE,1,0)</f>
        <v>0</v>
      </c>
      <c r="AI691" s="451">
        <f ca="1">IF(SUM(Scharniere[[#This Row],[konf Scharnier 1]:[konf Scharnier 4]])&gt;0,1,0)</f>
        <v>0</v>
      </c>
      <c r="AJ691" s="451"/>
      <c r="AK691" s="451"/>
      <c r="AL691" s="451"/>
      <c r="AM691" s="451"/>
      <c r="AN691" s="451"/>
      <c r="AO691" s="146">
        <v>1</v>
      </c>
      <c r="AP691" s="146">
        <v>4</v>
      </c>
      <c r="AQ691" s="10" t="str">
        <f ca="1">Sprache!$A$114</f>
        <v>Tiomos Scharnier TT Click-on</v>
      </c>
      <c r="AR691" t="s">
        <v>292</v>
      </c>
      <c r="AS691" t="str">
        <f ca="1">Sprache!$A$103</f>
        <v>Tiomos Click-On Scharniere</v>
      </c>
      <c r="AT691">
        <v>0</v>
      </c>
      <c r="AU691" t="s">
        <v>9</v>
      </c>
      <c r="AV691">
        <v>95</v>
      </c>
      <c r="AW691" s="10">
        <v>0</v>
      </c>
      <c r="AX691">
        <v>0</v>
      </c>
      <c r="AY691">
        <v>1</v>
      </c>
      <c r="AZ691" s="10">
        <v>1</v>
      </c>
      <c r="BA691">
        <v>0</v>
      </c>
      <c r="BB691">
        <v>0</v>
      </c>
      <c r="BC691">
        <v>0</v>
      </c>
      <c r="BD691" s="143" t="s">
        <v>629</v>
      </c>
      <c r="BG691"/>
    </row>
    <row r="692" spans="1:59" ht="14.25" customHeight="1" x14ac:dyDescent="0.25">
      <c r="A692" s="37" t="str">
        <f>LEFT(Scharniere[[#This Row],[ArtikelNR]],4)</f>
        <v>F034</v>
      </c>
      <c r="B692" s="35" t="str">
        <f>MID(Scharniere[[#This Row],[ArtikelNR]],5,3)</f>
        <v>139</v>
      </c>
      <c r="C692" s="37" t="str">
        <f>RIGHT(Scharniere[[#This Row],[ArtikelNR]],3)</f>
        <v>409</v>
      </c>
      <c r="D692" s="35">
        <f>IF(AND(Scharniere[[#This Row],[Gruppenschlüssel]]=select!$A$44,Scharniere[[#This Row],[Scharnierart]]=1)=TRUE,1,0)</f>
        <v>0</v>
      </c>
      <c r="E6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2" s="35">
        <f>IF(select!$F$57=IF(Scharniere[[#This Row],[mit Dämpfung]]=1,1,IF(Scharniere[[#This Row],[ohne Dämpfung]]=1,2,IF(Scharniere[[#This Row],[ohne Feder]]=1,3,0))),1,0)</f>
        <v>0</v>
      </c>
      <c r="G692" s="35">
        <f>IF(Scharniere[[#This Row],[Bohrbild]]=select!$V$43,1,0)</f>
        <v>0</v>
      </c>
      <c r="H692" s="35">
        <f>IF(IF(Scharniere[[#This Row],[Anschrauben]]=1,1,IF(Scharniere[[#This Row],[Einpressen]]=1,2,IF(Scharniere[[#This Row],[Quick]]=1,3,IF(Scharniere[[#This Row],[Werkzeuglos]]=1,4,0))))=select!$F$48,1,0)</f>
        <v>0</v>
      </c>
      <c r="I6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2" s="149">
        <f>IF(AND(Scharniere[[#This Row],[Scharnierart]]=2,Scharniere[[#This Row],[Gruppenschlüssel]]=select!$A$318)=TRUE,1,0)</f>
        <v>0</v>
      </c>
      <c r="K692" s="221">
        <f ca="1">IF(select!$O$424&lt;6,1,0)</f>
        <v>1</v>
      </c>
      <c r="L692" s="139">
        <f>IF(select!$A$362=IF(Scharniere[[#This Row],[mit Dämpfung]]=1,1,IF(Scharniere[[#This Row],[ohne Dämpfung]]=1,2,IF(Scharniere[[#This Row],[ohne Feder]]=1,3,0))),1,0)</f>
        <v>0</v>
      </c>
      <c r="M692" s="135">
        <f>IF(Scharniere[[#This Row],[Bohrbild]]=select!$O$334,1,0)</f>
        <v>0</v>
      </c>
      <c r="N692" s="135">
        <f>IF(IF(Scharniere[[#This Row],[Anschrauben]]=1,1,IF(Scharniere[[#This Row],[Einpressen]]=1,2,IF(Scharniere[[#This Row],[Quick]]=1,3,IF(Scharniere[[#This Row],[Werkzeuglos]]=1,4,0))))=select!$E$362,1,0)</f>
        <v>0</v>
      </c>
      <c r="O6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2" s="298">
        <f>IF(AND(Scharniere[[#This Row],[Scharnierart]]=3,Scharniere[[#This Row],[Gruppenschlüssel]]=select!$A$747)=TRUE,1,0)</f>
        <v>0</v>
      </c>
      <c r="Q692" s="298">
        <f ca="1">IF(select!$O$945&lt;6,1,0)</f>
        <v>1</v>
      </c>
      <c r="R692" s="298">
        <f>IF(select!$A$778=IF(Scharniere[[#This Row],[mit Dämpfung]]=1,1,IF(Scharniere[[#This Row],[ohne Dämpfung]]=1,2,IF(Scharniere[[#This Row],[ohne Feder]]=1,3,0))),1,0)</f>
        <v>1</v>
      </c>
      <c r="S692" s="298">
        <f>IF(Scharniere[[#This Row],[Bohrbild]]=select!$A$755,1,0)</f>
        <v>0</v>
      </c>
      <c r="T692" s="298">
        <f>IF(IF(Scharniere[[#This Row],[Anschrauben]]=1,1,IF(Scharniere[[#This Row],[Einpressen]]=1,2,IF(Scharniere[[#This Row],[Quick]]=1,3,IF(Scharniere[[#This Row],[Werkzeuglos]]=1,4,0))))=select!$A$769,1,0)</f>
        <v>0</v>
      </c>
      <c r="U6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2" s="359">
        <f>IF(AND(Scharniere[[#This Row],[Scharnierart]]=4,Scharniere[[#This Row],[Gruppenschlüssel]]=select!$A$981)=TRUE,1,0)</f>
        <v>0</v>
      </c>
      <c r="W692" s="359">
        <f ca="1">IF(select!$O$1185&lt;6,1,0)</f>
        <v>1</v>
      </c>
      <c r="X692" s="359">
        <f>IF(select!$A$1012=IF(Scharniere[[#This Row],[mit Dämpfung]]=1,1,IF(Scharniere[[#This Row],[ohne Dämpfung]]=1,2,IF(Scharniere[[#This Row],[ohne Feder]]=1,3,0))),1,0)</f>
        <v>1</v>
      </c>
      <c r="Y692" s="359">
        <f>IF(Scharniere[[#This Row],[Bohrbild]]=select!$A$989,1,0)</f>
        <v>0</v>
      </c>
      <c r="Z692" s="359">
        <f>IF(IF(Scharniere[[#This Row],[Anschrauben]]=1,1,IF(Scharniere[[#This Row],[Einpressen]]=1,2,IF(Scharniere[[#This Row],[Quick]]=1,3,IF(Scharniere[[#This Row],[Werkzeuglos]]=1,4,0))))=select!$A$1003,1,0)</f>
        <v>0</v>
      </c>
      <c r="AA6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2" s="359">
        <f ca="1">IF(select!$K$980="*",Scharniere[[#This Row],[AG Ges2]],Scharniere[[#This Row],[AG Ges1]])</f>
        <v>0</v>
      </c>
      <c r="AE692" s="451">
        <f ca="1">IF(AND(Scharniere[[#This Row],[Scharnierart]]=select!$A$1485,Scharniere[[#This Row],[Gruppenschlüssel]]=select!$B$1485)=TRUE,1,0)</f>
        <v>0</v>
      </c>
      <c r="AF692" s="451">
        <f ca="1">IF(AND(Scharniere[[#This Row],[Scharnierart]]=select!$A$1486,Scharniere[[#This Row],[Gruppenschlüssel]]=select!$B$1486)=TRUE,1,0)</f>
        <v>0</v>
      </c>
      <c r="AG692" s="451">
        <f ca="1">IF(AND(Scharniere[[#This Row],[Scharnierart]]=select!$A$1487,Scharniere[[#This Row],[Gruppenschlüssel]]=select!$B$1487)=TRUE,1,0)</f>
        <v>0</v>
      </c>
      <c r="AH692" s="451">
        <f ca="1">IF(AND(Scharniere[[#This Row],[Scharnierart]]=select!$A$1488,Scharniere[[#This Row],[Gruppenschlüssel]]=select!$B$1488)=TRUE,1,0)</f>
        <v>0</v>
      </c>
      <c r="AI692" s="451">
        <f ca="1">IF(SUM(Scharniere[[#This Row],[konf Scharnier 1]:[konf Scharnier 4]])&gt;0,1,0)</f>
        <v>0</v>
      </c>
      <c r="AJ692" s="451"/>
      <c r="AK692" s="451"/>
      <c r="AL692" s="451"/>
      <c r="AM692" s="451"/>
      <c r="AN692" s="451"/>
      <c r="AO692" s="146">
        <v>1</v>
      </c>
      <c r="AP692" s="146">
        <v>4</v>
      </c>
      <c r="AQ692" s="10" t="str">
        <f ca="1">Sprache!$A$111</f>
        <v>Tiomos Scharnier T Impresso</v>
      </c>
      <c r="AR692" t="s">
        <v>103</v>
      </c>
      <c r="AS692" t="str">
        <f ca="1">Sprache!$A$116</f>
        <v>Tiomos Impresso Scharniere</v>
      </c>
      <c r="AT692">
        <v>0</v>
      </c>
      <c r="AU692" t="s">
        <v>9</v>
      </c>
      <c r="AV692">
        <v>95</v>
      </c>
      <c r="AW692" s="10">
        <v>0</v>
      </c>
      <c r="AX692">
        <v>1</v>
      </c>
      <c r="AY692">
        <v>0</v>
      </c>
      <c r="AZ692" s="10">
        <v>0</v>
      </c>
      <c r="BA692">
        <v>0</v>
      </c>
      <c r="BB692">
        <v>0</v>
      </c>
      <c r="BC692">
        <v>1</v>
      </c>
      <c r="BD692" s="143" t="s">
        <v>161</v>
      </c>
      <c r="BG692"/>
    </row>
    <row r="693" spans="1:59" ht="14.25" customHeight="1" x14ac:dyDescent="0.25">
      <c r="A693" s="37" t="str">
        <f>LEFT(Scharniere[[#This Row],[ArtikelNR]],4)</f>
        <v>F034</v>
      </c>
      <c r="B693" s="35" t="str">
        <f>MID(Scharniere[[#This Row],[ArtikelNR]],5,3)</f>
        <v>139</v>
      </c>
      <c r="C693" s="37" t="str">
        <f>RIGHT(Scharniere[[#This Row],[ArtikelNR]],3)</f>
        <v>409</v>
      </c>
      <c r="D693" s="35">
        <f>IF(AND(Scharniere[[#This Row],[Gruppenschlüssel]]=select!$A$44,Scharniere[[#This Row],[Scharnierart]]=1)=TRUE,1,0)</f>
        <v>0</v>
      </c>
      <c r="E6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3" s="35">
        <f>IF(select!$F$57=IF(Scharniere[[#This Row],[mit Dämpfung]]=1,1,IF(Scharniere[[#This Row],[ohne Dämpfung]]=1,2,IF(Scharniere[[#This Row],[ohne Feder]]=1,3,0))),1,0)</f>
        <v>0</v>
      </c>
      <c r="G693" s="35">
        <f>IF(Scharniere[[#This Row],[Bohrbild]]=select!$V$43,1,0)</f>
        <v>0</v>
      </c>
      <c r="H693" s="35">
        <f>IF(IF(Scharniere[[#This Row],[Anschrauben]]=1,1,IF(Scharniere[[#This Row],[Einpressen]]=1,2,IF(Scharniere[[#This Row],[Quick]]=1,3,IF(Scharniere[[#This Row],[Werkzeuglos]]=1,4,0))))=select!$F$48,1,0)</f>
        <v>0</v>
      </c>
      <c r="I6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3" s="149">
        <f>IF(AND(Scharniere[[#This Row],[Scharnierart]]=2,Scharniere[[#This Row],[Gruppenschlüssel]]=select!$A$318)=TRUE,1,0)</f>
        <v>0</v>
      </c>
      <c r="K693" s="221">
        <f ca="1">IF(select!$O$424&lt;6,1,0)</f>
        <v>1</v>
      </c>
      <c r="L693" s="139">
        <f>IF(select!$A$362=IF(Scharniere[[#This Row],[mit Dämpfung]]=1,1,IF(Scharniere[[#This Row],[ohne Dämpfung]]=1,2,IF(Scharniere[[#This Row],[ohne Feder]]=1,3,0))),1,0)</f>
        <v>0</v>
      </c>
      <c r="M693" s="135">
        <f>IF(Scharniere[[#This Row],[Bohrbild]]=select!$O$334,1,0)</f>
        <v>0</v>
      </c>
      <c r="N693" s="135">
        <f>IF(IF(Scharniere[[#This Row],[Anschrauben]]=1,1,IF(Scharniere[[#This Row],[Einpressen]]=1,2,IF(Scharniere[[#This Row],[Quick]]=1,3,IF(Scharniere[[#This Row],[Werkzeuglos]]=1,4,0))))=select!$E$362,1,0)</f>
        <v>0</v>
      </c>
      <c r="O6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3" s="298">
        <f>IF(AND(Scharniere[[#This Row],[Scharnierart]]=3,Scharniere[[#This Row],[Gruppenschlüssel]]=select!$A$747)=TRUE,1,0)</f>
        <v>0</v>
      </c>
      <c r="Q693" s="298">
        <f ca="1">IF(select!$O$945&lt;6,1,0)</f>
        <v>1</v>
      </c>
      <c r="R693" s="298">
        <f>IF(select!$A$778=IF(Scharniere[[#This Row],[mit Dämpfung]]=1,1,IF(Scharniere[[#This Row],[ohne Dämpfung]]=1,2,IF(Scharniere[[#This Row],[ohne Feder]]=1,3,0))),1,0)</f>
        <v>1</v>
      </c>
      <c r="S693" s="298">
        <f>IF(Scharniere[[#This Row],[Bohrbild]]=select!$A$755,1,0)</f>
        <v>0</v>
      </c>
      <c r="T693" s="298">
        <f>IF(IF(Scharniere[[#This Row],[Anschrauben]]=1,1,IF(Scharniere[[#This Row],[Einpressen]]=1,2,IF(Scharniere[[#This Row],[Quick]]=1,3,IF(Scharniere[[#This Row],[Werkzeuglos]]=1,4,0))))=select!$A$769,1,0)</f>
        <v>0</v>
      </c>
      <c r="U6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3" s="359">
        <f>IF(AND(Scharniere[[#This Row],[Scharnierart]]=4,Scharniere[[#This Row],[Gruppenschlüssel]]=select!$A$981)=TRUE,1,0)</f>
        <v>0</v>
      </c>
      <c r="W693" s="359">
        <f ca="1">IF(select!$O$1185&lt;6,1,0)</f>
        <v>1</v>
      </c>
      <c r="X693" s="359">
        <f>IF(select!$A$1012=IF(Scharniere[[#This Row],[mit Dämpfung]]=1,1,IF(Scharniere[[#This Row],[ohne Dämpfung]]=1,2,IF(Scharniere[[#This Row],[ohne Feder]]=1,3,0))),1,0)</f>
        <v>1</v>
      </c>
      <c r="Y693" s="359">
        <f>IF(Scharniere[[#This Row],[Bohrbild]]=select!$A$989,1,0)</f>
        <v>0</v>
      </c>
      <c r="Z693" s="359">
        <f>IF(IF(Scharniere[[#This Row],[Anschrauben]]=1,1,IF(Scharniere[[#This Row],[Einpressen]]=1,2,IF(Scharniere[[#This Row],[Quick]]=1,3,IF(Scharniere[[#This Row],[Werkzeuglos]]=1,4,0))))=select!$A$1003,1,0)</f>
        <v>0</v>
      </c>
      <c r="AA6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3" s="359">
        <f ca="1">IF(select!$K$980="*",Scharniere[[#This Row],[AG Ges2]],Scharniere[[#This Row],[AG Ges1]])</f>
        <v>0</v>
      </c>
      <c r="AE693" s="451">
        <f ca="1">IF(AND(Scharniere[[#This Row],[Scharnierart]]=select!$A$1485,Scharniere[[#This Row],[Gruppenschlüssel]]=select!$B$1485)=TRUE,1,0)</f>
        <v>0</v>
      </c>
      <c r="AF693" s="451">
        <f ca="1">IF(AND(Scharniere[[#This Row],[Scharnierart]]=select!$A$1486,Scharniere[[#This Row],[Gruppenschlüssel]]=select!$B$1486)=TRUE,1,0)</f>
        <v>0</v>
      </c>
      <c r="AG693" s="451">
        <f ca="1">IF(AND(Scharniere[[#This Row],[Scharnierart]]=select!$A$1487,Scharniere[[#This Row],[Gruppenschlüssel]]=select!$B$1487)=TRUE,1,0)</f>
        <v>0</v>
      </c>
      <c r="AH693" s="451">
        <f ca="1">IF(AND(Scharniere[[#This Row],[Scharnierart]]=select!$A$1488,Scharniere[[#This Row],[Gruppenschlüssel]]=select!$B$1488)=TRUE,1,0)</f>
        <v>0</v>
      </c>
      <c r="AI693" s="451">
        <f ca="1">IF(SUM(Scharniere[[#This Row],[konf Scharnier 1]:[konf Scharnier 4]])&gt;0,1,0)</f>
        <v>0</v>
      </c>
      <c r="AJ693" s="451"/>
      <c r="AK693" s="451"/>
      <c r="AL693" s="451"/>
      <c r="AM693" s="451"/>
      <c r="AN693" s="451"/>
      <c r="AO693" s="146">
        <v>1</v>
      </c>
      <c r="AP693" s="146">
        <v>4</v>
      </c>
      <c r="AQ693" s="10" t="str">
        <f ca="1">Sprache!$A$111</f>
        <v>Tiomos Scharnier T Impresso</v>
      </c>
      <c r="AR693" t="s">
        <v>103</v>
      </c>
      <c r="AS693" t="str">
        <f ca="1">Sprache!$A$116</f>
        <v>Tiomos Impresso Scharniere</v>
      </c>
      <c r="AT693">
        <v>0</v>
      </c>
      <c r="AU693" t="s">
        <v>3</v>
      </c>
      <c r="AV693">
        <v>95</v>
      </c>
      <c r="AW693" s="10">
        <v>0</v>
      </c>
      <c r="AX693">
        <v>1</v>
      </c>
      <c r="AY693">
        <v>0</v>
      </c>
      <c r="AZ693" s="10">
        <v>0</v>
      </c>
      <c r="BA693">
        <v>0</v>
      </c>
      <c r="BB693">
        <v>0</v>
      </c>
      <c r="BC693">
        <v>1</v>
      </c>
      <c r="BD693" s="143" t="s">
        <v>161</v>
      </c>
      <c r="BG693"/>
    </row>
    <row r="694" spans="1:59" ht="14.25" customHeight="1" x14ac:dyDescent="0.25">
      <c r="A694" s="37" t="str">
        <f>LEFT(Scharniere[[#This Row],[ArtikelNR]],4)</f>
        <v>F017</v>
      </c>
      <c r="B694" s="35" t="str">
        <f>MID(Scharniere[[#This Row],[ArtikelNR]],5,3)</f>
        <v>139</v>
      </c>
      <c r="C694" s="37" t="str">
        <f>RIGHT(Scharniere[[#This Row],[ArtikelNR]],3)</f>
        <v>438</v>
      </c>
      <c r="D694" s="35">
        <f>IF(AND(Scharniere[[#This Row],[Gruppenschlüssel]]=select!$A$44,Scharniere[[#This Row],[Scharnierart]]=1)=TRUE,1,0)</f>
        <v>0</v>
      </c>
      <c r="E6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4" s="35">
        <f>IF(select!$F$57=IF(Scharniere[[#This Row],[mit Dämpfung]]=1,1,IF(Scharniere[[#This Row],[ohne Dämpfung]]=1,2,IF(Scharniere[[#This Row],[ohne Feder]]=1,3,0))),1,0)</f>
        <v>0</v>
      </c>
      <c r="G694" s="35">
        <f>IF(Scharniere[[#This Row],[Bohrbild]]=select!$V$43,1,0)</f>
        <v>0</v>
      </c>
      <c r="H694" s="35">
        <f>IF(IF(Scharniere[[#This Row],[Anschrauben]]=1,1,IF(Scharniere[[#This Row],[Einpressen]]=1,2,IF(Scharniere[[#This Row],[Quick]]=1,3,IF(Scharniere[[#This Row],[Werkzeuglos]]=1,4,0))))=select!$F$48,1,0)</f>
        <v>0</v>
      </c>
      <c r="I6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4" s="149">
        <f>IF(AND(Scharniere[[#This Row],[Scharnierart]]=2,Scharniere[[#This Row],[Gruppenschlüssel]]=select!$A$318)=TRUE,1,0)</f>
        <v>0</v>
      </c>
      <c r="K694" s="221">
        <f ca="1">IF(select!$O$424&lt;6,1,0)</f>
        <v>1</v>
      </c>
      <c r="L694" s="139">
        <f>IF(select!$A$362=IF(Scharniere[[#This Row],[mit Dämpfung]]=1,1,IF(Scharniere[[#This Row],[ohne Dämpfung]]=1,2,IF(Scharniere[[#This Row],[ohne Feder]]=1,3,0))),1,0)</f>
        <v>1</v>
      </c>
      <c r="M694" s="135">
        <f>IF(Scharniere[[#This Row],[Bohrbild]]=select!$O$334,1,0)</f>
        <v>0</v>
      </c>
      <c r="N694" s="135">
        <f>IF(IF(Scharniere[[#This Row],[Anschrauben]]=1,1,IF(Scharniere[[#This Row],[Einpressen]]=1,2,IF(Scharniere[[#This Row],[Quick]]=1,3,IF(Scharniere[[#This Row],[Werkzeuglos]]=1,4,0))))=select!$E$362,1,0)</f>
        <v>0</v>
      </c>
      <c r="O6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4" s="298">
        <f>IF(AND(Scharniere[[#This Row],[Scharnierart]]=3,Scharniere[[#This Row],[Gruppenschlüssel]]=select!$A$747)=TRUE,1,0)</f>
        <v>0</v>
      </c>
      <c r="Q694" s="298">
        <f ca="1">IF(select!$O$945&lt;6,1,0)</f>
        <v>1</v>
      </c>
      <c r="R694" s="298">
        <f>IF(select!$A$778=IF(Scharniere[[#This Row],[mit Dämpfung]]=1,1,IF(Scharniere[[#This Row],[ohne Dämpfung]]=1,2,IF(Scharniere[[#This Row],[ohne Feder]]=1,3,0))),1,0)</f>
        <v>0</v>
      </c>
      <c r="S694" s="298">
        <f>IF(Scharniere[[#This Row],[Bohrbild]]=select!$A$755,1,0)</f>
        <v>0</v>
      </c>
      <c r="T694" s="298">
        <f>IF(IF(Scharniere[[#This Row],[Anschrauben]]=1,1,IF(Scharniere[[#This Row],[Einpressen]]=1,2,IF(Scharniere[[#This Row],[Quick]]=1,3,IF(Scharniere[[#This Row],[Werkzeuglos]]=1,4,0))))=select!$A$769,1,0)</f>
        <v>0</v>
      </c>
      <c r="U6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4" s="359">
        <f>IF(AND(Scharniere[[#This Row],[Scharnierart]]=4,Scharniere[[#This Row],[Gruppenschlüssel]]=select!$A$981)=TRUE,1,0)</f>
        <v>0</v>
      </c>
      <c r="W694" s="359">
        <f ca="1">IF(select!$O$1185&lt;6,1,0)</f>
        <v>1</v>
      </c>
      <c r="X694" s="359">
        <f>IF(select!$A$1012=IF(Scharniere[[#This Row],[mit Dämpfung]]=1,1,IF(Scharniere[[#This Row],[ohne Dämpfung]]=1,2,IF(Scharniere[[#This Row],[ohne Feder]]=1,3,0))),1,0)</f>
        <v>0</v>
      </c>
      <c r="Y694" s="359">
        <f>IF(Scharniere[[#This Row],[Bohrbild]]=select!$A$989,1,0)</f>
        <v>0</v>
      </c>
      <c r="Z694" s="359">
        <f>IF(IF(Scharniere[[#This Row],[Anschrauben]]=1,1,IF(Scharniere[[#This Row],[Einpressen]]=1,2,IF(Scharniere[[#This Row],[Quick]]=1,3,IF(Scharniere[[#This Row],[Werkzeuglos]]=1,4,0))))=select!$A$1003,1,0)</f>
        <v>0</v>
      </c>
      <c r="AA6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4" s="359">
        <f ca="1">IF(select!$K$980="*",Scharniere[[#This Row],[AG Ges2]],Scharniere[[#This Row],[AG Ges1]])</f>
        <v>0</v>
      </c>
      <c r="AE694" s="451">
        <f ca="1">IF(AND(Scharniere[[#This Row],[Scharnierart]]=select!$A$1485,Scharniere[[#This Row],[Gruppenschlüssel]]=select!$B$1485)=TRUE,1,0)</f>
        <v>0</v>
      </c>
      <c r="AF694" s="451">
        <f ca="1">IF(AND(Scharniere[[#This Row],[Scharnierart]]=select!$A$1486,Scharniere[[#This Row],[Gruppenschlüssel]]=select!$B$1486)=TRUE,1,0)</f>
        <v>0</v>
      </c>
      <c r="AG694" s="451">
        <f ca="1">IF(AND(Scharniere[[#This Row],[Scharnierart]]=select!$A$1487,Scharniere[[#This Row],[Gruppenschlüssel]]=select!$B$1487)=TRUE,1,0)</f>
        <v>0</v>
      </c>
      <c r="AH694" s="451">
        <f ca="1">IF(AND(Scharniere[[#This Row],[Scharnierart]]=select!$A$1488,Scharniere[[#This Row],[Gruppenschlüssel]]=select!$B$1488)=TRUE,1,0)</f>
        <v>0</v>
      </c>
      <c r="AI694" s="451">
        <f ca="1">IF(SUM(Scharniere[[#This Row],[konf Scharnier 1]:[konf Scharnier 4]])&gt;0,1,0)</f>
        <v>0</v>
      </c>
      <c r="AJ694" s="451"/>
      <c r="AK694" s="451"/>
      <c r="AL694" s="451"/>
      <c r="AM694" s="451"/>
      <c r="AN694" s="451"/>
      <c r="AO694" s="146">
        <v>1</v>
      </c>
      <c r="AP694" s="146">
        <v>4</v>
      </c>
      <c r="AQ694" s="10" t="str">
        <f ca="1">Sprache!$A$113</f>
        <v>Tiomos Scharnier TS Impresso</v>
      </c>
      <c r="AR694" t="s">
        <v>103</v>
      </c>
      <c r="AS694" t="str">
        <f ca="1">Sprache!$A$116</f>
        <v>Tiomos Impresso Scharniere</v>
      </c>
      <c r="AT694">
        <v>0</v>
      </c>
      <c r="AU694" s="34" t="s">
        <v>9</v>
      </c>
      <c r="AV694">
        <v>95</v>
      </c>
      <c r="AW694" s="10">
        <v>1</v>
      </c>
      <c r="AX694">
        <v>0</v>
      </c>
      <c r="AY694">
        <v>0</v>
      </c>
      <c r="AZ694" s="10">
        <v>0</v>
      </c>
      <c r="BA694">
        <v>0</v>
      </c>
      <c r="BB694">
        <v>0</v>
      </c>
      <c r="BC694">
        <v>1</v>
      </c>
      <c r="BD694" s="143" t="s">
        <v>102</v>
      </c>
      <c r="BG694"/>
    </row>
    <row r="695" spans="1:59" ht="14.25" customHeight="1" x14ac:dyDescent="0.25">
      <c r="A695" s="37" t="str">
        <f>LEFT(Scharniere[[#This Row],[ArtikelNR]],4)</f>
        <v>F017</v>
      </c>
      <c r="B695" s="35" t="str">
        <f>MID(Scharniere[[#This Row],[ArtikelNR]],5,3)</f>
        <v>139</v>
      </c>
      <c r="C695" s="37" t="str">
        <f>RIGHT(Scharniere[[#This Row],[ArtikelNR]],3)</f>
        <v>438</v>
      </c>
      <c r="D695" s="35">
        <f>IF(AND(Scharniere[[#This Row],[Gruppenschlüssel]]=select!$A$44,Scharniere[[#This Row],[Scharnierart]]=1)=TRUE,1,0)</f>
        <v>0</v>
      </c>
      <c r="E6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5" s="35">
        <f>IF(select!$F$57=IF(Scharniere[[#This Row],[mit Dämpfung]]=1,1,IF(Scharniere[[#This Row],[ohne Dämpfung]]=1,2,IF(Scharniere[[#This Row],[ohne Feder]]=1,3,0))),1,0)</f>
        <v>0</v>
      </c>
      <c r="G695" s="35">
        <f>IF(Scharniere[[#This Row],[Bohrbild]]=select!$V$43,1,0)</f>
        <v>0</v>
      </c>
      <c r="H695" s="35">
        <f>IF(IF(Scharniere[[#This Row],[Anschrauben]]=1,1,IF(Scharniere[[#This Row],[Einpressen]]=1,2,IF(Scharniere[[#This Row],[Quick]]=1,3,IF(Scharniere[[#This Row],[Werkzeuglos]]=1,4,0))))=select!$F$48,1,0)</f>
        <v>0</v>
      </c>
      <c r="I6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5" s="149">
        <f>IF(AND(Scharniere[[#This Row],[Scharnierart]]=2,Scharniere[[#This Row],[Gruppenschlüssel]]=select!$A$318)=TRUE,1,0)</f>
        <v>0</v>
      </c>
      <c r="K695" s="221">
        <f ca="1">IF(select!$O$424&lt;6,1,0)</f>
        <v>1</v>
      </c>
      <c r="L695" s="139">
        <f>IF(select!$A$362=IF(Scharniere[[#This Row],[mit Dämpfung]]=1,1,IF(Scharniere[[#This Row],[ohne Dämpfung]]=1,2,IF(Scharniere[[#This Row],[ohne Feder]]=1,3,0))),1,0)</f>
        <v>1</v>
      </c>
      <c r="M695" s="135">
        <f>IF(Scharniere[[#This Row],[Bohrbild]]=select!$O$334,1,0)</f>
        <v>0</v>
      </c>
      <c r="N695" s="135">
        <f>IF(IF(Scharniere[[#This Row],[Anschrauben]]=1,1,IF(Scharniere[[#This Row],[Einpressen]]=1,2,IF(Scharniere[[#This Row],[Quick]]=1,3,IF(Scharniere[[#This Row],[Werkzeuglos]]=1,4,0))))=select!$E$362,1,0)</f>
        <v>0</v>
      </c>
      <c r="O6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5" s="298">
        <f>IF(AND(Scharniere[[#This Row],[Scharnierart]]=3,Scharniere[[#This Row],[Gruppenschlüssel]]=select!$A$747)=TRUE,1,0)</f>
        <v>0</v>
      </c>
      <c r="Q695" s="298">
        <f ca="1">IF(select!$O$945&lt;6,1,0)</f>
        <v>1</v>
      </c>
      <c r="R695" s="298">
        <f>IF(select!$A$778=IF(Scharniere[[#This Row],[mit Dämpfung]]=1,1,IF(Scharniere[[#This Row],[ohne Dämpfung]]=1,2,IF(Scharniere[[#This Row],[ohne Feder]]=1,3,0))),1,0)</f>
        <v>0</v>
      </c>
      <c r="S695" s="298">
        <f>IF(Scharniere[[#This Row],[Bohrbild]]=select!$A$755,1,0)</f>
        <v>0</v>
      </c>
      <c r="T695" s="298">
        <f>IF(IF(Scharniere[[#This Row],[Anschrauben]]=1,1,IF(Scharniere[[#This Row],[Einpressen]]=1,2,IF(Scharniere[[#This Row],[Quick]]=1,3,IF(Scharniere[[#This Row],[Werkzeuglos]]=1,4,0))))=select!$A$769,1,0)</f>
        <v>0</v>
      </c>
      <c r="U6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5" s="359">
        <f>IF(AND(Scharniere[[#This Row],[Scharnierart]]=4,Scharniere[[#This Row],[Gruppenschlüssel]]=select!$A$981)=TRUE,1,0)</f>
        <v>0</v>
      </c>
      <c r="W695" s="359">
        <f ca="1">IF(select!$O$1185&lt;6,1,0)</f>
        <v>1</v>
      </c>
      <c r="X695" s="359">
        <f>IF(select!$A$1012=IF(Scharniere[[#This Row],[mit Dämpfung]]=1,1,IF(Scharniere[[#This Row],[ohne Dämpfung]]=1,2,IF(Scharniere[[#This Row],[ohne Feder]]=1,3,0))),1,0)</f>
        <v>0</v>
      </c>
      <c r="Y695" s="359">
        <f>IF(Scharniere[[#This Row],[Bohrbild]]=select!$A$989,1,0)</f>
        <v>0</v>
      </c>
      <c r="Z695" s="359">
        <f>IF(IF(Scharniere[[#This Row],[Anschrauben]]=1,1,IF(Scharniere[[#This Row],[Einpressen]]=1,2,IF(Scharniere[[#This Row],[Quick]]=1,3,IF(Scharniere[[#This Row],[Werkzeuglos]]=1,4,0))))=select!$A$1003,1,0)</f>
        <v>0</v>
      </c>
      <c r="AA6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5" s="359">
        <f ca="1">IF(select!$K$980="*",Scharniere[[#This Row],[AG Ges2]],Scharniere[[#This Row],[AG Ges1]])</f>
        <v>0</v>
      </c>
      <c r="AE695" s="451">
        <f ca="1">IF(AND(Scharniere[[#This Row],[Scharnierart]]=select!$A$1485,Scharniere[[#This Row],[Gruppenschlüssel]]=select!$B$1485)=TRUE,1,0)</f>
        <v>0</v>
      </c>
      <c r="AF695" s="451">
        <f ca="1">IF(AND(Scharniere[[#This Row],[Scharnierart]]=select!$A$1486,Scharniere[[#This Row],[Gruppenschlüssel]]=select!$B$1486)=TRUE,1,0)</f>
        <v>0</v>
      </c>
      <c r="AG695" s="451">
        <f ca="1">IF(AND(Scharniere[[#This Row],[Scharnierart]]=select!$A$1487,Scharniere[[#This Row],[Gruppenschlüssel]]=select!$B$1487)=TRUE,1,0)</f>
        <v>0</v>
      </c>
      <c r="AH695" s="451">
        <f ca="1">IF(AND(Scharniere[[#This Row],[Scharnierart]]=select!$A$1488,Scharniere[[#This Row],[Gruppenschlüssel]]=select!$B$1488)=TRUE,1,0)</f>
        <v>0</v>
      </c>
      <c r="AI695" s="451">
        <f ca="1">IF(SUM(Scharniere[[#This Row],[konf Scharnier 1]:[konf Scharnier 4]])&gt;0,1,0)</f>
        <v>0</v>
      </c>
      <c r="AJ695" s="451"/>
      <c r="AK695" s="451"/>
      <c r="AL695" s="451"/>
      <c r="AM695" s="451"/>
      <c r="AN695" s="451"/>
      <c r="AO695" s="146">
        <v>1</v>
      </c>
      <c r="AP695" s="146">
        <v>4</v>
      </c>
      <c r="AQ695" s="10" t="str">
        <f ca="1">Sprache!$A$113</f>
        <v>Tiomos Scharnier TS Impresso</v>
      </c>
      <c r="AR695" t="s">
        <v>103</v>
      </c>
      <c r="AS695" t="str">
        <f ca="1">Sprache!$A$116</f>
        <v>Tiomos Impresso Scharniere</v>
      </c>
      <c r="AT695">
        <v>0</v>
      </c>
      <c r="AU695" t="s">
        <v>3</v>
      </c>
      <c r="AV695">
        <v>95</v>
      </c>
      <c r="AW695" s="10">
        <v>1</v>
      </c>
      <c r="AX695">
        <v>0</v>
      </c>
      <c r="AY695">
        <v>0</v>
      </c>
      <c r="AZ695" s="10">
        <v>0</v>
      </c>
      <c r="BA695">
        <v>0</v>
      </c>
      <c r="BB695">
        <v>0</v>
      </c>
      <c r="BC695">
        <v>1</v>
      </c>
      <c r="BD695" s="143" t="s">
        <v>102</v>
      </c>
      <c r="BG695"/>
    </row>
    <row r="696" spans="1:59" ht="14.25" customHeight="1" x14ac:dyDescent="0.25">
      <c r="A696" s="37" t="str">
        <f>LEFT(Scharniere[[#This Row],[ArtikelNR]],4)</f>
        <v>F035</v>
      </c>
      <c r="B696" s="35" t="str">
        <f>MID(Scharniere[[#This Row],[ArtikelNR]],5,3)</f>
        <v>139</v>
      </c>
      <c r="C696" s="37" t="str">
        <f>RIGHT(Scharniere[[#This Row],[ArtikelNR]],3)</f>
        <v>466</v>
      </c>
      <c r="D696" s="35">
        <f>IF(AND(Scharniere[[#This Row],[Gruppenschlüssel]]=select!$A$44,Scharniere[[#This Row],[Scharnierart]]=1)=TRUE,1,0)</f>
        <v>0</v>
      </c>
      <c r="E6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6" s="35">
        <f>IF(select!$F$57=IF(Scharniere[[#This Row],[mit Dämpfung]]=1,1,IF(Scharniere[[#This Row],[ohne Dämpfung]]=1,2,IF(Scharniere[[#This Row],[ohne Feder]]=1,3,0))),1,0)</f>
        <v>1</v>
      </c>
      <c r="G696" s="35">
        <f>IF(Scharniere[[#This Row],[Bohrbild]]=select!$V$43,1,0)</f>
        <v>0</v>
      </c>
      <c r="H696" s="35">
        <f>IF(IF(Scharniere[[#This Row],[Anschrauben]]=1,1,IF(Scharniere[[#This Row],[Einpressen]]=1,2,IF(Scharniere[[#This Row],[Quick]]=1,3,IF(Scharniere[[#This Row],[Werkzeuglos]]=1,4,0))))=select!$F$48,1,0)</f>
        <v>0</v>
      </c>
      <c r="I6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6" s="149">
        <f>IF(AND(Scharniere[[#This Row],[Scharnierart]]=2,Scharniere[[#This Row],[Gruppenschlüssel]]=select!$A$318)=TRUE,1,0)</f>
        <v>0</v>
      </c>
      <c r="K696" s="221">
        <f ca="1">IF(select!$O$424&lt;6,1,0)</f>
        <v>1</v>
      </c>
      <c r="L696" s="139">
        <f>IF(select!$A$362=IF(Scharniere[[#This Row],[mit Dämpfung]]=1,1,IF(Scharniere[[#This Row],[ohne Dämpfung]]=1,2,IF(Scharniere[[#This Row],[ohne Feder]]=1,3,0))),1,0)</f>
        <v>0</v>
      </c>
      <c r="M696" s="135">
        <f>IF(Scharniere[[#This Row],[Bohrbild]]=select!$O$334,1,0)</f>
        <v>0</v>
      </c>
      <c r="N696" s="135">
        <f>IF(IF(Scharniere[[#This Row],[Anschrauben]]=1,1,IF(Scharniere[[#This Row],[Einpressen]]=1,2,IF(Scharniere[[#This Row],[Quick]]=1,3,IF(Scharniere[[#This Row],[Werkzeuglos]]=1,4,0))))=select!$E$362,1,0)</f>
        <v>0</v>
      </c>
      <c r="O6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6" s="298">
        <f>IF(AND(Scharniere[[#This Row],[Scharnierart]]=3,Scharniere[[#This Row],[Gruppenschlüssel]]=select!$A$747)=TRUE,1,0)</f>
        <v>0</v>
      </c>
      <c r="Q696" s="298">
        <f ca="1">IF(select!$O$945&lt;6,1,0)</f>
        <v>1</v>
      </c>
      <c r="R696" s="298">
        <f>IF(select!$A$778=IF(Scharniere[[#This Row],[mit Dämpfung]]=1,1,IF(Scharniere[[#This Row],[ohne Dämpfung]]=1,2,IF(Scharniere[[#This Row],[ohne Feder]]=1,3,0))),1,0)</f>
        <v>0</v>
      </c>
      <c r="S696" s="298">
        <f>IF(Scharniere[[#This Row],[Bohrbild]]=select!$A$755,1,0)</f>
        <v>0</v>
      </c>
      <c r="T696" s="298">
        <f>IF(IF(Scharniere[[#This Row],[Anschrauben]]=1,1,IF(Scharniere[[#This Row],[Einpressen]]=1,2,IF(Scharniere[[#This Row],[Quick]]=1,3,IF(Scharniere[[#This Row],[Werkzeuglos]]=1,4,0))))=select!$A$769,1,0)</f>
        <v>0</v>
      </c>
      <c r="U6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6" s="359">
        <f>IF(AND(Scharniere[[#This Row],[Scharnierart]]=4,Scharniere[[#This Row],[Gruppenschlüssel]]=select!$A$981)=TRUE,1,0)</f>
        <v>0</v>
      </c>
      <c r="W696" s="359">
        <f ca="1">IF(select!$O$1185&lt;6,1,0)</f>
        <v>1</v>
      </c>
      <c r="X696" s="359">
        <f>IF(select!$A$1012=IF(Scharniere[[#This Row],[mit Dämpfung]]=1,1,IF(Scharniere[[#This Row],[ohne Dämpfung]]=1,2,IF(Scharniere[[#This Row],[ohne Feder]]=1,3,0))),1,0)</f>
        <v>0</v>
      </c>
      <c r="Y696" s="359">
        <f>IF(Scharniere[[#This Row],[Bohrbild]]=select!$A$989,1,0)</f>
        <v>0</v>
      </c>
      <c r="Z696" s="359">
        <f>IF(IF(Scharniere[[#This Row],[Anschrauben]]=1,1,IF(Scharniere[[#This Row],[Einpressen]]=1,2,IF(Scharniere[[#This Row],[Quick]]=1,3,IF(Scharniere[[#This Row],[Werkzeuglos]]=1,4,0))))=select!$A$1003,1,0)</f>
        <v>0</v>
      </c>
      <c r="AA6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6" s="359">
        <f ca="1">IF(select!$K$980="*",Scharniere[[#This Row],[AG Ges2]],Scharniere[[#This Row],[AG Ges1]])</f>
        <v>0</v>
      </c>
      <c r="AE696" s="451">
        <f ca="1">IF(AND(Scharniere[[#This Row],[Scharnierart]]=select!$A$1485,Scharniere[[#This Row],[Gruppenschlüssel]]=select!$B$1485)=TRUE,1,0)</f>
        <v>0</v>
      </c>
      <c r="AF696" s="451">
        <f ca="1">IF(AND(Scharniere[[#This Row],[Scharnierart]]=select!$A$1486,Scharniere[[#This Row],[Gruppenschlüssel]]=select!$B$1486)=TRUE,1,0)</f>
        <v>0</v>
      </c>
      <c r="AG696" s="451">
        <f ca="1">IF(AND(Scharniere[[#This Row],[Scharnierart]]=select!$A$1487,Scharniere[[#This Row],[Gruppenschlüssel]]=select!$B$1487)=TRUE,1,0)</f>
        <v>0</v>
      </c>
      <c r="AH696" s="451">
        <f ca="1">IF(AND(Scharniere[[#This Row],[Scharnierart]]=select!$A$1488,Scharniere[[#This Row],[Gruppenschlüssel]]=select!$B$1488)=TRUE,1,0)</f>
        <v>0</v>
      </c>
      <c r="AI696" s="451">
        <f ca="1">IF(SUM(Scharniere[[#This Row],[konf Scharnier 1]:[konf Scharnier 4]])&gt;0,1,0)</f>
        <v>0</v>
      </c>
      <c r="AJ696" s="451"/>
      <c r="AK696" s="451"/>
      <c r="AL696" s="451"/>
      <c r="AM696" s="451"/>
      <c r="AN696" s="451"/>
      <c r="AO696" s="146">
        <v>1</v>
      </c>
      <c r="AP696" s="146">
        <v>4</v>
      </c>
      <c r="AQ696" s="10" t="str">
        <f ca="1">Sprache!$A$115</f>
        <v>Tiomos Scharnier TT Impresso</v>
      </c>
      <c r="AR696" t="s">
        <v>103</v>
      </c>
      <c r="AS696" t="str">
        <f ca="1">Sprache!$A$116</f>
        <v>Tiomos Impresso Scharniere</v>
      </c>
      <c r="AT696">
        <v>0</v>
      </c>
      <c r="AU696" t="s">
        <v>9</v>
      </c>
      <c r="AV696">
        <v>95</v>
      </c>
      <c r="AW696" s="10">
        <v>0</v>
      </c>
      <c r="AX696">
        <v>0</v>
      </c>
      <c r="AY696">
        <v>1</v>
      </c>
      <c r="AZ696" s="10">
        <v>0</v>
      </c>
      <c r="BA696">
        <v>0</v>
      </c>
      <c r="BB696">
        <v>0</v>
      </c>
      <c r="BC696">
        <v>1</v>
      </c>
      <c r="BD696" s="143" t="s">
        <v>205</v>
      </c>
      <c r="BG696"/>
    </row>
    <row r="697" spans="1:59" ht="14.25" customHeight="1" x14ac:dyDescent="0.25">
      <c r="A697" s="37" t="str">
        <f>LEFT(Scharniere[[#This Row],[ArtikelNR]],4)</f>
        <v>F035</v>
      </c>
      <c r="B697" s="35" t="str">
        <f>MID(Scharniere[[#This Row],[ArtikelNR]],5,3)</f>
        <v>139</v>
      </c>
      <c r="C697" s="37" t="str">
        <f>RIGHT(Scharniere[[#This Row],[ArtikelNR]],3)</f>
        <v>466</v>
      </c>
      <c r="D697" s="35">
        <f>IF(AND(Scharniere[[#This Row],[Gruppenschlüssel]]=select!$A$44,Scharniere[[#This Row],[Scharnierart]]=1)=TRUE,1,0)</f>
        <v>0</v>
      </c>
      <c r="E6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7" s="35">
        <f>IF(select!$F$57=IF(Scharniere[[#This Row],[mit Dämpfung]]=1,1,IF(Scharniere[[#This Row],[ohne Dämpfung]]=1,2,IF(Scharniere[[#This Row],[ohne Feder]]=1,3,0))),1,0)</f>
        <v>1</v>
      </c>
      <c r="G697" s="35">
        <f>IF(Scharniere[[#This Row],[Bohrbild]]=select!$V$43,1,0)</f>
        <v>0</v>
      </c>
      <c r="H697" s="35">
        <f>IF(IF(Scharniere[[#This Row],[Anschrauben]]=1,1,IF(Scharniere[[#This Row],[Einpressen]]=1,2,IF(Scharniere[[#This Row],[Quick]]=1,3,IF(Scharniere[[#This Row],[Werkzeuglos]]=1,4,0))))=select!$F$48,1,0)</f>
        <v>0</v>
      </c>
      <c r="I6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7" s="149">
        <f>IF(AND(Scharniere[[#This Row],[Scharnierart]]=2,Scharniere[[#This Row],[Gruppenschlüssel]]=select!$A$318)=TRUE,1,0)</f>
        <v>0</v>
      </c>
      <c r="K697" s="221">
        <f ca="1">IF(select!$O$424&lt;6,1,0)</f>
        <v>1</v>
      </c>
      <c r="L697" s="139">
        <f>IF(select!$A$362=IF(Scharniere[[#This Row],[mit Dämpfung]]=1,1,IF(Scharniere[[#This Row],[ohne Dämpfung]]=1,2,IF(Scharniere[[#This Row],[ohne Feder]]=1,3,0))),1,0)</f>
        <v>0</v>
      </c>
      <c r="M697" s="135">
        <f>IF(Scharniere[[#This Row],[Bohrbild]]=select!$O$334,1,0)</f>
        <v>0</v>
      </c>
      <c r="N697" s="135">
        <f>IF(IF(Scharniere[[#This Row],[Anschrauben]]=1,1,IF(Scharniere[[#This Row],[Einpressen]]=1,2,IF(Scharniere[[#This Row],[Quick]]=1,3,IF(Scharniere[[#This Row],[Werkzeuglos]]=1,4,0))))=select!$E$362,1,0)</f>
        <v>0</v>
      </c>
      <c r="O6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7" s="298">
        <f>IF(AND(Scharniere[[#This Row],[Scharnierart]]=3,Scharniere[[#This Row],[Gruppenschlüssel]]=select!$A$747)=TRUE,1,0)</f>
        <v>0</v>
      </c>
      <c r="Q697" s="298">
        <f ca="1">IF(select!$O$945&lt;6,1,0)</f>
        <v>1</v>
      </c>
      <c r="R697" s="298">
        <f>IF(select!$A$778=IF(Scharniere[[#This Row],[mit Dämpfung]]=1,1,IF(Scharniere[[#This Row],[ohne Dämpfung]]=1,2,IF(Scharniere[[#This Row],[ohne Feder]]=1,3,0))),1,0)</f>
        <v>0</v>
      </c>
      <c r="S697" s="298">
        <f>IF(Scharniere[[#This Row],[Bohrbild]]=select!$A$755,1,0)</f>
        <v>0</v>
      </c>
      <c r="T697" s="298">
        <f>IF(IF(Scharniere[[#This Row],[Anschrauben]]=1,1,IF(Scharniere[[#This Row],[Einpressen]]=1,2,IF(Scharniere[[#This Row],[Quick]]=1,3,IF(Scharniere[[#This Row],[Werkzeuglos]]=1,4,0))))=select!$A$769,1,0)</f>
        <v>0</v>
      </c>
      <c r="U6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7" s="359">
        <f>IF(AND(Scharniere[[#This Row],[Scharnierart]]=4,Scharniere[[#This Row],[Gruppenschlüssel]]=select!$A$981)=TRUE,1,0)</f>
        <v>0</v>
      </c>
      <c r="W697" s="359">
        <f ca="1">IF(select!$O$1185&lt;6,1,0)</f>
        <v>1</v>
      </c>
      <c r="X697" s="359">
        <f>IF(select!$A$1012=IF(Scharniere[[#This Row],[mit Dämpfung]]=1,1,IF(Scharniere[[#This Row],[ohne Dämpfung]]=1,2,IF(Scharniere[[#This Row],[ohne Feder]]=1,3,0))),1,0)</f>
        <v>0</v>
      </c>
      <c r="Y697" s="359">
        <f>IF(Scharniere[[#This Row],[Bohrbild]]=select!$A$989,1,0)</f>
        <v>0</v>
      </c>
      <c r="Z697" s="359">
        <f>IF(IF(Scharniere[[#This Row],[Anschrauben]]=1,1,IF(Scharniere[[#This Row],[Einpressen]]=1,2,IF(Scharniere[[#This Row],[Quick]]=1,3,IF(Scharniere[[#This Row],[Werkzeuglos]]=1,4,0))))=select!$A$1003,1,0)</f>
        <v>0</v>
      </c>
      <c r="AA6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7" s="359">
        <f ca="1">IF(select!$K$980="*",Scharniere[[#This Row],[AG Ges2]],Scharniere[[#This Row],[AG Ges1]])</f>
        <v>0</v>
      </c>
      <c r="AE697" s="451">
        <f ca="1">IF(AND(Scharniere[[#This Row],[Scharnierart]]=select!$A$1485,Scharniere[[#This Row],[Gruppenschlüssel]]=select!$B$1485)=TRUE,1,0)</f>
        <v>0</v>
      </c>
      <c r="AF697" s="451">
        <f ca="1">IF(AND(Scharniere[[#This Row],[Scharnierart]]=select!$A$1486,Scharniere[[#This Row],[Gruppenschlüssel]]=select!$B$1486)=TRUE,1,0)</f>
        <v>0</v>
      </c>
      <c r="AG697" s="451">
        <f ca="1">IF(AND(Scharniere[[#This Row],[Scharnierart]]=select!$A$1487,Scharniere[[#This Row],[Gruppenschlüssel]]=select!$B$1487)=TRUE,1,0)</f>
        <v>0</v>
      </c>
      <c r="AH697" s="451">
        <f ca="1">IF(AND(Scharniere[[#This Row],[Scharnierart]]=select!$A$1488,Scharniere[[#This Row],[Gruppenschlüssel]]=select!$B$1488)=TRUE,1,0)</f>
        <v>0</v>
      </c>
      <c r="AI697" s="451">
        <f ca="1">IF(SUM(Scharniere[[#This Row],[konf Scharnier 1]:[konf Scharnier 4]])&gt;0,1,0)</f>
        <v>0</v>
      </c>
      <c r="AJ697" s="451"/>
      <c r="AK697" s="451"/>
      <c r="AL697" s="451"/>
      <c r="AM697" s="451"/>
      <c r="AN697" s="451"/>
      <c r="AO697" s="146">
        <v>1</v>
      </c>
      <c r="AP697" s="146">
        <v>4</v>
      </c>
      <c r="AQ697" s="10" t="str">
        <f ca="1">Sprache!$A$115</f>
        <v>Tiomos Scharnier TT Impresso</v>
      </c>
      <c r="AR697" t="s">
        <v>103</v>
      </c>
      <c r="AS697" t="str">
        <f ca="1">Sprache!$A$116</f>
        <v>Tiomos Impresso Scharniere</v>
      </c>
      <c r="AT697">
        <v>0</v>
      </c>
      <c r="AU697" s="34" t="s">
        <v>3</v>
      </c>
      <c r="AV697">
        <v>95</v>
      </c>
      <c r="AW697" s="10">
        <v>0</v>
      </c>
      <c r="AX697">
        <v>0</v>
      </c>
      <c r="AY697">
        <v>1</v>
      </c>
      <c r="AZ697" s="10">
        <v>0</v>
      </c>
      <c r="BA697">
        <v>0</v>
      </c>
      <c r="BB697">
        <v>0</v>
      </c>
      <c r="BC697">
        <v>1</v>
      </c>
      <c r="BD697" s="143" t="s">
        <v>205</v>
      </c>
      <c r="BG697"/>
    </row>
    <row r="698" spans="1:59" ht="14.25" customHeight="1" x14ac:dyDescent="0.25">
      <c r="A698" s="37" t="str">
        <f>LEFT(Scharniere[[#This Row],[ArtikelNR]],4)</f>
        <v>F045</v>
      </c>
      <c r="B698" s="35" t="str">
        <f>MID(Scharniere[[#This Row],[ArtikelNR]],5,3)</f>
        <v>138</v>
      </c>
      <c r="C698" s="37" t="str">
        <f>RIGHT(Scharniere[[#This Row],[ArtikelNR]],3)</f>
        <v>691</v>
      </c>
      <c r="D698" s="35">
        <f>IF(AND(Scharniere[[#This Row],[Gruppenschlüssel]]=select!$A$44,Scharniere[[#This Row],[Scharnierart]]=1)=TRUE,1,0)</f>
        <v>0</v>
      </c>
      <c r="E6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8" s="35">
        <f>IF(select!$F$57=IF(Scharniere[[#This Row],[mit Dämpfung]]=1,1,IF(Scharniere[[#This Row],[ohne Dämpfung]]=1,2,IF(Scharniere[[#This Row],[ohne Feder]]=1,3,0))),1,0)</f>
        <v>0</v>
      </c>
      <c r="G698" s="35">
        <f>IF(Scharniere[[#This Row],[Bohrbild]]=select!$V$43,1,0)</f>
        <v>0</v>
      </c>
      <c r="H698" s="35">
        <f>IF(IF(Scharniere[[#This Row],[Anschrauben]]=1,1,IF(Scharniere[[#This Row],[Einpressen]]=1,2,IF(Scharniere[[#This Row],[Quick]]=1,3,IF(Scharniere[[#This Row],[Werkzeuglos]]=1,4,0))))=select!$F$48,1,0)</f>
        <v>1</v>
      </c>
      <c r="I6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8" s="149">
        <f>IF(AND(Scharniere[[#This Row],[Scharnierart]]=2,Scharniere[[#This Row],[Gruppenschlüssel]]=select!$A$318)=TRUE,1,0)</f>
        <v>0</v>
      </c>
      <c r="K698" s="221">
        <f ca="1">IF(select!$O$424&lt;6,1,0)</f>
        <v>1</v>
      </c>
      <c r="L698" s="139">
        <f>IF(select!$A$362=IF(Scharniere[[#This Row],[mit Dämpfung]]=1,1,IF(Scharniere[[#This Row],[ohne Dämpfung]]=1,2,IF(Scharniere[[#This Row],[ohne Feder]]=1,3,0))),1,0)</f>
        <v>0</v>
      </c>
      <c r="M698" s="135">
        <f>IF(Scharniere[[#This Row],[Bohrbild]]=select!$O$334,1,0)</f>
        <v>0</v>
      </c>
      <c r="N698" s="135">
        <f>IF(IF(Scharniere[[#This Row],[Anschrauben]]=1,1,IF(Scharniere[[#This Row],[Einpressen]]=1,2,IF(Scharniere[[#This Row],[Quick]]=1,3,IF(Scharniere[[#This Row],[Werkzeuglos]]=1,4,0))))=select!$E$362,1,0)</f>
        <v>0</v>
      </c>
      <c r="O6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8" s="298">
        <f>IF(AND(Scharniere[[#This Row],[Scharnierart]]=3,Scharniere[[#This Row],[Gruppenschlüssel]]=select!$A$747)=TRUE,1,0)</f>
        <v>0</v>
      </c>
      <c r="Q698" s="298">
        <f ca="1">IF(select!$O$945&lt;6,1,0)</f>
        <v>1</v>
      </c>
      <c r="R698" s="298">
        <f>IF(select!$A$778=IF(Scharniere[[#This Row],[mit Dämpfung]]=1,1,IF(Scharniere[[#This Row],[ohne Dämpfung]]=1,2,IF(Scharniere[[#This Row],[ohne Feder]]=1,3,0))),1,0)</f>
        <v>1</v>
      </c>
      <c r="S698" s="298">
        <f>IF(Scharniere[[#This Row],[Bohrbild]]=select!$A$755,1,0)</f>
        <v>0</v>
      </c>
      <c r="T698" s="298">
        <f>IF(IF(Scharniere[[#This Row],[Anschrauben]]=1,1,IF(Scharniere[[#This Row],[Einpressen]]=1,2,IF(Scharniere[[#This Row],[Quick]]=1,3,IF(Scharniere[[#This Row],[Werkzeuglos]]=1,4,0))))=select!$A$769,1,0)</f>
        <v>0</v>
      </c>
      <c r="U6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8" s="359">
        <f>IF(AND(Scharniere[[#This Row],[Scharnierart]]=4,Scharniere[[#This Row],[Gruppenschlüssel]]=select!$A$981)=TRUE,1,0)</f>
        <v>0</v>
      </c>
      <c r="W698" s="359">
        <f ca="1">IF(select!$O$1185&lt;6,1,0)</f>
        <v>1</v>
      </c>
      <c r="X698" s="359">
        <f>IF(select!$A$1012=IF(Scharniere[[#This Row],[mit Dämpfung]]=1,1,IF(Scharniere[[#This Row],[ohne Dämpfung]]=1,2,IF(Scharniere[[#This Row],[ohne Feder]]=1,3,0))),1,0)</f>
        <v>1</v>
      </c>
      <c r="Y698" s="359">
        <f>IF(Scharniere[[#This Row],[Bohrbild]]=select!$A$989,1,0)</f>
        <v>0</v>
      </c>
      <c r="Z698" s="359">
        <f>IF(IF(Scharniere[[#This Row],[Anschrauben]]=1,1,IF(Scharniere[[#This Row],[Einpressen]]=1,2,IF(Scharniere[[#This Row],[Quick]]=1,3,IF(Scharniere[[#This Row],[Werkzeuglos]]=1,4,0))))=select!$A$1003,1,0)</f>
        <v>0</v>
      </c>
      <c r="AA6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8" s="359">
        <f ca="1">IF(select!$K$980="*",Scharniere[[#This Row],[AG Ges2]],Scharniere[[#This Row],[AG Ges1]])</f>
        <v>0</v>
      </c>
      <c r="AE698" s="451">
        <f ca="1">IF(AND(Scharniere[[#This Row],[Scharnierart]]=select!$A$1485,Scharniere[[#This Row],[Gruppenschlüssel]]=select!$B$1485)=TRUE,1,0)</f>
        <v>0</v>
      </c>
      <c r="AF698" s="451">
        <f ca="1">IF(AND(Scharniere[[#This Row],[Scharnierart]]=select!$A$1486,Scharniere[[#This Row],[Gruppenschlüssel]]=select!$B$1486)=TRUE,1,0)</f>
        <v>0</v>
      </c>
      <c r="AG698" s="451">
        <f ca="1">IF(AND(Scharniere[[#This Row],[Scharnierart]]=select!$A$1487,Scharniere[[#This Row],[Gruppenschlüssel]]=select!$B$1487)=TRUE,1,0)</f>
        <v>0</v>
      </c>
      <c r="AH698" s="451">
        <f ca="1">IF(AND(Scharniere[[#This Row],[Scharnierart]]=select!$A$1488,Scharniere[[#This Row],[Gruppenschlüssel]]=select!$B$1488)=TRUE,1,0)</f>
        <v>0</v>
      </c>
      <c r="AI698" s="451">
        <f ca="1">IF(SUM(Scharniere[[#This Row],[konf Scharnier 1]:[konf Scharnier 4]])&gt;0,1,0)</f>
        <v>0</v>
      </c>
      <c r="AJ698" s="451"/>
      <c r="AK698" s="451"/>
      <c r="AL698" s="451"/>
      <c r="AM698" s="451"/>
      <c r="AN698" s="451"/>
      <c r="AO698" s="146">
        <v>1</v>
      </c>
      <c r="AP698" s="146">
        <v>4</v>
      </c>
      <c r="AQ698" s="10" t="str">
        <f ca="1">Sprache!$A$110</f>
        <v>Tiomos Scharnier T Click-on</v>
      </c>
      <c r="AR698" t="str">
        <f ca="1">"95°, H-BB, K00, "&amp;Sprache!A181&amp;", ni"</f>
        <v>95°, H-BB, K00, Dübel, ni</v>
      </c>
      <c r="AS698" t="str">
        <f ca="1">Sprache!$A$103</f>
        <v>Tiomos Click-On Scharniere</v>
      </c>
      <c r="AT698">
        <v>0</v>
      </c>
      <c r="AU698" t="s">
        <v>10</v>
      </c>
      <c r="AV698">
        <v>95</v>
      </c>
      <c r="AW698" s="10">
        <v>0</v>
      </c>
      <c r="AX698">
        <v>1</v>
      </c>
      <c r="AY698">
        <v>0</v>
      </c>
      <c r="AZ698" s="10">
        <v>0</v>
      </c>
      <c r="BA698">
        <v>1</v>
      </c>
      <c r="BB698">
        <v>0</v>
      </c>
      <c r="BC698">
        <v>0</v>
      </c>
      <c r="BD698" s="143" t="s">
        <v>538</v>
      </c>
      <c r="BG698"/>
    </row>
    <row r="699" spans="1:59" ht="14.25" customHeight="1" x14ac:dyDescent="0.25">
      <c r="A699" s="37" t="str">
        <f>LEFT(Scharniere[[#This Row],[ArtikelNR]],4)</f>
        <v>F028</v>
      </c>
      <c r="B699" s="35" t="str">
        <f>MID(Scharniere[[#This Row],[ArtikelNR]],5,3)</f>
        <v>138</v>
      </c>
      <c r="C699" s="37" t="str">
        <f>RIGHT(Scharniere[[#This Row],[ArtikelNR]],3)</f>
        <v>753</v>
      </c>
      <c r="D699" s="35">
        <f>IF(AND(Scharniere[[#This Row],[Gruppenschlüssel]]=select!$A$44,Scharniere[[#This Row],[Scharnierart]]=1)=TRUE,1,0)</f>
        <v>0</v>
      </c>
      <c r="E6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699" s="35">
        <f>IF(select!$F$57=IF(Scharniere[[#This Row],[mit Dämpfung]]=1,1,IF(Scharniere[[#This Row],[ohne Dämpfung]]=1,2,IF(Scharniere[[#This Row],[ohne Feder]]=1,3,0))),1,0)</f>
        <v>0</v>
      </c>
      <c r="G699" s="35">
        <f>IF(Scharniere[[#This Row],[Bohrbild]]=select!$V$43,1,0)</f>
        <v>0</v>
      </c>
      <c r="H699" s="35">
        <f>IF(IF(Scharniere[[#This Row],[Anschrauben]]=1,1,IF(Scharniere[[#This Row],[Einpressen]]=1,2,IF(Scharniere[[#This Row],[Quick]]=1,3,IF(Scharniere[[#This Row],[Werkzeuglos]]=1,4,0))))=select!$F$48,1,0)</f>
        <v>1</v>
      </c>
      <c r="I6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699" s="149">
        <f>IF(AND(Scharniere[[#This Row],[Scharnierart]]=2,Scharniere[[#This Row],[Gruppenschlüssel]]=select!$A$318)=TRUE,1,0)</f>
        <v>0</v>
      </c>
      <c r="K699" s="221">
        <f ca="1">IF(select!$O$424&lt;6,1,0)</f>
        <v>1</v>
      </c>
      <c r="L699" s="139">
        <f>IF(select!$A$362=IF(Scharniere[[#This Row],[mit Dämpfung]]=1,1,IF(Scharniere[[#This Row],[ohne Dämpfung]]=1,2,IF(Scharniere[[#This Row],[ohne Feder]]=1,3,0))),1,0)</f>
        <v>1</v>
      </c>
      <c r="M699" s="135">
        <f>IF(Scharniere[[#This Row],[Bohrbild]]=select!$O$334,1,0)</f>
        <v>0</v>
      </c>
      <c r="N699" s="135">
        <f>IF(IF(Scharniere[[#This Row],[Anschrauben]]=1,1,IF(Scharniere[[#This Row],[Einpressen]]=1,2,IF(Scharniere[[#This Row],[Quick]]=1,3,IF(Scharniere[[#This Row],[Werkzeuglos]]=1,4,0))))=select!$E$362,1,0)</f>
        <v>0</v>
      </c>
      <c r="O6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699" s="298">
        <f>IF(AND(Scharniere[[#This Row],[Scharnierart]]=3,Scharniere[[#This Row],[Gruppenschlüssel]]=select!$A$747)=TRUE,1,0)</f>
        <v>0</v>
      </c>
      <c r="Q699" s="298">
        <f ca="1">IF(select!$O$945&lt;6,1,0)</f>
        <v>1</v>
      </c>
      <c r="R699" s="298">
        <f>IF(select!$A$778=IF(Scharniere[[#This Row],[mit Dämpfung]]=1,1,IF(Scharniere[[#This Row],[ohne Dämpfung]]=1,2,IF(Scharniere[[#This Row],[ohne Feder]]=1,3,0))),1,0)</f>
        <v>0</v>
      </c>
      <c r="S699" s="298">
        <f>IF(Scharniere[[#This Row],[Bohrbild]]=select!$A$755,1,0)</f>
        <v>0</v>
      </c>
      <c r="T699" s="298">
        <f>IF(IF(Scharniere[[#This Row],[Anschrauben]]=1,1,IF(Scharniere[[#This Row],[Einpressen]]=1,2,IF(Scharniere[[#This Row],[Quick]]=1,3,IF(Scharniere[[#This Row],[Werkzeuglos]]=1,4,0))))=select!$A$769,1,0)</f>
        <v>0</v>
      </c>
      <c r="U6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699" s="359">
        <f>IF(AND(Scharniere[[#This Row],[Scharnierart]]=4,Scharniere[[#This Row],[Gruppenschlüssel]]=select!$A$981)=TRUE,1,0)</f>
        <v>0</v>
      </c>
      <c r="W699" s="359">
        <f ca="1">IF(select!$O$1185&lt;6,1,0)</f>
        <v>1</v>
      </c>
      <c r="X699" s="359">
        <f>IF(select!$A$1012=IF(Scharniere[[#This Row],[mit Dämpfung]]=1,1,IF(Scharniere[[#This Row],[ohne Dämpfung]]=1,2,IF(Scharniere[[#This Row],[ohne Feder]]=1,3,0))),1,0)</f>
        <v>0</v>
      </c>
      <c r="Y699" s="359">
        <f>IF(Scharniere[[#This Row],[Bohrbild]]=select!$A$989,1,0)</f>
        <v>0</v>
      </c>
      <c r="Z699" s="359">
        <f>IF(IF(Scharniere[[#This Row],[Anschrauben]]=1,1,IF(Scharniere[[#This Row],[Einpressen]]=1,2,IF(Scharniere[[#This Row],[Quick]]=1,3,IF(Scharniere[[#This Row],[Werkzeuglos]]=1,4,0))))=select!$A$1003,1,0)</f>
        <v>0</v>
      </c>
      <c r="AA6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6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6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699" s="359">
        <f ca="1">IF(select!$K$980="*",Scharniere[[#This Row],[AG Ges2]],Scharniere[[#This Row],[AG Ges1]])</f>
        <v>0</v>
      </c>
      <c r="AE699" s="451">
        <f ca="1">IF(AND(Scharniere[[#This Row],[Scharnierart]]=select!$A$1485,Scharniere[[#This Row],[Gruppenschlüssel]]=select!$B$1485)=TRUE,1,0)</f>
        <v>0</v>
      </c>
      <c r="AF699" s="451">
        <f ca="1">IF(AND(Scharniere[[#This Row],[Scharnierart]]=select!$A$1486,Scharniere[[#This Row],[Gruppenschlüssel]]=select!$B$1486)=TRUE,1,0)</f>
        <v>0</v>
      </c>
      <c r="AG699" s="451">
        <f ca="1">IF(AND(Scharniere[[#This Row],[Scharnierart]]=select!$A$1487,Scharniere[[#This Row],[Gruppenschlüssel]]=select!$B$1487)=TRUE,1,0)</f>
        <v>0</v>
      </c>
      <c r="AH699" s="451">
        <f ca="1">IF(AND(Scharniere[[#This Row],[Scharnierart]]=select!$A$1488,Scharniere[[#This Row],[Gruppenschlüssel]]=select!$B$1488)=TRUE,1,0)</f>
        <v>0</v>
      </c>
      <c r="AI699" s="451">
        <f ca="1">IF(SUM(Scharniere[[#This Row],[konf Scharnier 1]:[konf Scharnier 4]])&gt;0,1,0)</f>
        <v>0</v>
      </c>
      <c r="AJ699" s="451"/>
      <c r="AK699" s="451"/>
      <c r="AL699" s="451"/>
      <c r="AM699" s="451"/>
      <c r="AN699" s="451"/>
      <c r="AO699" s="146">
        <v>1</v>
      </c>
      <c r="AP699" s="146">
        <v>4</v>
      </c>
      <c r="AQ699" s="10" t="str">
        <f ca="1">Sprache!$A$112</f>
        <v>Tiomos Scharnier TS Click-on</v>
      </c>
      <c r="AR699" t="str">
        <f ca="1">"95°, H-BB, K00, "&amp;Sprache!A181&amp;", ni"</f>
        <v>95°, H-BB, K00, Dübel, ni</v>
      </c>
      <c r="AS699" t="str">
        <f ca="1">Sprache!$A$103</f>
        <v>Tiomos Click-On Scharniere</v>
      </c>
      <c r="AT699">
        <v>0</v>
      </c>
      <c r="AU699" t="s">
        <v>10</v>
      </c>
      <c r="AV699">
        <v>95</v>
      </c>
      <c r="AW699" s="10">
        <v>1</v>
      </c>
      <c r="AX699">
        <v>0</v>
      </c>
      <c r="AY699">
        <v>0</v>
      </c>
      <c r="AZ699" s="10">
        <v>0</v>
      </c>
      <c r="BA699">
        <v>1</v>
      </c>
      <c r="BB699">
        <v>0</v>
      </c>
      <c r="BC699">
        <v>0</v>
      </c>
      <c r="BD699" s="143" t="s">
        <v>375</v>
      </c>
      <c r="BG699"/>
    </row>
    <row r="700" spans="1:59" ht="14.25" customHeight="1" x14ac:dyDescent="0.25">
      <c r="A700" s="37" t="str">
        <f>LEFT(Scharniere[[#This Row],[ArtikelNR]],4)</f>
        <v>F046</v>
      </c>
      <c r="B700" s="35" t="str">
        <f>MID(Scharniere[[#This Row],[ArtikelNR]],5,3)</f>
        <v>138</v>
      </c>
      <c r="C700" s="37" t="str">
        <f>RIGHT(Scharniere[[#This Row],[ArtikelNR]],3)</f>
        <v>813</v>
      </c>
      <c r="D700" s="35">
        <f>IF(AND(Scharniere[[#This Row],[Gruppenschlüssel]]=select!$A$44,Scharniere[[#This Row],[Scharnierart]]=1)=TRUE,1,0)</f>
        <v>0</v>
      </c>
      <c r="E7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0" s="35">
        <f>IF(select!$F$57=IF(Scharniere[[#This Row],[mit Dämpfung]]=1,1,IF(Scharniere[[#This Row],[ohne Dämpfung]]=1,2,IF(Scharniere[[#This Row],[ohne Feder]]=1,3,0))),1,0)</f>
        <v>1</v>
      </c>
      <c r="G700" s="35">
        <f>IF(Scharniere[[#This Row],[Bohrbild]]=select!$V$43,1,0)</f>
        <v>0</v>
      </c>
      <c r="H700" s="35">
        <f>IF(IF(Scharniere[[#This Row],[Anschrauben]]=1,1,IF(Scharniere[[#This Row],[Einpressen]]=1,2,IF(Scharniere[[#This Row],[Quick]]=1,3,IF(Scharniere[[#This Row],[Werkzeuglos]]=1,4,0))))=select!$F$48,1,0)</f>
        <v>1</v>
      </c>
      <c r="I7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0" s="149">
        <f>IF(AND(Scharniere[[#This Row],[Scharnierart]]=2,Scharniere[[#This Row],[Gruppenschlüssel]]=select!$A$318)=TRUE,1,0)</f>
        <v>0</v>
      </c>
      <c r="K700" s="221">
        <f ca="1">IF(select!$O$424&lt;6,1,0)</f>
        <v>1</v>
      </c>
      <c r="L700" s="139">
        <f>IF(select!$A$362=IF(Scharniere[[#This Row],[mit Dämpfung]]=1,1,IF(Scharniere[[#This Row],[ohne Dämpfung]]=1,2,IF(Scharniere[[#This Row],[ohne Feder]]=1,3,0))),1,0)</f>
        <v>0</v>
      </c>
      <c r="M700" s="135">
        <f>IF(Scharniere[[#This Row],[Bohrbild]]=select!$O$334,1,0)</f>
        <v>0</v>
      </c>
      <c r="N700" s="135">
        <f>IF(IF(Scharniere[[#This Row],[Anschrauben]]=1,1,IF(Scharniere[[#This Row],[Einpressen]]=1,2,IF(Scharniere[[#This Row],[Quick]]=1,3,IF(Scharniere[[#This Row],[Werkzeuglos]]=1,4,0))))=select!$E$362,1,0)</f>
        <v>0</v>
      </c>
      <c r="O7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0" s="298">
        <f>IF(AND(Scharniere[[#This Row],[Scharnierart]]=3,Scharniere[[#This Row],[Gruppenschlüssel]]=select!$A$747)=TRUE,1,0)</f>
        <v>0</v>
      </c>
      <c r="Q700" s="298">
        <f ca="1">IF(select!$O$945&lt;6,1,0)</f>
        <v>1</v>
      </c>
      <c r="R700" s="298">
        <f>IF(select!$A$778=IF(Scharniere[[#This Row],[mit Dämpfung]]=1,1,IF(Scharniere[[#This Row],[ohne Dämpfung]]=1,2,IF(Scharniere[[#This Row],[ohne Feder]]=1,3,0))),1,0)</f>
        <v>0</v>
      </c>
      <c r="S700" s="298">
        <f>IF(Scharniere[[#This Row],[Bohrbild]]=select!$A$755,1,0)</f>
        <v>0</v>
      </c>
      <c r="T700" s="298">
        <f>IF(IF(Scharniere[[#This Row],[Anschrauben]]=1,1,IF(Scharniere[[#This Row],[Einpressen]]=1,2,IF(Scharniere[[#This Row],[Quick]]=1,3,IF(Scharniere[[#This Row],[Werkzeuglos]]=1,4,0))))=select!$A$769,1,0)</f>
        <v>0</v>
      </c>
      <c r="U7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0" s="359">
        <f>IF(AND(Scharniere[[#This Row],[Scharnierart]]=4,Scharniere[[#This Row],[Gruppenschlüssel]]=select!$A$981)=TRUE,1,0)</f>
        <v>0</v>
      </c>
      <c r="W700" s="359">
        <f ca="1">IF(select!$O$1185&lt;6,1,0)</f>
        <v>1</v>
      </c>
      <c r="X700" s="359">
        <f>IF(select!$A$1012=IF(Scharniere[[#This Row],[mit Dämpfung]]=1,1,IF(Scharniere[[#This Row],[ohne Dämpfung]]=1,2,IF(Scharniere[[#This Row],[ohne Feder]]=1,3,0))),1,0)</f>
        <v>0</v>
      </c>
      <c r="Y700" s="359">
        <f>IF(Scharniere[[#This Row],[Bohrbild]]=select!$A$989,1,0)</f>
        <v>0</v>
      </c>
      <c r="Z700" s="359">
        <f>IF(IF(Scharniere[[#This Row],[Anschrauben]]=1,1,IF(Scharniere[[#This Row],[Einpressen]]=1,2,IF(Scharniere[[#This Row],[Quick]]=1,3,IF(Scharniere[[#This Row],[Werkzeuglos]]=1,4,0))))=select!$A$1003,1,0)</f>
        <v>0</v>
      </c>
      <c r="AA7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0" s="359">
        <f ca="1">IF(select!$K$980="*",Scharniere[[#This Row],[AG Ges2]],Scharniere[[#This Row],[AG Ges1]])</f>
        <v>0</v>
      </c>
      <c r="AE700" s="451">
        <f ca="1">IF(AND(Scharniere[[#This Row],[Scharnierart]]=select!$A$1485,Scharniere[[#This Row],[Gruppenschlüssel]]=select!$B$1485)=TRUE,1,0)</f>
        <v>0</v>
      </c>
      <c r="AF700" s="451">
        <f ca="1">IF(AND(Scharniere[[#This Row],[Scharnierart]]=select!$A$1486,Scharniere[[#This Row],[Gruppenschlüssel]]=select!$B$1486)=TRUE,1,0)</f>
        <v>0</v>
      </c>
      <c r="AG700" s="451">
        <f ca="1">IF(AND(Scharniere[[#This Row],[Scharnierart]]=select!$A$1487,Scharniere[[#This Row],[Gruppenschlüssel]]=select!$B$1487)=TRUE,1,0)</f>
        <v>0</v>
      </c>
      <c r="AH700" s="451">
        <f ca="1">IF(AND(Scharniere[[#This Row],[Scharnierart]]=select!$A$1488,Scharniere[[#This Row],[Gruppenschlüssel]]=select!$B$1488)=TRUE,1,0)</f>
        <v>0</v>
      </c>
      <c r="AI700" s="451">
        <f ca="1">IF(SUM(Scharniere[[#This Row],[konf Scharnier 1]:[konf Scharnier 4]])&gt;0,1,0)</f>
        <v>0</v>
      </c>
      <c r="AJ700" s="451"/>
      <c r="AK700" s="451"/>
      <c r="AL700" s="451"/>
      <c r="AM700" s="451"/>
      <c r="AN700" s="451"/>
      <c r="AO700" s="146">
        <v>1</v>
      </c>
      <c r="AP700" s="146">
        <v>4</v>
      </c>
      <c r="AQ700" s="10" t="str">
        <f ca="1">Sprache!$A$114</f>
        <v>Tiomos Scharnier TT Click-on</v>
      </c>
      <c r="AR700" t="str">
        <f ca="1">"95°, H-BB, K00, "&amp;Sprache!A181&amp;", ni"</f>
        <v>95°, H-BB, K00, Dübel, ni</v>
      </c>
      <c r="AS700" t="str">
        <f ca="1">Sprache!$A$103</f>
        <v>Tiomos Click-On Scharniere</v>
      </c>
      <c r="AT700">
        <v>0</v>
      </c>
      <c r="AU700" t="s">
        <v>10</v>
      </c>
      <c r="AV700">
        <v>95</v>
      </c>
      <c r="AW700" s="10">
        <v>0</v>
      </c>
      <c r="AX700">
        <v>0</v>
      </c>
      <c r="AY700">
        <v>1</v>
      </c>
      <c r="AZ700" s="10">
        <v>0</v>
      </c>
      <c r="BA700">
        <v>1</v>
      </c>
      <c r="BB700">
        <v>0</v>
      </c>
      <c r="BC700">
        <v>0</v>
      </c>
      <c r="BD700" s="143" t="s">
        <v>690</v>
      </c>
      <c r="BG700"/>
    </row>
    <row r="701" spans="1:59" ht="14.25" customHeight="1" x14ac:dyDescent="0.25">
      <c r="A701" s="37" t="str">
        <f>LEFT(Scharniere[[#This Row],[ArtikelNR]],4)</f>
        <v>F045</v>
      </c>
      <c r="B701" s="35" t="str">
        <f>MID(Scharniere[[#This Row],[ArtikelNR]],5,3)</f>
        <v>138</v>
      </c>
      <c r="C701" s="37" t="str">
        <f>RIGHT(Scharniere[[#This Row],[ArtikelNR]],3)</f>
        <v>687</v>
      </c>
      <c r="D701" s="35">
        <f>IF(AND(Scharniere[[#This Row],[Gruppenschlüssel]]=select!$A$44,Scharniere[[#This Row],[Scharnierart]]=1)=TRUE,1,0)</f>
        <v>0</v>
      </c>
      <c r="E7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1" s="35">
        <f>IF(select!$F$57=IF(Scharniere[[#This Row],[mit Dämpfung]]=1,1,IF(Scharniere[[#This Row],[ohne Dämpfung]]=1,2,IF(Scharniere[[#This Row],[ohne Feder]]=1,3,0))),1,0)</f>
        <v>0</v>
      </c>
      <c r="G701" s="35">
        <f>IF(Scharniere[[#This Row],[Bohrbild]]=select!$V$43,1,0)</f>
        <v>0</v>
      </c>
      <c r="H701" s="35">
        <f>IF(IF(Scharniere[[#This Row],[Anschrauben]]=1,1,IF(Scharniere[[#This Row],[Einpressen]]=1,2,IF(Scharniere[[#This Row],[Quick]]=1,3,IF(Scharniere[[#This Row],[Werkzeuglos]]=1,4,0))))=select!$F$48,1,0)</f>
        <v>0</v>
      </c>
      <c r="I7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1" s="149">
        <f>IF(AND(Scharniere[[#This Row],[Scharnierart]]=2,Scharniere[[#This Row],[Gruppenschlüssel]]=select!$A$318)=TRUE,1,0)</f>
        <v>0</v>
      </c>
      <c r="K701" s="221">
        <f ca="1">IF(select!$O$424&lt;6,1,0)</f>
        <v>1</v>
      </c>
      <c r="L701" s="139">
        <f>IF(select!$A$362=IF(Scharniere[[#This Row],[mit Dämpfung]]=1,1,IF(Scharniere[[#This Row],[ohne Dämpfung]]=1,2,IF(Scharniere[[#This Row],[ohne Feder]]=1,3,0))),1,0)</f>
        <v>0</v>
      </c>
      <c r="M701" s="135">
        <f>IF(Scharniere[[#This Row],[Bohrbild]]=select!$O$334,1,0)</f>
        <v>0</v>
      </c>
      <c r="N701" s="135">
        <f>IF(IF(Scharniere[[#This Row],[Anschrauben]]=1,1,IF(Scharniere[[#This Row],[Einpressen]]=1,2,IF(Scharniere[[#This Row],[Quick]]=1,3,IF(Scharniere[[#This Row],[Werkzeuglos]]=1,4,0))))=select!$E$362,1,0)</f>
        <v>1</v>
      </c>
      <c r="O7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1" s="298">
        <f>IF(AND(Scharniere[[#This Row],[Scharnierart]]=3,Scharniere[[#This Row],[Gruppenschlüssel]]=select!$A$747)=TRUE,1,0)</f>
        <v>0</v>
      </c>
      <c r="Q701" s="298">
        <f ca="1">IF(select!$O$945&lt;6,1,0)</f>
        <v>1</v>
      </c>
      <c r="R701" s="298">
        <f>IF(select!$A$778=IF(Scharniere[[#This Row],[mit Dämpfung]]=1,1,IF(Scharniere[[#This Row],[ohne Dämpfung]]=1,2,IF(Scharniere[[#This Row],[ohne Feder]]=1,3,0))),1,0)</f>
        <v>1</v>
      </c>
      <c r="S701" s="298">
        <f>IF(Scharniere[[#This Row],[Bohrbild]]=select!$A$755,1,0)</f>
        <v>0</v>
      </c>
      <c r="T701" s="298">
        <f>IF(IF(Scharniere[[#This Row],[Anschrauben]]=1,1,IF(Scharniere[[#This Row],[Einpressen]]=1,2,IF(Scharniere[[#This Row],[Quick]]=1,3,IF(Scharniere[[#This Row],[Werkzeuglos]]=1,4,0))))=select!$A$769,1,0)</f>
        <v>1</v>
      </c>
      <c r="U7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1" s="359">
        <f>IF(AND(Scharniere[[#This Row],[Scharnierart]]=4,Scharniere[[#This Row],[Gruppenschlüssel]]=select!$A$981)=TRUE,1,0)</f>
        <v>0</v>
      </c>
      <c r="W701" s="359">
        <f ca="1">IF(select!$O$1185&lt;6,1,0)</f>
        <v>1</v>
      </c>
      <c r="X701" s="359">
        <f>IF(select!$A$1012=IF(Scharniere[[#This Row],[mit Dämpfung]]=1,1,IF(Scharniere[[#This Row],[ohne Dämpfung]]=1,2,IF(Scharniere[[#This Row],[ohne Feder]]=1,3,0))),1,0)</f>
        <v>1</v>
      </c>
      <c r="Y701" s="359">
        <f>IF(Scharniere[[#This Row],[Bohrbild]]=select!$A$989,1,0)</f>
        <v>0</v>
      </c>
      <c r="Z701" s="359">
        <f>IF(IF(Scharniere[[#This Row],[Anschrauben]]=1,1,IF(Scharniere[[#This Row],[Einpressen]]=1,2,IF(Scharniere[[#This Row],[Quick]]=1,3,IF(Scharniere[[#This Row],[Werkzeuglos]]=1,4,0))))=select!$A$1003,1,0)</f>
        <v>1</v>
      </c>
      <c r="AA7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1" s="359">
        <f ca="1">IF(select!$K$980="*",Scharniere[[#This Row],[AG Ges2]],Scharniere[[#This Row],[AG Ges1]])</f>
        <v>0</v>
      </c>
      <c r="AE701" s="451">
        <f ca="1">IF(AND(Scharniere[[#This Row],[Scharnierart]]=select!$A$1485,Scharniere[[#This Row],[Gruppenschlüssel]]=select!$B$1485)=TRUE,1,0)</f>
        <v>0</v>
      </c>
      <c r="AF701" s="451">
        <f ca="1">IF(AND(Scharniere[[#This Row],[Scharnierart]]=select!$A$1486,Scharniere[[#This Row],[Gruppenschlüssel]]=select!$B$1486)=TRUE,1,0)</f>
        <v>0</v>
      </c>
      <c r="AG701" s="451">
        <f ca="1">IF(AND(Scharniere[[#This Row],[Scharnierart]]=select!$A$1487,Scharniere[[#This Row],[Gruppenschlüssel]]=select!$B$1487)=TRUE,1,0)</f>
        <v>0</v>
      </c>
      <c r="AH701" s="451">
        <f ca="1">IF(AND(Scharniere[[#This Row],[Scharnierart]]=select!$A$1488,Scharniere[[#This Row],[Gruppenschlüssel]]=select!$B$1488)=TRUE,1,0)</f>
        <v>0</v>
      </c>
      <c r="AI701" s="451">
        <f ca="1">IF(SUM(Scharniere[[#This Row],[konf Scharnier 1]:[konf Scharnier 4]])&gt;0,1,0)</f>
        <v>0</v>
      </c>
      <c r="AJ701" s="451"/>
      <c r="AK701" s="451"/>
      <c r="AL701" s="451"/>
      <c r="AM701" s="451"/>
      <c r="AN701" s="451"/>
      <c r="AO701" s="146">
        <v>1</v>
      </c>
      <c r="AP701" s="146">
        <v>4</v>
      </c>
      <c r="AQ701" s="10" t="str">
        <f ca="1">Sprache!$A$110</f>
        <v>Tiomos Scharnier T Click-on</v>
      </c>
      <c r="AR701" t="s">
        <v>369</v>
      </c>
      <c r="AS701" t="str">
        <f ca="1">Sprache!$A$103</f>
        <v>Tiomos Click-On Scharniere</v>
      </c>
      <c r="AT701">
        <v>0</v>
      </c>
      <c r="AU701" t="s">
        <v>10</v>
      </c>
      <c r="AV701">
        <v>95</v>
      </c>
      <c r="AW701" s="10">
        <v>0</v>
      </c>
      <c r="AX701">
        <v>1</v>
      </c>
      <c r="AY701">
        <v>0</v>
      </c>
      <c r="AZ701" s="10">
        <v>1</v>
      </c>
      <c r="BA701">
        <v>0</v>
      </c>
      <c r="BB701">
        <v>0</v>
      </c>
      <c r="BC701">
        <v>0</v>
      </c>
      <c r="BD701" s="143" t="s">
        <v>534</v>
      </c>
      <c r="BG701"/>
    </row>
    <row r="702" spans="1:59" ht="14.25" customHeight="1" x14ac:dyDescent="0.25">
      <c r="A702" s="37" t="str">
        <f>LEFT(Scharniere[[#This Row],[ArtikelNR]],4)</f>
        <v>F028</v>
      </c>
      <c r="B702" s="35" t="str">
        <f>MID(Scharniere[[#This Row],[ArtikelNR]],5,3)</f>
        <v>138</v>
      </c>
      <c r="C702" s="37" t="str">
        <f>RIGHT(Scharniere[[#This Row],[ArtikelNR]],3)</f>
        <v>749</v>
      </c>
      <c r="D702" s="35">
        <f>IF(AND(Scharniere[[#This Row],[Gruppenschlüssel]]=select!$A$44,Scharniere[[#This Row],[Scharnierart]]=1)=TRUE,1,0)</f>
        <v>0</v>
      </c>
      <c r="E7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2" s="35">
        <f>IF(select!$F$57=IF(Scharniere[[#This Row],[mit Dämpfung]]=1,1,IF(Scharniere[[#This Row],[ohne Dämpfung]]=1,2,IF(Scharniere[[#This Row],[ohne Feder]]=1,3,0))),1,0)</f>
        <v>0</v>
      </c>
      <c r="G702" s="35">
        <f>IF(Scharniere[[#This Row],[Bohrbild]]=select!$V$43,1,0)</f>
        <v>0</v>
      </c>
      <c r="H702" s="35">
        <f>IF(IF(Scharniere[[#This Row],[Anschrauben]]=1,1,IF(Scharniere[[#This Row],[Einpressen]]=1,2,IF(Scharniere[[#This Row],[Quick]]=1,3,IF(Scharniere[[#This Row],[Werkzeuglos]]=1,4,0))))=select!$F$48,1,0)</f>
        <v>0</v>
      </c>
      <c r="I7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2" s="149">
        <f>IF(AND(Scharniere[[#This Row],[Scharnierart]]=2,Scharniere[[#This Row],[Gruppenschlüssel]]=select!$A$318)=TRUE,1,0)</f>
        <v>0</v>
      </c>
      <c r="K702" s="221">
        <f ca="1">IF(select!$O$424&lt;6,1,0)</f>
        <v>1</v>
      </c>
      <c r="L702" s="139">
        <f>IF(select!$A$362=IF(Scharniere[[#This Row],[mit Dämpfung]]=1,1,IF(Scharniere[[#This Row],[ohne Dämpfung]]=1,2,IF(Scharniere[[#This Row],[ohne Feder]]=1,3,0))),1,0)</f>
        <v>1</v>
      </c>
      <c r="M702" s="135">
        <f>IF(Scharniere[[#This Row],[Bohrbild]]=select!$O$334,1,0)</f>
        <v>0</v>
      </c>
      <c r="N702" s="135">
        <f>IF(IF(Scharniere[[#This Row],[Anschrauben]]=1,1,IF(Scharniere[[#This Row],[Einpressen]]=1,2,IF(Scharniere[[#This Row],[Quick]]=1,3,IF(Scharniere[[#This Row],[Werkzeuglos]]=1,4,0))))=select!$E$362,1,0)</f>
        <v>1</v>
      </c>
      <c r="O7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2" s="298">
        <f>IF(AND(Scharniere[[#This Row],[Scharnierart]]=3,Scharniere[[#This Row],[Gruppenschlüssel]]=select!$A$747)=TRUE,1,0)</f>
        <v>0</v>
      </c>
      <c r="Q702" s="298">
        <f ca="1">IF(select!$O$945&lt;6,1,0)</f>
        <v>1</v>
      </c>
      <c r="R702" s="298">
        <f>IF(select!$A$778=IF(Scharniere[[#This Row],[mit Dämpfung]]=1,1,IF(Scharniere[[#This Row],[ohne Dämpfung]]=1,2,IF(Scharniere[[#This Row],[ohne Feder]]=1,3,0))),1,0)</f>
        <v>0</v>
      </c>
      <c r="S702" s="298">
        <f>IF(Scharniere[[#This Row],[Bohrbild]]=select!$A$755,1,0)</f>
        <v>0</v>
      </c>
      <c r="T702" s="298">
        <f>IF(IF(Scharniere[[#This Row],[Anschrauben]]=1,1,IF(Scharniere[[#This Row],[Einpressen]]=1,2,IF(Scharniere[[#This Row],[Quick]]=1,3,IF(Scharniere[[#This Row],[Werkzeuglos]]=1,4,0))))=select!$A$769,1,0)</f>
        <v>1</v>
      </c>
      <c r="U7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2" s="359">
        <f>IF(AND(Scharniere[[#This Row],[Scharnierart]]=4,Scharniere[[#This Row],[Gruppenschlüssel]]=select!$A$981)=TRUE,1,0)</f>
        <v>0</v>
      </c>
      <c r="W702" s="359">
        <f ca="1">IF(select!$O$1185&lt;6,1,0)</f>
        <v>1</v>
      </c>
      <c r="X702" s="359">
        <f>IF(select!$A$1012=IF(Scharniere[[#This Row],[mit Dämpfung]]=1,1,IF(Scharniere[[#This Row],[ohne Dämpfung]]=1,2,IF(Scharniere[[#This Row],[ohne Feder]]=1,3,0))),1,0)</f>
        <v>0</v>
      </c>
      <c r="Y702" s="359">
        <f>IF(Scharniere[[#This Row],[Bohrbild]]=select!$A$989,1,0)</f>
        <v>0</v>
      </c>
      <c r="Z702" s="359">
        <f>IF(IF(Scharniere[[#This Row],[Anschrauben]]=1,1,IF(Scharniere[[#This Row],[Einpressen]]=1,2,IF(Scharniere[[#This Row],[Quick]]=1,3,IF(Scharniere[[#This Row],[Werkzeuglos]]=1,4,0))))=select!$A$1003,1,0)</f>
        <v>1</v>
      </c>
      <c r="AA7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2" s="359">
        <f ca="1">IF(select!$K$980="*",Scharniere[[#This Row],[AG Ges2]],Scharniere[[#This Row],[AG Ges1]])</f>
        <v>0</v>
      </c>
      <c r="AE702" s="451">
        <f ca="1">IF(AND(Scharniere[[#This Row],[Scharnierart]]=select!$A$1485,Scharniere[[#This Row],[Gruppenschlüssel]]=select!$B$1485)=TRUE,1,0)</f>
        <v>0</v>
      </c>
      <c r="AF702" s="451">
        <f ca="1">IF(AND(Scharniere[[#This Row],[Scharnierart]]=select!$A$1486,Scharniere[[#This Row],[Gruppenschlüssel]]=select!$B$1486)=TRUE,1,0)</f>
        <v>0</v>
      </c>
      <c r="AG702" s="451">
        <f ca="1">IF(AND(Scharniere[[#This Row],[Scharnierart]]=select!$A$1487,Scharniere[[#This Row],[Gruppenschlüssel]]=select!$B$1487)=TRUE,1,0)</f>
        <v>0</v>
      </c>
      <c r="AH702" s="451">
        <f ca="1">IF(AND(Scharniere[[#This Row],[Scharnierart]]=select!$A$1488,Scharniere[[#This Row],[Gruppenschlüssel]]=select!$B$1488)=TRUE,1,0)</f>
        <v>0</v>
      </c>
      <c r="AI702" s="451">
        <f ca="1">IF(SUM(Scharniere[[#This Row],[konf Scharnier 1]:[konf Scharnier 4]])&gt;0,1,0)</f>
        <v>0</v>
      </c>
      <c r="AJ702" s="451"/>
      <c r="AK702" s="451"/>
      <c r="AL702" s="451"/>
      <c r="AM702" s="451"/>
      <c r="AN702" s="451"/>
      <c r="AO702" s="146">
        <v>1</v>
      </c>
      <c r="AP702" s="146">
        <v>4</v>
      </c>
      <c r="AQ702" s="10" t="str">
        <f ca="1">Sprache!$A$112</f>
        <v>Tiomos Scharnier TS Click-on</v>
      </c>
      <c r="AR702" t="s">
        <v>369</v>
      </c>
      <c r="AS702" t="str">
        <f ca="1">Sprache!$A$103</f>
        <v>Tiomos Click-On Scharniere</v>
      </c>
      <c r="AT702">
        <v>0</v>
      </c>
      <c r="AU702" s="10" t="s">
        <v>10</v>
      </c>
      <c r="AV702">
        <v>95</v>
      </c>
      <c r="AW702" s="10">
        <v>1</v>
      </c>
      <c r="AX702">
        <v>0</v>
      </c>
      <c r="AY702">
        <v>0</v>
      </c>
      <c r="AZ702" s="10">
        <v>1</v>
      </c>
      <c r="BA702">
        <v>0</v>
      </c>
      <c r="BB702">
        <v>0</v>
      </c>
      <c r="BC702">
        <v>0</v>
      </c>
      <c r="BD702" s="143" t="s">
        <v>368</v>
      </c>
      <c r="BG702"/>
    </row>
    <row r="703" spans="1:59" ht="14.25" customHeight="1" x14ac:dyDescent="0.25">
      <c r="A703" s="37" t="str">
        <f>LEFT(Scharniere[[#This Row],[ArtikelNR]],4)</f>
        <v>F046</v>
      </c>
      <c r="B703" s="35" t="str">
        <f>MID(Scharniere[[#This Row],[ArtikelNR]],5,3)</f>
        <v>138</v>
      </c>
      <c r="C703" s="37" t="str">
        <f>RIGHT(Scharniere[[#This Row],[ArtikelNR]],3)</f>
        <v>809</v>
      </c>
      <c r="D703" s="35">
        <f>IF(AND(Scharniere[[#This Row],[Gruppenschlüssel]]=select!$A$44,Scharniere[[#This Row],[Scharnierart]]=1)=TRUE,1,0)</f>
        <v>0</v>
      </c>
      <c r="E7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3" s="35">
        <f>IF(select!$F$57=IF(Scharniere[[#This Row],[mit Dämpfung]]=1,1,IF(Scharniere[[#This Row],[ohne Dämpfung]]=1,2,IF(Scharniere[[#This Row],[ohne Feder]]=1,3,0))),1,0)</f>
        <v>1</v>
      </c>
      <c r="G703" s="35">
        <f>IF(Scharniere[[#This Row],[Bohrbild]]=select!$V$43,1,0)</f>
        <v>0</v>
      </c>
      <c r="H703" s="35">
        <f>IF(IF(Scharniere[[#This Row],[Anschrauben]]=1,1,IF(Scharniere[[#This Row],[Einpressen]]=1,2,IF(Scharniere[[#This Row],[Quick]]=1,3,IF(Scharniere[[#This Row],[Werkzeuglos]]=1,4,0))))=select!$F$48,1,0)</f>
        <v>0</v>
      </c>
      <c r="I7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3" s="149">
        <f>IF(AND(Scharniere[[#This Row],[Scharnierart]]=2,Scharniere[[#This Row],[Gruppenschlüssel]]=select!$A$318)=TRUE,1,0)</f>
        <v>0</v>
      </c>
      <c r="K703" s="221">
        <f ca="1">IF(select!$O$424&lt;6,1,0)</f>
        <v>1</v>
      </c>
      <c r="L703" s="139">
        <f>IF(select!$A$362=IF(Scharniere[[#This Row],[mit Dämpfung]]=1,1,IF(Scharniere[[#This Row],[ohne Dämpfung]]=1,2,IF(Scharniere[[#This Row],[ohne Feder]]=1,3,0))),1,0)</f>
        <v>0</v>
      </c>
      <c r="M703" s="135">
        <f>IF(Scharniere[[#This Row],[Bohrbild]]=select!$O$334,1,0)</f>
        <v>0</v>
      </c>
      <c r="N703" s="135">
        <f>IF(IF(Scharniere[[#This Row],[Anschrauben]]=1,1,IF(Scharniere[[#This Row],[Einpressen]]=1,2,IF(Scharniere[[#This Row],[Quick]]=1,3,IF(Scharniere[[#This Row],[Werkzeuglos]]=1,4,0))))=select!$E$362,1,0)</f>
        <v>1</v>
      </c>
      <c r="O7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3" s="298">
        <f>IF(AND(Scharniere[[#This Row],[Scharnierart]]=3,Scharniere[[#This Row],[Gruppenschlüssel]]=select!$A$747)=TRUE,1,0)</f>
        <v>0</v>
      </c>
      <c r="Q703" s="298">
        <f ca="1">IF(select!$O$945&lt;6,1,0)</f>
        <v>1</v>
      </c>
      <c r="R703" s="298">
        <f>IF(select!$A$778=IF(Scharniere[[#This Row],[mit Dämpfung]]=1,1,IF(Scharniere[[#This Row],[ohne Dämpfung]]=1,2,IF(Scharniere[[#This Row],[ohne Feder]]=1,3,0))),1,0)</f>
        <v>0</v>
      </c>
      <c r="S703" s="298">
        <f>IF(Scharniere[[#This Row],[Bohrbild]]=select!$A$755,1,0)</f>
        <v>0</v>
      </c>
      <c r="T703" s="298">
        <f>IF(IF(Scharniere[[#This Row],[Anschrauben]]=1,1,IF(Scharniere[[#This Row],[Einpressen]]=1,2,IF(Scharniere[[#This Row],[Quick]]=1,3,IF(Scharniere[[#This Row],[Werkzeuglos]]=1,4,0))))=select!$A$769,1,0)</f>
        <v>1</v>
      </c>
      <c r="U7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3" s="359">
        <f>IF(AND(Scharniere[[#This Row],[Scharnierart]]=4,Scharniere[[#This Row],[Gruppenschlüssel]]=select!$A$981)=TRUE,1,0)</f>
        <v>0</v>
      </c>
      <c r="W703" s="359">
        <f ca="1">IF(select!$O$1185&lt;6,1,0)</f>
        <v>1</v>
      </c>
      <c r="X703" s="359">
        <f>IF(select!$A$1012=IF(Scharniere[[#This Row],[mit Dämpfung]]=1,1,IF(Scharniere[[#This Row],[ohne Dämpfung]]=1,2,IF(Scharniere[[#This Row],[ohne Feder]]=1,3,0))),1,0)</f>
        <v>0</v>
      </c>
      <c r="Y703" s="359">
        <f>IF(Scharniere[[#This Row],[Bohrbild]]=select!$A$989,1,0)</f>
        <v>0</v>
      </c>
      <c r="Z703" s="359">
        <f>IF(IF(Scharniere[[#This Row],[Anschrauben]]=1,1,IF(Scharniere[[#This Row],[Einpressen]]=1,2,IF(Scharniere[[#This Row],[Quick]]=1,3,IF(Scharniere[[#This Row],[Werkzeuglos]]=1,4,0))))=select!$A$1003,1,0)</f>
        <v>1</v>
      </c>
      <c r="AA7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3" s="359">
        <f ca="1">IF(select!$K$980="*",Scharniere[[#This Row],[AG Ges2]],Scharniere[[#This Row],[AG Ges1]])</f>
        <v>0</v>
      </c>
      <c r="AE703" s="451">
        <f ca="1">IF(AND(Scharniere[[#This Row],[Scharnierart]]=select!$A$1485,Scharniere[[#This Row],[Gruppenschlüssel]]=select!$B$1485)=TRUE,1,0)</f>
        <v>0</v>
      </c>
      <c r="AF703" s="451">
        <f ca="1">IF(AND(Scharniere[[#This Row],[Scharnierart]]=select!$A$1486,Scharniere[[#This Row],[Gruppenschlüssel]]=select!$B$1486)=TRUE,1,0)</f>
        <v>0</v>
      </c>
      <c r="AG703" s="451">
        <f ca="1">IF(AND(Scharniere[[#This Row],[Scharnierart]]=select!$A$1487,Scharniere[[#This Row],[Gruppenschlüssel]]=select!$B$1487)=TRUE,1,0)</f>
        <v>0</v>
      </c>
      <c r="AH703" s="451">
        <f ca="1">IF(AND(Scharniere[[#This Row],[Scharnierart]]=select!$A$1488,Scharniere[[#This Row],[Gruppenschlüssel]]=select!$B$1488)=TRUE,1,0)</f>
        <v>0</v>
      </c>
      <c r="AI703" s="451">
        <f ca="1">IF(SUM(Scharniere[[#This Row],[konf Scharnier 1]:[konf Scharnier 4]])&gt;0,1,0)</f>
        <v>0</v>
      </c>
      <c r="AJ703" s="451"/>
      <c r="AK703" s="451"/>
      <c r="AL703" s="451"/>
      <c r="AM703" s="451"/>
      <c r="AN703" s="451"/>
      <c r="AO703" s="146">
        <v>1</v>
      </c>
      <c r="AP703" s="146">
        <v>4</v>
      </c>
      <c r="AQ703" s="10" t="str">
        <f ca="1">Sprache!$A$114</f>
        <v>Tiomos Scharnier TT Click-on</v>
      </c>
      <c r="AR703" t="s">
        <v>369</v>
      </c>
      <c r="AS703" t="str">
        <f ca="1">Sprache!$A$103</f>
        <v>Tiomos Click-On Scharniere</v>
      </c>
      <c r="AT703">
        <v>0</v>
      </c>
      <c r="AU703" t="s">
        <v>10</v>
      </c>
      <c r="AV703">
        <v>95</v>
      </c>
      <c r="AW703" s="10">
        <v>0</v>
      </c>
      <c r="AX703">
        <v>0</v>
      </c>
      <c r="AY703">
        <v>1</v>
      </c>
      <c r="AZ703" s="10">
        <v>1</v>
      </c>
      <c r="BA703">
        <v>0</v>
      </c>
      <c r="BB703">
        <v>0</v>
      </c>
      <c r="BC703">
        <v>0</v>
      </c>
      <c r="BD703" s="143" t="s">
        <v>686</v>
      </c>
      <c r="BG703"/>
    </row>
    <row r="704" spans="1:59" ht="14.25" customHeight="1" x14ac:dyDescent="0.25">
      <c r="A704" s="37" t="str">
        <f>LEFT(Scharniere[[#This Row],[ArtikelNR]],4)</f>
        <v>F034</v>
      </c>
      <c r="B704" s="35" t="str">
        <f>MID(Scharniere[[#This Row],[ArtikelNR]],5,3)</f>
        <v>139</v>
      </c>
      <c r="C704" s="37" t="str">
        <f>RIGHT(Scharniere[[#This Row],[ArtikelNR]],3)</f>
        <v>494</v>
      </c>
      <c r="D704" s="35">
        <f>IF(AND(Scharniere[[#This Row],[Gruppenschlüssel]]=select!$A$44,Scharniere[[#This Row],[Scharnierart]]=1)=TRUE,1,0)</f>
        <v>0</v>
      </c>
      <c r="E7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4" s="35">
        <f>IF(select!$F$57=IF(Scharniere[[#This Row],[mit Dämpfung]]=1,1,IF(Scharniere[[#This Row],[ohne Dämpfung]]=1,2,IF(Scharniere[[#This Row],[ohne Feder]]=1,3,0))),1,0)</f>
        <v>0</v>
      </c>
      <c r="G704" s="35">
        <f>IF(Scharniere[[#This Row],[Bohrbild]]=select!$V$43,1,0)</f>
        <v>0</v>
      </c>
      <c r="H704" s="35">
        <f>IF(IF(Scharniere[[#This Row],[Anschrauben]]=1,1,IF(Scharniere[[#This Row],[Einpressen]]=1,2,IF(Scharniere[[#This Row],[Quick]]=1,3,IF(Scharniere[[#This Row],[Werkzeuglos]]=1,4,0))))=select!$F$48,1,0)</f>
        <v>0</v>
      </c>
      <c r="I7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4" s="149">
        <f>IF(AND(Scharniere[[#This Row],[Scharnierart]]=2,Scharniere[[#This Row],[Gruppenschlüssel]]=select!$A$318)=TRUE,1,0)</f>
        <v>0</v>
      </c>
      <c r="K704" s="221">
        <f ca="1">IF(select!$O$424&lt;6,1,0)</f>
        <v>1</v>
      </c>
      <c r="L704" s="139">
        <f>IF(select!$A$362=IF(Scharniere[[#This Row],[mit Dämpfung]]=1,1,IF(Scharniere[[#This Row],[ohne Dämpfung]]=1,2,IF(Scharniere[[#This Row],[ohne Feder]]=1,3,0))),1,0)</f>
        <v>0</v>
      </c>
      <c r="M704" s="135">
        <f>IF(Scharniere[[#This Row],[Bohrbild]]=select!$O$334,1,0)</f>
        <v>0</v>
      </c>
      <c r="N704" s="135">
        <f>IF(IF(Scharniere[[#This Row],[Anschrauben]]=1,1,IF(Scharniere[[#This Row],[Einpressen]]=1,2,IF(Scharniere[[#This Row],[Quick]]=1,3,IF(Scharniere[[#This Row],[Werkzeuglos]]=1,4,0))))=select!$E$362,1,0)</f>
        <v>0</v>
      </c>
      <c r="O7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4" s="298">
        <f>IF(AND(Scharniere[[#This Row],[Scharnierart]]=3,Scharniere[[#This Row],[Gruppenschlüssel]]=select!$A$747)=TRUE,1,0)</f>
        <v>0</v>
      </c>
      <c r="Q704" s="298">
        <f ca="1">IF(select!$O$945&lt;6,1,0)</f>
        <v>1</v>
      </c>
      <c r="R704" s="298">
        <f>IF(select!$A$778=IF(Scharniere[[#This Row],[mit Dämpfung]]=1,1,IF(Scharniere[[#This Row],[ohne Dämpfung]]=1,2,IF(Scharniere[[#This Row],[ohne Feder]]=1,3,0))),1,0)</f>
        <v>1</v>
      </c>
      <c r="S704" s="298">
        <f>IF(Scharniere[[#This Row],[Bohrbild]]=select!$A$755,1,0)</f>
        <v>0</v>
      </c>
      <c r="T704" s="298">
        <f>IF(IF(Scharniere[[#This Row],[Anschrauben]]=1,1,IF(Scharniere[[#This Row],[Einpressen]]=1,2,IF(Scharniere[[#This Row],[Quick]]=1,3,IF(Scharniere[[#This Row],[Werkzeuglos]]=1,4,0))))=select!$A$769,1,0)</f>
        <v>0</v>
      </c>
      <c r="U7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4" s="359">
        <f>IF(AND(Scharniere[[#This Row],[Scharnierart]]=4,Scharniere[[#This Row],[Gruppenschlüssel]]=select!$A$981)=TRUE,1,0)</f>
        <v>0</v>
      </c>
      <c r="W704" s="359">
        <f ca="1">IF(select!$O$1185&lt;6,1,0)</f>
        <v>1</v>
      </c>
      <c r="X704" s="359">
        <f>IF(select!$A$1012=IF(Scharniere[[#This Row],[mit Dämpfung]]=1,1,IF(Scharniere[[#This Row],[ohne Dämpfung]]=1,2,IF(Scharniere[[#This Row],[ohne Feder]]=1,3,0))),1,0)</f>
        <v>1</v>
      </c>
      <c r="Y704" s="359">
        <f>IF(Scharniere[[#This Row],[Bohrbild]]=select!$A$989,1,0)</f>
        <v>0</v>
      </c>
      <c r="Z704" s="359">
        <f>IF(IF(Scharniere[[#This Row],[Anschrauben]]=1,1,IF(Scharniere[[#This Row],[Einpressen]]=1,2,IF(Scharniere[[#This Row],[Quick]]=1,3,IF(Scharniere[[#This Row],[Werkzeuglos]]=1,4,0))))=select!$A$1003,1,0)</f>
        <v>0</v>
      </c>
      <c r="AA7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4" s="359">
        <f ca="1">IF(select!$K$980="*",Scharniere[[#This Row],[AG Ges2]],Scharniere[[#This Row],[AG Ges1]])</f>
        <v>0</v>
      </c>
      <c r="AE704" s="451">
        <f ca="1">IF(AND(Scharniere[[#This Row],[Scharnierart]]=select!$A$1485,Scharniere[[#This Row],[Gruppenschlüssel]]=select!$B$1485)=TRUE,1,0)</f>
        <v>0</v>
      </c>
      <c r="AF704" s="451">
        <f ca="1">IF(AND(Scharniere[[#This Row],[Scharnierart]]=select!$A$1486,Scharniere[[#This Row],[Gruppenschlüssel]]=select!$B$1486)=TRUE,1,0)</f>
        <v>0</v>
      </c>
      <c r="AG704" s="451">
        <f ca="1">IF(AND(Scharniere[[#This Row],[Scharnierart]]=select!$A$1487,Scharniere[[#This Row],[Gruppenschlüssel]]=select!$B$1487)=TRUE,1,0)</f>
        <v>0</v>
      </c>
      <c r="AH704" s="451">
        <f ca="1">IF(AND(Scharniere[[#This Row],[Scharnierart]]=select!$A$1488,Scharniere[[#This Row],[Gruppenschlüssel]]=select!$B$1488)=TRUE,1,0)</f>
        <v>0</v>
      </c>
      <c r="AI704" s="451">
        <f ca="1">IF(SUM(Scharniere[[#This Row],[konf Scharnier 1]:[konf Scharnier 4]])&gt;0,1,0)</f>
        <v>0</v>
      </c>
      <c r="AJ704" s="451"/>
      <c r="AK704" s="451"/>
      <c r="AL704" s="451"/>
      <c r="AM704" s="451"/>
      <c r="AN704" s="451"/>
      <c r="AO704" s="146">
        <v>1</v>
      </c>
      <c r="AP704" s="146">
        <v>4</v>
      </c>
      <c r="AQ704" s="10" t="str">
        <f ca="1">Sprache!$A$111</f>
        <v>Tiomos Scharnier T Impresso</v>
      </c>
      <c r="AR704" t="s">
        <v>127</v>
      </c>
      <c r="AS704" t="str">
        <f ca="1">Sprache!$A$116</f>
        <v>Tiomos Impresso Scharniere</v>
      </c>
      <c r="AT704">
        <v>0</v>
      </c>
      <c r="AU704" t="s">
        <v>10</v>
      </c>
      <c r="AV704">
        <v>95</v>
      </c>
      <c r="AW704" s="10">
        <v>0</v>
      </c>
      <c r="AX704">
        <v>1</v>
      </c>
      <c r="AY704">
        <v>0</v>
      </c>
      <c r="AZ704" s="10">
        <v>0</v>
      </c>
      <c r="BA704">
        <v>0</v>
      </c>
      <c r="BB704">
        <v>0</v>
      </c>
      <c r="BC704">
        <v>1</v>
      </c>
      <c r="BD704" s="143" t="s">
        <v>175</v>
      </c>
      <c r="BG704"/>
    </row>
    <row r="705" spans="1:59" ht="14.25" customHeight="1" x14ac:dyDescent="0.25">
      <c r="A705" s="37" t="str">
        <f>LEFT(Scharniere[[#This Row],[ArtikelNR]],4)</f>
        <v>F034</v>
      </c>
      <c r="B705" s="35" t="str">
        <f>MID(Scharniere[[#This Row],[ArtikelNR]],5,3)</f>
        <v>139</v>
      </c>
      <c r="C705" s="37" t="str">
        <f>RIGHT(Scharniere[[#This Row],[ArtikelNR]],3)</f>
        <v>494</v>
      </c>
      <c r="D705" s="35">
        <f>IF(AND(Scharniere[[#This Row],[Gruppenschlüssel]]=select!$A$44,Scharniere[[#This Row],[Scharnierart]]=1)=TRUE,1,0)</f>
        <v>0</v>
      </c>
      <c r="E7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5" s="35">
        <f>IF(select!$F$57=IF(Scharniere[[#This Row],[mit Dämpfung]]=1,1,IF(Scharniere[[#This Row],[ohne Dämpfung]]=1,2,IF(Scharniere[[#This Row],[ohne Feder]]=1,3,0))),1,0)</f>
        <v>0</v>
      </c>
      <c r="G705" s="35">
        <f>IF(Scharniere[[#This Row],[Bohrbild]]=select!$V$43,1,0)</f>
        <v>0</v>
      </c>
      <c r="H705" s="35">
        <f>IF(IF(Scharniere[[#This Row],[Anschrauben]]=1,1,IF(Scharniere[[#This Row],[Einpressen]]=1,2,IF(Scharniere[[#This Row],[Quick]]=1,3,IF(Scharniere[[#This Row],[Werkzeuglos]]=1,4,0))))=select!$F$48,1,0)</f>
        <v>0</v>
      </c>
      <c r="I7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5" s="149">
        <f>IF(AND(Scharniere[[#This Row],[Scharnierart]]=2,Scharniere[[#This Row],[Gruppenschlüssel]]=select!$A$318)=TRUE,1,0)</f>
        <v>0</v>
      </c>
      <c r="K705" s="221">
        <f ca="1">IF(select!$O$424&lt;6,1,0)</f>
        <v>1</v>
      </c>
      <c r="L705" s="139">
        <f>IF(select!$A$362=IF(Scharniere[[#This Row],[mit Dämpfung]]=1,1,IF(Scharniere[[#This Row],[ohne Dämpfung]]=1,2,IF(Scharniere[[#This Row],[ohne Feder]]=1,3,0))),1,0)</f>
        <v>0</v>
      </c>
      <c r="M705" s="135">
        <f>IF(Scharniere[[#This Row],[Bohrbild]]=select!$O$334,1,0)</f>
        <v>0</v>
      </c>
      <c r="N705" s="135">
        <f>IF(IF(Scharniere[[#This Row],[Anschrauben]]=1,1,IF(Scharniere[[#This Row],[Einpressen]]=1,2,IF(Scharniere[[#This Row],[Quick]]=1,3,IF(Scharniere[[#This Row],[Werkzeuglos]]=1,4,0))))=select!$E$362,1,0)</f>
        <v>0</v>
      </c>
      <c r="O7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5" s="298">
        <f>IF(AND(Scharniere[[#This Row],[Scharnierart]]=3,Scharniere[[#This Row],[Gruppenschlüssel]]=select!$A$747)=TRUE,1,0)</f>
        <v>0</v>
      </c>
      <c r="Q705" s="298">
        <f ca="1">IF(select!$O$945&lt;6,1,0)</f>
        <v>1</v>
      </c>
      <c r="R705" s="298">
        <f>IF(select!$A$778=IF(Scharniere[[#This Row],[mit Dämpfung]]=1,1,IF(Scharniere[[#This Row],[ohne Dämpfung]]=1,2,IF(Scharniere[[#This Row],[ohne Feder]]=1,3,0))),1,0)</f>
        <v>1</v>
      </c>
      <c r="S705" s="298">
        <f>IF(Scharniere[[#This Row],[Bohrbild]]=select!$A$755,1,0)</f>
        <v>0</v>
      </c>
      <c r="T705" s="298">
        <f>IF(IF(Scharniere[[#This Row],[Anschrauben]]=1,1,IF(Scharniere[[#This Row],[Einpressen]]=1,2,IF(Scharniere[[#This Row],[Quick]]=1,3,IF(Scharniere[[#This Row],[Werkzeuglos]]=1,4,0))))=select!$A$769,1,0)</f>
        <v>0</v>
      </c>
      <c r="U7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5" s="359">
        <f>IF(AND(Scharniere[[#This Row],[Scharnierart]]=4,Scharniere[[#This Row],[Gruppenschlüssel]]=select!$A$981)=TRUE,1,0)</f>
        <v>0</v>
      </c>
      <c r="W705" s="359">
        <f ca="1">IF(select!$O$1185&lt;6,1,0)</f>
        <v>1</v>
      </c>
      <c r="X705" s="359">
        <f>IF(select!$A$1012=IF(Scharniere[[#This Row],[mit Dämpfung]]=1,1,IF(Scharniere[[#This Row],[ohne Dämpfung]]=1,2,IF(Scharniere[[#This Row],[ohne Feder]]=1,3,0))),1,0)</f>
        <v>1</v>
      </c>
      <c r="Y705" s="359">
        <f>IF(Scharniere[[#This Row],[Bohrbild]]=select!$A$989,1,0)</f>
        <v>0</v>
      </c>
      <c r="Z705" s="359">
        <f>IF(IF(Scharniere[[#This Row],[Anschrauben]]=1,1,IF(Scharniere[[#This Row],[Einpressen]]=1,2,IF(Scharniere[[#This Row],[Quick]]=1,3,IF(Scharniere[[#This Row],[Werkzeuglos]]=1,4,0))))=select!$A$1003,1,0)</f>
        <v>0</v>
      </c>
      <c r="AA7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5" s="359">
        <f ca="1">IF(select!$K$980="*",Scharniere[[#This Row],[AG Ges2]],Scharniere[[#This Row],[AG Ges1]])</f>
        <v>0</v>
      </c>
      <c r="AE705" s="451">
        <f ca="1">IF(AND(Scharniere[[#This Row],[Scharnierart]]=select!$A$1485,Scharniere[[#This Row],[Gruppenschlüssel]]=select!$B$1485)=TRUE,1,0)</f>
        <v>0</v>
      </c>
      <c r="AF705" s="451">
        <f ca="1">IF(AND(Scharniere[[#This Row],[Scharnierart]]=select!$A$1486,Scharniere[[#This Row],[Gruppenschlüssel]]=select!$B$1486)=TRUE,1,0)</f>
        <v>0</v>
      </c>
      <c r="AG705" s="451">
        <f ca="1">IF(AND(Scharniere[[#This Row],[Scharnierart]]=select!$A$1487,Scharniere[[#This Row],[Gruppenschlüssel]]=select!$B$1487)=TRUE,1,0)</f>
        <v>0</v>
      </c>
      <c r="AH705" s="451">
        <f ca="1">IF(AND(Scharniere[[#This Row],[Scharnierart]]=select!$A$1488,Scharniere[[#This Row],[Gruppenschlüssel]]=select!$B$1488)=TRUE,1,0)</f>
        <v>0</v>
      </c>
      <c r="AI705" s="451">
        <f ca="1">IF(SUM(Scharniere[[#This Row],[konf Scharnier 1]:[konf Scharnier 4]])&gt;0,1,0)</f>
        <v>0</v>
      </c>
      <c r="AJ705" s="451"/>
      <c r="AK705" s="451"/>
      <c r="AL705" s="451"/>
      <c r="AM705" s="451"/>
      <c r="AN705" s="451"/>
      <c r="AO705" s="146">
        <v>1</v>
      </c>
      <c r="AP705" s="146">
        <v>4</v>
      </c>
      <c r="AQ705" s="10" t="str">
        <f ca="1">Sprache!$A$111</f>
        <v>Tiomos Scharnier T Impresso</v>
      </c>
      <c r="AR705" t="s">
        <v>127</v>
      </c>
      <c r="AS705" t="str">
        <f ca="1">Sprache!$A$116</f>
        <v>Tiomos Impresso Scharniere</v>
      </c>
      <c r="AT705">
        <v>0</v>
      </c>
      <c r="AU705" s="10" t="s">
        <v>11</v>
      </c>
      <c r="AV705">
        <v>95</v>
      </c>
      <c r="AW705" s="10">
        <v>0</v>
      </c>
      <c r="AX705">
        <v>1</v>
      </c>
      <c r="AY705">
        <v>0</v>
      </c>
      <c r="AZ705" s="10">
        <v>0</v>
      </c>
      <c r="BA705">
        <v>0</v>
      </c>
      <c r="BB705">
        <v>0</v>
      </c>
      <c r="BC705">
        <v>1</v>
      </c>
      <c r="BD705" s="143" t="s">
        <v>175</v>
      </c>
      <c r="BG705"/>
    </row>
    <row r="706" spans="1:59" ht="14.25" customHeight="1" x14ac:dyDescent="0.25">
      <c r="A706" s="37" t="str">
        <f>LEFT(Scharniere[[#This Row],[ArtikelNR]],4)</f>
        <v>F017</v>
      </c>
      <c r="B706" s="35" t="str">
        <f>MID(Scharniere[[#This Row],[ArtikelNR]],5,3)</f>
        <v>139</v>
      </c>
      <c r="C706" s="37" t="str">
        <f>RIGHT(Scharniere[[#This Row],[ArtikelNR]],3)</f>
        <v>523</v>
      </c>
      <c r="D706" s="35">
        <f>IF(AND(Scharniere[[#This Row],[Gruppenschlüssel]]=select!$A$44,Scharniere[[#This Row],[Scharnierart]]=1)=TRUE,1,0)</f>
        <v>0</v>
      </c>
      <c r="E7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6" s="35">
        <f>IF(select!$F$57=IF(Scharniere[[#This Row],[mit Dämpfung]]=1,1,IF(Scharniere[[#This Row],[ohne Dämpfung]]=1,2,IF(Scharniere[[#This Row],[ohne Feder]]=1,3,0))),1,0)</f>
        <v>0</v>
      </c>
      <c r="G706" s="35">
        <f>IF(Scharniere[[#This Row],[Bohrbild]]=select!$V$43,1,0)</f>
        <v>0</v>
      </c>
      <c r="H706" s="35">
        <f>IF(IF(Scharniere[[#This Row],[Anschrauben]]=1,1,IF(Scharniere[[#This Row],[Einpressen]]=1,2,IF(Scharniere[[#This Row],[Quick]]=1,3,IF(Scharniere[[#This Row],[Werkzeuglos]]=1,4,0))))=select!$F$48,1,0)</f>
        <v>0</v>
      </c>
      <c r="I7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6" s="149">
        <f>IF(AND(Scharniere[[#This Row],[Scharnierart]]=2,Scharniere[[#This Row],[Gruppenschlüssel]]=select!$A$318)=TRUE,1,0)</f>
        <v>0</v>
      </c>
      <c r="K706" s="221">
        <f ca="1">IF(select!$O$424&lt;6,1,0)</f>
        <v>1</v>
      </c>
      <c r="L706" s="139">
        <f>IF(select!$A$362=IF(Scharniere[[#This Row],[mit Dämpfung]]=1,1,IF(Scharniere[[#This Row],[ohne Dämpfung]]=1,2,IF(Scharniere[[#This Row],[ohne Feder]]=1,3,0))),1,0)</f>
        <v>1</v>
      </c>
      <c r="M706" s="135">
        <f>IF(Scharniere[[#This Row],[Bohrbild]]=select!$O$334,1,0)</f>
        <v>0</v>
      </c>
      <c r="N706" s="135">
        <f>IF(IF(Scharniere[[#This Row],[Anschrauben]]=1,1,IF(Scharniere[[#This Row],[Einpressen]]=1,2,IF(Scharniere[[#This Row],[Quick]]=1,3,IF(Scharniere[[#This Row],[Werkzeuglos]]=1,4,0))))=select!$E$362,1,0)</f>
        <v>0</v>
      </c>
      <c r="O7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6" s="298">
        <f>IF(AND(Scharniere[[#This Row],[Scharnierart]]=3,Scharniere[[#This Row],[Gruppenschlüssel]]=select!$A$747)=TRUE,1,0)</f>
        <v>0</v>
      </c>
      <c r="Q706" s="298">
        <f ca="1">IF(select!$O$945&lt;6,1,0)</f>
        <v>1</v>
      </c>
      <c r="R706" s="298">
        <f>IF(select!$A$778=IF(Scharniere[[#This Row],[mit Dämpfung]]=1,1,IF(Scharniere[[#This Row],[ohne Dämpfung]]=1,2,IF(Scharniere[[#This Row],[ohne Feder]]=1,3,0))),1,0)</f>
        <v>0</v>
      </c>
      <c r="S706" s="298">
        <f>IF(Scharniere[[#This Row],[Bohrbild]]=select!$A$755,1,0)</f>
        <v>0</v>
      </c>
      <c r="T706" s="298">
        <f>IF(IF(Scharniere[[#This Row],[Anschrauben]]=1,1,IF(Scharniere[[#This Row],[Einpressen]]=1,2,IF(Scharniere[[#This Row],[Quick]]=1,3,IF(Scharniere[[#This Row],[Werkzeuglos]]=1,4,0))))=select!$A$769,1,0)</f>
        <v>0</v>
      </c>
      <c r="U7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6" s="359">
        <f>IF(AND(Scharniere[[#This Row],[Scharnierart]]=4,Scharniere[[#This Row],[Gruppenschlüssel]]=select!$A$981)=TRUE,1,0)</f>
        <v>0</v>
      </c>
      <c r="W706" s="359">
        <f ca="1">IF(select!$O$1185&lt;6,1,0)</f>
        <v>1</v>
      </c>
      <c r="X706" s="359">
        <f>IF(select!$A$1012=IF(Scharniere[[#This Row],[mit Dämpfung]]=1,1,IF(Scharniere[[#This Row],[ohne Dämpfung]]=1,2,IF(Scharniere[[#This Row],[ohne Feder]]=1,3,0))),1,0)</f>
        <v>0</v>
      </c>
      <c r="Y706" s="359">
        <f>IF(Scharniere[[#This Row],[Bohrbild]]=select!$A$989,1,0)</f>
        <v>0</v>
      </c>
      <c r="Z706" s="359">
        <f>IF(IF(Scharniere[[#This Row],[Anschrauben]]=1,1,IF(Scharniere[[#This Row],[Einpressen]]=1,2,IF(Scharniere[[#This Row],[Quick]]=1,3,IF(Scharniere[[#This Row],[Werkzeuglos]]=1,4,0))))=select!$A$1003,1,0)</f>
        <v>0</v>
      </c>
      <c r="AA7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6" s="359">
        <f ca="1">IF(select!$K$980="*",Scharniere[[#This Row],[AG Ges2]],Scharniere[[#This Row],[AG Ges1]])</f>
        <v>0</v>
      </c>
      <c r="AE706" s="451">
        <f ca="1">IF(AND(Scharniere[[#This Row],[Scharnierart]]=select!$A$1485,Scharniere[[#This Row],[Gruppenschlüssel]]=select!$B$1485)=TRUE,1,0)</f>
        <v>0</v>
      </c>
      <c r="AF706" s="451">
        <f ca="1">IF(AND(Scharniere[[#This Row],[Scharnierart]]=select!$A$1486,Scharniere[[#This Row],[Gruppenschlüssel]]=select!$B$1486)=TRUE,1,0)</f>
        <v>0</v>
      </c>
      <c r="AG706" s="451">
        <f ca="1">IF(AND(Scharniere[[#This Row],[Scharnierart]]=select!$A$1487,Scharniere[[#This Row],[Gruppenschlüssel]]=select!$B$1487)=TRUE,1,0)</f>
        <v>0</v>
      </c>
      <c r="AH706" s="451">
        <f ca="1">IF(AND(Scharniere[[#This Row],[Scharnierart]]=select!$A$1488,Scharniere[[#This Row],[Gruppenschlüssel]]=select!$B$1488)=TRUE,1,0)</f>
        <v>0</v>
      </c>
      <c r="AI706" s="451">
        <f ca="1">IF(SUM(Scharniere[[#This Row],[konf Scharnier 1]:[konf Scharnier 4]])&gt;0,1,0)</f>
        <v>0</v>
      </c>
      <c r="AJ706" s="451"/>
      <c r="AK706" s="451"/>
      <c r="AL706" s="451"/>
      <c r="AM706" s="451"/>
      <c r="AN706" s="451"/>
      <c r="AO706" s="146">
        <v>1</v>
      </c>
      <c r="AP706" s="146">
        <v>4</v>
      </c>
      <c r="AQ706" s="10" t="str">
        <f ca="1">Sprache!$A$113</f>
        <v>Tiomos Scharnier TS Impresso</v>
      </c>
      <c r="AR706" t="s">
        <v>127</v>
      </c>
      <c r="AS706" t="str">
        <f ca="1">Sprache!$A$116</f>
        <v>Tiomos Impresso Scharniere</v>
      </c>
      <c r="AT706">
        <v>0</v>
      </c>
      <c r="AU706" t="s">
        <v>10</v>
      </c>
      <c r="AV706">
        <v>95</v>
      </c>
      <c r="AW706" s="10">
        <v>1</v>
      </c>
      <c r="AX706">
        <v>0</v>
      </c>
      <c r="AY706">
        <v>0</v>
      </c>
      <c r="AZ706" s="10">
        <v>0</v>
      </c>
      <c r="BA706">
        <v>0</v>
      </c>
      <c r="BB706">
        <v>0</v>
      </c>
      <c r="BC706">
        <v>1</v>
      </c>
      <c r="BD706" s="143" t="s">
        <v>126</v>
      </c>
      <c r="BG706"/>
    </row>
    <row r="707" spans="1:59" ht="14.25" customHeight="1" x14ac:dyDescent="0.25">
      <c r="A707" s="37" t="str">
        <f>LEFT(Scharniere[[#This Row],[ArtikelNR]],4)</f>
        <v>F017</v>
      </c>
      <c r="B707" s="35" t="str">
        <f>MID(Scharniere[[#This Row],[ArtikelNR]],5,3)</f>
        <v>139</v>
      </c>
      <c r="C707" s="37" t="str">
        <f>RIGHT(Scharniere[[#This Row],[ArtikelNR]],3)</f>
        <v>523</v>
      </c>
      <c r="D707" s="35">
        <f>IF(AND(Scharniere[[#This Row],[Gruppenschlüssel]]=select!$A$44,Scharniere[[#This Row],[Scharnierart]]=1)=TRUE,1,0)</f>
        <v>0</v>
      </c>
      <c r="E7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7" s="35">
        <f>IF(select!$F$57=IF(Scharniere[[#This Row],[mit Dämpfung]]=1,1,IF(Scharniere[[#This Row],[ohne Dämpfung]]=1,2,IF(Scharniere[[#This Row],[ohne Feder]]=1,3,0))),1,0)</f>
        <v>0</v>
      </c>
      <c r="G707" s="35">
        <f>IF(Scharniere[[#This Row],[Bohrbild]]=select!$V$43,1,0)</f>
        <v>0</v>
      </c>
      <c r="H707" s="35">
        <f>IF(IF(Scharniere[[#This Row],[Anschrauben]]=1,1,IF(Scharniere[[#This Row],[Einpressen]]=1,2,IF(Scharniere[[#This Row],[Quick]]=1,3,IF(Scharniere[[#This Row],[Werkzeuglos]]=1,4,0))))=select!$F$48,1,0)</f>
        <v>0</v>
      </c>
      <c r="I7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7" s="149">
        <f>IF(AND(Scharniere[[#This Row],[Scharnierart]]=2,Scharniere[[#This Row],[Gruppenschlüssel]]=select!$A$318)=TRUE,1,0)</f>
        <v>0</v>
      </c>
      <c r="K707" s="221">
        <f ca="1">IF(select!$O$424&lt;6,1,0)</f>
        <v>1</v>
      </c>
      <c r="L707" s="139">
        <f>IF(select!$A$362=IF(Scharniere[[#This Row],[mit Dämpfung]]=1,1,IF(Scharniere[[#This Row],[ohne Dämpfung]]=1,2,IF(Scharniere[[#This Row],[ohne Feder]]=1,3,0))),1,0)</f>
        <v>1</v>
      </c>
      <c r="M707" s="135">
        <f>IF(Scharniere[[#This Row],[Bohrbild]]=select!$O$334,1,0)</f>
        <v>0</v>
      </c>
      <c r="N707" s="135">
        <f>IF(IF(Scharniere[[#This Row],[Anschrauben]]=1,1,IF(Scharniere[[#This Row],[Einpressen]]=1,2,IF(Scharniere[[#This Row],[Quick]]=1,3,IF(Scharniere[[#This Row],[Werkzeuglos]]=1,4,0))))=select!$E$362,1,0)</f>
        <v>0</v>
      </c>
      <c r="O7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7" s="298">
        <f>IF(AND(Scharniere[[#This Row],[Scharnierart]]=3,Scharniere[[#This Row],[Gruppenschlüssel]]=select!$A$747)=TRUE,1,0)</f>
        <v>0</v>
      </c>
      <c r="Q707" s="298">
        <f ca="1">IF(select!$O$945&lt;6,1,0)</f>
        <v>1</v>
      </c>
      <c r="R707" s="298">
        <f>IF(select!$A$778=IF(Scharniere[[#This Row],[mit Dämpfung]]=1,1,IF(Scharniere[[#This Row],[ohne Dämpfung]]=1,2,IF(Scharniere[[#This Row],[ohne Feder]]=1,3,0))),1,0)</f>
        <v>0</v>
      </c>
      <c r="S707" s="298">
        <f>IF(Scharniere[[#This Row],[Bohrbild]]=select!$A$755,1,0)</f>
        <v>0</v>
      </c>
      <c r="T707" s="298">
        <f>IF(IF(Scharniere[[#This Row],[Anschrauben]]=1,1,IF(Scharniere[[#This Row],[Einpressen]]=1,2,IF(Scharniere[[#This Row],[Quick]]=1,3,IF(Scharniere[[#This Row],[Werkzeuglos]]=1,4,0))))=select!$A$769,1,0)</f>
        <v>0</v>
      </c>
      <c r="U7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7" s="359">
        <f>IF(AND(Scharniere[[#This Row],[Scharnierart]]=4,Scharniere[[#This Row],[Gruppenschlüssel]]=select!$A$981)=TRUE,1,0)</f>
        <v>0</v>
      </c>
      <c r="W707" s="359">
        <f ca="1">IF(select!$O$1185&lt;6,1,0)</f>
        <v>1</v>
      </c>
      <c r="X707" s="359">
        <f>IF(select!$A$1012=IF(Scharniere[[#This Row],[mit Dämpfung]]=1,1,IF(Scharniere[[#This Row],[ohne Dämpfung]]=1,2,IF(Scharniere[[#This Row],[ohne Feder]]=1,3,0))),1,0)</f>
        <v>0</v>
      </c>
      <c r="Y707" s="359">
        <f>IF(Scharniere[[#This Row],[Bohrbild]]=select!$A$989,1,0)</f>
        <v>0</v>
      </c>
      <c r="Z707" s="359">
        <f>IF(IF(Scharniere[[#This Row],[Anschrauben]]=1,1,IF(Scharniere[[#This Row],[Einpressen]]=1,2,IF(Scharniere[[#This Row],[Quick]]=1,3,IF(Scharniere[[#This Row],[Werkzeuglos]]=1,4,0))))=select!$A$1003,1,0)</f>
        <v>0</v>
      </c>
      <c r="AA7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7" s="359">
        <f ca="1">IF(select!$K$980="*",Scharniere[[#This Row],[AG Ges2]],Scharniere[[#This Row],[AG Ges1]])</f>
        <v>0</v>
      </c>
      <c r="AE707" s="451">
        <f ca="1">IF(AND(Scharniere[[#This Row],[Scharnierart]]=select!$A$1485,Scharniere[[#This Row],[Gruppenschlüssel]]=select!$B$1485)=TRUE,1,0)</f>
        <v>0</v>
      </c>
      <c r="AF707" s="451">
        <f ca="1">IF(AND(Scharniere[[#This Row],[Scharnierart]]=select!$A$1486,Scharniere[[#This Row],[Gruppenschlüssel]]=select!$B$1486)=TRUE,1,0)</f>
        <v>0</v>
      </c>
      <c r="AG707" s="451">
        <f ca="1">IF(AND(Scharniere[[#This Row],[Scharnierart]]=select!$A$1487,Scharniere[[#This Row],[Gruppenschlüssel]]=select!$B$1487)=TRUE,1,0)</f>
        <v>0</v>
      </c>
      <c r="AH707" s="451">
        <f ca="1">IF(AND(Scharniere[[#This Row],[Scharnierart]]=select!$A$1488,Scharniere[[#This Row],[Gruppenschlüssel]]=select!$B$1488)=TRUE,1,0)</f>
        <v>0</v>
      </c>
      <c r="AI707" s="451">
        <f ca="1">IF(SUM(Scharniere[[#This Row],[konf Scharnier 1]:[konf Scharnier 4]])&gt;0,1,0)</f>
        <v>0</v>
      </c>
      <c r="AJ707" s="451"/>
      <c r="AK707" s="451"/>
      <c r="AL707" s="451"/>
      <c r="AM707" s="451"/>
      <c r="AN707" s="451"/>
      <c r="AO707" s="146">
        <v>1</v>
      </c>
      <c r="AP707" s="146">
        <v>4</v>
      </c>
      <c r="AQ707" s="10" t="str">
        <f ca="1">Sprache!$A$113</f>
        <v>Tiomos Scharnier TS Impresso</v>
      </c>
      <c r="AR707" t="s">
        <v>127</v>
      </c>
      <c r="AS707" t="str">
        <f ca="1">Sprache!$A$116</f>
        <v>Tiomos Impresso Scharniere</v>
      </c>
      <c r="AT707">
        <v>0</v>
      </c>
      <c r="AU707" t="s">
        <v>11</v>
      </c>
      <c r="AV707">
        <v>95</v>
      </c>
      <c r="AW707" s="10">
        <v>1</v>
      </c>
      <c r="AX707">
        <v>0</v>
      </c>
      <c r="AY707">
        <v>0</v>
      </c>
      <c r="AZ707" s="10">
        <v>0</v>
      </c>
      <c r="BA707">
        <v>0</v>
      </c>
      <c r="BB707">
        <v>0</v>
      </c>
      <c r="BC707">
        <v>1</v>
      </c>
      <c r="BD707" s="143" t="s">
        <v>126</v>
      </c>
      <c r="BG707"/>
    </row>
    <row r="708" spans="1:59" ht="14.25" customHeight="1" x14ac:dyDescent="0.25">
      <c r="A708" s="37" t="str">
        <f>LEFT(Scharniere[[#This Row],[ArtikelNR]],4)</f>
        <v>F035</v>
      </c>
      <c r="B708" s="35" t="str">
        <f>MID(Scharniere[[#This Row],[ArtikelNR]],5,3)</f>
        <v>139</v>
      </c>
      <c r="C708" s="37" t="str">
        <f>RIGHT(Scharniere[[#This Row],[ArtikelNR]],3)</f>
        <v>551</v>
      </c>
      <c r="D708" s="35">
        <f>IF(AND(Scharniere[[#This Row],[Gruppenschlüssel]]=select!$A$44,Scharniere[[#This Row],[Scharnierart]]=1)=TRUE,1,0)</f>
        <v>0</v>
      </c>
      <c r="E7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8" s="35">
        <f>IF(select!$F$57=IF(Scharniere[[#This Row],[mit Dämpfung]]=1,1,IF(Scharniere[[#This Row],[ohne Dämpfung]]=1,2,IF(Scharniere[[#This Row],[ohne Feder]]=1,3,0))),1,0)</f>
        <v>1</v>
      </c>
      <c r="G708" s="35">
        <f>IF(Scharniere[[#This Row],[Bohrbild]]=select!$V$43,1,0)</f>
        <v>0</v>
      </c>
      <c r="H708" s="35">
        <f>IF(IF(Scharniere[[#This Row],[Anschrauben]]=1,1,IF(Scharniere[[#This Row],[Einpressen]]=1,2,IF(Scharniere[[#This Row],[Quick]]=1,3,IF(Scharniere[[#This Row],[Werkzeuglos]]=1,4,0))))=select!$F$48,1,0)</f>
        <v>0</v>
      </c>
      <c r="I7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8" s="149">
        <f>IF(AND(Scharniere[[#This Row],[Scharnierart]]=2,Scharniere[[#This Row],[Gruppenschlüssel]]=select!$A$318)=TRUE,1,0)</f>
        <v>0</v>
      </c>
      <c r="K708" s="221">
        <f ca="1">IF(select!$O$424&lt;6,1,0)</f>
        <v>1</v>
      </c>
      <c r="L708" s="139">
        <f>IF(select!$A$362=IF(Scharniere[[#This Row],[mit Dämpfung]]=1,1,IF(Scharniere[[#This Row],[ohne Dämpfung]]=1,2,IF(Scharniere[[#This Row],[ohne Feder]]=1,3,0))),1,0)</f>
        <v>0</v>
      </c>
      <c r="M708" s="135">
        <f>IF(Scharniere[[#This Row],[Bohrbild]]=select!$O$334,1,0)</f>
        <v>0</v>
      </c>
      <c r="N708" s="135">
        <f>IF(IF(Scharniere[[#This Row],[Anschrauben]]=1,1,IF(Scharniere[[#This Row],[Einpressen]]=1,2,IF(Scharniere[[#This Row],[Quick]]=1,3,IF(Scharniere[[#This Row],[Werkzeuglos]]=1,4,0))))=select!$E$362,1,0)</f>
        <v>0</v>
      </c>
      <c r="O7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8" s="298">
        <f>IF(AND(Scharniere[[#This Row],[Scharnierart]]=3,Scharniere[[#This Row],[Gruppenschlüssel]]=select!$A$747)=TRUE,1,0)</f>
        <v>0</v>
      </c>
      <c r="Q708" s="298">
        <f ca="1">IF(select!$O$945&lt;6,1,0)</f>
        <v>1</v>
      </c>
      <c r="R708" s="298">
        <f>IF(select!$A$778=IF(Scharniere[[#This Row],[mit Dämpfung]]=1,1,IF(Scharniere[[#This Row],[ohne Dämpfung]]=1,2,IF(Scharniere[[#This Row],[ohne Feder]]=1,3,0))),1,0)</f>
        <v>0</v>
      </c>
      <c r="S708" s="298">
        <f>IF(Scharniere[[#This Row],[Bohrbild]]=select!$A$755,1,0)</f>
        <v>0</v>
      </c>
      <c r="T708" s="298">
        <f>IF(IF(Scharniere[[#This Row],[Anschrauben]]=1,1,IF(Scharniere[[#This Row],[Einpressen]]=1,2,IF(Scharniere[[#This Row],[Quick]]=1,3,IF(Scharniere[[#This Row],[Werkzeuglos]]=1,4,0))))=select!$A$769,1,0)</f>
        <v>0</v>
      </c>
      <c r="U7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8" s="359">
        <f>IF(AND(Scharniere[[#This Row],[Scharnierart]]=4,Scharniere[[#This Row],[Gruppenschlüssel]]=select!$A$981)=TRUE,1,0)</f>
        <v>0</v>
      </c>
      <c r="W708" s="359">
        <f ca="1">IF(select!$O$1185&lt;6,1,0)</f>
        <v>1</v>
      </c>
      <c r="X708" s="359">
        <f>IF(select!$A$1012=IF(Scharniere[[#This Row],[mit Dämpfung]]=1,1,IF(Scharniere[[#This Row],[ohne Dämpfung]]=1,2,IF(Scharniere[[#This Row],[ohne Feder]]=1,3,0))),1,0)</f>
        <v>0</v>
      </c>
      <c r="Y708" s="359">
        <f>IF(Scharniere[[#This Row],[Bohrbild]]=select!$A$989,1,0)</f>
        <v>0</v>
      </c>
      <c r="Z708" s="359">
        <f>IF(IF(Scharniere[[#This Row],[Anschrauben]]=1,1,IF(Scharniere[[#This Row],[Einpressen]]=1,2,IF(Scharniere[[#This Row],[Quick]]=1,3,IF(Scharniere[[#This Row],[Werkzeuglos]]=1,4,0))))=select!$A$1003,1,0)</f>
        <v>0</v>
      </c>
      <c r="AA7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8" s="359">
        <f ca="1">IF(select!$K$980="*",Scharniere[[#This Row],[AG Ges2]],Scharniere[[#This Row],[AG Ges1]])</f>
        <v>0</v>
      </c>
      <c r="AE708" s="451">
        <f ca="1">IF(AND(Scharniere[[#This Row],[Scharnierart]]=select!$A$1485,Scharniere[[#This Row],[Gruppenschlüssel]]=select!$B$1485)=TRUE,1,0)</f>
        <v>0</v>
      </c>
      <c r="AF708" s="451">
        <f ca="1">IF(AND(Scharniere[[#This Row],[Scharnierart]]=select!$A$1486,Scharniere[[#This Row],[Gruppenschlüssel]]=select!$B$1486)=TRUE,1,0)</f>
        <v>0</v>
      </c>
      <c r="AG708" s="451">
        <f ca="1">IF(AND(Scharniere[[#This Row],[Scharnierart]]=select!$A$1487,Scharniere[[#This Row],[Gruppenschlüssel]]=select!$B$1487)=TRUE,1,0)</f>
        <v>0</v>
      </c>
      <c r="AH708" s="451">
        <f ca="1">IF(AND(Scharniere[[#This Row],[Scharnierart]]=select!$A$1488,Scharniere[[#This Row],[Gruppenschlüssel]]=select!$B$1488)=TRUE,1,0)</f>
        <v>0</v>
      </c>
      <c r="AI708" s="451">
        <f ca="1">IF(SUM(Scharniere[[#This Row],[konf Scharnier 1]:[konf Scharnier 4]])&gt;0,1,0)</f>
        <v>0</v>
      </c>
      <c r="AJ708" s="451"/>
      <c r="AK708" s="451"/>
      <c r="AL708" s="451"/>
      <c r="AM708" s="451"/>
      <c r="AN708" s="451"/>
      <c r="AO708" s="146">
        <v>1</v>
      </c>
      <c r="AP708" s="146">
        <v>4</v>
      </c>
      <c r="AQ708" s="10" t="str">
        <f ca="1">Sprache!$A$115</f>
        <v>Tiomos Scharnier TT Impresso</v>
      </c>
      <c r="AR708" t="s">
        <v>127</v>
      </c>
      <c r="AS708" t="str">
        <f ca="1">Sprache!$A$116</f>
        <v>Tiomos Impresso Scharniere</v>
      </c>
      <c r="AT708">
        <v>0</v>
      </c>
      <c r="AU708" t="s">
        <v>10</v>
      </c>
      <c r="AV708">
        <v>95</v>
      </c>
      <c r="AW708" s="10">
        <v>0</v>
      </c>
      <c r="AX708">
        <v>0</v>
      </c>
      <c r="AY708">
        <v>1</v>
      </c>
      <c r="AZ708" s="10">
        <v>0</v>
      </c>
      <c r="BA708">
        <v>0</v>
      </c>
      <c r="BB708">
        <v>0</v>
      </c>
      <c r="BC708">
        <v>1</v>
      </c>
      <c r="BD708" s="143" t="s">
        <v>219</v>
      </c>
      <c r="BG708"/>
    </row>
    <row r="709" spans="1:59" ht="14.25" customHeight="1" x14ac:dyDescent="0.25">
      <c r="A709" s="37" t="str">
        <f>LEFT(Scharniere[[#This Row],[ArtikelNR]],4)</f>
        <v>F035</v>
      </c>
      <c r="B709" s="35" t="str">
        <f>MID(Scharniere[[#This Row],[ArtikelNR]],5,3)</f>
        <v>139</v>
      </c>
      <c r="C709" s="37" t="str">
        <f>RIGHT(Scharniere[[#This Row],[ArtikelNR]],3)</f>
        <v>551</v>
      </c>
      <c r="D709" s="35">
        <f>IF(AND(Scharniere[[#This Row],[Gruppenschlüssel]]=select!$A$44,Scharniere[[#This Row],[Scharnierart]]=1)=TRUE,1,0)</f>
        <v>0</v>
      </c>
      <c r="E7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09" s="35">
        <f>IF(select!$F$57=IF(Scharniere[[#This Row],[mit Dämpfung]]=1,1,IF(Scharniere[[#This Row],[ohne Dämpfung]]=1,2,IF(Scharniere[[#This Row],[ohne Feder]]=1,3,0))),1,0)</f>
        <v>1</v>
      </c>
      <c r="G709" s="35">
        <f>IF(Scharniere[[#This Row],[Bohrbild]]=select!$V$43,1,0)</f>
        <v>0</v>
      </c>
      <c r="H709" s="35">
        <f>IF(IF(Scharniere[[#This Row],[Anschrauben]]=1,1,IF(Scharniere[[#This Row],[Einpressen]]=1,2,IF(Scharniere[[#This Row],[Quick]]=1,3,IF(Scharniere[[#This Row],[Werkzeuglos]]=1,4,0))))=select!$F$48,1,0)</f>
        <v>0</v>
      </c>
      <c r="I7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09" s="149">
        <f>IF(AND(Scharniere[[#This Row],[Scharnierart]]=2,Scharniere[[#This Row],[Gruppenschlüssel]]=select!$A$318)=TRUE,1,0)</f>
        <v>0</v>
      </c>
      <c r="K709" s="221">
        <f ca="1">IF(select!$O$424&lt;6,1,0)</f>
        <v>1</v>
      </c>
      <c r="L709" s="139">
        <f>IF(select!$A$362=IF(Scharniere[[#This Row],[mit Dämpfung]]=1,1,IF(Scharniere[[#This Row],[ohne Dämpfung]]=1,2,IF(Scharniere[[#This Row],[ohne Feder]]=1,3,0))),1,0)</f>
        <v>0</v>
      </c>
      <c r="M709" s="135">
        <f>IF(Scharniere[[#This Row],[Bohrbild]]=select!$O$334,1,0)</f>
        <v>0</v>
      </c>
      <c r="N709" s="135">
        <f>IF(IF(Scharniere[[#This Row],[Anschrauben]]=1,1,IF(Scharniere[[#This Row],[Einpressen]]=1,2,IF(Scharniere[[#This Row],[Quick]]=1,3,IF(Scharniere[[#This Row],[Werkzeuglos]]=1,4,0))))=select!$E$362,1,0)</f>
        <v>0</v>
      </c>
      <c r="O7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09" s="298">
        <f>IF(AND(Scharniere[[#This Row],[Scharnierart]]=3,Scharniere[[#This Row],[Gruppenschlüssel]]=select!$A$747)=TRUE,1,0)</f>
        <v>0</v>
      </c>
      <c r="Q709" s="298">
        <f ca="1">IF(select!$O$945&lt;6,1,0)</f>
        <v>1</v>
      </c>
      <c r="R709" s="298">
        <f>IF(select!$A$778=IF(Scharniere[[#This Row],[mit Dämpfung]]=1,1,IF(Scharniere[[#This Row],[ohne Dämpfung]]=1,2,IF(Scharniere[[#This Row],[ohne Feder]]=1,3,0))),1,0)</f>
        <v>0</v>
      </c>
      <c r="S709" s="298">
        <f>IF(Scharniere[[#This Row],[Bohrbild]]=select!$A$755,1,0)</f>
        <v>0</v>
      </c>
      <c r="T709" s="298">
        <f>IF(IF(Scharniere[[#This Row],[Anschrauben]]=1,1,IF(Scharniere[[#This Row],[Einpressen]]=1,2,IF(Scharniere[[#This Row],[Quick]]=1,3,IF(Scharniere[[#This Row],[Werkzeuglos]]=1,4,0))))=select!$A$769,1,0)</f>
        <v>0</v>
      </c>
      <c r="U7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09" s="359">
        <f>IF(AND(Scharniere[[#This Row],[Scharnierart]]=4,Scharniere[[#This Row],[Gruppenschlüssel]]=select!$A$981)=TRUE,1,0)</f>
        <v>0</v>
      </c>
      <c r="W709" s="359">
        <f ca="1">IF(select!$O$1185&lt;6,1,0)</f>
        <v>1</v>
      </c>
      <c r="X709" s="359">
        <f>IF(select!$A$1012=IF(Scharniere[[#This Row],[mit Dämpfung]]=1,1,IF(Scharniere[[#This Row],[ohne Dämpfung]]=1,2,IF(Scharniere[[#This Row],[ohne Feder]]=1,3,0))),1,0)</f>
        <v>0</v>
      </c>
      <c r="Y709" s="359">
        <f>IF(Scharniere[[#This Row],[Bohrbild]]=select!$A$989,1,0)</f>
        <v>0</v>
      </c>
      <c r="Z709" s="359">
        <f>IF(IF(Scharniere[[#This Row],[Anschrauben]]=1,1,IF(Scharniere[[#This Row],[Einpressen]]=1,2,IF(Scharniere[[#This Row],[Quick]]=1,3,IF(Scharniere[[#This Row],[Werkzeuglos]]=1,4,0))))=select!$A$1003,1,0)</f>
        <v>0</v>
      </c>
      <c r="AA7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09" s="359">
        <f ca="1">IF(select!$K$980="*",Scharniere[[#This Row],[AG Ges2]],Scharniere[[#This Row],[AG Ges1]])</f>
        <v>0</v>
      </c>
      <c r="AE709" s="451">
        <f ca="1">IF(AND(Scharniere[[#This Row],[Scharnierart]]=select!$A$1485,Scharniere[[#This Row],[Gruppenschlüssel]]=select!$B$1485)=TRUE,1,0)</f>
        <v>0</v>
      </c>
      <c r="AF709" s="451">
        <f ca="1">IF(AND(Scharniere[[#This Row],[Scharnierart]]=select!$A$1486,Scharniere[[#This Row],[Gruppenschlüssel]]=select!$B$1486)=TRUE,1,0)</f>
        <v>0</v>
      </c>
      <c r="AG709" s="451">
        <f ca="1">IF(AND(Scharniere[[#This Row],[Scharnierart]]=select!$A$1487,Scharniere[[#This Row],[Gruppenschlüssel]]=select!$B$1487)=TRUE,1,0)</f>
        <v>0</v>
      </c>
      <c r="AH709" s="451">
        <f ca="1">IF(AND(Scharniere[[#This Row],[Scharnierart]]=select!$A$1488,Scharniere[[#This Row],[Gruppenschlüssel]]=select!$B$1488)=TRUE,1,0)</f>
        <v>0</v>
      </c>
      <c r="AI709" s="451">
        <f ca="1">IF(SUM(Scharniere[[#This Row],[konf Scharnier 1]:[konf Scharnier 4]])&gt;0,1,0)</f>
        <v>0</v>
      </c>
      <c r="AJ709" s="451"/>
      <c r="AK709" s="451"/>
      <c r="AL709" s="451"/>
      <c r="AM709" s="451"/>
      <c r="AN709" s="451"/>
      <c r="AO709" s="146">
        <v>1</v>
      </c>
      <c r="AP709" s="146">
        <v>4</v>
      </c>
      <c r="AQ709" s="10" t="str">
        <f ca="1">Sprache!$A$115</f>
        <v>Tiomos Scharnier TT Impresso</v>
      </c>
      <c r="AR709" t="s">
        <v>127</v>
      </c>
      <c r="AS709" t="str">
        <f ca="1">Sprache!$A$116</f>
        <v>Tiomos Impresso Scharniere</v>
      </c>
      <c r="AT709">
        <v>0</v>
      </c>
      <c r="AU709" s="34" t="s">
        <v>11</v>
      </c>
      <c r="AV709">
        <v>95</v>
      </c>
      <c r="AW709" s="10">
        <v>0</v>
      </c>
      <c r="AX709">
        <v>0</v>
      </c>
      <c r="AY709">
        <v>1</v>
      </c>
      <c r="AZ709" s="10">
        <v>0</v>
      </c>
      <c r="BA709">
        <v>0</v>
      </c>
      <c r="BB709">
        <v>0</v>
      </c>
      <c r="BC709">
        <v>1</v>
      </c>
      <c r="BD709" s="143" t="s">
        <v>219</v>
      </c>
      <c r="BG709"/>
    </row>
    <row r="710" spans="1:59" ht="14.25" customHeight="1" x14ac:dyDescent="0.25">
      <c r="A710" s="37" t="str">
        <f>LEFT(Scharniere[[#This Row],[ArtikelNR]],4)</f>
        <v>F045</v>
      </c>
      <c r="B710" s="35" t="str">
        <f>MID(Scharniere[[#This Row],[ArtikelNR]],5,3)</f>
        <v>138</v>
      </c>
      <c r="C710" s="37" t="str">
        <f>RIGHT(Scharniere[[#This Row],[ArtikelNR]],3)</f>
        <v>052</v>
      </c>
      <c r="D710" s="35">
        <f>IF(AND(Scharniere[[#This Row],[Gruppenschlüssel]]=select!$A$44,Scharniere[[#This Row],[Scharnierart]]=1)=TRUE,1,0)</f>
        <v>0</v>
      </c>
      <c r="E7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0" s="35">
        <f>IF(select!$F$57=IF(Scharniere[[#This Row],[mit Dämpfung]]=1,1,IF(Scharniere[[#This Row],[ohne Dämpfung]]=1,2,IF(Scharniere[[#This Row],[ohne Feder]]=1,3,0))),1,0)</f>
        <v>0</v>
      </c>
      <c r="G710" s="35">
        <f>IF(Scharniere[[#This Row],[Bohrbild]]=select!$V$43,1,0)</f>
        <v>1</v>
      </c>
      <c r="H710" s="35">
        <f>IF(IF(Scharniere[[#This Row],[Anschrauben]]=1,1,IF(Scharniere[[#This Row],[Einpressen]]=1,2,IF(Scharniere[[#This Row],[Quick]]=1,3,IF(Scharniere[[#This Row],[Werkzeuglos]]=1,4,0))))=select!$F$48,1,0)</f>
        <v>1</v>
      </c>
      <c r="I7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0" s="149">
        <f>IF(AND(Scharniere[[#This Row],[Scharnierart]]=2,Scharniere[[#This Row],[Gruppenschlüssel]]=select!$A$318)=TRUE,1,0)</f>
        <v>0</v>
      </c>
      <c r="K710" s="221">
        <f ca="1">IF(select!$O$424&lt;6,1,0)</f>
        <v>1</v>
      </c>
      <c r="L710" s="139">
        <f>IF(select!$A$362=IF(Scharniere[[#This Row],[mit Dämpfung]]=1,1,IF(Scharniere[[#This Row],[ohne Dämpfung]]=1,2,IF(Scharniere[[#This Row],[ohne Feder]]=1,3,0))),1,0)</f>
        <v>0</v>
      </c>
      <c r="M710" s="135">
        <f>IF(Scharniere[[#This Row],[Bohrbild]]=select!$O$334,1,0)</f>
        <v>1</v>
      </c>
      <c r="N710" s="135">
        <f>IF(IF(Scharniere[[#This Row],[Anschrauben]]=1,1,IF(Scharniere[[#This Row],[Einpressen]]=1,2,IF(Scharniere[[#This Row],[Quick]]=1,3,IF(Scharniere[[#This Row],[Werkzeuglos]]=1,4,0))))=select!$E$362,1,0)</f>
        <v>0</v>
      </c>
      <c r="O7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0" s="298">
        <f>IF(AND(Scharniere[[#This Row],[Scharnierart]]=3,Scharniere[[#This Row],[Gruppenschlüssel]]=select!$A$747)=TRUE,1,0)</f>
        <v>0</v>
      </c>
      <c r="Q710" s="298">
        <f ca="1">IF(select!$O$945&lt;6,1,0)</f>
        <v>1</v>
      </c>
      <c r="R710" s="298">
        <f>IF(select!$A$778=IF(Scharniere[[#This Row],[mit Dämpfung]]=1,1,IF(Scharniere[[#This Row],[ohne Dämpfung]]=1,2,IF(Scharniere[[#This Row],[ohne Feder]]=1,3,0))),1,0)</f>
        <v>1</v>
      </c>
      <c r="S710" s="298">
        <f>IF(Scharniere[[#This Row],[Bohrbild]]=select!$A$755,1,0)</f>
        <v>0</v>
      </c>
      <c r="T710" s="298">
        <f>IF(IF(Scharniere[[#This Row],[Anschrauben]]=1,1,IF(Scharniere[[#This Row],[Einpressen]]=1,2,IF(Scharniere[[#This Row],[Quick]]=1,3,IF(Scharniere[[#This Row],[Werkzeuglos]]=1,4,0))))=select!$A$769,1,0)</f>
        <v>0</v>
      </c>
      <c r="U7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0" s="359">
        <f>IF(AND(Scharniere[[#This Row],[Scharnierart]]=4,Scharniere[[#This Row],[Gruppenschlüssel]]=select!$A$981)=TRUE,1,0)</f>
        <v>0</v>
      </c>
      <c r="W710" s="359">
        <f ca="1">IF(select!$O$1185&lt;6,1,0)</f>
        <v>1</v>
      </c>
      <c r="X710" s="359">
        <f>IF(select!$A$1012=IF(Scharniere[[#This Row],[mit Dämpfung]]=1,1,IF(Scharniere[[#This Row],[ohne Dämpfung]]=1,2,IF(Scharniere[[#This Row],[ohne Feder]]=1,3,0))),1,0)</f>
        <v>1</v>
      </c>
      <c r="Y710" s="359">
        <f>IF(Scharniere[[#This Row],[Bohrbild]]=select!$A$989,1,0)</f>
        <v>0</v>
      </c>
      <c r="Z710" s="359">
        <f>IF(IF(Scharniere[[#This Row],[Anschrauben]]=1,1,IF(Scharniere[[#This Row],[Einpressen]]=1,2,IF(Scharniere[[#This Row],[Quick]]=1,3,IF(Scharniere[[#This Row],[Werkzeuglos]]=1,4,0))))=select!$A$1003,1,0)</f>
        <v>0</v>
      </c>
      <c r="AA7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0" s="359">
        <f ca="1">IF(select!$K$980="*",Scharniere[[#This Row],[AG Ges2]],Scharniere[[#This Row],[AG Ges1]])</f>
        <v>0</v>
      </c>
      <c r="AE710" s="451">
        <f ca="1">IF(AND(Scharniere[[#This Row],[Scharnierart]]=select!$A$1485,Scharniere[[#This Row],[Gruppenschlüssel]]=select!$B$1485)=TRUE,1,0)</f>
        <v>0</v>
      </c>
      <c r="AF710" s="451">
        <f ca="1">IF(AND(Scharniere[[#This Row],[Scharnierart]]=select!$A$1486,Scharniere[[#This Row],[Gruppenschlüssel]]=select!$B$1486)=TRUE,1,0)</f>
        <v>0</v>
      </c>
      <c r="AG710" s="451">
        <f ca="1">IF(AND(Scharniere[[#This Row],[Scharnierart]]=select!$A$1487,Scharniere[[#This Row],[Gruppenschlüssel]]=select!$B$1487)=TRUE,1,0)</f>
        <v>0</v>
      </c>
      <c r="AH710" s="451">
        <f ca="1">IF(AND(Scharniere[[#This Row],[Scharnierart]]=select!$A$1488,Scharniere[[#This Row],[Gruppenschlüssel]]=select!$B$1488)=TRUE,1,0)</f>
        <v>0</v>
      </c>
      <c r="AI710" s="451">
        <f ca="1">IF(SUM(Scharniere[[#This Row],[konf Scharnier 1]:[konf Scharnier 4]])&gt;0,1,0)</f>
        <v>0</v>
      </c>
      <c r="AJ710" s="451"/>
      <c r="AK710" s="451"/>
      <c r="AL710" s="451"/>
      <c r="AM710" s="451"/>
      <c r="AN710" s="451"/>
      <c r="AO710" s="146">
        <v>1</v>
      </c>
      <c r="AP710" s="146">
        <v>4</v>
      </c>
      <c r="AQ710" s="10" t="str">
        <f ca="1">Sprache!$A$110</f>
        <v>Tiomos Scharnier T Click-on</v>
      </c>
      <c r="AR710" t="str">
        <f ca="1">"95°, M-BB, K00, "&amp;Sprache!A181&amp;", ni"</f>
        <v>95°, M-BB, K00, Dübel, ni</v>
      </c>
      <c r="AS710" t="str">
        <f ca="1">Sprache!$A$103</f>
        <v>Tiomos Click-On Scharniere</v>
      </c>
      <c r="AT710">
        <v>0</v>
      </c>
      <c r="AU710" t="s">
        <v>8</v>
      </c>
      <c r="AV710">
        <v>95</v>
      </c>
      <c r="AW710" s="10">
        <v>0</v>
      </c>
      <c r="AX710">
        <v>1</v>
      </c>
      <c r="AY710">
        <v>0</v>
      </c>
      <c r="AZ710" s="10">
        <v>0</v>
      </c>
      <c r="BA710">
        <v>1</v>
      </c>
      <c r="BB710">
        <v>0</v>
      </c>
      <c r="BC710">
        <v>0</v>
      </c>
      <c r="BD710" s="143" t="s">
        <v>453</v>
      </c>
      <c r="BG710"/>
    </row>
    <row r="711" spans="1:59" ht="14.25" customHeight="1" x14ac:dyDescent="0.25">
      <c r="A711" s="37" t="str">
        <f>LEFT(Scharniere[[#This Row],[ArtikelNR]],4)</f>
        <v>F028</v>
      </c>
      <c r="B711" s="35" t="str">
        <f>MID(Scharniere[[#This Row],[ArtikelNR]],5,3)</f>
        <v>138</v>
      </c>
      <c r="C711" s="37" t="str">
        <f>RIGHT(Scharniere[[#This Row],[ArtikelNR]],3)</f>
        <v>145</v>
      </c>
      <c r="D711" s="35">
        <f>IF(AND(Scharniere[[#This Row],[Gruppenschlüssel]]=select!$A$44,Scharniere[[#This Row],[Scharnierart]]=1)=TRUE,1,0)</f>
        <v>0</v>
      </c>
      <c r="E7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1" s="35">
        <f>IF(select!$F$57=IF(Scharniere[[#This Row],[mit Dämpfung]]=1,1,IF(Scharniere[[#This Row],[ohne Dämpfung]]=1,2,IF(Scharniere[[#This Row],[ohne Feder]]=1,3,0))),1,0)</f>
        <v>0</v>
      </c>
      <c r="G711" s="35">
        <f>IF(Scharniere[[#This Row],[Bohrbild]]=select!$V$43,1,0)</f>
        <v>1</v>
      </c>
      <c r="H711" s="35">
        <f>IF(IF(Scharniere[[#This Row],[Anschrauben]]=1,1,IF(Scharniere[[#This Row],[Einpressen]]=1,2,IF(Scharniere[[#This Row],[Quick]]=1,3,IF(Scharniere[[#This Row],[Werkzeuglos]]=1,4,0))))=select!$F$48,1,0)</f>
        <v>1</v>
      </c>
      <c r="I7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1" s="149">
        <f>IF(AND(Scharniere[[#This Row],[Scharnierart]]=2,Scharniere[[#This Row],[Gruppenschlüssel]]=select!$A$318)=TRUE,1,0)</f>
        <v>0</v>
      </c>
      <c r="K711" s="221">
        <f ca="1">IF(select!$O$424&lt;6,1,0)</f>
        <v>1</v>
      </c>
      <c r="L711" s="139">
        <f>IF(select!$A$362=IF(Scharniere[[#This Row],[mit Dämpfung]]=1,1,IF(Scharniere[[#This Row],[ohne Dämpfung]]=1,2,IF(Scharniere[[#This Row],[ohne Feder]]=1,3,0))),1,0)</f>
        <v>1</v>
      </c>
      <c r="M711" s="135">
        <f>IF(Scharniere[[#This Row],[Bohrbild]]=select!$O$334,1,0)</f>
        <v>1</v>
      </c>
      <c r="N711" s="135">
        <f>IF(IF(Scharniere[[#This Row],[Anschrauben]]=1,1,IF(Scharniere[[#This Row],[Einpressen]]=1,2,IF(Scharniere[[#This Row],[Quick]]=1,3,IF(Scharniere[[#This Row],[Werkzeuglos]]=1,4,0))))=select!$E$362,1,0)</f>
        <v>0</v>
      </c>
      <c r="O7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1" s="298">
        <f>IF(AND(Scharniere[[#This Row],[Scharnierart]]=3,Scharniere[[#This Row],[Gruppenschlüssel]]=select!$A$747)=TRUE,1,0)</f>
        <v>0</v>
      </c>
      <c r="Q711" s="298">
        <f ca="1">IF(select!$O$945&lt;6,1,0)</f>
        <v>1</v>
      </c>
      <c r="R711" s="298">
        <f>IF(select!$A$778=IF(Scharniere[[#This Row],[mit Dämpfung]]=1,1,IF(Scharniere[[#This Row],[ohne Dämpfung]]=1,2,IF(Scharniere[[#This Row],[ohne Feder]]=1,3,0))),1,0)</f>
        <v>0</v>
      </c>
      <c r="S711" s="298">
        <f>IF(Scharniere[[#This Row],[Bohrbild]]=select!$A$755,1,0)</f>
        <v>0</v>
      </c>
      <c r="T711" s="298">
        <f>IF(IF(Scharniere[[#This Row],[Anschrauben]]=1,1,IF(Scharniere[[#This Row],[Einpressen]]=1,2,IF(Scharniere[[#This Row],[Quick]]=1,3,IF(Scharniere[[#This Row],[Werkzeuglos]]=1,4,0))))=select!$A$769,1,0)</f>
        <v>0</v>
      </c>
      <c r="U7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1" s="359">
        <f>IF(AND(Scharniere[[#This Row],[Scharnierart]]=4,Scharniere[[#This Row],[Gruppenschlüssel]]=select!$A$981)=TRUE,1,0)</f>
        <v>0</v>
      </c>
      <c r="W711" s="359">
        <f ca="1">IF(select!$O$1185&lt;6,1,0)</f>
        <v>1</v>
      </c>
      <c r="X711" s="359">
        <f>IF(select!$A$1012=IF(Scharniere[[#This Row],[mit Dämpfung]]=1,1,IF(Scharniere[[#This Row],[ohne Dämpfung]]=1,2,IF(Scharniere[[#This Row],[ohne Feder]]=1,3,0))),1,0)</f>
        <v>0</v>
      </c>
      <c r="Y711" s="359">
        <f>IF(Scharniere[[#This Row],[Bohrbild]]=select!$A$989,1,0)</f>
        <v>0</v>
      </c>
      <c r="Z711" s="359">
        <f>IF(IF(Scharniere[[#This Row],[Anschrauben]]=1,1,IF(Scharniere[[#This Row],[Einpressen]]=1,2,IF(Scharniere[[#This Row],[Quick]]=1,3,IF(Scharniere[[#This Row],[Werkzeuglos]]=1,4,0))))=select!$A$1003,1,0)</f>
        <v>0</v>
      </c>
      <c r="AA7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1" s="359">
        <f ca="1">IF(select!$K$980="*",Scharniere[[#This Row],[AG Ges2]],Scharniere[[#This Row],[AG Ges1]])</f>
        <v>0</v>
      </c>
      <c r="AE711" s="451">
        <f ca="1">IF(AND(Scharniere[[#This Row],[Scharnierart]]=select!$A$1485,Scharniere[[#This Row],[Gruppenschlüssel]]=select!$B$1485)=TRUE,1,0)</f>
        <v>0</v>
      </c>
      <c r="AF711" s="451">
        <f ca="1">IF(AND(Scharniere[[#This Row],[Scharnierart]]=select!$A$1486,Scharniere[[#This Row],[Gruppenschlüssel]]=select!$B$1486)=TRUE,1,0)</f>
        <v>0</v>
      </c>
      <c r="AG711" s="451">
        <f ca="1">IF(AND(Scharniere[[#This Row],[Scharnierart]]=select!$A$1487,Scharniere[[#This Row],[Gruppenschlüssel]]=select!$B$1487)=TRUE,1,0)</f>
        <v>0</v>
      </c>
      <c r="AH711" s="451">
        <f ca="1">IF(AND(Scharniere[[#This Row],[Scharnierart]]=select!$A$1488,Scharniere[[#This Row],[Gruppenschlüssel]]=select!$B$1488)=TRUE,1,0)</f>
        <v>0</v>
      </c>
      <c r="AI711" s="451">
        <f ca="1">IF(SUM(Scharniere[[#This Row],[konf Scharnier 1]:[konf Scharnier 4]])&gt;0,1,0)</f>
        <v>0</v>
      </c>
      <c r="AJ711" s="451"/>
      <c r="AK711" s="451"/>
      <c r="AL711" s="451"/>
      <c r="AM711" s="451"/>
      <c r="AN711" s="451"/>
      <c r="AO711" s="146">
        <v>1</v>
      </c>
      <c r="AP711" s="146">
        <v>4</v>
      </c>
      <c r="AQ711" s="10" t="str">
        <f ca="1">Sprache!$A$112</f>
        <v>Tiomos Scharnier TS Click-on</v>
      </c>
      <c r="AR711" t="str">
        <f ca="1">"95°, M-BB, K00, "&amp;Sprache!A181&amp;", ni"</f>
        <v>95°, M-BB, K00, Dübel, ni</v>
      </c>
      <c r="AS711" t="str">
        <f ca="1">Sprache!$A$103</f>
        <v>Tiomos Click-On Scharniere</v>
      </c>
      <c r="AT711">
        <v>0</v>
      </c>
      <c r="AU711" s="34" t="s">
        <v>8</v>
      </c>
      <c r="AV711">
        <v>95</v>
      </c>
      <c r="AW711" s="10">
        <v>1</v>
      </c>
      <c r="AX711">
        <v>0</v>
      </c>
      <c r="AY711">
        <v>0</v>
      </c>
      <c r="AZ711" s="10">
        <v>0</v>
      </c>
      <c r="BA711">
        <v>1</v>
      </c>
      <c r="BB711">
        <v>0</v>
      </c>
      <c r="BC711">
        <v>0</v>
      </c>
      <c r="BD711" s="143" t="s">
        <v>260</v>
      </c>
      <c r="BG711"/>
    </row>
    <row r="712" spans="1:59" ht="14.25" customHeight="1" x14ac:dyDescent="0.25">
      <c r="A712" s="37" t="str">
        <f>LEFT(Scharniere[[#This Row],[ArtikelNR]],4)</f>
        <v>F046</v>
      </c>
      <c r="B712" s="35" t="str">
        <f>MID(Scharniere[[#This Row],[ArtikelNR]],5,3)</f>
        <v>138</v>
      </c>
      <c r="C712" s="37" t="str">
        <f>RIGHT(Scharniere[[#This Row],[ArtikelNR]],3)</f>
        <v>236</v>
      </c>
      <c r="D712" s="35">
        <f>IF(AND(Scharniere[[#This Row],[Gruppenschlüssel]]=select!$A$44,Scharniere[[#This Row],[Scharnierart]]=1)=TRUE,1,0)</f>
        <v>0</v>
      </c>
      <c r="E7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2" s="35">
        <f>IF(select!$F$57=IF(Scharniere[[#This Row],[mit Dämpfung]]=1,1,IF(Scharniere[[#This Row],[ohne Dämpfung]]=1,2,IF(Scharniere[[#This Row],[ohne Feder]]=1,3,0))),1,0)</f>
        <v>1</v>
      </c>
      <c r="G712" s="35">
        <f>IF(Scharniere[[#This Row],[Bohrbild]]=select!$V$43,1,0)</f>
        <v>1</v>
      </c>
      <c r="H712" s="35">
        <f>IF(IF(Scharniere[[#This Row],[Anschrauben]]=1,1,IF(Scharniere[[#This Row],[Einpressen]]=1,2,IF(Scharniere[[#This Row],[Quick]]=1,3,IF(Scharniere[[#This Row],[Werkzeuglos]]=1,4,0))))=select!$F$48,1,0)</f>
        <v>1</v>
      </c>
      <c r="I7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2" s="149">
        <f>IF(AND(Scharniere[[#This Row],[Scharnierart]]=2,Scharniere[[#This Row],[Gruppenschlüssel]]=select!$A$318)=TRUE,1,0)</f>
        <v>0</v>
      </c>
      <c r="K712" s="221">
        <f ca="1">IF(select!$O$424&lt;6,1,0)</f>
        <v>1</v>
      </c>
      <c r="L712" s="139">
        <f>IF(select!$A$362=IF(Scharniere[[#This Row],[mit Dämpfung]]=1,1,IF(Scharniere[[#This Row],[ohne Dämpfung]]=1,2,IF(Scharniere[[#This Row],[ohne Feder]]=1,3,0))),1,0)</f>
        <v>0</v>
      </c>
      <c r="M712" s="135">
        <f>IF(Scharniere[[#This Row],[Bohrbild]]=select!$O$334,1,0)</f>
        <v>1</v>
      </c>
      <c r="N712" s="135">
        <f>IF(IF(Scharniere[[#This Row],[Anschrauben]]=1,1,IF(Scharniere[[#This Row],[Einpressen]]=1,2,IF(Scharniere[[#This Row],[Quick]]=1,3,IF(Scharniere[[#This Row],[Werkzeuglos]]=1,4,0))))=select!$E$362,1,0)</f>
        <v>0</v>
      </c>
      <c r="O7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2" s="298">
        <f>IF(AND(Scharniere[[#This Row],[Scharnierart]]=3,Scharniere[[#This Row],[Gruppenschlüssel]]=select!$A$747)=TRUE,1,0)</f>
        <v>0</v>
      </c>
      <c r="Q712" s="298">
        <f ca="1">IF(select!$O$945&lt;6,1,0)</f>
        <v>1</v>
      </c>
      <c r="R712" s="298">
        <f>IF(select!$A$778=IF(Scharniere[[#This Row],[mit Dämpfung]]=1,1,IF(Scharniere[[#This Row],[ohne Dämpfung]]=1,2,IF(Scharniere[[#This Row],[ohne Feder]]=1,3,0))),1,0)</f>
        <v>0</v>
      </c>
      <c r="S712" s="298">
        <f>IF(Scharniere[[#This Row],[Bohrbild]]=select!$A$755,1,0)</f>
        <v>0</v>
      </c>
      <c r="T712" s="298">
        <f>IF(IF(Scharniere[[#This Row],[Anschrauben]]=1,1,IF(Scharniere[[#This Row],[Einpressen]]=1,2,IF(Scharniere[[#This Row],[Quick]]=1,3,IF(Scharniere[[#This Row],[Werkzeuglos]]=1,4,0))))=select!$A$769,1,0)</f>
        <v>0</v>
      </c>
      <c r="U7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2" s="359">
        <f>IF(AND(Scharniere[[#This Row],[Scharnierart]]=4,Scharniere[[#This Row],[Gruppenschlüssel]]=select!$A$981)=TRUE,1,0)</f>
        <v>0</v>
      </c>
      <c r="W712" s="359">
        <f ca="1">IF(select!$O$1185&lt;6,1,0)</f>
        <v>1</v>
      </c>
      <c r="X712" s="359">
        <f>IF(select!$A$1012=IF(Scharniere[[#This Row],[mit Dämpfung]]=1,1,IF(Scharniere[[#This Row],[ohne Dämpfung]]=1,2,IF(Scharniere[[#This Row],[ohne Feder]]=1,3,0))),1,0)</f>
        <v>0</v>
      </c>
      <c r="Y712" s="359">
        <f>IF(Scharniere[[#This Row],[Bohrbild]]=select!$A$989,1,0)</f>
        <v>0</v>
      </c>
      <c r="Z712" s="359">
        <f>IF(IF(Scharniere[[#This Row],[Anschrauben]]=1,1,IF(Scharniere[[#This Row],[Einpressen]]=1,2,IF(Scharniere[[#This Row],[Quick]]=1,3,IF(Scharniere[[#This Row],[Werkzeuglos]]=1,4,0))))=select!$A$1003,1,0)</f>
        <v>0</v>
      </c>
      <c r="AA7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2" s="359">
        <f ca="1">IF(select!$K$980="*",Scharniere[[#This Row],[AG Ges2]],Scharniere[[#This Row],[AG Ges1]])</f>
        <v>0</v>
      </c>
      <c r="AE712" s="451">
        <f ca="1">IF(AND(Scharniere[[#This Row],[Scharnierart]]=select!$A$1485,Scharniere[[#This Row],[Gruppenschlüssel]]=select!$B$1485)=TRUE,1,0)</f>
        <v>0</v>
      </c>
      <c r="AF712" s="451">
        <f ca="1">IF(AND(Scharniere[[#This Row],[Scharnierart]]=select!$A$1486,Scharniere[[#This Row],[Gruppenschlüssel]]=select!$B$1486)=TRUE,1,0)</f>
        <v>0</v>
      </c>
      <c r="AG712" s="451">
        <f ca="1">IF(AND(Scharniere[[#This Row],[Scharnierart]]=select!$A$1487,Scharniere[[#This Row],[Gruppenschlüssel]]=select!$B$1487)=TRUE,1,0)</f>
        <v>0</v>
      </c>
      <c r="AH712" s="451">
        <f ca="1">IF(AND(Scharniere[[#This Row],[Scharnierart]]=select!$A$1488,Scharniere[[#This Row],[Gruppenschlüssel]]=select!$B$1488)=TRUE,1,0)</f>
        <v>0</v>
      </c>
      <c r="AI712" s="451">
        <f ca="1">IF(SUM(Scharniere[[#This Row],[konf Scharnier 1]:[konf Scharnier 4]])&gt;0,1,0)</f>
        <v>0</v>
      </c>
      <c r="AJ712" s="451"/>
      <c r="AK712" s="451"/>
      <c r="AL712" s="451"/>
      <c r="AM712" s="451"/>
      <c r="AN712" s="451"/>
      <c r="AO712" s="146">
        <v>1</v>
      </c>
      <c r="AP712" s="146">
        <v>4</v>
      </c>
      <c r="AQ712" s="10" t="str">
        <f ca="1">Sprache!$A$114</f>
        <v>Tiomos Scharnier TT Click-on</v>
      </c>
      <c r="AR712" t="str">
        <f ca="1">"95°, M-BB, K00, "&amp;Sprache!A181&amp;", ni"</f>
        <v>95°, M-BB, K00, Dübel, ni</v>
      </c>
      <c r="AS712" t="str">
        <f ca="1">Sprache!$A$103</f>
        <v>Tiomos Click-On Scharniere</v>
      </c>
      <c r="AT712">
        <v>0</v>
      </c>
      <c r="AU712" t="s">
        <v>8</v>
      </c>
      <c r="AV712">
        <v>95</v>
      </c>
      <c r="AW712" s="10">
        <v>0</v>
      </c>
      <c r="AX712">
        <v>0</v>
      </c>
      <c r="AY712">
        <v>1</v>
      </c>
      <c r="AZ712" s="10">
        <v>0</v>
      </c>
      <c r="BA712">
        <v>1</v>
      </c>
      <c r="BB712">
        <v>0</v>
      </c>
      <c r="BC712">
        <v>0</v>
      </c>
      <c r="BD712" s="143" t="s">
        <v>605</v>
      </c>
      <c r="BG712"/>
    </row>
    <row r="713" spans="1:59" ht="14.25" customHeight="1" x14ac:dyDescent="0.25">
      <c r="A713" s="37" t="str">
        <f>LEFT(Scharniere[[#This Row],[ArtikelNR]],4)</f>
        <v>F045</v>
      </c>
      <c r="B713" s="35" t="str">
        <f>MID(Scharniere[[#This Row],[ArtikelNR]],5,3)</f>
        <v>138</v>
      </c>
      <c r="C713" s="37" t="str">
        <f>RIGHT(Scharniere[[#This Row],[ArtikelNR]],3)</f>
        <v>048</v>
      </c>
      <c r="D713" s="35">
        <f>IF(AND(Scharniere[[#This Row],[Gruppenschlüssel]]=select!$A$44,Scharniere[[#This Row],[Scharnierart]]=1)=TRUE,1,0)</f>
        <v>0</v>
      </c>
      <c r="E7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3" s="35">
        <f>IF(select!$F$57=IF(Scharniere[[#This Row],[mit Dämpfung]]=1,1,IF(Scharniere[[#This Row],[ohne Dämpfung]]=1,2,IF(Scharniere[[#This Row],[ohne Feder]]=1,3,0))),1,0)</f>
        <v>0</v>
      </c>
      <c r="G713" s="35">
        <f>IF(Scharniere[[#This Row],[Bohrbild]]=select!$V$43,1,0)</f>
        <v>1</v>
      </c>
      <c r="H713" s="35">
        <f>IF(IF(Scharniere[[#This Row],[Anschrauben]]=1,1,IF(Scharniere[[#This Row],[Einpressen]]=1,2,IF(Scharniere[[#This Row],[Quick]]=1,3,IF(Scharniere[[#This Row],[Werkzeuglos]]=1,4,0))))=select!$F$48,1,0)</f>
        <v>0</v>
      </c>
      <c r="I7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3" s="149">
        <f>IF(AND(Scharniere[[#This Row],[Scharnierart]]=2,Scharniere[[#This Row],[Gruppenschlüssel]]=select!$A$318)=TRUE,1,0)</f>
        <v>0</v>
      </c>
      <c r="K713" s="221">
        <f ca="1">IF(select!$O$424&lt;6,1,0)</f>
        <v>1</v>
      </c>
      <c r="L713" s="139">
        <f>IF(select!$A$362=IF(Scharniere[[#This Row],[mit Dämpfung]]=1,1,IF(Scharniere[[#This Row],[ohne Dämpfung]]=1,2,IF(Scharniere[[#This Row],[ohne Feder]]=1,3,0))),1,0)</f>
        <v>0</v>
      </c>
      <c r="M713" s="135">
        <f>IF(Scharniere[[#This Row],[Bohrbild]]=select!$O$334,1,0)</f>
        <v>1</v>
      </c>
      <c r="N713" s="135">
        <f>IF(IF(Scharniere[[#This Row],[Anschrauben]]=1,1,IF(Scharniere[[#This Row],[Einpressen]]=1,2,IF(Scharniere[[#This Row],[Quick]]=1,3,IF(Scharniere[[#This Row],[Werkzeuglos]]=1,4,0))))=select!$E$362,1,0)</f>
        <v>1</v>
      </c>
      <c r="O7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3" s="298">
        <f>IF(AND(Scharniere[[#This Row],[Scharnierart]]=3,Scharniere[[#This Row],[Gruppenschlüssel]]=select!$A$747)=TRUE,1,0)</f>
        <v>0</v>
      </c>
      <c r="Q713" s="298">
        <f ca="1">IF(select!$O$945&lt;6,1,0)</f>
        <v>1</v>
      </c>
      <c r="R713" s="298">
        <f>IF(select!$A$778=IF(Scharniere[[#This Row],[mit Dämpfung]]=1,1,IF(Scharniere[[#This Row],[ohne Dämpfung]]=1,2,IF(Scharniere[[#This Row],[ohne Feder]]=1,3,0))),1,0)</f>
        <v>1</v>
      </c>
      <c r="S713" s="298">
        <f>IF(Scharniere[[#This Row],[Bohrbild]]=select!$A$755,1,0)</f>
        <v>0</v>
      </c>
      <c r="T713" s="298">
        <f>IF(IF(Scharniere[[#This Row],[Anschrauben]]=1,1,IF(Scharniere[[#This Row],[Einpressen]]=1,2,IF(Scharniere[[#This Row],[Quick]]=1,3,IF(Scharniere[[#This Row],[Werkzeuglos]]=1,4,0))))=select!$A$769,1,0)</f>
        <v>1</v>
      </c>
      <c r="U7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3" s="359">
        <f>IF(AND(Scharniere[[#This Row],[Scharnierart]]=4,Scharniere[[#This Row],[Gruppenschlüssel]]=select!$A$981)=TRUE,1,0)</f>
        <v>0</v>
      </c>
      <c r="W713" s="359">
        <f ca="1">IF(select!$O$1185&lt;6,1,0)</f>
        <v>1</v>
      </c>
      <c r="X713" s="359">
        <f>IF(select!$A$1012=IF(Scharniere[[#This Row],[mit Dämpfung]]=1,1,IF(Scharniere[[#This Row],[ohne Dämpfung]]=1,2,IF(Scharniere[[#This Row],[ohne Feder]]=1,3,0))),1,0)</f>
        <v>1</v>
      </c>
      <c r="Y713" s="359">
        <f>IF(Scharniere[[#This Row],[Bohrbild]]=select!$A$989,1,0)</f>
        <v>0</v>
      </c>
      <c r="Z713" s="359">
        <f>IF(IF(Scharniere[[#This Row],[Anschrauben]]=1,1,IF(Scharniere[[#This Row],[Einpressen]]=1,2,IF(Scharniere[[#This Row],[Quick]]=1,3,IF(Scharniere[[#This Row],[Werkzeuglos]]=1,4,0))))=select!$A$1003,1,0)</f>
        <v>1</v>
      </c>
      <c r="AA7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3" s="359">
        <f ca="1">IF(select!$K$980="*",Scharniere[[#This Row],[AG Ges2]],Scharniere[[#This Row],[AG Ges1]])</f>
        <v>0</v>
      </c>
      <c r="AE713" s="451">
        <f ca="1">IF(AND(Scharniere[[#This Row],[Scharnierart]]=select!$A$1485,Scharniere[[#This Row],[Gruppenschlüssel]]=select!$B$1485)=TRUE,1,0)</f>
        <v>0</v>
      </c>
      <c r="AF713" s="451">
        <f ca="1">IF(AND(Scharniere[[#This Row],[Scharnierart]]=select!$A$1486,Scharniere[[#This Row],[Gruppenschlüssel]]=select!$B$1486)=TRUE,1,0)</f>
        <v>0</v>
      </c>
      <c r="AG713" s="451">
        <f ca="1">IF(AND(Scharniere[[#This Row],[Scharnierart]]=select!$A$1487,Scharniere[[#This Row],[Gruppenschlüssel]]=select!$B$1487)=TRUE,1,0)</f>
        <v>0</v>
      </c>
      <c r="AH713" s="451">
        <f ca="1">IF(AND(Scharniere[[#This Row],[Scharnierart]]=select!$A$1488,Scharniere[[#This Row],[Gruppenschlüssel]]=select!$B$1488)=TRUE,1,0)</f>
        <v>0</v>
      </c>
      <c r="AI713" s="451">
        <f ca="1">IF(SUM(Scharniere[[#This Row],[konf Scharnier 1]:[konf Scharnier 4]])&gt;0,1,0)</f>
        <v>0</v>
      </c>
      <c r="AJ713" s="451"/>
      <c r="AK713" s="451"/>
      <c r="AL713" s="451"/>
      <c r="AM713" s="451"/>
      <c r="AN713" s="451"/>
      <c r="AO713" s="146">
        <v>1</v>
      </c>
      <c r="AP713" s="146">
        <v>4</v>
      </c>
      <c r="AQ713" s="10" t="str">
        <f ca="1">Sprache!$A$110</f>
        <v>Tiomos Scharnier T Click-on</v>
      </c>
      <c r="AR713" t="s">
        <v>254</v>
      </c>
      <c r="AS713" t="str">
        <f ca="1">Sprache!$A$103</f>
        <v>Tiomos Click-On Scharniere</v>
      </c>
      <c r="AT713">
        <v>0</v>
      </c>
      <c r="AU713" s="34" t="s">
        <v>8</v>
      </c>
      <c r="AV713">
        <v>95</v>
      </c>
      <c r="AW713" s="10">
        <v>0</v>
      </c>
      <c r="AX713">
        <v>1</v>
      </c>
      <c r="AY713">
        <v>0</v>
      </c>
      <c r="AZ713" s="10">
        <v>1</v>
      </c>
      <c r="BA713">
        <v>0</v>
      </c>
      <c r="BB713">
        <v>0</v>
      </c>
      <c r="BC713">
        <v>0</v>
      </c>
      <c r="BD713" s="143" t="s">
        <v>449</v>
      </c>
      <c r="BG713"/>
    </row>
    <row r="714" spans="1:59" ht="14.25" customHeight="1" x14ac:dyDescent="0.25">
      <c r="A714" s="37" t="str">
        <f>LEFT(Scharniere[[#This Row],[ArtikelNR]],4)</f>
        <v>F028</v>
      </c>
      <c r="B714" s="35" t="str">
        <f>MID(Scharniere[[#This Row],[ArtikelNR]],5,3)</f>
        <v>138</v>
      </c>
      <c r="C714" s="37" t="str">
        <f>RIGHT(Scharniere[[#This Row],[ArtikelNR]],3)</f>
        <v>141</v>
      </c>
      <c r="D714" s="35">
        <f>IF(AND(Scharniere[[#This Row],[Gruppenschlüssel]]=select!$A$44,Scharniere[[#This Row],[Scharnierart]]=1)=TRUE,1,0)</f>
        <v>0</v>
      </c>
      <c r="E7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4" s="35">
        <f>IF(select!$F$57=IF(Scharniere[[#This Row],[mit Dämpfung]]=1,1,IF(Scharniere[[#This Row],[ohne Dämpfung]]=1,2,IF(Scharniere[[#This Row],[ohne Feder]]=1,3,0))),1,0)</f>
        <v>0</v>
      </c>
      <c r="G714" s="35">
        <f>IF(Scharniere[[#This Row],[Bohrbild]]=select!$V$43,1,0)</f>
        <v>1</v>
      </c>
      <c r="H714" s="35">
        <f>IF(IF(Scharniere[[#This Row],[Anschrauben]]=1,1,IF(Scharniere[[#This Row],[Einpressen]]=1,2,IF(Scharniere[[#This Row],[Quick]]=1,3,IF(Scharniere[[#This Row],[Werkzeuglos]]=1,4,0))))=select!$F$48,1,0)</f>
        <v>0</v>
      </c>
      <c r="I7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4" s="149">
        <f>IF(AND(Scharniere[[#This Row],[Scharnierart]]=2,Scharniere[[#This Row],[Gruppenschlüssel]]=select!$A$318)=TRUE,1,0)</f>
        <v>0</v>
      </c>
      <c r="K714" s="221">
        <f ca="1">IF(select!$O$424&lt;6,1,0)</f>
        <v>1</v>
      </c>
      <c r="L714" s="139">
        <f>IF(select!$A$362=IF(Scharniere[[#This Row],[mit Dämpfung]]=1,1,IF(Scharniere[[#This Row],[ohne Dämpfung]]=1,2,IF(Scharniere[[#This Row],[ohne Feder]]=1,3,0))),1,0)</f>
        <v>1</v>
      </c>
      <c r="M714" s="135">
        <f>IF(Scharniere[[#This Row],[Bohrbild]]=select!$O$334,1,0)</f>
        <v>1</v>
      </c>
      <c r="N714" s="135">
        <f>IF(IF(Scharniere[[#This Row],[Anschrauben]]=1,1,IF(Scharniere[[#This Row],[Einpressen]]=1,2,IF(Scharniere[[#This Row],[Quick]]=1,3,IF(Scharniere[[#This Row],[Werkzeuglos]]=1,4,0))))=select!$E$362,1,0)</f>
        <v>1</v>
      </c>
      <c r="O7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4" s="298">
        <f>IF(AND(Scharniere[[#This Row],[Scharnierart]]=3,Scharniere[[#This Row],[Gruppenschlüssel]]=select!$A$747)=TRUE,1,0)</f>
        <v>0</v>
      </c>
      <c r="Q714" s="298">
        <f ca="1">IF(select!$O$945&lt;6,1,0)</f>
        <v>1</v>
      </c>
      <c r="R714" s="298">
        <f>IF(select!$A$778=IF(Scharniere[[#This Row],[mit Dämpfung]]=1,1,IF(Scharniere[[#This Row],[ohne Dämpfung]]=1,2,IF(Scharniere[[#This Row],[ohne Feder]]=1,3,0))),1,0)</f>
        <v>0</v>
      </c>
      <c r="S714" s="298">
        <f>IF(Scharniere[[#This Row],[Bohrbild]]=select!$A$755,1,0)</f>
        <v>0</v>
      </c>
      <c r="T714" s="298">
        <f>IF(IF(Scharniere[[#This Row],[Anschrauben]]=1,1,IF(Scharniere[[#This Row],[Einpressen]]=1,2,IF(Scharniere[[#This Row],[Quick]]=1,3,IF(Scharniere[[#This Row],[Werkzeuglos]]=1,4,0))))=select!$A$769,1,0)</f>
        <v>1</v>
      </c>
      <c r="U7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4" s="359">
        <f>IF(AND(Scharniere[[#This Row],[Scharnierart]]=4,Scharniere[[#This Row],[Gruppenschlüssel]]=select!$A$981)=TRUE,1,0)</f>
        <v>0</v>
      </c>
      <c r="W714" s="359">
        <f ca="1">IF(select!$O$1185&lt;6,1,0)</f>
        <v>1</v>
      </c>
      <c r="X714" s="359">
        <f>IF(select!$A$1012=IF(Scharniere[[#This Row],[mit Dämpfung]]=1,1,IF(Scharniere[[#This Row],[ohne Dämpfung]]=1,2,IF(Scharniere[[#This Row],[ohne Feder]]=1,3,0))),1,0)</f>
        <v>0</v>
      </c>
      <c r="Y714" s="359">
        <f>IF(Scharniere[[#This Row],[Bohrbild]]=select!$A$989,1,0)</f>
        <v>0</v>
      </c>
      <c r="Z714" s="359">
        <f>IF(IF(Scharniere[[#This Row],[Anschrauben]]=1,1,IF(Scharniere[[#This Row],[Einpressen]]=1,2,IF(Scharniere[[#This Row],[Quick]]=1,3,IF(Scharniere[[#This Row],[Werkzeuglos]]=1,4,0))))=select!$A$1003,1,0)</f>
        <v>1</v>
      </c>
      <c r="AA7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4" s="359">
        <f ca="1">IF(select!$K$980="*",Scharniere[[#This Row],[AG Ges2]],Scharniere[[#This Row],[AG Ges1]])</f>
        <v>0</v>
      </c>
      <c r="AE714" s="451">
        <f ca="1">IF(AND(Scharniere[[#This Row],[Scharnierart]]=select!$A$1485,Scharniere[[#This Row],[Gruppenschlüssel]]=select!$B$1485)=TRUE,1,0)</f>
        <v>0</v>
      </c>
      <c r="AF714" s="451">
        <f ca="1">IF(AND(Scharniere[[#This Row],[Scharnierart]]=select!$A$1486,Scharniere[[#This Row],[Gruppenschlüssel]]=select!$B$1486)=TRUE,1,0)</f>
        <v>0</v>
      </c>
      <c r="AG714" s="451">
        <f ca="1">IF(AND(Scharniere[[#This Row],[Scharnierart]]=select!$A$1487,Scharniere[[#This Row],[Gruppenschlüssel]]=select!$B$1487)=TRUE,1,0)</f>
        <v>0</v>
      </c>
      <c r="AH714" s="451">
        <f ca="1">IF(AND(Scharniere[[#This Row],[Scharnierart]]=select!$A$1488,Scharniere[[#This Row],[Gruppenschlüssel]]=select!$B$1488)=TRUE,1,0)</f>
        <v>0</v>
      </c>
      <c r="AI714" s="451">
        <f ca="1">IF(SUM(Scharniere[[#This Row],[konf Scharnier 1]:[konf Scharnier 4]])&gt;0,1,0)</f>
        <v>0</v>
      </c>
      <c r="AJ714" s="451"/>
      <c r="AK714" s="451"/>
      <c r="AL714" s="451"/>
      <c r="AM714" s="451"/>
      <c r="AN714" s="451"/>
      <c r="AO714" s="146">
        <v>1</v>
      </c>
      <c r="AP714" s="146">
        <v>4</v>
      </c>
      <c r="AQ714" s="10" t="str">
        <f ca="1">Sprache!$A$112</f>
        <v>Tiomos Scharnier TS Click-on</v>
      </c>
      <c r="AR714" t="s">
        <v>254</v>
      </c>
      <c r="AS714" t="str">
        <f ca="1">Sprache!$A$103</f>
        <v>Tiomos Click-On Scharniere</v>
      </c>
      <c r="AT714">
        <v>0</v>
      </c>
      <c r="AU714" t="s">
        <v>8</v>
      </c>
      <c r="AV714">
        <v>95</v>
      </c>
      <c r="AW714" s="10">
        <v>1</v>
      </c>
      <c r="AX714">
        <v>0</v>
      </c>
      <c r="AY714">
        <v>0</v>
      </c>
      <c r="AZ714" s="10">
        <v>1</v>
      </c>
      <c r="BA714">
        <v>0</v>
      </c>
      <c r="BB714">
        <v>0</v>
      </c>
      <c r="BC714">
        <v>0</v>
      </c>
      <c r="BD714" s="143" t="s">
        <v>253</v>
      </c>
      <c r="BG714"/>
    </row>
    <row r="715" spans="1:59" ht="14.25" customHeight="1" x14ac:dyDescent="0.25">
      <c r="A715" s="37" t="str">
        <f>LEFT(Scharniere[[#This Row],[ArtikelNR]],4)</f>
        <v>F046</v>
      </c>
      <c r="B715" s="35" t="str">
        <f>MID(Scharniere[[#This Row],[ArtikelNR]],5,3)</f>
        <v>138</v>
      </c>
      <c r="C715" s="37" t="str">
        <f>RIGHT(Scharniere[[#This Row],[ArtikelNR]],3)</f>
        <v>232</v>
      </c>
      <c r="D715" s="35">
        <f>IF(AND(Scharniere[[#This Row],[Gruppenschlüssel]]=select!$A$44,Scharniere[[#This Row],[Scharnierart]]=1)=TRUE,1,0)</f>
        <v>0</v>
      </c>
      <c r="E7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5" s="35">
        <f>IF(select!$F$57=IF(Scharniere[[#This Row],[mit Dämpfung]]=1,1,IF(Scharniere[[#This Row],[ohne Dämpfung]]=1,2,IF(Scharniere[[#This Row],[ohne Feder]]=1,3,0))),1,0)</f>
        <v>1</v>
      </c>
      <c r="G715" s="35">
        <f>IF(Scharniere[[#This Row],[Bohrbild]]=select!$V$43,1,0)</f>
        <v>1</v>
      </c>
      <c r="H715" s="35">
        <f>IF(IF(Scharniere[[#This Row],[Anschrauben]]=1,1,IF(Scharniere[[#This Row],[Einpressen]]=1,2,IF(Scharniere[[#This Row],[Quick]]=1,3,IF(Scharniere[[#This Row],[Werkzeuglos]]=1,4,0))))=select!$F$48,1,0)</f>
        <v>0</v>
      </c>
      <c r="I7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5" s="149">
        <f>IF(AND(Scharniere[[#This Row],[Scharnierart]]=2,Scharniere[[#This Row],[Gruppenschlüssel]]=select!$A$318)=TRUE,1,0)</f>
        <v>0</v>
      </c>
      <c r="K715" s="221">
        <f ca="1">IF(select!$O$424&lt;6,1,0)</f>
        <v>1</v>
      </c>
      <c r="L715" s="139">
        <f>IF(select!$A$362=IF(Scharniere[[#This Row],[mit Dämpfung]]=1,1,IF(Scharniere[[#This Row],[ohne Dämpfung]]=1,2,IF(Scharniere[[#This Row],[ohne Feder]]=1,3,0))),1,0)</f>
        <v>0</v>
      </c>
      <c r="M715" s="135">
        <f>IF(Scharniere[[#This Row],[Bohrbild]]=select!$O$334,1,0)</f>
        <v>1</v>
      </c>
      <c r="N715" s="135">
        <f>IF(IF(Scharniere[[#This Row],[Anschrauben]]=1,1,IF(Scharniere[[#This Row],[Einpressen]]=1,2,IF(Scharniere[[#This Row],[Quick]]=1,3,IF(Scharniere[[#This Row],[Werkzeuglos]]=1,4,0))))=select!$E$362,1,0)</f>
        <v>1</v>
      </c>
      <c r="O7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5" s="298">
        <f>IF(AND(Scharniere[[#This Row],[Scharnierart]]=3,Scharniere[[#This Row],[Gruppenschlüssel]]=select!$A$747)=TRUE,1,0)</f>
        <v>0</v>
      </c>
      <c r="Q715" s="298">
        <f ca="1">IF(select!$O$945&lt;6,1,0)</f>
        <v>1</v>
      </c>
      <c r="R715" s="298">
        <f>IF(select!$A$778=IF(Scharniere[[#This Row],[mit Dämpfung]]=1,1,IF(Scharniere[[#This Row],[ohne Dämpfung]]=1,2,IF(Scharniere[[#This Row],[ohne Feder]]=1,3,0))),1,0)</f>
        <v>0</v>
      </c>
      <c r="S715" s="298">
        <f>IF(Scharniere[[#This Row],[Bohrbild]]=select!$A$755,1,0)</f>
        <v>0</v>
      </c>
      <c r="T715" s="298">
        <f>IF(IF(Scharniere[[#This Row],[Anschrauben]]=1,1,IF(Scharniere[[#This Row],[Einpressen]]=1,2,IF(Scharniere[[#This Row],[Quick]]=1,3,IF(Scharniere[[#This Row],[Werkzeuglos]]=1,4,0))))=select!$A$769,1,0)</f>
        <v>1</v>
      </c>
      <c r="U7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5" s="359">
        <f>IF(AND(Scharniere[[#This Row],[Scharnierart]]=4,Scharniere[[#This Row],[Gruppenschlüssel]]=select!$A$981)=TRUE,1,0)</f>
        <v>0</v>
      </c>
      <c r="W715" s="359">
        <f ca="1">IF(select!$O$1185&lt;6,1,0)</f>
        <v>1</v>
      </c>
      <c r="X715" s="359">
        <f>IF(select!$A$1012=IF(Scharniere[[#This Row],[mit Dämpfung]]=1,1,IF(Scharniere[[#This Row],[ohne Dämpfung]]=1,2,IF(Scharniere[[#This Row],[ohne Feder]]=1,3,0))),1,0)</f>
        <v>0</v>
      </c>
      <c r="Y715" s="359">
        <f>IF(Scharniere[[#This Row],[Bohrbild]]=select!$A$989,1,0)</f>
        <v>0</v>
      </c>
      <c r="Z715" s="359">
        <f>IF(IF(Scharniere[[#This Row],[Anschrauben]]=1,1,IF(Scharniere[[#This Row],[Einpressen]]=1,2,IF(Scharniere[[#This Row],[Quick]]=1,3,IF(Scharniere[[#This Row],[Werkzeuglos]]=1,4,0))))=select!$A$1003,1,0)</f>
        <v>1</v>
      </c>
      <c r="AA7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5" s="359">
        <f ca="1">IF(select!$K$980="*",Scharniere[[#This Row],[AG Ges2]],Scharniere[[#This Row],[AG Ges1]])</f>
        <v>0</v>
      </c>
      <c r="AE715" s="451">
        <f ca="1">IF(AND(Scharniere[[#This Row],[Scharnierart]]=select!$A$1485,Scharniere[[#This Row],[Gruppenschlüssel]]=select!$B$1485)=TRUE,1,0)</f>
        <v>0</v>
      </c>
      <c r="AF715" s="451">
        <f ca="1">IF(AND(Scharniere[[#This Row],[Scharnierart]]=select!$A$1486,Scharniere[[#This Row],[Gruppenschlüssel]]=select!$B$1486)=TRUE,1,0)</f>
        <v>0</v>
      </c>
      <c r="AG715" s="451">
        <f ca="1">IF(AND(Scharniere[[#This Row],[Scharnierart]]=select!$A$1487,Scharniere[[#This Row],[Gruppenschlüssel]]=select!$B$1487)=TRUE,1,0)</f>
        <v>0</v>
      </c>
      <c r="AH715" s="451">
        <f ca="1">IF(AND(Scharniere[[#This Row],[Scharnierart]]=select!$A$1488,Scharniere[[#This Row],[Gruppenschlüssel]]=select!$B$1488)=TRUE,1,0)</f>
        <v>0</v>
      </c>
      <c r="AI715" s="451">
        <f ca="1">IF(SUM(Scharniere[[#This Row],[konf Scharnier 1]:[konf Scharnier 4]])&gt;0,1,0)</f>
        <v>0</v>
      </c>
      <c r="AJ715" s="451"/>
      <c r="AK715" s="451"/>
      <c r="AL715" s="451"/>
      <c r="AM715" s="451"/>
      <c r="AN715" s="451"/>
      <c r="AO715" s="146">
        <v>1</v>
      </c>
      <c r="AP715" s="146">
        <v>4</v>
      </c>
      <c r="AQ715" s="10" t="str">
        <f ca="1">Sprache!$A$114</f>
        <v>Tiomos Scharnier TT Click-on</v>
      </c>
      <c r="AR715" t="s">
        <v>254</v>
      </c>
      <c r="AS715" t="str">
        <f ca="1">Sprache!$A$103</f>
        <v>Tiomos Click-On Scharniere</v>
      </c>
      <c r="AT715">
        <v>0</v>
      </c>
      <c r="AU715" t="s">
        <v>8</v>
      </c>
      <c r="AV715">
        <v>95</v>
      </c>
      <c r="AW715" s="10">
        <v>0</v>
      </c>
      <c r="AX715">
        <v>0</v>
      </c>
      <c r="AY715">
        <v>1</v>
      </c>
      <c r="AZ715" s="10">
        <v>1</v>
      </c>
      <c r="BA715">
        <v>0</v>
      </c>
      <c r="BB715">
        <v>0</v>
      </c>
      <c r="BC715">
        <v>0</v>
      </c>
      <c r="BD715" s="143" t="s">
        <v>601</v>
      </c>
      <c r="BG715"/>
    </row>
    <row r="716" spans="1:59" ht="14.25" customHeight="1" x14ac:dyDescent="0.25">
      <c r="A716" s="37" t="str">
        <f>LEFT(Scharniere[[#This Row],[ArtikelNR]],4)</f>
        <v>F034</v>
      </c>
      <c r="B716" s="35" t="str">
        <f>MID(Scharniere[[#This Row],[ArtikelNR]],5,3)</f>
        <v>139</v>
      </c>
      <c r="C716" s="37" t="str">
        <f>RIGHT(Scharniere[[#This Row],[ArtikelNR]],3)</f>
        <v>324</v>
      </c>
      <c r="D716" s="35">
        <f>IF(AND(Scharniere[[#This Row],[Gruppenschlüssel]]=select!$A$44,Scharniere[[#This Row],[Scharnierart]]=1)=TRUE,1,0)</f>
        <v>0</v>
      </c>
      <c r="E7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6" s="35">
        <f>IF(select!$F$57=IF(Scharniere[[#This Row],[mit Dämpfung]]=1,1,IF(Scharniere[[#This Row],[ohne Dämpfung]]=1,2,IF(Scharniere[[#This Row],[ohne Feder]]=1,3,0))),1,0)</f>
        <v>0</v>
      </c>
      <c r="G716" s="35">
        <f>IF(Scharniere[[#This Row],[Bohrbild]]=select!$V$43,1,0)</f>
        <v>1</v>
      </c>
      <c r="H716" s="35">
        <f>IF(IF(Scharniere[[#This Row],[Anschrauben]]=1,1,IF(Scharniere[[#This Row],[Einpressen]]=1,2,IF(Scharniere[[#This Row],[Quick]]=1,3,IF(Scharniere[[#This Row],[Werkzeuglos]]=1,4,0))))=select!$F$48,1,0)</f>
        <v>0</v>
      </c>
      <c r="I7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6" s="149">
        <f>IF(AND(Scharniere[[#This Row],[Scharnierart]]=2,Scharniere[[#This Row],[Gruppenschlüssel]]=select!$A$318)=TRUE,1,0)</f>
        <v>0</v>
      </c>
      <c r="K716" s="221">
        <f ca="1">IF(select!$O$424&lt;6,1,0)</f>
        <v>1</v>
      </c>
      <c r="L716" s="139">
        <f>IF(select!$A$362=IF(Scharniere[[#This Row],[mit Dämpfung]]=1,1,IF(Scharniere[[#This Row],[ohne Dämpfung]]=1,2,IF(Scharniere[[#This Row],[ohne Feder]]=1,3,0))),1,0)</f>
        <v>0</v>
      </c>
      <c r="M716" s="135">
        <f>IF(Scharniere[[#This Row],[Bohrbild]]=select!$O$334,1,0)</f>
        <v>1</v>
      </c>
      <c r="N716" s="135">
        <f>IF(IF(Scharniere[[#This Row],[Anschrauben]]=1,1,IF(Scharniere[[#This Row],[Einpressen]]=1,2,IF(Scharniere[[#This Row],[Quick]]=1,3,IF(Scharniere[[#This Row],[Werkzeuglos]]=1,4,0))))=select!$E$362,1,0)</f>
        <v>0</v>
      </c>
      <c r="O7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6" s="298">
        <f>IF(AND(Scharniere[[#This Row],[Scharnierart]]=3,Scharniere[[#This Row],[Gruppenschlüssel]]=select!$A$747)=TRUE,1,0)</f>
        <v>0</v>
      </c>
      <c r="Q716" s="298">
        <f ca="1">IF(select!$O$945&lt;6,1,0)</f>
        <v>1</v>
      </c>
      <c r="R716" s="298">
        <f>IF(select!$A$778=IF(Scharniere[[#This Row],[mit Dämpfung]]=1,1,IF(Scharniere[[#This Row],[ohne Dämpfung]]=1,2,IF(Scharniere[[#This Row],[ohne Feder]]=1,3,0))),1,0)</f>
        <v>1</v>
      </c>
      <c r="S716" s="298">
        <f>IF(Scharniere[[#This Row],[Bohrbild]]=select!$A$755,1,0)</f>
        <v>0</v>
      </c>
      <c r="T716" s="298">
        <f>IF(IF(Scharniere[[#This Row],[Anschrauben]]=1,1,IF(Scharniere[[#This Row],[Einpressen]]=1,2,IF(Scharniere[[#This Row],[Quick]]=1,3,IF(Scharniere[[#This Row],[Werkzeuglos]]=1,4,0))))=select!$A$769,1,0)</f>
        <v>0</v>
      </c>
      <c r="U7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6" s="359">
        <f>IF(AND(Scharniere[[#This Row],[Scharnierart]]=4,Scharniere[[#This Row],[Gruppenschlüssel]]=select!$A$981)=TRUE,1,0)</f>
        <v>0</v>
      </c>
      <c r="W716" s="359">
        <f ca="1">IF(select!$O$1185&lt;6,1,0)</f>
        <v>1</v>
      </c>
      <c r="X716" s="359">
        <f>IF(select!$A$1012=IF(Scharniere[[#This Row],[mit Dämpfung]]=1,1,IF(Scharniere[[#This Row],[ohne Dämpfung]]=1,2,IF(Scharniere[[#This Row],[ohne Feder]]=1,3,0))),1,0)</f>
        <v>1</v>
      </c>
      <c r="Y716" s="359">
        <f>IF(Scharniere[[#This Row],[Bohrbild]]=select!$A$989,1,0)</f>
        <v>0</v>
      </c>
      <c r="Z716" s="359">
        <f>IF(IF(Scharniere[[#This Row],[Anschrauben]]=1,1,IF(Scharniere[[#This Row],[Einpressen]]=1,2,IF(Scharniere[[#This Row],[Quick]]=1,3,IF(Scharniere[[#This Row],[Werkzeuglos]]=1,4,0))))=select!$A$1003,1,0)</f>
        <v>0</v>
      </c>
      <c r="AA7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6" s="359">
        <f ca="1">IF(select!$K$980="*",Scharniere[[#This Row],[AG Ges2]],Scharniere[[#This Row],[AG Ges1]])</f>
        <v>0</v>
      </c>
      <c r="AE716" s="451">
        <f ca="1">IF(AND(Scharniere[[#This Row],[Scharnierart]]=select!$A$1485,Scharniere[[#This Row],[Gruppenschlüssel]]=select!$B$1485)=TRUE,1,0)</f>
        <v>0</v>
      </c>
      <c r="AF716" s="451">
        <f ca="1">IF(AND(Scharniere[[#This Row],[Scharnierart]]=select!$A$1486,Scharniere[[#This Row],[Gruppenschlüssel]]=select!$B$1486)=TRUE,1,0)</f>
        <v>0</v>
      </c>
      <c r="AG716" s="451">
        <f ca="1">IF(AND(Scharniere[[#This Row],[Scharnierart]]=select!$A$1487,Scharniere[[#This Row],[Gruppenschlüssel]]=select!$B$1487)=TRUE,1,0)</f>
        <v>0</v>
      </c>
      <c r="AH716" s="451">
        <f ca="1">IF(AND(Scharniere[[#This Row],[Scharnierart]]=select!$A$1488,Scharniere[[#This Row],[Gruppenschlüssel]]=select!$B$1488)=TRUE,1,0)</f>
        <v>0</v>
      </c>
      <c r="AI716" s="451">
        <f ca="1">IF(SUM(Scharniere[[#This Row],[konf Scharnier 1]:[konf Scharnier 4]])&gt;0,1,0)</f>
        <v>0</v>
      </c>
      <c r="AJ716" s="451"/>
      <c r="AK716" s="451"/>
      <c r="AL716" s="451"/>
      <c r="AM716" s="451"/>
      <c r="AN716" s="451"/>
      <c r="AO716" s="146">
        <v>1</v>
      </c>
      <c r="AP716" s="146">
        <v>4</v>
      </c>
      <c r="AQ716" s="10" t="str">
        <f ca="1">Sprache!$A$111</f>
        <v>Tiomos Scharnier T Impresso</v>
      </c>
      <c r="AR716" t="s">
        <v>79</v>
      </c>
      <c r="AS716" t="str">
        <f ca="1">Sprache!$A$116</f>
        <v>Tiomos Impresso Scharniere</v>
      </c>
      <c r="AT716">
        <v>0</v>
      </c>
      <c r="AU716" t="s">
        <v>8</v>
      </c>
      <c r="AV716">
        <v>95</v>
      </c>
      <c r="AW716" s="10">
        <v>0</v>
      </c>
      <c r="AX716">
        <v>1</v>
      </c>
      <c r="AY716">
        <v>0</v>
      </c>
      <c r="AZ716" s="10">
        <v>0</v>
      </c>
      <c r="BA716">
        <v>0</v>
      </c>
      <c r="BB716">
        <v>0</v>
      </c>
      <c r="BC716">
        <v>1</v>
      </c>
      <c r="BD716" s="143" t="s">
        <v>147</v>
      </c>
      <c r="BG716"/>
    </row>
    <row r="717" spans="1:59" ht="14.25" customHeight="1" x14ac:dyDescent="0.25">
      <c r="A717" s="37" t="str">
        <f>LEFT(Scharniere[[#This Row],[ArtikelNR]],4)</f>
        <v>F034</v>
      </c>
      <c r="B717" s="35" t="str">
        <f>MID(Scharniere[[#This Row],[ArtikelNR]],5,3)</f>
        <v>139</v>
      </c>
      <c r="C717" s="37" t="str">
        <f>RIGHT(Scharniere[[#This Row],[ArtikelNR]],3)</f>
        <v>324</v>
      </c>
      <c r="D717" s="35">
        <f>IF(AND(Scharniere[[#This Row],[Gruppenschlüssel]]=select!$A$44,Scharniere[[#This Row],[Scharnierart]]=1)=TRUE,1,0)</f>
        <v>0</v>
      </c>
      <c r="E7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7" s="35">
        <f>IF(select!$F$57=IF(Scharniere[[#This Row],[mit Dämpfung]]=1,1,IF(Scharniere[[#This Row],[ohne Dämpfung]]=1,2,IF(Scharniere[[#This Row],[ohne Feder]]=1,3,0))),1,0)</f>
        <v>0</v>
      </c>
      <c r="G717" s="35">
        <f>IF(Scharniere[[#This Row],[Bohrbild]]=select!$V$43,1,0)</f>
        <v>0</v>
      </c>
      <c r="H717" s="35">
        <f>IF(IF(Scharniere[[#This Row],[Anschrauben]]=1,1,IF(Scharniere[[#This Row],[Einpressen]]=1,2,IF(Scharniere[[#This Row],[Quick]]=1,3,IF(Scharniere[[#This Row],[Werkzeuglos]]=1,4,0))))=select!$F$48,1,0)</f>
        <v>0</v>
      </c>
      <c r="I7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7" s="149">
        <f>IF(AND(Scharniere[[#This Row],[Scharnierart]]=2,Scharniere[[#This Row],[Gruppenschlüssel]]=select!$A$318)=TRUE,1,0)</f>
        <v>0</v>
      </c>
      <c r="K717" s="221">
        <f ca="1">IF(select!$O$424&lt;6,1,0)</f>
        <v>1</v>
      </c>
      <c r="L717" s="139">
        <f>IF(select!$A$362=IF(Scharniere[[#This Row],[mit Dämpfung]]=1,1,IF(Scharniere[[#This Row],[ohne Dämpfung]]=1,2,IF(Scharniere[[#This Row],[ohne Feder]]=1,3,0))),1,0)</f>
        <v>0</v>
      </c>
      <c r="M717" s="135">
        <f>IF(Scharniere[[#This Row],[Bohrbild]]=select!$O$334,1,0)</f>
        <v>0</v>
      </c>
      <c r="N717" s="135">
        <f>IF(IF(Scharniere[[#This Row],[Anschrauben]]=1,1,IF(Scharniere[[#This Row],[Einpressen]]=1,2,IF(Scharniere[[#This Row],[Quick]]=1,3,IF(Scharniere[[#This Row],[Werkzeuglos]]=1,4,0))))=select!$E$362,1,0)</f>
        <v>0</v>
      </c>
      <c r="O7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7" s="298">
        <f>IF(AND(Scharniere[[#This Row],[Scharnierart]]=3,Scharniere[[#This Row],[Gruppenschlüssel]]=select!$A$747)=TRUE,1,0)</f>
        <v>0</v>
      </c>
      <c r="Q717" s="298">
        <f ca="1">IF(select!$O$945&lt;6,1,0)</f>
        <v>1</v>
      </c>
      <c r="R717" s="298">
        <f>IF(select!$A$778=IF(Scharniere[[#This Row],[mit Dämpfung]]=1,1,IF(Scharniere[[#This Row],[ohne Dämpfung]]=1,2,IF(Scharniere[[#This Row],[ohne Feder]]=1,3,0))),1,0)</f>
        <v>1</v>
      </c>
      <c r="S717" s="298">
        <f>IF(Scharniere[[#This Row],[Bohrbild]]=select!$A$755,1,0)</f>
        <v>0</v>
      </c>
      <c r="T717" s="298">
        <f>IF(IF(Scharniere[[#This Row],[Anschrauben]]=1,1,IF(Scharniere[[#This Row],[Einpressen]]=1,2,IF(Scharniere[[#This Row],[Quick]]=1,3,IF(Scharniere[[#This Row],[Werkzeuglos]]=1,4,0))))=select!$A$769,1,0)</f>
        <v>0</v>
      </c>
      <c r="U7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7" s="359">
        <f>IF(AND(Scharniere[[#This Row],[Scharnierart]]=4,Scharniere[[#This Row],[Gruppenschlüssel]]=select!$A$981)=TRUE,1,0)</f>
        <v>0</v>
      </c>
      <c r="W717" s="359">
        <f ca="1">IF(select!$O$1185&lt;6,1,0)</f>
        <v>1</v>
      </c>
      <c r="X717" s="359">
        <f>IF(select!$A$1012=IF(Scharniere[[#This Row],[mit Dämpfung]]=1,1,IF(Scharniere[[#This Row],[ohne Dämpfung]]=1,2,IF(Scharniere[[#This Row],[ohne Feder]]=1,3,0))),1,0)</f>
        <v>1</v>
      </c>
      <c r="Y717" s="359">
        <f>IF(Scharniere[[#This Row],[Bohrbild]]=select!$A$989,1,0)</f>
        <v>0</v>
      </c>
      <c r="Z717" s="359">
        <f>IF(IF(Scharniere[[#This Row],[Anschrauben]]=1,1,IF(Scharniere[[#This Row],[Einpressen]]=1,2,IF(Scharniere[[#This Row],[Quick]]=1,3,IF(Scharniere[[#This Row],[Werkzeuglos]]=1,4,0))))=select!$A$1003,1,0)</f>
        <v>0</v>
      </c>
      <c r="AA7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7" s="359">
        <f ca="1">IF(select!$K$980="*",Scharniere[[#This Row],[AG Ges2]],Scharniere[[#This Row],[AG Ges1]])</f>
        <v>0</v>
      </c>
      <c r="AE717" s="451">
        <f ca="1">IF(AND(Scharniere[[#This Row],[Scharnierart]]=select!$A$1485,Scharniere[[#This Row],[Gruppenschlüssel]]=select!$B$1485)=TRUE,1,0)</f>
        <v>0</v>
      </c>
      <c r="AF717" s="451">
        <f ca="1">IF(AND(Scharniere[[#This Row],[Scharnierart]]=select!$A$1486,Scharniere[[#This Row],[Gruppenschlüssel]]=select!$B$1486)=TRUE,1,0)</f>
        <v>0</v>
      </c>
      <c r="AG717" s="451">
        <f ca="1">IF(AND(Scharniere[[#This Row],[Scharnierart]]=select!$A$1487,Scharniere[[#This Row],[Gruppenschlüssel]]=select!$B$1487)=TRUE,1,0)</f>
        <v>0</v>
      </c>
      <c r="AH717" s="451">
        <f ca="1">IF(AND(Scharniere[[#This Row],[Scharnierart]]=select!$A$1488,Scharniere[[#This Row],[Gruppenschlüssel]]=select!$B$1488)=TRUE,1,0)</f>
        <v>0</v>
      </c>
      <c r="AI717" s="451">
        <f ca="1">IF(SUM(Scharniere[[#This Row],[konf Scharnier 1]:[konf Scharnier 4]])&gt;0,1,0)</f>
        <v>0</v>
      </c>
      <c r="AJ717" s="451"/>
      <c r="AK717" s="451"/>
      <c r="AL717" s="451"/>
      <c r="AM717" s="451"/>
      <c r="AN717" s="451"/>
      <c r="AO717" s="146">
        <v>1</v>
      </c>
      <c r="AP717" s="146">
        <v>4</v>
      </c>
      <c r="AQ717" s="10" t="str">
        <f ca="1">Sprache!$A$111</f>
        <v>Tiomos Scharnier T Impresso</v>
      </c>
      <c r="AR717" t="s">
        <v>79</v>
      </c>
      <c r="AS717" t="str">
        <f ca="1">Sprache!$A$116</f>
        <v>Tiomos Impresso Scharniere</v>
      </c>
      <c r="AT717">
        <v>0</v>
      </c>
      <c r="AU717" t="s">
        <v>3</v>
      </c>
      <c r="AV717">
        <v>95</v>
      </c>
      <c r="AW717" s="10">
        <v>0</v>
      </c>
      <c r="AX717">
        <v>1</v>
      </c>
      <c r="AY717">
        <v>0</v>
      </c>
      <c r="AZ717" s="10">
        <v>0</v>
      </c>
      <c r="BA717">
        <v>0</v>
      </c>
      <c r="BB717">
        <v>0</v>
      </c>
      <c r="BC717">
        <v>1</v>
      </c>
      <c r="BD717" s="143" t="s">
        <v>147</v>
      </c>
      <c r="BG717"/>
    </row>
    <row r="718" spans="1:59" ht="14.25" customHeight="1" x14ac:dyDescent="0.25">
      <c r="A718" s="37" t="str">
        <f>LEFT(Scharniere[[#This Row],[ArtikelNR]],4)</f>
        <v>F017</v>
      </c>
      <c r="B718" s="35" t="str">
        <f>MID(Scharniere[[#This Row],[ArtikelNR]],5,3)</f>
        <v>139</v>
      </c>
      <c r="C718" s="37" t="str">
        <f>RIGHT(Scharniere[[#This Row],[ArtikelNR]],3)</f>
        <v>353</v>
      </c>
      <c r="D718" s="35">
        <f>IF(AND(Scharniere[[#This Row],[Gruppenschlüssel]]=select!$A$44,Scharniere[[#This Row],[Scharnierart]]=1)=TRUE,1,0)</f>
        <v>0</v>
      </c>
      <c r="E7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8" s="35">
        <f>IF(select!$F$57=IF(Scharniere[[#This Row],[mit Dämpfung]]=1,1,IF(Scharniere[[#This Row],[ohne Dämpfung]]=1,2,IF(Scharniere[[#This Row],[ohne Feder]]=1,3,0))),1,0)</f>
        <v>0</v>
      </c>
      <c r="G718" s="35">
        <f>IF(Scharniere[[#This Row],[Bohrbild]]=select!$V$43,1,0)</f>
        <v>1</v>
      </c>
      <c r="H718" s="35">
        <f>IF(IF(Scharniere[[#This Row],[Anschrauben]]=1,1,IF(Scharniere[[#This Row],[Einpressen]]=1,2,IF(Scharniere[[#This Row],[Quick]]=1,3,IF(Scharniere[[#This Row],[Werkzeuglos]]=1,4,0))))=select!$F$48,1,0)</f>
        <v>0</v>
      </c>
      <c r="I7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8" s="149">
        <f>IF(AND(Scharniere[[#This Row],[Scharnierart]]=2,Scharniere[[#This Row],[Gruppenschlüssel]]=select!$A$318)=TRUE,1,0)</f>
        <v>0</v>
      </c>
      <c r="K718" s="221">
        <f ca="1">IF(select!$O$424&lt;6,1,0)</f>
        <v>1</v>
      </c>
      <c r="L718" s="139">
        <f>IF(select!$A$362=IF(Scharniere[[#This Row],[mit Dämpfung]]=1,1,IF(Scharniere[[#This Row],[ohne Dämpfung]]=1,2,IF(Scharniere[[#This Row],[ohne Feder]]=1,3,0))),1,0)</f>
        <v>1</v>
      </c>
      <c r="M718" s="135">
        <f>IF(Scharniere[[#This Row],[Bohrbild]]=select!$O$334,1,0)</f>
        <v>1</v>
      </c>
      <c r="N718" s="135">
        <f>IF(IF(Scharniere[[#This Row],[Anschrauben]]=1,1,IF(Scharniere[[#This Row],[Einpressen]]=1,2,IF(Scharniere[[#This Row],[Quick]]=1,3,IF(Scharniere[[#This Row],[Werkzeuglos]]=1,4,0))))=select!$E$362,1,0)</f>
        <v>0</v>
      </c>
      <c r="O7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8" s="298">
        <f>IF(AND(Scharniere[[#This Row],[Scharnierart]]=3,Scharniere[[#This Row],[Gruppenschlüssel]]=select!$A$747)=TRUE,1,0)</f>
        <v>0</v>
      </c>
      <c r="Q718" s="298">
        <f ca="1">IF(select!$O$945&lt;6,1,0)</f>
        <v>1</v>
      </c>
      <c r="R718" s="298">
        <f>IF(select!$A$778=IF(Scharniere[[#This Row],[mit Dämpfung]]=1,1,IF(Scharniere[[#This Row],[ohne Dämpfung]]=1,2,IF(Scharniere[[#This Row],[ohne Feder]]=1,3,0))),1,0)</f>
        <v>0</v>
      </c>
      <c r="S718" s="298">
        <f>IF(Scharniere[[#This Row],[Bohrbild]]=select!$A$755,1,0)</f>
        <v>0</v>
      </c>
      <c r="T718" s="298">
        <f>IF(IF(Scharniere[[#This Row],[Anschrauben]]=1,1,IF(Scharniere[[#This Row],[Einpressen]]=1,2,IF(Scharniere[[#This Row],[Quick]]=1,3,IF(Scharniere[[#This Row],[Werkzeuglos]]=1,4,0))))=select!$A$769,1,0)</f>
        <v>0</v>
      </c>
      <c r="U7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8" s="359">
        <f>IF(AND(Scharniere[[#This Row],[Scharnierart]]=4,Scharniere[[#This Row],[Gruppenschlüssel]]=select!$A$981)=TRUE,1,0)</f>
        <v>0</v>
      </c>
      <c r="W718" s="359">
        <f ca="1">IF(select!$O$1185&lt;6,1,0)</f>
        <v>1</v>
      </c>
      <c r="X718" s="359">
        <f>IF(select!$A$1012=IF(Scharniere[[#This Row],[mit Dämpfung]]=1,1,IF(Scharniere[[#This Row],[ohne Dämpfung]]=1,2,IF(Scharniere[[#This Row],[ohne Feder]]=1,3,0))),1,0)</f>
        <v>0</v>
      </c>
      <c r="Y718" s="359">
        <f>IF(Scharniere[[#This Row],[Bohrbild]]=select!$A$989,1,0)</f>
        <v>0</v>
      </c>
      <c r="Z718" s="359">
        <f>IF(IF(Scharniere[[#This Row],[Anschrauben]]=1,1,IF(Scharniere[[#This Row],[Einpressen]]=1,2,IF(Scharniere[[#This Row],[Quick]]=1,3,IF(Scharniere[[#This Row],[Werkzeuglos]]=1,4,0))))=select!$A$1003,1,0)</f>
        <v>0</v>
      </c>
      <c r="AA7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8" s="359">
        <f ca="1">IF(select!$K$980="*",Scharniere[[#This Row],[AG Ges2]],Scharniere[[#This Row],[AG Ges1]])</f>
        <v>0</v>
      </c>
      <c r="AE718" s="451">
        <f ca="1">IF(AND(Scharniere[[#This Row],[Scharnierart]]=select!$A$1485,Scharniere[[#This Row],[Gruppenschlüssel]]=select!$B$1485)=TRUE,1,0)</f>
        <v>0</v>
      </c>
      <c r="AF718" s="451">
        <f ca="1">IF(AND(Scharniere[[#This Row],[Scharnierart]]=select!$A$1486,Scharniere[[#This Row],[Gruppenschlüssel]]=select!$B$1486)=TRUE,1,0)</f>
        <v>0</v>
      </c>
      <c r="AG718" s="451">
        <f ca="1">IF(AND(Scharniere[[#This Row],[Scharnierart]]=select!$A$1487,Scharniere[[#This Row],[Gruppenschlüssel]]=select!$B$1487)=TRUE,1,0)</f>
        <v>0</v>
      </c>
      <c r="AH718" s="451">
        <f ca="1">IF(AND(Scharniere[[#This Row],[Scharnierart]]=select!$A$1488,Scharniere[[#This Row],[Gruppenschlüssel]]=select!$B$1488)=TRUE,1,0)</f>
        <v>0</v>
      </c>
      <c r="AI718" s="451">
        <f ca="1">IF(SUM(Scharniere[[#This Row],[konf Scharnier 1]:[konf Scharnier 4]])&gt;0,1,0)</f>
        <v>0</v>
      </c>
      <c r="AJ718" s="451"/>
      <c r="AK718" s="451"/>
      <c r="AL718" s="451"/>
      <c r="AM718" s="451"/>
      <c r="AN718" s="451"/>
      <c r="AO718" s="146">
        <v>1</v>
      </c>
      <c r="AP718" s="146">
        <v>4</v>
      </c>
      <c r="AQ718" s="10" t="str">
        <f ca="1">Sprache!$A$113</f>
        <v>Tiomos Scharnier TS Impresso</v>
      </c>
      <c r="AR718" t="s">
        <v>79</v>
      </c>
      <c r="AS718" t="str">
        <f ca="1">Sprache!$A$116</f>
        <v>Tiomos Impresso Scharniere</v>
      </c>
      <c r="AT718">
        <v>0</v>
      </c>
      <c r="AU718" s="34" t="s">
        <v>8</v>
      </c>
      <c r="AV718">
        <v>95</v>
      </c>
      <c r="AW718" s="10">
        <v>1</v>
      </c>
      <c r="AX718">
        <v>0</v>
      </c>
      <c r="AY718">
        <v>0</v>
      </c>
      <c r="AZ718" s="10">
        <v>0</v>
      </c>
      <c r="BA718">
        <v>0</v>
      </c>
      <c r="BB718">
        <v>0</v>
      </c>
      <c r="BC718">
        <v>1</v>
      </c>
      <c r="BD718" s="143" t="s">
        <v>78</v>
      </c>
      <c r="BG718"/>
    </row>
    <row r="719" spans="1:59" ht="14.25" customHeight="1" x14ac:dyDescent="0.25">
      <c r="A719" s="37" t="str">
        <f>LEFT(Scharniere[[#This Row],[ArtikelNR]],4)</f>
        <v>F017</v>
      </c>
      <c r="B719" s="35" t="str">
        <f>MID(Scharniere[[#This Row],[ArtikelNR]],5,3)</f>
        <v>139</v>
      </c>
      <c r="C719" s="37" t="str">
        <f>RIGHT(Scharniere[[#This Row],[ArtikelNR]],3)</f>
        <v>353</v>
      </c>
      <c r="D719" s="35">
        <f>IF(AND(Scharniere[[#This Row],[Gruppenschlüssel]]=select!$A$44,Scharniere[[#This Row],[Scharnierart]]=1)=TRUE,1,0)</f>
        <v>0</v>
      </c>
      <c r="E7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19" s="35">
        <f>IF(select!$F$57=IF(Scharniere[[#This Row],[mit Dämpfung]]=1,1,IF(Scharniere[[#This Row],[ohne Dämpfung]]=1,2,IF(Scharniere[[#This Row],[ohne Feder]]=1,3,0))),1,0)</f>
        <v>0</v>
      </c>
      <c r="G719" s="35">
        <f>IF(Scharniere[[#This Row],[Bohrbild]]=select!$V$43,1,0)</f>
        <v>0</v>
      </c>
      <c r="H719" s="35">
        <f>IF(IF(Scharniere[[#This Row],[Anschrauben]]=1,1,IF(Scharniere[[#This Row],[Einpressen]]=1,2,IF(Scharniere[[#This Row],[Quick]]=1,3,IF(Scharniere[[#This Row],[Werkzeuglos]]=1,4,0))))=select!$F$48,1,0)</f>
        <v>0</v>
      </c>
      <c r="I7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19" s="149">
        <f>IF(AND(Scharniere[[#This Row],[Scharnierart]]=2,Scharniere[[#This Row],[Gruppenschlüssel]]=select!$A$318)=TRUE,1,0)</f>
        <v>0</v>
      </c>
      <c r="K719" s="221">
        <f ca="1">IF(select!$O$424&lt;6,1,0)</f>
        <v>1</v>
      </c>
      <c r="L719" s="139">
        <f>IF(select!$A$362=IF(Scharniere[[#This Row],[mit Dämpfung]]=1,1,IF(Scharniere[[#This Row],[ohne Dämpfung]]=1,2,IF(Scharniere[[#This Row],[ohne Feder]]=1,3,0))),1,0)</f>
        <v>1</v>
      </c>
      <c r="M719" s="135">
        <f>IF(Scharniere[[#This Row],[Bohrbild]]=select!$O$334,1,0)</f>
        <v>0</v>
      </c>
      <c r="N719" s="135">
        <f>IF(IF(Scharniere[[#This Row],[Anschrauben]]=1,1,IF(Scharniere[[#This Row],[Einpressen]]=1,2,IF(Scharniere[[#This Row],[Quick]]=1,3,IF(Scharniere[[#This Row],[Werkzeuglos]]=1,4,0))))=select!$E$362,1,0)</f>
        <v>0</v>
      </c>
      <c r="O7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19" s="298">
        <f>IF(AND(Scharniere[[#This Row],[Scharnierart]]=3,Scharniere[[#This Row],[Gruppenschlüssel]]=select!$A$747)=TRUE,1,0)</f>
        <v>0</v>
      </c>
      <c r="Q719" s="298">
        <f ca="1">IF(select!$O$945&lt;6,1,0)</f>
        <v>1</v>
      </c>
      <c r="R719" s="298">
        <f>IF(select!$A$778=IF(Scharniere[[#This Row],[mit Dämpfung]]=1,1,IF(Scharniere[[#This Row],[ohne Dämpfung]]=1,2,IF(Scharniere[[#This Row],[ohne Feder]]=1,3,0))),1,0)</f>
        <v>0</v>
      </c>
      <c r="S719" s="298">
        <f>IF(Scharniere[[#This Row],[Bohrbild]]=select!$A$755,1,0)</f>
        <v>0</v>
      </c>
      <c r="T719" s="298">
        <f>IF(IF(Scharniere[[#This Row],[Anschrauben]]=1,1,IF(Scharniere[[#This Row],[Einpressen]]=1,2,IF(Scharniere[[#This Row],[Quick]]=1,3,IF(Scharniere[[#This Row],[Werkzeuglos]]=1,4,0))))=select!$A$769,1,0)</f>
        <v>0</v>
      </c>
      <c r="U7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19" s="359">
        <f>IF(AND(Scharniere[[#This Row],[Scharnierart]]=4,Scharniere[[#This Row],[Gruppenschlüssel]]=select!$A$981)=TRUE,1,0)</f>
        <v>0</v>
      </c>
      <c r="W719" s="359">
        <f ca="1">IF(select!$O$1185&lt;6,1,0)</f>
        <v>1</v>
      </c>
      <c r="X719" s="359">
        <f>IF(select!$A$1012=IF(Scharniere[[#This Row],[mit Dämpfung]]=1,1,IF(Scharniere[[#This Row],[ohne Dämpfung]]=1,2,IF(Scharniere[[#This Row],[ohne Feder]]=1,3,0))),1,0)</f>
        <v>0</v>
      </c>
      <c r="Y719" s="359">
        <f>IF(Scharniere[[#This Row],[Bohrbild]]=select!$A$989,1,0)</f>
        <v>0</v>
      </c>
      <c r="Z719" s="359">
        <f>IF(IF(Scharniere[[#This Row],[Anschrauben]]=1,1,IF(Scharniere[[#This Row],[Einpressen]]=1,2,IF(Scharniere[[#This Row],[Quick]]=1,3,IF(Scharniere[[#This Row],[Werkzeuglos]]=1,4,0))))=select!$A$1003,1,0)</f>
        <v>0</v>
      </c>
      <c r="AA7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19" s="359">
        <f ca="1">IF(select!$K$980="*",Scharniere[[#This Row],[AG Ges2]],Scharniere[[#This Row],[AG Ges1]])</f>
        <v>0</v>
      </c>
      <c r="AE719" s="451">
        <f ca="1">IF(AND(Scharniere[[#This Row],[Scharnierart]]=select!$A$1485,Scharniere[[#This Row],[Gruppenschlüssel]]=select!$B$1485)=TRUE,1,0)</f>
        <v>0</v>
      </c>
      <c r="AF719" s="451">
        <f ca="1">IF(AND(Scharniere[[#This Row],[Scharnierart]]=select!$A$1486,Scharniere[[#This Row],[Gruppenschlüssel]]=select!$B$1486)=TRUE,1,0)</f>
        <v>0</v>
      </c>
      <c r="AG719" s="451">
        <f ca="1">IF(AND(Scharniere[[#This Row],[Scharnierart]]=select!$A$1487,Scharniere[[#This Row],[Gruppenschlüssel]]=select!$B$1487)=TRUE,1,0)</f>
        <v>0</v>
      </c>
      <c r="AH719" s="451">
        <f ca="1">IF(AND(Scharniere[[#This Row],[Scharnierart]]=select!$A$1488,Scharniere[[#This Row],[Gruppenschlüssel]]=select!$B$1488)=TRUE,1,0)</f>
        <v>0</v>
      </c>
      <c r="AI719" s="451">
        <f ca="1">IF(SUM(Scharniere[[#This Row],[konf Scharnier 1]:[konf Scharnier 4]])&gt;0,1,0)</f>
        <v>0</v>
      </c>
      <c r="AJ719" s="451"/>
      <c r="AK719" s="451"/>
      <c r="AL719" s="451"/>
      <c r="AM719" s="451"/>
      <c r="AN719" s="451"/>
      <c r="AO719" s="146">
        <v>1</v>
      </c>
      <c r="AP719" s="146">
        <v>4</v>
      </c>
      <c r="AQ719" s="10" t="str">
        <f ca="1">Sprache!$A$113</f>
        <v>Tiomos Scharnier TS Impresso</v>
      </c>
      <c r="AR719" t="s">
        <v>79</v>
      </c>
      <c r="AS719" t="str">
        <f ca="1">Sprache!$A$116</f>
        <v>Tiomos Impresso Scharniere</v>
      </c>
      <c r="AT719">
        <v>0</v>
      </c>
      <c r="AU719" s="34" t="s">
        <v>3</v>
      </c>
      <c r="AV719">
        <v>95</v>
      </c>
      <c r="AW719" s="10">
        <v>1</v>
      </c>
      <c r="AX719">
        <v>0</v>
      </c>
      <c r="AY719">
        <v>0</v>
      </c>
      <c r="AZ719" s="10">
        <v>0</v>
      </c>
      <c r="BA719">
        <v>0</v>
      </c>
      <c r="BB719">
        <v>0</v>
      </c>
      <c r="BC719">
        <v>1</v>
      </c>
      <c r="BD719" s="143" t="s">
        <v>78</v>
      </c>
      <c r="BG719"/>
    </row>
    <row r="720" spans="1:59" ht="14.25" customHeight="1" x14ac:dyDescent="0.25">
      <c r="A720" s="37" t="str">
        <f>LEFT(Scharniere[[#This Row],[ArtikelNR]],4)</f>
        <v>F035</v>
      </c>
      <c r="B720" s="35" t="str">
        <f>MID(Scharniere[[#This Row],[ArtikelNR]],5,3)</f>
        <v>139</v>
      </c>
      <c r="C720" s="37" t="str">
        <f>RIGHT(Scharniere[[#This Row],[ArtikelNR]],3)</f>
        <v>381</v>
      </c>
      <c r="D720" s="35">
        <f>IF(AND(Scharniere[[#This Row],[Gruppenschlüssel]]=select!$A$44,Scharniere[[#This Row],[Scharnierart]]=1)=TRUE,1,0)</f>
        <v>0</v>
      </c>
      <c r="E7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0" s="35">
        <f>IF(select!$F$57=IF(Scharniere[[#This Row],[mit Dämpfung]]=1,1,IF(Scharniere[[#This Row],[ohne Dämpfung]]=1,2,IF(Scharniere[[#This Row],[ohne Feder]]=1,3,0))),1,0)</f>
        <v>1</v>
      </c>
      <c r="G720" s="35">
        <f>IF(Scharniere[[#This Row],[Bohrbild]]=select!$V$43,1,0)</f>
        <v>1</v>
      </c>
      <c r="H720" s="35">
        <f>IF(IF(Scharniere[[#This Row],[Anschrauben]]=1,1,IF(Scharniere[[#This Row],[Einpressen]]=1,2,IF(Scharniere[[#This Row],[Quick]]=1,3,IF(Scharniere[[#This Row],[Werkzeuglos]]=1,4,0))))=select!$F$48,1,0)</f>
        <v>0</v>
      </c>
      <c r="I7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0" s="149">
        <f>IF(AND(Scharniere[[#This Row],[Scharnierart]]=2,Scharniere[[#This Row],[Gruppenschlüssel]]=select!$A$318)=TRUE,1,0)</f>
        <v>0</v>
      </c>
      <c r="K720" s="221">
        <f ca="1">IF(select!$O$424&lt;6,1,0)</f>
        <v>1</v>
      </c>
      <c r="L720" s="221">
        <f>IF(select!$A$362=IF(Scharniere[[#This Row],[mit Dämpfung]]=1,1,IF(Scharniere[[#This Row],[ohne Dämpfung]]=1,2,IF(Scharniere[[#This Row],[ohne Feder]]=1,3,0))),1,0)</f>
        <v>0</v>
      </c>
      <c r="M720" s="135">
        <f>IF(Scharniere[[#This Row],[Bohrbild]]=select!$O$334,1,0)</f>
        <v>1</v>
      </c>
      <c r="N720" s="135">
        <f>IF(IF(Scharniere[[#This Row],[Anschrauben]]=1,1,IF(Scharniere[[#This Row],[Einpressen]]=1,2,IF(Scharniere[[#This Row],[Quick]]=1,3,IF(Scharniere[[#This Row],[Werkzeuglos]]=1,4,0))))=select!$E$362,1,0)</f>
        <v>0</v>
      </c>
      <c r="O7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0" s="298">
        <f>IF(AND(Scharniere[[#This Row],[Scharnierart]]=3,Scharniere[[#This Row],[Gruppenschlüssel]]=select!$A$747)=TRUE,1,0)</f>
        <v>0</v>
      </c>
      <c r="Q720" s="298">
        <f ca="1">IF(select!$O$945&lt;6,1,0)</f>
        <v>1</v>
      </c>
      <c r="R720" s="298">
        <f>IF(select!$A$778=IF(Scharniere[[#This Row],[mit Dämpfung]]=1,1,IF(Scharniere[[#This Row],[ohne Dämpfung]]=1,2,IF(Scharniere[[#This Row],[ohne Feder]]=1,3,0))),1,0)</f>
        <v>0</v>
      </c>
      <c r="S720" s="298">
        <f>IF(Scharniere[[#This Row],[Bohrbild]]=select!$A$755,1,0)</f>
        <v>0</v>
      </c>
      <c r="T720" s="298">
        <f>IF(IF(Scharniere[[#This Row],[Anschrauben]]=1,1,IF(Scharniere[[#This Row],[Einpressen]]=1,2,IF(Scharniere[[#This Row],[Quick]]=1,3,IF(Scharniere[[#This Row],[Werkzeuglos]]=1,4,0))))=select!$A$769,1,0)</f>
        <v>0</v>
      </c>
      <c r="U7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0" s="359">
        <f>IF(AND(Scharniere[[#This Row],[Scharnierart]]=4,Scharniere[[#This Row],[Gruppenschlüssel]]=select!$A$981)=TRUE,1,0)</f>
        <v>0</v>
      </c>
      <c r="W720" s="359">
        <f ca="1">IF(select!$O$1185&lt;6,1,0)</f>
        <v>1</v>
      </c>
      <c r="X720" s="359">
        <f>IF(select!$A$1012=IF(Scharniere[[#This Row],[mit Dämpfung]]=1,1,IF(Scharniere[[#This Row],[ohne Dämpfung]]=1,2,IF(Scharniere[[#This Row],[ohne Feder]]=1,3,0))),1,0)</f>
        <v>0</v>
      </c>
      <c r="Y720" s="359">
        <f>IF(Scharniere[[#This Row],[Bohrbild]]=select!$A$989,1,0)</f>
        <v>0</v>
      </c>
      <c r="Z720" s="359">
        <f>IF(IF(Scharniere[[#This Row],[Anschrauben]]=1,1,IF(Scharniere[[#This Row],[Einpressen]]=1,2,IF(Scharniere[[#This Row],[Quick]]=1,3,IF(Scharniere[[#This Row],[Werkzeuglos]]=1,4,0))))=select!$A$1003,1,0)</f>
        <v>0</v>
      </c>
      <c r="AA7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0" s="359">
        <f ca="1">IF(select!$K$980="*",Scharniere[[#This Row],[AG Ges2]],Scharniere[[#This Row],[AG Ges1]])</f>
        <v>0</v>
      </c>
      <c r="AE720" s="451">
        <f ca="1">IF(AND(Scharniere[[#This Row],[Scharnierart]]=select!$A$1485,Scharniere[[#This Row],[Gruppenschlüssel]]=select!$B$1485)=TRUE,1,0)</f>
        <v>0</v>
      </c>
      <c r="AF720" s="451">
        <f ca="1">IF(AND(Scharniere[[#This Row],[Scharnierart]]=select!$A$1486,Scharniere[[#This Row],[Gruppenschlüssel]]=select!$B$1486)=TRUE,1,0)</f>
        <v>0</v>
      </c>
      <c r="AG720" s="451">
        <f ca="1">IF(AND(Scharniere[[#This Row],[Scharnierart]]=select!$A$1487,Scharniere[[#This Row],[Gruppenschlüssel]]=select!$B$1487)=TRUE,1,0)</f>
        <v>0</v>
      </c>
      <c r="AH720" s="451">
        <f ca="1">IF(AND(Scharniere[[#This Row],[Scharnierart]]=select!$A$1488,Scharniere[[#This Row],[Gruppenschlüssel]]=select!$B$1488)=TRUE,1,0)</f>
        <v>0</v>
      </c>
      <c r="AI720" s="451">
        <f ca="1">IF(SUM(Scharniere[[#This Row],[konf Scharnier 1]:[konf Scharnier 4]])&gt;0,1,0)</f>
        <v>0</v>
      </c>
      <c r="AJ720" s="451"/>
      <c r="AK720" s="451"/>
      <c r="AL720" s="451"/>
      <c r="AM720" s="451"/>
      <c r="AN720" s="451"/>
      <c r="AO720" s="146">
        <v>1</v>
      </c>
      <c r="AP720" s="146">
        <v>4</v>
      </c>
      <c r="AQ720" s="10" t="str">
        <f ca="1">Sprache!$A$115</f>
        <v>Tiomos Scharnier TT Impresso</v>
      </c>
      <c r="AR720" t="s">
        <v>79</v>
      </c>
      <c r="AS720" t="str">
        <f ca="1">Sprache!$A$116</f>
        <v>Tiomos Impresso Scharniere</v>
      </c>
      <c r="AT720">
        <v>0</v>
      </c>
      <c r="AU720" t="s">
        <v>8</v>
      </c>
      <c r="AV720">
        <v>95</v>
      </c>
      <c r="AW720" s="71">
        <v>0</v>
      </c>
      <c r="AX720">
        <v>0</v>
      </c>
      <c r="AY720">
        <v>1</v>
      </c>
      <c r="AZ720" s="71">
        <v>0</v>
      </c>
      <c r="BA720">
        <v>0</v>
      </c>
      <c r="BB720">
        <v>0</v>
      </c>
      <c r="BC720">
        <v>1</v>
      </c>
      <c r="BD720" s="144" t="s">
        <v>191</v>
      </c>
      <c r="BG720"/>
    </row>
    <row r="721" spans="1:59" ht="14.25" customHeight="1" x14ac:dyDescent="0.25">
      <c r="A721" s="37" t="str">
        <f>LEFT(Scharniere[[#This Row],[ArtikelNR]],4)</f>
        <v>F035</v>
      </c>
      <c r="B721" s="35" t="str">
        <f>MID(Scharniere[[#This Row],[ArtikelNR]],5,3)</f>
        <v>139</v>
      </c>
      <c r="C721" s="37" t="str">
        <f>RIGHT(Scharniere[[#This Row],[ArtikelNR]],3)</f>
        <v>381</v>
      </c>
      <c r="D721" s="35">
        <f>IF(AND(Scharniere[[#This Row],[Gruppenschlüssel]]=select!$A$44,Scharniere[[#This Row],[Scharnierart]]=1)=TRUE,1,0)</f>
        <v>0</v>
      </c>
      <c r="E7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1" s="35">
        <f>IF(select!$F$57=IF(Scharniere[[#This Row],[mit Dämpfung]]=1,1,IF(Scharniere[[#This Row],[ohne Dämpfung]]=1,2,IF(Scharniere[[#This Row],[ohne Feder]]=1,3,0))),1,0)</f>
        <v>1</v>
      </c>
      <c r="G721" s="35">
        <f>IF(Scharniere[[#This Row],[Bohrbild]]=select!$V$43,1,0)</f>
        <v>0</v>
      </c>
      <c r="H721" s="35">
        <f>IF(IF(Scharniere[[#This Row],[Anschrauben]]=1,1,IF(Scharniere[[#This Row],[Einpressen]]=1,2,IF(Scharniere[[#This Row],[Quick]]=1,3,IF(Scharniere[[#This Row],[Werkzeuglos]]=1,4,0))))=select!$F$48,1,0)</f>
        <v>0</v>
      </c>
      <c r="I7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1" s="149">
        <f>IF(AND(Scharniere[[#This Row],[Scharnierart]]=2,Scharniere[[#This Row],[Gruppenschlüssel]]=select!$A$318)=TRUE,1,0)</f>
        <v>0</v>
      </c>
      <c r="K721" s="221">
        <f ca="1">IF(select!$O$424&lt;6,1,0)</f>
        <v>1</v>
      </c>
      <c r="L721" s="221">
        <f>IF(select!$A$362=IF(Scharniere[[#This Row],[mit Dämpfung]]=1,1,IF(Scharniere[[#This Row],[ohne Dämpfung]]=1,2,IF(Scharniere[[#This Row],[ohne Feder]]=1,3,0))),1,0)</f>
        <v>0</v>
      </c>
      <c r="M721" s="135">
        <f>IF(Scharniere[[#This Row],[Bohrbild]]=select!$O$334,1,0)</f>
        <v>0</v>
      </c>
      <c r="N721" s="135">
        <f>IF(IF(Scharniere[[#This Row],[Anschrauben]]=1,1,IF(Scharniere[[#This Row],[Einpressen]]=1,2,IF(Scharniere[[#This Row],[Quick]]=1,3,IF(Scharniere[[#This Row],[Werkzeuglos]]=1,4,0))))=select!$E$362,1,0)</f>
        <v>0</v>
      </c>
      <c r="O7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1" s="298">
        <f>IF(AND(Scharniere[[#This Row],[Scharnierart]]=3,Scharniere[[#This Row],[Gruppenschlüssel]]=select!$A$747)=TRUE,1,0)</f>
        <v>0</v>
      </c>
      <c r="Q721" s="298">
        <f ca="1">IF(select!$O$945&lt;6,1,0)</f>
        <v>1</v>
      </c>
      <c r="R721" s="298">
        <f>IF(select!$A$778=IF(Scharniere[[#This Row],[mit Dämpfung]]=1,1,IF(Scharniere[[#This Row],[ohne Dämpfung]]=1,2,IF(Scharniere[[#This Row],[ohne Feder]]=1,3,0))),1,0)</f>
        <v>0</v>
      </c>
      <c r="S721" s="298">
        <f>IF(Scharniere[[#This Row],[Bohrbild]]=select!$A$755,1,0)</f>
        <v>0</v>
      </c>
      <c r="T721" s="298">
        <f>IF(IF(Scharniere[[#This Row],[Anschrauben]]=1,1,IF(Scharniere[[#This Row],[Einpressen]]=1,2,IF(Scharniere[[#This Row],[Quick]]=1,3,IF(Scharniere[[#This Row],[Werkzeuglos]]=1,4,0))))=select!$A$769,1,0)</f>
        <v>0</v>
      </c>
      <c r="U7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1" s="359">
        <f>IF(AND(Scharniere[[#This Row],[Scharnierart]]=4,Scharniere[[#This Row],[Gruppenschlüssel]]=select!$A$981)=TRUE,1,0)</f>
        <v>0</v>
      </c>
      <c r="W721" s="359">
        <f ca="1">IF(select!$O$1185&lt;6,1,0)</f>
        <v>1</v>
      </c>
      <c r="X721" s="359">
        <f>IF(select!$A$1012=IF(Scharniere[[#This Row],[mit Dämpfung]]=1,1,IF(Scharniere[[#This Row],[ohne Dämpfung]]=1,2,IF(Scharniere[[#This Row],[ohne Feder]]=1,3,0))),1,0)</f>
        <v>0</v>
      </c>
      <c r="Y721" s="359">
        <f>IF(Scharniere[[#This Row],[Bohrbild]]=select!$A$989,1,0)</f>
        <v>0</v>
      </c>
      <c r="Z721" s="359">
        <f>IF(IF(Scharniere[[#This Row],[Anschrauben]]=1,1,IF(Scharniere[[#This Row],[Einpressen]]=1,2,IF(Scharniere[[#This Row],[Quick]]=1,3,IF(Scharniere[[#This Row],[Werkzeuglos]]=1,4,0))))=select!$A$1003,1,0)</f>
        <v>0</v>
      </c>
      <c r="AA7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1" s="359">
        <f ca="1">IF(select!$K$980="*",Scharniere[[#This Row],[AG Ges2]],Scharniere[[#This Row],[AG Ges1]])</f>
        <v>0</v>
      </c>
      <c r="AE721" s="451">
        <f ca="1">IF(AND(Scharniere[[#This Row],[Scharnierart]]=select!$A$1485,Scharniere[[#This Row],[Gruppenschlüssel]]=select!$B$1485)=TRUE,1,0)</f>
        <v>0</v>
      </c>
      <c r="AF721" s="451">
        <f ca="1">IF(AND(Scharniere[[#This Row],[Scharnierart]]=select!$A$1486,Scharniere[[#This Row],[Gruppenschlüssel]]=select!$B$1486)=TRUE,1,0)</f>
        <v>0</v>
      </c>
      <c r="AG721" s="451">
        <f ca="1">IF(AND(Scharniere[[#This Row],[Scharnierart]]=select!$A$1487,Scharniere[[#This Row],[Gruppenschlüssel]]=select!$B$1487)=TRUE,1,0)</f>
        <v>0</v>
      </c>
      <c r="AH721" s="451">
        <f ca="1">IF(AND(Scharniere[[#This Row],[Scharnierart]]=select!$A$1488,Scharniere[[#This Row],[Gruppenschlüssel]]=select!$B$1488)=TRUE,1,0)</f>
        <v>0</v>
      </c>
      <c r="AI721" s="451">
        <f ca="1">IF(SUM(Scharniere[[#This Row],[konf Scharnier 1]:[konf Scharnier 4]])&gt;0,1,0)</f>
        <v>0</v>
      </c>
      <c r="AJ721" s="451"/>
      <c r="AK721" s="451"/>
      <c r="AL721" s="451"/>
      <c r="AM721" s="451"/>
      <c r="AN721" s="451"/>
      <c r="AO721" s="146">
        <v>1</v>
      </c>
      <c r="AP721" s="146">
        <v>4</v>
      </c>
      <c r="AQ721" s="10" t="str">
        <f ca="1">Sprache!$A$115</f>
        <v>Tiomos Scharnier TT Impresso</v>
      </c>
      <c r="AR721" t="s">
        <v>79</v>
      </c>
      <c r="AS721" t="str">
        <f ca="1">Sprache!$A$116</f>
        <v>Tiomos Impresso Scharniere</v>
      </c>
      <c r="AT721">
        <v>0</v>
      </c>
      <c r="AU721" s="34" t="s">
        <v>3</v>
      </c>
      <c r="AV721">
        <v>95</v>
      </c>
      <c r="AW721" s="71">
        <v>0</v>
      </c>
      <c r="AX721">
        <v>0</v>
      </c>
      <c r="AY721">
        <v>1</v>
      </c>
      <c r="AZ721" s="71">
        <v>0</v>
      </c>
      <c r="BA721">
        <v>0</v>
      </c>
      <c r="BB721">
        <v>0</v>
      </c>
      <c r="BC721">
        <v>1</v>
      </c>
      <c r="BD721" s="144" t="s">
        <v>191</v>
      </c>
      <c r="BG721"/>
    </row>
    <row r="722" spans="1:59" ht="14.25" customHeight="1" x14ac:dyDescent="0.25">
      <c r="A722" s="37" t="str">
        <f>LEFT(Scharniere[[#This Row],[ArtikelNR]],4)</f>
        <v>F045</v>
      </c>
      <c r="B722" s="35" t="str">
        <f>MID(Scharniere[[#This Row],[ArtikelNR]],5,3)</f>
        <v>138</v>
      </c>
      <c r="C722" s="37" t="str">
        <f>RIGHT(Scharniere[[#This Row],[ArtikelNR]],3)</f>
        <v>873</v>
      </c>
      <c r="D722" s="35">
        <f>IF(AND(Scharniere[[#This Row],[Gruppenschlüssel]]=select!$A$44,Scharniere[[#This Row],[Scharnierart]]=1)=TRUE,1,0)</f>
        <v>0</v>
      </c>
      <c r="E7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2" s="35">
        <f>IF(select!$F$57=IF(Scharniere[[#This Row],[mit Dämpfung]]=1,1,IF(Scharniere[[#This Row],[ohne Dämpfung]]=1,2,IF(Scharniere[[#This Row],[ohne Feder]]=1,3,0))),1,0)</f>
        <v>0</v>
      </c>
      <c r="G722" s="35">
        <f>IF(Scharniere[[#This Row],[Bohrbild]]=select!$V$43,1,0)</f>
        <v>0</v>
      </c>
      <c r="H722" s="35">
        <f>IF(IF(Scharniere[[#This Row],[Anschrauben]]=1,1,IF(Scharniere[[#This Row],[Einpressen]]=1,2,IF(Scharniere[[#This Row],[Quick]]=1,3,IF(Scharniere[[#This Row],[Werkzeuglos]]=1,4,0))))=select!$F$48,1,0)</f>
        <v>1</v>
      </c>
      <c r="I7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2" s="149">
        <f>IF(AND(Scharniere[[#This Row],[Scharnierart]]=2,Scharniere[[#This Row],[Gruppenschlüssel]]=select!$A$318)=TRUE,1,0)</f>
        <v>0</v>
      </c>
      <c r="K722" s="221">
        <f ca="1">IF(select!$O$424&lt;6,1,0)</f>
        <v>1</v>
      </c>
      <c r="L722" s="221">
        <f>IF(select!$A$362=IF(Scharniere[[#This Row],[mit Dämpfung]]=1,1,IF(Scharniere[[#This Row],[ohne Dämpfung]]=1,2,IF(Scharniere[[#This Row],[ohne Feder]]=1,3,0))),1,0)</f>
        <v>0</v>
      </c>
      <c r="M722" s="135">
        <f>IF(Scharniere[[#This Row],[Bohrbild]]=select!$O$334,1,0)</f>
        <v>0</v>
      </c>
      <c r="N722" s="135">
        <f>IF(IF(Scharniere[[#This Row],[Anschrauben]]=1,1,IF(Scharniere[[#This Row],[Einpressen]]=1,2,IF(Scharniere[[#This Row],[Quick]]=1,3,IF(Scharniere[[#This Row],[Werkzeuglos]]=1,4,0))))=select!$E$362,1,0)</f>
        <v>0</v>
      </c>
      <c r="O7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2" s="298">
        <f>IF(AND(Scharniere[[#This Row],[Scharnierart]]=3,Scharniere[[#This Row],[Gruppenschlüssel]]=select!$A$747)=TRUE,1,0)</f>
        <v>0</v>
      </c>
      <c r="Q722" s="298">
        <f ca="1">IF(select!$O$945&lt;6,1,0)</f>
        <v>1</v>
      </c>
      <c r="R722" s="298">
        <f>IF(select!$A$778=IF(Scharniere[[#This Row],[mit Dämpfung]]=1,1,IF(Scharniere[[#This Row],[ohne Dämpfung]]=1,2,IF(Scharniere[[#This Row],[ohne Feder]]=1,3,0))),1,0)</f>
        <v>1</v>
      </c>
      <c r="S722" s="298">
        <f>IF(Scharniere[[#This Row],[Bohrbild]]=select!$A$755,1,0)</f>
        <v>0</v>
      </c>
      <c r="T722" s="298">
        <f>IF(IF(Scharniere[[#This Row],[Anschrauben]]=1,1,IF(Scharniere[[#This Row],[Einpressen]]=1,2,IF(Scharniere[[#This Row],[Quick]]=1,3,IF(Scharniere[[#This Row],[Werkzeuglos]]=1,4,0))))=select!$A$769,1,0)</f>
        <v>0</v>
      </c>
      <c r="U7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2" s="359">
        <f>IF(AND(Scharniere[[#This Row],[Scharnierart]]=4,Scharniere[[#This Row],[Gruppenschlüssel]]=select!$A$981)=TRUE,1,0)</f>
        <v>0</v>
      </c>
      <c r="W722" s="359">
        <f ca="1">IF(select!$O$1185&lt;6,1,0)</f>
        <v>1</v>
      </c>
      <c r="X722" s="359">
        <f>IF(select!$A$1012=IF(Scharniere[[#This Row],[mit Dämpfung]]=1,1,IF(Scharniere[[#This Row],[ohne Dämpfung]]=1,2,IF(Scharniere[[#This Row],[ohne Feder]]=1,3,0))),1,0)</f>
        <v>1</v>
      </c>
      <c r="Y722" s="359">
        <f>IF(Scharniere[[#This Row],[Bohrbild]]=select!$A$989,1,0)</f>
        <v>0</v>
      </c>
      <c r="Z722" s="359">
        <f>IF(IF(Scharniere[[#This Row],[Anschrauben]]=1,1,IF(Scharniere[[#This Row],[Einpressen]]=1,2,IF(Scharniere[[#This Row],[Quick]]=1,3,IF(Scharniere[[#This Row],[Werkzeuglos]]=1,4,0))))=select!$A$1003,1,0)</f>
        <v>0</v>
      </c>
      <c r="AA7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2" s="359">
        <f ca="1">IF(select!$K$980="*",Scharniere[[#This Row],[AG Ges2]],Scharniere[[#This Row],[AG Ges1]])</f>
        <v>0</v>
      </c>
      <c r="AE722" s="451">
        <f ca="1">IF(AND(Scharniere[[#This Row],[Scharnierart]]=select!$A$1485,Scharniere[[#This Row],[Gruppenschlüssel]]=select!$B$1485)=TRUE,1,0)</f>
        <v>0</v>
      </c>
      <c r="AF722" s="451">
        <f ca="1">IF(AND(Scharniere[[#This Row],[Scharnierart]]=select!$A$1486,Scharniere[[#This Row],[Gruppenschlüssel]]=select!$B$1486)=TRUE,1,0)</f>
        <v>0</v>
      </c>
      <c r="AG722" s="451">
        <f ca="1">IF(AND(Scharniere[[#This Row],[Scharnierart]]=select!$A$1487,Scharniere[[#This Row],[Gruppenschlüssel]]=select!$B$1487)=TRUE,1,0)</f>
        <v>0</v>
      </c>
      <c r="AH722" s="451">
        <f ca="1">IF(AND(Scharniere[[#This Row],[Scharnierart]]=select!$A$1488,Scharniere[[#This Row],[Gruppenschlüssel]]=select!$B$1488)=TRUE,1,0)</f>
        <v>0</v>
      </c>
      <c r="AI722" s="451">
        <f ca="1">IF(SUM(Scharniere[[#This Row],[konf Scharnier 1]:[konf Scharnier 4]])&gt;0,1,0)</f>
        <v>0</v>
      </c>
      <c r="AJ722" s="451"/>
      <c r="AK722" s="451"/>
      <c r="AL722" s="451"/>
      <c r="AM722" s="451"/>
      <c r="AN722" s="451"/>
      <c r="AO722" s="146">
        <v>1</v>
      </c>
      <c r="AP722" s="146">
        <v>4</v>
      </c>
      <c r="AQ722" s="10" t="str">
        <f ca="1">Sprache!$A$110</f>
        <v>Tiomos Scharnier T Click-on</v>
      </c>
      <c r="AR722" t="str">
        <f ca="1">"95°, S-BB, K00, "&amp;Sprache!A181&amp;", ni"</f>
        <v>95°, S-BB, K00, Dübel, ni</v>
      </c>
      <c r="AS722" t="str">
        <f ca="1">Sprache!$A$103</f>
        <v>Tiomos Click-On Scharniere</v>
      </c>
      <c r="AT722">
        <v>0</v>
      </c>
      <c r="AU722" t="s">
        <v>11</v>
      </c>
      <c r="AV722">
        <v>95</v>
      </c>
      <c r="AW722" s="71">
        <v>0</v>
      </c>
      <c r="AX722">
        <v>1</v>
      </c>
      <c r="AY722">
        <v>0</v>
      </c>
      <c r="AZ722" s="71">
        <v>0</v>
      </c>
      <c r="BA722">
        <v>1</v>
      </c>
      <c r="BB722">
        <v>0</v>
      </c>
      <c r="BC722">
        <v>0</v>
      </c>
      <c r="BD722" s="144" t="s">
        <v>566</v>
      </c>
      <c r="BG722"/>
    </row>
    <row r="723" spans="1:59" ht="14.25" customHeight="1" x14ac:dyDescent="0.25">
      <c r="A723" s="37" t="str">
        <f>LEFT(Scharniere[[#This Row],[ArtikelNR]],4)</f>
        <v>F028</v>
      </c>
      <c r="B723" s="35" t="str">
        <f>MID(Scharniere[[#This Row],[ArtikelNR]],5,3)</f>
        <v>138</v>
      </c>
      <c r="C723" s="37" t="str">
        <f>RIGHT(Scharniere[[#This Row],[ArtikelNR]],3)</f>
        <v>935</v>
      </c>
      <c r="D723" s="35">
        <f>IF(AND(Scharniere[[#This Row],[Gruppenschlüssel]]=select!$A$44,Scharniere[[#This Row],[Scharnierart]]=1)=TRUE,1,0)</f>
        <v>0</v>
      </c>
      <c r="E7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3" s="35">
        <f>IF(select!$F$57=IF(Scharniere[[#This Row],[mit Dämpfung]]=1,1,IF(Scharniere[[#This Row],[ohne Dämpfung]]=1,2,IF(Scharniere[[#This Row],[ohne Feder]]=1,3,0))),1,0)</f>
        <v>0</v>
      </c>
      <c r="G723" s="35">
        <f>IF(Scharniere[[#This Row],[Bohrbild]]=select!$V$43,1,0)</f>
        <v>0</v>
      </c>
      <c r="H723" s="35">
        <f>IF(IF(Scharniere[[#This Row],[Anschrauben]]=1,1,IF(Scharniere[[#This Row],[Einpressen]]=1,2,IF(Scharniere[[#This Row],[Quick]]=1,3,IF(Scharniere[[#This Row],[Werkzeuglos]]=1,4,0))))=select!$F$48,1,0)</f>
        <v>1</v>
      </c>
      <c r="I7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3" s="149">
        <f>IF(AND(Scharniere[[#This Row],[Scharnierart]]=2,Scharniere[[#This Row],[Gruppenschlüssel]]=select!$A$318)=TRUE,1,0)</f>
        <v>0</v>
      </c>
      <c r="K723" s="221">
        <f ca="1">IF(select!$O$424&lt;6,1,0)</f>
        <v>1</v>
      </c>
      <c r="L723" s="221">
        <f>IF(select!$A$362=IF(Scharniere[[#This Row],[mit Dämpfung]]=1,1,IF(Scharniere[[#This Row],[ohne Dämpfung]]=1,2,IF(Scharniere[[#This Row],[ohne Feder]]=1,3,0))),1,0)</f>
        <v>1</v>
      </c>
      <c r="M723" s="135">
        <f>IF(Scharniere[[#This Row],[Bohrbild]]=select!$O$334,1,0)</f>
        <v>0</v>
      </c>
      <c r="N723" s="135">
        <f>IF(IF(Scharniere[[#This Row],[Anschrauben]]=1,1,IF(Scharniere[[#This Row],[Einpressen]]=1,2,IF(Scharniere[[#This Row],[Quick]]=1,3,IF(Scharniere[[#This Row],[Werkzeuglos]]=1,4,0))))=select!$E$362,1,0)</f>
        <v>0</v>
      </c>
      <c r="O7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3" s="298">
        <f>IF(AND(Scharniere[[#This Row],[Scharnierart]]=3,Scharniere[[#This Row],[Gruppenschlüssel]]=select!$A$747)=TRUE,1,0)</f>
        <v>0</v>
      </c>
      <c r="Q723" s="298">
        <f ca="1">IF(select!$O$945&lt;6,1,0)</f>
        <v>1</v>
      </c>
      <c r="R723" s="298">
        <f>IF(select!$A$778=IF(Scharniere[[#This Row],[mit Dämpfung]]=1,1,IF(Scharniere[[#This Row],[ohne Dämpfung]]=1,2,IF(Scharniere[[#This Row],[ohne Feder]]=1,3,0))),1,0)</f>
        <v>0</v>
      </c>
      <c r="S723" s="298">
        <f>IF(Scharniere[[#This Row],[Bohrbild]]=select!$A$755,1,0)</f>
        <v>0</v>
      </c>
      <c r="T723" s="298">
        <f>IF(IF(Scharniere[[#This Row],[Anschrauben]]=1,1,IF(Scharniere[[#This Row],[Einpressen]]=1,2,IF(Scharniere[[#This Row],[Quick]]=1,3,IF(Scharniere[[#This Row],[Werkzeuglos]]=1,4,0))))=select!$A$769,1,0)</f>
        <v>0</v>
      </c>
      <c r="U7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3" s="359">
        <f>IF(AND(Scharniere[[#This Row],[Scharnierart]]=4,Scharniere[[#This Row],[Gruppenschlüssel]]=select!$A$981)=TRUE,1,0)</f>
        <v>0</v>
      </c>
      <c r="W723" s="359">
        <f ca="1">IF(select!$O$1185&lt;6,1,0)</f>
        <v>1</v>
      </c>
      <c r="X723" s="359">
        <f>IF(select!$A$1012=IF(Scharniere[[#This Row],[mit Dämpfung]]=1,1,IF(Scharniere[[#This Row],[ohne Dämpfung]]=1,2,IF(Scharniere[[#This Row],[ohne Feder]]=1,3,0))),1,0)</f>
        <v>0</v>
      </c>
      <c r="Y723" s="359">
        <f>IF(Scharniere[[#This Row],[Bohrbild]]=select!$A$989,1,0)</f>
        <v>0</v>
      </c>
      <c r="Z723" s="359">
        <f>IF(IF(Scharniere[[#This Row],[Anschrauben]]=1,1,IF(Scharniere[[#This Row],[Einpressen]]=1,2,IF(Scharniere[[#This Row],[Quick]]=1,3,IF(Scharniere[[#This Row],[Werkzeuglos]]=1,4,0))))=select!$A$1003,1,0)</f>
        <v>0</v>
      </c>
      <c r="AA7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3" s="359">
        <f ca="1">IF(select!$K$980="*",Scharniere[[#This Row],[AG Ges2]],Scharniere[[#This Row],[AG Ges1]])</f>
        <v>0</v>
      </c>
      <c r="AE723" s="451">
        <f ca="1">IF(AND(Scharniere[[#This Row],[Scharnierart]]=select!$A$1485,Scharniere[[#This Row],[Gruppenschlüssel]]=select!$B$1485)=TRUE,1,0)</f>
        <v>0</v>
      </c>
      <c r="AF723" s="451">
        <f ca="1">IF(AND(Scharniere[[#This Row],[Scharnierart]]=select!$A$1486,Scharniere[[#This Row],[Gruppenschlüssel]]=select!$B$1486)=TRUE,1,0)</f>
        <v>0</v>
      </c>
      <c r="AG723" s="451">
        <f ca="1">IF(AND(Scharniere[[#This Row],[Scharnierart]]=select!$A$1487,Scharniere[[#This Row],[Gruppenschlüssel]]=select!$B$1487)=TRUE,1,0)</f>
        <v>0</v>
      </c>
      <c r="AH723" s="451">
        <f ca="1">IF(AND(Scharniere[[#This Row],[Scharnierart]]=select!$A$1488,Scharniere[[#This Row],[Gruppenschlüssel]]=select!$B$1488)=TRUE,1,0)</f>
        <v>0</v>
      </c>
      <c r="AI723" s="451">
        <f ca="1">IF(SUM(Scharniere[[#This Row],[konf Scharnier 1]:[konf Scharnier 4]])&gt;0,1,0)</f>
        <v>0</v>
      </c>
      <c r="AJ723" s="451"/>
      <c r="AK723" s="451"/>
      <c r="AL723" s="451"/>
      <c r="AM723" s="451"/>
      <c r="AN723" s="451"/>
      <c r="AO723" s="146">
        <v>1</v>
      </c>
      <c r="AP723" s="146">
        <v>4</v>
      </c>
      <c r="AQ723" s="10" t="str">
        <f ca="1">Sprache!$A$112</f>
        <v>Tiomos Scharnier TS Click-on</v>
      </c>
      <c r="AR723" t="str">
        <f ca="1">"95°, S-BB, K00, "&amp;Sprache!A181&amp;", ni"</f>
        <v>95°, S-BB, K00, Dübel, ni</v>
      </c>
      <c r="AS723" t="str">
        <f ca="1">Sprache!$A$103</f>
        <v>Tiomos Click-On Scharniere</v>
      </c>
      <c r="AT723">
        <v>0</v>
      </c>
      <c r="AU723" t="s">
        <v>11</v>
      </c>
      <c r="AV723">
        <v>95</v>
      </c>
      <c r="AW723" s="71">
        <v>1</v>
      </c>
      <c r="AX723">
        <v>0</v>
      </c>
      <c r="AY723">
        <v>0</v>
      </c>
      <c r="AZ723" s="71">
        <v>0</v>
      </c>
      <c r="BA723">
        <v>1</v>
      </c>
      <c r="BB723">
        <v>0</v>
      </c>
      <c r="BC723">
        <v>0</v>
      </c>
      <c r="BD723" s="144" t="s">
        <v>413</v>
      </c>
      <c r="BG723"/>
    </row>
    <row r="724" spans="1:59" ht="14.25" customHeight="1" x14ac:dyDescent="0.25">
      <c r="A724" s="37" t="str">
        <f>LEFT(Scharniere[[#This Row],[ArtikelNR]],4)</f>
        <v>F046</v>
      </c>
      <c r="B724" s="35" t="str">
        <f>MID(Scharniere[[#This Row],[ArtikelNR]],5,3)</f>
        <v>138</v>
      </c>
      <c r="C724" s="37" t="str">
        <f>RIGHT(Scharniere[[#This Row],[ArtikelNR]],3)</f>
        <v>995</v>
      </c>
      <c r="D724" s="35">
        <f>IF(AND(Scharniere[[#This Row],[Gruppenschlüssel]]=select!$A$44,Scharniere[[#This Row],[Scharnierart]]=1)=TRUE,1,0)</f>
        <v>0</v>
      </c>
      <c r="E7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4" s="35">
        <f>IF(select!$F$57=IF(Scharniere[[#This Row],[mit Dämpfung]]=1,1,IF(Scharniere[[#This Row],[ohne Dämpfung]]=1,2,IF(Scharniere[[#This Row],[ohne Feder]]=1,3,0))),1,0)</f>
        <v>1</v>
      </c>
      <c r="G724" s="35">
        <f>IF(Scharniere[[#This Row],[Bohrbild]]=select!$V$43,1,0)</f>
        <v>0</v>
      </c>
      <c r="H724" s="35">
        <f>IF(IF(Scharniere[[#This Row],[Anschrauben]]=1,1,IF(Scharniere[[#This Row],[Einpressen]]=1,2,IF(Scharniere[[#This Row],[Quick]]=1,3,IF(Scharniere[[#This Row],[Werkzeuglos]]=1,4,0))))=select!$F$48,1,0)</f>
        <v>1</v>
      </c>
      <c r="I7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4" s="149">
        <f>IF(AND(Scharniere[[#This Row],[Scharnierart]]=2,Scharniere[[#This Row],[Gruppenschlüssel]]=select!$A$318)=TRUE,1,0)</f>
        <v>0</v>
      </c>
      <c r="K724" s="221">
        <f ca="1">IF(select!$O$424&lt;6,1,0)</f>
        <v>1</v>
      </c>
      <c r="L724" s="221">
        <f>IF(select!$A$362=IF(Scharniere[[#This Row],[mit Dämpfung]]=1,1,IF(Scharniere[[#This Row],[ohne Dämpfung]]=1,2,IF(Scharniere[[#This Row],[ohne Feder]]=1,3,0))),1,0)</f>
        <v>0</v>
      </c>
      <c r="M724" s="135">
        <f>IF(Scharniere[[#This Row],[Bohrbild]]=select!$O$334,1,0)</f>
        <v>0</v>
      </c>
      <c r="N724" s="135">
        <f>IF(IF(Scharniere[[#This Row],[Anschrauben]]=1,1,IF(Scharniere[[#This Row],[Einpressen]]=1,2,IF(Scharniere[[#This Row],[Quick]]=1,3,IF(Scharniere[[#This Row],[Werkzeuglos]]=1,4,0))))=select!$E$362,1,0)</f>
        <v>0</v>
      </c>
      <c r="O7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4" s="298">
        <f>IF(AND(Scharniere[[#This Row],[Scharnierart]]=3,Scharniere[[#This Row],[Gruppenschlüssel]]=select!$A$747)=TRUE,1,0)</f>
        <v>0</v>
      </c>
      <c r="Q724" s="298">
        <f ca="1">IF(select!$O$945&lt;6,1,0)</f>
        <v>1</v>
      </c>
      <c r="R724" s="298">
        <f>IF(select!$A$778=IF(Scharniere[[#This Row],[mit Dämpfung]]=1,1,IF(Scharniere[[#This Row],[ohne Dämpfung]]=1,2,IF(Scharniere[[#This Row],[ohne Feder]]=1,3,0))),1,0)</f>
        <v>0</v>
      </c>
      <c r="S724" s="298">
        <f>IF(Scharniere[[#This Row],[Bohrbild]]=select!$A$755,1,0)</f>
        <v>0</v>
      </c>
      <c r="T724" s="298">
        <f>IF(IF(Scharniere[[#This Row],[Anschrauben]]=1,1,IF(Scharniere[[#This Row],[Einpressen]]=1,2,IF(Scharniere[[#This Row],[Quick]]=1,3,IF(Scharniere[[#This Row],[Werkzeuglos]]=1,4,0))))=select!$A$769,1,0)</f>
        <v>0</v>
      </c>
      <c r="U7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4" s="359">
        <f>IF(AND(Scharniere[[#This Row],[Scharnierart]]=4,Scharniere[[#This Row],[Gruppenschlüssel]]=select!$A$981)=TRUE,1,0)</f>
        <v>0</v>
      </c>
      <c r="W724" s="359">
        <f ca="1">IF(select!$O$1185&lt;6,1,0)</f>
        <v>1</v>
      </c>
      <c r="X724" s="359">
        <f>IF(select!$A$1012=IF(Scharniere[[#This Row],[mit Dämpfung]]=1,1,IF(Scharniere[[#This Row],[ohne Dämpfung]]=1,2,IF(Scharniere[[#This Row],[ohne Feder]]=1,3,0))),1,0)</f>
        <v>0</v>
      </c>
      <c r="Y724" s="359">
        <f>IF(Scharniere[[#This Row],[Bohrbild]]=select!$A$989,1,0)</f>
        <v>0</v>
      </c>
      <c r="Z724" s="359">
        <f>IF(IF(Scharniere[[#This Row],[Anschrauben]]=1,1,IF(Scharniere[[#This Row],[Einpressen]]=1,2,IF(Scharniere[[#This Row],[Quick]]=1,3,IF(Scharniere[[#This Row],[Werkzeuglos]]=1,4,0))))=select!$A$1003,1,0)</f>
        <v>0</v>
      </c>
      <c r="AA7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4" s="359">
        <f ca="1">IF(select!$K$980="*",Scharniere[[#This Row],[AG Ges2]],Scharniere[[#This Row],[AG Ges1]])</f>
        <v>0</v>
      </c>
      <c r="AE724" s="451">
        <f ca="1">IF(AND(Scharniere[[#This Row],[Scharnierart]]=select!$A$1485,Scharniere[[#This Row],[Gruppenschlüssel]]=select!$B$1485)=TRUE,1,0)</f>
        <v>0</v>
      </c>
      <c r="AF724" s="451">
        <f ca="1">IF(AND(Scharniere[[#This Row],[Scharnierart]]=select!$A$1486,Scharniere[[#This Row],[Gruppenschlüssel]]=select!$B$1486)=TRUE,1,0)</f>
        <v>0</v>
      </c>
      <c r="AG724" s="451">
        <f ca="1">IF(AND(Scharniere[[#This Row],[Scharnierart]]=select!$A$1487,Scharniere[[#This Row],[Gruppenschlüssel]]=select!$B$1487)=TRUE,1,0)</f>
        <v>0</v>
      </c>
      <c r="AH724" s="451">
        <f ca="1">IF(AND(Scharniere[[#This Row],[Scharnierart]]=select!$A$1488,Scharniere[[#This Row],[Gruppenschlüssel]]=select!$B$1488)=TRUE,1,0)</f>
        <v>0</v>
      </c>
      <c r="AI724" s="451">
        <f ca="1">IF(SUM(Scharniere[[#This Row],[konf Scharnier 1]:[konf Scharnier 4]])&gt;0,1,0)</f>
        <v>0</v>
      </c>
      <c r="AJ724" s="451"/>
      <c r="AK724" s="451"/>
      <c r="AL724" s="451"/>
      <c r="AM724" s="451"/>
      <c r="AN724" s="451"/>
      <c r="AO724" s="146">
        <v>1</v>
      </c>
      <c r="AP724" s="146">
        <v>4</v>
      </c>
      <c r="AQ724" s="10" t="str">
        <f ca="1">Sprache!$A$114</f>
        <v>Tiomos Scharnier TT Click-on</v>
      </c>
      <c r="AR724" t="str">
        <f ca="1">"95°, S-BB, K00, "&amp;Sprache!A181&amp;", ni"</f>
        <v>95°, S-BB, K00, Dübel, ni</v>
      </c>
      <c r="AS724" t="str">
        <f ca="1">Sprache!$A$103</f>
        <v>Tiomos Click-On Scharniere</v>
      </c>
      <c r="AT724">
        <v>0</v>
      </c>
      <c r="AU724" t="s">
        <v>11</v>
      </c>
      <c r="AV724">
        <v>95</v>
      </c>
      <c r="AW724" s="71">
        <v>0</v>
      </c>
      <c r="AX724">
        <v>0</v>
      </c>
      <c r="AY724">
        <v>1</v>
      </c>
      <c r="AZ724" s="71">
        <v>0</v>
      </c>
      <c r="BA724">
        <v>1</v>
      </c>
      <c r="BB724">
        <v>0</v>
      </c>
      <c r="BC724">
        <v>0</v>
      </c>
      <c r="BD724" s="144" t="s">
        <v>718</v>
      </c>
      <c r="BF724" s="10"/>
      <c r="BG724"/>
    </row>
    <row r="725" spans="1:59" ht="14.25" customHeight="1" x14ac:dyDescent="0.25">
      <c r="A725" s="37" t="str">
        <f>LEFT(Scharniere[[#This Row],[ArtikelNR]],4)</f>
        <v>F045</v>
      </c>
      <c r="B725" s="35" t="str">
        <f>MID(Scharniere[[#This Row],[ArtikelNR]],5,3)</f>
        <v>138</v>
      </c>
      <c r="C725" s="37" t="str">
        <f>RIGHT(Scharniere[[#This Row],[ArtikelNR]],3)</f>
        <v>869</v>
      </c>
      <c r="D725" s="35">
        <f>IF(AND(Scharniere[[#This Row],[Gruppenschlüssel]]=select!$A$44,Scharniere[[#This Row],[Scharnierart]]=1)=TRUE,1,0)</f>
        <v>0</v>
      </c>
      <c r="E7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5" s="35">
        <f>IF(select!$F$57=IF(Scharniere[[#This Row],[mit Dämpfung]]=1,1,IF(Scharniere[[#This Row],[ohne Dämpfung]]=1,2,IF(Scharniere[[#This Row],[ohne Feder]]=1,3,0))),1,0)</f>
        <v>0</v>
      </c>
      <c r="G725" s="35">
        <f>IF(Scharniere[[#This Row],[Bohrbild]]=select!$V$43,1,0)</f>
        <v>0</v>
      </c>
      <c r="H725" s="35">
        <f>IF(IF(Scharniere[[#This Row],[Anschrauben]]=1,1,IF(Scharniere[[#This Row],[Einpressen]]=1,2,IF(Scharniere[[#This Row],[Quick]]=1,3,IF(Scharniere[[#This Row],[Werkzeuglos]]=1,4,0))))=select!$F$48,1,0)</f>
        <v>0</v>
      </c>
      <c r="I7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5" s="149">
        <f>IF(AND(Scharniere[[#This Row],[Scharnierart]]=2,Scharniere[[#This Row],[Gruppenschlüssel]]=select!$A$318)=TRUE,1,0)</f>
        <v>0</v>
      </c>
      <c r="K725" s="221">
        <f ca="1">IF(select!$O$424&lt;6,1,0)</f>
        <v>1</v>
      </c>
      <c r="L725" s="221">
        <f>IF(select!$A$362=IF(Scharniere[[#This Row],[mit Dämpfung]]=1,1,IF(Scharniere[[#This Row],[ohne Dämpfung]]=1,2,IF(Scharniere[[#This Row],[ohne Feder]]=1,3,0))),1,0)</f>
        <v>0</v>
      </c>
      <c r="M725" s="135">
        <f>IF(Scharniere[[#This Row],[Bohrbild]]=select!$O$334,1,0)</f>
        <v>0</v>
      </c>
      <c r="N725" s="135">
        <f>IF(IF(Scharniere[[#This Row],[Anschrauben]]=1,1,IF(Scharniere[[#This Row],[Einpressen]]=1,2,IF(Scharniere[[#This Row],[Quick]]=1,3,IF(Scharniere[[#This Row],[Werkzeuglos]]=1,4,0))))=select!$E$362,1,0)</f>
        <v>1</v>
      </c>
      <c r="O7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5" s="298">
        <f>IF(AND(Scharniere[[#This Row],[Scharnierart]]=3,Scharniere[[#This Row],[Gruppenschlüssel]]=select!$A$747)=TRUE,1,0)</f>
        <v>0</v>
      </c>
      <c r="Q725" s="298">
        <f ca="1">IF(select!$O$945&lt;6,1,0)</f>
        <v>1</v>
      </c>
      <c r="R725" s="298">
        <f>IF(select!$A$778=IF(Scharniere[[#This Row],[mit Dämpfung]]=1,1,IF(Scharniere[[#This Row],[ohne Dämpfung]]=1,2,IF(Scharniere[[#This Row],[ohne Feder]]=1,3,0))),1,0)</f>
        <v>1</v>
      </c>
      <c r="S725" s="298">
        <f>IF(Scharniere[[#This Row],[Bohrbild]]=select!$A$755,1,0)</f>
        <v>0</v>
      </c>
      <c r="T725" s="298">
        <f>IF(IF(Scharniere[[#This Row],[Anschrauben]]=1,1,IF(Scharniere[[#This Row],[Einpressen]]=1,2,IF(Scharniere[[#This Row],[Quick]]=1,3,IF(Scharniere[[#This Row],[Werkzeuglos]]=1,4,0))))=select!$A$769,1,0)</f>
        <v>1</v>
      </c>
      <c r="U7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5" s="359">
        <f>IF(AND(Scharniere[[#This Row],[Scharnierart]]=4,Scharniere[[#This Row],[Gruppenschlüssel]]=select!$A$981)=TRUE,1,0)</f>
        <v>0</v>
      </c>
      <c r="W725" s="359">
        <f ca="1">IF(select!$O$1185&lt;6,1,0)</f>
        <v>1</v>
      </c>
      <c r="X725" s="359">
        <f>IF(select!$A$1012=IF(Scharniere[[#This Row],[mit Dämpfung]]=1,1,IF(Scharniere[[#This Row],[ohne Dämpfung]]=1,2,IF(Scharniere[[#This Row],[ohne Feder]]=1,3,0))),1,0)</f>
        <v>1</v>
      </c>
      <c r="Y725" s="359">
        <f>IF(Scharniere[[#This Row],[Bohrbild]]=select!$A$989,1,0)</f>
        <v>0</v>
      </c>
      <c r="Z725" s="359">
        <f>IF(IF(Scharniere[[#This Row],[Anschrauben]]=1,1,IF(Scharniere[[#This Row],[Einpressen]]=1,2,IF(Scharniere[[#This Row],[Quick]]=1,3,IF(Scharniere[[#This Row],[Werkzeuglos]]=1,4,0))))=select!$A$1003,1,0)</f>
        <v>1</v>
      </c>
      <c r="AA7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5" s="359">
        <f ca="1">IF(select!$K$980="*",Scharniere[[#This Row],[AG Ges2]],Scharniere[[#This Row],[AG Ges1]])</f>
        <v>0</v>
      </c>
      <c r="AE725" s="451">
        <f ca="1">IF(AND(Scharniere[[#This Row],[Scharnierart]]=select!$A$1485,Scharniere[[#This Row],[Gruppenschlüssel]]=select!$B$1485)=TRUE,1,0)</f>
        <v>0</v>
      </c>
      <c r="AF725" s="451">
        <f ca="1">IF(AND(Scharniere[[#This Row],[Scharnierart]]=select!$A$1486,Scharniere[[#This Row],[Gruppenschlüssel]]=select!$B$1486)=TRUE,1,0)</f>
        <v>0</v>
      </c>
      <c r="AG725" s="451">
        <f ca="1">IF(AND(Scharniere[[#This Row],[Scharnierart]]=select!$A$1487,Scharniere[[#This Row],[Gruppenschlüssel]]=select!$B$1487)=TRUE,1,0)</f>
        <v>0</v>
      </c>
      <c r="AH725" s="451">
        <f ca="1">IF(AND(Scharniere[[#This Row],[Scharnierart]]=select!$A$1488,Scharniere[[#This Row],[Gruppenschlüssel]]=select!$B$1488)=TRUE,1,0)</f>
        <v>0</v>
      </c>
      <c r="AI725" s="451">
        <f ca="1">IF(SUM(Scharniere[[#This Row],[konf Scharnier 1]:[konf Scharnier 4]])&gt;0,1,0)</f>
        <v>0</v>
      </c>
      <c r="AJ725" s="451"/>
      <c r="AK725" s="451"/>
      <c r="AL725" s="451"/>
      <c r="AM725" s="451"/>
      <c r="AN725" s="451"/>
      <c r="AO725" s="146">
        <v>1</v>
      </c>
      <c r="AP725" s="146">
        <v>4</v>
      </c>
      <c r="AQ725" s="10" t="str">
        <f ca="1">Sprache!$A$110</f>
        <v>Tiomos Scharnier T Click-on</v>
      </c>
      <c r="AR725" t="s">
        <v>407</v>
      </c>
      <c r="AS725" t="str">
        <f ca="1">Sprache!$A$103</f>
        <v>Tiomos Click-On Scharniere</v>
      </c>
      <c r="AT725">
        <v>0</v>
      </c>
      <c r="AU725" t="s">
        <v>11</v>
      </c>
      <c r="AV725">
        <v>95</v>
      </c>
      <c r="AW725" s="71">
        <v>0</v>
      </c>
      <c r="AX725">
        <v>1</v>
      </c>
      <c r="AY725">
        <v>0</v>
      </c>
      <c r="AZ725" s="71">
        <v>1</v>
      </c>
      <c r="BA725">
        <v>0</v>
      </c>
      <c r="BB725">
        <v>0</v>
      </c>
      <c r="BC725">
        <v>0</v>
      </c>
      <c r="BD725" s="144" t="s">
        <v>562</v>
      </c>
      <c r="BF725" s="10"/>
      <c r="BG725"/>
    </row>
    <row r="726" spans="1:59" ht="14.25" customHeight="1" x14ac:dyDescent="0.25">
      <c r="A726" s="37" t="str">
        <f>LEFT(Scharniere[[#This Row],[ArtikelNR]],4)</f>
        <v>F028</v>
      </c>
      <c r="B726" s="35" t="str">
        <f>MID(Scharniere[[#This Row],[ArtikelNR]],5,3)</f>
        <v>138</v>
      </c>
      <c r="C726" s="37" t="str">
        <f>RIGHT(Scharniere[[#This Row],[ArtikelNR]],3)</f>
        <v>931</v>
      </c>
      <c r="D726" s="35">
        <f>IF(AND(Scharniere[[#This Row],[Gruppenschlüssel]]=select!$A$44,Scharniere[[#This Row],[Scharnierart]]=1)=TRUE,1,0)</f>
        <v>0</v>
      </c>
      <c r="E7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6" s="35">
        <f>IF(select!$F$57=IF(Scharniere[[#This Row],[mit Dämpfung]]=1,1,IF(Scharniere[[#This Row],[ohne Dämpfung]]=1,2,IF(Scharniere[[#This Row],[ohne Feder]]=1,3,0))),1,0)</f>
        <v>0</v>
      </c>
      <c r="G726" s="35">
        <f>IF(Scharniere[[#This Row],[Bohrbild]]=select!$V$43,1,0)</f>
        <v>0</v>
      </c>
      <c r="H726" s="35">
        <f>IF(IF(Scharniere[[#This Row],[Anschrauben]]=1,1,IF(Scharniere[[#This Row],[Einpressen]]=1,2,IF(Scharniere[[#This Row],[Quick]]=1,3,IF(Scharniere[[#This Row],[Werkzeuglos]]=1,4,0))))=select!$F$48,1,0)</f>
        <v>0</v>
      </c>
      <c r="I7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6" s="149">
        <f>IF(AND(Scharniere[[#This Row],[Scharnierart]]=2,Scharniere[[#This Row],[Gruppenschlüssel]]=select!$A$318)=TRUE,1,0)</f>
        <v>0</v>
      </c>
      <c r="K726" s="221">
        <f ca="1">IF(select!$O$424&lt;6,1,0)</f>
        <v>1</v>
      </c>
      <c r="L726" s="221">
        <f>IF(select!$A$362=IF(Scharniere[[#This Row],[mit Dämpfung]]=1,1,IF(Scharniere[[#This Row],[ohne Dämpfung]]=1,2,IF(Scharniere[[#This Row],[ohne Feder]]=1,3,0))),1,0)</f>
        <v>1</v>
      </c>
      <c r="M726" s="135">
        <f>IF(Scharniere[[#This Row],[Bohrbild]]=select!$O$334,1,0)</f>
        <v>0</v>
      </c>
      <c r="N726" s="135">
        <f>IF(IF(Scharniere[[#This Row],[Anschrauben]]=1,1,IF(Scharniere[[#This Row],[Einpressen]]=1,2,IF(Scharniere[[#This Row],[Quick]]=1,3,IF(Scharniere[[#This Row],[Werkzeuglos]]=1,4,0))))=select!$E$362,1,0)</f>
        <v>1</v>
      </c>
      <c r="O7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6" s="298">
        <f>IF(AND(Scharniere[[#This Row],[Scharnierart]]=3,Scharniere[[#This Row],[Gruppenschlüssel]]=select!$A$747)=TRUE,1,0)</f>
        <v>0</v>
      </c>
      <c r="Q726" s="298">
        <f ca="1">IF(select!$O$945&lt;6,1,0)</f>
        <v>1</v>
      </c>
      <c r="R726" s="298">
        <f>IF(select!$A$778=IF(Scharniere[[#This Row],[mit Dämpfung]]=1,1,IF(Scharniere[[#This Row],[ohne Dämpfung]]=1,2,IF(Scharniere[[#This Row],[ohne Feder]]=1,3,0))),1,0)</f>
        <v>0</v>
      </c>
      <c r="S726" s="298">
        <f>IF(Scharniere[[#This Row],[Bohrbild]]=select!$A$755,1,0)</f>
        <v>0</v>
      </c>
      <c r="T726" s="298">
        <f>IF(IF(Scharniere[[#This Row],[Anschrauben]]=1,1,IF(Scharniere[[#This Row],[Einpressen]]=1,2,IF(Scharniere[[#This Row],[Quick]]=1,3,IF(Scharniere[[#This Row],[Werkzeuglos]]=1,4,0))))=select!$A$769,1,0)</f>
        <v>1</v>
      </c>
      <c r="U7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6" s="359">
        <f>IF(AND(Scharniere[[#This Row],[Scharnierart]]=4,Scharniere[[#This Row],[Gruppenschlüssel]]=select!$A$981)=TRUE,1,0)</f>
        <v>0</v>
      </c>
      <c r="W726" s="359">
        <f ca="1">IF(select!$O$1185&lt;6,1,0)</f>
        <v>1</v>
      </c>
      <c r="X726" s="359">
        <f>IF(select!$A$1012=IF(Scharniere[[#This Row],[mit Dämpfung]]=1,1,IF(Scharniere[[#This Row],[ohne Dämpfung]]=1,2,IF(Scharniere[[#This Row],[ohne Feder]]=1,3,0))),1,0)</f>
        <v>0</v>
      </c>
      <c r="Y726" s="359">
        <f>IF(Scharniere[[#This Row],[Bohrbild]]=select!$A$989,1,0)</f>
        <v>0</v>
      </c>
      <c r="Z726" s="359">
        <f>IF(IF(Scharniere[[#This Row],[Anschrauben]]=1,1,IF(Scharniere[[#This Row],[Einpressen]]=1,2,IF(Scharniere[[#This Row],[Quick]]=1,3,IF(Scharniere[[#This Row],[Werkzeuglos]]=1,4,0))))=select!$A$1003,1,0)</f>
        <v>1</v>
      </c>
      <c r="AA7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6" s="359">
        <f ca="1">IF(select!$K$980="*",Scharniere[[#This Row],[AG Ges2]],Scharniere[[#This Row],[AG Ges1]])</f>
        <v>0</v>
      </c>
      <c r="AE726" s="451">
        <f ca="1">IF(AND(Scharniere[[#This Row],[Scharnierart]]=select!$A$1485,Scharniere[[#This Row],[Gruppenschlüssel]]=select!$B$1485)=TRUE,1,0)</f>
        <v>0</v>
      </c>
      <c r="AF726" s="451">
        <f ca="1">IF(AND(Scharniere[[#This Row],[Scharnierart]]=select!$A$1486,Scharniere[[#This Row],[Gruppenschlüssel]]=select!$B$1486)=TRUE,1,0)</f>
        <v>0</v>
      </c>
      <c r="AG726" s="451">
        <f ca="1">IF(AND(Scharniere[[#This Row],[Scharnierart]]=select!$A$1487,Scharniere[[#This Row],[Gruppenschlüssel]]=select!$B$1487)=TRUE,1,0)</f>
        <v>0</v>
      </c>
      <c r="AH726" s="451">
        <f ca="1">IF(AND(Scharniere[[#This Row],[Scharnierart]]=select!$A$1488,Scharniere[[#This Row],[Gruppenschlüssel]]=select!$B$1488)=TRUE,1,0)</f>
        <v>0</v>
      </c>
      <c r="AI726" s="451">
        <f ca="1">IF(SUM(Scharniere[[#This Row],[konf Scharnier 1]:[konf Scharnier 4]])&gt;0,1,0)</f>
        <v>0</v>
      </c>
      <c r="AJ726" s="451"/>
      <c r="AK726" s="451"/>
      <c r="AL726" s="451"/>
      <c r="AM726" s="451"/>
      <c r="AN726" s="451"/>
      <c r="AO726" s="146">
        <v>1</v>
      </c>
      <c r="AP726" s="146">
        <v>4</v>
      </c>
      <c r="AQ726" s="10" t="str">
        <f ca="1">Sprache!$A$112</f>
        <v>Tiomos Scharnier TS Click-on</v>
      </c>
      <c r="AR726" t="s">
        <v>407</v>
      </c>
      <c r="AS726" t="str">
        <f ca="1">Sprache!$A$103</f>
        <v>Tiomos Click-On Scharniere</v>
      </c>
      <c r="AT726">
        <v>0</v>
      </c>
      <c r="AU726" t="s">
        <v>11</v>
      </c>
      <c r="AV726">
        <v>95</v>
      </c>
      <c r="AW726" s="71">
        <v>1</v>
      </c>
      <c r="AX726">
        <v>0</v>
      </c>
      <c r="AY726">
        <v>0</v>
      </c>
      <c r="AZ726" s="71">
        <v>1</v>
      </c>
      <c r="BA726">
        <v>0</v>
      </c>
      <c r="BB726">
        <v>0</v>
      </c>
      <c r="BC726">
        <v>0</v>
      </c>
      <c r="BD726" s="144" t="s">
        <v>406</v>
      </c>
      <c r="BF726" s="10"/>
      <c r="BG726"/>
    </row>
    <row r="727" spans="1:59" ht="14.25" customHeight="1" x14ac:dyDescent="0.25">
      <c r="A727" s="37" t="str">
        <f>LEFT(Scharniere[[#This Row],[ArtikelNR]],4)</f>
        <v>F046</v>
      </c>
      <c r="B727" s="35" t="str">
        <f>MID(Scharniere[[#This Row],[ArtikelNR]],5,3)</f>
        <v>138</v>
      </c>
      <c r="C727" s="37" t="str">
        <f>RIGHT(Scharniere[[#This Row],[ArtikelNR]],3)</f>
        <v>991</v>
      </c>
      <c r="D727" s="35">
        <f>IF(AND(Scharniere[[#This Row],[Gruppenschlüssel]]=select!$A$44,Scharniere[[#This Row],[Scharnierart]]=1)=TRUE,1,0)</f>
        <v>0</v>
      </c>
      <c r="E7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7" s="35">
        <f>IF(select!$F$57=IF(Scharniere[[#This Row],[mit Dämpfung]]=1,1,IF(Scharniere[[#This Row],[ohne Dämpfung]]=1,2,IF(Scharniere[[#This Row],[ohne Feder]]=1,3,0))),1,0)</f>
        <v>1</v>
      </c>
      <c r="G727" s="35">
        <f>IF(Scharniere[[#This Row],[Bohrbild]]=select!$V$43,1,0)</f>
        <v>0</v>
      </c>
      <c r="H727" s="35">
        <f>IF(IF(Scharniere[[#This Row],[Anschrauben]]=1,1,IF(Scharniere[[#This Row],[Einpressen]]=1,2,IF(Scharniere[[#This Row],[Quick]]=1,3,IF(Scharniere[[#This Row],[Werkzeuglos]]=1,4,0))))=select!$F$48,1,0)</f>
        <v>0</v>
      </c>
      <c r="I7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7" s="149">
        <f>IF(AND(Scharniere[[#This Row],[Scharnierart]]=2,Scharniere[[#This Row],[Gruppenschlüssel]]=select!$A$318)=TRUE,1,0)</f>
        <v>0</v>
      </c>
      <c r="K727" s="221">
        <f ca="1">IF(select!$O$424&lt;6,1,0)</f>
        <v>1</v>
      </c>
      <c r="L727" s="221">
        <f>IF(select!$A$362=IF(Scharniere[[#This Row],[mit Dämpfung]]=1,1,IF(Scharniere[[#This Row],[ohne Dämpfung]]=1,2,IF(Scharniere[[#This Row],[ohne Feder]]=1,3,0))),1,0)</f>
        <v>0</v>
      </c>
      <c r="M727" s="135">
        <f>IF(Scharniere[[#This Row],[Bohrbild]]=select!$O$334,1,0)</f>
        <v>0</v>
      </c>
      <c r="N727" s="135">
        <f>IF(IF(Scharniere[[#This Row],[Anschrauben]]=1,1,IF(Scharniere[[#This Row],[Einpressen]]=1,2,IF(Scharniere[[#This Row],[Quick]]=1,3,IF(Scharniere[[#This Row],[Werkzeuglos]]=1,4,0))))=select!$E$362,1,0)</f>
        <v>1</v>
      </c>
      <c r="O7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7" s="298">
        <f>IF(AND(Scharniere[[#This Row],[Scharnierart]]=3,Scharniere[[#This Row],[Gruppenschlüssel]]=select!$A$747)=TRUE,1,0)</f>
        <v>0</v>
      </c>
      <c r="Q727" s="298">
        <f ca="1">IF(select!$O$945&lt;6,1,0)</f>
        <v>1</v>
      </c>
      <c r="R727" s="298">
        <f>IF(select!$A$778=IF(Scharniere[[#This Row],[mit Dämpfung]]=1,1,IF(Scharniere[[#This Row],[ohne Dämpfung]]=1,2,IF(Scharniere[[#This Row],[ohne Feder]]=1,3,0))),1,0)</f>
        <v>0</v>
      </c>
      <c r="S727" s="298">
        <f>IF(Scharniere[[#This Row],[Bohrbild]]=select!$A$755,1,0)</f>
        <v>0</v>
      </c>
      <c r="T727" s="298">
        <f>IF(IF(Scharniere[[#This Row],[Anschrauben]]=1,1,IF(Scharniere[[#This Row],[Einpressen]]=1,2,IF(Scharniere[[#This Row],[Quick]]=1,3,IF(Scharniere[[#This Row],[Werkzeuglos]]=1,4,0))))=select!$A$769,1,0)</f>
        <v>1</v>
      </c>
      <c r="U7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7" s="359">
        <f>IF(AND(Scharniere[[#This Row],[Scharnierart]]=4,Scharniere[[#This Row],[Gruppenschlüssel]]=select!$A$981)=TRUE,1,0)</f>
        <v>0</v>
      </c>
      <c r="W727" s="359">
        <f ca="1">IF(select!$O$1185&lt;6,1,0)</f>
        <v>1</v>
      </c>
      <c r="X727" s="359">
        <f>IF(select!$A$1012=IF(Scharniere[[#This Row],[mit Dämpfung]]=1,1,IF(Scharniere[[#This Row],[ohne Dämpfung]]=1,2,IF(Scharniere[[#This Row],[ohne Feder]]=1,3,0))),1,0)</f>
        <v>0</v>
      </c>
      <c r="Y727" s="359">
        <f>IF(Scharniere[[#This Row],[Bohrbild]]=select!$A$989,1,0)</f>
        <v>0</v>
      </c>
      <c r="Z727" s="359">
        <f>IF(IF(Scharniere[[#This Row],[Anschrauben]]=1,1,IF(Scharniere[[#This Row],[Einpressen]]=1,2,IF(Scharniere[[#This Row],[Quick]]=1,3,IF(Scharniere[[#This Row],[Werkzeuglos]]=1,4,0))))=select!$A$1003,1,0)</f>
        <v>1</v>
      </c>
      <c r="AA7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7" s="359">
        <f ca="1">IF(select!$K$980="*",Scharniere[[#This Row],[AG Ges2]],Scharniere[[#This Row],[AG Ges1]])</f>
        <v>0</v>
      </c>
      <c r="AE727" s="451">
        <f ca="1">IF(AND(Scharniere[[#This Row],[Scharnierart]]=select!$A$1485,Scharniere[[#This Row],[Gruppenschlüssel]]=select!$B$1485)=TRUE,1,0)</f>
        <v>0</v>
      </c>
      <c r="AF727" s="451">
        <f ca="1">IF(AND(Scharniere[[#This Row],[Scharnierart]]=select!$A$1486,Scharniere[[#This Row],[Gruppenschlüssel]]=select!$B$1486)=TRUE,1,0)</f>
        <v>0</v>
      </c>
      <c r="AG727" s="451">
        <f ca="1">IF(AND(Scharniere[[#This Row],[Scharnierart]]=select!$A$1487,Scharniere[[#This Row],[Gruppenschlüssel]]=select!$B$1487)=TRUE,1,0)</f>
        <v>0</v>
      </c>
      <c r="AH727" s="451">
        <f ca="1">IF(AND(Scharniere[[#This Row],[Scharnierart]]=select!$A$1488,Scharniere[[#This Row],[Gruppenschlüssel]]=select!$B$1488)=TRUE,1,0)</f>
        <v>0</v>
      </c>
      <c r="AI727" s="451">
        <f ca="1">IF(SUM(Scharniere[[#This Row],[konf Scharnier 1]:[konf Scharnier 4]])&gt;0,1,0)</f>
        <v>0</v>
      </c>
      <c r="AJ727" s="451"/>
      <c r="AK727" s="451"/>
      <c r="AL727" s="451"/>
      <c r="AM727" s="451"/>
      <c r="AN727" s="451"/>
      <c r="AO727" s="146">
        <v>1</v>
      </c>
      <c r="AP727" s="146">
        <v>4</v>
      </c>
      <c r="AQ727" s="10" t="str">
        <f ca="1">Sprache!$A$114</f>
        <v>Tiomos Scharnier TT Click-on</v>
      </c>
      <c r="AR727" t="s">
        <v>407</v>
      </c>
      <c r="AS727" t="str">
        <f ca="1">Sprache!$A$103</f>
        <v>Tiomos Click-On Scharniere</v>
      </c>
      <c r="AT727">
        <v>0</v>
      </c>
      <c r="AU727" t="s">
        <v>11</v>
      </c>
      <c r="AV727">
        <v>95</v>
      </c>
      <c r="AW727" s="71">
        <v>0</v>
      </c>
      <c r="AX727">
        <v>0</v>
      </c>
      <c r="AY727">
        <v>1</v>
      </c>
      <c r="AZ727" s="71">
        <v>1</v>
      </c>
      <c r="BA727">
        <v>0</v>
      </c>
      <c r="BB727">
        <v>0</v>
      </c>
      <c r="BC727">
        <v>0</v>
      </c>
      <c r="BD727" s="144" t="s">
        <v>714</v>
      </c>
      <c r="BF727" s="10"/>
      <c r="BG727"/>
    </row>
    <row r="728" spans="1:59" ht="14.25" customHeight="1" x14ac:dyDescent="0.25">
      <c r="A728" s="37" t="str">
        <f>LEFT(Scharniere[[#This Row],[ArtikelNR]],4)</f>
        <v>F046</v>
      </c>
      <c r="B728" s="35" t="str">
        <f>MID(Scharniere[[#This Row],[ArtikelNR]],5,3)</f>
        <v>138</v>
      </c>
      <c r="C728" s="37" t="str">
        <f>RIGHT(Scharniere[[#This Row],[ArtikelNR]],3)</f>
        <v>232</v>
      </c>
      <c r="D728" s="35">
        <f>IF(AND(Scharniere[[#This Row],[Gruppenschlüssel]]=select!$A$44,Scharniere[[#This Row],[Scharnierart]]=1)=TRUE,1,0)</f>
        <v>0</v>
      </c>
      <c r="E7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728" s="35">
        <f>IF(select!$F$57=IF(Scharniere[[#This Row],[mit Dämpfung]]=1,1,IF(Scharniere[[#This Row],[ohne Dämpfung]]=1,2,IF(Scharniere[[#This Row],[ohne Feder]]=1,3,0))),1,0)</f>
        <v>1</v>
      </c>
      <c r="G728" s="35">
        <f>IF(Scharniere[[#This Row],[Bohrbild]]=select!$V$43,1,0)</f>
        <v>1</v>
      </c>
      <c r="H728" s="35">
        <f>IF(IF(Scharniere[[#This Row],[Anschrauben]]=1,1,IF(Scharniere[[#This Row],[Einpressen]]=1,2,IF(Scharniere[[#This Row],[Quick]]=1,3,IF(Scharniere[[#This Row],[Werkzeuglos]]=1,4,0))))=select!$F$48,1,0)</f>
        <v>0</v>
      </c>
      <c r="I7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8" s="149">
        <f>IF(AND(Scharniere[[#This Row],[Scharnierart]]=2,Scharniere[[#This Row],[Gruppenschlüssel]]=select!$A$318)=TRUE,1,0)</f>
        <v>0</v>
      </c>
      <c r="K728" s="221">
        <f ca="1">IF(select!$O$424&lt;6,1,0)</f>
        <v>1</v>
      </c>
      <c r="L728" s="221">
        <f>IF(select!$A$362=IF(Scharniere[[#This Row],[mit Dämpfung]]=1,1,IF(Scharniere[[#This Row],[ohne Dämpfung]]=1,2,IF(Scharniere[[#This Row],[ohne Feder]]=1,3,0))),1,0)</f>
        <v>0</v>
      </c>
      <c r="M728" s="135">
        <f>IF(Scharniere[[#This Row],[Bohrbild]]=select!$O$334,1,0)</f>
        <v>1</v>
      </c>
      <c r="N728" s="135">
        <f>IF(IF(Scharniere[[#This Row],[Anschrauben]]=1,1,IF(Scharniere[[#This Row],[Einpressen]]=1,2,IF(Scharniere[[#This Row],[Quick]]=1,3,IF(Scharniere[[#This Row],[Werkzeuglos]]=1,4,0))))=select!$E$362,1,0)</f>
        <v>1</v>
      </c>
      <c r="O7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8" s="298">
        <f>IF(AND(Scharniere[[#This Row],[Scharnierart]]=3,Scharniere[[#This Row],[Gruppenschlüssel]]=select!$A$747)=TRUE,1,0)</f>
        <v>0</v>
      </c>
      <c r="Q728" s="298">
        <f ca="1">IF(select!$O$945&lt;6,1,0)</f>
        <v>1</v>
      </c>
      <c r="R728" s="298">
        <f>IF(select!$A$778=IF(Scharniere[[#This Row],[mit Dämpfung]]=1,1,IF(Scharniere[[#This Row],[ohne Dämpfung]]=1,2,IF(Scharniere[[#This Row],[ohne Feder]]=1,3,0))),1,0)</f>
        <v>0</v>
      </c>
      <c r="S728" s="298">
        <f>IF(Scharniere[[#This Row],[Bohrbild]]=select!$A$755,1,0)</f>
        <v>0</v>
      </c>
      <c r="T728" s="298">
        <f>IF(IF(Scharniere[[#This Row],[Anschrauben]]=1,1,IF(Scharniere[[#This Row],[Einpressen]]=1,2,IF(Scharniere[[#This Row],[Quick]]=1,3,IF(Scharniere[[#This Row],[Werkzeuglos]]=1,4,0))))=select!$A$769,1,0)</f>
        <v>1</v>
      </c>
      <c r="U7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8" s="359">
        <f>IF(AND(Scharniere[[#This Row],[Scharnierart]]=4,Scharniere[[#This Row],[Gruppenschlüssel]]=select!$A$981)=TRUE,1,0)</f>
        <v>0</v>
      </c>
      <c r="W728" s="359">
        <f ca="1">IF(select!$O$1185&lt;6,1,0)</f>
        <v>1</v>
      </c>
      <c r="X728" s="359">
        <f>IF(select!$A$1012=IF(Scharniere[[#This Row],[mit Dämpfung]]=1,1,IF(Scharniere[[#This Row],[ohne Dämpfung]]=1,2,IF(Scharniere[[#This Row],[ohne Feder]]=1,3,0))),1,0)</f>
        <v>0</v>
      </c>
      <c r="Y728" s="359">
        <f>IF(Scharniere[[#This Row],[Bohrbild]]=select!$A$989,1,0)</f>
        <v>0</v>
      </c>
      <c r="Z728" s="359">
        <f>IF(IF(Scharniere[[#This Row],[Anschrauben]]=1,1,IF(Scharniere[[#This Row],[Einpressen]]=1,2,IF(Scharniere[[#This Row],[Quick]]=1,3,IF(Scharniere[[#This Row],[Werkzeuglos]]=1,4,0))))=select!$A$1003,1,0)</f>
        <v>1</v>
      </c>
      <c r="AA7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8" s="359">
        <f ca="1">IF(select!$K$980="*",Scharniere[[#This Row],[AG Ges2]],Scharniere[[#This Row],[AG Ges1]])</f>
        <v>0</v>
      </c>
      <c r="AE728" s="451">
        <f ca="1">IF(AND(Scharniere[[#This Row],[Scharnierart]]=select!$A$1485,Scharniere[[#This Row],[Gruppenschlüssel]]=select!$B$1485)=TRUE,1,0)</f>
        <v>0</v>
      </c>
      <c r="AF728" s="451">
        <f ca="1">IF(AND(Scharniere[[#This Row],[Scharnierart]]=select!$A$1486,Scharniere[[#This Row],[Gruppenschlüssel]]=select!$B$1486)=TRUE,1,0)</f>
        <v>0</v>
      </c>
      <c r="AG728" s="451">
        <f ca="1">IF(AND(Scharniere[[#This Row],[Scharnierart]]=select!$A$1487,Scharniere[[#This Row],[Gruppenschlüssel]]=select!$B$1487)=TRUE,1,0)</f>
        <v>0</v>
      </c>
      <c r="AH728" s="451">
        <f ca="1">IF(AND(Scharniere[[#This Row],[Scharnierart]]=select!$A$1488,Scharniere[[#This Row],[Gruppenschlüssel]]=select!$B$1488)=TRUE,1,0)</f>
        <v>0</v>
      </c>
      <c r="AI728" s="451">
        <f ca="1">IF(SUM(Scharniere[[#This Row],[konf Scharnier 1]:[konf Scharnier 4]])&gt;0,1,0)</f>
        <v>0</v>
      </c>
      <c r="AJ728" s="451"/>
      <c r="AK728" s="451"/>
      <c r="AL728" s="451"/>
      <c r="AM728" s="451"/>
      <c r="AN728" s="451"/>
      <c r="AO728" s="146">
        <v>1</v>
      </c>
      <c r="AP728" s="146">
        <v>4</v>
      </c>
      <c r="AQ728" s="10" t="str">
        <f ca="1">Sprache!$A$114</f>
        <v>Tiomos Scharnier TT Click-on</v>
      </c>
      <c r="AR728" t="s">
        <v>254</v>
      </c>
      <c r="AS728" t="str">
        <f ca="1">Sprache!$A$103</f>
        <v>Tiomos Click-On Scharniere</v>
      </c>
      <c r="AT728">
        <v>0</v>
      </c>
      <c r="AU728" t="s">
        <v>8</v>
      </c>
      <c r="AV728">
        <v>95</v>
      </c>
      <c r="AW728" s="71">
        <v>0</v>
      </c>
      <c r="AX728">
        <v>0</v>
      </c>
      <c r="AY728">
        <v>1</v>
      </c>
      <c r="AZ728" s="71">
        <v>1</v>
      </c>
      <c r="BA728">
        <v>0</v>
      </c>
      <c r="BB728">
        <v>0</v>
      </c>
      <c r="BC728">
        <v>0</v>
      </c>
      <c r="BD728" s="144" t="s">
        <v>601</v>
      </c>
      <c r="BF728" s="10"/>
      <c r="BG728"/>
    </row>
    <row r="729" spans="1:59" ht="14.25" customHeight="1" x14ac:dyDescent="0.25">
      <c r="A729" s="37" t="str">
        <f>LEFT(Scharniere[[#This Row],[ArtikelNR]],4)</f>
        <v>F028</v>
      </c>
      <c r="B729" s="35" t="str">
        <f>MID(Scharniere[[#This Row],[ArtikelNR]],5,3)</f>
        <v>138</v>
      </c>
      <c r="C729" s="37" t="str">
        <f>RIGHT(Scharniere[[#This Row],[ArtikelNR]],3)</f>
        <v>545</v>
      </c>
      <c r="D729" s="35">
        <f>IF(AND(Scharniere[[#This Row],[Gruppenschlüssel]]=select!$A$44,Scharniere[[#This Row],[Scharnierart]]=1)=TRUE,1,0)</f>
        <v>0</v>
      </c>
      <c r="E7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29" s="35">
        <f>IF(select!$F$57=IF(Scharniere[[#This Row],[mit Dämpfung]]=1,1,IF(Scharniere[[#This Row],[ohne Dämpfung]]=1,2,IF(Scharniere[[#This Row],[ohne Feder]]=1,3,0))),1,0)</f>
        <v>0</v>
      </c>
      <c r="G729" s="35">
        <f>IF(Scharniere[[#This Row],[Bohrbild]]=select!$V$43,1,0)</f>
        <v>0</v>
      </c>
      <c r="H729" s="35">
        <f>IF(IF(Scharniere[[#This Row],[Anschrauben]]=1,1,IF(Scharniere[[#This Row],[Einpressen]]=1,2,IF(Scharniere[[#This Row],[Quick]]=1,3,IF(Scharniere[[#This Row],[Werkzeuglos]]=1,4,0))))=select!$F$48,1,0)</f>
        <v>1</v>
      </c>
      <c r="I7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29" s="149">
        <f>IF(AND(Scharniere[[#This Row],[Scharnierart]]=2,Scharniere[[#This Row],[Gruppenschlüssel]]=select!$A$318)=TRUE,1,0)</f>
        <v>1</v>
      </c>
      <c r="K729" s="221">
        <f ca="1">IF(select!$O$424&lt;6,1,0)</f>
        <v>1</v>
      </c>
      <c r="L729" s="221">
        <f>IF(select!$A$362=IF(Scharniere[[#This Row],[mit Dämpfung]]=1,1,IF(Scharniere[[#This Row],[ohne Dämpfung]]=1,2,IF(Scharniere[[#This Row],[ohne Feder]]=1,3,0))),1,0)</f>
        <v>1</v>
      </c>
      <c r="M729" s="135">
        <f>IF(Scharniere[[#This Row],[Bohrbild]]=select!$O$334,1,0)</f>
        <v>0</v>
      </c>
      <c r="N729" s="135">
        <f>IF(IF(Scharniere[[#This Row],[Anschrauben]]=1,1,IF(Scharniere[[#This Row],[Einpressen]]=1,2,IF(Scharniere[[#This Row],[Quick]]=1,3,IF(Scharniere[[#This Row],[Werkzeuglos]]=1,4,0))))=select!$E$362,1,0)</f>
        <v>0</v>
      </c>
      <c r="O7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29" s="298">
        <f>IF(AND(Scharniere[[#This Row],[Scharnierart]]=3,Scharniere[[#This Row],[Gruppenschlüssel]]=select!$A$747)=TRUE,1,0)</f>
        <v>0</v>
      </c>
      <c r="Q729" s="298">
        <f ca="1">IF(select!$O$945&lt;6,1,0)</f>
        <v>1</v>
      </c>
      <c r="R729" s="298">
        <f>IF(select!$A$778=IF(Scharniere[[#This Row],[mit Dämpfung]]=1,1,IF(Scharniere[[#This Row],[ohne Dämpfung]]=1,2,IF(Scharniere[[#This Row],[ohne Feder]]=1,3,0))),1,0)</f>
        <v>0</v>
      </c>
      <c r="S729" s="298">
        <f>IF(Scharniere[[#This Row],[Bohrbild]]=select!$A$755,1,0)</f>
        <v>0</v>
      </c>
      <c r="T729" s="298">
        <f>IF(IF(Scharniere[[#This Row],[Anschrauben]]=1,1,IF(Scharniere[[#This Row],[Einpressen]]=1,2,IF(Scharniere[[#This Row],[Quick]]=1,3,IF(Scharniere[[#This Row],[Werkzeuglos]]=1,4,0))))=select!$A$769,1,0)</f>
        <v>0</v>
      </c>
      <c r="U7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29" s="359">
        <f>IF(AND(Scharniere[[#This Row],[Scharnierart]]=4,Scharniere[[#This Row],[Gruppenschlüssel]]=select!$A$981)=TRUE,1,0)</f>
        <v>0</v>
      </c>
      <c r="W729" s="359">
        <f ca="1">IF(select!$O$1185&lt;6,1,0)</f>
        <v>1</v>
      </c>
      <c r="X729" s="359">
        <f>IF(select!$A$1012=IF(Scharniere[[#This Row],[mit Dämpfung]]=1,1,IF(Scharniere[[#This Row],[ohne Dämpfung]]=1,2,IF(Scharniere[[#This Row],[ohne Feder]]=1,3,0))),1,0)</f>
        <v>0</v>
      </c>
      <c r="Y729" s="359">
        <f>IF(Scharniere[[#This Row],[Bohrbild]]=select!$A$989,1,0)</f>
        <v>0</v>
      </c>
      <c r="Z729" s="359">
        <f>IF(IF(Scharniere[[#This Row],[Anschrauben]]=1,1,IF(Scharniere[[#This Row],[Einpressen]]=1,2,IF(Scharniere[[#This Row],[Quick]]=1,3,IF(Scharniere[[#This Row],[Werkzeuglos]]=1,4,0))))=select!$A$1003,1,0)</f>
        <v>0</v>
      </c>
      <c r="AA7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29" s="359">
        <f ca="1">IF(select!$K$980="*",Scharniere[[#This Row],[AG Ges2]],Scharniere[[#This Row],[AG Ges1]])</f>
        <v>0</v>
      </c>
      <c r="AE729" s="451">
        <f ca="1">IF(AND(Scharniere[[#This Row],[Scharnierart]]=select!$A$1485,Scharniere[[#This Row],[Gruppenschlüssel]]=select!$B$1485)=TRUE,1,0)</f>
        <v>0</v>
      </c>
      <c r="AF729" s="451">
        <f ca="1">IF(AND(Scharniere[[#This Row],[Scharnierart]]=select!$A$1486,Scharniere[[#This Row],[Gruppenschlüssel]]=select!$B$1486)=TRUE,1,0)</f>
        <v>0</v>
      </c>
      <c r="AG729" s="451">
        <f ca="1">IF(AND(Scharniere[[#This Row],[Scharnierart]]=select!$A$1487,Scharniere[[#This Row],[Gruppenschlüssel]]=select!$B$1487)=TRUE,1,0)</f>
        <v>0</v>
      </c>
      <c r="AH729" s="451">
        <f ca="1">IF(AND(Scharniere[[#This Row],[Scharnierart]]=select!$A$1488,Scharniere[[#This Row],[Gruppenschlüssel]]=select!$B$1488)=TRUE,1,0)</f>
        <v>0</v>
      </c>
      <c r="AI729" s="451">
        <f ca="1">IF(SUM(Scharniere[[#This Row],[konf Scharnier 1]:[konf Scharnier 4]])&gt;0,1,0)</f>
        <v>0</v>
      </c>
      <c r="AJ729" s="451"/>
      <c r="AK729" s="451"/>
      <c r="AL729" s="451"/>
      <c r="AM729" s="451"/>
      <c r="AN729" s="451"/>
      <c r="AO729" s="146">
        <v>2</v>
      </c>
      <c r="AP729" s="146">
        <v>1</v>
      </c>
      <c r="AQ729" s="10" t="str">
        <f ca="1">Sprache!$A$112</f>
        <v>Tiomos Scharnier TS Click-on</v>
      </c>
      <c r="AR729" t="str">
        <f ca="1">"110/90°, B-BB, "&amp;Sprache!$A$58&amp;" 0, ni"</f>
        <v>110/90°, B-BB, aufl. 0, ni</v>
      </c>
      <c r="AS729" t="str">
        <f ca="1">Sprache!$A$103</f>
        <v>Tiomos Click-On Scharniere</v>
      </c>
      <c r="AT729" t="s">
        <v>1264</v>
      </c>
      <c r="AU729" t="s">
        <v>3</v>
      </c>
      <c r="AV729">
        <v>110</v>
      </c>
      <c r="AW729" s="71">
        <v>1</v>
      </c>
      <c r="AX729">
        <v>0</v>
      </c>
      <c r="AY729">
        <v>0</v>
      </c>
      <c r="AZ729" s="71">
        <v>0</v>
      </c>
      <c r="BA729">
        <v>1</v>
      </c>
      <c r="BB729">
        <v>0</v>
      </c>
      <c r="BC729">
        <v>0</v>
      </c>
      <c r="BD729" s="144" t="s">
        <v>1426</v>
      </c>
      <c r="BF729" s="10"/>
      <c r="BG729"/>
    </row>
    <row r="730" spans="1:59" ht="14.25" customHeight="1" x14ac:dyDescent="0.25">
      <c r="A730" s="37" t="str">
        <f>LEFT(Scharniere[[#This Row],[ArtikelNR]],4)</f>
        <v>F045</v>
      </c>
      <c r="B730" s="35" t="str">
        <f>MID(Scharniere[[#This Row],[ArtikelNR]],5,3)</f>
        <v>138</v>
      </c>
      <c r="C730" s="37" t="str">
        <f>RIGHT(Scharniere[[#This Row],[ArtikelNR]],3)</f>
        <v>483</v>
      </c>
      <c r="D730" s="35">
        <f>IF(AND(Scharniere[[#This Row],[Gruppenschlüssel]]=select!$A$44,Scharniere[[#This Row],[Scharnierart]]=1)=TRUE,1,0)</f>
        <v>0</v>
      </c>
      <c r="E7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0" s="35">
        <f>IF(select!$F$57=IF(Scharniere[[#This Row],[mit Dämpfung]]=1,1,IF(Scharniere[[#This Row],[ohne Dämpfung]]=1,2,IF(Scharniere[[#This Row],[ohne Feder]]=1,3,0))),1,0)</f>
        <v>0</v>
      </c>
      <c r="G730" s="35">
        <f>IF(Scharniere[[#This Row],[Bohrbild]]=select!$V$43,1,0)</f>
        <v>0</v>
      </c>
      <c r="H730" s="35">
        <f>IF(IF(Scharniere[[#This Row],[Anschrauben]]=1,1,IF(Scharniere[[#This Row],[Einpressen]]=1,2,IF(Scharniere[[#This Row],[Quick]]=1,3,IF(Scharniere[[#This Row],[Werkzeuglos]]=1,4,0))))=select!$F$48,1,0)</f>
        <v>1</v>
      </c>
      <c r="I7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0" s="149">
        <f>IF(AND(Scharniere[[#This Row],[Scharnierart]]=2,Scharniere[[#This Row],[Gruppenschlüssel]]=select!$A$318)=TRUE,1,0)</f>
        <v>1</v>
      </c>
      <c r="K730" s="221">
        <f ca="1">IF(select!$O$424&lt;6,1,0)</f>
        <v>1</v>
      </c>
      <c r="L730" s="221">
        <f>IF(select!$A$362=IF(Scharniere[[#This Row],[mit Dämpfung]]=1,1,IF(Scharniere[[#This Row],[ohne Dämpfung]]=1,2,IF(Scharniere[[#This Row],[ohne Feder]]=1,3,0))),1,0)</f>
        <v>0</v>
      </c>
      <c r="M730" s="135">
        <f>IF(Scharniere[[#This Row],[Bohrbild]]=select!$O$334,1,0)</f>
        <v>0</v>
      </c>
      <c r="N730" s="135">
        <f>IF(IF(Scharniere[[#This Row],[Anschrauben]]=1,1,IF(Scharniere[[#This Row],[Einpressen]]=1,2,IF(Scharniere[[#This Row],[Quick]]=1,3,IF(Scharniere[[#This Row],[Werkzeuglos]]=1,4,0))))=select!$E$362,1,0)</f>
        <v>0</v>
      </c>
      <c r="O7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0" s="298">
        <f>IF(AND(Scharniere[[#This Row],[Scharnierart]]=3,Scharniere[[#This Row],[Gruppenschlüssel]]=select!$A$747)=TRUE,1,0)</f>
        <v>0</v>
      </c>
      <c r="Q730" s="298">
        <f ca="1">IF(select!$O$945&lt;6,1,0)</f>
        <v>1</v>
      </c>
      <c r="R730" s="298">
        <f>IF(select!$A$778=IF(Scharniere[[#This Row],[mit Dämpfung]]=1,1,IF(Scharniere[[#This Row],[ohne Dämpfung]]=1,2,IF(Scharniere[[#This Row],[ohne Feder]]=1,3,0))),1,0)</f>
        <v>1</v>
      </c>
      <c r="S730" s="298">
        <f>IF(Scharniere[[#This Row],[Bohrbild]]=select!$A$755,1,0)</f>
        <v>0</v>
      </c>
      <c r="T730" s="298">
        <f>IF(IF(Scharniere[[#This Row],[Anschrauben]]=1,1,IF(Scharniere[[#This Row],[Einpressen]]=1,2,IF(Scharniere[[#This Row],[Quick]]=1,3,IF(Scharniere[[#This Row],[Werkzeuglos]]=1,4,0))))=select!$A$769,1,0)</f>
        <v>0</v>
      </c>
      <c r="U7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0" s="359">
        <f>IF(AND(Scharniere[[#This Row],[Scharnierart]]=4,Scharniere[[#This Row],[Gruppenschlüssel]]=select!$A$981)=TRUE,1,0)</f>
        <v>0</v>
      </c>
      <c r="W730" s="359">
        <f ca="1">IF(select!$O$1185&lt;6,1,0)</f>
        <v>1</v>
      </c>
      <c r="X730" s="359">
        <f>IF(select!$A$1012=IF(Scharniere[[#This Row],[mit Dämpfung]]=1,1,IF(Scharniere[[#This Row],[ohne Dämpfung]]=1,2,IF(Scharniere[[#This Row],[ohne Feder]]=1,3,0))),1,0)</f>
        <v>1</v>
      </c>
      <c r="Y730" s="359">
        <f>IF(Scharniere[[#This Row],[Bohrbild]]=select!$A$989,1,0)</f>
        <v>0</v>
      </c>
      <c r="Z730" s="359">
        <f>IF(IF(Scharniere[[#This Row],[Anschrauben]]=1,1,IF(Scharniere[[#This Row],[Einpressen]]=1,2,IF(Scharniere[[#This Row],[Quick]]=1,3,IF(Scharniere[[#This Row],[Werkzeuglos]]=1,4,0))))=select!$A$1003,1,0)</f>
        <v>0</v>
      </c>
      <c r="AA7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0" s="359">
        <f ca="1">IF(select!$K$980="*",Scharniere[[#This Row],[AG Ges2]],Scharniere[[#This Row],[AG Ges1]])</f>
        <v>0</v>
      </c>
      <c r="AE730" s="451">
        <f ca="1">IF(AND(Scharniere[[#This Row],[Scharnierart]]=select!$A$1485,Scharniere[[#This Row],[Gruppenschlüssel]]=select!$B$1485)=TRUE,1,0)</f>
        <v>0</v>
      </c>
      <c r="AF730" s="451">
        <f ca="1">IF(AND(Scharniere[[#This Row],[Scharnierart]]=select!$A$1486,Scharniere[[#This Row],[Gruppenschlüssel]]=select!$B$1486)=TRUE,1,0)</f>
        <v>0</v>
      </c>
      <c r="AG730" s="451">
        <f ca="1">IF(AND(Scharniere[[#This Row],[Scharnierart]]=select!$A$1487,Scharniere[[#This Row],[Gruppenschlüssel]]=select!$B$1487)=TRUE,1,0)</f>
        <v>0</v>
      </c>
      <c r="AH730" s="451">
        <f ca="1">IF(AND(Scharniere[[#This Row],[Scharnierart]]=select!$A$1488,Scharniere[[#This Row],[Gruppenschlüssel]]=select!$B$1488)=TRUE,1,0)</f>
        <v>0</v>
      </c>
      <c r="AI730" s="451">
        <f ca="1">IF(SUM(Scharniere[[#This Row],[konf Scharnier 1]:[konf Scharnier 4]])&gt;0,1,0)</f>
        <v>0</v>
      </c>
      <c r="AJ730" s="451"/>
      <c r="AK730" s="451"/>
      <c r="AL730" s="451"/>
      <c r="AM730" s="451"/>
      <c r="AN730" s="451"/>
      <c r="AO730" s="146">
        <v>2</v>
      </c>
      <c r="AP730" s="146">
        <v>1</v>
      </c>
      <c r="AQ730" s="10" t="str">
        <f ca="1">Sprache!$A$118</f>
        <v>Tiomos Scharnier T Click-on</v>
      </c>
      <c r="AR730" t="str">
        <f ca="1">"110/90°, B-BB, "&amp;Sprache!$A$58&amp;" "&amp;Sprache!A181&amp;", ni"</f>
        <v>110/90°, B-BB, aufl. Dübel, ni</v>
      </c>
      <c r="AS730" t="str">
        <f ca="1">Sprache!$A$103</f>
        <v>Tiomos Click-On Scharniere</v>
      </c>
      <c r="AT730" t="s">
        <v>1264</v>
      </c>
      <c r="AU730" t="s">
        <v>3</v>
      </c>
      <c r="AV730">
        <v>110</v>
      </c>
      <c r="AW730" s="71">
        <v>0</v>
      </c>
      <c r="AX730">
        <v>1</v>
      </c>
      <c r="AY730">
        <v>0</v>
      </c>
      <c r="AZ730" s="71">
        <v>0</v>
      </c>
      <c r="BA730">
        <v>1</v>
      </c>
      <c r="BB730">
        <v>0</v>
      </c>
      <c r="BC730">
        <v>0</v>
      </c>
      <c r="BD730" s="144" t="s">
        <v>1782</v>
      </c>
      <c r="BF730" s="10"/>
      <c r="BG730"/>
    </row>
    <row r="731" spans="1:59" ht="14.25" customHeight="1" x14ac:dyDescent="0.25">
      <c r="A731" s="37" t="str">
        <f>LEFT(Scharniere[[#This Row],[ArtikelNR]],4)</f>
        <v>F028</v>
      </c>
      <c r="B731" s="35" t="str">
        <f>MID(Scharniere[[#This Row],[ArtikelNR]],5,3)</f>
        <v>138</v>
      </c>
      <c r="C731" s="37" t="str">
        <f>RIGHT(Scharniere[[#This Row],[ArtikelNR]],3)</f>
        <v>535</v>
      </c>
      <c r="D731" s="35">
        <f>IF(AND(Scharniere[[#This Row],[Gruppenschlüssel]]=select!$A$44,Scharniere[[#This Row],[Scharnierart]]=1)=TRUE,1,0)</f>
        <v>0</v>
      </c>
      <c r="E7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1" s="35">
        <f>IF(select!$F$57=IF(Scharniere[[#This Row],[mit Dämpfung]]=1,1,IF(Scharniere[[#This Row],[ohne Dämpfung]]=1,2,IF(Scharniere[[#This Row],[ohne Feder]]=1,3,0))),1,0)</f>
        <v>0</v>
      </c>
      <c r="G731" s="35">
        <f>IF(Scharniere[[#This Row],[Bohrbild]]=select!$V$43,1,0)</f>
        <v>0</v>
      </c>
      <c r="H731" s="35">
        <f>IF(IF(Scharniere[[#This Row],[Anschrauben]]=1,1,IF(Scharniere[[#This Row],[Einpressen]]=1,2,IF(Scharniere[[#This Row],[Quick]]=1,3,IF(Scharniere[[#This Row],[Werkzeuglos]]=1,4,0))))=select!$F$48,1,0)</f>
        <v>0</v>
      </c>
      <c r="I7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1" s="149">
        <f>IF(AND(Scharniere[[#This Row],[Scharnierart]]=2,Scharniere[[#This Row],[Gruppenschlüssel]]=select!$A$318)=TRUE,1,0)</f>
        <v>1</v>
      </c>
      <c r="K731" s="221">
        <f ca="1">IF(select!$O$424&lt;6,1,0)</f>
        <v>1</v>
      </c>
      <c r="L731" s="221">
        <f>IF(select!$A$362=IF(Scharniere[[#This Row],[mit Dämpfung]]=1,1,IF(Scharniere[[#This Row],[ohne Dämpfung]]=1,2,IF(Scharniere[[#This Row],[ohne Feder]]=1,3,0))),1,0)</f>
        <v>1</v>
      </c>
      <c r="M731" s="135">
        <f>IF(Scharniere[[#This Row],[Bohrbild]]=select!$O$334,1,0)</f>
        <v>0</v>
      </c>
      <c r="N731" s="135">
        <f>IF(IF(Scharniere[[#This Row],[Anschrauben]]=1,1,IF(Scharniere[[#This Row],[Einpressen]]=1,2,IF(Scharniere[[#This Row],[Quick]]=1,3,IF(Scharniere[[#This Row],[Werkzeuglos]]=1,4,0))))=select!$E$362,1,0)</f>
        <v>1</v>
      </c>
      <c r="O7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1" s="298">
        <f>IF(AND(Scharniere[[#This Row],[Scharnierart]]=3,Scharniere[[#This Row],[Gruppenschlüssel]]=select!$A$747)=TRUE,1,0)</f>
        <v>0</v>
      </c>
      <c r="Q731" s="298">
        <f ca="1">IF(select!$O$945&lt;6,1,0)</f>
        <v>1</v>
      </c>
      <c r="R731" s="298">
        <f>IF(select!$A$778=IF(Scharniere[[#This Row],[mit Dämpfung]]=1,1,IF(Scharniere[[#This Row],[ohne Dämpfung]]=1,2,IF(Scharniere[[#This Row],[ohne Feder]]=1,3,0))),1,0)</f>
        <v>0</v>
      </c>
      <c r="S731" s="298">
        <f>IF(Scharniere[[#This Row],[Bohrbild]]=select!$A$755,1,0)</f>
        <v>0</v>
      </c>
      <c r="T731" s="298">
        <f>IF(IF(Scharniere[[#This Row],[Anschrauben]]=1,1,IF(Scharniere[[#This Row],[Einpressen]]=1,2,IF(Scharniere[[#This Row],[Quick]]=1,3,IF(Scharniere[[#This Row],[Werkzeuglos]]=1,4,0))))=select!$A$769,1,0)</f>
        <v>1</v>
      </c>
      <c r="U7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1" s="359">
        <f>IF(AND(Scharniere[[#This Row],[Scharnierart]]=4,Scharniere[[#This Row],[Gruppenschlüssel]]=select!$A$981)=TRUE,1,0)</f>
        <v>0</v>
      </c>
      <c r="W731" s="359">
        <f ca="1">IF(select!$O$1185&lt;6,1,0)</f>
        <v>1</v>
      </c>
      <c r="X731" s="359">
        <f>IF(select!$A$1012=IF(Scharniere[[#This Row],[mit Dämpfung]]=1,1,IF(Scharniere[[#This Row],[ohne Dämpfung]]=1,2,IF(Scharniere[[#This Row],[ohne Feder]]=1,3,0))),1,0)</f>
        <v>0</v>
      </c>
      <c r="Y731" s="359">
        <f>IF(Scharniere[[#This Row],[Bohrbild]]=select!$A$989,1,0)</f>
        <v>0</v>
      </c>
      <c r="Z731" s="359">
        <f>IF(IF(Scharniere[[#This Row],[Anschrauben]]=1,1,IF(Scharniere[[#This Row],[Einpressen]]=1,2,IF(Scharniere[[#This Row],[Quick]]=1,3,IF(Scharniere[[#This Row],[Werkzeuglos]]=1,4,0))))=select!$A$1003,1,0)</f>
        <v>1</v>
      </c>
      <c r="AA7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1" s="359">
        <f ca="1">IF(select!$K$980="*",Scharniere[[#This Row],[AG Ges2]],Scharniere[[#This Row],[AG Ges1]])</f>
        <v>0</v>
      </c>
      <c r="AE731" s="451">
        <f ca="1">IF(AND(Scharniere[[#This Row],[Scharnierart]]=select!$A$1485,Scharniere[[#This Row],[Gruppenschlüssel]]=select!$B$1485)=TRUE,1,0)</f>
        <v>0</v>
      </c>
      <c r="AF731" s="451">
        <f ca="1">IF(AND(Scharniere[[#This Row],[Scharnierart]]=select!$A$1486,Scharniere[[#This Row],[Gruppenschlüssel]]=select!$B$1486)=TRUE,1,0)</f>
        <v>0</v>
      </c>
      <c r="AG731" s="451">
        <f ca="1">IF(AND(Scharniere[[#This Row],[Scharnierart]]=select!$A$1487,Scharniere[[#This Row],[Gruppenschlüssel]]=select!$B$1487)=TRUE,1,0)</f>
        <v>0</v>
      </c>
      <c r="AH731" s="451">
        <f ca="1">IF(AND(Scharniere[[#This Row],[Scharnierart]]=select!$A$1488,Scharniere[[#This Row],[Gruppenschlüssel]]=select!$B$1488)=TRUE,1,0)</f>
        <v>0</v>
      </c>
      <c r="AI731" s="451">
        <f ca="1">IF(SUM(Scharniere[[#This Row],[konf Scharnier 1]:[konf Scharnier 4]])&gt;0,1,0)</f>
        <v>0</v>
      </c>
      <c r="AJ731" s="451"/>
      <c r="AK731" s="451"/>
      <c r="AL731" s="451"/>
      <c r="AM731" s="451"/>
      <c r="AN731" s="451"/>
      <c r="AO731" s="146">
        <v>2</v>
      </c>
      <c r="AP731" s="146">
        <v>1</v>
      </c>
      <c r="AQ731" s="10" t="str">
        <f ca="1">Sprache!$A$112</f>
        <v>Tiomos Scharnier TS Click-on</v>
      </c>
      <c r="AR731" t="str">
        <f ca="1">"110/90°, B-BB, "&amp;Sprache!$A$58&amp;" ni"</f>
        <v>110/90°, B-BB, aufl. ni</v>
      </c>
      <c r="AS731" t="str">
        <f ca="1">Sprache!$A$103</f>
        <v>Tiomos Click-On Scharniere</v>
      </c>
      <c r="AT731" t="s">
        <v>1264</v>
      </c>
      <c r="AU731" t="s">
        <v>3</v>
      </c>
      <c r="AV731">
        <v>110</v>
      </c>
      <c r="AW731" s="71">
        <v>1</v>
      </c>
      <c r="AX731">
        <v>0</v>
      </c>
      <c r="AY731">
        <v>0</v>
      </c>
      <c r="AZ731" s="71">
        <v>1</v>
      </c>
      <c r="BA731">
        <v>0</v>
      </c>
      <c r="BB731">
        <v>0</v>
      </c>
      <c r="BC731">
        <v>0</v>
      </c>
      <c r="BD731" s="144" t="s">
        <v>1425</v>
      </c>
      <c r="BF731" s="10"/>
      <c r="BG731"/>
    </row>
    <row r="732" spans="1:59" ht="14.25" customHeight="1" x14ac:dyDescent="0.25">
      <c r="A732" s="37" t="str">
        <f>LEFT(Scharniere[[#This Row],[ArtikelNR]],4)</f>
        <v>F045</v>
      </c>
      <c r="B732" s="35" t="str">
        <f>MID(Scharniere[[#This Row],[ArtikelNR]],5,3)</f>
        <v>138</v>
      </c>
      <c r="C732" s="37" t="str">
        <f>RIGHT(Scharniere[[#This Row],[ArtikelNR]],3)</f>
        <v>473</v>
      </c>
      <c r="D732" s="35">
        <f>IF(AND(Scharniere[[#This Row],[Gruppenschlüssel]]=select!$A$44,Scharniere[[#This Row],[Scharnierart]]=1)=TRUE,1,0)</f>
        <v>0</v>
      </c>
      <c r="E7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2" s="35">
        <f>IF(select!$F$57=IF(Scharniere[[#This Row],[mit Dämpfung]]=1,1,IF(Scharniere[[#This Row],[ohne Dämpfung]]=1,2,IF(Scharniere[[#This Row],[ohne Feder]]=1,3,0))),1,0)</f>
        <v>0</v>
      </c>
      <c r="G732" s="35">
        <f>IF(Scharniere[[#This Row],[Bohrbild]]=select!$V$43,1,0)</f>
        <v>0</v>
      </c>
      <c r="H732" s="35">
        <f>IF(IF(Scharniere[[#This Row],[Anschrauben]]=1,1,IF(Scharniere[[#This Row],[Einpressen]]=1,2,IF(Scharniere[[#This Row],[Quick]]=1,3,IF(Scharniere[[#This Row],[Werkzeuglos]]=1,4,0))))=select!$F$48,1,0)</f>
        <v>0</v>
      </c>
      <c r="I7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2" s="149">
        <f>IF(AND(Scharniere[[#This Row],[Scharnierart]]=2,Scharniere[[#This Row],[Gruppenschlüssel]]=select!$A$318)=TRUE,1,0)</f>
        <v>1</v>
      </c>
      <c r="K732" s="221">
        <f ca="1">IF(select!$O$424&lt;6,1,0)</f>
        <v>1</v>
      </c>
      <c r="L732" s="221">
        <f>IF(select!$A$362=IF(Scharniere[[#This Row],[mit Dämpfung]]=1,1,IF(Scharniere[[#This Row],[ohne Dämpfung]]=1,2,IF(Scharniere[[#This Row],[ohne Feder]]=1,3,0))),1,0)</f>
        <v>0</v>
      </c>
      <c r="M732" s="135">
        <f>IF(Scharniere[[#This Row],[Bohrbild]]=select!$O$334,1,0)</f>
        <v>0</v>
      </c>
      <c r="N732" s="135">
        <f>IF(IF(Scharniere[[#This Row],[Anschrauben]]=1,1,IF(Scharniere[[#This Row],[Einpressen]]=1,2,IF(Scharniere[[#This Row],[Quick]]=1,3,IF(Scharniere[[#This Row],[Werkzeuglos]]=1,4,0))))=select!$E$362,1,0)</f>
        <v>1</v>
      </c>
      <c r="O7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2" s="298">
        <f>IF(AND(Scharniere[[#This Row],[Scharnierart]]=3,Scharniere[[#This Row],[Gruppenschlüssel]]=select!$A$747)=TRUE,1,0)</f>
        <v>0</v>
      </c>
      <c r="Q732" s="298">
        <f ca="1">IF(select!$O$945&lt;6,1,0)</f>
        <v>1</v>
      </c>
      <c r="R732" s="298">
        <f>IF(select!$A$778=IF(Scharniere[[#This Row],[mit Dämpfung]]=1,1,IF(Scharniere[[#This Row],[ohne Dämpfung]]=1,2,IF(Scharniere[[#This Row],[ohne Feder]]=1,3,0))),1,0)</f>
        <v>1</v>
      </c>
      <c r="S732" s="298">
        <f>IF(Scharniere[[#This Row],[Bohrbild]]=select!$A$755,1,0)</f>
        <v>0</v>
      </c>
      <c r="T732" s="298">
        <f>IF(IF(Scharniere[[#This Row],[Anschrauben]]=1,1,IF(Scharniere[[#This Row],[Einpressen]]=1,2,IF(Scharniere[[#This Row],[Quick]]=1,3,IF(Scharniere[[#This Row],[Werkzeuglos]]=1,4,0))))=select!$A$769,1,0)</f>
        <v>1</v>
      </c>
      <c r="U7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2" s="359">
        <f>IF(AND(Scharniere[[#This Row],[Scharnierart]]=4,Scharniere[[#This Row],[Gruppenschlüssel]]=select!$A$981)=TRUE,1,0)</f>
        <v>0</v>
      </c>
      <c r="W732" s="359">
        <f ca="1">IF(select!$O$1185&lt;6,1,0)</f>
        <v>1</v>
      </c>
      <c r="X732" s="359">
        <f>IF(select!$A$1012=IF(Scharniere[[#This Row],[mit Dämpfung]]=1,1,IF(Scharniere[[#This Row],[ohne Dämpfung]]=1,2,IF(Scharniere[[#This Row],[ohne Feder]]=1,3,0))),1,0)</f>
        <v>1</v>
      </c>
      <c r="Y732" s="359">
        <f>IF(Scharniere[[#This Row],[Bohrbild]]=select!$A$989,1,0)</f>
        <v>0</v>
      </c>
      <c r="Z732" s="359">
        <f>IF(IF(Scharniere[[#This Row],[Anschrauben]]=1,1,IF(Scharniere[[#This Row],[Einpressen]]=1,2,IF(Scharniere[[#This Row],[Quick]]=1,3,IF(Scharniere[[#This Row],[Werkzeuglos]]=1,4,0))))=select!$A$1003,1,0)</f>
        <v>1</v>
      </c>
      <c r="AA7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2" s="359">
        <f ca="1">IF(select!$K$980="*",Scharniere[[#This Row],[AG Ges2]],Scharniere[[#This Row],[AG Ges1]])</f>
        <v>0</v>
      </c>
      <c r="AE732" s="451">
        <f ca="1">IF(AND(Scharniere[[#This Row],[Scharnierart]]=select!$A$1485,Scharniere[[#This Row],[Gruppenschlüssel]]=select!$B$1485)=TRUE,1,0)</f>
        <v>0</v>
      </c>
      <c r="AF732" s="451">
        <f ca="1">IF(AND(Scharniere[[#This Row],[Scharnierart]]=select!$A$1486,Scharniere[[#This Row],[Gruppenschlüssel]]=select!$B$1486)=TRUE,1,0)</f>
        <v>0</v>
      </c>
      <c r="AG732" s="451">
        <f ca="1">IF(AND(Scharniere[[#This Row],[Scharnierart]]=select!$A$1487,Scharniere[[#This Row],[Gruppenschlüssel]]=select!$B$1487)=TRUE,1,0)</f>
        <v>0</v>
      </c>
      <c r="AH732" s="451">
        <f ca="1">IF(AND(Scharniere[[#This Row],[Scharnierart]]=select!$A$1488,Scharniere[[#This Row],[Gruppenschlüssel]]=select!$B$1488)=TRUE,1,0)</f>
        <v>0</v>
      </c>
      <c r="AI732" s="451">
        <f ca="1">IF(SUM(Scharniere[[#This Row],[konf Scharnier 1]:[konf Scharnier 4]])&gt;0,1,0)</f>
        <v>0</v>
      </c>
      <c r="AJ732" s="451"/>
      <c r="AK732" s="451"/>
      <c r="AL732" s="451"/>
      <c r="AM732" s="451"/>
      <c r="AN732" s="451"/>
      <c r="AO732" s="146">
        <v>2</v>
      </c>
      <c r="AP732" s="146">
        <v>1</v>
      </c>
      <c r="AQ732" s="10" t="str">
        <f ca="1">Sprache!$A$118</f>
        <v>Tiomos Scharnier T Click-on</v>
      </c>
      <c r="AR732" t="str">
        <f ca="1">"110/90°, B-BB, "&amp;Sprache!$A$58&amp;" ni"</f>
        <v>110/90°, B-BB, aufl. ni</v>
      </c>
      <c r="AS732" t="str">
        <f ca="1">Sprache!$A$103</f>
        <v>Tiomos Click-On Scharniere</v>
      </c>
      <c r="AT732" t="s">
        <v>1264</v>
      </c>
      <c r="AU732" t="s">
        <v>3</v>
      </c>
      <c r="AV732">
        <v>110</v>
      </c>
      <c r="AW732" s="71">
        <v>0</v>
      </c>
      <c r="AX732">
        <v>1</v>
      </c>
      <c r="AY732">
        <v>0</v>
      </c>
      <c r="AZ732" s="71">
        <v>1</v>
      </c>
      <c r="BA732">
        <v>0</v>
      </c>
      <c r="BB732">
        <v>0</v>
      </c>
      <c r="BC732">
        <v>0</v>
      </c>
      <c r="BD732" s="144" t="s">
        <v>1655</v>
      </c>
      <c r="BF732" s="10"/>
      <c r="BG732"/>
    </row>
    <row r="733" spans="1:59" ht="14.25" customHeight="1" x14ac:dyDescent="0.25">
      <c r="A733" s="37" t="str">
        <f>LEFT(Scharniere[[#This Row],[ArtikelNR]],4)</f>
        <v>F028</v>
      </c>
      <c r="B733" s="35" t="str">
        <f>MID(Scharniere[[#This Row],[ArtikelNR]],5,3)</f>
        <v>138</v>
      </c>
      <c r="C733" s="37" t="str">
        <f>RIGHT(Scharniere[[#This Row],[ArtikelNR]],3)</f>
        <v>363</v>
      </c>
      <c r="D733" s="35">
        <f>IF(AND(Scharniere[[#This Row],[Gruppenschlüssel]]=select!$A$44,Scharniere[[#This Row],[Scharnierart]]=1)=TRUE,1,0)</f>
        <v>0</v>
      </c>
      <c r="E7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3" s="35">
        <f>IF(select!$F$57=IF(Scharniere[[#This Row],[mit Dämpfung]]=1,1,IF(Scharniere[[#This Row],[ohne Dämpfung]]=1,2,IF(Scharniere[[#This Row],[ohne Feder]]=1,3,0))),1,0)</f>
        <v>0</v>
      </c>
      <c r="G733" s="35">
        <f>IF(Scharniere[[#This Row],[Bohrbild]]=select!$V$43,1,0)</f>
        <v>0</v>
      </c>
      <c r="H733" s="35">
        <f>IF(IF(Scharniere[[#This Row],[Anschrauben]]=1,1,IF(Scharniere[[#This Row],[Einpressen]]=1,2,IF(Scharniere[[#This Row],[Quick]]=1,3,IF(Scharniere[[#This Row],[Werkzeuglos]]=1,4,0))))=select!$F$48,1,0)</f>
        <v>1</v>
      </c>
      <c r="I7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3" s="149">
        <f>IF(AND(Scharniere[[#This Row],[Scharnierart]]=2,Scharniere[[#This Row],[Gruppenschlüssel]]=select!$A$318)=TRUE,1,0)</f>
        <v>1</v>
      </c>
      <c r="K733" s="221">
        <f ca="1">IF(select!$O$424&lt;6,1,0)</f>
        <v>1</v>
      </c>
      <c r="L733" s="221">
        <f>IF(select!$A$362=IF(Scharniere[[#This Row],[mit Dämpfung]]=1,1,IF(Scharniere[[#This Row],[ohne Dämpfung]]=1,2,IF(Scharniere[[#This Row],[ohne Feder]]=1,3,0))),1,0)</f>
        <v>1</v>
      </c>
      <c r="M733" s="135">
        <f>IF(Scharniere[[#This Row],[Bohrbild]]=select!$O$334,1,0)</f>
        <v>0</v>
      </c>
      <c r="N733" s="135">
        <f>IF(IF(Scharniere[[#This Row],[Anschrauben]]=1,1,IF(Scharniere[[#This Row],[Einpressen]]=1,2,IF(Scharniere[[#This Row],[Quick]]=1,3,IF(Scharniere[[#This Row],[Werkzeuglos]]=1,4,0))))=select!$E$362,1,0)</f>
        <v>0</v>
      </c>
      <c r="O7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3" s="298">
        <f>IF(AND(Scharniere[[#This Row],[Scharnierart]]=3,Scharniere[[#This Row],[Gruppenschlüssel]]=select!$A$747)=TRUE,1,0)</f>
        <v>0</v>
      </c>
      <c r="Q733" s="298">
        <f ca="1">IF(select!$O$945&lt;6,1,0)</f>
        <v>1</v>
      </c>
      <c r="R733" s="298">
        <f>IF(select!$A$778=IF(Scharniere[[#This Row],[mit Dämpfung]]=1,1,IF(Scharniere[[#This Row],[ohne Dämpfung]]=1,2,IF(Scharniere[[#This Row],[ohne Feder]]=1,3,0))),1,0)</f>
        <v>0</v>
      </c>
      <c r="S733" s="298">
        <f>IF(Scharniere[[#This Row],[Bohrbild]]=select!$A$755,1,0)</f>
        <v>0</v>
      </c>
      <c r="T733" s="298">
        <f>IF(IF(Scharniere[[#This Row],[Anschrauben]]=1,1,IF(Scharniere[[#This Row],[Einpressen]]=1,2,IF(Scharniere[[#This Row],[Quick]]=1,3,IF(Scharniere[[#This Row],[Werkzeuglos]]=1,4,0))))=select!$A$769,1,0)</f>
        <v>0</v>
      </c>
      <c r="U7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3" s="359">
        <f>IF(AND(Scharniere[[#This Row],[Scharnierart]]=4,Scharniere[[#This Row],[Gruppenschlüssel]]=select!$A$981)=TRUE,1,0)</f>
        <v>0</v>
      </c>
      <c r="W733" s="359">
        <f ca="1">IF(select!$O$1185&lt;6,1,0)</f>
        <v>1</v>
      </c>
      <c r="X733" s="359">
        <f>IF(select!$A$1012=IF(Scharniere[[#This Row],[mit Dämpfung]]=1,1,IF(Scharniere[[#This Row],[ohne Dämpfung]]=1,2,IF(Scharniere[[#This Row],[ohne Feder]]=1,3,0))),1,0)</f>
        <v>0</v>
      </c>
      <c r="Y733" s="359">
        <f>IF(Scharniere[[#This Row],[Bohrbild]]=select!$A$989,1,0)</f>
        <v>0</v>
      </c>
      <c r="Z733" s="359">
        <f>IF(IF(Scharniere[[#This Row],[Anschrauben]]=1,1,IF(Scharniere[[#This Row],[Einpressen]]=1,2,IF(Scharniere[[#This Row],[Quick]]=1,3,IF(Scharniere[[#This Row],[Werkzeuglos]]=1,4,0))))=select!$A$1003,1,0)</f>
        <v>0</v>
      </c>
      <c r="AA7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3" s="359">
        <f ca="1">IF(select!$K$980="*",Scharniere[[#This Row],[AG Ges2]],Scharniere[[#This Row],[AG Ges1]])</f>
        <v>0</v>
      </c>
      <c r="AE733" s="451">
        <f ca="1">IF(AND(Scharniere[[#This Row],[Scharnierart]]=select!$A$1485,Scharniere[[#This Row],[Gruppenschlüssel]]=select!$B$1485)=TRUE,1,0)</f>
        <v>0</v>
      </c>
      <c r="AF733" s="451">
        <f ca="1">IF(AND(Scharniere[[#This Row],[Scharnierart]]=select!$A$1486,Scharniere[[#This Row],[Gruppenschlüssel]]=select!$B$1486)=TRUE,1,0)</f>
        <v>0</v>
      </c>
      <c r="AG733" s="451">
        <f ca="1">IF(AND(Scharniere[[#This Row],[Scharnierart]]=select!$A$1487,Scharniere[[#This Row],[Gruppenschlüssel]]=select!$B$1487)=TRUE,1,0)</f>
        <v>0</v>
      </c>
      <c r="AH733" s="451">
        <f ca="1">IF(AND(Scharniere[[#This Row],[Scharnierart]]=select!$A$1488,Scharniere[[#This Row],[Gruppenschlüssel]]=select!$B$1488)=TRUE,1,0)</f>
        <v>0</v>
      </c>
      <c r="AI733" s="451">
        <f ca="1">IF(SUM(Scharniere[[#This Row],[konf Scharnier 1]:[konf Scharnier 4]])&gt;0,1,0)</f>
        <v>0</v>
      </c>
      <c r="AJ733" s="451"/>
      <c r="AK733" s="451"/>
      <c r="AL733" s="451"/>
      <c r="AM733" s="451"/>
      <c r="AN733" s="451"/>
      <c r="AO733" s="146">
        <v>2</v>
      </c>
      <c r="AP733" s="146">
        <v>1</v>
      </c>
      <c r="AQ733" s="10" t="str">
        <f ca="1">Sprache!$A$112</f>
        <v>Tiomos Scharnier TS Click-on</v>
      </c>
      <c r="AR733" t="str">
        <f ca="1">"110/90°, G-BB, "&amp;Sprache!$A$58&amp;" 0, ni"</f>
        <v>110/90°, G-BB, aufl. 0, ni</v>
      </c>
      <c r="AS733" t="str">
        <f ca="1">Sprache!$A$103</f>
        <v>Tiomos Click-On Scharniere</v>
      </c>
      <c r="AT733" t="s">
        <v>1264</v>
      </c>
      <c r="AU733" t="s">
        <v>9</v>
      </c>
      <c r="AV733">
        <v>110</v>
      </c>
      <c r="AW733" s="71">
        <v>1</v>
      </c>
      <c r="AX733">
        <v>0</v>
      </c>
      <c r="AY733">
        <v>0</v>
      </c>
      <c r="AZ733" s="71">
        <v>0</v>
      </c>
      <c r="BA733">
        <v>1</v>
      </c>
      <c r="BB733">
        <v>0</v>
      </c>
      <c r="BC733">
        <v>0</v>
      </c>
      <c r="BD733" s="144" t="s">
        <v>1541</v>
      </c>
      <c r="BF733" s="10"/>
      <c r="BG733"/>
    </row>
    <row r="734" spans="1:59" ht="14.25" customHeight="1" x14ac:dyDescent="0.25">
      <c r="A734" s="37" t="str">
        <f>LEFT(Scharniere[[#This Row],[ArtikelNR]],4)</f>
        <v>F045</v>
      </c>
      <c r="B734" s="35" t="str">
        <f>MID(Scharniere[[#This Row],[ArtikelNR]],5,3)</f>
        <v>138</v>
      </c>
      <c r="C734" s="37" t="str">
        <f>RIGHT(Scharniere[[#This Row],[ArtikelNR]],3)</f>
        <v>301</v>
      </c>
      <c r="D734" s="35">
        <f>IF(AND(Scharniere[[#This Row],[Gruppenschlüssel]]=select!$A$44,Scharniere[[#This Row],[Scharnierart]]=1)=TRUE,1,0)</f>
        <v>0</v>
      </c>
      <c r="E7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4" s="35">
        <f>IF(select!$F$57=IF(Scharniere[[#This Row],[mit Dämpfung]]=1,1,IF(Scharniere[[#This Row],[ohne Dämpfung]]=1,2,IF(Scharniere[[#This Row],[ohne Feder]]=1,3,0))),1,0)</f>
        <v>0</v>
      </c>
      <c r="G734" s="35">
        <f>IF(Scharniere[[#This Row],[Bohrbild]]=select!$V$43,1,0)</f>
        <v>0</v>
      </c>
      <c r="H734" s="35">
        <f>IF(IF(Scharniere[[#This Row],[Anschrauben]]=1,1,IF(Scharniere[[#This Row],[Einpressen]]=1,2,IF(Scharniere[[#This Row],[Quick]]=1,3,IF(Scharniere[[#This Row],[Werkzeuglos]]=1,4,0))))=select!$F$48,1,0)</f>
        <v>1</v>
      </c>
      <c r="I7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4" s="149">
        <f>IF(AND(Scharniere[[#This Row],[Scharnierart]]=2,Scharniere[[#This Row],[Gruppenschlüssel]]=select!$A$318)=TRUE,1,0)</f>
        <v>1</v>
      </c>
      <c r="K734" s="221">
        <f ca="1">IF(select!$O$424&lt;6,1,0)</f>
        <v>1</v>
      </c>
      <c r="L734" s="221">
        <f>IF(select!$A$362=IF(Scharniere[[#This Row],[mit Dämpfung]]=1,1,IF(Scharniere[[#This Row],[ohne Dämpfung]]=1,2,IF(Scharniere[[#This Row],[ohne Feder]]=1,3,0))),1,0)</f>
        <v>0</v>
      </c>
      <c r="M734" s="135">
        <f>IF(Scharniere[[#This Row],[Bohrbild]]=select!$O$334,1,0)</f>
        <v>0</v>
      </c>
      <c r="N734" s="135">
        <f>IF(IF(Scharniere[[#This Row],[Anschrauben]]=1,1,IF(Scharniere[[#This Row],[Einpressen]]=1,2,IF(Scharniere[[#This Row],[Quick]]=1,3,IF(Scharniere[[#This Row],[Werkzeuglos]]=1,4,0))))=select!$E$362,1,0)</f>
        <v>0</v>
      </c>
      <c r="O7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4" s="298">
        <f>IF(AND(Scharniere[[#This Row],[Scharnierart]]=3,Scharniere[[#This Row],[Gruppenschlüssel]]=select!$A$747)=TRUE,1,0)</f>
        <v>0</v>
      </c>
      <c r="Q734" s="298">
        <f ca="1">IF(select!$O$945&lt;6,1,0)</f>
        <v>1</v>
      </c>
      <c r="R734" s="298">
        <f>IF(select!$A$778=IF(Scharniere[[#This Row],[mit Dämpfung]]=1,1,IF(Scharniere[[#This Row],[ohne Dämpfung]]=1,2,IF(Scharniere[[#This Row],[ohne Feder]]=1,3,0))),1,0)</f>
        <v>1</v>
      </c>
      <c r="S734" s="298">
        <f>IF(Scharniere[[#This Row],[Bohrbild]]=select!$A$755,1,0)</f>
        <v>0</v>
      </c>
      <c r="T734" s="298">
        <f>IF(IF(Scharniere[[#This Row],[Anschrauben]]=1,1,IF(Scharniere[[#This Row],[Einpressen]]=1,2,IF(Scharniere[[#This Row],[Quick]]=1,3,IF(Scharniere[[#This Row],[Werkzeuglos]]=1,4,0))))=select!$A$769,1,0)</f>
        <v>0</v>
      </c>
      <c r="U7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4" s="359">
        <f>IF(AND(Scharniere[[#This Row],[Scharnierart]]=4,Scharniere[[#This Row],[Gruppenschlüssel]]=select!$A$981)=TRUE,1,0)</f>
        <v>0</v>
      </c>
      <c r="W734" s="359">
        <f ca="1">IF(select!$O$1185&lt;6,1,0)</f>
        <v>1</v>
      </c>
      <c r="X734" s="359">
        <f>IF(select!$A$1012=IF(Scharniere[[#This Row],[mit Dämpfung]]=1,1,IF(Scharniere[[#This Row],[ohne Dämpfung]]=1,2,IF(Scharniere[[#This Row],[ohne Feder]]=1,3,0))),1,0)</f>
        <v>1</v>
      </c>
      <c r="Y734" s="359">
        <f>IF(Scharniere[[#This Row],[Bohrbild]]=select!$A$989,1,0)</f>
        <v>0</v>
      </c>
      <c r="Z734" s="359">
        <f>IF(IF(Scharniere[[#This Row],[Anschrauben]]=1,1,IF(Scharniere[[#This Row],[Einpressen]]=1,2,IF(Scharniere[[#This Row],[Quick]]=1,3,IF(Scharniere[[#This Row],[Werkzeuglos]]=1,4,0))))=select!$A$1003,1,0)</f>
        <v>0</v>
      </c>
      <c r="AA7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4" s="359">
        <f ca="1">IF(select!$K$980="*",Scharniere[[#This Row],[AG Ges2]],Scharniere[[#This Row],[AG Ges1]])</f>
        <v>0</v>
      </c>
      <c r="AE734" s="451">
        <f ca="1">IF(AND(Scharniere[[#This Row],[Scharnierart]]=select!$A$1485,Scharniere[[#This Row],[Gruppenschlüssel]]=select!$B$1485)=TRUE,1,0)</f>
        <v>0</v>
      </c>
      <c r="AF734" s="451">
        <f ca="1">IF(AND(Scharniere[[#This Row],[Scharnierart]]=select!$A$1486,Scharniere[[#This Row],[Gruppenschlüssel]]=select!$B$1486)=TRUE,1,0)</f>
        <v>0</v>
      </c>
      <c r="AG734" s="451">
        <f ca="1">IF(AND(Scharniere[[#This Row],[Scharnierart]]=select!$A$1487,Scharniere[[#This Row],[Gruppenschlüssel]]=select!$B$1487)=TRUE,1,0)</f>
        <v>0</v>
      </c>
      <c r="AH734" s="451">
        <f ca="1">IF(AND(Scharniere[[#This Row],[Scharnierart]]=select!$A$1488,Scharniere[[#This Row],[Gruppenschlüssel]]=select!$B$1488)=TRUE,1,0)</f>
        <v>0</v>
      </c>
      <c r="AI734" s="451">
        <f ca="1">IF(SUM(Scharniere[[#This Row],[konf Scharnier 1]:[konf Scharnier 4]])&gt;0,1,0)</f>
        <v>0</v>
      </c>
      <c r="AJ734" s="451"/>
      <c r="AK734" s="451"/>
      <c r="AL734" s="451"/>
      <c r="AM734" s="451"/>
      <c r="AN734" s="451"/>
      <c r="AO734" s="146">
        <v>2</v>
      </c>
      <c r="AP734" s="146">
        <v>1</v>
      </c>
      <c r="AQ734" s="10" t="str">
        <f ca="1">Sprache!$A$118</f>
        <v>Tiomos Scharnier T Click-on</v>
      </c>
      <c r="AR734" t="str">
        <f ca="1">"110/90°, G-BB, "&amp;Sprache!$A$58&amp;" 0, ni"</f>
        <v>110/90°, G-BB, aufl. 0, ni</v>
      </c>
      <c r="AS734" t="str">
        <f ca="1">Sprache!$A$103</f>
        <v>Tiomos Click-On Scharniere</v>
      </c>
      <c r="AT734" t="s">
        <v>1264</v>
      </c>
      <c r="AU734" t="s">
        <v>9</v>
      </c>
      <c r="AV734">
        <v>110</v>
      </c>
      <c r="AW734" s="71">
        <v>0</v>
      </c>
      <c r="AX734">
        <v>1</v>
      </c>
      <c r="AY734">
        <v>0</v>
      </c>
      <c r="AZ734" s="71">
        <v>0</v>
      </c>
      <c r="BA734">
        <v>1</v>
      </c>
      <c r="BB734">
        <v>0</v>
      </c>
      <c r="BC734">
        <v>0</v>
      </c>
      <c r="BD734" s="144" t="s">
        <v>1642</v>
      </c>
      <c r="BF734" s="10"/>
      <c r="BG734"/>
    </row>
    <row r="735" spans="1:59" ht="14.25" customHeight="1" x14ac:dyDescent="0.25">
      <c r="A735" s="37" t="str">
        <f>LEFT(Scharniere[[#This Row],[ArtikelNR]],4)</f>
        <v>F028</v>
      </c>
      <c r="B735" s="35" t="str">
        <f>MID(Scharniere[[#This Row],[ArtikelNR]],5,3)</f>
        <v>138</v>
      </c>
      <c r="C735" s="37" t="str">
        <f>RIGHT(Scharniere[[#This Row],[ArtikelNR]],3)</f>
        <v>353</v>
      </c>
      <c r="D735" s="35">
        <f>IF(AND(Scharniere[[#This Row],[Gruppenschlüssel]]=select!$A$44,Scharniere[[#This Row],[Scharnierart]]=1)=TRUE,1,0)</f>
        <v>0</v>
      </c>
      <c r="E7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5" s="35">
        <f>IF(select!$F$57=IF(Scharniere[[#This Row],[mit Dämpfung]]=1,1,IF(Scharniere[[#This Row],[ohne Dämpfung]]=1,2,IF(Scharniere[[#This Row],[ohne Feder]]=1,3,0))),1,0)</f>
        <v>0</v>
      </c>
      <c r="G735" s="35">
        <f>IF(Scharniere[[#This Row],[Bohrbild]]=select!$V$43,1,0)</f>
        <v>0</v>
      </c>
      <c r="H735" s="35">
        <f>IF(IF(Scharniere[[#This Row],[Anschrauben]]=1,1,IF(Scharniere[[#This Row],[Einpressen]]=1,2,IF(Scharniere[[#This Row],[Quick]]=1,3,IF(Scharniere[[#This Row],[Werkzeuglos]]=1,4,0))))=select!$F$48,1,0)</f>
        <v>0</v>
      </c>
      <c r="I7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5" s="149">
        <f>IF(AND(Scharniere[[#This Row],[Scharnierart]]=2,Scharniere[[#This Row],[Gruppenschlüssel]]=select!$A$318)=TRUE,1,0)</f>
        <v>1</v>
      </c>
      <c r="K735" s="221">
        <f ca="1">IF(select!$O$424&lt;6,1,0)</f>
        <v>1</v>
      </c>
      <c r="L735" s="221">
        <f>IF(select!$A$362=IF(Scharniere[[#This Row],[mit Dämpfung]]=1,1,IF(Scharniere[[#This Row],[ohne Dämpfung]]=1,2,IF(Scharniere[[#This Row],[ohne Feder]]=1,3,0))),1,0)</f>
        <v>1</v>
      </c>
      <c r="M735" s="135">
        <f>IF(Scharniere[[#This Row],[Bohrbild]]=select!$O$334,1,0)</f>
        <v>0</v>
      </c>
      <c r="N735" s="135">
        <f>IF(IF(Scharniere[[#This Row],[Anschrauben]]=1,1,IF(Scharniere[[#This Row],[Einpressen]]=1,2,IF(Scharniere[[#This Row],[Quick]]=1,3,IF(Scharniere[[#This Row],[Werkzeuglos]]=1,4,0))))=select!$E$362,1,0)</f>
        <v>1</v>
      </c>
      <c r="O7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5" s="298">
        <f>IF(AND(Scharniere[[#This Row],[Scharnierart]]=3,Scharniere[[#This Row],[Gruppenschlüssel]]=select!$A$747)=TRUE,1,0)</f>
        <v>0</v>
      </c>
      <c r="Q735" s="298">
        <f ca="1">IF(select!$O$945&lt;6,1,0)</f>
        <v>1</v>
      </c>
      <c r="R735" s="298">
        <f>IF(select!$A$778=IF(Scharniere[[#This Row],[mit Dämpfung]]=1,1,IF(Scharniere[[#This Row],[ohne Dämpfung]]=1,2,IF(Scharniere[[#This Row],[ohne Feder]]=1,3,0))),1,0)</f>
        <v>0</v>
      </c>
      <c r="S735" s="298">
        <f>IF(Scharniere[[#This Row],[Bohrbild]]=select!$A$755,1,0)</f>
        <v>0</v>
      </c>
      <c r="T735" s="298">
        <f>IF(IF(Scharniere[[#This Row],[Anschrauben]]=1,1,IF(Scharniere[[#This Row],[Einpressen]]=1,2,IF(Scharniere[[#This Row],[Quick]]=1,3,IF(Scharniere[[#This Row],[Werkzeuglos]]=1,4,0))))=select!$A$769,1,0)</f>
        <v>1</v>
      </c>
      <c r="U7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5" s="359">
        <f>IF(AND(Scharniere[[#This Row],[Scharnierart]]=4,Scharniere[[#This Row],[Gruppenschlüssel]]=select!$A$981)=TRUE,1,0)</f>
        <v>0</v>
      </c>
      <c r="W735" s="359">
        <f ca="1">IF(select!$O$1185&lt;6,1,0)</f>
        <v>1</v>
      </c>
      <c r="X735" s="359">
        <f>IF(select!$A$1012=IF(Scharniere[[#This Row],[mit Dämpfung]]=1,1,IF(Scharniere[[#This Row],[ohne Dämpfung]]=1,2,IF(Scharniere[[#This Row],[ohne Feder]]=1,3,0))),1,0)</f>
        <v>0</v>
      </c>
      <c r="Y735" s="359">
        <f>IF(Scharniere[[#This Row],[Bohrbild]]=select!$A$989,1,0)</f>
        <v>0</v>
      </c>
      <c r="Z735" s="359">
        <f>IF(IF(Scharniere[[#This Row],[Anschrauben]]=1,1,IF(Scharniere[[#This Row],[Einpressen]]=1,2,IF(Scharniere[[#This Row],[Quick]]=1,3,IF(Scharniere[[#This Row],[Werkzeuglos]]=1,4,0))))=select!$A$1003,1,0)</f>
        <v>1</v>
      </c>
      <c r="AA7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5" s="359">
        <f ca="1">IF(select!$K$980="*",Scharniere[[#This Row],[AG Ges2]],Scharniere[[#This Row],[AG Ges1]])</f>
        <v>0</v>
      </c>
      <c r="AE735" s="451">
        <f ca="1">IF(AND(Scharniere[[#This Row],[Scharnierart]]=select!$A$1485,Scharniere[[#This Row],[Gruppenschlüssel]]=select!$B$1485)=TRUE,1,0)</f>
        <v>0</v>
      </c>
      <c r="AF735" s="451">
        <f ca="1">IF(AND(Scharniere[[#This Row],[Scharnierart]]=select!$A$1486,Scharniere[[#This Row],[Gruppenschlüssel]]=select!$B$1486)=TRUE,1,0)</f>
        <v>0</v>
      </c>
      <c r="AG735" s="451">
        <f ca="1">IF(AND(Scharniere[[#This Row],[Scharnierart]]=select!$A$1487,Scharniere[[#This Row],[Gruppenschlüssel]]=select!$B$1487)=TRUE,1,0)</f>
        <v>0</v>
      </c>
      <c r="AH735" s="451">
        <f ca="1">IF(AND(Scharniere[[#This Row],[Scharnierart]]=select!$A$1488,Scharniere[[#This Row],[Gruppenschlüssel]]=select!$B$1488)=TRUE,1,0)</f>
        <v>0</v>
      </c>
      <c r="AI735" s="451">
        <f ca="1">IF(SUM(Scharniere[[#This Row],[konf Scharnier 1]:[konf Scharnier 4]])&gt;0,1,0)</f>
        <v>0</v>
      </c>
      <c r="AJ735" s="451"/>
      <c r="AK735" s="451"/>
      <c r="AL735" s="451"/>
      <c r="AM735" s="451"/>
      <c r="AN735" s="451"/>
      <c r="AO735" s="146">
        <v>2</v>
      </c>
      <c r="AP735" s="146">
        <v>1</v>
      </c>
      <c r="AQ735" s="10" t="str">
        <f ca="1">Sprache!$A$112</f>
        <v>Tiomos Scharnier TS Click-on</v>
      </c>
      <c r="AR735" t="str">
        <f ca="1">"110/90°, G-BB, "&amp;Sprache!$A$58&amp;" ni"</f>
        <v>110/90°, G-BB, aufl. ni</v>
      </c>
      <c r="AS735" t="str">
        <f ca="1">Sprache!$A$103</f>
        <v>Tiomos Click-On Scharniere</v>
      </c>
      <c r="AT735" t="s">
        <v>1264</v>
      </c>
      <c r="AU735" t="s">
        <v>9</v>
      </c>
      <c r="AV735">
        <v>110</v>
      </c>
      <c r="AW735" s="71">
        <v>1</v>
      </c>
      <c r="AX735">
        <v>0</v>
      </c>
      <c r="AY735">
        <v>0</v>
      </c>
      <c r="AZ735" s="71">
        <v>1</v>
      </c>
      <c r="BA735">
        <v>0</v>
      </c>
      <c r="BB735">
        <v>0</v>
      </c>
      <c r="BC735">
        <v>0</v>
      </c>
      <c r="BD735" s="144" t="s">
        <v>1539</v>
      </c>
      <c r="BF735" s="10"/>
      <c r="BG735"/>
    </row>
    <row r="736" spans="1:59" ht="14.25" customHeight="1" x14ac:dyDescent="0.25">
      <c r="A736" s="37" t="str">
        <f>LEFT(Scharniere[[#This Row],[ArtikelNR]],4)</f>
        <v>F045</v>
      </c>
      <c r="B736" s="35" t="str">
        <f>MID(Scharniere[[#This Row],[ArtikelNR]],5,3)</f>
        <v>138</v>
      </c>
      <c r="C736" s="37" t="str">
        <f>RIGHT(Scharniere[[#This Row],[ArtikelNR]],3)</f>
        <v>291</v>
      </c>
      <c r="D736" s="35">
        <f>IF(AND(Scharniere[[#This Row],[Gruppenschlüssel]]=select!$A$44,Scharniere[[#This Row],[Scharnierart]]=1)=TRUE,1,0)</f>
        <v>0</v>
      </c>
      <c r="E7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6" s="35">
        <f>IF(select!$F$57=IF(Scharniere[[#This Row],[mit Dämpfung]]=1,1,IF(Scharniere[[#This Row],[ohne Dämpfung]]=1,2,IF(Scharniere[[#This Row],[ohne Feder]]=1,3,0))),1,0)</f>
        <v>0</v>
      </c>
      <c r="G736" s="35">
        <f>IF(Scharniere[[#This Row],[Bohrbild]]=select!$V$43,1,0)</f>
        <v>0</v>
      </c>
      <c r="H736" s="35">
        <f>IF(IF(Scharniere[[#This Row],[Anschrauben]]=1,1,IF(Scharniere[[#This Row],[Einpressen]]=1,2,IF(Scharniere[[#This Row],[Quick]]=1,3,IF(Scharniere[[#This Row],[Werkzeuglos]]=1,4,0))))=select!$F$48,1,0)</f>
        <v>0</v>
      </c>
      <c r="I7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6" s="149">
        <f>IF(AND(Scharniere[[#This Row],[Scharnierart]]=2,Scharniere[[#This Row],[Gruppenschlüssel]]=select!$A$318)=TRUE,1,0)</f>
        <v>1</v>
      </c>
      <c r="K736" s="221">
        <f ca="1">IF(select!$O$424&lt;6,1,0)</f>
        <v>1</v>
      </c>
      <c r="L736" s="221">
        <f>IF(select!$A$362=IF(Scharniere[[#This Row],[mit Dämpfung]]=1,1,IF(Scharniere[[#This Row],[ohne Dämpfung]]=1,2,IF(Scharniere[[#This Row],[ohne Feder]]=1,3,0))),1,0)</f>
        <v>0</v>
      </c>
      <c r="M736" s="135">
        <f>IF(Scharniere[[#This Row],[Bohrbild]]=select!$O$334,1,0)</f>
        <v>0</v>
      </c>
      <c r="N736" s="135">
        <f>IF(IF(Scharniere[[#This Row],[Anschrauben]]=1,1,IF(Scharniere[[#This Row],[Einpressen]]=1,2,IF(Scharniere[[#This Row],[Quick]]=1,3,IF(Scharniere[[#This Row],[Werkzeuglos]]=1,4,0))))=select!$E$362,1,0)</f>
        <v>1</v>
      </c>
      <c r="O7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6" s="298">
        <f>IF(AND(Scharniere[[#This Row],[Scharnierart]]=3,Scharniere[[#This Row],[Gruppenschlüssel]]=select!$A$747)=TRUE,1,0)</f>
        <v>0</v>
      </c>
      <c r="Q736" s="298">
        <f ca="1">IF(select!$O$945&lt;6,1,0)</f>
        <v>1</v>
      </c>
      <c r="R736" s="298">
        <f>IF(select!$A$778=IF(Scharniere[[#This Row],[mit Dämpfung]]=1,1,IF(Scharniere[[#This Row],[ohne Dämpfung]]=1,2,IF(Scharniere[[#This Row],[ohne Feder]]=1,3,0))),1,0)</f>
        <v>1</v>
      </c>
      <c r="S736" s="298">
        <f>IF(Scharniere[[#This Row],[Bohrbild]]=select!$A$755,1,0)</f>
        <v>0</v>
      </c>
      <c r="T736" s="298">
        <f>IF(IF(Scharniere[[#This Row],[Anschrauben]]=1,1,IF(Scharniere[[#This Row],[Einpressen]]=1,2,IF(Scharniere[[#This Row],[Quick]]=1,3,IF(Scharniere[[#This Row],[Werkzeuglos]]=1,4,0))))=select!$A$769,1,0)</f>
        <v>1</v>
      </c>
      <c r="U7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6" s="359">
        <f>IF(AND(Scharniere[[#This Row],[Scharnierart]]=4,Scharniere[[#This Row],[Gruppenschlüssel]]=select!$A$981)=TRUE,1,0)</f>
        <v>0</v>
      </c>
      <c r="W736" s="359">
        <f ca="1">IF(select!$O$1185&lt;6,1,0)</f>
        <v>1</v>
      </c>
      <c r="X736" s="359">
        <f>IF(select!$A$1012=IF(Scharniere[[#This Row],[mit Dämpfung]]=1,1,IF(Scharniere[[#This Row],[ohne Dämpfung]]=1,2,IF(Scharniere[[#This Row],[ohne Feder]]=1,3,0))),1,0)</f>
        <v>1</v>
      </c>
      <c r="Y736" s="359">
        <f>IF(Scharniere[[#This Row],[Bohrbild]]=select!$A$989,1,0)</f>
        <v>0</v>
      </c>
      <c r="Z736" s="359">
        <f>IF(IF(Scharniere[[#This Row],[Anschrauben]]=1,1,IF(Scharniere[[#This Row],[Einpressen]]=1,2,IF(Scharniere[[#This Row],[Quick]]=1,3,IF(Scharniere[[#This Row],[Werkzeuglos]]=1,4,0))))=select!$A$1003,1,0)</f>
        <v>1</v>
      </c>
      <c r="AA7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6" s="359">
        <f ca="1">IF(select!$K$980="*",Scharniere[[#This Row],[AG Ges2]],Scharniere[[#This Row],[AG Ges1]])</f>
        <v>0</v>
      </c>
      <c r="AE736" s="451">
        <f ca="1">IF(AND(Scharniere[[#This Row],[Scharnierart]]=select!$A$1485,Scharniere[[#This Row],[Gruppenschlüssel]]=select!$B$1485)=TRUE,1,0)</f>
        <v>0</v>
      </c>
      <c r="AF736" s="451">
        <f ca="1">IF(AND(Scharniere[[#This Row],[Scharnierart]]=select!$A$1486,Scharniere[[#This Row],[Gruppenschlüssel]]=select!$B$1486)=TRUE,1,0)</f>
        <v>0</v>
      </c>
      <c r="AG736" s="451">
        <f ca="1">IF(AND(Scharniere[[#This Row],[Scharnierart]]=select!$A$1487,Scharniere[[#This Row],[Gruppenschlüssel]]=select!$B$1487)=TRUE,1,0)</f>
        <v>0</v>
      </c>
      <c r="AH736" s="451">
        <f ca="1">IF(AND(Scharniere[[#This Row],[Scharnierart]]=select!$A$1488,Scharniere[[#This Row],[Gruppenschlüssel]]=select!$B$1488)=TRUE,1,0)</f>
        <v>0</v>
      </c>
      <c r="AI736" s="451">
        <f ca="1">IF(SUM(Scharniere[[#This Row],[konf Scharnier 1]:[konf Scharnier 4]])&gt;0,1,0)</f>
        <v>0</v>
      </c>
      <c r="AJ736" s="451"/>
      <c r="AK736" s="451"/>
      <c r="AL736" s="451"/>
      <c r="AM736" s="451"/>
      <c r="AN736" s="451"/>
      <c r="AO736" s="146">
        <v>2</v>
      </c>
      <c r="AP736" s="146">
        <v>1</v>
      </c>
      <c r="AQ736" s="10" t="str">
        <f ca="1">Sprache!$A$118</f>
        <v>Tiomos Scharnier T Click-on</v>
      </c>
      <c r="AR736" t="str">
        <f ca="1">"110/90°, G-BB, "&amp;Sprache!$A$58&amp;" ni"</f>
        <v>110/90°, G-BB, aufl. ni</v>
      </c>
      <c r="AS736" t="str">
        <f ca="1">Sprache!$A$103</f>
        <v>Tiomos Click-On Scharniere</v>
      </c>
      <c r="AT736" t="s">
        <v>1264</v>
      </c>
      <c r="AU736" t="s">
        <v>9</v>
      </c>
      <c r="AV736">
        <v>110</v>
      </c>
      <c r="AW736" s="71">
        <v>0</v>
      </c>
      <c r="AX736">
        <v>1</v>
      </c>
      <c r="AY736">
        <v>0</v>
      </c>
      <c r="AZ736" s="71">
        <v>1</v>
      </c>
      <c r="BA736">
        <v>0</v>
      </c>
      <c r="BB736">
        <v>0</v>
      </c>
      <c r="BC736">
        <v>0</v>
      </c>
      <c r="BD736" s="144" t="s">
        <v>1640</v>
      </c>
      <c r="BF736" s="10"/>
      <c r="BG736"/>
    </row>
    <row r="737" spans="1:59" ht="14.25" customHeight="1" x14ac:dyDescent="0.25">
      <c r="A737" s="37" t="str">
        <f>LEFT(Scharniere[[#This Row],[ArtikelNR]],4)</f>
        <v>F017</v>
      </c>
      <c r="B737" s="35" t="str">
        <f>MID(Scharniere[[#This Row],[ArtikelNR]],5,3)</f>
        <v>139</v>
      </c>
      <c r="C737" s="37" t="str">
        <f>RIGHT(Scharniere[[#This Row],[ArtikelNR]],3)</f>
        <v>426</v>
      </c>
      <c r="D737" s="35">
        <f>IF(AND(Scharniere[[#This Row],[Gruppenschlüssel]]=select!$A$44,Scharniere[[#This Row],[Scharnierart]]=1)=TRUE,1,0)</f>
        <v>0</v>
      </c>
      <c r="E7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7" s="35">
        <f>IF(select!$F$57=IF(Scharniere[[#This Row],[mit Dämpfung]]=1,1,IF(Scharniere[[#This Row],[ohne Dämpfung]]=1,2,IF(Scharniere[[#This Row],[ohne Feder]]=1,3,0))),1,0)</f>
        <v>0</v>
      </c>
      <c r="G737" s="35">
        <f>IF(Scharniere[[#This Row],[Bohrbild]]=select!$V$43,1,0)</f>
        <v>0</v>
      </c>
      <c r="H737" s="35">
        <f>IF(IF(Scharniere[[#This Row],[Anschrauben]]=1,1,IF(Scharniere[[#This Row],[Einpressen]]=1,2,IF(Scharniere[[#This Row],[Quick]]=1,3,IF(Scharniere[[#This Row],[Werkzeuglos]]=1,4,0))))=select!$F$48,1,0)</f>
        <v>0</v>
      </c>
      <c r="I7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7" s="149">
        <f>IF(AND(Scharniere[[#This Row],[Scharnierart]]=2,Scharniere[[#This Row],[Gruppenschlüssel]]=select!$A$318)=TRUE,1,0)</f>
        <v>1</v>
      </c>
      <c r="K737" s="221">
        <f ca="1">IF(select!$O$424&lt;6,1,0)</f>
        <v>1</v>
      </c>
      <c r="L737" s="221">
        <f>IF(select!$A$362=IF(Scharniere[[#This Row],[mit Dämpfung]]=1,1,IF(Scharniere[[#This Row],[ohne Dämpfung]]=1,2,IF(Scharniere[[#This Row],[ohne Feder]]=1,3,0))),1,0)</f>
        <v>1</v>
      </c>
      <c r="M737" s="135">
        <f>IF(Scharniere[[#This Row],[Bohrbild]]=select!$O$334,1,0)</f>
        <v>0</v>
      </c>
      <c r="N737" s="135">
        <f>IF(IF(Scharniere[[#This Row],[Anschrauben]]=1,1,IF(Scharniere[[#This Row],[Einpressen]]=1,2,IF(Scharniere[[#This Row],[Quick]]=1,3,IF(Scharniere[[#This Row],[Werkzeuglos]]=1,4,0))))=select!$E$362,1,0)</f>
        <v>0</v>
      </c>
      <c r="O7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7" s="298">
        <f>IF(AND(Scharniere[[#This Row],[Scharnierart]]=3,Scharniere[[#This Row],[Gruppenschlüssel]]=select!$A$747)=TRUE,1,0)</f>
        <v>0</v>
      </c>
      <c r="Q737" s="298">
        <f ca="1">IF(select!$O$945&lt;6,1,0)</f>
        <v>1</v>
      </c>
      <c r="R737" s="298">
        <f>IF(select!$A$778=IF(Scharniere[[#This Row],[mit Dämpfung]]=1,1,IF(Scharniere[[#This Row],[ohne Dämpfung]]=1,2,IF(Scharniere[[#This Row],[ohne Feder]]=1,3,0))),1,0)</f>
        <v>0</v>
      </c>
      <c r="S737" s="298">
        <f>IF(Scharniere[[#This Row],[Bohrbild]]=select!$A$755,1,0)</f>
        <v>0</v>
      </c>
      <c r="T737" s="298">
        <f>IF(IF(Scharniere[[#This Row],[Anschrauben]]=1,1,IF(Scharniere[[#This Row],[Einpressen]]=1,2,IF(Scharniere[[#This Row],[Quick]]=1,3,IF(Scharniere[[#This Row],[Werkzeuglos]]=1,4,0))))=select!$A$769,1,0)</f>
        <v>0</v>
      </c>
      <c r="U7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7" s="359">
        <f>IF(AND(Scharniere[[#This Row],[Scharnierart]]=4,Scharniere[[#This Row],[Gruppenschlüssel]]=select!$A$981)=TRUE,1,0)</f>
        <v>0</v>
      </c>
      <c r="W737" s="359">
        <f ca="1">IF(select!$O$1185&lt;6,1,0)</f>
        <v>1</v>
      </c>
      <c r="X737" s="359">
        <f>IF(select!$A$1012=IF(Scharniere[[#This Row],[mit Dämpfung]]=1,1,IF(Scharniere[[#This Row],[ohne Dämpfung]]=1,2,IF(Scharniere[[#This Row],[ohne Feder]]=1,3,0))),1,0)</f>
        <v>0</v>
      </c>
      <c r="Y737" s="359">
        <f>IF(Scharniere[[#This Row],[Bohrbild]]=select!$A$989,1,0)</f>
        <v>0</v>
      </c>
      <c r="Z737" s="359">
        <f>IF(IF(Scharniere[[#This Row],[Anschrauben]]=1,1,IF(Scharniere[[#This Row],[Einpressen]]=1,2,IF(Scharniere[[#This Row],[Quick]]=1,3,IF(Scharniere[[#This Row],[Werkzeuglos]]=1,4,0))))=select!$A$1003,1,0)</f>
        <v>0</v>
      </c>
      <c r="AA7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7" s="359">
        <f ca="1">IF(select!$K$980="*",Scharniere[[#This Row],[AG Ges2]],Scharniere[[#This Row],[AG Ges1]])</f>
        <v>0</v>
      </c>
      <c r="AE737" s="451">
        <f ca="1">IF(AND(Scharniere[[#This Row],[Scharnierart]]=select!$A$1485,Scharniere[[#This Row],[Gruppenschlüssel]]=select!$B$1485)=TRUE,1,0)</f>
        <v>0</v>
      </c>
      <c r="AF737" s="451">
        <f ca="1">IF(AND(Scharniere[[#This Row],[Scharnierart]]=select!$A$1486,Scharniere[[#This Row],[Gruppenschlüssel]]=select!$B$1486)=TRUE,1,0)</f>
        <v>0</v>
      </c>
      <c r="AG737" s="451">
        <f ca="1">IF(AND(Scharniere[[#This Row],[Scharnierart]]=select!$A$1487,Scharniere[[#This Row],[Gruppenschlüssel]]=select!$B$1487)=TRUE,1,0)</f>
        <v>0</v>
      </c>
      <c r="AH737" s="451">
        <f ca="1">IF(AND(Scharniere[[#This Row],[Scharnierart]]=select!$A$1488,Scharniere[[#This Row],[Gruppenschlüssel]]=select!$B$1488)=TRUE,1,0)</f>
        <v>0</v>
      </c>
      <c r="AI737" s="451">
        <f ca="1">IF(SUM(Scharniere[[#This Row],[konf Scharnier 1]:[konf Scharnier 4]])&gt;0,1,0)</f>
        <v>0</v>
      </c>
      <c r="AJ737" s="451"/>
      <c r="AK737" s="451"/>
      <c r="AL737" s="451"/>
      <c r="AM737" s="451"/>
      <c r="AN737" s="451"/>
      <c r="AO737" s="146">
        <v>2</v>
      </c>
      <c r="AP737" s="146">
        <v>1</v>
      </c>
      <c r="AQ737" s="10" t="str">
        <f ca="1">Sprache!$A$113</f>
        <v>Tiomos Scharnier TS Impresso</v>
      </c>
      <c r="AR737" t="str">
        <f ca="1">"110/90°, GB-BB, "&amp;Sprache!$A$58&amp;" ni"</f>
        <v>110/90°, GB-BB, aufl. ni</v>
      </c>
      <c r="AS737" t="str">
        <f ca="1">Sprache!$A$116</f>
        <v>Tiomos Impresso Scharniere</v>
      </c>
      <c r="AT737" t="s">
        <v>1264</v>
      </c>
      <c r="AU737" t="s">
        <v>9</v>
      </c>
      <c r="AV737">
        <v>110</v>
      </c>
      <c r="AW737" s="71">
        <v>1</v>
      </c>
      <c r="AX737">
        <v>0</v>
      </c>
      <c r="AY737">
        <v>0</v>
      </c>
      <c r="AZ737" s="71">
        <v>0</v>
      </c>
      <c r="BA737">
        <v>0</v>
      </c>
      <c r="BB737">
        <v>0</v>
      </c>
      <c r="BC737">
        <v>1</v>
      </c>
      <c r="BD737" s="144" t="s">
        <v>1506</v>
      </c>
      <c r="BF737" s="10"/>
      <c r="BG737"/>
    </row>
    <row r="738" spans="1:59" ht="14.25" customHeight="1" x14ac:dyDescent="0.25">
      <c r="A738" s="37" t="str">
        <f>LEFT(Scharniere[[#This Row],[ArtikelNR]],4)</f>
        <v>F017</v>
      </c>
      <c r="B738" s="35" t="str">
        <f>MID(Scharniere[[#This Row],[ArtikelNR]],5,3)</f>
        <v>139</v>
      </c>
      <c r="C738" s="37" t="str">
        <f>RIGHT(Scharniere[[#This Row],[ArtikelNR]],3)</f>
        <v>426</v>
      </c>
      <c r="D738" s="35">
        <f>IF(AND(Scharniere[[#This Row],[Gruppenschlüssel]]=select!$A$44,Scharniere[[#This Row],[Scharnierart]]=1)=TRUE,1,0)</f>
        <v>0</v>
      </c>
      <c r="E7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8" s="35">
        <f>IF(select!$F$57=IF(Scharniere[[#This Row],[mit Dämpfung]]=1,1,IF(Scharniere[[#This Row],[ohne Dämpfung]]=1,2,IF(Scharniere[[#This Row],[ohne Feder]]=1,3,0))),1,0)</f>
        <v>0</v>
      </c>
      <c r="G738" s="35">
        <f>IF(Scharniere[[#This Row],[Bohrbild]]=select!$V$43,1,0)</f>
        <v>0</v>
      </c>
      <c r="H738" s="35">
        <f>IF(IF(Scharniere[[#This Row],[Anschrauben]]=1,1,IF(Scharniere[[#This Row],[Einpressen]]=1,2,IF(Scharniere[[#This Row],[Quick]]=1,3,IF(Scharniere[[#This Row],[Werkzeuglos]]=1,4,0))))=select!$F$48,1,0)</f>
        <v>0</v>
      </c>
      <c r="I7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8" s="149">
        <f>IF(AND(Scharniere[[#This Row],[Scharnierart]]=2,Scharniere[[#This Row],[Gruppenschlüssel]]=select!$A$318)=TRUE,1,0)</f>
        <v>1</v>
      </c>
      <c r="K738" s="221">
        <f ca="1">IF(select!$O$424&lt;6,1,0)</f>
        <v>1</v>
      </c>
      <c r="L738" s="221">
        <f>IF(select!$A$362=IF(Scharniere[[#This Row],[mit Dämpfung]]=1,1,IF(Scharniere[[#This Row],[ohne Dämpfung]]=1,2,IF(Scharniere[[#This Row],[ohne Feder]]=1,3,0))),1,0)</f>
        <v>1</v>
      </c>
      <c r="M738" s="135">
        <f>IF(Scharniere[[#This Row],[Bohrbild]]=select!$O$334,1,0)</f>
        <v>0</v>
      </c>
      <c r="N738" s="135">
        <f>IF(IF(Scharniere[[#This Row],[Anschrauben]]=1,1,IF(Scharniere[[#This Row],[Einpressen]]=1,2,IF(Scharniere[[#This Row],[Quick]]=1,3,IF(Scharniere[[#This Row],[Werkzeuglos]]=1,4,0))))=select!$E$362,1,0)</f>
        <v>0</v>
      </c>
      <c r="O7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8" s="298">
        <f>IF(AND(Scharniere[[#This Row],[Scharnierart]]=3,Scharniere[[#This Row],[Gruppenschlüssel]]=select!$A$747)=TRUE,1,0)</f>
        <v>0</v>
      </c>
      <c r="Q738" s="298">
        <f ca="1">IF(select!$O$945&lt;6,1,0)</f>
        <v>1</v>
      </c>
      <c r="R738" s="298">
        <f>IF(select!$A$778=IF(Scharniere[[#This Row],[mit Dämpfung]]=1,1,IF(Scharniere[[#This Row],[ohne Dämpfung]]=1,2,IF(Scharniere[[#This Row],[ohne Feder]]=1,3,0))),1,0)</f>
        <v>0</v>
      </c>
      <c r="S738" s="298">
        <f>IF(Scharniere[[#This Row],[Bohrbild]]=select!$A$755,1,0)</f>
        <v>0</v>
      </c>
      <c r="T738" s="298">
        <f>IF(IF(Scharniere[[#This Row],[Anschrauben]]=1,1,IF(Scharniere[[#This Row],[Einpressen]]=1,2,IF(Scharniere[[#This Row],[Quick]]=1,3,IF(Scharniere[[#This Row],[Werkzeuglos]]=1,4,0))))=select!$A$769,1,0)</f>
        <v>0</v>
      </c>
      <c r="U7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8" s="359">
        <f>IF(AND(Scharniere[[#This Row],[Scharnierart]]=4,Scharniere[[#This Row],[Gruppenschlüssel]]=select!$A$981)=TRUE,1,0)</f>
        <v>0</v>
      </c>
      <c r="W738" s="359">
        <f ca="1">IF(select!$O$1185&lt;6,1,0)</f>
        <v>1</v>
      </c>
      <c r="X738" s="359">
        <f>IF(select!$A$1012=IF(Scharniere[[#This Row],[mit Dämpfung]]=1,1,IF(Scharniere[[#This Row],[ohne Dämpfung]]=1,2,IF(Scharniere[[#This Row],[ohne Feder]]=1,3,0))),1,0)</f>
        <v>0</v>
      </c>
      <c r="Y738" s="359">
        <f>IF(Scharniere[[#This Row],[Bohrbild]]=select!$A$989,1,0)</f>
        <v>0</v>
      </c>
      <c r="Z738" s="359">
        <f>IF(IF(Scharniere[[#This Row],[Anschrauben]]=1,1,IF(Scharniere[[#This Row],[Einpressen]]=1,2,IF(Scharniere[[#This Row],[Quick]]=1,3,IF(Scharniere[[#This Row],[Werkzeuglos]]=1,4,0))))=select!$A$1003,1,0)</f>
        <v>0</v>
      </c>
      <c r="AA7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8" s="359">
        <f ca="1">IF(select!$K$980="*",Scharniere[[#This Row],[AG Ges2]],Scharniere[[#This Row],[AG Ges1]])</f>
        <v>0</v>
      </c>
      <c r="AE738" s="451">
        <f ca="1">IF(AND(Scharniere[[#This Row],[Scharnierart]]=select!$A$1485,Scharniere[[#This Row],[Gruppenschlüssel]]=select!$B$1485)=TRUE,1,0)</f>
        <v>0</v>
      </c>
      <c r="AF738" s="451">
        <f ca="1">IF(AND(Scharniere[[#This Row],[Scharnierart]]=select!$A$1486,Scharniere[[#This Row],[Gruppenschlüssel]]=select!$B$1486)=TRUE,1,0)</f>
        <v>0</v>
      </c>
      <c r="AG738" s="451">
        <f ca="1">IF(AND(Scharniere[[#This Row],[Scharnierart]]=select!$A$1487,Scharniere[[#This Row],[Gruppenschlüssel]]=select!$B$1487)=TRUE,1,0)</f>
        <v>0</v>
      </c>
      <c r="AH738" s="451">
        <f ca="1">IF(AND(Scharniere[[#This Row],[Scharnierart]]=select!$A$1488,Scharniere[[#This Row],[Gruppenschlüssel]]=select!$B$1488)=TRUE,1,0)</f>
        <v>0</v>
      </c>
      <c r="AI738" s="451">
        <f ca="1">IF(SUM(Scharniere[[#This Row],[konf Scharnier 1]:[konf Scharnier 4]])&gt;0,1,0)</f>
        <v>0</v>
      </c>
      <c r="AJ738" s="451"/>
      <c r="AK738" s="451"/>
      <c r="AL738" s="451"/>
      <c r="AM738" s="451"/>
      <c r="AN738" s="451"/>
      <c r="AO738" s="146">
        <v>2</v>
      </c>
      <c r="AP738" s="146">
        <v>1</v>
      </c>
      <c r="AQ738" s="10" t="str">
        <f ca="1">Sprache!$A$113</f>
        <v>Tiomos Scharnier TS Impresso</v>
      </c>
      <c r="AR738" t="str">
        <f ca="1">"110/90°, GB-BB, "&amp;Sprache!$A$58&amp;" ni"</f>
        <v>110/90°, GB-BB, aufl. ni</v>
      </c>
      <c r="AS738" t="str">
        <f ca="1">Sprache!$A$116</f>
        <v>Tiomos Impresso Scharniere</v>
      </c>
      <c r="AT738" t="s">
        <v>1264</v>
      </c>
      <c r="AU738" t="s">
        <v>3</v>
      </c>
      <c r="AV738">
        <v>110</v>
      </c>
      <c r="AW738" s="71">
        <v>1</v>
      </c>
      <c r="AX738">
        <v>0</v>
      </c>
      <c r="AY738">
        <v>0</v>
      </c>
      <c r="AZ738" s="71">
        <v>0</v>
      </c>
      <c r="BA738">
        <v>0</v>
      </c>
      <c r="BB738">
        <v>0</v>
      </c>
      <c r="BC738">
        <v>1</v>
      </c>
      <c r="BD738" s="144" t="s">
        <v>1506</v>
      </c>
      <c r="BF738" s="10"/>
      <c r="BG738"/>
    </row>
    <row r="739" spans="1:59" ht="14.25" customHeight="1" x14ac:dyDescent="0.25">
      <c r="A739" s="37" t="str">
        <f>LEFT(Scharniere[[#This Row],[ArtikelNR]],4)</f>
        <v>F034</v>
      </c>
      <c r="B739" s="35" t="str">
        <f>MID(Scharniere[[#This Row],[ArtikelNR]],5,3)</f>
        <v>139</v>
      </c>
      <c r="C739" s="37" t="str">
        <f>RIGHT(Scharniere[[#This Row],[ArtikelNR]],3)</f>
        <v>397</v>
      </c>
      <c r="D739" s="35">
        <f>IF(AND(Scharniere[[#This Row],[Gruppenschlüssel]]=select!$A$44,Scharniere[[#This Row],[Scharnierart]]=1)=TRUE,1,0)</f>
        <v>0</v>
      </c>
      <c r="E7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39" s="35">
        <f>IF(select!$F$57=IF(Scharniere[[#This Row],[mit Dämpfung]]=1,1,IF(Scharniere[[#This Row],[ohne Dämpfung]]=1,2,IF(Scharniere[[#This Row],[ohne Feder]]=1,3,0))),1,0)</f>
        <v>0</v>
      </c>
      <c r="G739" s="35">
        <f>IF(Scharniere[[#This Row],[Bohrbild]]=select!$V$43,1,0)</f>
        <v>0</v>
      </c>
      <c r="H739" s="35">
        <f>IF(IF(Scharniere[[#This Row],[Anschrauben]]=1,1,IF(Scharniere[[#This Row],[Einpressen]]=1,2,IF(Scharniere[[#This Row],[Quick]]=1,3,IF(Scharniere[[#This Row],[Werkzeuglos]]=1,4,0))))=select!$F$48,1,0)</f>
        <v>0</v>
      </c>
      <c r="I7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39" s="149">
        <f>IF(AND(Scharniere[[#This Row],[Scharnierart]]=2,Scharniere[[#This Row],[Gruppenschlüssel]]=select!$A$318)=TRUE,1,0)</f>
        <v>1</v>
      </c>
      <c r="K739" s="221">
        <f ca="1">IF(select!$O$424&lt;6,1,0)</f>
        <v>1</v>
      </c>
      <c r="L739" s="221">
        <f>IF(select!$A$362=IF(Scharniere[[#This Row],[mit Dämpfung]]=1,1,IF(Scharniere[[#This Row],[ohne Dämpfung]]=1,2,IF(Scharniere[[#This Row],[ohne Feder]]=1,3,0))),1,0)</f>
        <v>0</v>
      </c>
      <c r="M739" s="135">
        <f>IF(Scharniere[[#This Row],[Bohrbild]]=select!$O$334,1,0)</f>
        <v>0</v>
      </c>
      <c r="N739" s="135">
        <f>IF(IF(Scharniere[[#This Row],[Anschrauben]]=1,1,IF(Scharniere[[#This Row],[Einpressen]]=1,2,IF(Scharniere[[#This Row],[Quick]]=1,3,IF(Scharniere[[#This Row],[Werkzeuglos]]=1,4,0))))=select!$E$362,1,0)</f>
        <v>0</v>
      </c>
      <c r="O7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39" s="298">
        <f>IF(AND(Scharniere[[#This Row],[Scharnierart]]=3,Scharniere[[#This Row],[Gruppenschlüssel]]=select!$A$747)=TRUE,1,0)</f>
        <v>0</v>
      </c>
      <c r="Q739" s="298">
        <f ca="1">IF(select!$O$945&lt;6,1,0)</f>
        <v>1</v>
      </c>
      <c r="R739" s="298">
        <f>IF(select!$A$778=IF(Scharniere[[#This Row],[mit Dämpfung]]=1,1,IF(Scharniere[[#This Row],[ohne Dämpfung]]=1,2,IF(Scharniere[[#This Row],[ohne Feder]]=1,3,0))),1,0)</f>
        <v>1</v>
      </c>
      <c r="S739" s="298">
        <f>IF(Scharniere[[#This Row],[Bohrbild]]=select!$A$755,1,0)</f>
        <v>0</v>
      </c>
      <c r="T739" s="298">
        <f>IF(IF(Scharniere[[#This Row],[Anschrauben]]=1,1,IF(Scharniere[[#This Row],[Einpressen]]=1,2,IF(Scharniere[[#This Row],[Quick]]=1,3,IF(Scharniere[[#This Row],[Werkzeuglos]]=1,4,0))))=select!$A$769,1,0)</f>
        <v>0</v>
      </c>
      <c r="U7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39" s="359">
        <f>IF(AND(Scharniere[[#This Row],[Scharnierart]]=4,Scharniere[[#This Row],[Gruppenschlüssel]]=select!$A$981)=TRUE,1,0)</f>
        <v>0</v>
      </c>
      <c r="W739" s="359">
        <f ca="1">IF(select!$O$1185&lt;6,1,0)</f>
        <v>1</v>
      </c>
      <c r="X739" s="359">
        <f>IF(select!$A$1012=IF(Scharniere[[#This Row],[mit Dämpfung]]=1,1,IF(Scharniere[[#This Row],[ohne Dämpfung]]=1,2,IF(Scharniere[[#This Row],[ohne Feder]]=1,3,0))),1,0)</f>
        <v>1</v>
      </c>
      <c r="Y739" s="359">
        <f>IF(Scharniere[[#This Row],[Bohrbild]]=select!$A$989,1,0)</f>
        <v>0</v>
      </c>
      <c r="Z739" s="359">
        <f>IF(IF(Scharniere[[#This Row],[Anschrauben]]=1,1,IF(Scharniere[[#This Row],[Einpressen]]=1,2,IF(Scharniere[[#This Row],[Quick]]=1,3,IF(Scharniere[[#This Row],[Werkzeuglos]]=1,4,0))))=select!$A$1003,1,0)</f>
        <v>0</v>
      </c>
      <c r="AA7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39" s="359">
        <f ca="1">IF(select!$K$980="*",Scharniere[[#This Row],[AG Ges2]],Scharniere[[#This Row],[AG Ges1]])</f>
        <v>0</v>
      </c>
      <c r="AE739" s="451">
        <f ca="1">IF(AND(Scharniere[[#This Row],[Scharnierart]]=select!$A$1485,Scharniere[[#This Row],[Gruppenschlüssel]]=select!$B$1485)=TRUE,1,0)</f>
        <v>0</v>
      </c>
      <c r="AF739" s="451">
        <f ca="1">IF(AND(Scharniere[[#This Row],[Scharnierart]]=select!$A$1486,Scharniere[[#This Row],[Gruppenschlüssel]]=select!$B$1486)=TRUE,1,0)</f>
        <v>0</v>
      </c>
      <c r="AG739" s="451">
        <f ca="1">IF(AND(Scharniere[[#This Row],[Scharnierart]]=select!$A$1487,Scharniere[[#This Row],[Gruppenschlüssel]]=select!$B$1487)=TRUE,1,0)</f>
        <v>0</v>
      </c>
      <c r="AH739" s="451">
        <f ca="1">IF(AND(Scharniere[[#This Row],[Scharnierart]]=select!$A$1488,Scharniere[[#This Row],[Gruppenschlüssel]]=select!$B$1488)=TRUE,1,0)</f>
        <v>0</v>
      </c>
      <c r="AI739" s="451">
        <f ca="1">IF(SUM(Scharniere[[#This Row],[konf Scharnier 1]:[konf Scharnier 4]])&gt;0,1,0)</f>
        <v>0</v>
      </c>
      <c r="AJ739" s="451"/>
      <c r="AK739" s="451"/>
      <c r="AL739" s="451"/>
      <c r="AM739" s="451"/>
      <c r="AN739" s="451"/>
      <c r="AO739" s="146">
        <v>2</v>
      </c>
      <c r="AP739" s="146">
        <v>1</v>
      </c>
      <c r="AQ739" s="10" t="str">
        <f ca="1">Sprache!$A$119</f>
        <v>Tiomos Scharnier T Impresso</v>
      </c>
      <c r="AR739" t="str">
        <f ca="1">"110/90°, GB-BB, "&amp;Sprache!$A$58&amp;" ni"</f>
        <v>110/90°, GB-BB, aufl. ni</v>
      </c>
      <c r="AS739" t="str">
        <f ca="1">Sprache!$A$103</f>
        <v>Tiomos Click-On Scharniere</v>
      </c>
      <c r="AT739" t="s">
        <v>1264</v>
      </c>
      <c r="AU739" t="s">
        <v>9</v>
      </c>
      <c r="AV739" t="s">
        <v>1489</v>
      </c>
      <c r="AW739" s="71">
        <v>0</v>
      </c>
      <c r="AX739">
        <v>1</v>
      </c>
      <c r="AY739">
        <v>0</v>
      </c>
      <c r="AZ739" s="71">
        <v>0</v>
      </c>
      <c r="BA739">
        <v>0</v>
      </c>
      <c r="BB739">
        <v>0</v>
      </c>
      <c r="BC739">
        <v>1</v>
      </c>
      <c r="BD739" s="144" t="s">
        <v>1762</v>
      </c>
      <c r="BF739" s="10"/>
      <c r="BG739"/>
    </row>
    <row r="740" spans="1:59" ht="14.25" customHeight="1" x14ac:dyDescent="0.25">
      <c r="A740" s="37" t="str">
        <f>LEFT(Scharniere[[#This Row],[ArtikelNR]],4)</f>
        <v>F034</v>
      </c>
      <c r="B740" s="35" t="str">
        <f>MID(Scharniere[[#This Row],[ArtikelNR]],5,3)</f>
        <v>139</v>
      </c>
      <c r="C740" s="37" t="str">
        <f>RIGHT(Scharniere[[#This Row],[ArtikelNR]],3)</f>
        <v>397</v>
      </c>
      <c r="D740" s="35">
        <f>IF(AND(Scharniere[[#This Row],[Gruppenschlüssel]]=select!$A$44,Scharniere[[#This Row],[Scharnierart]]=1)=TRUE,1,0)</f>
        <v>0</v>
      </c>
      <c r="E7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0" s="35">
        <f>IF(select!$F$57=IF(Scharniere[[#This Row],[mit Dämpfung]]=1,1,IF(Scharniere[[#This Row],[ohne Dämpfung]]=1,2,IF(Scharniere[[#This Row],[ohne Feder]]=1,3,0))),1,0)</f>
        <v>0</v>
      </c>
      <c r="G740" s="35">
        <f>IF(Scharniere[[#This Row],[Bohrbild]]=select!$V$43,1,0)</f>
        <v>0</v>
      </c>
      <c r="H740" s="35">
        <f>IF(IF(Scharniere[[#This Row],[Anschrauben]]=1,1,IF(Scharniere[[#This Row],[Einpressen]]=1,2,IF(Scharniere[[#This Row],[Quick]]=1,3,IF(Scharniere[[#This Row],[Werkzeuglos]]=1,4,0))))=select!$F$48,1,0)</f>
        <v>0</v>
      </c>
      <c r="I7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0" s="149">
        <f>IF(AND(Scharniere[[#This Row],[Scharnierart]]=2,Scharniere[[#This Row],[Gruppenschlüssel]]=select!$A$318)=TRUE,1,0)</f>
        <v>1</v>
      </c>
      <c r="K740" s="221">
        <f ca="1">IF(select!$O$424&lt;6,1,0)</f>
        <v>1</v>
      </c>
      <c r="L740" s="221">
        <f>IF(select!$A$362=IF(Scharniere[[#This Row],[mit Dämpfung]]=1,1,IF(Scharniere[[#This Row],[ohne Dämpfung]]=1,2,IF(Scharniere[[#This Row],[ohne Feder]]=1,3,0))),1,0)</f>
        <v>0</v>
      </c>
      <c r="M740" s="135">
        <f>IF(Scharniere[[#This Row],[Bohrbild]]=select!$O$334,1,0)</f>
        <v>0</v>
      </c>
      <c r="N740" s="135">
        <f>IF(IF(Scharniere[[#This Row],[Anschrauben]]=1,1,IF(Scharniere[[#This Row],[Einpressen]]=1,2,IF(Scharniere[[#This Row],[Quick]]=1,3,IF(Scharniere[[#This Row],[Werkzeuglos]]=1,4,0))))=select!$E$362,1,0)</f>
        <v>0</v>
      </c>
      <c r="O7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0" s="298">
        <f>IF(AND(Scharniere[[#This Row],[Scharnierart]]=3,Scharniere[[#This Row],[Gruppenschlüssel]]=select!$A$747)=TRUE,1,0)</f>
        <v>0</v>
      </c>
      <c r="Q740" s="298">
        <f ca="1">IF(select!$O$945&lt;6,1,0)</f>
        <v>1</v>
      </c>
      <c r="R740" s="298">
        <f>IF(select!$A$778=IF(Scharniere[[#This Row],[mit Dämpfung]]=1,1,IF(Scharniere[[#This Row],[ohne Dämpfung]]=1,2,IF(Scharniere[[#This Row],[ohne Feder]]=1,3,0))),1,0)</f>
        <v>1</v>
      </c>
      <c r="S740" s="298">
        <f>IF(Scharniere[[#This Row],[Bohrbild]]=select!$A$755,1,0)</f>
        <v>0</v>
      </c>
      <c r="T740" s="298">
        <f>IF(IF(Scharniere[[#This Row],[Anschrauben]]=1,1,IF(Scharniere[[#This Row],[Einpressen]]=1,2,IF(Scharniere[[#This Row],[Quick]]=1,3,IF(Scharniere[[#This Row],[Werkzeuglos]]=1,4,0))))=select!$A$769,1,0)</f>
        <v>0</v>
      </c>
      <c r="U7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0" s="359">
        <f>IF(AND(Scharniere[[#This Row],[Scharnierart]]=4,Scharniere[[#This Row],[Gruppenschlüssel]]=select!$A$981)=TRUE,1,0)</f>
        <v>0</v>
      </c>
      <c r="W740" s="359">
        <f ca="1">IF(select!$O$1185&lt;6,1,0)</f>
        <v>1</v>
      </c>
      <c r="X740" s="359">
        <f>IF(select!$A$1012=IF(Scharniere[[#This Row],[mit Dämpfung]]=1,1,IF(Scharniere[[#This Row],[ohne Dämpfung]]=1,2,IF(Scharniere[[#This Row],[ohne Feder]]=1,3,0))),1,0)</f>
        <v>1</v>
      </c>
      <c r="Y740" s="359">
        <f>IF(Scharniere[[#This Row],[Bohrbild]]=select!$A$989,1,0)</f>
        <v>0</v>
      </c>
      <c r="Z740" s="359">
        <f>IF(IF(Scharniere[[#This Row],[Anschrauben]]=1,1,IF(Scharniere[[#This Row],[Einpressen]]=1,2,IF(Scharniere[[#This Row],[Quick]]=1,3,IF(Scharniere[[#This Row],[Werkzeuglos]]=1,4,0))))=select!$A$1003,1,0)</f>
        <v>0</v>
      </c>
      <c r="AA7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0" s="359">
        <f ca="1">IF(select!$K$980="*",Scharniere[[#This Row],[AG Ges2]],Scharniere[[#This Row],[AG Ges1]])</f>
        <v>0</v>
      </c>
      <c r="AE740" s="451">
        <f ca="1">IF(AND(Scharniere[[#This Row],[Scharnierart]]=select!$A$1485,Scharniere[[#This Row],[Gruppenschlüssel]]=select!$B$1485)=TRUE,1,0)</f>
        <v>0</v>
      </c>
      <c r="AF740" s="451">
        <f ca="1">IF(AND(Scharniere[[#This Row],[Scharnierart]]=select!$A$1486,Scharniere[[#This Row],[Gruppenschlüssel]]=select!$B$1486)=TRUE,1,0)</f>
        <v>0</v>
      </c>
      <c r="AG740" s="451">
        <f ca="1">IF(AND(Scharniere[[#This Row],[Scharnierart]]=select!$A$1487,Scharniere[[#This Row],[Gruppenschlüssel]]=select!$B$1487)=TRUE,1,0)</f>
        <v>0</v>
      </c>
      <c r="AH740" s="451">
        <f ca="1">IF(AND(Scharniere[[#This Row],[Scharnierart]]=select!$A$1488,Scharniere[[#This Row],[Gruppenschlüssel]]=select!$B$1488)=TRUE,1,0)</f>
        <v>0</v>
      </c>
      <c r="AI740" s="451">
        <f ca="1">IF(SUM(Scharniere[[#This Row],[konf Scharnier 1]:[konf Scharnier 4]])&gt;0,1,0)</f>
        <v>0</v>
      </c>
      <c r="AJ740" s="451"/>
      <c r="AK740" s="451"/>
      <c r="AL740" s="451"/>
      <c r="AM740" s="451"/>
      <c r="AN740" s="451"/>
      <c r="AO740" s="146">
        <v>2</v>
      </c>
      <c r="AP740" s="146">
        <v>1</v>
      </c>
      <c r="AQ740" s="10" t="str">
        <f ca="1">Sprache!$A$119</f>
        <v>Tiomos Scharnier T Impresso</v>
      </c>
      <c r="AR740" t="str">
        <f ca="1">"110/90°, GB-BB, "&amp;Sprache!$A$58&amp;" ni"</f>
        <v>110/90°, GB-BB, aufl. ni</v>
      </c>
      <c r="AS740" t="str">
        <f ca="1">Sprache!$A$103</f>
        <v>Tiomos Click-On Scharniere</v>
      </c>
      <c r="AT740" t="s">
        <v>1264</v>
      </c>
      <c r="AU740" t="s">
        <v>3</v>
      </c>
      <c r="AV740" t="s">
        <v>1489</v>
      </c>
      <c r="AW740" s="71">
        <v>0</v>
      </c>
      <c r="AX740">
        <v>1</v>
      </c>
      <c r="AY740">
        <v>0</v>
      </c>
      <c r="AZ740" s="71">
        <v>0</v>
      </c>
      <c r="BA740">
        <v>0</v>
      </c>
      <c r="BB740">
        <v>0</v>
      </c>
      <c r="BC740">
        <v>1</v>
      </c>
      <c r="BD740" s="144" t="s">
        <v>1762</v>
      </c>
      <c r="BF740" s="10"/>
      <c r="BG740"/>
    </row>
    <row r="741" spans="1:59" ht="14.25" customHeight="1" x14ac:dyDescent="0.25">
      <c r="A741" s="37" t="str">
        <f>LEFT(Scharniere[[#This Row],[ArtikelNR]],4)</f>
        <v>F028</v>
      </c>
      <c r="B741" s="35" t="str">
        <f>MID(Scharniere[[#This Row],[ArtikelNR]],5,3)</f>
        <v>138</v>
      </c>
      <c r="C741" s="37" t="str">
        <f>RIGHT(Scharniere[[#This Row],[ArtikelNR]],3)</f>
        <v>727</v>
      </c>
      <c r="D741" s="35">
        <f>IF(AND(Scharniere[[#This Row],[Gruppenschlüssel]]=select!$A$44,Scharniere[[#This Row],[Scharnierart]]=1)=TRUE,1,0)</f>
        <v>0</v>
      </c>
      <c r="E7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1" s="35">
        <f>IF(select!$F$57=IF(Scharniere[[#This Row],[mit Dämpfung]]=1,1,IF(Scharniere[[#This Row],[ohne Dämpfung]]=1,2,IF(Scharniere[[#This Row],[ohne Feder]]=1,3,0))),1,0)</f>
        <v>0</v>
      </c>
      <c r="G741" s="35">
        <f>IF(Scharniere[[#This Row],[Bohrbild]]=select!$V$43,1,0)</f>
        <v>0</v>
      </c>
      <c r="H741" s="35">
        <f>IF(IF(Scharniere[[#This Row],[Anschrauben]]=1,1,IF(Scharniere[[#This Row],[Einpressen]]=1,2,IF(Scharniere[[#This Row],[Quick]]=1,3,IF(Scharniere[[#This Row],[Werkzeuglos]]=1,4,0))))=select!$F$48,1,0)</f>
        <v>1</v>
      </c>
      <c r="I7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1" s="149">
        <f>IF(AND(Scharniere[[#This Row],[Scharnierart]]=2,Scharniere[[#This Row],[Gruppenschlüssel]]=select!$A$318)=TRUE,1,0)</f>
        <v>1</v>
      </c>
      <c r="K741" s="221">
        <f ca="1">IF(select!$O$424&lt;6,1,0)</f>
        <v>1</v>
      </c>
      <c r="L741" s="221">
        <f>IF(select!$A$362=IF(Scharniere[[#This Row],[mit Dämpfung]]=1,1,IF(Scharniere[[#This Row],[ohne Dämpfung]]=1,2,IF(Scharniere[[#This Row],[ohne Feder]]=1,3,0))),1,0)</f>
        <v>1</v>
      </c>
      <c r="M741" s="135">
        <f>IF(Scharniere[[#This Row],[Bohrbild]]=select!$O$334,1,0)</f>
        <v>0</v>
      </c>
      <c r="N741" s="135">
        <f>IF(IF(Scharniere[[#This Row],[Anschrauben]]=1,1,IF(Scharniere[[#This Row],[Einpressen]]=1,2,IF(Scharniere[[#This Row],[Quick]]=1,3,IF(Scharniere[[#This Row],[Werkzeuglos]]=1,4,0))))=select!$E$362,1,0)</f>
        <v>0</v>
      </c>
      <c r="O7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1" s="298">
        <f>IF(AND(Scharniere[[#This Row],[Scharnierart]]=3,Scharniere[[#This Row],[Gruppenschlüssel]]=select!$A$747)=TRUE,1,0)</f>
        <v>0</v>
      </c>
      <c r="Q741" s="298">
        <f ca="1">IF(select!$O$945&lt;6,1,0)</f>
        <v>1</v>
      </c>
      <c r="R741" s="298">
        <f>IF(select!$A$778=IF(Scharniere[[#This Row],[mit Dämpfung]]=1,1,IF(Scharniere[[#This Row],[ohne Dämpfung]]=1,2,IF(Scharniere[[#This Row],[ohne Feder]]=1,3,0))),1,0)</f>
        <v>0</v>
      </c>
      <c r="S741" s="298">
        <f>IF(Scharniere[[#This Row],[Bohrbild]]=select!$A$755,1,0)</f>
        <v>0</v>
      </c>
      <c r="T741" s="298">
        <f>IF(IF(Scharniere[[#This Row],[Anschrauben]]=1,1,IF(Scharniere[[#This Row],[Einpressen]]=1,2,IF(Scharniere[[#This Row],[Quick]]=1,3,IF(Scharniere[[#This Row],[Werkzeuglos]]=1,4,0))))=select!$A$769,1,0)</f>
        <v>0</v>
      </c>
      <c r="U7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1" s="359">
        <f>IF(AND(Scharniere[[#This Row],[Scharnierart]]=4,Scharniere[[#This Row],[Gruppenschlüssel]]=select!$A$981)=TRUE,1,0)</f>
        <v>0</v>
      </c>
      <c r="W741" s="359">
        <f ca="1">IF(select!$O$1185&lt;6,1,0)</f>
        <v>1</v>
      </c>
      <c r="X741" s="359">
        <f>IF(select!$A$1012=IF(Scharniere[[#This Row],[mit Dämpfung]]=1,1,IF(Scharniere[[#This Row],[ohne Dämpfung]]=1,2,IF(Scharniere[[#This Row],[ohne Feder]]=1,3,0))),1,0)</f>
        <v>0</v>
      </c>
      <c r="Y741" s="359">
        <f>IF(Scharniere[[#This Row],[Bohrbild]]=select!$A$989,1,0)</f>
        <v>0</v>
      </c>
      <c r="Z741" s="359">
        <f>IF(IF(Scharniere[[#This Row],[Anschrauben]]=1,1,IF(Scharniere[[#This Row],[Einpressen]]=1,2,IF(Scharniere[[#This Row],[Quick]]=1,3,IF(Scharniere[[#This Row],[Werkzeuglos]]=1,4,0))))=select!$A$1003,1,0)</f>
        <v>0</v>
      </c>
      <c r="AA7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1" s="359">
        <f ca="1">IF(select!$K$980="*",Scharniere[[#This Row],[AG Ges2]],Scharniere[[#This Row],[AG Ges1]])</f>
        <v>0</v>
      </c>
      <c r="AE741" s="451">
        <f ca="1">IF(AND(Scharniere[[#This Row],[Scharnierart]]=select!$A$1485,Scharniere[[#This Row],[Gruppenschlüssel]]=select!$B$1485)=TRUE,1,0)</f>
        <v>0</v>
      </c>
      <c r="AF741" s="451">
        <f ca="1">IF(AND(Scharniere[[#This Row],[Scharnierart]]=select!$A$1486,Scharniere[[#This Row],[Gruppenschlüssel]]=select!$B$1486)=TRUE,1,0)</f>
        <v>0</v>
      </c>
      <c r="AG741" s="451">
        <f ca="1">IF(AND(Scharniere[[#This Row],[Scharnierart]]=select!$A$1487,Scharniere[[#This Row],[Gruppenschlüssel]]=select!$B$1487)=TRUE,1,0)</f>
        <v>0</v>
      </c>
      <c r="AH741" s="451">
        <f ca="1">IF(AND(Scharniere[[#This Row],[Scharnierart]]=select!$A$1488,Scharniere[[#This Row],[Gruppenschlüssel]]=select!$B$1488)=TRUE,1,0)</f>
        <v>0</v>
      </c>
      <c r="AI741" s="451">
        <f ca="1">IF(SUM(Scharniere[[#This Row],[konf Scharnier 1]:[konf Scharnier 4]])&gt;0,1,0)</f>
        <v>0</v>
      </c>
      <c r="AJ741" s="451"/>
      <c r="AK741" s="451"/>
      <c r="AL741" s="451"/>
      <c r="AM741" s="451"/>
      <c r="AN741" s="451"/>
      <c r="AO741" s="146">
        <v>2</v>
      </c>
      <c r="AP741" s="146">
        <v>1</v>
      </c>
      <c r="AQ741" s="10" t="str">
        <f ca="1">Sprache!$A$112</f>
        <v>Tiomos Scharnier TS Click-on</v>
      </c>
      <c r="AR741" t="str">
        <f ca="1">"110/90°, H-BB, "&amp;Sprache!$A$58&amp;" 0, ni"</f>
        <v>110/90°, H-BB, aufl. 0, ni</v>
      </c>
      <c r="AS741" t="str">
        <f ca="1">Sprache!$A$103</f>
        <v>Tiomos Click-On Scharniere</v>
      </c>
      <c r="AT741" t="s">
        <v>1264</v>
      </c>
      <c r="AU741" t="s">
        <v>10</v>
      </c>
      <c r="AV741" t="s">
        <v>1489</v>
      </c>
      <c r="AW741" s="71">
        <v>1</v>
      </c>
      <c r="AX741">
        <v>0</v>
      </c>
      <c r="AY741">
        <v>0</v>
      </c>
      <c r="AZ741" s="71">
        <v>0</v>
      </c>
      <c r="BA741">
        <v>1</v>
      </c>
      <c r="BB741">
        <v>0</v>
      </c>
      <c r="BC741">
        <v>0</v>
      </c>
      <c r="BD741" s="144" t="s">
        <v>1562</v>
      </c>
      <c r="BF741" s="10"/>
      <c r="BG741"/>
    </row>
    <row r="742" spans="1:59" ht="14.25" customHeight="1" x14ac:dyDescent="0.25">
      <c r="A742" s="37" t="str">
        <f>LEFT(Scharniere[[#This Row],[ArtikelNR]],4)</f>
        <v>F045</v>
      </c>
      <c r="B742" s="35" t="str">
        <f>MID(Scharniere[[#This Row],[ArtikelNR]],5,3)</f>
        <v>138</v>
      </c>
      <c r="C742" s="37" t="str">
        <f>RIGHT(Scharniere[[#This Row],[ArtikelNR]],3)</f>
        <v>665</v>
      </c>
      <c r="D742" s="35">
        <f>IF(AND(Scharniere[[#This Row],[Gruppenschlüssel]]=select!$A$44,Scharniere[[#This Row],[Scharnierart]]=1)=TRUE,1,0)</f>
        <v>0</v>
      </c>
      <c r="E7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2" s="35">
        <f>IF(select!$F$57=IF(Scharniere[[#This Row],[mit Dämpfung]]=1,1,IF(Scharniere[[#This Row],[ohne Dämpfung]]=1,2,IF(Scharniere[[#This Row],[ohne Feder]]=1,3,0))),1,0)</f>
        <v>0</v>
      </c>
      <c r="G742" s="35">
        <f>IF(Scharniere[[#This Row],[Bohrbild]]=select!$V$43,1,0)</f>
        <v>0</v>
      </c>
      <c r="H742" s="35">
        <f>IF(IF(Scharniere[[#This Row],[Anschrauben]]=1,1,IF(Scharniere[[#This Row],[Einpressen]]=1,2,IF(Scharniere[[#This Row],[Quick]]=1,3,IF(Scharniere[[#This Row],[Werkzeuglos]]=1,4,0))))=select!$F$48,1,0)</f>
        <v>1</v>
      </c>
      <c r="I7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2" s="149">
        <f>IF(AND(Scharniere[[#This Row],[Scharnierart]]=2,Scharniere[[#This Row],[Gruppenschlüssel]]=select!$A$318)=TRUE,1,0)</f>
        <v>1</v>
      </c>
      <c r="K742" s="221">
        <f ca="1">IF(select!$O$424&lt;6,1,0)</f>
        <v>1</v>
      </c>
      <c r="L742" s="221">
        <f>IF(select!$A$362=IF(Scharniere[[#This Row],[mit Dämpfung]]=1,1,IF(Scharniere[[#This Row],[ohne Dämpfung]]=1,2,IF(Scharniere[[#This Row],[ohne Feder]]=1,3,0))),1,0)</f>
        <v>0</v>
      </c>
      <c r="M742" s="135">
        <f>IF(Scharniere[[#This Row],[Bohrbild]]=select!$O$334,1,0)</f>
        <v>0</v>
      </c>
      <c r="N742" s="135">
        <f>IF(IF(Scharniere[[#This Row],[Anschrauben]]=1,1,IF(Scharniere[[#This Row],[Einpressen]]=1,2,IF(Scharniere[[#This Row],[Quick]]=1,3,IF(Scharniere[[#This Row],[Werkzeuglos]]=1,4,0))))=select!$E$362,1,0)</f>
        <v>0</v>
      </c>
      <c r="O7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2" s="298">
        <f>IF(AND(Scharniere[[#This Row],[Scharnierart]]=3,Scharniere[[#This Row],[Gruppenschlüssel]]=select!$A$747)=TRUE,1,0)</f>
        <v>0</v>
      </c>
      <c r="Q742" s="298">
        <f ca="1">IF(select!$O$945&lt;6,1,0)</f>
        <v>1</v>
      </c>
      <c r="R742" s="298">
        <f>IF(select!$A$778=IF(Scharniere[[#This Row],[mit Dämpfung]]=1,1,IF(Scharniere[[#This Row],[ohne Dämpfung]]=1,2,IF(Scharniere[[#This Row],[ohne Feder]]=1,3,0))),1,0)</f>
        <v>1</v>
      </c>
      <c r="S742" s="298">
        <f>IF(Scharniere[[#This Row],[Bohrbild]]=select!$A$755,1,0)</f>
        <v>0</v>
      </c>
      <c r="T742" s="298">
        <f>IF(IF(Scharniere[[#This Row],[Anschrauben]]=1,1,IF(Scharniere[[#This Row],[Einpressen]]=1,2,IF(Scharniere[[#This Row],[Quick]]=1,3,IF(Scharniere[[#This Row],[Werkzeuglos]]=1,4,0))))=select!$A$769,1,0)</f>
        <v>0</v>
      </c>
      <c r="U7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2" s="359">
        <f>IF(AND(Scharniere[[#This Row],[Scharnierart]]=4,Scharniere[[#This Row],[Gruppenschlüssel]]=select!$A$981)=TRUE,1,0)</f>
        <v>0</v>
      </c>
      <c r="W742" s="359">
        <f ca="1">IF(select!$O$1185&lt;6,1,0)</f>
        <v>1</v>
      </c>
      <c r="X742" s="359">
        <f>IF(select!$A$1012=IF(Scharniere[[#This Row],[mit Dämpfung]]=1,1,IF(Scharniere[[#This Row],[ohne Dämpfung]]=1,2,IF(Scharniere[[#This Row],[ohne Feder]]=1,3,0))),1,0)</f>
        <v>1</v>
      </c>
      <c r="Y742" s="359">
        <f>IF(Scharniere[[#This Row],[Bohrbild]]=select!$A$989,1,0)</f>
        <v>0</v>
      </c>
      <c r="Z742" s="359">
        <f>IF(IF(Scharniere[[#This Row],[Anschrauben]]=1,1,IF(Scharniere[[#This Row],[Einpressen]]=1,2,IF(Scharniere[[#This Row],[Quick]]=1,3,IF(Scharniere[[#This Row],[Werkzeuglos]]=1,4,0))))=select!$A$1003,1,0)</f>
        <v>0</v>
      </c>
      <c r="AA7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2" s="359">
        <f ca="1">IF(select!$K$980="*",Scharniere[[#This Row],[AG Ges2]],Scharniere[[#This Row],[AG Ges1]])</f>
        <v>0</v>
      </c>
      <c r="AE742" s="451">
        <f ca="1">IF(AND(Scharniere[[#This Row],[Scharnierart]]=select!$A$1485,Scharniere[[#This Row],[Gruppenschlüssel]]=select!$B$1485)=TRUE,1,0)</f>
        <v>0</v>
      </c>
      <c r="AF742" s="451">
        <f ca="1">IF(AND(Scharniere[[#This Row],[Scharnierart]]=select!$A$1486,Scharniere[[#This Row],[Gruppenschlüssel]]=select!$B$1486)=TRUE,1,0)</f>
        <v>0</v>
      </c>
      <c r="AG742" s="451">
        <f ca="1">IF(AND(Scharniere[[#This Row],[Scharnierart]]=select!$A$1487,Scharniere[[#This Row],[Gruppenschlüssel]]=select!$B$1487)=TRUE,1,0)</f>
        <v>0</v>
      </c>
      <c r="AH742" s="451">
        <f ca="1">IF(AND(Scharniere[[#This Row],[Scharnierart]]=select!$A$1488,Scharniere[[#This Row],[Gruppenschlüssel]]=select!$B$1488)=TRUE,1,0)</f>
        <v>0</v>
      </c>
      <c r="AI742" s="451">
        <f ca="1">IF(SUM(Scharniere[[#This Row],[konf Scharnier 1]:[konf Scharnier 4]])&gt;0,1,0)</f>
        <v>0</v>
      </c>
      <c r="AJ742" s="451"/>
      <c r="AK742" s="451"/>
      <c r="AL742" s="451"/>
      <c r="AM742" s="451"/>
      <c r="AN742" s="451"/>
      <c r="AO742" s="146">
        <v>2</v>
      </c>
      <c r="AP742" s="146">
        <v>1</v>
      </c>
      <c r="AQ742" s="10" t="str">
        <f ca="1">Sprache!$A$118</f>
        <v>Tiomos Scharnier T Click-on</v>
      </c>
      <c r="AR742" t="str">
        <f ca="1">"110/90°, H-BB, "&amp;Sprache!$A$58&amp;" 0, ni"</f>
        <v>110/90°, H-BB, aufl. 0, ni</v>
      </c>
      <c r="AS742" t="str">
        <f ca="1">Sprache!$A$103</f>
        <v>Tiomos Click-On Scharniere</v>
      </c>
      <c r="AT742" t="s">
        <v>1264</v>
      </c>
      <c r="AU742" t="s">
        <v>10</v>
      </c>
      <c r="AV742" t="s">
        <v>1489</v>
      </c>
      <c r="AW742" s="71">
        <v>0</v>
      </c>
      <c r="AX742">
        <v>1</v>
      </c>
      <c r="AY742">
        <v>0</v>
      </c>
      <c r="AZ742" s="71">
        <v>0</v>
      </c>
      <c r="BA742">
        <v>1</v>
      </c>
      <c r="BB742">
        <v>0</v>
      </c>
      <c r="BC742">
        <v>0</v>
      </c>
      <c r="BD742" s="144" t="s">
        <v>1671</v>
      </c>
      <c r="BF742" s="10"/>
      <c r="BG742"/>
    </row>
    <row r="743" spans="1:59" ht="14.25" customHeight="1" x14ac:dyDescent="0.25">
      <c r="A743" s="37" t="str">
        <f>LEFT(Scharniere[[#This Row],[ArtikelNR]],4)</f>
        <v>F028</v>
      </c>
      <c r="B743" s="35" t="str">
        <f>MID(Scharniere[[#This Row],[ArtikelNR]],5,3)</f>
        <v>138</v>
      </c>
      <c r="C743" s="37" t="str">
        <f>RIGHT(Scharniere[[#This Row],[ArtikelNR]],3)</f>
        <v>717</v>
      </c>
      <c r="D743" s="35">
        <f>IF(AND(Scharniere[[#This Row],[Gruppenschlüssel]]=select!$A$44,Scharniere[[#This Row],[Scharnierart]]=1)=TRUE,1,0)</f>
        <v>0</v>
      </c>
      <c r="E7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3" s="35">
        <f>IF(select!$F$57=IF(Scharniere[[#This Row],[mit Dämpfung]]=1,1,IF(Scharniere[[#This Row],[ohne Dämpfung]]=1,2,IF(Scharniere[[#This Row],[ohne Feder]]=1,3,0))),1,0)</f>
        <v>0</v>
      </c>
      <c r="G743" s="35">
        <f>IF(Scharniere[[#This Row],[Bohrbild]]=select!$V$43,1,0)</f>
        <v>0</v>
      </c>
      <c r="H743" s="35">
        <f>IF(IF(Scharniere[[#This Row],[Anschrauben]]=1,1,IF(Scharniere[[#This Row],[Einpressen]]=1,2,IF(Scharniere[[#This Row],[Quick]]=1,3,IF(Scharniere[[#This Row],[Werkzeuglos]]=1,4,0))))=select!$F$48,1,0)</f>
        <v>0</v>
      </c>
      <c r="I7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3" s="149">
        <f>IF(AND(Scharniere[[#This Row],[Scharnierart]]=2,Scharniere[[#This Row],[Gruppenschlüssel]]=select!$A$318)=TRUE,1,0)</f>
        <v>1</v>
      </c>
      <c r="K743" s="221">
        <f ca="1">IF(select!$O$424&lt;6,1,0)</f>
        <v>1</v>
      </c>
      <c r="L743" s="221">
        <f>IF(select!$A$362=IF(Scharniere[[#This Row],[mit Dämpfung]]=1,1,IF(Scharniere[[#This Row],[ohne Dämpfung]]=1,2,IF(Scharniere[[#This Row],[ohne Feder]]=1,3,0))),1,0)</f>
        <v>1</v>
      </c>
      <c r="M743" s="135">
        <f>IF(Scharniere[[#This Row],[Bohrbild]]=select!$O$334,1,0)</f>
        <v>0</v>
      </c>
      <c r="N743" s="135">
        <f>IF(IF(Scharniere[[#This Row],[Anschrauben]]=1,1,IF(Scharniere[[#This Row],[Einpressen]]=1,2,IF(Scharniere[[#This Row],[Quick]]=1,3,IF(Scharniere[[#This Row],[Werkzeuglos]]=1,4,0))))=select!$E$362,1,0)</f>
        <v>1</v>
      </c>
      <c r="O7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3" s="298">
        <f>IF(AND(Scharniere[[#This Row],[Scharnierart]]=3,Scharniere[[#This Row],[Gruppenschlüssel]]=select!$A$747)=TRUE,1,0)</f>
        <v>0</v>
      </c>
      <c r="Q743" s="298">
        <f ca="1">IF(select!$O$945&lt;6,1,0)</f>
        <v>1</v>
      </c>
      <c r="R743" s="298">
        <f>IF(select!$A$778=IF(Scharniere[[#This Row],[mit Dämpfung]]=1,1,IF(Scharniere[[#This Row],[ohne Dämpfung]]=1,2,IF(Scharniere[[#This Row],[ohne Feder]]=1,3,0))),1,0)</f>
        <v>0</v>
      </c>
      <c r="S743" s="298">
        <f>IF(Scharniere[[#This Row],[Bohrbild]]=select!$A$755,1,0)</f>
        <v>0</v>
      </c>
      <c r="T743" s="298">
        <f>IF(IF(Scharniere[[#This Row],[Anschrauben]]=1,1,IF(Scharniere[[#This Row],[Einpressen]]=1,2,IF(Scharniere[[#This Row],[Quick]]=1,3,IF(Scharniere[[#This Row],[Werkzeuglos]]=1,4,0))))=select!$A$769,1,0)</f>
        <v>1</v>
      </c>
      <c r="U7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3" s="359">
        <f>IF(AND(Scharniere[[#This Row],[Scharnierart]]=4,Scharniere[[#This Row],[Gruppenschlüssel]]=select!$A$981)=TRUE,1,0)</f>
        <v>0</v>
      </c>
      <c r="W743" s="359">
        <f ca="1">IF(select!$O$1185&lt;6,1,0)</f>
        <v>1</v>
      </c>
      <c r="X743" s="359">
        <f>IF(select!$A$1012=IF(Scharniere[[#This Row],[mit Dämpfung]]=1,1,IF(Scharniere[[#This Row],[ohne Dämpfung]]=1,2,IF(Scharniere[[#This Row],[ohne Feder]]=1,3,0))),1,0)</f>
        <v>0</v>
      </c>
      <c r="Y743" s="359">
        <f>IF(Scharniere[[#This Row],[Bohrbild]]=select!$A$989,1,0)</f>
        <v>0</v>
      </c>
      <c r="Z743" s="359">
        <f>IF(IF(Scharniere[[#This Row],[Anschrauben]]=1,1,IF(Scharniere[[#This Row],[Einpressen]]=1,2,IF(Scharniere[[#This Row],[Quick]]=1,3,IF(Scharniere[[#This Row],[Werkzeuglos]]=1,4,0))))=select!$A$1003,1,0)</f>
        <v>1</v>
      </c>
      <c r="AA7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3" s="359">
        <f ca="1">IF(select!$K$980="*",Scharniere[[#This Row],[AG Ges2]],Scharniere[[#This Row],[AG Ges1]])</f>
        <v>0</v>
      </c>
      <c r="AE743" s="451">
        <f ca="1">IF(AND(Scharniere[[#This Row],[Scharnierart]]=select!$A$1485,Scharniere[[#This Row],[Gruppenschlüssel]]=select!$B$1485)=TRUE,1,0)</f>
        <v>0</v>
      </c>
      <c r="AF743" s="451">
        <f ca="1">IF(AND(Scharniere[[#This Row],[Scharnierart]]=select!$A$1486,Scharniere[[#This Row],[Gruppenschlüssel]]=select!$B$1486)=TRUE,1,0)</f>
        <v>0</v>
      </c>
      <c r="AG743" s="451">
        <f ca="1">IF(AND(Scharniere[[#This Row],[Scharnierart]]=select!$A$1487,Scharniere[[#This Row],[Gruppenschlüssel]]=select!$B$1487)=TRUE,1,0)</f>
        <v>0</v>
      </c>
      <c r="AH743" s="451">
        <f ca="1">IF(AND(Scharniere[[#This Row],[Scharnierart]]=select!$A$1488,Scharniere[[#This Row],[Gruppenschlüssel]]=select!$B$1488)=TRUE,1,0)</f>
        <v>0</v>
      </c>
      <c r="AI743" s="451">
        <f ca="1">IF(SUM(Scharniere[[#This Row],[konf Scharnier 1]:[konf Scharnier 4]])&gt;0,1,0)</f>
        <v>0</v>
      </c>
      <c r="AJ743" s="451"/>
      <c r="AK743" s="451"/>
      <c r="AL743" s="451"/>
      <c r="AM743" s="451"/>
      <c r="AN743" s="451"/>
      <c r="AO743" s="146">
        <v>2</v>
      </c>
      <c r="AP743" s="146">
        <v>1</v>
      </c>
      <c r="AQ743" s="10" t="str">
        <f ca="1">Sprache!$A$112</f>
        <v>Tiomos Scharnier TS Click-on</v>
      </c>
      <c r="AR743" t="str">
        <f ca="1">"110/90°, H-BB, "&amp;Sprache!$A$58&amp;" ni"</f>
        <v>110/90°, H-BB, aufl. ni</v>
      </c>
      <c r="AS743" t="str">
        <f ca="1">Sprache!$A$103</f>
        <v>Tiomos Click-On Scharniere</v>
      </c>
      <c r="AT743" t="s">
        <v>1264</v>
      </c>
      <c r="AU743" t="s">
        <v>10</v>
      </c>
      <c r="AV743" t="s">
        <v>1489</v>
      </c>
      <c r="AW743" s="71">
        <v>1</v>
      </c>
      <c r="AX743">
        <v>0</v>
      </c>
      <c r="AY743">
        <v>0</v>
      </c>
      <c r="AZ743" s="71">
        <v>1</v>
      </c>
      <c r="BA743">
        <v>0</v>
      </c>
      <c r="BB743">
        <v>0</v>
      </c>
      <c r="BC743">
        <v>0</v>
      </c>
      <c r="BD743" s="144" t="s">
        <v>1560</v>
      </c>
      <c r="BF743" s="10"/>
      <c r="BG743"/>
    </row>
    <row r="744" spans="1:59" ht="14.25" customHeight="1" x14ac:dyDescent="0.25">
      <c r="A744" s="37" t="str">
        <f>LEFT(Scharniere[[#This Row],[ArtikelNR]],4)</f>
        <v>F045</v>
      </c>
      <c r="B744" s="35" t="str">
        <f>MID(Scharniere[[#This Row],[ArtikelNR]],5,3)</f>
        <v>138</v>
      </c>
      <c r="C744" s="37" t="str">
        <f>RIGHT(Scharniere[[#This Row],[ArtikelNR]],3)</f>
        <v>655</v>
      </c>
      <c r="D744" s="35">
        <f>IF(AND(Scharniere[[#This Row],[Gruppenschlüssel]]=select!$A$44,Scharniere[[#This Row],[Scharnierart]]=1)=TRUE,1,0)</f>
        <v>0</v>
      </c>
      <c r="E7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4" s="35">
        <f>IF(select!$F$57=IF(Scharniere[[#This Row],[mit Dämpfung]]=1,1,IF(Scharniere[[#This Row],[ohne Dämpfung]]=1,2,IF(Scharniere[[#This Row],[ohne Feder]]=1,3,0))),1,0)</f>
        <v>0</v>
      </c>
      <c r="G744" s="35">
        <f>IF(Scharniere[[#This Row],[Bohrbild]]=select!$V$43,1,0)</f>
        <v>0</v>
      </c>
      <c r="H744" s="35">
        <f>IF(IF(Scharniere[[#This Row],[Anschrauben]]=1,1,IF(Scharniere[[#This Row],[Einpressen]]=1,2,IF(Scharniere[[#This Row],[Quick]]=1,3,IF(Scharniere[[#This Row],[Werkzeuglos]]=1,4,0))))=select!$F$48,1,0)</f>
        <v>0</v>
      </c>
      <c r="I7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4" s="149">
        <f>IF(AND(Scharniere[[#This Row],[Scharnierart]]=2,Scharniere[[#This Row],[Gruppenschlüssel]]=select!$A$318)=TRUE,1,0)</f>
        <v>1</v>
      </c>
      <c r="K744" s="221">
        <f ca="1">IF(select!$O$424&lt;6,1,0)</f>
        <v>1</v>
      </c>
      <c r="L744" s="221">
        <f>IF(select!$A$362=IF(Scharniere[[#This Row],[mit Dämpfung]]=1,1,IF(Scharniere[[#This Row],[ohne Dämpfung]]=1,2,IF(Scharniere[[#This Row],[ohne Feder]]=1,3,0))),1,0)</f>
        <v>0</v>
      </c>
      <c r="M744" s="135">
        <f>IF(Scharniere[[#This Row],[Bohrbild]]=select!$O$334,1,0)</f>
        <v>0</v>
      </c>
      <c r="N744" s="135">
        <f>IF(IF(Scharniere[[#This Row],[Anschrauben]]=1,1,IF(Scharniere[[#This Row],[Einpressen]]=1,2,IF(Scharniere[[#This Row],[Quick]]=1,3,IF(Scharniere[[#This Row],[Werkzeuglos]]=1,4,0))))=select!$E$362,1,0)</f>
        <v>1</v>
      </c>
      <c r="O7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4" s="298">
        <f>IF(AND(Scharniere[[#This Row],[Scharnierart]]=3,Scharniere[[#This Row],[Gruppenschlüssel]]=select!$A$747)=TRUE,1,0)</f>
        <v>0</v>
      </c>
      <c r="Q744" s="298">
        <f ca="1">IF(select!$O$945&lt;6,1,0)</f>
        <v>1</v>
      </c>
      <c r="R744" s="298">
        <f>IF(select!$A$778=IF(Scharniere[[#This Row],[mit Dämpfung]]=1,1,IF(Scharniere[[#This Row],[ohne Dämpfung]]=1,2,IF(Scharniere[[#This Row],[ohne Feder]]=1,3,0))),1,0)</f>
        <v>1</v>
      </c>
      <c r="S744" s="298">
        <f>IF(Scharniere[[#This Row],[Bohrbild]]=select!$A$755,1,0)</f>
        <v>0</v>
      </c>
      <c r="T744" s="298">
        <f>IF(IF(Scharniere[[#This Row],[Anschrauben]]=1,1,IF(Scharniere[[#This Row],[Einpressen]]=1,2,IF(Scharniere[[#This Row],[Quick]]=1,3,IF(Scharniere[[#This Row],[Werkzeuglos]]=1,4,0))))=select!$A$769,1,0)</f>
        <v>1</v>
      </c>
      <c r="U7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4" s="359">
        <f>IF(AND(Scharniere[[#This Row],[Scharnierart]]=4,Scharniere[[#This Row],[Gruppenschlüssel]]=select!$A$981)=TRUE,1,0)</f>
        <v>0</v>
      </c>
      <c r="W744" s="359">
        <f ca="1">IF(select!$O$1185&lt;6,1,0)</f>
        <v>1</v>
      </c>
      <c r="X744" s="359">
        <f>IF(select!$A$1012=IF(Scharniere[[#This Row],[mit Dämpfung]]=1,1,IF(Scharniere[[#This Row],[ohne Dämpfung]]=1,2,IF(Scharniere[[#This Row],[ohne Feder]]=1,3,0))),1,0)</f>
        <v>1</v>
      </c>
      <c r="Y744" s="359">
        <f>IF(Scharniere[[#This Row],[Bohrbild]]=select!$A$989,1,0)</f>
        <v>0</v>
      </c>
      <c r="Z744" s="359">
        <f>IF(IF(Scharniere[[#This Row],[Anschrauben]]=1,1,IF(Scharniere[[#This Row],[Einpressen]]=1,2,IF(Scharniere[[#This Row],[Quick]]=1,3,IF(Scharniere[[#This Row],[Werkzeuglos]]=1,4,0))))=select!$A$1003,1,0)</f>
        <v>1</v>
      </c>
      <c r="AA7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4" s="359">
        <f ca="1">IF(select!$K$980="*",Scharniere[[#This Row],[AG Ges2]],Scharniere[[#This Row],[AG Ges1]])</f>
        <v>0</v>
      </c>
      <c r="AE744" s="451">
        <f ca="1">IF(AND(Scharniere[[#This Row],[Scharnierart]]=select!$A$1485,Scharniere[[#This Row],[Gruppenschlüssel]]=select!$B$1485)=TRUE,1,0)</f>
        <v>0</v>
      </c>
      <c r="AF744" s="451">
        <f ca="1">IF(AND(Scharniere[[#This Row],[Scharnierart]]=select!$A$1486,Scharniere[[#This Row],[Gruppenschlüssel]]=select!$B$1486)=TRUE,1,0)</f>
        <v>0</v>
      </c>
      <c r="AG744" s="451">
        <f ca="1">IF(AND(Scharniere[[#This Row],[Scharnierart]]=select!$A$1487,Scharniere[[#This Row],[Gruppenschlüssel]]=select!$B$1487)=TRUE,1,0)</f>
        <v>0</v>
      </c>
      <c r="AH744" s="451">
        <f ca="1">IF(AND(Scharniere[[#This Row],[Scharnierart]]=select!$A$1488,Scharniere[[#This Row],[Gruppenschlüssel]]=select!$B$1488)=TRUE,1,0)</f>
        <v>0</v>
      </c>
      <c r="AI744" s="451">
        <f ca="1">IF(SUM(Scharniere[[#This Row],[konf Scharnier 1]:[konf Scharnier 4]])&gt;0,1,0)</f>
        <v>0</v>
      </c>
      <c r="AJ744" s="451"/>
      <c r="AK744" s="451"/>
      <c r="AL744" s="451"/>
      <c r="AM744" s="451"/>
      <c r="AN744" s="451"/>
      <c r="AO744" s="146">
        <v>2</v>
      </c>
      <c r="AP744" s="146">
        <v>1</v>
      </c>
      <c r="AQ744" s="10" t="str">
        <f ca="1">Sprache!$A$118</f>
        <v>Tiomos Scharnier T Click-on</v>
      </c>
      <c r="AR744" t="str">
        <f ca="1">"110/90°, H-BB, "&amp;Sprache!$A$58&amp;" ni"</f>
        <v>110/90°, H-BB, aufl. ni</v>
      </c>
      <c r="AS744" t="str">
        <f ca="1">Sprache!$A$103</f>
        <v>Tiomos Click-On Scharniere</v>
      </c>
      <c r="AT744" t="s">
        <v>1264</v>
      </c>
      <c r="AU744" t="s">
        <v>10</v>
      </c>
      <c r="AV744" t="s">
        <v>1489</v>
      </c>
      <c r="AW744" s="71">
        <v>0</v>
      </c>
      <c r="AX744">
        <v>1</v>
      </c>
      <c r="AY744">
        <v>0</v>
      </c>
      <c r="AZ744" s="71">
        <v>1</v>
      </c>
      <c r="BA744">
        <v>0</v>
      </c>
      <c r="BB744">
        <v>0</v>
      </c>
      <c r="BC744">
        <v>0</v>
      </c>
      <c r="BD744" s="144" t="s">
        <v>1669</v>
      </c>
      <c r="BF744" s="10"/>
      <c r="BG744"/>
    </row>
    <row r="745" spans="1:59" ht="14.25" customHeight="1" x14ac:dyDescent="0.25">
      <c r="A745" s="37" t="str">
        <f>LEFT(Scharniere[[#This Row],[ArtikelNR]],4)</f>
        <v>F017</v>
      </c>
      <c r="B745" s="35" t="str">
        <f>MID(Scharniere[[#This Row],[ArtikelNR]],5,3)</f>
        <v>139</v>
      </c>
      <c r="C745" s="37" t="str">
        <f>RIGHT(Scharniere[[#This Row],[ArtikelNR]],3)</f>
        <v>511</v>
      </c>
      <c r="D745" s="35">
        <f>IF(AND(Scharniere[[#This Row],[Gruppenschlüssel]]=select!$A$44,Scharniere[[#This Row],[Scharnierart]]=1)=TRUE,1,0)</f>
        <v>0</v>
      </c>
      <c r="E7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5" s="35">
        <f>IF(select!$F$57=IF(Scharniere[[#This Row],[mit Dämpfung]]=1,1,IF(Scharniere[[#This Row],[ohne Dämpfung]]=1,2,IF(Scharniere[[#This Row],[ohne Feder]]=1,3,0))),1,0)</f>
        <v>0</v>
      </c>
      <c r="G745" s="35">
        <f>IF(Scharniere[[#This Row],[Bohrbild]]=select!$V$43,1,0)</f>
        <v>0</v>
      </c>
      <c r="H745" s="35">
        <f>IF(IF(Scharniere[[#This Row],[Anschrauben]]=1,1,IF(Scharniere[[#This Row],[Einpressen]]=1,2,IF(Scharniere[[#This Row],[Quick]]=1,3,IF(Scharniere[[#This Row],[Werkzeuglos]]=1,4,0))))=select!$F$48,1,0)</f>
        <v>0</v>
      </c>
      <c r="I7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5" s="149">
        <f>IF(AND(Scharniere[[#This Row],[Scharnierart]]=2,Scharniere[[#This Row],[Gruppenschlüssel]]=select!$A$318)=TRUE,1,0)</f>
        <v>1</v>
      </c>
      <c r="K745" s="221">
        <f ca="1">IF(select!$O$424&lt;6,1,0)</f>
        <v>1</v>
      </c>
      <c r="L745" s="221">
        <f>IF(select!$A$362=IF(Scharniere[[#This Row],[mit Dämpfung]]=1,1,IF(Scharniere[[#This Row],[ohne Dämpfung]]=1,2,IF(Scharniere[[#This Row],[ohne Feder]]=1,3,0))),1,0)</f>
        <v>1</v>
      </c>
      <c r="M745" s="135">
        <f>IF(Scharniere[[#This Row],[Bohrbild]]=select!$O$334,1,0)</f>
        <v>0</v>
      </c>
      <c r="N745" s="135">
        <f>IF(IF(Scharniere[[#This Row],[Anschrauben]]=1,1,IF(Scharniere[[#This Row],[Einpressen]]=1,2,IF(Scharniere[[#This Row],[Quick]]=1,3,IF(Scharniere[[#This Row],[Werkzeuglos]]=1,4,0))))=select!$E$362,1,0)</f>
        <v>0</v>
      </c>
      <c r="O7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5" s="298">
        <f>IF(AND(Scharniere[[#This Row],[Scharnierart]]=3,Scharniere[[#This Row],[Gruppenschlüssel]]=select!$A$747)=TRUE,1,0)</f>
        <v>0</v>
      </c>
      <c r="Q745" s="298">
        <f ca="1">IF(select!$O$945&lt;6,1,0)</f>
        <v>1</v>
      </c>
      <c r="R745" s="298">
        <f>IF(select!$A$778=IF(Scharniere[[#This Row],[mit Dämpfung]]=1,1,IF(Scharniere[[#This Row],[ohne Dämpfung]]=1,2,IF(Scharniere[[#This Row],[ohne Feder]]=1,3,0))),1,0)</f>
        <v>0</v>
      </c>
      <c r="S745" s="298">
        <f>IF(Scharniere[[#This Row],[Bohrbild]]=select!$A$755,1,0)</f>
        <v>0</v>
      </c>
      <c r="T745" s="298">
        <f>IF(IF(Scharniere[[#This Row],[Anschrauben]]=1,1,IF(Scharniere[[#This Row],[Einpressen]]=1,2,IF(Scharniere[[#This Row],[Quick]]=1,3,IF(Scharniere[[#This Row],[Werkzeuglos]]=1,4,0))))=select!$A$769,1,0)</f>
        <v>0</v>
      </c>
      <c r="U7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5" s="359">
        <f>IF(AND(Scharniere[[#This Row],[Scharnierart]]=4,Scharniere[[#This Row],[Gruppenschlüssel]]=select!$A$981)=TRUE,1,0)</f>
        <v>0</v>
      </c>
      <c r="W745" s="359">
        <f ca="1">IF(select!$O$1185&lt;6,1,0)</f>
        <v>1</v>
      </c>
      <c r="X745" s="359">
        <f>IF(select!$A$1012=IF(Scharniere[[#This Row],[mit Dämpfung]]=1,1,IF(Scharniere[[#This Row],[ohne Dämpfung]]=1,2,IF(Scharniere[[#This Row],[ohne Feder]]=1,3,0))),1,0)</f>
        <v>0</v>
      </c>
      <c r="Y745" s="359">
        <f>IF(Scharniere[[#This Row],[Bohrbild]]=select!$A$989,1,0)</f>
        <v>0</v>
      </c>
      <c r="Z745" s="359">
        <f>IF(IF(Scharniere[[#This Row],[Anschrauben]]=1,1,IF(Scharniere[[#This Row],[Einpressen]]=1,2,IF(Scharniere[[#This Row],[Quick]]=1,3,IF(Scharniere[[#This Row],[Werkzeuglos]]=1,4,0))))=select!$A$1003,1,0)</f>
        <v>0</v>
      </c>
      <c r="AA7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5" s="359">
        <f ca="1">IF(select!$K$980="*",Scharniere[[#This Row],[AG Ges2]],Scharniere[[#This Row],[AG Ges1]])</f>
        <v>0</v>
      </c>
      <c r="AE745" s="451">
        <f ca="1">IF(AND(Scharniere[[#This Row],[Scharnierart]]=select!$A$1485,Scharniere[[#This Row],[Gruppenschlüssel]]=select!$B$1485)=TRUE,1,0)</f>
        <v>0</v>
      </c>
      <c r="AF745" s="451">
        <f ca="1">IF(AND(Scharniere[[#This Row],[Scharnierart]]=select!$A$1486,Scharniere[[#This Row],[Gruppenschlüssel]]=select!$B$1486)=TRUE,1,0)</f>
        <v>0</v>
      </c>
      <c r="AG745" s="451">
        <f ca="1">IF(AND(Scharniere[[#This Row],[Scharnierart]]=select!$A$1487,Scharniere[[#This Row],[Gruppenschlüssel]]=select!$B$1487)=TRUE,1,0)</f>
        <v>0</v>
      </c>
      <c r="AH745" s="451">
        <f ca="1">IF(AND(Scharniere[[#This Row],[Scharnierart]]=select!$A$1488,Scharniere[[#This Row],[Gruppenschlüssel]]=select!$B$1488)=TRUE,1,0)</f>
        <v>0</v>
      </c>
      <c r="AI745" s="451">
        <f ca="1">IF(SUM(Scharniere[[#This Row],[konf Scharnier 1]:[konf Scharnier 4]])&gt;0,1,0)</f>
        <v>0</v>
      </c>
      <c r="AJ745" s="451"/>
      <c r="AK745" s="451"/>
      <c r="AL745" s="451"/>
      <c r="AM745" s="451"/>
      <c r="AN745" s="451"/>
      <c r="AO745" s="146">
        <v>2</v>
      </c>
      <c r="AP745" s="146">
        <v>1</v>
      </c>
      <c r="AQ745" s="10" t="str">
        <f ca="1">Sprache!$A$113</f>
        <v>Tiomos Scharnier TS Impresso</v>
      </c>
      <c r="AR745" t="str">
        <f ca="1">"110/90°, HS-BB, "&amp;Sprache!$A$58&amp;" ni"</f>
        <v>110/90°, HS-BB, aufl. ni</v>
      </c>
      <c r="AS745" t="str">
        <f ca="1">Sprache!$A$116</f>
        <v>Tiomos Impresso Scharniere</v>
      </c>
      <c r="AT745" t="s">
        <v>1264</v>
      </c>
      <c r="AU745" s="34" t="s">
        <v>10</v>
      </c>
      <c r="AV745" t="s">
        <v>1489</v>
      </c>
      <c r="AW745" s="71">
        <v>1</v>
      </c>
      <c r="AX745">
        <v>0</v>
      </c>
      <c r="AY745">
        <v>0</v>
      </c>
      <c r="AZ745" s="71">
        <v>0</v>
      </c>
      <c r="BA745">
        <v>0</v>
      </c>
      <c r="BB745">
        <v>0</v>
      </c>
      <c r="BC745">
        <v>1</v>
      </c>
      <c r="BD745" s="144" t="s">
        <v>1595</v>
      </c>
      <c r="BF745" s="10"/>
      <c r="BG745"/>
    </row>
    <row r="746" spans="1:59" ht="14.25" customHeight="1" x14ac:dyDescent="0.25">
      <c r="A746" s="37" t="str">
        <f>LEFT(Scharniere[[#This Row],[ArtikelNR]],4)</f>
        <v>F017</v>
      </c>
      <c r="B746" s="35" t="str">
        <f>MID(Scharniere[[#This Row],[ArtikelNR]],5,3)</f>
        <v>139</v>
      </c>
      <c r="C746" s="37" t="str">
        <f>RIGHT(Scharniere[[#This Row],[ArtikelNR]],3)</f>
        <v>511</v>
      </c>
      <c r="D746" s="35">
        <f>IF(AND(Scharniere[[#This Row],[Gruppenschlüssel]]=select!$A$44,Scharniere[[#This Row],[Scharnierart]]=1)=TRUE,1,0)</f>
        <v>0</v>
      </c>
      <c r="E7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6" s="35">
        <f>IF(select!$F$57=IF(Scharniere[[#This Row],[mit Dämpfung]]=1,1,IF(Scharniere[[#This Row],[ohne Dämpfung]]=1,2,IF(Scharniere[[#This Row],[ohne Feder]]=1,3,0))),1,0)</f>
        <v>0</v>
      </c>
      <c r="G746" s="35">
        <f>IF(Scharniere[[#This Row],[Bohrbild]]=select!$V$43,1,0)</f>
        <v>0</v>
      </c>
      <c r="H746" s="35">
        <f>IF(IF(Scharniere[[#This Row],[Anschrauben]]=1,1,IF(Scharniere[[#This Row],[Einpressen]]=1,2,IF(Scharniere[[#This Row],[Quick]]=1,3,IF(Scharniere[[#This Row],[Werkzeuglos]]=1,4,0))))=select!$F$48,1,0)</f>
        <v>0</v>
      </c>
      <c r="I7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6" s="149">
        <f>IF(AND(Scharniere[[#This Row],[Scharnierart]]=2,Scharniere[[#This Row],[Gruppenschlüssel]]=select!$A$318)=TRUE,1,0)</f>
        <v>1</v>
      </c>
      <c r="K746" s="221">
        <f ca="1">IF(select!$O$424&lt;6,1,0)</f>
        <v>1</v>
      </c>
      <c r="L746" s="221">
        <f>IF(select!$A$362=IF(Scharniere[[#This Row],[mit Dämpfung]]=1,1,IF(Scharniere[[#This Row],[ohne Dämpfung]]=1,2,IF(Scharniere[[#This Row],[ohne Feder]]=1,3,0))),1,0)</f>
        <v>1</v>
      </c>
      <c r="M746" s="135">
        <f>IF(Scharniere[[#This Row],[Bohrbild]]=select!$O$334,1,0)</f>
        <v>0</v>
      </c>
      <c r="N746" s="135">
        <f>IF(IF(Scharniere[[#This Row],[Anschrauben]]=1,1,IF(Scharniere[[#This Row],[Einpressen]]=1,2,IF(Scharniere[[#This Row],[Quick]]=1,3,IF(Scharniere[[#This Row],[Werkzeuglos]]=1,4,0))))=select!$E$362,1,0)</f>
        <v>0</v>
      </c>
      <c r="O7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6" s="298">
        <f>IF(AND(Scharniere[[#This Row],[Scharnierart]]=3,Scharniere[[#This Row],[Gruppenschlüssel]]=select!$A$747)=TRUE,1,0)</f>
        <v>0</v>
      </c>
      <c r="Q746" s="298">
        <f ca="1">IF(select!$O$945&lt;6,1,0)</f>
        <v>1</v>
      </c>
      <c r="R746" s="298">
        <f>IF(select!$A$778=IF(Scharniere[[#This Row],[mit Dämpfung]]=1,1,IF(Scharniere[[#This Row],[ohne Dämpfung]]=1,2,IF(Scharniere[[#This Row],[ohne Feder]]=1,3,0))),1,0)</f>
        <v>0</v>
      </c>
      <c r="S746" s="298">
        <f>IF(Scharniere[[#This Row],[Bohrbild]]=select!$A$755,1,0)</f>
        <v>0</v>
      </c>
      <c r="T746" s="298">
        <f>IF(IF(Scharniere[[#This Row],[Anschrauben]]=1,1,IF(Scharniere[[#This Row],[Einpressen]]=1,2,IF(Scharniere[[#This Row],[Quick]]=1,3,IF(Scharniere[[#This Row],[Werkzeuglos]]=1,4,0))))=select!$A$769,1,0)</f>
        <v>0</v>
      </c>
      <c r="U7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6" s="359">
        <f>IF(AND(Scharniere[[#This Row],[Scharnierart]]=4,Scharniere[[#This Row],[Gruppenschlüssel]]=select!$A$981)=TRUE,1,0)</f>
        <v>0</v>
      </c>
      <c r="W746" s="359">
        <f ca="1">IF(select!$O$1185&lt;6,1,0)</f>
        <v>1</v>
      </c>
      <c r="X746" s="359">
        <f>IF(select!$A$1012=IF(Scharniere[[#This Row],[mit Dämpfung]]=1,1,IF(Scharniere[[#This Row],[ohne Dämpfung]]=1,2,IF(Scharniere[[#This Row],[ohne Feder]]=1,3,0))),1,0)</f>
        <v>0</v>
      </c>
      <c r="Y746" s="359">
        <f>IF(Scharniere[[#This Row],[Bohrbild]]=select!$A$989,1,0)</f>
        <v>0</v>
      </c>
      <c r="Z746" s="359">
        <f>IF(IF(Scharniere[[#This Row],[Anschrauben]]=1,1,IF(Scharniere[[#This Row],[Einpressen]]=1,2,IF(Scharniere[[#This Row],[Quick]]=1,3,IF(Scharniere[[#This Row],[Werkzeuglos]]=1,4,0))))=select!$A$1003,1,0)</f>
        <v>0</v>
      </c>
      <c r="AA7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6" s="359">
        <f ca="1">IF(select!$K$980="*",Scharniere[[#This Row],[AG Ges2]],Scharniere[[#This Row],[AG Ges1]])</f>
        <v>0</v>
      </c>
      <c r="AE746" s="451">
        <f ca="1">IF(AND(Scharniere[[#This Row],[Scharnierart]]=select!$A$1485,Scharniere[[#This Row],[Gruppenschlüssel]]=select!$B$1485)=TRUE,1,0)</f>
        <v>0</v>
      </c>
      <c r="AF746" s="451">
        <f ca="1">IF(AND(Scharniere[[#This Row],[Scharnierart]]=select!$A$1486,Scharniere[[#This Row],[Gruppenschlüssel]]=select!$B$1486)=TRUE,1,0)</f>
        <v>0</v>
      </c>
      <c r="AG746" s="451">
        <f ca="1">IF(AND(Scharniere[[#This Row],[Scharnierart]]=select!$A$1487,Scharniere[[#This Row],[Gruppenschlüssel]]=select!$B$1487)=TRUE,1,0)</f>
        <v>0</v>
      </c>
      <c r="AH746" s="451">
        <f ca="1">IF(AND(Scharniere[[#This Row],[Scharnierart]]=select!$A$1488,Scharniere[[#This Row],[Gruppenschlüssel]]=select!$B$1488)=TRUE,1,0)</f>
        <v>0</v>
      </c>
      <c r="AI746" s="451">
        <f ca="1">IF(SUM(Scharniere[[#This Row],[konf Scharnier 1]:[konf Scharnier 4]])&gt;0,1,0)</f>
        <v>0</v>
      </c>
      <c r="AJ746" s="451"/>
      <c r="AK746" s="451"/>
      <c r="AL746" s="451"/>
      <c r="AM746" s="451"/>
      <c r="AN746" s="451"/>
      <c r="AO746" s="146">
        <v>2</v>
      </c>
      <c r="AP746" s="146">
        <v>1</v>
      </c>
      <c r="AQ746" s="10" t="str">
        <f ca="1">Sprache!$A$113</f>
        <v>Tiomos Scharnier TS Impresso</v>
      </c>
      <c r="AR746" t="str">
        <f ca="1">"110/90°, HS-BB, "&amp;Sprache!$A$58&amp;" ni"</f>
        <v>110/90°, HS-BB, aufl. ni</v>
      </c>
      <c r="AS746" t="str">
        <f ca="1">Sprache!$A$116</f>
        <v>Tiomos Impresso Scharniere</v>
      </c>
      <c r="AT746" t="s">
        <v>1264</v>
      </c>
      <c r="AU746" s="34" t="s">
        <v>11</v>
      </c>
      <c r="AV746" t="s">
        <v>1489</v>
      </c>
      <c r="AW746" s="71">
        <v>1</v>
      </c>
      <c r="AX746">
        <v>0</v>
      </c>
      <c r="AY746">
        <v>0</v>
      </c>
      <c r="AZ746" s="71">
        <v>0</v>
      </c>
      <c r="BA746">
        <v>0</v>
      </c>
      <c r="BB746">
        <v>0</v>
      </c>
      <c r="BC746">
        <v>1</v>
      </c>
      <c r="BD746" s="144" t="s">
        <v>1595</v>
      </c>
      <c r="BF746" s="10"/>
      <c r="BG746"/>
    </row>
    <row r="747" spans="1:59" ht="14.25" customHeight="1" x14ac:dyDescent="0.25">
      <c r="A747" s="37" t="str">
        <f>LEFT(Scharniere[[#This Row],[ArtikelNR]],4)</f>
        <v>F034</v>
      </c>
      <c r="B747" s="35" t="str">
        <f>MID(Scharniere[[#This Row],[ArtikelNR]],5,3)</f>
        <v>139</v>
      </c>
      <c r="C747" s="37" t="str">
        <f>RIGHT(Scharniere[[#This Row],[ArtikelNR]],3)</f>
        <v>482</v>
      </c>
      <c r="D747" s="35">
        <f>IF(AND(Scharniere[[#This Row],[Gruppenschlüssel]]=select!$A$44,Scharniere[[#This Row],[Scharnierart]]=1)=TRUE,1,0)</f>
        <v>0</v>
      </c>
      <c r="E7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7" s="35">
        <f>IF(select!$F$57=IF(Scharniere[[#This Row],[mit Dämpfung]]=1,1,IF(Scharniere[[#This Row],[ohne Dämpfung]]=1,2,IF(Scharniere[[#This Row],[ohne Feder]]=1,3,0))),1,0)</f>
        <v>0</v>
      </c>
      <c r="G747" s="35">
        <f>IF(Scharniere[[#This Row],[Bohrbild]]=select!$V$43,1,0)</f>
        <v>0</v>
      </c>
      <c r="H747" s="35">
        <f>IF(IF(Scharniere[[#This Row],[Anschrauben]]=1,1,IF(Scharniere[[#This Row],[Einpressen]]=1,2,IF(Scharniere[[#This Row],[Quick]]=1,3,IF(Scharniere[[#This Row],[Werkzeuglos]]=1,4,0))))=select!$F$48,1,0)</f>
        <v>0</v>
      </c>
      <c r="I7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7" s="149">
        <f>IF(AND(Scharniere[[#This Row],[Scharnierart]]=2,Scharniere[[#This Row],[Gruppenschlüssel]]=select!$A$318)=TRUE,1,0)</f>
        <v>1</v>
      </c>
      <c r="K747" s="221">
        <f ca="1">IF(select!$O$424&lt;6,1,0)</f>
        <v>1</v>
      </c>
      <c r="L747" s="221">
        <f>IF(select!$A$362=IF(Scharniere[[#This Row],[mit Dämpfung]]=1,1,IF(Scharniere[[#This Row],[ohne Dämpfung]]=1,2,IF(Scharniere[[#This Row],[ohne Feder]]=1,3,0))),1,0)</f>
        <v>0</v>
      </c>
      <c r="M747" s="135">
        <f>IF(Scharniere[[#This Row],[Bohrbild]]=select!$O$334,1,0)</f>
        <v>0</v>
      </c>
      <c r="N747" s="135">
        <f>IF(IF(Scharniere[[#This Row],[Anschrauben]]=1,1,IF(Scharniere[[#This Row],[Einpressen]]=1,2,IF(Scharniere[[#This Row],[Quick]]=1,3,IF(Scharniere[[#This Row],[Werkzeuglos]]=1,4,0))))=select!$E$362,1,0)</f>
        <v>0</v>
      </c>
      <c r="O7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7" s="298">
        <f>IF(AND(Scharniere[[#This Row],[Scharnierart]]=3,Scharniere[[#This Row],[Gruppenschlüssel]]=select!$A$747)=TRUE,1,0)</f>
        <v>0</v>
      </c>
      <c r="Q747" s="298">
        <f ca="1">IF(select!$O$945&lt;6,1,0)</f>
        <v>1</v>
      </c>
      <c r="R747" s="298">
        <f>IF(select!$A$778=IF(Scharniere[[#This Row],[mit Dämpfung]]=1,1,IF(Scharniere[[#This Row],[ohne Dämpfung]]=1,2,IF(Scharniere[[#This Row],[ohne Feder]]=1,3,0))),1,0)</f>
        <v>1</v>
      </c>
      <c r="S747" s="298">
        <f>IF(Scharniere[[#This Row],[Bohrbild]]=select!$A$755,1,0)</f>
        <v>0</v>
      </c>
      <c r="T747" s="298">
        <f>IF(IF(Scharniere[[#This Row],[Anschrauben]]=1,1,IF(Scharniere[[#This Row],[Einpressen]]=1,2,IF(Scharniere[[#This Row],[Quick]]=1,3,IF(Scharniere[[#This Row],[Werkzeuglos]]=1,4,0))))=select!$A$769,1,0)</f>
        <v>0</v>
      </c>
      <c r="U7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7" s="359">
        <f>IF(AND(Scharniere[[#This Row],[Scharnierart]]=4,Scharniere[[#This Row],[Gruppenschlüssel]]=select!$A$981)=TRUE,1,0)</f>
        <v>0</v>
      </c>
      <c r="W747" s="359">
        <f ca="1">IF(select!$O$1185&lt;6,1,0)</f>
        <v>1</v>
      </c>
      <c r="X747" s="359">
        <f>IF(select!$A$1012=IF(Scharniere[[#This Row],[mit Dämpfung]]=1,1,IF(Scharniere[[#This Row],[ohne Dämpfung]]=1,2,IF(Scharniere[[#This Row],[ohne Feder]]=1,3,0))),1,0)</f>
        <v>1</v>
      </c>
      <c r="Y747" s="359">
        <f>IF(Scharniere[[#This Row],[Bohrbild]]=select!$A$989,1,0)</f>
        <v>0</v>
      </c>
      <c r="Z747" s="359">
        <f>IF(IF(Scharniere[[#This Row],[Anschrauben]]=1,1,IF(Scharniere[[#This Row],[Einpressen]]=1,2,IF(Scharniere[[#This Row],[Quick]]=1,3,IF(Scharniere[[#This Row],[Werkzeuglos]]=1,4,0))))=select!$A$1003,1,0)</f>
        <v>0</v>
      </c>
      <c r="AA7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7" s="359">
        <f ca="1">IF(select!$K$980="*",Scharniere[[#This Row],[AG Ges2]],Scharniere[[#This Row],[AG Ges1]])</f>
        <v>0</v>
      </c>
      <c r="AE747" s="451">
        <f ca="1">IF(AND(Scharniere[[#This Row],[Scharnierart]]=select!$A$1485,Scharniere[[#This Row],[Gruppenschlüssel]]=select!$B$1485)=TRUE,1,0)</f>
        <v>0</v>
      </c>
      <c r="AF747" s="451">
        <f ca="1">IF(AND(Scharniere[[#This Row],[Scharnierart]]=select!$A$1486,Scharniere[[#This Row],[Gruppenschlüssel]]=select!$B$1486)=TRUE,1,0)</f>
        <v>0</v>
      </c>
      <c r="AG747" s="451">
        <f ca="1">IF(AND(Scharniere[[#This Row],[Scharnierart]]=select!$A$1487,Scharniere[[#This Row],[Gruppenschlüssel]]=select!$B$1487)=TRUE,1,0)</f>
        <v>0</v>
      </c>
      <c r="AH747" s="451">
        <f ca="1">IF(AND(Scharniere[[#This Row],[Scharnierart]]=select!$A$1488,Scharniere[[#This Row],[Gruppenschlüssel]]=select!$B$1488)=TRUE,1,0)</f>
        <v>0</v>
      </c>
      <c r="AI747" s="451">
        <f ca="1">IF(SUM(Scharniere[[#This Row],[konf Scharnier 1]:[konf Scharnier 4]])&gt;0,1,0)</f>
        <v>0</v>
      </c>
      <c r="AJ747" s="451"/>
      <c r="AK747" s="451"/>
      <c r="AL747" s="451"/>
      <c r="AM747" s="451"/>
      <c r="AN747" s="451"/>
      <c r="AO747" s="146">
        <v>2</v>
      </c>
      <c r="AP747" s="146">
        <v>1</v>
      </c>
      <c r="AQ747" s="10" t="str">
        <f ca="1">Sprache!$A$119</f>
        <v>Tiomos Scharnier T Impresso</v>
      </c>
      <c r="AR747" t="str">
        <f ca="1">"110/90°, HS-BB, "&amp;Sprache!$A$58&amp;" ni"</f>
        <v>110/90°, HS-BB, aufl. ni</v>
      </c>
      <c r="AS747" t="str">
        <f ca="1">Sprache!$A$103</f>
        <v>Tiomos Click-On Scharniere</v>
      </c>
      <c r="AT747" t="s">
        <v>1264</v>
      </c>
      <c r="AU747" t="s">
        <v>10</v>
      </c>
      <c r="AV747" t="s">
        <v>1489</v>
      </c>
      <c r="AW747" s="71">
        <v>0</v>
      </c>
      <c r="AX747">
        <v>1</v>
      </c>
      <c r="AY747">
        <v>0</v>
      </c>
      <c r="AZ747" s="71">
        <v>0</v>
      </c>
      <c r="BA747">
        <v>0</v>
      </c>
      <c r="BB747">
        <v>0</v>
      </c>
      <c r="BC747">
        <v>1</v>
      </c>
      <c r="BD747" s="144" t="s">
        <v>1773</v>
      </c>
      <c r="BF747" s="10"/>
      <c r="BG747"/>
    </row>
    <row r="748" spans="1:59" ht="14.25" customHeight="1" x14ac:dyDescent="0.25">
      <c r="A748" s="37" t="str">
        <f>LEFT(Scharniere[[#This Row],[ArtikelNR]],4)</f>
        <v>F034</v>
      </c>
      <c r="B748" s="35" t="str">
        <f>MID(Scharniere[[#This Row],[ArtikelNR]],5,3)</f>
        <v>139</v>
      </c>
      <c r="C748" s="37" t="str">
        <f>RIGHT(Scharniere[[#This Row],[ArtikelNR]],3)</f>
        <v>482</v>
      </c>
      <c r="D748" s="35">
        <f>IF(AND(Scharniere[[#This Row],[Gruppenschlüssel]]=select!$A$44,Scharniere[[#This Row],[Scharnierart]]=1)=TRUE,1,0)</f>
        <v>0</v>
      </c>
      <c r="E7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8" s="35">
        <f>IF(select!$F$57=IF(Scharniere[[#This Row],[mit Dämpfung]]=1,1,IF(Scharniere[[#This Row],[ohne Dämpfung]]=1,2,IF(Scharniere[[#This Row],[ohne Feder]]=1,3,0))),1,0)</f>
        <v>0</v>
      </c>
      <c r="G748" s="35">
        <f>IF(Scharniere[[#This Row],[Bohrbild]]=select!$V$43,1,0)</f>
        <v>0</v>
      </c>
      <c r="H748" s="35">
        <f>IF(IF(Scharniere[[#This Row],[Anschrauben]]=1,1,IF(Scharniere[[#This Row],[Einpressen]]=1,2,IF(Scharniere[[#This Row],[Quick]]=1,3,IF(Scharniere[[#This Row],[Werkzeuglos]]=1,4,0))))=select!$F$48,1,0)</f>
        <v>0</v>
      </c>
      <c r="I7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8" s="149">
        <f>IF(AND(Scharniere[[#This Row],[Scharnierart]]=2,Scharniere[[#This Row],[Gruppenschlüssel]]=select!$A$318)=TRUE,1,0)</f>
        <v>1</v>
      </c>
      <c r="K748" s="221">
        <f ca="1">IF(select!$O$424&lt;6,1,0)</f>
        <v>1</v>
      </c>
      <c r="L748" s="221">
        <f>IF(select!$A$362=IF(Scharniere[[#This Row],[mit Dämpfung]]=1,1,IF(Scharniere[[#This Row],[ohne Dämpfung]]=1,2,IF(Scharniere[[#This Row],[ohne Feder]]=1,3,0))),1,0)</f>
        <v>0</v>
      </c>
      <c r="M748" s="135">
        <f>IF(Scharniere[[#This Row],[Bohrbild]]=select!$O$334,1,0)</f>
        <v>0</v>
      </c>
      <c r="N748" s="135">
        <f>IF(IF(Scharniere[[#This Row],[Anschrauben]]=1,1,IF(Scharniere[[#This Row],[Einpressen]]=1,2,IF(Scharniere[[#This Row],[Quick]]=1,3,IF(Scharniere[[#This Row],[Werkzeuglos]]=1,4,0))))=select!$E$362,1,0)</f>
        <v>0</v>
      </c>
      <c r="O7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8" s="298">
        <f>IF(AND(Scharniere[[#This Row],[Scharnierart]]=3,Scharniere[[#This Row],[Gruppenschlüssel]]=select!$A$747)=TRUE,1,0)</f>
        <v>0</v>
      </c>
      <c r="Q748" s="298">
        <f ca="1">IF(select!$O$945&lt;6,1,0)</f>
        <v>1</v>
      </c>
      <c r="R748" s="298">
        <f>IF(select!$A$778=IF(Scharniere[[#This Row],[mit Dämpfung]]=1,1,IF(Scharniere[[#This Row],[ohne Dämpfung]]=1,2,IF(Scharniere[[#This Row],[ohne Feder]]=1,3,0))),1,0)</f>
        <v>1</v>
      </c>
      <c r="S748" s="298">
        <f>IF(Scharniere[[#This Row],[Bohrbild]]=select!$A$755,1,0)</f>
        <v>0</v>
      </c>
      <c r="T748" s="298">
        <f>IF(IF(Scharniere[[#This Row],[Anschrauben]]=1,1,IF(Scharniere[[#This Row],[Einpressen]]=1,2,IF(Scharniere[[#This Row],[Quick]]=1,3,IF(Scharniere[[#This Row],[Werkzeuglos]]=1,4,0))))=select!$A$769,1,0)</f>
        <v>0</v>
      </c>
      <c r="U7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8" s="359">
        <f>IF(AND(Scharniere[[#This Row],[Scharnierart]]=4,Scharniere[[#This Row],[Gruppenschlüssel]]=select!$A$981)=TRUE,1,0)</f>
        <v>0</v>
      </c>
      <c r="W748" s="359">
        <f ca="1">IF(select!$O$1185&lt;6,1,0)</f>
        <v>1</v>
      </c>
      <c r="X748" s="359">
        <f>IF(select!$A$1012=IF(Scharniere[[#This Row],[mit Dämpfung]]=1,1,IF(Scharniere[[#This Row],[ohne Dämpfung]]=1,2,IF(Scharniere[[#This Row],[ohne Feder]]=1,3,0))),1,0)</f>
        <v>1</v>
      </c>
      <c r="Y748" s="359">
        <f>IF(Scharniere[[#This Row],[Bohrbild]]=select!$A$989,1,0)</f>
        <v>0</v>
      </c>
      <c r="Z748" s="359">
        <f>IF(IF(Scharniere[[#This Row],[Anschrauben]]=1,1,IF(Scharniere[[#This Row],[Einpressen]]=1,2,IF(Scharniere[[#This Row],[Quick]]=1,3,IF(Scharniere[[#This Row],[Werkzeuglos]]=1,4,0))))=select!$A$1003,1,0)</f>
        <v>0</v>
      </c>
      <c r="AA7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8" s="359">
        <f ca="1">IF(select!$K$980="*",Scharniere[[#This Row],[AG Ges2]],Scharniere[[#This Row],[AG Ges1]])</f>
        <v>0</v>
      </c>
      <c r="AE748" s="451">
        <f ca="1">IF(AND(Scharniere[[#This Row],[Scharnierart]]=select!$A$1485,Scharniere[[#This Row],[Gruppenschlüssel]]=select!$B$1485)=TRUE,1,0)</f>
        <v>0</v>
      </c>
      <c r="AF748" s="451">
        <f ca="1">IF(AND(Scharniere[[#This Row],[Scharnierart]]=select!$A$1486,Scharniere[[#This Row],[Gruppenschlüssel]]=select!$B$1486)=TRUE,1,0)</f>
        <v>0</v>
      </c>
      <c r="AG748" s="451">
        <f ca="1">IF(AND(Scharniere[[#This Row],[Scharnierart]]=select!$A$1487,Scharniere[[#This Row],[Gruppenschlüssel]]=select!$B$1487)=TRUE,1,0)</f>
        <v>0</v>
      </c>
      <c r="AH748" s="451">
        <f ca="1">IF(AND(Scharniere[[#This Row],[Scharnierart]]=select!$A$1488,Scharniere[[#This Row],[Gruppenschlüssel]]=select!$B$1488)=TRUE,1,0)</f>
        <v>0</v>
      </c>
      <c r="AI748" s="451">
        <f ca="1">IF(SUM(Scharniere[[#This Row],[konf Scharnier 1]:[konf Scharnier 4]])&gt;0,1,0)</f>
        <v>0</v>
      </c>
      <c r="AJ748" s="451"/>
      <c r="AK748" s="451"/>
      <c r="AL748" s="451"/>
      <c r="AM748" s="451"/>
      <c r="AN748" s="451"/>
      <c r="AO748" s="146">
        <v>2</v>
      </c>
      <c r="AP748" s="146">
        <v>1</v>
      </c>
      <c r="AQ748" s="10" t="str">
        <f ca="1">Sprache!$A$119</f>
        <v>Tiomos Scharnier T Impresso</v>
      </c>
      <c r="AR748" t="str">
        <f ca="1">"110/90°, HS-BB, "&amp;Sprache!$A$58&amp;" ni"</f>
        <v>110/90°, HS-BB, aufl. ni</v>
      </c>
      <c r="AS748" t="str">
        <f ca="1">Sprache!$A$103</f>
        <v>Tiomos Click-On Scharniere</v>
      </c>
      <c r="AT748" t="s">
        <v>1264</v>
      </c>
      <c r="AU748" t="s">
        <v>11</v>
      </c>
      <c r="AV748" t="s">
        <v>1489</v>
      </c>
      <c r="AW748" s="71">
        <v>0</v>
      </c>
      <c r="AX748">
        <v>1</v>
      </c>
      <c r="AY748">
        <v>0</v>
      </c>
      <c r="AZ748" s="71">
        <v>0</v>
      </c>
      <c r="BA748">
        <v>0</v>
      </c>
      <c r="BB748">
        <v>0</v>
      </c>
      <c r="BC748">
        <v>1</v>
      </c>
      <c r="BD748" s="144" t="s">
        <v>1773</v>
      </c>
      <c r="BF748" s="10"/>
      <c r="BG748"/>
    </row>
    <row r="749" spans="1:59" ht="14.25" customHeight="1" x14ac:dyDescent="0.25">
      <c r="A749" s="37" t="str">
        <f>LEFT(Scharniere[[#This Row],[ArtikelNR]],4)</f>
        <v>F028</v>
      </c>
      <c r="B749" s="35" t="str">
        <f>MID(Scharniere[[#This Row],[ArtikelNR]],5,3)</f>
        <v>138</v>
      </c>
      <c r="C749" s="37" t="str">
        <f>RIGHT(Scharniere[[#This Row],[ArtikelNR]],3)</f>
        <v>119</v>
      </c>
      <c r="D749" s="35">
        <f>IF(AND(Scharniere[[#This Row],[Gruppenschlüssel]]=select!$A$44,Scharniere[[#This Row],[Scharnierart]]=1)=TRUE,1,0)</f>
        <v>0</v>
      </c>
      <c r="E7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49" s="35">
        <f>IF(select!$F$57=IF(Scharniere[[#This Row],[mit Dämpfung]]=1,1,IF(Scharniere[[#This Row],[ohne Dämpfung]]=1,2,IF(Scharniere[[#This Row],[ohne Feder]]=1,3,0))),1,0)</f>
        <v>0</v>
      </c>
      <c r="G749" s="35">
        <f>IF(Scharniere[[#This Row],[Bohrbild]]=select!$V$43,1,0)</f>
        <v>1</v>
      </c>
      <c r="H749" s="35">
        <f>IF(IF(Scharniere[[#This Row],[Anschrauben]]=1,1,IF(Scharniere[[#This Row],[Einpressen]]=1,2,IF(Scharniere[[#This Row],[Quick]]=1,3,IF(Scharniere[[#This Row],[Werkzeuglos]]=1,4,0))))=select!$F$48,1,0)</f>
        <v>1</v>
      </c>
      <c r="I7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49" s="149">
        <f>IF(AND(Scharniere[[#This Row],[Scharnierart]]=2,Scharniere[[#This Row],[Gruppenschlüssel]]=select!$A$318)=TRUE,1,0)</f>
        <v>1</v>
      </c>
      <c r="K749" s="221">
        <f ca="1">IF(select!$O$424&lt;6,1,0)</f>
        <v>1</v>
      </c>
      <c r="L749" s="221">
        <f>IF(select!$A$362=IF(Scharniere[[#This Row],[mit Dämpfung]]=1,1,IF(Scharniere[[#This Row],[ohne Dämpfung]]=1,2,IF(Scharniere[[#This Row],[ohne Feder]]=1,3,0))),1,0)</f>
        <v>1</v>
      </c>
      <c r="M749" s="135">
        <f>IF(Scharniere[[#This Row],[Bohrbild]]=select!$O$334,1,0)</f>
        <v>1</v>
      </c>
      <c r="N749" s="135">
        <f>IF(IF(Scharniere[[#This Row],[Anschrauben]]=1,1,IF(Scharniere[[#This Row],[Einpressen]]=1,2,IF(Scharniere[[#This Row],[Quick]]=1,3,IF(Scharniere[[#This Row],[Werkzeuglos]]=1,4,0))))=select!$E$362,1,0)</f>
        <v>0</v>
      </c>
      <c r="O7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49" s="298">
        <f>IF(AND(Scharniere[[#This Row],[Scharnierart]]=3,Scharniere[[#This Row],[Gruppenschlüssel]]=select!$A$747)=TRUE,1,0)</f>
        <v>0</v>
      </c>
      <c r="Q749" s="298">
        <f ca="1">IF(select!$O$945&lt;6,1,0)</f>
        <v>1</v>
      </c>
      <c r="R749" s="298">
        <f>IF(select!$A$778=IF(Scharniere[[#This Row],[mit Dämpfung]]=1,1,IF(Scharniere[[#This Row],[ohne Dämpfung]]=1,2,IF(Scharniere[[#This Row],[ohne Feder]]=1,3,0))),1,0)</f>
        <v>0</v>
      </c>
      <c r="S749" s="298">
        <f>IF(Scharniere[[#This Row],[Bohrbild]]=select!$A$755,1,0)</f>
        <v>0</v>
      </c>
      <c r="T749" s="298">
        <f>IF(IF(Scharniere[[#This Row],[Anschrauben]]=1,1,IF(Scharniere[[#This Row],[Einpressen]]=1,2,IF(Scharniere[[#This Row],[Quick]]=1,3,IF(Scharniere[[#This Row],[Werkzeuglos]]=1,4,0))))=select!$A$769,1,0)</f>
        <v>0</v>
      </c>
      <c r="U7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49" s="359">
        <f>IF(AND(Scharniere[[#This Row],[Scharnierart]]=4,Scharniere[[#This Row],[Gruppenschlüssel]]=select!$A$981)=TRUE,1,0)</f>
        <v>0</v>
      </c>
      <c r="W749" s="359">
        <f ca="1">IF(select!$O$1185&lt;6,1,0)</f>
        <v>1</v>
      </c>
      <c r="X749" s="359">
        <f>IF(select!$A$1012=IF(Scharniere[[#This Row],[mit Dämpfung]]=1,1,IF(Scharniere[[#This Row],[ohne Dämpfung]]=1,2,IF(Scharniere[[#This Row],[ohne Feder]]=1,3,0))),1,0)</f>
        <v>0</v>
      </c>
      <c r="Y749" s="359">
        <f>IF(Scharniere[[#This Row],[Bohrbild]]=select!$A$989,1,0)</f>
        <v>0</v>
      </c>
      <c r="Z749" s="359">
        <f>IF(IF(Scharniere[[#This Row],[Anschrauben]]=1,1,IF(Scharniere[[#This Row],[Einpressen]]=1,2,IF(Scharniere[[#This Row],[Quick]]=1,3,IF(Scharniere[[#This Row],[Werkzeuglos]]=1,4,0))))=select!$A$1003,1,0)</f>
        <v>0</v>
      </c>
      <c r="AA7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49" s="359">
        <f ca="1">IF(select!$K$980="*",Scharniere[[#This Row],[AG Ges2]],Scharniere[[#This Row],[AG Ges1]])</f>
        <v>0</v>
      </c>
      <c r="AE749" s="451">
        <f ca="1">IF(AND(Scharniere[[#This Row],[Scharnierart]]=select!$A$1485,Scharniere[[#This Row],[Gruppenschlüssel]]=select!$B$1485)=TRUE,1,0)</f>
        <v>0</v>
      </c>
      <c r="AF749" s="451">
        <f ca="1">IF(AND(Scharniere[[#This Row],[Scharnierart]]=select!$A$1486,Scharniere[[#This Row],[Gruppenschlüssel]]=select!$B$1486)=TRUE,1,0)</f>
        <v>0</v>
      </c>
      <c r="AG749" s="451">
        <f ca="1">IF(AND(Scharniere[[#This Row],[Scharnierart]]=select!$A$1487,Scharniere[[#This Row],[Gruppenschlüssel]]=select!$B$1487)=TRUE,1,0)</f>
        <v>0</v>
      </c>
      <c r="AH749" s="451">
        <f ca="1">IF(AND(Scharniere[[#This Row],[Scharnierart]]=select!$A$1488,Scharniere[[#This Row],[Gruppenschlüssel]]=select!$B$1488)=TRUE,1,0)</f>
        <v>0</v>
      </c>
      <c r="AI749" s="451">
        <f ca="1">IF(SUM(Scharniere[[#This Row],[konf Scharnier 1]:[konf Scharnier 4]])&gt;0,1,0)</f>
        <v>0</v>
      </c>
      <c r="AJ749" s="451"/>
      <c r="AK749" s="451"/>
      <c r="AL749" s="451"/>
      <c r="AM749" s="451"/>
      <c r="AN749" s="451"/>
      <c r="AO749" s="146">
        <v>2</v>
      </c>
      <c r="AP749" s="146">
        <v>1</v>
      </c>
      <c r="AQ749" s="10" t="str">
        <f ca="1">Sprache!$A$112</f>
        <v>Tiomos Scharnier TS Click-on</v>
      </c>
      <c r="AR749" t="str">
        <f ca="1">"110/90°, M-BB, "&amp;Sprache!$A$58&amp;" 0, ni"</f>
        <v>110/90°, M-BB, aufl. 0, ni</v>
      </c>
      <c r="AS749" t="str">
        <f ca="1">Sprache!$A$103</f>
        <v>Tiomos Click-On Scharniere</v>
      </c>
      <c r="AT749" t="s">
        <v>1264</v>
      </c>
      <c r="AU749" t="s">
        <v>8</v>
      </c>
      <c r="AV749" t="s">
        <v>1489</v>
      </c>
      <c r="AW749" s="71">
        <v>1</v>
      </c>
      <c r="AX749">
        <v>0</v>
      </c>
      <c r="AY749">
        <v>0</v>
      </c>
      <c r="AZ749" s="71">
        <v>0</v>
      </c>
      <c r="BA749">
        <v>1</v>
      </c>
      <c r="BB749">
        <v>0</v>
      </c>
      <c r="BC749">
        <v>0</v>
      </c>
      <c r="BD749" s="144" t="s">
        <v>1521</v>
      </c>
      <c r="BF749" s="10"/>
      <c r="BG749"/>
    </row>
    <row r="750" spans="1:59" ht="14.25" customHeight="1" x14ac:dyDescent="0.25">
      <c r="A750" s="37" t="str">
        <f>LEFT(Scharniere[[#This Row],[ArtikelNR]],4)</f>
        <v>F045</v>
      </c>
      <c r="B750" s="35" t="str">
        <f>MID(Scharniere[[#This Row],[ArtikelNR]],5,3)</f>
        <v>138</v>
      </c>
      <c r="C750" s="37" t="str">
        <f>RIGHT(Scharniere[[#This Row],[ArtikelNR]],3)</f>
        <v>026</v>
      </c>
      <c r="D750" s="35">
        <f>IF(AND(Scharniere[[#This Row],[Gruppenschlüssel]]=select!$A$44,Scharniere[[#This Row],[Scharnierart]]=1)=TRUE,1,0)</f>
        <v>0</v>
      </c>
      <c r="E7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0" s="35">
        <f>IF(select!$F$57=IF(Scharniere[[#This Row],[mit Dämpfung]]=1,1,IF(Scharniere[[#This Row],[ohne Dämpfung]]=1,2,IF(Scharniere[[#This Row],[ohne Feder]]=1,3,0))),1,0)</f>
        <v>0</v>
      </c>
      <c r="G750" s="35">
        <f>IF(Scharniere[[#This Row],[Bohrbild]]=select!$V$43,1,0)</f>
        <v>1</v>
      </c>
      <c r="H750" s="35">
        <f>IF(IF(Scharniere[[#This Row],[Anschrauben]]=1,1,IF(Scharniere[[#This Row],[Einpressen]]=1,2,IF(Scharniere[[#This Row],[Quick]]=1,3,IF(Scharniere[[#This Row],[Werkzeuglos]]=1,4,0))))=select!$F$48,1,0)</f>
        <v>1</v>
      </c>
      <c r="I7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0" s="149">
        <f>IF(AND(Scharniere[[#This Row],[Scharnierart]]=2,Scharniere[[#This Row],[Gruppenschlüssel]]=select!$A$318)=TRUE,1,0)</f>
        <v>1</v>
      </c>
      <c r="K750" s="221">
        <f ca="1">IF(select!$O$424&lt;6,1,0)</f>
        <v>1</v>
      </c>
      <c r="L750" s="221">
        <f>IF(select!$A$362=IF(Scharniere[[#This Row],[mit Dämpfung]]=1,1,IF(Scharniere[[#This Row],[ohne Dämpfung]]=1,2,IF(Scharniere[[#This Row],[ohne Feder]]=1,3,0))),1,0)</f>
        <v>0</v>
      </c>
      <c r="M750" s="135">
        <f>IF(Scharniere[[#This Row],[Bohrbild]]=select!$O$334,1,0)</f>
        <v>1</v>
      </c>
      <c r="N750" s="135">
        <f>IF(IF(Scharniere[[#This Row],[Anschrauben]]=1,1,IF(Scharniere[[#This Row],[Einpressen]]=1,2,IF(Scharniere[[#This Row],[Quick]]=1,3,IF(Scharniere[[#This Row],[Werkzeuglos]]=1,4,0))))=select!$E$362,1,0)</f>
        <v>0</v>
      </c>
      <c r="O7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0" s="298">
        <f>IF(AND(Scharniere[[#This Row],[Scharnierart]]=3,Scharniere[[#This Row],[Gruppenschlüssel]]=select!$A$747)=TRUE,1,0)</f>
        <v>0</v>
      </c>
      <c r="Q750" s="298">
        <f ca="1">IF(select!$O$945&lt;6,1,0)</f>
        <v>1</v>
      </c>
      <c r="R750" s="298">
        <f>IF(select!$A$778=IF(Scharniere[[#This Row],[mit Dämpfung]]=1,1,IF(Scharniere[[#This Row],[ohne Dämpfung]]=1,2,IF(Scharniere[[#This Row],[ohne Feder]]=1,3,0))),1,0)</f>
        <v>1</v>
      </c>
      <c r="S750" s="298">
        <f>IF(Scharniere[[#This Row],[Bohrbild]]=select!$A$755,1,0)</f>
        <v>0</v>
      </c>
      <c r="T750" s="298">
        <f>IF(IF(Scharniere[[#This Row],[Anschrauben]]=1,1,IF(Scharniere[[#This Row],[Einpressen]]=1,2,IF(Scharniere[[#This Row],[Quick]]=1,3,IF(Scharniere[[#This Row],[Werkzeuglos]]=1,4,0))))=select!$A$769,1,0)</f>
        <v>0</v>
      </c>
      <c r="U7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0" s="359">
        <f>IF(AND(Scharniere[[#This Row],[Scharnierart]]=4,Scharniere[[#This Row],[Gruppenschlüssel]]=select!$A$981)=TRUE,1,0)</f>
        <v>0</v>
      </c>
      <c r="W750" s="359">
        <f ca="1">IF(select!$O$1185&lt;6,1,0)</f>
        <v>1</v>
      </c>
      <c r="X750" s="359">
        <f>IF(select!$A$1012=IF(Scharniere[[#This Row],[mit Dämpfung]]=1,1,IF(Scharniere[[#This Row],[ohne Dämpfung]]=1,2,IF(Scharniere[[#This Row],[ohne Feder]]=1,3,0))),1,0)</f>
        <v>1</v>
      </c>
      <c r="Y750" s="359">
        <f>IF(Scharniere[[#This Row],[Bohrbild]]=select!$A$989,1,0)</f>
        <v>0</v>
      </c>
      <c r="Z750" s="359">
        <f>IF(IF(Scharniere[[#This Row],[Anschrauben]]=1,1,IF(Scharniere[[#This Row],[Einpressen]]=1,2,IF(Scharniere[[#This Row],[Quick]]=1,3,IF(Scharniere[[#This Row],[Werkzeuglos]]=1,4,0))))=select!$A$1003,1,0)</f>
        <v>0</v>
      </c>
      <c r="AA7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0" s="359">
        <f ca="1">IF(select!$K$980="*",Scharniere[[#This Row],[AG Ges2]],Scharniere[[#This Row],[AG Ges1]])</f>
        <v>0</v>
      </c>
      <c r="AE750" s="451">
        <f ca="1">IF(AND(Scharniere[[#This Row],[Scharnierart]]=select!$A$1485,Scharniere[[#This Row],[Gruppenschlüssel]]=select!$B$1485)=TRUE,1,0)</f>
        <v>0</v>
      </c>
      <c r="AF750" s="451">
        <f ca="1">IF(AND(Scharniere[[#This Row],[Scharnierart]]=select!$A$1486,Scharniere[[#This Row],[Gruppenschlüssel]]=select!$B$1486)=TRUE,1,0)</f>
        <v>0</v>
      </c>
      <c r="AG750" s="451">
        <f ca="1">IF(AND(Scharniere[[#This Row],[Scharnierart]]=select!$A$1487,Scharniere[[#This Row],[Gruppenschlüssel]]=select!$B$1487)=TRUE,1,0)</f>
        <v>0</v>
      </c>
      <c r="AH750" s="451">
        <f ca="1">IF(AND(Scharniere[[#This Row],[Scharnierart]]=select!$A$1488,Scharniere[[#This Row],[Gruppenschlüssel]]=select!$B$1488)=TRUE,1,0)</f>
        <v>0</v>
      </c>
      <c r="AI750" s="451">
        <f ca="1">IF(SUM(Scharniere[[#This Row],[konf Scharnier 1]:[konf Scharnier 4]])&gt;0,1,0)</f>
        <v>0</v>
      </c>
      <c r="AJ750" s="451"/>
      <c r="AK750" s="451"/>
      <c r="AL750" s="451"/>
      <c r="AM750" s="451"/>
      <c r="AN750" s="451"/>
      <c r="AO750" s="146">
        <v>2</v>
      </c>
      <c r="AP750" s="146">
        <v>1</v>
      </c>
      <c r="AQ750" s="10" t="str">
        <f ca="1">Sprache!$A$118</f>
        <v>Tiomos Scharnier T Click-on</v>
      </c>
      <c r="AR750" t="str">
        <f ca="1">"110/90°, M-BB, "&amp;Sprache!$A$58&amp;" 0, ni"</f>
        <v>110/90°, M-BB, aufl. 0, ni</v>
      </c>
      <c r="AS750" t="str">
        <f ca="1">Sprache!$A$103</f>
        <v>Tiomos Click-On Scharniere</v>
      </c>
      <c r="AT750" t="s">
        <v>1264</v>
      </c>
      <c r="AU750" t="s">
        <v>8</v>
      </c>
      <c r="AV750" t="s">
        <v>1489</v>
      </c>
      <c r="AW750" s="71">
        <v>0</v>
      </c>
      <c r="AX750">
        <v>1</v>
      </c>
      <c r="AY750">
        <v>0</v>
      </c>
      <c r="AZ750" s="71">
        <v>0</v>
      </c>
      <c r="BA750">
        <v>1</v>
      </c>
      <c r="BB750">
        <v>0</v>
      </c>
      <c r="BC750">
        <v>0</v>
      </c>
      <c r="BD750" s="144" t="s">
        <v>1623</v>
      </c>
      <c r="BF750" s="10"/>
      <c r="BG750"/>
    </row>
    <row r="751" spans="1:59" ht="14.25" customHeight="1" x14ac:dyDescent="0.25">
      <c r="A751" s="37" t="str">
        <f>LEFT(Scharniere[[#This Row],[ArtikelNR]],4)</f>
        <v>F028</v>
      </c>
      <c r="B751" s="35" t="str">
        <f>MID(Scharniere[[#This Row],[ArtikelNR]],5,3)</f>
        <v>138</v>
      </c>
      <c r="C751" s="37" t="str">
        <f>RIGHT(Scharniere[[#This Row],[ArtikelNR]],3)</f>
        <v>109</v>
      </c>
      <c r="D751" s="35">
        <f>IF(AND(Scharniere[[#This Row],[Gruppenschlüssel]]=select!$A$44,Scharniere[[#This Row],[Scharnierart]]=1)=TRUE,1,0)</f>
        <v>0</v>
      </c>
      <c r="E7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1" s="35">
        <f>IF(select!$F$57=IF(Scharniere[[#This Row],[mit Dämpfung]]=1,1,IF(Scharniere[[#This Row],[ohne Dämpfung]]=1,2,IF(Scharniere[[#This Row],[ohne Feder]]=1,3,0))),1,0)</f>
        <v>0</v>
      </c>
      <c r="G751" s="35">
        <f>IF(Scharniere[[#This Row],[Bohrbild]]=select!$V$43,1,0)</f>
        <v>1</v>
      </c>
      <c r="H751" s="35">
        <f>IF(IF(Scharniere[[#This Row],[Anschrauben]]=1,1,IF(Scharniere[[#This Row],[Einpressen]]=1,2,IF(Scharniere[[#This Row],[Quick]]=1,3,IF(Scharniere[[#This Row],[Werkzeuglos]]=1,4,0))))=select!$F$48,1,0)</f>
        <v>0</v>
      </c>
      <c r="I7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1" s="149">
        <f>IF(AND(Scharniere[[#This Row],[Scharnierart]]=2,Scharniere[[#This Row],[Gruppenschlüssel]]=select!$A$318)=TRUE,1,0)</f>
        <v>1</v>
      </c>
      <c r="K751" s="221">
        <f ca="1">IF(select!$O$424&lt;6,1,0)</f>
        <v>1</v>
      </c>
      <c r="L751" s="221">
        <f>IF(select!$A$362=IF(Scharniere[[#This Row],[mit Dämpfung]]=1,1,IF(Scharniere[[#This Row],[ohne Dämpfung]]=1,2,IF(Scharniere[[#This Row],[ohne Feder]]=1,3,0))),1,0)</f>
        <v>1</v>
      </c>
      <c r="M751" s="135">
        <f>IF(Scharniere[[#This Row],[Bohrbild]]=select!$O$334,1,0)</f>
        <v>1</v>
      </c>
      <c r="N751" s="135">
        <f>IF(IF(Scharniere[[#This Row],[Anschrauben]]=1,1,IF(Scharniere[[#This Row],[Einpressen]]=1,2,IF(Scharniere[[#This Row],[Quick]]=1,3,IF(Scharniere[[#This Row],[Werkzeuglos]]=1,4,0))))=select!$E$362,1,0)</f>
        <v>1</v>
      </c>
      <c r="O751" s="135">
        <f ca="1">IF(Scharniere[[#This Row],[montageplatte möglich]]+Scharniere[[#This Row],[Dämpfung_Winkel]]+Scharniere[[#This Row],[Bohrbild_Winkel]]+Scharniere[[#This Row],[Schbefest_Winkel]]+Scharniere[[#This Row],[winkelscharnier]]=5,1,0)</f>
        <v>1</v>
      </c>
      <c r="P751" s="298">
        <f>IF(AND(Scharniere[[#This Row],[Scharnierart]]=3,Scharniere[[#This Row],[Gruppenschlüssel]]=select!$A$747)=TRUE,1,0)</f>
        <v>0</v>
      </c>
      <c r="Q751" s="298">
        <f ca="1">IF(select!$O$945&lt;6,1,0)</f>
        <v>1</v>
      </c>
      <c r="R751" s="298">
        <f>IF(select!$A$778=IF(Scharniere[[#This Row],[mit Dämpfung]]=1,1,IF(Scharniere[[#This Row],[ohne Dämpfung]]=1,2,IF(Scharniere[[#This Row],[ohne Feder]]=1,3,0))),1,0)</f>
        <v>0</v>
      </c>
      <c r="S751" s="298">
        <f>IF(Scharniere[[#This Row],[Bohrbild]]=select!$A$755,1,0)</f>
        <v>0</v>
      </c>
      <c r="T751" s="298">
        <f>IF(IF(Scharniere[[#This Row],[Anschrauben]]=1,1,IF(Scharniere[[#This Row],[Einpressen]]=1,2,IF(Scharniere[[#This Row],[Quick]]=1,3,IF(Scharniere[[#This Row],[Werkzeuglos]]=1,4,0))))=select!$A$769,1,0)</f>
        <v>1</v>
      </c>
      <c r="U7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1" s="359">
        <f>IF(AND(Scharniere[[#This Row],[Scharnierart]]=4,Scharniere[[#This Row],[Gruppenschlüssel]]=select!$A$981)=TRUE,1,0)</f>
        <v>0</v>
      </c>
      <c r="W751" s="359">
        <f ca="1">IF(select!$O$1185&lt;6,1,0)</f>
        <v>1</v>
      </c>
      <c r="X751" s="359">
        <f>IF(select!$A$1012=IF(Scharniere[[#This Row],[mit Dämpfung]]=1,1,IF(Scharniere[[#This Row],[ohne Dämpfung]]=1,2,IF(Scharniere[[#This Row],[ohne Feder]]=1,3,0))),1,0)</f>
        <v>0</v>
      </c>
      <c r="Y751" s="359">
        <f>IF(Scharniere[[#This Row],[Bohrbild]]=select!$A$989,1,0)</f>
        <v>0</v>
      </c>
      <c r="Z751" s="359">
        <f>IF(IF(Scharniere[[#This Row],[Anschrauben]]=1,1,IF(Scharniere[[#This Row],[Einpressen]]=1,2,IF(Scharniere[[#This Row],[Quick]]=1,3,IF(Scharniere[[#This Row],[Werkzeuglos]]=1,4,0))))=select!$A$1003,1,0)</f>
        <v>1</v>
      </c>
      <c r="AA7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1" s="359">
        <f ca="1">IF(select!$K$980="*",Scharniere[[#This Row],[AG Ges2]],Scharniere[[#This Row],[AG Ges1]])</f>
        <v>0</v>
      </c>
      <c r="AE751" s="451">
        <f ca="1">IF(AND(Scharniere[[#This Row],[Scharnierart]]=select!$A$1485,Scharniere[[#This Row],[Gruppenschlüssel]]=select!$B$1485)=TRUE,1,0)</f>
        <v>0</v>
      </c>
      <c r="AF751" s="451">
        <f ca="1">IF(AND(Scharniere[[#This Row],[Scharnierart]]=select!$A$1486,Scharniere[[#This Row],[Gruppenschlüssel]]=select!$B$1486)=TRUE,1,0)</f>
        <v>0</v>
      </c>
      <c r="AG751" s="451">
        <f ca="1">IF(AND(Scharniere[[#This Row],[Scharnierart]]=select!$A$1487,Scharniere[[#This Row],[Gruppenschlüssel]]=select!$B$1487)=TRUE,1,0)</f>
        <v>0</v>
      </c>
      <c r="AH751" s="451">
        <f ca="1">IF(AND(Scharniere[[#This Row],[Scharnierart]]=select!$A$1488,Scharniere[[#This Row],[Gruppenschlüssel]]=select!$B$1488)=TRUE,1,0)</f>
        <v>0</v>
      </c>
      <c r="AI751" s="451">
        <f ca="1">IF(SUM(Scharniere[[#This Row],[konf Scharnier 1]:[konf Scharnier 4]])&gt;0,1,0)</f>
        <v>0</v>
      </c>
      <c r="AJ751" s="451"/>
      <c r="AK751" s="451"/>
      <c r="AL751" s="451"/>
      <c r="AM751" s="451"/>
      <c r="AN751" s="451"/>
      <c r="AO751" s="146">
        <v>2</v>
      </c>
      <c r="AP751" s="146">
        <v>1</v>
      </c>
      <c r="AQ751" s="10" t="str">
        <f ca="1">Sprache!$A$112</f>
        <v>Tiomos Scharnier TS Click-on</v>
      </c>
      <c r="AR751" t="str">
        <f ca="1">"110/90°, M-BB, "&amp;Sprache!$A$58&amp;" ni"</f>
        <v>110/90°, M-BB, aufl. ni</v>
      </c>
      <c r="AS751" t="str">
        <f ca="1">Sprache!$A$103</f>
        <v>Tiomos Click-On Scharniere</v>
      </c>
      <c r="AT751" t="s">
        <v>1264</v>
      </c>
      <c r="AU751" s="34" t="s">
        <v>8</v>
      </c>
      <c r="AV751" t="s">
        <v>1489</v>
      </c>
      <c r="AW751" s="71">
        <v>1</v>
      </c>
      <c r="AX751">
        <v>0</v>
      </c>
      <c r="AY751">
        <v>0</v>
      </c>
      <c r="AZ751" s="71">
        <v>1</v>
      </c>
      <c r="BA751">
        <v>0</v>
      </c>
      <c r="BB751">
        <v>0</v>
      </c>
      <c r="BC751">
        <v>0</v>
      </c>
      <c r="BD751" s="144" t="s">
        <v>1519</v>
      </c>
      <c r="BF751" s="10"/>
      <c r="BG751"/>
    </row>
    <row r="752" spans="1:59" ht="14.25" customHeight="1" x14ac:dyDescent="0.25">
      <c r="A752" s="37" t="str">
        <f>LEFT(Scharniere[[#This Row],[ArtikelNR]],4)</f>
        <v>F045</v>
      </c>
      <c r="B752" s="35" t="str">
        <f>MID(Scharniere[[#This Row],[ArtikelNR]],5,3)</f>
        <v>138</v>
      </c>
      <c r="C752" s="37" t="str">
        <f>RIGHT(Scharniere[[#This Row],[ArtikelNR]],3)</f>
        <v>016</v>
      </c>
      <c r="D752" s="35">
        <f>IF(AND(Scharniere[[#This Row],[Gruppenschlüssel]]=select!$A$44,Scharniere[[#This Row],[Scharnierart]]=1)=TRUE,1,0)</f>
        <v>0</v>
      </c>
      <c r="E7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2" s="35">
        <f>IF(select!$F$57=IF(Scharniere[[#This Row],[mit Dämpfung]]=1,1,IF(Scharniere[[#This Row],[ohne Dämpfung]]=1,2,IF(Scharniere[[#This Row],[ohne Feder]]=1,3,0))),1,0)</f>
        <v>0</v>
      </c>
      <c r="G752" s="35">
        <f>IF(Scharniere[[#This Row],[Bohrbild]]=select!$V$43,1,0)</f>
        <v>1</v>
      </c>
      <c r="H752" s="35">
        <f>IF(IF(Scharniere[[#This Row],[Anschrauben]]=1,1,IF(Scharniere[[#This Row],[Einpressen]]=1,2,IF(Scharniere[[#This Row],[Quick]]=1,3,IF(Scharniere[[#This Row],[Werkzeuglos]]=1,4,0))))=select!$F$48,1,0)</f>
        <v>0</v>
      </c>
      <c r="I7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2" s="149">
        <f>IF(AND(Scharniere[[#This Row],[Scharnierart]]=2,Scharniere[[#This Row],[Gruppenschlüssel]]=select!$A$318)=TRUE,1,0)</f>
        <v>1</v>
      </c>
      <c r="K752" s="221">
        <f ca="1">IF(select!$O$424&lt;6,1,0)</f>
        <v>1</v>
      </c>
      <c r="L752" s="221">
        <f>IF(select!$A$362=IF(Scharniere[[#This Row],[mit Dämpfung]]=1,1,IF(Scharniere[[#This Row],[ohne Dämpfung]]=1,2,IF(Scharniere[[#This Row],[ohne Feder]]=1,3,0))),1,0)</f>
        <v>0</v>
      </c>
      <c r="M752" s="135">
        <f>IF(Scharniere[[#This Row],[Bohrbild]]=select!$O$334,1,0)</f>
        <v>1</v>
      </c>
      <c r="N752" s="135">
        <f>IF(IF(Scharniere[[#This Row],[Anschrauben]]=1,1,IF(Scharniere[[#This Row],[Einpressen]]=1,2,IF(Scharniere[[#This Row],[Quick]]=1,3,IF(Scharniere[[#This Row],[Werkzeuglos]]=1,4,0))))=select!$E$362,1,0)</f>
        <v>1</v>
      </c>
      <c r="O7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2" s="298">
        <f>IF(AND(Scharniere[[#This Row],[Scharnierart]]=3,Scharniere[[#This Row],[Gruppenschlüssel]]=select!$A$747)=TRUE,1,0)</f>
        <v>0</v>
      </c>
      <c r="Q752" s="298">
        <f ca="1">IF(select!$O$945&lt;6,1,0)</f>
        <v>1</v>
      </c>
      <c r="R752" s="298">
        <f>IF(select!$A$778=IF(Scharniere[[#This Row],[mit Dämpfung]]=1,1,IF(Scharniere[[#This Row],[ohne Dämpfung]]=1,2,IF(Scharniere[[#This Row],[ohne Feder]]=1,3,0))),1,0)</f>
        <v>1</v>
      </c>
      <c r="S752" s="298">
        <f>IF(Scharniere[[#This Row],[Bohrbild]]=select!$A$755,1,0)</f>
        <v>0</v>
      </c>
      <c r="T752" s="298">
        <f>IF(IF(Scharniere[[#This Row],[Anschrauben]]=1,1,IF(Scharniere[[#This Row],[Einpressen]]=1,2,IF(Scharniere[[#This Row],[Quick]]=1,3,IF(Scharniere[[#This Row],[Werkzeuglos]]=1,4,0))))=select!$A$769,1,0)</f>
        <v>1</v>
      </c>
      <c r="U7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2" s="359">
        <f>IF(AND(Scharniere[[#This Row],[Scharnierart]]=4,Scharniere[[#This Row],[Gruppenschlüssel]]=select!$A$981)=TRUE,1,0)</f>
        <v>0</v>
      </c>
      <c r="W752" s="359">
        <f ca="1">IF(select!$O$1185&lt;6,1,0)</f>
        <v>1</v>
      </c>
      <c r="X752" s="359">
        <f>IF(select!$A$1012=IF(Scharniere[[#This Row],[mit Dämpfung]]=1,1,IF(Scharniere[[#This Row],[ohne Dämpfung]]=1,2,IF(Scharniere[[#This Row],[ohne Feder]]=1,3,0))),1,0)</f>
        <v>1</v>
      </c>
      <c r="Y752" s="359">
        <f>IF(Scharniere[[#This Row],[Bohrbild]]=select!$A$989,1,0)</f>
        <v>0</v>
      </c>
      <c r="Z752" s="359">
        <f>IF(IF(Scharniere[[#This Row],[Anschrauben]]=1,1,IF(Scharniere[[#This Row],[Einpressen]]=1,2,IF(Scharniere[[#This Row],[Quick]]=1,3,IF(Scharniere[[#This Row],[Werkzeuglos]]=1,4,0))))=select!$A$1003,1,0)</f>
        <v>1</v>
      </c>
      <c r="AA7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2" s="359">
        <f ca="1">IF(select!$K$980="*",Scharniere[[#This Row],[AG Ges2]],Scharniere[[#This Row],[AG Ges1]])</f>
        <v>0</v>
      </c>
      <c r="AE752" s="451">
        <f ca="1">IF(AND(Scharniere[[#This Row],[Scharnierart]]=select!$A$1485,Scharniere[[#This Row],[Gruppenschlüssel]]=select!$B$1485)=TRUE,1,0)</f>
        <v>0</v>
      </c>
      <c r="AF752" s="451">
        <f ca="1">IF(AND(Scharniere[[#This Row],[Scharnierart]]=select!$A$1486,Scharniere[[#This Row],[Gruppenschlüssel]]=select!$B$1486)=TRUE,1,0)</f>
        <v>0</v>
      </c>
      <c r="AG752" s="451">
        <f ca="1">IF(AND(Scharniere[[#This Row],[Scharnierart]]=select!$A$1487,Scharniere[[#This Row],[Gruppenschlüssel]]=select!$B$1487)=TRUE,1,0)</f>
        <v>0</v>
      </c>
      <c r="AH752" s="451">
        <f ca="1">IF(AND(Scharniere[[#This Row],[Scharnierart]]=select!$A$1488,Scharniere[[#This Row],[Gruppenschlüssel]]=select!$B$1488)=TRUE,1,0)</f>
        <v>0</v>
      </c>
      <c r="AI752" s="451">
        <f ca="1">IF(SUM(Scharniere[[#This Row],[konf Scharnier 1]:[konf Scharnier 4]])&gt;0,1,0)</f>
        <v>0</v>
      </c>
      <c r="AJ752" s="451"/>
      <c r="AK752" s="451"/>
      <c r="AL752" s="451"/>
      <c r="AM752" s="451"/>
      <c r="AN752" s="451"/>
      <c r="AO752" s="146">
        <v>2</v>
      </c>
      <c r="AP752" s="146">
        <v>1</v>
      </c>
      <c r="AQ752" s="10" t="str">
        <f ca="1">Sprache!$A$118</f>
        <v>Tiomos Scharnier T Click-on</v>
      </c>
      <c r="AR752" t="str">
        <f ca="1">"110/90°, M-BB, "&amp;Sprache!$A$58&amp;" ni"</f>
        <v>110/90°, M-BB, aufl. ni</v>
      </c>
      <c r="AS752" t="str">
        <f ca="1">Sprache!$A$103</f>
        <v>Tiomos Click-On Scharniere</v>
      </c>
      <c r="AT752" t="s">
        <v>1264</v>
      </c>
      <c r="AU752" s="34" t="s">
        <v>8</v>
      </c>
      <c r="AV752" t="s">
        <v>1489</v>
      </c>
      <c r="AW752" s="71">
        <v>0</v>
      </c>
      <c r="AX752">
        <v>1</v>
      </c>
      <c r="AY752">
        <v>0</v>
      </c>
      <c r="AZ752" s="71">
        <v>1</v>
      </c>
      <c r="BA752">
        <v>0</v>
      </c>
      <c r="BB752">
        <v>0</v>
      </c>
      <c r="BC752">
        <v>0</v>
      </c>
      <c r="BD752" s="144" t="s">
        <v>1621</v>
      </c>
      <c r="BF752" s="10"/>
      <c r="BG752"/>
    </row>
    <row r="753" spans="1:59" ht="14.25" customHeight="1" x14ac:dyDescent="0.25">
      <c r="A753" s="37" t="str">
        <f>LEFT(Scharniere[[#This Row],[ArtikelNR]],4)</f>
        <v>F017</v>
      </c>
      <c r="B753" s="35" t="str">
        <f>MID(Scharniere[[#This Row],[ArtikelNR]],5,3)</f>
        <v>139</v>
      </c>
      <c r="C753" s="37" t="str">
        <f>RIGHT(Scharniere[[#This Row],[ArtikelNR]],3)</f>
        <v>341</v>
      </c>
      <c r="D753" s="35">
        <f>IF(AND(Scharniere[[#This Row],[Gruppenschlüssel]]=select!$A$44,Scharniere[[#This Row],[Scharnierart]]=1)=TRUE,1,0)</f>
        <v>0</v>
      </c>
      <c r="E7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3" s="35">
        <f>IF(select!$F$57=IF(Scharniere[[#This Row],[mit Dämpfung]]=1,1,IF(Scharniere[[#This Row],[ohne Dämpfung]]=1,2,IF(Scharniere[[#This Row],[ohne Feder]]=1,3,0))),1,0)</f>
        <v>0</v>
      </c>
      <c r="G753" s="35">
        <f>IF(Scharniere[[#This Row],[Bohrbild]]=select!$V$43,1,0)</f>
        <v>1</v>
      </c>
      <c r="H753" s="35">
        <f>IF(IF(Scharniere[[#This Row],[Anschrauben]]=1,1,IF(Scharniere[[#This Row],[Einpressen]]=1,2,IF(Scharniere[[#This Row],[Quick]]=1,3,IF(Scharniere[[#This Row],[Werkzeuglos]]=1,4,0))))=select!$F$48,1,0)</f>
        <v>0</v>
      </c>
      <c r="I7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3" s="149">
        <f>IF(AND(Scharniere[[#This Row],[Scharnierart]]=2,Scharniere[[#This Row],[Gruppenschlüssel]]=select!$A$318)=TRUE,1,0)</f>
        <v>1</v>
      </c>
      <c r="K753" s="221">
        <f ca="1">IF(select!$O$424&lt;6,1,0)</f>
        <v>1</v>
      </c>
      <c r="L753" s="221">
        <f>IF(select!$A$362=IF(Scharniere[[#This Row],[mit Dämpfung]]=1,1,IF(Scharniere[[#This Row],[ohne Dämpfung]]=1,2,IF(Scharniere[[#This Row],[ohne Feder]]=1,3,0))),1,0)</f>
        <v>1</v>
      </c>
      <c r="M753" s="135">
        <f>IF(Scharniere[[#This Row],[Bohrbild]]=select!$O$334,1,0)</f>
        <v>1</v>
      </c>
      <c r="N753" s="135">
        <f>IF(IF(Scharniere[[#This Row],[Anschrauben]]=1,1,IF(Scharniere[[#This Row],[Einpressen]]=1,2,IF(Scharniere[[#This Row],[Quick]]=1,3,IF(Scharniere[[#This Row],[Werkzeuglos]]=1,4,0))))=select!$E$362,1,0)</f>
        <v>0</v>
      </c>
      <c r="O7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3" s="298">
        <f>IF(AND(Scharniere[[#This Row],[Scharnierart]]=3,Scharniere[[#This Row],[Gruppenschlüssel]]=select!$A$747)=TRUE,1,0)</f>
        <v>0</v>
      </c>
      <c r="Q753" s="298">
        <f ca="1">IF(select!$O$945&lt;6,1,0)</f>
        <v>1</v>
      </c>
      <c r="R753" s="298">
        <f>IF(select!$A$778=IF(Scharniere[[#This Row],[mit Dämpfung]]=1,1,IF(Scharniere[[#This Row],[ohne Dämpfung]]=1,2,IF(Scharniere[[#This Row],[ohne Feder]]=1,3,0))),1,0)</f>
        <v>0</v>
      </c>
      <c r="S753" s="298">
        <f>IF(Scharniere[[#This Row],[Bohrbild]]=select!$A$755,1,0)</f>
        <v>0</v>
      </c>
      <c r="T753" s="298">
        <f>IF(IF(Scharniere[[#This Row],[Anschrauben]]=1,1,IF(Scharniere[[#This Row],[Einpressen]]=1,2,IF(Scharniere[[#This Row],[Quick]]=1,3,IF(Scharniere[[#This Row],[Werkzeuglos]]=1,4,0))))=select!$A$769,1,0)</f>
        <v>0</v>
      </c>
      <c r="U7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3" s="359">
        <f>IF(AND(Scharniere[[#This Row],[Scharnierart]]=4,Scharniere[[#This Row],[Gruppenschlüssel]]=select!$A$981)=TRUE,1,0)</f>
        <v>0</v>
      </c>
      <c r="W753" s="359">
        <f ca="1">IF(select!$O$1185&lt;6,1,0)</f>
        <v>1</v>
      </c>
      <c r="X753" s="359">
        <f>IF(select!$A$1012=IF(Scharniere[[#This Row],[mit Dämpfung]]=1,1,IF(Scharniere[[#This Row],[ohne Dämpfung]]=1,2,IF(Scharniere[[#This Row],[ohne Feder]]=1,3,0))),1,0)</f>
        <v>0</v>
      </c>
      <c r="Y753" s="359">
        <f>IF(Scharniere[[#This Row],[Bohrbild]]=select!$A$989,1,0)</f>
        <v>0</v>
      </c>
      <c r="Z753" s="359">
        <f>IF(IF(Scharniere[[#This Row],[Anschrauben]]=1,1,IF(Scharniere[[#This Row],[Einpressen]]=1,2,IF(Scharniere[[#This Row],[Quick]]=1,3,IF(Scharniere[[#This Row],[Werkzeuglos]]=1,4,0))))=select!$A$1003,1,0)</f>
        <v>0</v>
      </c>
      <c r="AA7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3" s="359">
        <f ca="1">IF(select!$K$980="*",Scharniere[[#This Row],[AG Ges2]],Scharniere[[#This Row],[AG Ges1]])</f>
        <v>0</v>
      </c>
      <c r="AE753" s="451">
        <f ca="1">IF(AND(Scharniere[[#This Row],[Scharnierart]]=select!$A$1485,Scharniere[[#This Row],[Gruppenschlüssel]]=select!$B$1485)=TRUE,1,0)</f>
        <v>0</v>
      </c>
      <c r="AF753" s="451">
        <f ca="1">IF(AND(Scharniere[[#This Row],[Scharnierart]]=select!$A$1486,Scharniere[[#This Row],[Gruppenschlüssel]]=select!$B$1486)=TRUE,1,0)</f>
        <v>0</v>
      </c>
      <c r="AG753" s="451">
        <f ca="1">IF(AND(Scharniere[[#This Row],[Scharnierart]]=select!$A$1487,Scharniere[[#This Row],[Gruppenschlüssel]]=select!$B$1487)=TRUE,1,0)</f>
        <v>0</v>
      </c>
      <c r="AH753" s="451">
        <f ca="1">IF(AND(Scharniere[[#This Row],[Scharnierart]]=select!$A$1488,Scharniere[[#This Row],[Gruppenschlüssel]]=select!$B$1488)=TRUE,1,0)</f>
        <v>0</v>
      </c>
      <c r="AI753" s="451">
        <f ca="1">IF(SUM(Scharniere[[#This Row],[konf Scharnier 1]:[konf Scharnier 4]])&gt;0,1,0)</f>
        <v>0</v>
      </c>
      <c r="AJ753" s="451"/>
      <c r="AK753" s="451"/>
      <c r="AL753" s="451"/>
      <c r="AM753" s="451"/>
      <c r="AN753" s="451"/>
      <c r="AO753" s="146">
        <v>2</v>
      </c>
      <c r="AP753" s="146">
        <v>1</v>
      </c>
      <c r="AQ753" s="10" t="str">
        <f ca="1">Sprache!$A$113</f>
        <v>Tiomos Scharnier TS Impresso</v>
      </c>
      <c r="AR753" t="str">
        <f ca="1">"110/90°, MB-BB, "&amp;Sprache!$A$58&amp;" ni"</f>
        <v>110/90°, MB-BB, aufl. ni</v>
      </c>
      <c r="AS753" t="str">
        <f ca="1">Sprache!$A$116</f>
        <v>Tiomos Impresso Scharniere</v>
      </c>
      <c r="AT753" t="s">
        <v>1264</v>
      </c>
      <c r="AU753" t="s">
        <v>8</v>
      </c>
      <c r="AV753" t="s">
        <v>1489</v>
      </c>
      <c r="AW753" s="71">
        <v>1</v>
      </c>
      <c r="AX753">
        <v>0</v>
      </c>
      <c r="AY753">
        <v>0</v>
      </c>
      <c r="AZ753" s="71">
        <v>0</v>
      </c>
      <c r="BA753">
        <v>0</v>
      </c>
      <c r="BB753">
        <v>0</v>
      </c>
      <c r="BC753">
        <v>1</v>
      </c>
      <c r="BD753" s="144" t="s">
        <v>1427</v>
      </c>
      <c r="BF753" s="10"/>
      <c r="BG753"/>
    </row>
    <row r="754" spans="1:59" ht="14.25" customHeight="1" x14ac:dyDescent="0.25">
      <c r="A754" s="37" t="str">
        <f>LEFT(Scharniere[[#This Row],[ArtikelNR]],4)</f>
        <v>F017</v>
      </c>
      <c r="B754" s="35" t="str">
        <f>MID(Scharniere[[#This Row],[ArtikelNR]],5,3)</f>
        <v>139</v>
      </c>
      <c r="C754" s="37" t="str">
        <f>RIGHT(Scharniere[[#This Row],[ArtikelNR]],3)</f>
        <v>341</v>
      </c>
      <c r="D754" s="35">
        <f>IF(AND(Scharniere[[#This Row],[Gruppenschlüssel]]=select!$A$44,Scharniere[[#This Row],[Scharnierart]]=1)=TRUE,1,0)</f>
        <v>0</v>
      </c>
      <c r="E7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4" s="35">
        <f>IF(select!$F$57=IF(Scharniere[[#This Row],[mit Dämpfung]]=1,1,IF(Scharniere[[#This Row],[ohne Dämpfung]]=1,2,IF(Scharniere[[#This Row],[ohne Feder]]=1,3,0))),1,0)</f>
        <v>0</v>
      </c>
      <c r="G754" s="35">
        <f>IF(Scharniere[[#This Row],[Bohrbild]]=select!$V$43,1,0)</f>
        <v>0</v>
      </c>
      <c r="H754" s="35">
        <f>IF(IF(Scharniere[[#This Row],[Anschrauben]]=1,1,IF(Scharniere[[#This Row],[Einpressen]]=1,2,IF(Scharniere[[#This Row],[Quick]]=1,3,IF(Scharniere[[#This Row],[Werkzeuglos]]=1,4,0))))=select!$F$48,1,0)</f>
        <v>0</v>
      </c>
      <c r="I7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4" s="149">
        <f>IF(AND(Scharniere[[#This Row],[Scharnierart]]=2,Scharniere[[#This Row],[Gruppenschlüssel]]=select!$A$318)=TRUE,1,0)</f>
        <v>1</v>
      </c>
      <c r="K754" s="221">
        <f ca="1">IF(select!$O$424&lt;6,1,0)</f>
        <v>1</v>
      </c>
      <c r="L754" s="221">
        <f>IF(select!$A$362=IF(Scharniere[[#This Row],[mit Dämpfung]]=1,1,IF(Scharniere[[#This Row],[ohne Dämpfung]]=1,2,IF(Scharniere[[#This Row],[ohne Feder]]=1,3,0))),1,0)</f>
        <v>1</v>
      </c>
      <c r="M754" s="135">
        <f>IF(Scharniere[[#This Row],[Bohrbild]]=select!$O$334,1,0)</f>
        <v>0</v>
      </c>
      <c r="N754" s="135">
        <f>IF(IF(Scharniere[[#This Row],[Anschrauben]]=1,1,IF(Scharniere[[#This Row],[Einpressen]]=1,2,IF(Scharniere[[#This Row],[Quick]]=1,3,IF(Scharniere[[#This Row],[Werkzeuglos]]=1,4,0))))=select!$E$362,1,0)</f>
        <v>0</v>
      </c>
      <c r="O7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4" s="298">
        <f>IF(AND(Scharniere[[#This Row],[Scharnierart]]=3,Scharniere[[#This Row],[Gruppenschlüssel]]=select!$A$747)=TRUE,1,0)</f>
        <v>0</v>
      </c>
      <c r="Q754" s="298">
        <f ca="1">IF(select!$O$945&lt;6,1,0)</f>
        <v>1</v>
      </c>
      <c r="R754" s="298">
        <f>IF(select!$A$778=IF(Scharniere[[#This Row],[mit Dämpfung]]=1,1,IF(Scharniere[[#This Row],[ohne Dämpfung]]=1,2,IF(Scharniere[[#This Row],[ohne Feder]]=1,3,0))),1,0)</f>
        <v>0</v>
      </c>
      <c r="S754" s="298">
        <f>IF(Scharniere[[#This Row],[Bohrbild]]=select!$A$755,1,0)</f>
        <v>0</v>
      </c>
      <c r="T754" s="298">
        <f>IF(IF(Scharniere[[#This Row],[Anschrauben]]=1,1,IF(Scharniere[[#This Row],[Einpressen]]=1,2,IF(Scharniere[[#This Row],[Quick]]=1,3,IF(Scharniere[[#This Row],[Werkzeuglos]]=1,4,0))))=select!$A$769,1,0)</f>
        <v>0</v>
      </c>
      <c r="U7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4" s="359">
        <f>IF(AND(Scharniere[[#This Row],[Scharnierart]]=4,Scharniere[[#This Row],[Gruppenschlüssel]]=select!$A$981)=TRUE,1,0)</f>
        <v>0</v>
      </c>
      <c r="W754" s="359">
        <f ca="1">IF(select!$O$1185&lt;6,1,0)</f>
        <v>1</v>
      </c>
      <c r="X754" s="359">
        <f>IF(select!$A$1012=IF(Scharniere[[#This Row],[mit Dämpfung]]=1,1,IF(Scharniere[[#This Row],[ohne Dämpfung]]=1,2,IF(Scharniere[[#This Row],[ohne Feder]]=1,3,0))),1,0)</f>
        <v>0</v>
      </c>
      <c r="Y754" s="359">
        <f>IF(Scharniere[[#This Row],[Bohrbild]]=select!$A$989,1,0)</f>
        <v>0</v>
      </c>
      <c r="Z754" s="359">
        <f>IF(IF(Scharniere[[#This Row],[Anschrauben]]=1,1,IF(Scharniere[[#This Row],[Einpressen]]=1,2,IF(Scharniere[[#This Row],[Quick]]=1,3,IF(Scharniere[[#This Row],[Werkzeuglos]]=1,4,0))))=select!$A$1003,1,0)</f>
        <v>0</v>
      </c>
      <c r="AA7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4" s="359">
        <f ca="1">IF(select!$K$980="*",Scharniere[[#This Row],[AG Ges2]],Scharniere[[#This Row],[AG Ges1]])</f>
        <v>0</v>
      </c>
      <c r="AE754" s="451">
        <f ca="1">IF(AND(Scharniere[[#This Row],[Scharnierart]]=select!$A$1485,Scharniere[[#This Row],[Gruppenschlüssel]]=select!$B$1485)=TRUE,1,0)</f>
        <v>0</v>
      </c>
      <c r="AF754" s="451">
        <f ca="1">IF(AND(Scharniere[[#This Row],[Scharnierart]]=select!$A$1486,Scharniere[[#This Row],[Gruppenschlüssel]]=select!$B$1486)=TRUE,1,0)</f>
        <v>0</v>
      </c>
      <c r="AG754" s="451">
        <f ca="1">IF(AND(Scharniere[[#This Row],[Scharnierart]]=select!$A$1487,Scharniere[[#This Row],[Gruppenschlüssel]]=select!$B$1487)=TRUE,1,0)</f>
        <v>0</v>
      </c>
      <c r="AH754" s="451">
        <f ca="1">IF(AND(Scharniere[[#This Row],[Scharnierart]]=select!$A$1488,Scharniere[[#This Row],[Gruppenschlüssel]]=select!$B$1488)=TRUE,1,0)</f>
        <v>0</v>
      </c>
      <c r="AI754" s="451">
        <f ca="1">IF(SUM(Scharniere[[#This Row],[konf Scharnier 1]:[konf Scharnier 4]])&gt;0,1,0)</f>
        <v>0</v>
      </c>
      <c r="AJ754" s="451"/>
      <c r="AK754" s="451"/>
      <c r="AL754" s="451"/>
      <c r="AM754" s="451"/>
      <c r="AN754" s="451"/>
      <c r="AO754" s="146">
        <v>2</v>
      </c>
      <c r="AP754" s="146">
        <v>1</v>
      </c>
      <c r="AQ754" s="10" t="str">
        <f ca="1">Sprache!$A$113</f>
        <v>Tiomos Scharnier TS Impresso</v>
      </c>
      <c r="AR754" t="str">
        <f ca="1">"110/90°, MB-BB, "&amp;Sprache!$A$58&amp;" ni"</f>
        <v>110/90°, MB-BB, aufl. ni</v>
      </c>
      <c r="AS754" t="str">
        <f ca="1">Sprache!$A$116</f>
        <v>Tiomos Impresso Scharniere</v>
      </c>
      <c r="AT754" t="s">
        <v>1264</v>
      </c>
      <c r="AU754" t="s">
        <v>3</v>
      </c>
      <c r="AV754" t="s">
        <v>1489</v>
      </c>
      <c r="AW754" s="71">
        <v>1</v>
      </c>
      <c r="AX754">
        <v>0</v>
      </c>
      <c r="AY754">
        <v>0</v>
      </c>
      <c r="AZ754" s="71">
        <v>0</v>
      </c>
      <c r="BA754">
        <v>0</v>
      </c>
      <c r="BB754">
        <v>0</v>
      </c>
      <c r="BC754">
        <v>1</v>
      </c>
      <c r="BD754" s="144" t="s">
        <v>1427</v>
      </c>
      <c r="BF754" s="10"/>
      <c r="BG754"/>
    </row>
    <row r="755" spans="1:59" ht="14.25" customHeight="1" x14ac:dyDescent="0.25">
      <c r="A755" s="37" t="str">
        <f>LEFT(Scharniere[[#This Row],[ArtikelNR]],4)</f>
        <v>F034</v>
      </c>
      <c r="B755" s="35" t="str">
        <f>MID(Scharniere[[#This Row],[ArtikelNR]],5,3)</f>
        <v>139</v>
      </c>
      <c r="C755" s="37" t="str">
        <f>RIGHT(Scharniere[[#This Row],[ArtikelNR]],3)</f>
        <v>312</v>
      </c>
      <c r="D755" s="35">
        <f>IF(AND(Scharniere[[#This Row],[Gruppenschlüssel]]=select!$A$44,Scharniere[[#This Row],[Scharnierart]]=1)=TRUE,1,0)</f>
        <v>0</v>
      </c>
      <c r="E7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5" s="35">
        <f>IF(select!$F$57=IF(Scharniere[[#This Row],[mit Dämpfung]]=1,1,IF(Scharniere[[#This Row],[ohne Dämpfung]]=1,2,IF(Scharniere[[#This Row],[ohne Feder]]=1,3,0))),1,0)</f>
        <v>0</v>
      </c>
      <c r="G755" s="35">
        <f>IF(Scharniere[[#This Row],[Bohrbild]]=select!$V$43,1,0)</f>
        <v>1</v>
      </c>
      <c r="H755" s="35">
        <f>IF(IF(Scharniere[[#This Row],[Anschrauben]]=1,1,IF(Scharniere[[#This Row],[Einpressen]]=1,2,IF(Scharniere[[#This Row],[Quick]]=1,3,IF(Scharniere[[#This Row],[Werkzeuglos]]=1,4,0))))=select!$F$48,1,0)</f>
        <v>0</v>
      </c>
      <c r="I7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5" s="149">
        <f>IF(AND(Scharniere[[#This Row],[Scharnierart]]=2,Scharniere[[#This Row],[Gruppenschlüssel]]=select!$A$318)=TRUE,1,0)</f>
        <v>1</v>
      </c>
      <c r="K755" s="221">
        <f ca="1">IF(select!$O$424&lt;6,1,0)</f>
        <v>1</v>
      </c>
      <c r="L755" s="221">
        <f>IF(select!$A$362=IF(Scharniere[[#This Row],[mit Dämpfung]]=1,1,IF(Scharniere[[#This Row],[ohne Dämpfung]]=1,2,IF(Scharniere[[#This Row],[ohne Feder]]=1,3,0))),1,0)</f>
        <v>0</v>
      </c>
      <c r="M755" s="135">
        <f>IF(Scharniere[[#This Row],[Bohrbild]]=select!$O$334,1,0)</f>
        <v>1</v>
      </c>
      <c r="N755" s="135">
        <f>IF(IF(Scharniere[[#This Row],[Anschrauben]]=1,1,IF(Scharniere[[#This Row],[Einpressen]]=1,2,IF(Scharniere[[#This Row],[Quick]]=1,3,IF(Scharniere[[#This Row],[Werkzeuglos]]=1,4,0))))=select!$E$362,1,0)</f>
        <v>0</v>
      </c>
      <c r="O7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5" s="298">
        <f>IF(AND(Scharniere[[#This Row],[Scharnierart]]=3,Scharniere[[#This Row],[Gruppenschlüssel]]=select!$A$747)=TRUE,1,0)</f>
        <v>0</v>
      </c>
      <c r="Q755" s="298">
        <f ca="1">IF(select!$O$945&lt;6,1,0)</f>
        <v>1</v>
      </c>
      <c r="R755" s="298">
        <f>IF(select!$A$778=IF(Scharniere[[#This Row],[mit Dämpfung]]=1,1,IF(Scharniere[[#This Row],[ohne Dämpfung]]=1,2,IF(Scharniere[[#This Row],[ohne Feder]]=1,3,0))),1,0)</f>
        <v>1</v>
      </c>
      <c r="S755" s="298">
        <f>IF(Scharniere[[#This Row],[Bohrbild]]=select!$A$755,1,0)</f>
        <v>0</v>
      </c>
      <c r="T755" s="298">
        <f>IF(IF(Scharniere[[#This Row],[Anschrauben]]=1,1,IF(Scharniere[[#This Row],[Einpressen]]=1,2,IF(Scharniere[[#This Row],[Quick]]=1,3,IF(Scharniere[[#This Row],[Werkzeuglos]]=1,4,0))))=select!$A$769,1,0)</f>
        <v>0</v>
      </c>
      <c r="U7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5" s="359">
        <f>IF(AND(Scharniere[[#This Row],[Scharnierart]]=4,Scharniere[[#This Row],[Gruppenschlüssel]]=select!$A$981)=TRUE,1,0)</f>
        <v>0</v>
      </c>
      <c r="W755" s="359">
        <f ca="1">IF(select!$O$1185&lt;6,1,0)</f>
        <v>1</v>
      </c>
      <c r="X755" s="359">
        <f>IF(select!$A$1012=IF(Scharniere[[#This Row],[mit Dämpfung]]=1,1,IF(Scharniere[[#This Row],[ohne Dämpfung]]=1,2,IF(Scharniere[[#This Row],[ohne Feder]]=1,3,0))),1,0)</f>
        <v>1</v>
      </c>
      <c r="Y755" s="359">
        <f>IF(Scharniere[[#This Row],[Bohrbild]]=select!$A$989,1,0)</f>
        <v>0</v>
      </c>
      <c r="Z755" s="359">
        <f>IF(IF(Scharniere[[#This Row],[Anschrauben]]=1,1,IF(Scharniere[[#This Row],[Einpressen]]=1,2,IF(Scharniere[[#This Row],[Quick]]=1,3,IF(Scharniere[[#This Row],[Werkzeuglos]]=1,4,0))))=select!$A$1003,1,0)</f>
        <v>0</v>
      </c>
      <c r="AA7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5" s="359">
        <f ca="1">IF(select!$K$980="*",Scharniere[[#This Row],[AG Ges2]],Scharniere[[#This Row],[AG Ges1]])</f>
        <v>0</v>
      </c>
      <c r="AE755" s="451">
        <f ca="1">IF(AND(Scharniere[[#This Row],[Scharnierart]]=select!$A$1485,Scharniere[[#This Row],[Gruppenschlüssel]]=select!$B$1485)=TRUE,1,0)</f>
        <v>0</v>
      </c>
      <c r="AF755" s="451">
        <f ca="1">IF(AND(Scharniere[[#This Row],[Scharnierart]]=select!$A$1486,Scharniere[[#This Row],[Gruppenschlüssel]]=select!$B$1486)=TRUE,1,0)</f>
        <v>0</v>
      </c>
      <c r="AG755" s="451">
        <f ca="1">IF(AND(Scharniere[[#This Row],[Scharnierart]]=select!$A$1487,Scharniere[[#This Row],[Gruppenschlüssel]]=select!$B$1487)=TRUE,1,0)</f>
        <v>0</v>
      </c>
      <c r="AH755" s="451">
        <f ca="1">IF(AND(Scharniere[[#This Row],[Scharnierart]]=select!$A$1488,Scharniere[[#This Row],[Gruppenschlüssel]]=select!$B$1488)=TRUE,1,0)</f>
        <v>0</v>
      </c>
      <c r="AI755" s="451">
        <f ca="1">IF(SUM(Scharniere[[#This Row],[konf Scharnier 1]:[konf Scharnier 4]])&gt;0,1,0)</f>
        <v>0</v>
      </c>
      <c r="AJ755" s="451"/>
      <c r="AK755" s="451"/>
      <c r="AL755" s="451"/>
      <c r="AM755" s="451"/>
      <c r="AN755" s="451"/>
      <c r="AO755" s="146">
        <v>2</v>
      </c>
      <c r="AP755" s="146">
        <v>1</v>
      </c>
      <c r="AQ755" s="10" t="str">
        <f ca="1">Sprache!$A$119</f>
        <v>Tiomos Scharnier T Impresso</v>
      </c>
      <c r="AR755" t="str">
        <f ca="1">"110/90°, MB-BB, "&amp;Sprache!$A$58&amp;" ni"</f>
        <v>110/90°, MB-BB, aufl. ni</v>
      </c>
      <c r="AS755" t="str">
        <f ca="1">Sprache!$A$103</f>
        <v>Tiomos Click-On Scharniere</v>
      </c>
      <c r="AT755" t="s">
        <v>1264</v>
      </c>
      <c r="AU755" t="s">
        <v>8</v>
      </c>
      <c r="AV755" t="s">
        <v>1489</v>
      </c>
      <c r="AW755" s="71">
        <v>0</v>
      </c>
      <c r="AX755">
        <v>1</v>
      </c>
      <c r="AY755">
        <v>0</v>
      </c>
      <c r="AZ755" s="71">
        <v>0</v>
      </c>
      <c r="BA755">
        <v>0</v>
      </c>
      <c r="BB755">
        <v>0</v>
      </c>
      <c r="BC755">
        <v>1</v>
      </c>
      <c r="BD755" s="144" t="s">
        <v>1606</v>
      </c>
      <c r="BF755" s="10"/>
      <c r="BG755"/>
    </row>
    <row r="756" spans="1:59" ht="14.25" customHeight="1" x14ac:dyDescent="0.25">
      <c r="A756" s="37" t="str">
        <f>LEFT(Scharniere[[#This Row],[ArtikelNR]],4)</f>
        <v>F034</v>
      </c>
      <c r="B756" s="35" t="str">
        <f>MID(Scharniere[[#This Row],[ArtikelNR]],5,3)</f>
        <v>139</v>
      </c>
      <c r="C756" s="37" t="str">
        <f>RIGHT(Scharniere[[#This Row],[ArtikelNR]],3)</f>
        <v>312</v>
      </c>
      <c r="D756" s="35">
        <f>IF(AND(Scharniere[[#This Row],[Gruppenschlüssel]]=select!$A$44,Scharniere[[#This Row],[Scharnierart]]=1)=TRUE,1,0)</f>
        <v>0</v>
      </c>
      <c r="E7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6" s="35">
        <f>IF(select!$F$57=IF(Scharniere[[#This Row],[mit Dämpfung]]=1,1,IF(Scharniere[[#This Row],[ohne Dämpfung]]=1,2,IF(Scharniere[[#This Row],[ohne Feder]]=1,3,0))),1,0)</f>
        <v>0</v>
      </c>
      <c r="G756" s="35">
        <f>IF(Scharniere[[#This Row],[Bohrbild]]=select!$V$43,1,0)</f>
        <v>0</v>
      </c>
      <c r="H756" s="35">
        <f>IF(IF(Scharniere[[#This Row],[Anschrauben]]=1,1,IF(Scharniere[[#This Row],[Einpressen]]=1,2,IF(Scharniere[[#This Row],[Quick]]=1,3,IF(Scharniere[[#This Row],[Werkzeuglos]]=1,4,0))))=select!$F$48,1,0)</f>
        <v>0</v>
      </c>
      <c r="I7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6" s="149">
        <f>IF(AND(Scharniere[[#This Row],[Scharnierart]]=2,Scharniere[[#This Row],[Gruppenschlüssel]]=select!$A$318)=TRUE,1,0)</f>
        <v>1</v>
      </c>
      <c r="K756" s="221">
        <f ca="1">IF(select!$O$424&lt;6,1,0)</f>
        <v>1</v>
      </c>
      <c r="L756" s="221">
        <f>IF(select!$A$362=IF(Scharniere[[#This Row],[mit Dämpfung]]=1,1,IF(Scharniere[[#This Row],[ohne Dämpfung]]=1,2,IF(Scharniere[[#This Row],[ohne Feder]]=1,3,0))),1,0)</f>
        <v>0</v>
      </c>
      <c r="M756" s="135">
        <f>IF(Scharniere[[#This Row],[Bohrbild]]=select!$O$334,1,0)</f>
        <v>0</v>
      </c>
      <c r="N756" s="135">
        <f>IF(IF(Scharniere[[#This Row],[Anschrauben]]=1,1,IF(Scharniere[[#This Row],[Einpressen]]=1,2,IF(Scharniere[[#This Row],[Quick]]=1,3,IF(Scharniere[[#This Row],[Werkzeuglos]]=1,4,0))))=select!$E$362,1,0)</f>
        <v>0</v>
      </c>
      <c r="O7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6" s="298">
        <f>IF(AND(Scharniere[[#This Row],[Scharnierart]]=3,Scharniere[[#This Row],[Gruppenschlüssel]]=select!$A$747)=TRUE,1,0)</f>
        <v>0</v>
      </c>
      <c r="Q756" s="298">
        <f ca="1">IF(select!$O$945&lt;6,1,0)</f>
        <v>1</v>
      </c>
      <c r="R756" s="298">
        <f>IF(select!$A$778=IF(Scharniere[[#This Row],[mit Dämpfung]]=1,1,IF(Scharniere[[#This Row],[ohne Dämpfung]]=1,2,IF(Scharniere[[#This Row],[ohne Feder]]=1,3,0))),1,0)</f>
        <v>1</v>
      </c>
      <c r="S756" s="298">
        <f>IF(Scharniere[[#This Row],[Bohrbild]]=select!$A$755,1,0)</f>
        <v>0</v>
      </c>
      <c r="T756" s="298">
        <f>IF(IF(Scharniere[[#This Row],[Anschrauben]]=1,1,IF(Scharniere[[#This Row],[Einpressen]]=1,2,IF(Scharniere[[#This Row],[Quick]]=1,3,IF(Scharniere[[#This Row],[Werkzeuglos]]=1,4,0))))=select!$A$769,1,0)</f>
        <v>0</v>
      </c>
      <c r="U7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6" s="359">
        <f>IF(AND(Scharniere[[#This Row],[Scharnierart]]=4,Scharniere[[#This Row],[Gruppenschlüssel]]=select!$A$981)=TRUE,1,0)</f>
        <v>0</v>
      </c>
      <c r="W756" s="359">
        <f ca="1">IF(select!$O$1185&lt;6,1,0)</f>
        <v>1</v>
      </c>
      <c r="X756" s="359">
        <f>IF(select!$A$1012=IF(Scharniere[[#This Row],[mit Dämpfung]]=1,1,IF(Scharniere[[#This Row],[ohne Dämpfung]]=1,2,IF(Scharniere[[#This Row],[ohne Feder]]=1,3,0))),1,0)</f>
        <v>1</v>
      </c>
      <c r="Y756" s="359">
        <f>IF(Scharniere[[#This Row],[Bohrbild]]=select!$A$989,1,0)</f>
        <v>0</v>
      </c>
      <c r="Z756" s="359">
        <f>IF(IF(Scharniere[[#This Row],[Anschrauben]]=1,1,IF(Scharniere[[#This Row],[Einpressen]]=1,2,IF(Scharniere[[#This Row],[Quick]]=1,3,IF(Scharniere[[#This Row],[Werkzeuglos]]=1,4,0))))=select!$A$1003,1,0)</f>
        <v>0</v>
      </c>
      <c r="AA7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6" s="359">
        <f ca="1">IF(select!$K$980="*",Scharniere[[#This Row],[AG Ges2]],Scharniere[[#This Row],[AG Ges1]])</f>
        <v>0</v>
      </c>
      <c r="AE756" s="451">
        <f ca="1">IF(AND(Scharniere[[#This Row],[Scharnierart]]=select!$A$1485,Scharniere[[#This Row],[Gruppenschlüssel]]=select!$B$1485)=TRUE,1,0)</f>
        <v>0</v>
      </c>
      <c r="AF756" s="451">
        <f ca="1">IF(AND(Scharniere[[#This Row],[Scharnierart]]=select!$A$1486,Scharniere[[#This Row],[Gruppenschlüssel]]=select!$B$1486)=TRUE,1,0)</f>
        <v>0</v>
      </c>
      <c r="AG756" s="451">
        <f ca="1">IF(AND(Scharniere[[#This Row],[Scharnierart]]=select!$A$1487,Scharniere[[#This Row],[Gruppenschlüssel]]=select!$B$1487)=TRUE,1,0)</f>
        <v>0</v>
      </c>
      <c r="AH756" s="451">
        <f ca="1">IF(AND(Scharniere[[#This Row],[Scharnierart]]=select!$A$1488,Scharniere[[#This Row],[Gruppenschlüssel]]=select!$B$1488)=TRUE,1,0)</f>
        <v>0</v>
      </c>
      <c r="AI756" s="451">
        <f ca="1">IF(SUM(Scharniere[[#This Row],[konf Scharnier 1]:[konf Scharnier 4]])&gt;0,1,0)</f>
        <v>0</v>
      </c>
      <c r="AJ756" s="451"/>
      <c r="AK756" s="451"/>
      <c r="AL756" s="451"/>
      <c r="AM756" s="451"/>
      <c r="AN756" s="451"/>
      <c r="AO756" s="146">
        <v>2</v>
      </c>
      <c r="AP756" s="146">
        <v>1</v>
      </c>
      <c r="AQ756" s="10" t="str">
        <f ca="1">Sprache!$A$119</f>
        <v>Tiomos Scharnier T Impresso</v>
      </c>
      <c r="AR756" t="str">
        <f ca="1">"110/90°, MB-BB, "&amp;Sprache!$A$58&amp;" ni"</f>
        <v>110/90°, MB-BB, aufl. ni</v>
      </c>
      <c r="AS756" t="str">
        <f ca="1">Sprache!$A$103</f>
        <v>Tiomos Click-On Scharniere</v>
      </c>
      <c r="AT756" t="s">
        <v>1264</v>
      </c>
      <c r="AU756" t="s">
        <v>3</v>
      </c>
      <c r="AV756" t="s">
        <v>1489</v>
      </c>
      <c r="AW756" s="71">
        <v>0</v>
      </c>
      <c r="AX756">
        <v>1</v>
      </c>
      <c r="AY756">
        <v>0</v>
      </c>
      <c r="AZ756" s="71">
        <v>0</v>
      </c>
      <c r="BA756">
        <v>0</v>
      </c>
      <c r="BB756">
        <v>0</v>
      </c>
      <c r="BC756">
        <v>1</v>
      </c>
      <c r="BD756" s="144" t="s">
        <v>1606</v>
      </c>
      <c r="BF756" s="10"/>
      <c r="BG756"/>
    </row>
    <row r="757" spans="1:59" ht="14.25" customHeight="1" x14ac:dyDescent="0.25">
      <c r="A757" s="37" t="str">
        <f>LEFT(Scharniere[[#This Row],[ArtikelNR]],4)</f>
        <v>F028</v>
      </c>
      <c r="B757" s="35" t="str">
        <f>MID(Scharniere[[#This Row],[ArtikelNR]],5,3)</f>
        <v>138</v>
      </c>
      <c r="C757" s="37" t="str">
        <f>RIGHT(Scharniere[[#This Row],[ArtikelNR]],3)</f>
        <v>909</v>
      </c>
      <c r="D757" s="35">
        <f>IF(AND(Scharniere[[#This Row],[Gruppenschlüssel]]=select!$A$44,Scharniere[[#This Row],[Scharnierart]]=1)=TRUE,1,0)</f>
        <v>0</v>
      </c>
      <c r="E7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7" s="35">
        <f>IF(select!$F$57=IF(Scharniere[[#This Row],[mit Dämpfung]]=1,1,IF(Scharniere[[#This Row],[ohne Dämpfung]]=1,2,IF(Scharniere[[#This Row],[ohne Feder]]=1,3,0))),1,0)</f>
        <v>0</v>
      </c>
      <c r="G757" s="35">
        <f>IF(Scharniere[[#This Row],[Bohrbild]]=select!$V$43,1,0)</f>
        <v>0</v>
      </c>
      <c r="H757" s="35">
        <f>IF(IF(Scharniere[[#This Row],[Anschrauben]]=1,1,IF(Scharniere[[#This Row],[Einpressen]]=1,2,IF(Scharniere[[#This Row],[Quick]]=1,3,IF(Scharniere[[#This Row],[Werkzeuglos]]=1,4,0))))=select!$F$48,1,0)</f>
        <v>1</v>
      </c>
      <c r="I7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7" s="149">
        <f>IF(AND(Scharniere[[#This Row],[Scharnierart]]=2,Scharniere[[#This Row],[Gruppenschlüssel]]=select!$A$318)=TRUE,1,0)</f>
        <v>1</v>
      </c>
      <c r="K757" s="221">
        <f ca="1">IF(select!$O$424&lt;6,1,0)</f>
        <v>1</v>
      </c>
      <c r="L757" s="221">
        <f>IF(select!$A$362=IF(Scharniere[[#This Row],[mit Dämpfung]]=1,1,IF(Scharniere[[#This Row],[ohne Dämpfung]]=1,2,IF(Scharniere[[#This Row],[ohne Feder]]=1,3,0))),1,0)</f>
        <v>1</v>
      </c>
      <c r="M757" s="135">
        <f>IF(Scharniere[[#This Row],[Bohrbild]]=select!$O$334,1,0)</f>
        <v>0</v>
      </c>
      <c r="N757" s="135">
        <f>IF(IF(Scharniere[[#This Row],[Anschrauben]]=1,1,IF(Scharniere[[#This Row],[Einpressen]]=1,2,IF(Scharniere[[#This Row],[Quick]]=1,3,IF(Scharniere[[#This Row],[Werkzeuglos]]=1,4,0))))=select!$E$362,1,0)</f>
        <v>0</v>
      </c>
      <c r="O7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7" s="298">
        <f>IF(AND(Scharniere[[#This Row],[Scharnierart]]=3,Scharniere[[#This Row],[Gruppenschlüssel]]=select!$A$747)=TRUE,1,0)</f>
        <v>0</v>
      </c>
      <c r="Q757" s="298">
        <f ca="1">IF(select!$O$945&lt;6,1,0)</f>
        <v>1</v>
      </c>
      <c r="R757" s="298">
        <f>IF(select!$A$778=IF(Scharniere[[#This Row],[mit Dämpfung]]=1,1,IF(Scharniere[[#This Row],[ohne Dämpfung]]=1,2,IF(Scharniere[[#This Row],[ohne Feder]]=1,3,0))),1,0)</f>
        <v>0</v>
      </c>
      <c r="S757" s="298">
        <f>IF(Scharniere[[#This Row],[Bohrbild]]=select!$A$755,1,0)</f>
        <v>0</v>
      </c>
      <c r="T757" s="298">
        <f>IF(IF(Scharniere[[#This Row],[Anschrauben]]=1,1,IF(Scharniere[[#This Row],[Einpressen]]=1,2,IF(Scharniere[[#This Row],[Quick]]=1,3,IF(Scharniere[[#This Row],[Werkzeuglos]]=1,4,0))))=select!$A$769,1,0)</f>
        <v>0</v>
      </c>
      <c r="U7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7" s="359">
        <f>IF(AND(Scharniere[[#This Row],[Scharnierart]]=4,Scharniere[[#This Row],[Gruppenschlüssel]]=select!$A$981)=TRUE,1,0)</f>
        <v>0</v>
      </c>
      <c r="W757" s="359">
        <f ca="1">IF(select!$O$1185&lt;6,1,0)</f>
        <v>1</v>
      </c>
      <c r="X757" s="359">
        <f>IF(select!$A$1012=IF(Scharniere[[#This Row],[mit Dämpfung]]=1,1,IF(Scharniere[[#This Row],[ohne Dämpfung]]=1,2,IF(Scharniere[[#This Row],[ohne Feder]]=1,3,0))),1,0)</f>
        <v>0</v>
      </c>
      <c r="Y757" s="359">
        <f>IF(Scharniere[[#This Row],[Bohrbild]]=select!$A$989,1,0)</f>
        <v>0</v>
      </c>
      <c r="Z757" s="359">
        <f>IF(IF(Scharniere[[#This Row],[Anschrauben]]=1,1,IF(Scharniere[[#This Row],[Einpressen]]=1,2,IF(Scharniere[[#This Row],[Quick]]=1,3,IF(Scharniere[[#This Row],[Werkzeuglos]]=1,4,0))))=select!$A$1003,1,0)</f>
        <v>0</v>
      </c>
      <c r="AA7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7" s="359">
        <f ca="1">IF(select!$K$980="*",Scharniere[[#This Row],[AG Ges2]],Scharniere[[#This Row],[AG Ges1]])</f>
        <v>0</v>
      </c>
      <c r="AE757" s="451">
        <f ca="1">IF(AND(Scharniere[[#This Row],[Scharnierart]]=select!$A$1485,Scharniere[[#This Row],[Gruppenschlüssel]]=select!$B$1485)=TRUE,1,0)</f>
        <v>0</v>
      </c>
      <c r="AF757" s="451">
        <f ca="1">IF(AND(Scharniere[[#This Row],[Scharnierart]]=select!$A$1486,Scharniere[[#This Row],[Gruppenschlüssel]]=select!$B$1486)=TRUE,1,0)</f>
        <v>0</v>
      </c>
      <c r="AG757" s="451">
        <f ca="1">IF(AND(Scharniere[[#This Row],[Scharnierart]]=select!$A$1487,Scharniere[[#This Row],[Gruppenschlüssel]]=select!$B$1487)=TRUE,1,0)</f>
        <v>0</v>
      </c>
      <c r="AH757" s="451">
        <f ca="1">IF(AND(Scharniere[[#This Row],[Scharnierart]]=select!$A$1488,Scharniere[[#This Row],[Gruppenschlüssel]]=select!$B$1488)=TRUE,1,0)</f>
        <v>0</v>
      </c>
      <c r="AI757" s="451">
        <f ca="1">IF(SUM(Scharniere[[#This Row],[konf Scharnier 1]:[konf Scharnier 4]])&gt;0,1,0)</f>
        <v>0</v>
      </c>
      <c r="AJ757" s="451"/>
      <c r="AK757" s="451"/>
      <c r="AL757" s="451"/>
      <c r="AM757" s="451"/>
      <c r="AN757" s="451"/>
      <c r="AO757" s="146">
        <v>2</v>
      </c>
      <c r="AP757" s="146">
        <v>1</v>
      </c>
      <c r="AQ757" s="10" t="str">
        <f ca="1">Sprache!$A$112</f>
        <v>Tiomos Scharnier TS Click-on</v>
      </c>
      <c r="AR757" t="str">
        <f ca="1">"110/90°, S-BB, "&amp;Sprache!$A$58&amp;" 0, ni"</f>
        <v>110/90°, S-BB, aufl. 0, ni</v>
      </c>
      <c r="AS757" t="str">
        <f ca="1">Sprache!$A$103</f>
        <v>Tiomos Click-On Scharniere</v>
      </c>
      <c r="AT757" t="s">
        <v>1264</v>
      </c>
      <c r="AU757" t="s">
        <v>11</v>
      </c>
      <c r="AV757" t="s">
        <v>1489</v>
      </c>
      <c r="AW757" s="71">
        <v>1</v>
      </c>
      <c r="AX757">
        <v>0</v>
      </c>
      <c r="AY757">
        <v>0</v>
      </c>
      <c r="AZ757" s="71">
        <v>0</v>
      </c>
      <c r="BA757">
        <v>1</v>
      </c>
      <c r="BB757">
        <v>0</v>
      </c>
      <c r="BC757">
        <v>0</v>
      </c>
      <c r="BD757" s="144" t="s">
        <v>1575</v>
      </c>
      <c r="BF757" s="10"/>
      <c r="BG757"/>
    </row>
    <row r="758" spans="1:59" ht="14.25" customHeight="1" x14ac:dyDescent="0.25">
      <c r="A758" s="37" t="str">
        <f>LEFT(Scharniere[[#This Row],[ArtikelNR]],4)</f>
        <v>F045</v>
      </c>
      <c r="B758" s="35" t="str">
        <f>MID(Scharniere[[#This Row],[ArtikelNR]],5,3)</f>
        <v>138</v>
      </c>
      <c r="C758" s="37" t="str">
        <f>RIGHT(Scharniere[[#This Row],[ArtikelNR]],3)</f>
        <v>847</v>
      </c>
      <c r="D758" s="35">
        <f>IF(AND(Scharniere[[#This Row],[Gruppenschlüssel]]=select!$A$44,Scharniere[[#This Row],[Scharnierart]]=1)=TRUE,1,0)</f>
        <v>0</v>
      </c>
      <c r="E7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8" s="35">
        <f>IF(select!$F$57=IF(Scharniere[[#This Row],[mit Dämpfung]]=1,1,IF(Scharniere[[#This Row],[ohne Dämpfung]]=1,2,IF(Scharniere[[#This Row],[ohne Feder]]=1,3,0))),1,0)</f>
        <v>0</v>
      </c>
      <c r="G758" s="35">
        <f>IF(Scharniere[[#This Row],[Bohrbild]]=select!$V$43,1,0)</f>
        <v>0</v>
      </c>
      <c r="H758" s="35">
        <f>IF(IF(Scharniere[[#This Row],[Anschrauben]]=1,1,IF(Scharniere[[#This Row],[Einpressen]]=1,2,IF(Scharniere[[#This Row],[Quick]]=1,3,IF(Scharniere[[#This Row],[Werkzeuglos]]=1,4,0))))=select!$F$48,1,0)</f>
        <v>1</v>
      </c>
      <c r="I7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8" s="149">
        <f>IF(AND(Scharniere[[#This Row],[Scharnierart]]=2,Scharniere[[#This Row],[Gruppenschlüssel]]=select!$A$318)=TRUE,1,0)</f>
        <v>1</v>
      </c>
      <c r="K758" s="221">
        <f ca="1">IF(select!$O$424&lt;6,1,0)</f>
        <v>1</v>
      </c>
      <c r="L758" s="221">
        <f>IF(select!$A$362=IF(Scharniere[[#This Row],[mit Dämpfung]]=1,1,IF(Scharniere[[#This Row],[ohne Dämpfung]]=1,2,IF(Scharniere[[#This Row],[ohne Feder]]=1,3,0))),1,0)</f>
        <v>0</v>
      </c>
      <c r="M758" s="135">
        <f>IF(Scharniere[[#This Row],[Bohrbild]]=select!$O$334,1,0)</f>
        <v>0</v>
      </c>
      <c r="N758" s="135">
        <f>IF(IF(Scharniere[[#This Row],[Anschrauben]]=1,1,IF(Scharniere[[#This Row],[Einpressen]]=1,2,IF(Scharniere[[#This Row],[Quick]]=1,3,IF(Scharniere[[#This Row],[Werkzeuglos]]=1,4,0))))=select!$E$362,1,0)</f>
        <v>0</v>
      </c>
      <c r="O7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8" s="298">
        <f>IF(AND(Scharniere[[#This Row],[Scharnierart]]=3,Scharniere[[#This Row],[Gruppenschlüssel]]=select!$A$747)=TRUE,1,0)</f>
        <v>0</v>
      </c>
      <c r="Q758" s="298">
        <f ca="1">IF(select!$O$945&lt;6,1,0)</f>
        <v>1</v>
      </c>
      <c r="R758" s="298">
        <f>IF(select!$A$778=IF(Scharniere[[#This Row],[mit Dämpfung]]=1,1,IF(Scharniere[[#This Row],[ohne Dämpfung]]=1,2,IF(Scharniere[[#This Row],[ohne Feder]]=1,3,0))),1,0)</f>
        <v>1</v>
      </c>
      <c r="S758" s="298">
        <f>IF(Scharniere[[#This Row],[Bohrbild]]=select!$A$755,1,0)</f>
        <v>0</v>
      </c>
      <c r="T758" s="298">
        <f>IF(IF(Scharniere[[#This Row],[Anschrauben]]=1,1,IF(Scharniere[[#This Row],[Einpressen]]=1,2,IF(Scharniere[[#This Row],[Quick]]=1,3,IF(Scharniere[[#This Row],[Werkzeuglos]]=1,4,0))))=select!$A$769,1,0)</f>
        <v>0</v>
      </c>
      <c r="U7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8" s="359">
        <f>IF(AND(Scharniere[[#This Row],[Scharnierart]]=4,Scharniere[[#This Row],[Gruppenschlüssel]]=select!$A$981)=TRUE,1,0)</f>
        <v>0</v>
      </c>
      <c r="W758" s="359">
        <f ca="1">IF(select!$O$1185&lt;6,1,0)</f>
        <v>1</v>
      </c>
      <c r="X758" s="359">
        <f>IF(select!$A$1012=IF(Scharniere[[#This Row],[mit Dämpfung]]=1,1,IF(Scharniere[[#This Row],[ohne Dämpfung]]=1,2,IF(Scharniere[[#This Row],[ohne Feder]]=1,3,0))),1,0)</f>
        <v>1</v>
      </c>
      <c r="Y758" s="359">
        <f>IF(Scharniere[[#This Row],[Bohrbild]]=select!$A$989,1,0)</f>
        <v>0</v>
      </c>
      <c r="Z758" s="359">
        <f>IF(IF(Scharniere[[#This Row],[Anschrauben]]=1,1,IF(Scharniere[[#This Row],[Einpressen]]=1,2,IF(Scharniere[[#This Row],[Quick]]=1,3,IF(Scharniere[[#This Row],[Werkzeuglos]]=1,4,0))))=select!$A$1003,1,0)</f>
        <v>0</v>
      </c>
      <c r="AA7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8" s="359">
        <f ca="1">IF(select!$K$980="*",Scharniere[[#This Row],[AG Ges2]],Scharniere[[#This Row],[AG Ges1]])</f>
        <v>0</v>
      </c>
      <c r="AE758" s="451">
        <f ca="1">IF(AND(Scharniere[[#This Row],[Scharnierart]]=select!$A$1485,Scharniere[[#This Row],[Gruppenschlüssel]]=select!$B$1485)=TRUE,1,0)</f>
        <v>0</v>
      </c>
      <c r="AF758" s="451">
        <f ca="1">IF(AND(Scharniere[[#This Row],[Scharnierart]]=select!$A$1486,Scharniere[[#This Row],[Gruppenschlüssel]]=select!$B$1486)=TRUE,1,0)</f>
        <v>0</v>
      </c>
      <c r="AG758" s="451">
        <f ca="1">IF(AND(Scharniere[[#This Row],[Scharnierart]]=select!$A$1487,Scharniere[[#This Row],[Gruppenschlüssel]]=select!$B$1487)=TRUE,1,0)</f>
        <v>0</v>
      </c>
      <c r="AH758" s="451">
        <f ca="1">IF(AND(Scharniere[[#This Row],[Scharnierart]]=select!$A$1488,Scharniere[[#This Row],[Gruppenschlüssel]]=select!$B$1488)=TRUE,1,0)</f>
        <v>0</v>
      </c>
      <c r="AI758" s="451">
        <f ca="1">IF(SUM(Scharniere[[#This Row],[konf Scharnier 1]:[konf Scharnier 4]])&gt;0,1,0)</f>
        <v>0</v>
      </c>
      <c r="AJ758" s="451"/>
      <c r="AK758" s="451"/>
      <c r="AL758" s="451"/>
      <c r="AM758" s="451"/>
      <c r="AN758" s="451"/>
      <c r="AO758" s="146">
        <v>2</v>
      </c>
      <c r="AP758" s="146">
        <v>1</v>
      </c>
      <c r="AQ758" s="71" t="str">
        <f ca="1">Sprache!$A$118</f>
        <v>Tiomos Scharnier T Click-on</v>
      </c>
      <c r="AR758" t="str">
        <f ca="1">"110/90°, S-BB, "&amp;Sprache!$A$58&amp;" 0, ni"</f>
        <v>110/90°, S-BB, aufl. 0, ni</v>
      </c>
      <c r="AS758" t="str">
        <f ca="1">Sprache!$A$103</f>
        <v>Tiomos Click-On Scharniere</v>
      </c>
      <c r="AT758" t="s">
        <v>1264</v>
      </c>
      <c r="AU758" t="s">
        <v>11</v>
      </c>
      <c r="AV758" t="s">
        <v>1489</v>
      </c>
      <c r="AW758" s="71">
        <v>0</v>
      </c>
      <c r="AX758">
        <v>1</v>
      </c>
      <c r="AY758">
        <v>0</v>
      </c>
      <c r="AZ758" s="71">
        <v>0</v>
      </c>
      <c r="BA758">
        <v>1</v>
      </c>
      <c r="BB758">
        <v>0</v>
      </c>
      <c r="BC758">
        <v>0</v>
      </c>
      <c r="BD758" s="144" t="s">
        <v>1686</v>
      </c>
      <c r="BF758" s="10"/>
      <c r="BG758"/>
    </row>
    <row r="759" spans="1:59" ht="14.25" customHeight="1" x14ac:dyDescent="0.25">
      <c r="A759" s="37" t="str">
        <f>LEFT(Scharniere[[#This Row],[ArtikelNR]],4)</f>
        <v>F028</v>
      </c>
      <c r="B759" s="35" t="str">
        <f>MID(Scharniere[[#This Row],[ArtikelNR]],5,3)</f>
        <v>138</v>
      </c>
      <c r="C759" s="37" t="str">
        <f>RIGHT(Scharniere[[#This Row],[ArtikelNR]],3)</f>
        <v>899</v>
      </c>
      <c r="D759" s="35">
        <f>IF(AND(Scharniere[[#This Row],[Gruppenschlüssel]]=select!$A$44,Scharniere[[#This Row],[Scharnierart]]=1)=TRUE,1,0)</f>
        <v>0</v>
      </c>
      <c r="E7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59" s="35">
        <f>IF(select!$F$57=IF(Scharniere[[#This Row],[mit Dämpfung]]=1,1,IF(Scharniere[[#This Row],[ohne Dämpfung]]=1,2,IF(Scharniere[[#This Row],[ohne Feder]]=1,3,0))),1,0)</f>
        <v>0</v>
      </c>
      <c r="G759" s="35">
        <f>IF(Scharniere[[#This Row],[Bohrbild]]=select!$V$43,1,0)</f>
        <v>0</v>
      </c>
      <c r="H759" s="35">
        <f>IF(IF(Scharniere[[#This Row],[Anschrauben]]=1,1,IF(Scharniere[[#This Row],[Einpressen]]=1,2,IF(Scharniere[[#This Row],[Quick]]=1,3,IF(Scharniere[[#This Row],[Werkzeuglos]]=1,4,0))))=select!$F$48,1,0)</f>
        <v>0</v>
      </c>
      <c r="I7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59" s="149">
        <f>IF(AND(Scharniere[[#This Row],[Scharnierart]]=2,Scharniere[[#This Row],[Gruppenschlüssel]]=select!$A$318)=TRUE,1,0)</f>
        <v>1</v>
      </c>
      <c r="K759" s="221">
        <f ca="1">IF(select!$O$424&lt;6,1,0)</f>
        <v>1</v>
      </c>
      <c r="L759" s="221">
        <f>IF(select!$A$362=IF(Scharniere[[#This Row],[mit Dämpfung]]=1,1,IF(Scharniere[[#This Row],[ohne Dämpfung]]=1,2,IF(Scharniere[[#This Row],[ohne Feder]]=1,3,0))),1,0)</f>
        <v>1</v>
      </c>
      <c r="M759" s="135">
        <f>IF(Scharniere[[#This Row],[Bohrbild]]=select!$O$334,1,0)</f>
        <v>0</v>
      </c>
      <c r="N759" s="135">
        <f>IF(IF(Scharniere[[#This Row],[Anschrauben]]=1,1,IF(Scharniere[[#This Row],[Einpressen]]=1,2,IF(Scharniere[[#This Row],[Quick]]=1,3,IF(Scharniere[[#This Row],[Werkzeuglos]]=1,4,0))))=select!$E$362,1,0)</f>
        <v>1</v>
      </c>
      <c r="O7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59" s="298">
        <f>IF(AND(Scharniere[[#This Row],[Scharnierart]]=3,Scharniere[[#This Row],[Gruppenschlüssel]]=select!$A$747)=TRUE,1,0)</f>
        <v>0</v>
      </c>
      <c r="Q759" s="298">
        <f ca="1">IF(select!$O$945&lt;6,1,0)</f>
        <v>1</v>
      </c>
      <c r="R759" s="298">
        <f>IF(select!$A$778=IF(Scharniere[[#This Row],[mit Dämpfung]]=1,1,IF(Scharniere[[#This Row],[ohne Dämpfung]]=1,2,IF(Scharniere[[#This Row],[ohne Feder]]=1,3,0))),1,0)</f>
        <v>0</v>
      </c>
      <c r="S759" s="298">
        <f>IF(Scharniere[[#This Row],[Bohrbild]]=select!$A$755,1,0)</f>
        <v>0</v>
      </c>
      <c r="T759" s="298">
        <f>IF(IF(Scharniere[[#This Row],[Anschrauben]]=1,1,IF(Scharniere[[#This Row],[Einpressen]]=1,2,IF(Scharniere[[#This Row],[Quick]]=1,3,IF(Scharniere[[#This Row],[Werkzeuglos]]=1,4,0))))=select!$A$769,1,0)</f>
        <v>1</v>
      </c>
      <c r="U7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59" s="359">
        <f>IF(AND(Scharniere[[#This Row],[Scharnierart]]=4,Scharniere[[#This Row],[Gruppenschlüssel]]=select!$A$981)=TRUE,1,0)</f>
        <v>0</v>
      </c>
      <c r="W759" s="359">
        <f ca="1">IF(select!$O$1185&lt;6,1,0)</f>
        <v>1</v>
      </c>
      <c r="X759" s="359">
        <f>IF(select!$A$1012=IF(Scharniere[[#This Row],[mit Dämpfung]]=1,1,IF(Scharniere[[#This Row],[ohne Dämpfung]]=1,2,IF(Scharniere[[#This Row],[ohne Feder]]=1,3,0))),1,0)</f>
        <v>0</v>
      </c>
      <c r="Y759" s="359">
        <f>IF(Scharniere[[#This Row],[Bohrbild]]=select!$A$989,1,0)</f>
        <v>0</v>
      </c>
      <c r="Z759" s="359">
        <f>IF(IF(Scharniere[[#This Row],[Anschrauben]]=1,1,IF(Scharniere[[#This Row],[Einpressen]]=1,2,IF(Scharniere[[#This Row],[Quick]]=1,3,IF(Scharniere[[#This Row],[Werkzeuglos]]=1,4,0))))=select!$A$1003,1,0)</f>
        <v>1</v>
      </c>
      <c r="AA7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59" s="359">
        <f ca="1">IF(select!$K$980="*",Scharniere[[#This Row],[AG Ges2]],Scharniere[[#This Row],[AG Ges1]])</f>
        <v>0</v>
      </c>
      <c r="AE759" s="451">
        <f ca="1">IF(AND(Scharniere[[#This Row],[Scharnierart]]=select!$A$1485,Scharniere[[#This Row],[Gruppenschlüssel]]=select!$B$1485)=TRUE,1,0)</f>
        <v>0</v>
      </c>
      <c r="AF759" s="451">
        <f ca="1">IF(AND(Scharniere[[#This Row],[Scharnierart]]=select!$A$1486,Scharniere[[#This Row],[Gruppenschlüssel]]=select!$B$1486)=TRUE,1,0)</f>
        <v>0</v>
      </c>
      <c r="AG759" s="451">
        <f ca="1">IF(AND(Scharniere[[#This Row],[Scharnierart]]=select!$A$1487,Scharniere[[#This Row],[Gruppenschlüssel]]=select!$B$1487)=TRUE,1,0)</f>
        <v>0</v>
      </c>
      <c r="AH759" s="451">
        <f ca="1">IF(AND(Scharniere[[#This Row],[Scharnierart]]=select!$A$1488,Scharniere[[#This Row],[Gruppenschlüssel]]=select!$B$1488)=TRUE,1,0)</f>
        <v>0</v>
      </c>
      <c r="AI759" s="451">
        <f ca="1">IF(SUM(Scharniere[[#This Row],[konf Scharnier 1]:[konf Scharnier 4]])&gt;0,1,0)</f>
        <v>0</v>
      </c>
      <c r="AJ759" s="451"/>
      <c r="AK759" s="451"/>
      <c r="AL759" s="451"/>
      <c r="AM759" s="451"/>
      <c r="AN759" s="451"/>
      <c r="AO759" s="146">
        <v>2</v>
      </c>
      <c r="AP759" s="146">
        <v>1</v>
      </c>
      <c r="AQ759" s="71" t="str">
        <f ca="1">Sprache!$A$112</f>
        <v>Tiomos Scharnier TS Click-on</v>
      </c>
      <c r="AR759" t="str">
        <f ca="1">"110/90°, S-BB, "&amp;Sprache!$A$58&amp;" ni"</f>
        <v>110/90°, S-BB, aufl. ni</v>
      </c>
      <c r="AS759" t="str">
        <f ca="1">Sprache!$A$103</f>
        <v>Tiomos Click-On Scharniere</v>
      </c>
      <c r="AT759" t="s">
        <v>1264</v>
      </c>
      <c r="AU759" t="s">
        <v>11</v>
      </c>
      <c r="AV759" t="s">
        <v>1489</v>
      </c>
      <c r="AW759" s="71">
        <v>1</v>
      </c>
      <c r="AX759">
        <v>0</v>
      </c>
      <c r="AY759">
        <v>0</v>
      </c>
      <c r="AZ759" s="71">
        <v>1</v>
      </c>
      <c r="BA759">
        <v>0</v>
      </c>
      <c r="BB759">
        <v>0</v>
      </c>
      <c r="BC759">
        <v>0</v>
      </c>
      <c r="BD759" s="144" t="s">
        <v>1573</v>
      </c>
      <c r="BF759" s="10"/>
      <c r="BG759"/>
    </row>
    <row r="760" spans="1:59" ht="14.25" customHeight="1" x14ac:dyDescent="0.25">
      <c r="A760" s="37" t="str">
        <f>LEFT(Scharniere[[#This Row],[ArtikelNR]],4)</f>
        <v>F045</v>
      </c>
      <c r="B760" s="35" t="str">
        <f>MID(Scharniere[[#This Row],[ArtikelNR]],5,3)</f>
        <v>138</v>
      </c>
      <c r="C760" s="37" t="str">
        <f>RIGHT(Scharniere[[#This Row],[ArtikelNR]],3)</f>
        <v>837</v>
      </c>
      <c r="D760" s="35">
        <f>IF(AND(Scharniere[[#This Row],[Gruppenschlüssel]]=select!$A$44,Scharniere[[#This Row],[Scharnierart]]=1)=TRUE,1,0)</f>
        <v>0</v>
      </c>
      <c r="E7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0" s="35">
        <f>IF(select!$F$57=IF(Scharniere[[#This Row],[mit Dämpfung]]=1,1,IF(Scharniere[[#This Row],[ohne Dämpfung]]=1,2,IF(Scharniere[[#This Row],[ohne Feder]]=1,3,0))),1,0)</f>
        <v>0</v>
      </c>
      <c r="G760" s="35">
        <f>IF(Scharniere[[#This Row],[Bohrbild]]=select!$V$43,1,0)</f>
        <v>0</v>
      </c>
      <c r="H760" s="35">
        <f>IF(IF(Scharniere[[#This Row],[Anschrauben]]=1,1,IF(Scharniere[[#This Row],[Einpressen]]=1,2,IF(Scharniere[[#This Row],[Quick]]=1,3,IF(Scharniere[[#This Row],[Werkzeuglos]]=1,4,0))))=select!$F$48,1,0)</f>
        <v>0</v>
      </c>
      <c r="I7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0" s="149">
        <f>IF(AND(Scharniere[[#This Row],[Scharnierart]]=2,Scharniere[[#This Row],[Gruppenschlüssel]]=select!$A$318)=TRUE,1,0)</f>
        <v>1</v>
      </c>
      <c r="K760" s="221">
        <f ca="1">IF(select!$O$424&lt;6,1,0)</f>
        <v>1</v>
      </c>
      <c r="L760" s="221">
        <f>IF(select!$A$362=IF(Scharniere[[#This Row],[mit Dämpfung]]=1,1,IF(Scharniere[[#This Row],[ohne Dämpfung]]=1,2,IF(Scharniere[[#This Row],[ohne Feder]]=1,3,0))),1,0)</f>
        <v>0</v>
      </c>
      <c r="M760" s="135">
        <f>IF(Scharniere[[#This Row],[Bohrbild]]=select!$O$334,1,0)</f>
        <v>0</v>
      </c>
      <c r="N760" s="135">
        <f>IF(IF(Scharniere[[#This Row],[Anschrauben]]=1,1,IF(Scharniere[[#This Row],[Einpressen]]=1,2,IF(Scharniere[[#This Row],[Quick]]=1,3,IF(Scharniere[[#This Row],[Werkzeuglos]]=1,4,0))))=select!$E$362,1,0)</f>
        <v>1</v>
      </c>
      <c r="O7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0" s="298">
        <f>IF(AND(Scharniere[[#This Row],[Scharnierart]]=3,Scharniere[[#This Row],[Gruppenschlüssel]]=select!$A$747)=TRUE,1,0)</f>
        <v>0</v>
      </c>
      <c r="Q760" s="298">
        <f ca="1">IF(select!$O$945&lt;6,1,0)</f>
        <v>1</v>
      </c>
      <c r="R760" s="298">
        <f>IF(select!$A$778=IF(Scharniere[[#This Row],[mit Dämpfung]]=1,1,IF(Scharniere[[#This Row],[ohne Dämpfung]]=1,2,IF(Scharniere[[#This Row],[ohne Feder]]=1,3,0))),1,0)</f>
        <v>1</v>
      </c>
      <c r="S760" s="298">
        <f>IF(Scharniere[[#This Row],[Bohrbild]]=select!$A$755,1,0)</f>
        <v>0</v>
      </c>
      <c r="T760" s="298">
        <f>IF(IF(Scharniere[[#This Row],[Anschrauben]]=1,1,IF(Scharniere[[#This Row],[Einpressen]]=1,2,IF(Scharniere[[#This Row],[Quick]]=1,3,IF(Scharniere[[#This Row],[Werkzeuglos]]=1,4,0))))=select!$A$769,1,0)</f>
        <v>1</v>
      </c>
      <c r="U7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0" s="359">
        <f>IF(AND(Scharniere[[#This Row],[Scharnierart]]=4,Scharniere[[#This Row],[Gruppenschlüssel]]=select!$A$981)=TRUE,1,0)</f>
        <v>0</v>
      </c>
      <c r="W760" s="359">
        <f ca="1">IF(select!$O$1185&lt;6,1,0)</f>
        <v>1</v>
      </c>
      <c r="X760" s="359">
        <f>IF(select!$A$1012=IF(Scharniere[[#This Row],[mit Dämpfung]]=1,1,IF(Scharniere[[#This Row],[ohne Dämpfung]]=1,2,IF(Scharniere[[#This Row],[ohne Feder]]=1,3,0))),1,0)</f>
        <v>1</v>
      </c>
      <c r="Y760" s="359">
        <f>IF(Scharniere[[#This Row],[Bohrbild]]=select!$A$989,1,0)</f>
        <v>0</v>
      </c>
      <c r="Z760" s="359">
        <f>IF(IF(Scharniere[[#This Row],[Anschrauben]]=1,1,IF(Scharniere[[#This Row],[Einpressen]]=1,2,IF(Scharniere[[#This Row],[Quick]]=1,3,IF(Scharniere[[#This Row],[Werkzeuglos]]=1,4,0))))=select!$A$1003,1,0)</f>
        <v>1</v>
      </c>
      <c r="AA7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0" s="359">
        <f ca="1">IF(select!$K$980="*",Scharniere[[#This Row],[AG Ges2]],Scharniere[[#This Row],[AG Ges1]])</f>
        <v>0</v>
      </c>
      <c r="AE760" s="451">
        <f ca="1">IF(AND(Scharniere[[#This Row],[Scharnierart]]=select!$A$1485,Scharniere[[#This Row],[Gruppenschlüssel]]=select!$B$1485)=TRUE,1,0)</f>
        <v>0</v>
      </c>
      <c r="AF760" s="451">
        <f ca="1">IF(AND(Scharniere[[#This Row],[Scharnierart]]=select!$A$1486,Scharniere[[#This Row],[Gruppenschlüssel]]=select!$B$1486)=TRUE,1,0)</f>
        <v>0</v>
      </c>
      <c r="AG760" s="451">
        <f ca="1">IF(AND(Scharniere[[#This Row],[Scharnierart]]=select!$A$1487,Scharniere[[#This Row],[Gruppenschlüssel]]=select!$B$1487)=TRUE,1,0)</f>
        <v>0</v>
      </c>
      <c r="AH760" s="451">
        <f ca="1">IF(AND(Scharniere[[#This Row],[Scharnierart]]=select!$A$1488,Scharniere[[#This Row],[Gruppenschlüssel]]=select!$B$1488)=TRUE,1,0)</f>
        <v>0</v>
      </c>
      <c r="AI760" s="451">
        <f ca="1">IF(SUM(Scharniere[[#This Row],[konf Scharnier 1]:[konf Scharnier 4]])&gt;0,1,0)</f>
        <v>0</v>
      </c>
      <c r="AJ760" s="451"/>
      <c r="AK760" s="451"/>
      <c r="AL760" s="451"/>
      <c r="AM760" s="451"/>
      <c r="AN760" s="451"/>
      <c r="AO760" s="146">
        <v>2</v>
      </c>
      <c r="AP760" s="146">
        <v>1</v>
      </c>
      <c r="AQ760" s="71" t="str">
        <f ca="1">Sprache!$A$118</f>
        <v>Tiomos Scharnier T Click-on</v>
      </c>
      <c r="AR760" t="str">
        <f ca="1">"110/90°, S-BB, "&amp;Sprache!$A$58&amp;" ni"</f>
        <v>110/90°, S-BB, aufl. ni</v>
      </c>
      <c r="AS760" t="str">
        <f ca="1">Sprache!$A$103</f>
        <v>Tiomos Click-On Scharniere</v>
      </c>
      <c r="AT760" t="s">
        <v>1264</v>
      </c>
      <c r="AU760" t="s">
        <v>11</v>
      </c>
      <c r="AV760" t="s">
        <v>1489</v>
      </c>
      <c r="AW760" s="71">
        <v>0</v>
      </c>
      <c r="AX760">
        <v>1</v>
      </c>
      <c r="AY760">
        <v>0</v>
      </c>
      <c r="AZ760" s="71">
        <v>1</v>
      </c>
      <c r="BA760">
        <v>0</v>
      </c>
      <c r="BB760">
        <v>0</v>
      </c>
      <c r="BC760">
        <v>0</v>
      </c>
      <c r="BD760" s="144" t="s">
        <v>1684</v>
      </c>
      <c r="BF760" s="10"/>
      <c r="BG760"/>
    </row>
    <row r="761" spans="1:59" ht="14.25" customHeight="1" x14ac:dyDescent="0.25">
      <c r="A761" s="37" t="str">
        <f>LEFT(Scharniere[[#This Row],[ArtikelNR]],4)</f>
        <v>F045</v>
      </c>
      <c r="B761" s="35" t="str">
        <f>MID(Scharniere[[#This Row],[ArtikelNR]],5,3)</f>
        <v>138</v>
      </c>
      <c r="C761" s="37" t="str">
        <f>RIGHT(Scharniere[[#This Row],[ArtikelNR]],3)</f>
        <v>484</v>
      </c>
      <c r="D761" s="35">
        <f>IF(AND(Scharniere[[#This Row],[Gruppenschlüssel]]=select!$A$44,Scharniere[[#This Row],[Scharnierart]]=1)=TRUE,1,0)</f>
        <v>0</v>
      </c>
      <c r="E7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1" s="35">
        <f>IF(select!$F$57=IF(Scharniere[[#This Row],[mit Dämpfung]]=1,1,IF(Scharniere[[#This Row],[ohne Dämpfung]]=1,2,IF(Scharniere[[#This Row],[ohne Feder]]=1,3,0))),1,0)</f>
        <v>0</v>
      </c>
      <c r="G761" s="35">
        <f>IF(Scharniere[[#This Row],[Bohrbild]]=select!$V$43,1,0)</f>
        <v>0</v>
      </c>
      <c r="H761" s="35">
        <f>IF(IF(Scharniere[[#This Row],[Anschrauben]]=1,1,IF(Scharniere[[#This Row],[Einpressen]]=1,2,IF(Scharniere[[#This Row],[Quick]]=1,3,IF(Scharniere[[#This Row],[Werkzeuglos]]=1,4,0))))=select!$F$48,1,0)</f>
        <v>1</v>
      </c>
      <c r="I7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1" s="149">
        <f>IF(AND(Scharniere[[#This Row],[Scharnierart]]=2,Scharniere[[#This Row],[Gruppenschlüssel]]=select!$A$318)=TRUE,1,0)</f>
        <v>0</v>
      </c>
      <c r="K761" s="221">
        <f ca="1">IF(select!$O$424&lt;6,1,0)</f>
        <v>1</v>
      </c>
      <c r="L761" s="221">
        <f>IF(select!$A$362=IF(Scharniere[[#This Row],[mit Dämpfung]]=1,1,IF(Scharniere[[#This Row],[ohne Dämpfung]]=1,2,IF(Scharniere[[#This Row],[ohne Feder]]=1,3,0))),1,0)</f>
        <v>0</v>
      </c>
      <c r="M761" s="135">
        <f>IF(Scharniere[[#This Row],[Bohrbild]]=select!$O$334,1,0)</f>
        <v>0</v>
      </c>
      <c r="N761" s="135">
        <f>IF(IF(Scharniere[[#This Row],[Anschrauben]]=1,1,IF(Scharniere[[#This Row],[Einpressen]]=1,2,IF(Scharniere[[#This Row],[Quick]]=1,3,IF(Scharniere[[#This Row],[Werkzeuglos]]=1,4,0))))=select!$E$362,1,0)</f>
        <v>0</v>
      </c>
      <c r="O7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1" s="298">
        <f>IF(AND(Scharniere[[#This Row],[Scharnierart]]=3,Scharniere[[#This Row],[Gruppenschlüssel]]=select!$A$747)=TRUE,1,0)</f>
        <v>0</v>
      </c>
      <c r="Q761" s="298">
        <f ca="1">IF(select!$O$945&lt;6,1,0)</f>
        <v>1</v>
      </c>
      <c r="R761" s="298">
        <f>IF(select!$A$778=IF(Scharniere[[#This Row],[mit Dämpfung]]=1,1,IF(Scharniere[[#This Row],[ohne Dämpfung]]=1,2,IF(Scharniere[[#This Row],[ohne Feder]]=1,3,0))),1,0)</f>
        <v>1</v>
      </c>
      <c r="S761" s="298">
        <f>IF(Scharniere[[#This Row],[Bohrbild]]=select!$A$755,1,0)</f>
        <v>0</v>
      </c>
      <c r="T761" s="298">
        <f>IF(IF(Scharniere[[#This Row],[Anschrauben]]=1,1,IF(Scharniere[[#This Row],[Einpressen]]=1,2,IF(Scharniere[[#This Row],[Quick]]=1,3,IF(Scharniere[[#This Row],[Werkzeuglos]]=1,4,0))))=select!$A$769,1,0)</f>
        <v>0</v>
      </c>
      <c r="U7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1" s="359">
        <f>IF(AND(Scharniere[[#This Row],[Scharnierart]]=4,Scharniere[[#This Row],[Gruppenschlüssel]]=select!$A$981)=TRUE,1,0)</f>
        <v>0</v>
      </c>
      <c r="W761" s="359">
        <f ca="1">IF(select!$O$1185&lt;6,1,0)</f>
        <v>1</v>
      </c>
      <c r="X761" s="359">
        <f>IF(select!$A$1012=IF(Scharniere[[#This Row],[mit Dämpfung]]=1,1,IF(Scharniere[[#This Row],[ohne Dämpfung]]=1,2,IF(Scharniere[[#This Row],[ohne Feder]]=1,3,0))),1,0)</f>
        <v>1</v>
      </c>
      <c r="Y761" s="359">
        <f>IF(Scharniere[[#This Row],[Bohrbild]]=select!$A$989,1,0)</f>
        <v>0</v>
      </c>
      <c r="Z761" s="359">
        <f>IF(IF(Scharniere[[#This Row],[Anschrauben]]=1,1,IF(Scharniere[[#This Row],[Einpressen]]=1,2,IF(Scharniere[[#This Row],[Quick]]=1,3,IF(Scharniere[[#This Row],[Werkzeuglos]]=1,4,0))))=select!$A$1003,1,0)</f>
        <v>0</v>
      </c>
      <c r="AA7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1" s="359">
        <f ca="1">IF(select!$K$980="*",Scharniere[[#This Row],[AG Ges2]],Scharniere[[#This Row],[AG Ges1]])</f>
        <v>0</v>
      </c>
      <c r="AE761" s="451">
        <f ca="1">IF(AND(Scharniere[[#This Row],[Scharnierart]]=select!$A$1485,Scharniere[[#This Row],[Gruppenschlüssel]]=select!$B$1485)=TRUE,1,0)</f>
        <v>0</v>
      </c>
      <c r="AF761" s="451">
        <f ca="1">IF(AND(Scharniere[[#This Row],[Scharnierart]]=select!$A$1486,Scharniere[[#This Row],[Gruppenschlüssel]]=select!$B$1486)=TRUE,1,0)</f>
        <v>0</v>
      </c>
      <c r="AG761" s="451">
        <f ca="1">IF(AND(Scharniere[[#This Row],[Scharnierart]]=select!$A$1487,Scharniere[[#This Row],[Gruppenschlüssel]]=select!$B$1487)=TRUE,1,0)</f>
        <v>0</v>
      </c>
      <c r="AH761" s="451">
        <f ca="1">IF(AND(Scharniere[[#This Row],[Scharnierart]]=select!$A$1488,Scharniere[[#This Row],[Gruppenschlüssel]]=select!$B$1488)=TRUE,1,0)</f>
        <v>0</v>
      </c>
      <c r="AI761" s="451">
        <f ca="1">IF(SUM(Scharniere[[#This Row],[konf Scharnier 1]:[konf Scharnier 4]])&gt;0,1,0)</f>
        <v>0</v>
      </c>
      <c r="AJ761" s="451"/>
      <c r="AK761" s="451"/>
      <c r="AL761" s="451"/>
      <c r="AM761" s="451"/>
      <c r="AN761" s="451"/>
      <c r="AO761" s="146">
        <v>2</v>
      </c>
      <c r="AP761" s="146">
        <v>2</v>
      </c>
      <c r="AQ761" s="71" t="str">
        <f ca="1">Sprache!$A$118</f>
        <v>Tiomos Scharnier T Click-on</v>
      </c>
      <c r="AR761" t="str">
        <f ca="1">"110/90°, B-BB, "&amp;Sprache!$A$62&amp;" 0, ni"</f>
        <v>110/90°, B-BB, einl. 0, ni</v>
      </c>
      <c r="AS761" t="str">
        <f ca="1">Sprache!$A$103</f>
        <v>Tiomos Click-On Scharniere</v>
      </c>
      <c r="AT761" t="s">
        <v>1264</v>
      </c>
      <c r="AU761" s="34" t="s">
        <v>3</v>
      </c>
      <c r="AV761" t="s">
        <v>1489</v>
      </c>
      <c r="AW761" s="71">
        <v>0</v>
      </c>
      <c r="AX761">
        <v>1</v>
      </c>
      <c r="AY761">
        <v>0</v>
      </c>
      <c r="AZ761" s="71">
        <v>0</v>
      </c>
      <c r="BA761">
        <v>1</v>
      </c>
      <c r="BB761">
        <v>0</v>
      </c>
      <c r="BC761">
        <v>0</v>
      </c>
      <c r="BD761" s="144" t="s">
        <v>1657</v>
      </c>
      <c r="BF761" s="10"/>
      <c r="BG761"/>
    </row>
    <row r="762" spans="1:59" ht="14.25" customHeight="1" x14ac:dyDescent="0.25">
      <c r="A762" s="37" t="str">
        <f>LEFT(Scharniere[[#This Row],[ArtikelNR]],4)</f>
        <v>F028</v>
      </c>
      <c r="B762" s="35" t="str">
        <f>MID(Scharniere[[#This Row],[ArtikelNR]],5,3)</f>
        <v>138</v>
      </c>
      <c r="C762" s="37" t="str">
        <f>RIGHT(Scharniere[[#This Row],[ArtikelNR]],3)</f>
        <v>536</v>
      </c>
      <c r="D762" s="35">
        <f>IF(AND(Scharniere[[#This Row],[Gruppenschlüssel]]=select!$A$44,Scharniere[[#This Row],[Scharnierart]]=1)=TRUE,1,0)</f>
        <v>0</v>
      </c>
      <c r="E7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2" s="35">
        <f>IF(select!$F$57=IF(Scharniere[[#This Row],[mit Dämpfung]]=1,1,IF(Scharniere[[#This Row],[ohne Dämpfung]]=1,2,IF(Scharniere[[#This Row],[ohne Feder]]=1,3,0))),1,0)</f>
        <v>0</v>
      </c>
      <c r="G762" s="35">
        <f>IF(Scharniere[[#This Row],[Bohrbild]]=select!$V$43,1,0)</f>
        <v>0</v>
      </c>
      <c r="H762" s="35">
        <f>IF(IF(Scharniere[[#This Row],[Anschrauben]]=1,1,IF(Scharniere[[#This Row],[Einpressen]]=1,2,IF(Scharniere[[#This Row],[Quick]]=1,3,IF(Scharniere[[#This Row],[Werkzeuglos]]=1,4,0))))=select!$F$48,1,0)</f>
        <v>0</v>
      </c>
      <c r="I7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2" s="149">
        <f>IF(AND(Scharniere[[#This Row],[Scharnierart]]=2,Scharniere[[#This Row],[Gruppenschlüssel]]=select!$A$318)=TRUE,1,0)</f>
        <v>0</v>
      </c>
      <c r="K762" s="221">
        <f ca="1">IF(select!$O$424&lt;6,1,0)</f>
        <v>1</v>
      </c>
      <c r="L762" s="221">
        <f>IF(select!$A$362=IF(Scharniere[[#This Row],[mit Dämpfung]]=1,1,IF(Scharniere[[#This Row],[ohne Dämpfung]]=1,2,IF(Scharniere[[#This Row],[ohne Feder]]=1,3,0))),1,0)</f>
        <v>1</v>
      </c>
      <c r="M762" s="135">
        <f>IF(Scharniere[[#This Row],[Bohrbild]]=select!$O$334,1,0)</f>
        <v>0</v>
      </c>
      <c r="N762" s="135">
        <f>IF(IF(Scharniere[[#This Row],[Anschrauben]]=1,1,IF(Scharniere[[#This Row],[Einpressen]]=1,2,IF(Scharniere[[#This Row],[Quick]]=1,3,IF(Scharniere[[#This Row],[Werkzeuglos]]=1,4,0))))=select!$E$362,1,0)</f>
        <v>1</v>
      </c>
      <c r="O7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2" s="298">
        <f>IF(AND(Scharniere[[#This Row],[Scharnierart]]=3,Scharniere[[#This Row],[Gruppenschlüssel]]=select!$A$747)=TRUE,1,0)</f>
        <v>0</v>
      </c>
      <c r="Q762" s="298">
        <f ca="1">IF(select!$O$945&lt;6,1,0)</f>
        <v>1</v>
      </c>
      <c r="R762" s="298">
        <f>IF(select!$A$778=IF(Scharniere[[#This Row],[mit Dämpfung]]=1,1,IF(Scharniere[[#This Row],[ohne Dämpfung]]=1,2,IF(Scharniere[[#This Row],[ohne Feder]]=1,3,0))),1,0)</f>
        <v>0</v>
      </c>
      <c r="S762" s="298">
        <f>IF(Scharniere[[#This Row],[Bohrbild]]=select!$A$755,1,0)</f>
        <v>0</v>
      </c>
      <c r="T762" s="298">
        <f>IF(IF(Scharniere[[#This Row],[Anschrauben]]=1,1,IF(Scharniere[[#This Row],[Einpressen]]=1,2,IF(Scharniere[[#This Row],[Quick]]=1,3,IF(Scharniere[[#This Row],[Werkzeuglos]]=1,4,0))))=select!$A$769,1,0)</f>
        <v>1</v>
      </c>
      <c r="U7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2" s="359">
        <f>IF(AND(Scharniere[[#This Row],[Scharnierart]]=4,Scharniere[[#This Row],[Gruppenschlüssel]]=select!$A$981)=TRUE,1,0)</f>
        <v>0</v>
      </c>
      <c r="W762" s="359">
        <f ca="1">IF(select!$O$1185&lt;6,1,0)</f>
        <v>1</v>
      </c>
      <c r="X762" s="359">
        <f>IF(select!$A$1012=IF(Scharniere[[#This Row],[mit Dämpfung]]=1,1,IF(Scharniere[[#This Row],[ohne Dämpfung]]=1,2,IF(Scharniere[[#This Row],[ohne Feder]]=1,3,0))),1,0)</f>
        <v>0</v>
      </c>
      <c r="Y762" s="359">
        <f>IF(Scharniere[[#This Row],[Bohrbild]]=select!$A$989,1,0)</f>
        <v>0</v>
      </c>
      <c r="Z762" s="359">
        <f>IF(IF(Scharniere[[#This Row],[Anschrauben]]=1,1,IF(Scharniere[[#This Row],[Einpressen]]=1,2,IF(Scharniere[[#This Row],[Quick]]=1,3,IF(Scharniere[[#This Row],[Werkzeuglos]]=1,4,0))))=select!$A$1003,1,0)</f>
        <v>1</v>
      </c>
      <c r="AA7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2" s="359">
        <f ca="1">IF(select!$K$980="*",Scharniere[[#This Row],[AG Ges2]],Scharniere[[#This Row],[AG Ges1]])</f>
        <v>0</v>
      </c>
      <c r="AE762" s="451">
        <f ca="1">IF(AND(Scharniere[[#This Row],[Scharnierart]]=select!$A$1485,Scharniere[[#This Row],[Gruppenschlüssel]]=select!$B$1485)=TRUE,1,0)</f>
        <v>0</v>
      </c>
      <c r="AF762" s="451">
        <f ca="1">IF(AND(Scharniere[[#This Row],[Scharnierart]]=select!$A$1486,Scharniere[[#This Row],[Gruppenschlüssel]]=select!$B$1486)=TRUE,1,0)</f>
        <v>0</v>
      </c>
      <c r="AG762" s="451">
        <f ca="1">IF(AND(Scharniere[[#This Row],[Scharnierart]]=select!$A$1487,Scharniere[[#This Row],[Gruppenschlüssel]]=select!$B$1487)=TRUE,1,0)</f>
        <v>0</v>
      </c>
      <c r="AH762" s="451">
        <f ca="1">IF(AND(Scharniere[[#This Row],[Scharnierart]]=select!$A$1488,Scharniere[[#This Row],[Gruppenschlüssel]]=select!$B$1488)=TRUE,1,0)</f>
        <v>0</v>
      </c>
      <c r="AI762" s="451">
        <f ca="1">IF(SUM(Scharniere[[#This Row],[konf Scharnier 1]:[konf Scharnier 4]])&gt;0,1,0)</f>
        <v>0</v>
      </c>
      <c r="AJ762" s="451"/>
      <c r="AK762" s="451"/>
      <c r="AL762" s="451"/>
      <c r="AM762" s="451"/>
      <c r="AN762" s="451"/>
      <c r="AO762" s="146">
        <v>2</v>
      </c>
      <c r="AP762" s="146">
        <v>2</v>
      </c>
      <c r="AQ762" s="71" t="str">
        <f ca="1">Sprache!$A$112</f>
        <v>Tiomos Scharnier TS Click-on</v>
      </c>
      <c r="AR762" t="str">
        <f ca="1">"110/90°, B-BB, "&amp;Sprache!$A$62&amp;" ni"</f>
        <v>110/90°, B-BB, einl. ni</v>
      </c>
      <c r="AS762" t="str">
        <f ca="1">Sprache!$A$103</f>
        <v>Tiomos Click-On Scharniere</v>
      </c>
      <c r="AT762" t="s">
        <v>1264</v>
      </c>
      <c r="AU762" s="34" t="s">
        <v>3</v>
      </c>
      <c r="AV762" t="s">
        <v>1489</v>
      </c>
      <c r="AW762" s="71">
        <v>1</v>
      </c>
      <c r="AX762">
        <v>0</v>
      </c>
      <c r="AY762">
        <v>0</v>
      </c>
      <c r="AZ762" s="71">
        <v>1</v>
      </c>
      <c r="BA762">
        <v>0</v>
      </c>
      <c r="BB762">
        <v>0</v>
      </c>
      <c r="BC762">
        <v>0</v>
      </c>
      <c r="BD762" s="144" t="s">
        <v>1453</v>
      </c>
      <c r="BF762" s="10"/>
      <c r="BG762"/>
    </row>
    <row r="763" spans="1:59" ht="14.25" customHeight="1" x14ac:dyDescent="0.25">
      <c r="A763" s="37" t="str">
        <f>LEFT(Scharniere[[#This Row],[ArtikelNR]],4)</f>
        <v>F045</v>
      </c>
      <c r="B763" s="35" t="str">
        <f>MID(Scharniere[[#This Row],[ArtikelNR]],5,3)</f>
        <v>138</v>
      </c>
      <c r="C763" s="37" t="str">
        <f>RIGHT(Scharniere[[#This Row],[ArtikelNR]],3)</f>
        <v>474</v>
      </c>
      <c r="D763" s="35">
        <f>IF(AND(Scharniere[[#This Row],[Gruppenschlüssel]]=select!$A$44,Scharniere[[#This Row],[Scharnierart]]=1)=TRUE,1,0)</f>
        <v>0</v>
      </c>
      <c r="E7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3" s="35">
        <f>IF(select!$F$57=IF(Scharniere[[#This Row],[mit Dämpfung]]=1,1,IF(Scharniere[[#This Row],[ohne Dämpfung]]=1,2,IF(Scharniere[[#This Row],[ohne Feder]]=1,3,0))),1,0)</f>
        <v>0</v>
      </c>
      <c r="G763" s="35">
        <f>IF(Scharniere[[#This Row],[Bohrbild]]=select!$V$43,1,0)</f>
        <v>0</v>
      </c>
      <c r="H763" s="35">
        <f>IF(IF(Scharniere[[#This Row],[Anschrauben]]=1,1,IF(Scharniere[[#This Row],[Einpressen]]=1,2,IF(Scharniere[[#This Row],[Quick]]=1,3,IF(Scharniere[[#This Row],[Werkzeuglos]]=1,4,0))))=select!$F$48,1,0)</f>
        <v>0</v>
      </c>
      <c r="I7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3" s="149">
        <f>IF(AND(Scharniere[[#This Row],[Scharnierart]]=2,Scharniere[[#This Row],[Gruppenschlüssel]]=select!$A$318)=TRUE,1,0)</f>
        <v>0</v>
      </c>
      <c r="K763" s="221">
        <f ca="1">IF(select!$O$424&lt;6,1,0)</f>
        <v>1</v>
      </c>
      <c r="L763" s="221">
        <f>IF(select!$A$362=IF(Scharniere[[#This Row],[mit Dämpfung]]=1,1,IF(Scharniere[[#This Row],[ohne Dämpfung]]=1,2,IF(Scharniere[[#This Row],[ohne Feder]]=1,3,0))),1,0)</f>
        <v>0</v>
      </c>
      <c r="M763" s="135">
        <f>IF(Scharniere[[#This Row],[Bohrbild]]=select!$O$334,1,0)</f>
        <v>0</v>
      </c>
      <c r="N763" s="135">
        <f>IF(IF(Scharniere[[#This Row],[Anschrauben]]=1,1,IF(Scharniere[[#This Row],[Einpressen]]=1,2,IF(Scharniere[[#This Row],[Quick]]=1,3,IF(Scharniere[[#This Row],[Werkzeuglos]]=1,4,0))))=select!$E$362,1,0)</f>
        <v>1</v>
      </c>
      <c r="O7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3" s="298">
        <f>IF(AND(Scharniere[[#This Row],[Scharnierart]]=3,Scharniere[[#This Row],[Gruppenschlüssel]]=select!$A$747)=TRUE,1,0)</f>
        <v>0</v>
      </c>
      <c r="Q763" s="298">
        <f ca="1">IF(select!$O$945&lt;6,1,0)</f>
        <v>1</v>
      </c>
      <c r="R763" s="298">
        <f>IF(select!$A$778=IF(Scharniere[[#This Row],[mit Dämpfung]]=1,1,IF(Scharniere[[#This Row],[ohne Dämpfung]]=1,2,IF(Scharniere[[#This Row],[ohne Feder]]=1,3,0))),1,0)</f>
        <v>1</v>
      </c>
      <c r="S763" s="298">
        <f>IF(Scharniere[[#This Row],[Bohrbild]]=select!$A$755,1,0)</f>
        <v>0</v>
      </c>
      <c r="T763" s="298">
        <f>IF(IF(Scharniere[[#This Row],[Anschrauben]]=1,1,IF(Scharniere[[#This Row],[Einpressen]]=1,2,IF(Scharniere[[#This Row],[Quick]]=1,3,IF(Scharniere[[#This Row],[Werkzeuglos]]=1,4,0))))=select!$A$769,1,0)</f>
        <v>1</v>
      </c>
      <c r="U7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3" s="359">
        <f>IF(AND(Scharniere[[#This Row],[Scharnierart]]=4,Scharniere[[#This Row],[Gruppenschlüssel]]=select!$A$981)=TRUE,1,0)</f>
        <v>0</v>
      </c>
      <c r="W763" s="359">
        <f ca="1">IF(select!$O$1185&lt;6,1,0)</f>
        <v>1</v>
      </c>
      <c r="X763" s="359">
        <f>IF(select!$A$1012=IF(Scharniere[[#This Row],[mit Dämpfung]]=1,1,IF(Scharniere[[#This Row],[ohne Dämpfung]]=1,2,IF(Scharniere[[#This Row],[ohne Feder]]=1,3,0))),1,0)</f>
        <v>1</v>
      </c>
      <c r="Y763" s="359">
        <f>IF(Scharniere[[#This Row],[Bohrbild]]=select!$A$989,1,0)</f>
        <v>0</v>
      </c>
      <c r="Z763" s="359">
        <f>IF(IF(Scharniere[[#This Row],[Anschrauben]]=1,1,IF(Scharniere[[#This Row],[Einpressen]]=1,2,IF(Scharniere[[#This Row],[Quick]]=1,3,IF(Scharniere[[#This Row],[Werkzeuglos]]=1,4,0))))=select!$A$1003,1,0)</f>
        <v>1</v>
      </c>
      <c r="AA7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3" s="359">
        <f ca="1">IF(select!$K$980="*",Scharniere[[#This Row],[AG Ges2]],Scharniere[[#This Row],[AG Ges1]])</f>
        <v>0</v>
      </c>
      <c r="AE763" s="451">
        <f ca="1">IF(AND(Scharniere[[#This Row],[Scharnierart]]=select!$A$1485,Scharniere[[#This Row],[Gruppenschlüssel]]=select!$B$1485)=TRUE,1,0)</f>
        <v>0</v>
      </c>
      <c r="AF763" s="451">
        <f ca="1">IF(AND(Scharniere[[#This Row],[Scharnierart]]=select!$A$1486,Scharniere[[#This Row],[Gruppenschlüssel]]=select!$B$1486)=TRUE,1,0)</f>
        <v>0</v>
      </c>
      <c r="AG763" s="451">
        <f ca="1">IF(AND(Scharniere[[#This Row],[Scharnierart]]=select!$A$1487,Scharniere[[#This Row],[Gruppenschlüssel]]=select!$B$1487)=TRUE,1,0)</f>
        <v>0</v>
      </c>
      <c r="AH763" s="451">
        <f ca="1">IF(AND(Scharniere[[#This Row],[Scharnierart]]=select!$A$1488,Scharniere[[#This Row],[Gruppenschlüssel]]=select!$B$1488)=TRUE,1,0)</f>
        <v>0</v>
      </c>
      <c r="AI763" s="451">
        <f ca="1">IF(SUM(Scharniere[[#This Row],[konf Scharnier 1]:[konf Scharnier 4]])&gt;0,1,0)</f>
        <v>0</v>
      </c>
      <c r="AJ763" s="451"/>
      <c r="AK763" s="451"/>
      <c r="AL763" s="451"/>
      <c r="AM763" s="451"/>
      <c r="AN763" s="451"/>
      <c r="AO763" s="146">
        <v>2</v>
      </c>
      <c r="AP763" s="146">
        <v>2</v>
      </c>
      <c r="AQ763" s="71" t="str">
        <f ca="1">Sprache!$A$118</f>
        <v>Tiomos Scharnier T Click-on</v>
      </c>
      <c r="AR763" t="str">
        <f ca="1">"110/90°, B-BB, "&amp;Sprache!$A$62&amp;" ni"</f>
        <v>110/90°, B-BB, einl. ni</v>
      </c>
      <c r="AS763" t="str">
        <f ca="1">Sprache!$A$103</f>
        <v>Tiomos Click-On Scharniere</v>
      </c>
      <c r="AT763" t="s">
        <v>1264</v>
      </c>
      <c r="AU763" t="s">
        <v>3</v>
      </c>
      <c r="AV763" t="s">
        <v>1489</v>
      </c>
      <c r="AW763" s="71">
        <v>0</v>
      </c>
      <c r="AX763">
        <v>1</v>
      </c>
      <c r="AY763">
        <v>0</v>
      </c>
      <c r="AZ763" s="71">
        <v>1</v>
      </c>
      <c r="BA763">
        <v>0</v>
      </c>
      <c r="BB763">
        <v>0</v>
      </c>
      <c r="BC763">
        <v>0</v>
      </c>
      <c r="BD763" s="144" t="s">
        <v>1656</v>
      </c>
      <c r="BF763" s="10"/>
      <c r="BG763"/>
    </row>
    <row r="764" spans="1:59" ht="14.25" customHeight="1" x14ac:dyDescent="0.25">
      <c r="A764" s="37" t="str">
        <f>LEFT(Scharniere[[#This Row],[ArtikelNR]],4)</f>
        <v>F046</v>
      </c>
      <c r="B764" s="35" t="str">
        <f>MID(Scharniere[[#This Row],[ArtikelNR]],5,3)</f>
        <v>138</v>
      </c>
      <c r="C764" s="37" t="str">
        <f>RIGHT(Scharniere[[#This Row],[ArtikelNR]],3)</f>
        <v>596</v>
      </c>
      <c r="D764" s="35">
        <f>IF(AND(Scharniere[[#This Row],[Gruppenschlüssel]]=select!$A$44,Scharniere[[#This Row],[Scharnierart]]=1)=TRUE,1,0)</f>
        <v>0</v>
      </c>
      <c r="E7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4" s="35">
        <f>IF(select!$F$57=IF(Scharniere[[#This Row],[mit Dämpfung]]=1,1,IF(Scharniere[[#This Row],[ohne Dämpfung]]=1,2,IF(Scharniere[[#This Row],[ohne Feder]]=1,3,0))),1,0)</f>
        <v>1</v>
      </c>
      <c r="G764" s="35">
        <f>IF(Scharniere[[#This Row],[Bohrbild]]=select!$V$43,1,0)</f>
        <v>0</v>
      </c>
      <c r="H764" s="35">
        <f>IF(IF(Scharniere[[#This Row],[Anschrauben]]=1,1,IF(Scharniere[[#This Row],[Einpressen]]=1,2,IF(Scharniere[[#This Row],[Quick]]=1,3,IF(Scharniere[[#This Row],[Werkzeuglos]]=1,4,0))))=select!$F$48,1,0)</f>
        <v>0</v>
      </c>
      <c r="I7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4" s="149">
        <f>IF(AND(Scharniere[[#This Row],[Scharnierart]]=2,Scharniere[[#This Row],[Gruppenschlüssel]]=select!$A$318)=TRUE,1,0)</f>
        <v>0</v>
      </c>
      <c r="K764" s="221">
        <f ca="1">IF(select!$O$424&lt;6,1,0)</f>
        <v>1</v>
      </c>
      <c r="L764" s="221">
        <f>IF(select!$A$362=IF(Scharniere[[#This Row],[mit Dämpfung]]=1,1,IF(Scharniere[[#This Row],[ohne Dämpfung]]=1,2,IF(Scharniere[[#This Row],[ohne Feder]]=1,3,0))),1,0)</f>
        <v>0</v>
      </c>
      <c r="M764" s="135">
        <f>IF(Scharniere[[#This Row],[Bohrbild]]=select!$O$334,1,0)</f>
        <v>0</v>
      </c>
      <c r="N764" s="135">
        <f>IF(IF(Scharniere[[#This Row],[Anschrauben]]=1,1,IF(Scharniere[[#This Row],[Einpressen]]=1,2,IF(Scharniere[[#This Row],[Quick]]=1,3,IF(Scharniere[[#This Row],[Werkzeuglos]]=1,4,0))))=select!$E$362,1,0)</f>
        <v>1</v>
      </c>
      <c r="O7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4" s="298">
        <f>IF(AND(Scharniere[[#This Row],[Scharnierart]]=3,Scharniere[[#This Row],[Gruppenschlüssel]]=select!$A$747)=TRUE,1,0)</f>
        <v>0</v>
      </c>
      <c r="Q764" s="298">
        <f ca="1">IF(select!$O$945&lt;6,1,0)</f>
        <v>1</v>
      </c>
      <c r="R764" s="298">
        <f>IF(select!$A$778=IF(Scharniere[[#This Row],[mit Dämpfung]]=1,1,IF(Scharniere[[#This Row],[ohne Dämpfung]]=1,2,IF(Scharniere[[#This Row],[ohne Feder]]=1,3,0))),1,0)</f>
        <v>0</v>
      </c>
      <c r="S764" s="298">
        <f>IF(Scharniere[[#This Row],[Bohrbild]]=select!$A$755,1,0)</f>
        <v>0</v>
      </c>
      <c r="T764" s="298">
        <f>IF(IF(Scharniere[[#This Row],[Anschrauben]]=1,1,IF(Scharniere[[#This Row],[Einpressen]]=1,2,IF(Scharniere[[#This Row],[Quick]]=1,3,IF(Scharniere[[#This Row],[Werkzeuglos]]=1,4,0))))=select!$A$769,1,0)</f>
        <v>1</v>
      </c>
      <c r="U7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4" s="359">
        <f>IF(AND(Scharniere[[#This Row],[Scharnierart]]=4,Scharniere[[#This Row],[Gruppenschlüssel]]=select!$A$981)=TRUE,1,0)</f>
        <v>0</v>
      </c>
      <c r="W764" s="359">
        <f ca="1">IF(select!$O$1185&lt;6,1,0)</f>
        <v>1</v>
      </c>
      <c r="X764" s="359">
        <f>IF(select!$A$1012=IF(Scharniere[[#This Row],[mit Dämpfung]]=1,1,IF(Scharniere[[#This Row],[ohne Dämpfung]]=1,2,IF(Scharniere[[#This Row],[ohne Feder]]=1,3,0))),1,0)</f>
        <v>0</v>
      </c>
      <c r="Y764" s="359">
        <f>IF(Scharniere[[#This Row],[Bohrbild]]=select!$A$989,1,0)</f>
        <v>0</v>
      </c>
      <c r="Z764" s="359">
        <f>IF(IF(Scharniere[[#This Row],[Anschrauben]]=1,1,IF(Scharniere[[#This Row],[Einpressen]]=1,2,IF(Scharniere[[#This Row],[Quick]]=1,3,IF(Scharniere[[#This Row],[Werkzeuglos]]=1,4,0))))=select!$A$1003,1,0)</f>
        <v>1</v>
      </c>
      <c r="AA7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4" s="359">
        <f ca="1">IF(select!$K$980="*",Scharniere[[#This Row],[AG Ges2]],Scharniere[[#This Row],[AG Ges1]])</f>
        <v>0</v>
      </c>
      <c r="AE764" s="451">
        <f ca="1">IF(AND(Scharniere[[#This Row],[Scharnierart]]=select!$A$1485,Scharniere[[#This Row],[Gruppenschlüssel]]=select!$B$1485)=TRUE,1,0)</f>
        <v>0</v>
      </c>
      <c r="AF764" s="451">
        <f ca="1">IF(AND(Scharniere[[#This Row],[Scharnierart]]=select!$A$1486,Scharniere[[#This Row],[Gruppenschlüssel]]=select!$B$1486)=TRUE,1,0)</f>
        <v>0</v>
      </c>
      <c r="AG764" s="451">
        <f ca="1">IF(AND(Scharniere[[#This Row],[Scharnierart]]=select!$A$1487,Scharniere[[#This Row],[Gruppenschlüssel]]=select!$B$1487)=TRUE,1,0)</f>
        <v>0</v>
      </c>
      <c r="AH764" s="451">
        <f ca="1">IF(AND(Scharniere[[#This Row],[Scharnierart]]=select!$A$1488,Scharniere[[#This Row],[Gruppenschlüssel]]=select!$B$1488)=TRUE,1,0)</f>
        <v>0</v>
      </c>
      <c r="AI764" s="451">
        <f ca="1">IF(SUM(Scharniere[[#This Row],[konf Scharnier 1]:[konf Scharnier 4]])&gt;0,1,0)</f>
        <v>0</v>
      </c>
      <c r="AJ764" s="451"/>
      <c r="AK764" s="451"/>
      <c r="AL764" s="451"/>
      <c r="AM764" s="451"/>
      <c r="AN764" s="451"/>
      <c r="AO764" s="146">
        <v>2</v>
      </c>
      <c r="AP764" s="146">
        <v>2</v>
      </c>
      <c r="AQ764" s="71" t="str">
        <f ca="1">Sprache!$A$114</f>
        <v>Tiomos Scharnier TT Click-on</v>
      </c>
      <c r="AR764" t="str">
        <f ca="1">"110/90°, B-BB, "&amp;Sprache!$A$62&amp;" ni"</f>
        <v>110/90°, B-BB, einl. ni</v>
      </c>
      <c r="AS764" t="str">
        <f ca="1">Sprache!$A$103</f>
        <v>Tiomos Click-On Scharniere</v>
      </c>
      <c r="AT764" t="s">
        <v>1264</v>
      </c>
      <c r="AU764" t="s">
        <v>3</v>
      </c>
      <c r="AV764" t="s">
        <v>1489</v>
      </c>
      <c r="AW764" s="71">
        <v>0</v>
      </c>
      <c r="AX764">
        <v>0</v>
      </c>
      <c r="AY764">
        <v>1</v>
      </c>
      <c r="AZ764" s="71">
        <v>1</v>
      </c>
      <c r="BA764">
        <v>0</v>
      </c>
      <c r="BB764">
        <v>0</v>
      </c>
      <c r="BC764">
        <v>0</v>
      </c>
      <c r="BD764" s="144" t="s">
        <v>1724</v>
      </c>
      <c r="BF764" s="10"/>
      <c r="BG764"/>
    </row>
    <row r="765" spans="1:59" ht="14.25" customHeight="1" x14ac:dyDescent="0.25">
      <c r="A765" s="37" t="str">
        <f>LEFT(Scharniere[[#This Row],[ArtikelNR]],4)</f>
        <v>F028</v>
      </c>
      <c r="B765" s="35" t="str">
        <f>MID(Scharniere[[#This Row],[ArtikelNR]],5,3)</f>
        <v>138</v>
      </c>
      <c r="C765" s="37" t="str">
        <f>RIGHT(Scharniere[[#This Row],[ArtikelNR]],3)</f>
        <v>364</v>
      </c>
      <c r="D765" s="35">
        <f>IF(AND(Scharniere[[#This Row],[Gruppenschlüssel]]=select!$A$44,Scharniere[[#This Row],[Scharnierart]]=1)=TRUE,1,0)</f>
        <v>0</v>
      </c>
      <c r="E7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5" s="35">
        <f>IF(select!$F$57=IF(Scharniere[[#This Row],[mit Dämpfung]]=1,1,IF(Scharniere[[#This Row],[ohne Dämpfung]]=1,2,IF(Scharniere[[#This Row],[ohne Feder]]=1,3,0))),1,0)</f>
        <v>0</v>
      </c>
      <c r="G765" s="35">
        <f>IF(Scharniere[[#This Row],[Bohrbild]]=select!$V$43,1,0)</f>
        <v>0</v>
      </c>
      <c r="H765" s="35">
        <f>IF(IF(Scharniere[[#This Row],[Anschrauben]]=1,1,IF(Scharniere[[#This Row],[Einpressen]]=1,2,IF(Scharniere[[#This Row],[Quick]]=1,3,IF(Scharniere[[#This Row],[Werkzeuglos]]=1,4,0))))=select!$F$48,1,0)</f>
        <v>1</v>
      </c>
      <c r="I7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5" s="149">
        <f>IF(AND(Scharniere[[#This Row],[Scharnierart]]=2,Scharniere[[#This Row],[Gruppenschlüssel]]=select!$A$318)=TRUE,1,0)</f>
        <v>0</v>
      </c>
      <c r="K765" s="221">
        <f ca="1">IF(select!$O$424&lt;6,1,0)</f>
        <v>1</v>
      </c>
      <c r="L765" s="221">
        <f>IF(select!$A$362=IF(Scharniere[[#This Row],[mit Dämpfung]]=1,1,IF(Scharniere[[#This Row],[ohne Dämpfung]]=1,2,IF(Scharniere[[#This Row],[ohne Feder]]=1,3,0))),1,0)</f>
        <v>1</v>
      </c>
      <c r="M765" s="135">
        <f>IF(Scharniere[[#This Row],[Bohrbild]]=select!$O$334,1,0)</f>
        <v>0</v>
      </c>
      <c r="N765" s="135">
        <f>IF(IF(Scharniere[[#This Row],[Anschrauben]]=1,1,IF(Scharniere[[#This Row],[Einpressen]]=1,2,IF(Scharniere[[#This Row],[Quick]]=1,3,IF(Scharniere[[#This Row],[Werkzeuglos]]=1,4,0))))=select!$E$362,1,0)</f>
        <v>0</v>
      </c>
      <c r="O7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5" s="298">
        <f>IF(AND(Scharniere[[#This Row],[Scharnierart]]=3,Scharniere[[#This Row],[Gruppenschlüssel]]=select!$A$747)=TRUE,1,0)</f>
        <v>0</v>
      </c>
      <c r="Q765" s="298">
        <f ca="1">IF(select!$O$945&lt;6,1,0)</f>
        <v>1</v>
      </c>
      <c r="R765" s="298">
        <f>IF(select!$A$778=IF(Scharniere[[#This Row],[mit Dämpfung]]=1,1,IF(Scharniere[[#This Row],[ohne Dämpfung]]=1,2,IF(Scharniere[[#This Row],[ohne Feder]]=1,3,0))),1,0)</f>
        <v>0</v>
      </c>
      <c r="S765" s="298">
        <f>IF(Scharniere[[#This Row],[Bohrbild]]=select!$A$755,1,0)</f>
        <v>0</v>
      </c>
      <c r="T765" s="298">
        <f>IF(IF(Scharniere[[#This Row],[Anschrauben]]=1,1,IF(Scharniere[[#This Row],[Einpressen]]=1,2,IF(Scharniere[[#This Row],[Quick]]=1,3,IF(Scharniere[[#This Row],[Werkzeuglos]]=1,4,0))))=select!$A$769,1,0)</f>
        <v>0</v>
      </c>
      <c r="U7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5" s="359">
        <f>IF(AND(Scharniere[[#This Row],[Scharnierart]]=4,Scharniere[[#This Row],[Gruppenschlüssel]]=select!$A$981)=TRUE,1,0)</f>
        <v>0</v>
      </c>
      <c r="W765" s="359">
        <f ca="1">IF(select!$O$1185&lt;6,1,0)</f>
        <v>1</v>
      </c>
      <c r="X765" s="359">
        <f>IF(select!$A$1012=IF(Scharniere[[#This Row],[mit Dämpfung]]=1,1,IF(Scharniere[[#This Row],[ohne Dämpfung]]=1,2,IF(Scharniere[[#This Row],[ohne Feder]]=1,3,0))),1,0)</f>
        <v>0</v>
      </c>
      <c r="Y765" s="359">
        <f>IF(Scharniere[[#This Row],[Bohrbild]]=select!$A$989,1,0)</f>
        <v>0</v>
      </c>
      <c r="Z765" s="359">
        <f>IF(IF(Scharniere[[#This Row],[Anschrauben]]=1,1,IF(Scharniere[[#This Row],[Einpressen]]=1,2,IF(Scharniere[[#This Row],[Quick]]=1,3,IF(Scharniere[[#This Row],[Werkzeuglos]]=1,4,0))))=select!$A$1003,1,0)</f>
        <v>0</v>
      </c>
      <c r="AA7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5" s="359">
        <f ca="1">IF(select!$K$980="*",Scharniere[[#This Row],[AG Ges2]],Scharniere[[#This Row],[AG Ges1]])</f>
        <v>0</v>
      </c>
      <c r="AE765" s="451">
        <f ca="1">IF(AND(Scharniere[[#This Row],[Scharnierart]]=select!$A$1485,Scharniere[[#This Row],[Gruppenschlüssel]]=select!$B$1485)=TRUE,1,0)</f>
        <v>0</v>
      </c>
      <c r="AF765" s="451">
        <f ca="1">IF(AND(Scharniere[[#This Row],[Scharnierart]]=select!$A$1486,Scharniere[[#This Row],[Gruppenschlüssel]]=select!$B$1486)=TRUE,1,0)</f>
        <v>0</v>
      </c>
      <c r="AG765" s="451">
        <f ca="1">IF(AND(Scharniere[[#This Row],[Scharnierart]]=select!$A$1487,Scharniere[[#This Row],[Gruppenschlüssel]]=select!$B$1487)=TRUE,1,0)</f>
        <v>0</v>
      </c>
      <c r="AH765" s="451">
        <f ca="1">IF(AND(Scharniere[[#This Row],[Scharnierart]]=select!$A$1488,Scharniere[[#This Row],[Gruppenschlüssel]]=select!$B$1488)=TRUE,1,0)</f>
        <v>0</v>
      </c>
      <c r="AI765" s="451">
        <f ca="1">IF(SUM(Scharniere[[#This Row],[konf Scharnier 1]:[konf Scharnier 4]])&gt;0,1,0)</f>
        <v>0</v>
      </c>
      <c r="AJ765" s="451"/>
      <c r="AK765" s="451"/>
      <c r="AL765" s="451"/>
      <c r="AM765" s="451"/>
      <c r="AN765" s="451"/>
      <c r="AO765" s="146">
        <v>2</v>
      </c>
      <c r="AP765" s="146">
        <v>2</v>
      </c>
      <c r="AQ765" s="71" t="str">
        <f ca="1">Sprache!$A$112</f>
        <v>Tiomos Scharnier TS Click-on</v>
      </c>
      <c r="AR765" t="str">
        <f ca="1">"110/90°, G-BB, "&amp;Sprache!$A$62&amp;" 0, ni"</f>
        <v>110/90°, G-BB, einl. 0, ni</v>
      </c>
      <c r="AS765" t="str">
        <f ca="1">Sprache!$A$103</f>
        <v>Tiomos Click-On Scharniere</v>
      </c>
      <c r="AT765" t="s">
        <v>1264</v>
      </c>
      <c r="AU765" s="34" t="s">
        <v>9</v>
      </c>
      <c r="AV765" t="s">
        <v>1489</v>
      </c>
      <c r="AW765" s="71">
        <v>1</v>
      </c>
      <c r="AX765">
        <v>0</v>
      </c>
      <c r="AY765">
        <v>0</v>
      </c>
      <c r="AZ765" s="71">
        <v>0</v>
      </c>
      <c r="BA765">
        <v>1</v>
      </c>
      <c r="BB765">
        <v>0</v>
      </c>
      <c r="BC765">
        <v>0</v>
      </c>
      <c r="BD765" s="144" t="s">
        <v>1542</v>
      </c>
      <c r="BF765" s="10"/>
      <c r="BG765"/>
    </row>
    <row r="766" spans="1:59" ht="14.25" customHeight="1" x14ac:dyDescent="0.25">
      <c r="A766" s="37" t="str">
        <f>LEFT(Scharniere[[#This Row],[ArtikelNR]],4)</f>
        <v>F045</v>
      </c>
      <c r="B766" s="35" t="str">
        <f>MID(Scharniere[[#This Row],[ArtikelNR]],5,3)</f>
        <v>138</v>
      </c>
      <c r="C766" s="37" t="str">
        <f>RIGHT(Scharniere[[#This Row],[ArtikelNR]],3)</f>
        <v>302</v>
      </c>
      <c r="D766" s="35">
        <f>IF(AND(Scharniere[[#This Row],[Gruppenschlüssel]]=select!$A$44,Scharniere[[#This Row],[Scharnierart]]=1)=TRUE,1,0)</f>
        <v>0</v>
      </c>
      <c r="E7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6" s="35">
        <f>IF(select!$F$57=IF(Scharniere[[#This Row],[mit Dämpfung]]=1,1,IF(Scharniere[[#This Row],[ohne Dämpfung]]=1,2,IF(Scharniere[[#This Row],[ohne Feder]]=1,3,0))),1,0)</f>
        <v>0</v>
      </c>
      <c r="G766" s="35">
        <f>IF(Scharniere[[#This Row],[Bohrbild]]=select!$V$43,1,0)</f>
        <v>0</v>
      </c>
      <c r="H766" s="35">
        <f>IF(IF(Scharniere[[#This Row],[Anschrauben]]=1,1,IF(Scharniere[[#This Row],[Einpressen]]=1,2,IF(Scharniere[[#This Row],[Quick]]=1,3,IF(Scharniere[[#This Row],[Werkzeuglos]]=1,4,0))))=select!$F$48,1,0)</f>
        <v>1</v>
      </c>
      <c r="I7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6" s="149">
        <f>IF(AND(Scharniere[[#This Row],[Scharnierart]]=2,Scharniere[[#This Row],[Gruppenschlüssel]]=select!$A$318)=TRUE,1,0)</f>
        <v>0</v>
      </c>
      <c r="K766" s="221">
        <f ca="1">IF(select!$O$424&lt;6,1,0)</f>
        <v>1</v>
      </c>
      <c r="L766" s="221">
        <f>IF(select!$A$362=IF(Scharniere[[#This Row],[mit Dämpfung]]=1,1,IF(Scharniere[[#This Row],[ohne Dämpfung]]=1,2,IF(Scharniere[[#This Row],[ohne Feder]]=1,3,0))),1,0)</f>
        <v>0</v>
      </c>
      <c r="M766" s="135">
        <f>IF(Scharniere[[#This Row],[Bohrbild]]=select!$O$334,1,0)</f>
        <v>0</v>
      </c>
      <c r="N766" s="135">
        <f>IF(IF(Scharniere[[#This Row],[Anschrauben]]=1,1,IF(Scharniere[[#This Row],[Einpressen]]=1,2,IF(Scharniere[[#This Row],[Quick]]=1,3,IF(Scharniere[[#This Row],[Werkzeuglos]]=1,4,0))))=select!$E$362,1,0)</f>
        <v>0</v>
      </c>
      <c r="O7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6" s="298">
        <f>IF(AND(Scharniere[[#This Row],[Scharnierart]]=3,Scharniere[[#This Row],[Gruppenschlüssel]]=select!$A$747)=TRUE,1,0)</f>
        <v>0</v>
      </c>
      <c r="Q766" s="298">
        <f ca="1">IF(select!$O$945&lt;6,1,0)</f>
        <v>1</v>
      </c>
      <c r="R766" s="298">
        <f>IF(select!$A$778=IF(Scharniere[[#This Row],[mit Dämpfung]]=1,1,IF(Scharniere[[#This Row],[ohne Dämpfung]]=1,2,IF(Scharniere[[#This Row],[ohne Feder]]=1,3,0))),1,0)</f>
        <v>1</v>
      </c>
      <c r="S766" s="298">
        <f>IF(Scharniere[[#This Row],[Bohrbild]]=select!$A$755,1,0)</f>
        <v>0</v>
      </c>
      <c r="T766" s="298">
        <f>IF(IF(Scharniere[[#This Row],[Anschrauben]]=1,1,IF(Scharniere[[#This Row],[Einpressen]]=1,2,IF(Scharniere[[#This Row],[Quick]]=1,3,IF(Scharniere[[#This Row],[Werkzeuglos]]=1,4,0))))=select!$A$769,1,0)</f>
        <v>0</v>
      </c>
      <c r="U7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6" s="359">
        <f>IF(AND(Scharniere[[#This Row],[Scharnierart]]=4,Scharniere[[#This Row],[Gruppenschlüssel]]=select!$A$981)=TRUE,1,0)</f>
        <v>0</v>
      </c>
      <c r="W766" s="359">
        <f ca="1">IF(select!$O$1185&lt;6,1,0)</f>
        <v>1</v>
      </c>
      <c r="X766" s="359">
        <f>IF(select!$A$1012=IF(Scharniere[[#This Row],[mit Dämpfung]]=1,1,IF(Scharniere[[#This Row],[ohne Dämpfung]]=1,2,IF(Scharniere[[#This Row],[ohne Feder]]=1,3,0))),1,0)</f>
        <v>1</v>
      </c>
      <c r="Y766" s="359">
        <f>IF(Scharniere[[#This Row],[Bohrbild]]=select!$A$989,1,0)</f>
        <v>0</v>
      </c>
      <c r="Z766" s="359">
        <f>IF(IF(Scharniere[[#This Row],[Anschrauben]]=1,1,IF(Scharniere[[#This Row],[Einpressen]]=1,2,IF(Scharniere[[#This Row],[Quick]]=1,3,IF(Scharniere[[#This Row],[Werkzeuglos]]=1,4,0))))=select!$A$1003,1,0)</f>
        <v>0</v>
      </c>
      <c r="AA7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6" s="359">
        <f ca="1">IF(select!$K$980="*",Scharniere[[#This Row],[AG Ges2]],Scharniere[[#This Row],[AG Ges1]])</f>
        <v>0</v>
      </c>
      <c r="AE766" s="451">
        <f ca="1">IF(AND(Scharniere[[#This Row],[Scharnierart]]=select!$A$1485,Scharniere[[#This Row],[Gruppenschlüssel]]=select!$B$1485)=TRUE,1,0)</f>
        <v>0</v>
      </c>
      <c r="AF766" s="451">
        <f ca="1">IF(AND(Scharniere[[#This Row],[Scharnierart]]=select!$A$1486,Scharniere[[#This Row],[Gruppenschlüssel]]=select!$B$1486)=TRUE,1,0)</f>
        <v>0</v>
      </c>
      <c r="AG766" s="451">
        <f ca="1">IF(AND(Scharniere[[#This Row],[Scharnierart]]=select!$A$1487,Scharniere[[#This Row],[Gruppenschlüssel]]=select!$B$1487)=TRUE,1,0)</f>
        <v>0</v>
      </c>
      <c r="AH766" s="451">
        <f ca="1">IF(AND(Scharniere[[#This Row],[Scharnierart]]=select!$A$1488,Scharniere[[#This Row],[Gruppenschlüssel]]=select!$B$1488)=TRUE,1,0)</f>
        <v>0</v>
      </c>
      <c r="AI766" s="451">
        <f ca="1">IF(SUM(Scharniere[[#This Row],[konf Scharnier 1]:[konf Scharnier 4]])&gt;0,1,0)</f>
        <v>0</v>
      </c>
      <c r="AJ766" s="451"/>
      <c r="AK766" s="451"/>
      <c r="AL766" s="451"/>
      <c r="AM766" s="451"/>
      <c r="AN766" s="451"/>
      <c r="AO766" s="146">
        <v>2</v>
      </c>
      <c r="AP766" s="146">
        <v>2</v>
      </c>
      <c r="AQ766" s="71" t="str">
        <f ca="1">Sprache!$A$118</f>
        <v>Tiomos Scharnier T Click-on</v>
      </c>
      <c r="AR766" t="str">
        <f ca="1">"110/90°, G-BB, "&amp;Sprache!$A$62&amp;" 0, ni"</f>
        <v>110/90°, G-BB, einl. 0, ni</v>
      </c>
      <c r="AS766" t="str">
        <f ca="1">Sprache!$A$103</f>
        <v>Tiomos Click-On Scharniere</v>
      </c>
      <c r="AT766" t="s">
        <v>1264</v>
      </c>
      <c r="AU766" t="s">
        <v>9</v>
      </c>
      <c r="AV766" t="s">
        <v>1489</v>
      </c>
      <c r="AW766" s="71">
        <v>0</v>
      </c>
      <c r="AX766">
        <v>1</v>
      </c>
      <c r="AY766">
        <v>0</v>
      </c>
      <c r="AZ766" s="71">
        <v>0</v>
      </c>
      <c r="BA766">
        <v>1</v>
      </c>
      <c r="BB766">
        <v>0</v>
      </c>
      <c r="BC766">
        <v>0</v>
      </c>
      <c r="BD766" s="144" t="s">
        <v>1643</v>
      </c>
      <c r="BF766" s="10"/>
      <c r="BG766"/>
    </row>
    <row r="767" spans="1:59" ht="14.25" customHeight="1" x14ac:dyDescent="0.25">
      <c r="A767" s="37" t="str">
        <f>LEFT(Scharniere[[#This Row],[ArtikelNR]],4)</f>
        <v>F028</v>
      </c>
      <c r="B767" s="35" t="str">
        <f>MID(Scharniere[[#This Row],[ArtikelNR]],5,3)</f>
        <v>138</v>
      </c>
      <c r="C767" s="37" t="str">
        <f>RIGHT(Scharniere[[#This Row],[ArtikelNR]],3)</f>
        <v>354</v>
      </c>
      <c r="D767" s="35">
        <f>IF(AND(Scharniere[[#This Row],[Gruppenschlüssel]]=select!$A$44,Scharniere[[#This Row],[Scharnierart]]=1)=TRUE,1,0)</f>
        <v>0</v>
      </c>
      <c r="E7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7" s="35">
        <f>IF(select!$F$57=IF(Scharniere[[#This Row],[mit Dämpfung]]=1,1,IF(Scharniere[[#This Row],[ohne Dämpfung]]=1,2,IF(Scharniere[[#This Row],[ohne Feder]]=1,3,0))),1,0)</f>
        <v>0</v>
      </c>
      <c r="G767" s="35">
        <f>IF(Scharniere[[#This Row],[Bohrbild]]=select!$V$43,1,0)</f>
        <v>0</v>
      </c>
      <c r="H767" s="35">
        <f>IF(IF(Scharniere[[#This Row],[Anschrauben]]=1,1,IF(Scharniere[[#This Row],[Einpressen]]=1,2,IF(Scharniere[[#This Row],[Quick]]=1,3,IF(Scharniere[[#This Row],[Werkzeuglos]]=1,4,0))))=select!$F$48,1,0)</f>
        <v>0</v>
      </c>
      <c r="I7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7" s="149">
        <f>IF(AND(Scharniere[[#This Row],[Scharnierart]]=2,Scharniere[[#This Row],[Gruppenschlüssel]]=select!$A$318)=TRUE,1,0)</f>
        <v>0</v>
      </c>
      <c r="K767" s="221">
        <f ca="1">IF(select!$O$424&lt;6,1,0)</f>
        <v>1</v>
      </c>
      <c r="L767" s="221">
        <f>IF(select!$A$362=IF(Scharniere[[#This Row],[mit Dämpfung]]=1,1,IF(Scharniere[[#This Row],[ohne Dämpfung]]=1,2,IF(Scharniere[[#This Row],[ohne Feder]]=1,3,0))),1,0)</f>
        <v>1</v>
      </c>
      <c r="M767" s="135">
        <f>IF(Scharniere[[#This Row],[Bohrbild]]=select!$O$334,1,0)</f>
        <v>0</v>
      </c>
      <c r="N767" s="135">
        <f>IF(IF(Scharniere[[#This Row],[Anschrauben]]=1,1,IF(Scharniere[[#This Row],[Einpressen]]=1,2,IF(Scharniere[[#This Row],[Quick]]=1,3,IF(Scharniere[[#This Row],[Werkzeuglos]]=1,4,0))))=select!$E$362,1,0)</f>
        <v>1</v>
      </c>
      <c r="O7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7" s="298">
        <f>IF(AND(Scharniere[[#This Row],[Scharnierart]]=3,Scharniere[[#This Row],[Gruppenschlüssel]]=select!$A$747)=TRUE,1,0)</f>
        <v>0</v>
      </c>
      <c r="Q767" s="298">
        <f ca="1">IF(select!$O$945&lt;6,1,0)</f>
        <v>1</v>
      </c>
      <c r="R767" s="298">
        <f>IF(select!$A$778=IF(Scharniere[[#This Row],[mit Dämpfung]]=1,1,IF(Scharniere[[#This Row],[ohne Dämpfung]]=1,2,IF(Scharniere[[#This Row],[ohne Feder]]=1,3,0))),1,0)</f>
        <v>0</v>
      </c>
      <c r="S767" s="298">
        <f>IF(Scharniere[[#This Row],[Bohrbild]]=select!$A$755,1,0)</f>
        <v>0</v>
      </c>
      <c r="T767" s="298">
        <f>IF(IF(Scharniere[[#This Row],[Anschrauben]]=1,1,IF(Scharniere[[#This Row],[Einpressen]]=1,2,IF(Scharniere[[#This Row],[Quick]]=1,3,IF(Scharniere[[#This Row],[Werkzeuglos]]=1,4,0))))=select!$A$769,1,0)</f>
        <v>1</v>
      </c>
      <c r="U7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7" s="359">
        <f>IF(AND(Scharniere[[#This Row],[Scharnierart]]=4,Scharniere[[#This Row],[Gruppenschlüssel]]=select!$A$981)=TRUE,1,0)</f>
        <v>0</v>
      </c>
      <c r="W767" s="359">
        <f ca="1">IF(select!$O$1185&lt;6,1,0)</f>
        <v>1</v>
      </c>
      <c r="X767" s="359">
        <f>IF(select!$A$1012=IF(Scharniere[[#This Row],[mit Dämpfung]]=1,1,IF(Scharniere[[#This Row],[ohne Dämpfung]]=1,2,IF(Scharniere[[#This Row],[ohne Feder]]=1,3,0))),1,0)</f>
        <v>0</v>
      </c>
      <c r="Y767" s="359">
        <f>IF(Scharniere[[#This Row],[Bohrbild]]=select!$A$989,1,0)</f>
        <v>0</v>
      </c>
      <c r="Z767" s="359">
        <f>IF(IF(Scharniere[[#This Row],[Anschrauben]]=1,1,IF(Scharniere[[#This Row],[Einpressen]]=1,2,IF(Scharniere[[#This Row],[Quick]]=1,3,IF(Scharniere[[#This Row],[Werkzeuglos]]=1,4,0))))=select!$A$1003,1,0)</f>
        <v>1</v>
      </c>
      <c r="AA7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7" s="359">
        <f ca="1">IF(select!$K$980="*",Scharniere[[#This Row],[AG Ges2]],Scharniere[[#This Row],[AG Ges1]])</f>
        <v>0</v>
      </c>
      <c r="AE767" s="451">
        <f ca="1">IF(AND(Scharniere[[#This Row],[Scharnierart]]=select!$A$1485,Scharniere[[#This Row],[Gruppenschlüssel]]=select!$B$1485)=TRUE,1,0)</f>
        <v>0</v>
      </c>
      <c r="AF767" s="451">
        <f ca="1">IF(AND(Scharniere[[#This Row],[Scharnierart]]=select!$A$1486,Scharniere[[#This Row],[Gruppenschlüssel]]=select!$B$1486)=TRUE,1,0)</f>
        <v>0</v>
      </c>
      <c r="AG767" s="451">
        <f ca="1">IF(AND(Scharniere[[#This Row],[Scharnierart]]=select!$A$1487,Scharniere[[#This Row],[Gruppenschlüssel]]=select!$B$1487)=TRUE,1,0)</f>
        <v>0</v>
      </c>
      <c r="AH767" s="451">
        <f ca="1">IF(AND(Scharniere[[#This Row],[Scharnierart]]=select!$A$1488,Scharniere[[#This Row],[Gruppenschlüssel]]=select!$B$1488)=TRUE,1,0)</f>
        <v>0</v>
      </c>
      <c r="AI767" s="451">
        <f ca="1">IF(SUM(Scharniere[[#This Row],[konf Scharnier 1]:[konf Scharnier 4]])&gt;0,1,0)</f>
        <v>0</v>
      </c>
      <c r="AJ767" s="451"/>
      <c r="AK767" s="451"/>
      <c r="AL767" s="451"/>
      <c r="AM767" s="451"/>
      <c r="AN767" s="451"/>
      <c r="AO767" s="146">
        <v>2</v>
      </c>
      <c r="AP767" s="146">
        <v>2</v>
      </c>
      <c r="AQ767" s="71" t="str">
        <f ca="1">Sprache!$A$112</f>
        <v>Tiomos Scharnier TS Click-on</v>
      </c>
      <c r="AR767" t="str">
        <f ca="1">"110/90°, G-BB, "&amp;Sprache!$A$62&amp;" ni"</f>
        <v>110/90°, G-BB, einl. ni</v>
      </c>
      <c r="AS767" t="str">
        <f ca="1">Sprache!$A$103</f>
        <v>Tiomos Click-On Scharniere</v>
      </c>
      <c r="AT767" t="s">
        <v>1264</v>
      </c>
      <c r="AU767" t="s">
        <v>9</v>
      </c>
      <c r="AV767" t="s">
        <v>1489</v>
      </c>
      <c r="AW767" s="71">
        <v>1</v>
      </c>
      <c r="AX767">
        <v>0</v>
      </c>
      <c r="AY767">
        <v>0</v>
      </c>
      <c r="AZ767" s="71">
        <v>1</v>
      </c>
      <c r="BA767">
        <v>0</v>
      </c>
      <c r="BB767">
        <v>0</v>
      </c>
      <c r="BC767">
        <v>0</v>
      </c>
      <c r="BD767" s="144" t="s">
        <v>1540</v>
      </c>
      <c r="BF767" s="10"/>
      <c r="BG767"/>
    </row>
    <row r="768" spans="1:59" ht="14.25" customHeight="1" x14ac:dyDescent="0.25">
      <c r="A768" s="37" t="str">
        <f>LEFT(Scharniere[[#This Row],[ArtikelNR]],4)</f>
        <v>F045</v>
      </c>
      <c r="B768" s="35" t="str">
        <f>MID(Scharniere[[#This Row],[ArtikelNR]],5,3)</f>
        <v>138</v>
      </c>
      <c r="C768" s="37" t="str">
        <f>RIGHT(Scharniere[[#This Row],[ArtikelNR]],3)</f>
        <v>292</v>
      </c>
      <c r="D768" s="35">
        <f>IF(AND(Scharniere[[#This Row],[Gruppenschlüssel]]=select!$A$44,Scharniere[[#This Row],[Scharnierart]]=1)=TRUE,1,0)</f>
        <v>0</v>
      </c>
      <c r="E7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8" s="35">
        <f>IF(select!$F$57=IF(Scharniere[[#This Row],[mit Dämpfung]]=1,1,IF(Scharniere[[#This Row],[ohne Dämpfung]]=1,2,IF(Scharniere[[#This Row],[ohne Feder]]=1,3,0))),1,0)</f>
        <v>0</v>
      </c>
      <c r="G768" s="35">
        <f>IF(Scharniere[[#This Row],[Bohrbild]]=select!$V$43,1,0)</f>
        <v>0</v>
      </c>
      <c r="H768" s="35">
        <f>IF(IF(Scharniere[[#This Row],[Anschrauben]]=1,1,IF(Scharniere[[#This Row],[Einpressen]]=1,2,IF(Scharniere[[#This Row],[Quick]]=1,3,IF(Scharniere[[#This Row],[Werkzeuglos]]=1,4,0))))=select!$F$48,1,0)</f>
        <v>0</v>
      </c>
      <c r="I7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8" s="149">
        <f>IF(AND(Scharniere[[#This Row],[Scharnierart]]=2,Scharniere[[#This Row],[Gruppenschlüssel]]=select!$A$318)=TRUE,1,0)</f>
        <v>0</v>
      </c>
      <c r="K768" s="221">
        <f ca="1">IF(select!$O$424&lt;6,1,0)</f>
        <v>1</v>
      </c>
      <c r="L768" s="221">
        <f>IF(select!$A$362=IF(Scharniere[[#This Row],[mit Dämpfung]]=1,1,IF(Scharniere[[#This Row],[ohne Dämpfung]]=1,2,IF(Scharniere[[#This Row],[ohne Feder]]=1,3,0))),1,0)</f>
        <v>0</v>
      </c>
      <c r="M768" s="135">
        <f>IF(Scharniere[[#This Row],[Bohrbild]]=select!$O$334,1,0)</f>
        <v>0</v>
      </c>
      <c r="N768" s="135">
        <f>IF(IF(Scharniere[[#This Row],[Anschrauben]]=1,1,IF(Scharniere[[#This Row],[Einpressen]]=1,2,IF(Scharniere[[#This Row],[Quick]]=1,3,IF(Scharniere[[#This Row],[Werkzeuglos]]=1,4,0))))=select!$E$362,1,0)</f>
        <v>1</v>
      </c>
      <c r="O7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8" s="298">
        <f>IF(AND(Scharniere[[#This Row],[Scharnierart]]=3,Scharniere[[#This Row],[Gruppenschlüssel]]=select!$A$747)=TRUE,1,0)</f>
        <v>0</v>
      </c>
      <c r="Q768" s="298">
        <f ca="1">IF(select!$O$945&lt;6,1,0)</f>
        <v>1</v>
      </c>
      <c r="R768" s="298">
        <f>IF(select!$A$778=IF(Scharniere[[#This Row],[mit Dämpfung]]=1,1,IF(Scharniere[[#This Row],[ohne Dämpfung]]=1,2,IF(Scharniere[[#This Row],[ohne Feder]]=1,3,0))),1,0)</f>
        <v>1</v>
      </c>
      <c r="S768" s="298">
        <f>IF(Scharniere[[#This Row],[Bohrbild]]=select!$A$755,1,0)</f>
        <v>0</v>
      </c>
      <c r="T768" s="298">
        <f>IF(IF(Scharniere[[#This Row],[Anschrauben]]=1,1,IF(Scharniere[[#This Row],[Einpressen]]=1,2,IF(Scharniere[[#This Row],[Quick]]=1,3,IF(Scharniere[[#This Row],[Werkzeuglos]]=1,4,0))))=select!$A$769,1,0)</f>
        <v>1</v>
      </c>
      <c r="U7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8" s="359">
        <f>IF(AND(Scharniere[[#This Row],[Scharnierart]]=4,Scharniere[[#This Row],[Gruppenschlüssel]]=select!$A$981)=TRUE,1,0)</f>
        <v>0</v>
      </c>
      <c r="W768" s="359">
        <f ca="1">IF(select!$O$1185&lt;6,1,0)</f>
        <v>1</v>
      </c>
      <c r="X768" s="359">
        <f>IF(select!$A$1012=IF(Scharniere[[#This Row],[mit Dämpfung]]=1,1,IF(Scharniere[[#This Row],[ohne Dämpfung]]=1,2,IF(Scharniere[[#This Row],[ohne Feder]]=1,3,0))),1,0)</f>
        <v>1</v>
      </c>
      <c r="Y768" s="359">
        <f>IF(Scharniere[[#This Row],[Bohrbild]]=select!$A$989,1,0)</f>
        <v>0</v>
      </c>
      <c r="Z768" s="359">
        <f>IF(IF(Scharniere[[#This Row],[Anschrauben]]=1,1,IF(Scharniere[[#This Row],[Einpressen]]=1,2,IF(Scharniere[[#This Row],[Quick]]=1,3,IF(Scharniere[[#This Row],[Werkzeuglos]]=1,4,0))))=select!$A$1003,1,0)</f>
        <v>1</v>
      </c>
      <c r="AA7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8" s="359">
        <f ca="1">IF(select!$K$980="*",Scharniere[[#This Row],[AG Ges2]],Scharniere[[#This Row],[AG Ges1]])</f>
        <v>0</v>
      </c>
      <c r="AE768" s="451">
        <f ca="1">IF(AND(Scharniere[[#This Row],[Scharnierart]]=select!$A$1485,Scharniere[[#This Row],[Gruppenschlüssel]]=select!$B$1485)=TRUE,1,0)</f>
        <v>0</v>
      </c>
      <c r="AF768" s="451">
        <f ca="1">IF(AND(Scharniere[[#This Row],[Scharnierart]]=select!$A$1486,Scharniere[[#This Row],[Gruppenschlüssel]]=select!$B$1486)=TRUE,1,0)</f>
        <v>0</v>
      </c>
      <c r="AG768" s="451">
        <f ca="1">IF(AND(Scharniere[[#This Row],[Scharnierart]]=select!$A$1487,Scharniere[[#This Row],[Gruppenschlüssel]]=select!$B$1487)=TRUE,1,0)</f>
        <v>0</v>
      </c>
      <c r="AH768" s="451">
        <f ca="1">IF(AND(Scharniere[[#This Row],[Scharnierart]]=select!$A$1488,Scharniere[[#This Row],[Gruppenschlüssel]]=select!$B$1488)=TRUE,1,0)</f>
        <v>0</v>
      </c>
      <c r="AI768" s="451">
        <f ca="1">IF(SUM(Scharniere[[#This Row],[konf Scharnier 1]:[konf Scharnier 4]])&gt;0,1,0)</f>
        <v>0</v>
      </c>
      <c r="AJ768" s="451"/>
      <c r="AK768" s="451"/>
      <c r="AL768" s="451"/>
      <c r="AM768" s="451"/>
      <c r="AN768" s="451"/>
      <c r="AO768" s="146">
        <v>2</v>
      </c>
      <c r="AP768" s="146">
        <v>2</v>
      </c>
      <c r="AQ768" s="71" t="str">
        <f ca="1">Sprache!$A$118</f>
        <v>Tiomos Scharnier T Click-on</v>
      </c>
      <c r="AR768" t="str">
        <f ca="1">"110/90°, G-BB, "&amp;Sprache!$A$62&amp;" ni"</f>
        <v>110/90°, G-BB, einl. ni</v>
      </c>
      <c r="AS768" t="str">
        <f ca="1">Sprache!$A$103</f>
        <v>Tiomos Click-On Scharniere</v>
      </c>
      <c r="AT768" t="s">
        <v>1264</v>
      </c>
      <c r="AU768" t="s">
        <v>9</v>
      </c>
      <c r="AV768" t="s">
        <v>1489</v>
      </c>
      <c r="AW768" s="71">
        <v>0</v>
      </c>
      <c r="AX768">
        <v>1</v>
      </c>
      <c r="AY768">
        <v>0</v>
      </c>
      <c r="AZ768" s="71">
        <v>1</v>
      </c>
      <c r="BA768">
        <v>0</v>
      </c>
      <c r="BB768">
        <v>0</v>
      </c>
      <c r="BC768">
        <v>0</v>
      </c>
      <c r="BD768" s="144" t="s">
        <v>1641</v>
      </c>
      <c r="BF768" s="10"/>
      <c r="BG768"/>
    </row>
    <row r="769" spans="1:59" ht="14.25" customHeight="1" x14ac:dyDescent="0.25">
      <c r="A769" s="37" t="str">
        <f>LEFT(Scharniere[[#This Row],[ArtikelNR]],4)</f>
        <v>F046</v>
      </c>
      <c r="B769" s="35" t="str">
        <f>MID(Scharniere[[#This Row],[ArtikelNR]],5,3)</f>
        <v>138</v>
      </c>
      <c r="C769" s="37" t="str">
        <f>RIGHT(Scharniere[[#This Row],[ArtikelNR]],3)</f>
        <v>414</v>
      </c>
      <c r="D769" s="35">
        <f>IF(AND(Scharniere[[#This Row],[Gruppenschlüssel]]=select!$A$44,Scharniere[[#This Row],[Scharnierart]]=1)=TRUE,1,0)</f>
        <v>0</v>
      </c>
      <c r="E7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69" s="35">
        <f>IF(select!$F$57=IF(Scharniere[[#This Row],[mit Dämpfung]]=1,1,IF(Scharniere[[#This Row],[ohne Dämpfung]]=1,2,IF(Scharniere[[#This Row],[ohne Feder]]=1,3,0))),1,0)</f>
        <v>1</v>
      </c>
      <c r="G769" s="35">
        <f>IF(Scharniere[[#This Row],[Bohrbild]]=select!$V$43,1,0)</f>
        <v>0</v>
      </c>
      <c r="H769" s="35">
        <f>IF(IF(Scharniere[[#This Row],[Anschrauben]]=1,1,IF(Scharniere[[#This Row],[Einpressen]]=1,2,IF(Scharniere[[#This Row],[Quick]]=1,3,IF(Scharniere[[#This Row],[Werkzeuglos]]=1,4,0))))=select!$F$48,1,0)</f>
        <v>0</v>
      </c>
      <c r="I7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69" s="149">
        <f>IF(AND(Scharniere[[#This Row],[Scharnierart]]=2,Scharniere[[#This Row],[Gruppenschlüssel]]=select!$A$318)=TRUE,1,0)</f>
        <v>0</v>
      </c>
      <c r="K769" s="221">
        <f ca="1">IF(select!$O$424&lt;6,1,0)</f>
        <v>1</v>
      </c>
      <c r="L769" s="221">
        <f>IF(select!$A$362=IF(Scharniere[[#This Row],[mit Dämpfung]]=1,1,IF(Scharniere[[#This Row],[ohne Dämpfung]]=1,2,IF(Scharniere[[#This Row],[ohne Feder]]=1,3,0))),1,0)</f>
        <v>0</v>
      </c>
      <c r="M769" s="135">
        <f>IF(Scharniere[[#This Row],[Bohrbild]]=select!$O$334,1,0)</f>
        <v>0</v>
      </c>
      <c r="N769" s="135">
        <f>IF(IF(Scharniere[[#This Row],[Anschrauben]]=1,1,IF(Scharniere[[#This Row],[Einpressen]]=1,2,IF(Scharniere[[#This Row],[Quick]]=1,3,IF(Scharniere[[#This Row],[Werkzeuglos]]=1,4,0))))=select!$E$362,1,0)</f>
        <v>1</v>
      </c>
      <c r="O7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69" s="298">
        <f>IF(AND(Scharniere[[#This Row],[Scharnierart]]=3,Scharniere[[#This Row],[Gruppenschlüssel]]=select!$A$747)=TRUE,1,0)</f>
        <v>0</v>
      </c>
      <c r="Q769" s="298">
        <f ca="1">IF(select!$O$945&lt;6,1,0)</f>
        <v>1</v>
      </c>
      <c r="R769" s="298">
        <f>IF(select!$A$778=IF(Scharniere[[#This Row],[mit Dämpfung]]=1,1,IF(Scharniere[[#This Row],[ohne Dämpfung]]=1,2,IF(Scharniere[[#This Row],[ohne Feder]]=1,3,0))),1,0)</f>
        <v>0</v>
      </c>
      <c r="S769" s="298">
        <f>IF(Scharniere[[#This Row],[Bohrbild]]=select!$A$755,1,0)</f>
        <v>0</v>
      </c>
      <c r="T769" s="298">
        <f>IF(IF(Scharniere[[#This Row],[Anschrauben]]=1,1,IF(Scharniere[[#This Row],[Einpressen]]=1,2,IF(Scharniere[[#This Row],[Quick]]=1,3,IF(Scharniere[[#This Row],[Werkzeuglos]]=1,4,0))))=select!$A$769,1,0)</f>
        <v>1</v>
      </c>
      <c r="U7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69" s="359">
        <f>IF(AND(Scharniere[[#This Row],[Scharnierart]]=4,Scharniere[[#This Row],[Gruppenschlüssel]]=select!$A$981)=TRUE,1,0)</f>
        <v>0</v>
      </c>
      <c r="W769" s="359">
        <f ca="1">IF(select!$O$1185&lt;6,1,0)</f>
        <v>1</v>
      </c>
      <c r="X769" s="359">
        <f>IF(select!$A$1012=IF(Scharniere[[#This Row],[mit Dämpfung]]=1,1,IF(Scharniere[[#This Row],[ohne Dämpfung]]=1,2,IF(Scharniere[[#This Row],[ohne Feder]]=1,3,0))),1,0)</f>
        <v>0</v>
      </c>
      <c r="Y769" s="359">
        <f>IF(Scharniere[[#This Row],[Bohrbild]]=select!$A$989,1,0)</f>
        <v>0</v>
      </c>
      <c r="Z769" s="359">
        <f>IF(IF(Scharniere[[#This Row],[Anschrauben]]=1,1,IF(Scharniere[[#This Row],[Einpressen]]=1,2,IF(Scharniere[[#This Row],[Quick]]=1,3,IF(Scharniere[[#This Row],[Werkzeuglos]]=1,4,0))))=select!$A$1003,1,0)</f>
        <v>1</v>
      </c>
      <c r="AA7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69" s="359">
        <f ca="1">IF(select!$K$980="*",Scharniere[[#This Row],[AG Ges2]],Scharniere[[#This Row],[AG Ges1]])</f>
        <v>0</v>
      </c>
      <c r="AE769" s="451">
        <f ca="1">IF(AND(Scharniere[[#This Row],[Scharnierart]]=select!$A$1485,Scharniere[[#This Row],[Gruppenschlüssel]]=select!$B$1485)=TRUE,1,0)</f>
        <v>0</v>
      </c>
      <c r="AF769" s="451">
        <f ca="1">IF(AND(Scharniere[[#This Row],[Scharnierart]]=select!$A$1486,Scharniere[[#This Row],[Gruppenschlüssel]]=select!$B$1486)=TRUE,1,0)</f>
        <v>0</v>
      </c>
      <c r="AG769" s="451">
        <f ca="1">IF(AND(Scharniere[[#This Row],[Scharnierart]]=select!$A$1487,Scharniere[[#This Row],[Gruppenschlüssel]]=select!$B$1487)=TRUE,1,0)</f>
        <v>0</v>
      </c>
      <c r="AH769" s="451">
        <f ca="1">IF(AND(Scharniere[[#This Row],[Scharnierart]]=select!$A$1488,Scharniere[[#This Row],[Gruppenschlüssel]]=select!$B$1488)=TRUE,1,0)</f>
        <v>0</v>
      </c>
      <c r="AI769" s="451">
        <f ca="1">IF(SUM(Scharniere[[#This Row],[konf Scharnier 1]:[konf Scharnier 4]])&gt;0,1,0)</f>
        <v>0</v>
      </c>
      <c r="AJ769" s="451"/>
      <c r="AK769" s="451"/>
      <c r="AL769" s="451"/>
      <c r="AM769" s="451"/>
      <c r="AN769" s="451"/>
      <c r="AO769" s="146">
        <v>2</v>
      </c>
      <c r="AP769" s="146">
        <v>2</v>
      </c>
      <c r="AQ769" s="71" t="str">
        <f ca="1">Sprache!$A$114</f>
        <v>Tiomos Scharnier TT Click-on</v>
      </c>
      <c r="AR769" t="str">
        <f ca="1">"110/90°, G-BB, "&amp;Sprache!$A$62&amp;" ni"</f>
        <v>110/90°, G-BB, einl. ni</v>
      </c>
      <c r="AS769" t="str">
        <f ca="1">Sprache!$A$103</f>
        <v>Tiomos Click-On Scharniere</v>
      </c>
      <c r="AT769" t="s">
        <v>1264</v>
      </c>
      <c r="AU769" t="s">
        <v>9</v>
      </c>
      <c r="AV769" t="s">
        <v>1489</v>
      </c>
      <c r="AW769" s="71">
        <v>0</v>
      </c>
      <c r="AX769">
        <v>0</v>
      </c>
      <c r="AY769">
        <v>1</v>
      </c>
      <c r="AZ769" s="71">
        <v>1</v>
      </c>
      <c r="BA769">
        <v>0</v>
      </c>
      <c r="BB769">
        <v>0</v>
      </c>
      <c r="BC769">
        <v>0</v>
      </c>
      <c r="BD769" s="144" t="s">
        <v>1717</v>
      </c>
      <c r="BF769" s="10"/>
      <c r="BG769"/>
    </row>
    <row r="770" spans="1:59" ht="14.25" customHeight="1" x14ac:dyDescent="0.25">
      <c r="A770" s="37" t="str">
        <f>LEFT(Scharniere[[#This Row],[ArtikelNR]],4)</f>
        <v>F017</v>
      </c>
      <c r="B770" s="35" t="str">
        <f>MID(Scharniere[[#This Row],[ArtikelNR]],5,3)</f>
        <v>139</v>
      </c>
      <c r="C770" s="37" t="str">
        <f>RIGHT(Scharniere[[#This Row],[ArtikelNR]],3)</f>
        <v>427</v>
      </c>
      <c r="D770" s="35">
        <f>IF(AND(Scharniere[[#This Row],[Gruppenschlüssel]]=select!$A$44,Scharniere[[#This Row],[Scharnierart]]=1)=TRUE,1,0)</f>
        <v>0</v>
      </c>
      <c r="E7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0" s="35">
        <f>IF(select!$F$57=IF(Scharniere[[#This Row],[mit Dämpfung]]=1,1,IF(Scharniere[[#This Row],[ohne Dämpfung]]=1,2,IF(Scharniere[[#This Row],[ohne Feder]]=1,3,0))),1,0)</f>
        <v>0</v>
      </c>
      <c r="G770" s="35">
        <f>IF(Scharniere[[#This Row],[Bohrbild]]=select!$V$43,1,0)</f>
        <v>0</v>
      </c>
      <c r="H770" s="35">
        <f>IF(IF(Scharniere[[#This Row],[Anschrauben]]=1,1,IF(Scharniere[[#This Row],[Einpressen]]=1,2,IF(Scharniere[[#This Row],[Quick]]=1,3,IF(Scharniere[[#This Row],[Werkzeuglos]]=1,4,0))))=select!$F$48,1,0)</f>
        <v>0</v>
      </c>
      <c r="I7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0" s="149">
        <f>IF(AND(Scharniere[[#This Row],[Scharnierart]]=2,Scharniere[[#This Row],[Gruppenschlüssel]]=select!$A$318)=TRUE,1,0)</f>
        <v>0</v>
      </c>
      <c r="K770" s="221">
        <f ca="1">IF(select!$O$424&lt;6,1,0)</f>
        <v>1</v>
      </c>
      <c r="L770" s="221">
        <f>IF(select!$A$362=IF(Scharniere[[#This Row],[mit Dämpfung]]=1,1,IF(Scharniere[[#This Row],[ohne Dämpfung]]=1,2,IF(Scharniere[[#This Row],[ohne Feder]]=1,3,0))),1,0)</f>
        <v>1</v>
      </c>
      <c r="M770" s="135">
        <f>IF(Scharniere[[#This Row],[Bohrbild]]=select!$O$334,1,0)</f>
        <v>0</v>
      </c>
      <c r="N770" s="135">
        <f>IF(IF(Scharniere[[#This Row],[Anschrauben]]=1,1,IF(Scharniere[[#This Row],[Einpressen]]=1,2,IF(Scharniere[[#This Row],[Quick]]=1,3,IF(Scharniere[[#This Row],[Werkzeuglos]]=1,4,0))))=select!$E$362,1,0)</f>
        <v>0</v>
      </c>
      <c r="O7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0" s="298">
        <f>IF(AND(Scharniere[[#This Row],[Scharnierart]]=3,Scharniere[[#This Row],[Gruppenschlüssel]]=select!$A$747)=TRUE,1,0)</f>
        <v>0</v>
      </c>
      <c r="Q770" s="298">
        <f ca="1">IF(select!$O$945&lt;6,1,0)</f>
        <v>1</v>
      </c>
      <c r="R770" s="298">
        <f>IF(select!$A$778=IF(Scharniere[[#This Row],[mit Dämpfung]]=1,1,IF(Scharniere[[#This Row],[ohne Dämpfung]]=1,2,IF(Scharniere[[#This Row],[ohne Feder]]=1,3,0))),1,0)</f>
        <v>0</v>
      </c>
      <c r="S770" s="298">
        <f>IF(Scharniere[[#This Row],[Bohrbild]]=select!$A$755,1,0)</f>
        <v>0</v>
      </c>
      <c r="T770" s="298">
        <f>IF(IF(Scharniere[[#This Row],[Anschrauben]]=1,1,IF(Scharniere[[#This Row],[Einpressen]]=1,2,IF(Scharniere[[#This Row],[Quick]]=1,3,IF(Scharniere[[#This Row],[Werkzeuglos]]=1,4,0))))=select!$A$769,1,0)</f>
        <v>0</v>
      </c>
      <c r="U7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0" s="359">
        <f>IF(AND(Scharniere[[#This Row],[Scharnierart]]=4,Scharniere[[#This Row],[Gruppenschlüssel]]=select!$A$981)=TRUE,1,0)</f>
        <v>0</v>
      </c>
      <c r="W770" s="359">
        <f ca="1">IF(select!$O$1185&lt;6,1,0)</f>
        <v>1</v>
      </c>
      <c r="X770" s="359">
        <f>IF(select!$A$1012=IF(Scharniere[[#This Row],[mit Dämpfung]]=1,1,IF(Scharniere[[#This Row],[ohne Dämpfung]]=1,2,IF(Scharniere[[#This Row],[ohne Feder]]=1,3,0))),1,0)</f>
        <v>0</v>
      </c>
      <c r="Y770" s="359">
        <f>IF(Scharniere[[#This Row],[Bohrbild]]=select!$A$989,1,0)</f>
        <v>0</v>
      </c>
      <c r="Z770" s="359">
        <f>IF(IF(Scharniere[[#This Row],[Anschrauben]]=1,1,IF(Scharniere[[#This Row],[Einpressen]]=1,2,IF(Scharniere[[#This Row],[Quick]]=1,3,IF(Scharniere[[#This Row],[Werkzeuglos]]=1,4,0))))=select!$A$1003,1,0)</f>
        <v>0</v>
      </c>
      <c r="AA7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0" s="359">
        <f ca="1">IF(select!$K$980="*",Scharniere[[#This Row],[AG Ges2]],Scharniere[[#This Row],[AG Ges1]])</f>
        <v>0</v>
      </c>
      <c r="AE770" s="451">
        <f ca="1">IF(AND(Scharniere[[#This Row],[Scharnierart]]=select!$A$1485,Scharniere[[#This Row],[Gruppenschlüssel]]=select!$B$1485)=TRUE,1,0)</f>
        <v>0</v>
      </c>
      <c r="AF770" s="451">
        <f ca="1">IF(AND(Scharniere[[#This Row],[Scharnierart]]=select!$A$1486,Scharniere[[#This Row],[Gruppenschlüssel]]=select!$B$1486)=TRUE,1,0)</f>
        <v>0</v>
      </c>
      <c r="AG770" s="451">
        <f ca="1">IF(AND(Scharniere[[#This Row],[Scharnierart]]=select!$A$1487,Scharniere[[#This Row],[Gruppenschlüssel]]=select!$B$1487)=TRUE,1,0)</f>
        <v>0</v>
      </c>
      <c r="AH770" s="451">
        <f ca="1">IF(AND(Scharniere[[#This Row],[Scharnierart]]=select!$A$1488,Scharniere[[#This Row],[Gruppenschlüssel]]=select!$B$1488)=TRUE,1,0)</f>
        <v>0</v>
      </c>
      <c r="AI770" s="451">
        <f ca="1">IF(SUM(Scharniere[[#This Row],[konf Scharnier 1]:[konf Scharnier 4]])&gt;0,1,0)</f>
        <v>0</v>
      </c>
      <c r="AJ770" s="451"/>
      <c r="AK770" s="451"/>
      <c r="AL770" s="451"/>
      <c r="AM770" s="451"/>
      <c r="AN770" s="451"/>
      <c r="AO770" s="146">
        <v>2</v>
      </c>
      <c r="AP770" s="146">
        <v>2</v>
      </c>
      <c r="AQ770" s="71" t="str">
        <f ca="1">Sprache!$A$113</f>
        <v>Tiomos Scharnier TS Impresso</v>
      </c>
      <c r="AR770" t="str">
        <f ca="1">"110/90°, GB-BB, "&amp;Sprache!$A$62&amp;" ni"</f>
        <v>110/90°, GB-BB, einl. ni</v>
      </c>
      <c r="AS770" t="str">
        <f ca="1">Sprache!$A$116</f>
        <v>Tiomos Impresso Scharniere</v>
      </c>
      <c r="AT770" t="s">
        <v>1264</v>
      </c>
      <c r="AU770" t="s">
        <v>9</v>
      </c>
      <c r="AV770" t="s">
        <v>1489</v>
      </c>
      <c r="AW770" s="71">
        <v>1</v>
      </c>
      <c r="AX770">
        <v>0</v>
      </c>
      <c r="AY770">
        <v>0</v>
      </c>
      <c r="AZ770" s="71">
        <v>0</v>
      </c>
      <c r="BA770">
        <v>0</v>
      </c>
      <c r="BB770">
        <v>0</v>
      </c>
      <c r="BC770">
        <v>1</v>
      </c>
      <c r="BD770" s="144" t="s">
        <v>1507</v>
      </c>
      <c r="BF770" s="10"/>
      <c r="BG770"/>
    </row>
    <row r="771" spans="1:59" ht="14.25" customHeight="1" x14ac:dyDescent="0.25">
      <c r="A771" s="37" t="str">
        <f>LEFT(Scharniere[[#This Row],[ArtikelNR]],4)</f>
        <v>F017</v>
      </c>
      <c r="B771" s="35" t="str">
        <f>MID(Scharniere[[#This Row],[ArtikelNR]],5,3)</f>
        <v>139</v>
      </c>
      <c r="C771" s="37" t="str">
        <f>RIGHT(Scharniere[[#This Row],[ArtikelNR]],3)</f>
        <v>427</v>
      </c>
      <c r="D771" s="35">
        <f>IF(AND(Scharniere[[#This Row],[Gruppenschlüssel]]=select!$A$44,Scharniere[[#This Row],[Scharnierart]]=1)=TRUE,1,0)</f>
        <v>0</v>
      </c>
      <c r="E7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1" s="35">
        <f>IF(select!$F$57=IF(Scharniere[[#This Row],[mit Dämpfung]]=1,1,IF(Scharniere[[#This Row],[ohne Dämpfung]]=1,2,IF(Scharniere[[#This Row],[ohne Feder]]=1,3,0))),1,0)</f>
        <v>0</v>
      </c>
      <c r="G771" s="35">
        <f>IF(Scharniere[[#This Row],[Bohrbild]]=select!$V$43,1,0)</f>
        <v>0</v>
      </c>
      <c r="H771" s="35">
        <f>IF(IF(Scharniere[[#This Row],[Anschrauben]]=1,1,IF(Scharniere[[#This Row],[Einpressen]]=1,2,IF(Scharniere[[#This Row],[Quick]]=1,3,IF(Scharniere[[#This Row],[Werkzeuglos]]=1,4,0))))=select!$F$48,1,0)</f>
        <v>0</v>
      </c>
      <c r="I7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1" s="149">
        <f>IF(AND(Scharniere[[#This Row],[Scharnierart]]=2,Scharniere[[#This Row],[Gruppenschlüssel]]=select!$A$318)=TRUE,1,0)</f>
        <v>0</v>
      </c>
      <c r="K771" s="221">
        <f ca="1">IF(select!$O$424&lt;6,1,0)</f>
        <v>1</v>
      </c>
      <c r="L771" s="221">
        <f>IF(select!$A$362=IF(Scharniere[[#This Row],[mit Dämpfung]]=1,1,IF(Scharniere[[#This Row],[ohne Dämpfung]]=1,2,IF(Scharniere[[#This Row],[ohne Feder]]=1,3,0))),1,0)</f>
        <v>1</v>
      </c>
      <c r="M771" s="135">
        <f>IF(Scharniere[[#This Row],[Bohrbild]]=select!$O$334,1,0)</f>
        <v>0</v>
      </c>
      <c r="N771" s="135">
        <f>IF(IF(Scharniere[[#This Row],[Anschrauben]]=1,1,IF(Scharniere[[#This Row],[Einpressen]]=1,2,IF(Scharniere[[#This Row],[Quick]]=1,3,IF(Scharniere[[#This Row],[Werkzeuglos]]=1,4,0))))=select!$E$362,1,0)</f>
        <v>0</v>
      </c>
      <c r="O7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1" s="298">
        <f>IF(AND(Scharniere[[#This Row],[Scharnierart]]=3,Scharniere[[#This Row],[Gruppenschlüssel]]=select!$A$747)=TRUE,1,0)</f>
        <v>0</v>
      </c>
      <c r="Q771" s="298">
        <f ca="1">IF(select!$O$945&lt;6,1,0)</f>
        <v>1</v>
      </c>
      <c r="R771" s="298">
        <f>IF(select!$A$778=IF(Scharniere[[#This Row],[mit Dämpfung]]=1,1,IF(Scharniere[[#This Row],[ohne Dämpfung]]=1,2,IF(Scharniere[[#This Row],[ohne Feder]]=1,3,0))),1,0)</f>
        <v>0</v>
      </c>
      <c r="S771" s="298">
        <f>IF(Scharniere[[#This Row],[Bohrbild]]=select!$A$755,1,0)</f>
        <v>0</v>
      </c>
      <c r="T771" s="298">
        <f>IF(IF(Scharniere[[#This Row],[Anschrauben]]=1,1,IF(Scharniere[[#This Row],[Einpressen]]=1,2,IF(Scharniere[[#This Row],[Quick]]=1,3,IF(Scharniere[[#This Row],[Werkzeuglos]]=1,4,0))))=select!$A$769,1,0)</f>
        <v>0</v>
      </c>
      <c r="U7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1" s="359">
        <f>IF(AND(Scharniere[[#This Row],[Scharnierart]]=4,Scharniere[[#This Row],[Gruppenschlüssel]]=select!$A$981)=TRUE,1,0)</f>
        <v>0</v>
      </c>
      <c r="W771" s="359">
        <f ca="1">IF(select!$O$1185&lt;6,1,0)</f>
        <v>1</v>
      </c>
      <c r="X771" s="359">
        <f>IF(select!$A$1012=IF(Scharniere[[#This Row],[mit Dämpfung]]=1,1,IF(Scharniere[[#This Row],[ohne Dämpfung]]=1,2,IF(Scharniere[[#This Row],[ohne Feder]]=1,3,0))),1,0)</f>
        <v>0</v>
      </c>
      <c r="Y771" s="359">
        <f>IF(Scharniere[[#This Row],[Bohrbild]]=select!$A$989,1,0)</f>
        <v>0</v>
      </c>
      <c r="Z771" s="359">
        <f>IF(IF(Scharniere[[#This Row],[Anschrauben]]=1,1,IF(Scharniere[[#This Row],[Einpressen]]=1,2,IF(Scharniere[[#This Row],[Quick]]=1,3,IF(Scharniere[[#This Row],[Werkzeuglos]]=1,4,0))))=select!$A$1003,1,0)</f>
        <v>0</v>
      </c>
      <c r="AA7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1" s="359">
        <f ca="1">IF(select!$K$980="*",Scharniere[[#This Row],[AG Ges2]],Scharniere[[#This Row],[AG Ges1]])</f>
        <v>0</v>
      </c>
      <c r="AE771" s="451">
        <f ca="1">IF(AND(Scharniere[[#This Row],[Scharnierart]]=select!$A$1485,Scharniere[[#This Row],[Gruppenschlüssel]]=select!$B$1485)=TRUE,1,0)</f>
        <v>0</v>
      </c>
      <c r="AF771" s="451">
        <f ca="1">IF(AND(Scharniere[[#This Row],[Scharnierart]]=select!$A$1486,Scharniere[[#This Row],[Gruppenschlüssel]]=select!$B$1486)=TRUE,1,0)</f>
        <v>0</v>
      </c>
      <c r="AG771" s="451">
        <f ca="1">IF(AND(Scharniere[[#This Row],[Scharnierart]]=select!$A$1487,Scharniere[[#This Row],[Gruppenschlüssel]]=select!$B$1487)=TRUE,1,0)</f>
        <v>0</v>
      </c>
      <c r="AH771" s="451">
        <f ca="1">IF(AND(Scharniere[[#This Row],[Scharnierart]]=select!$A$1488,Scharniere[[#This Row],[Gruppenschlüssel]]=select!$B$1488)=TRUE,1,0)</f>
        <v>0</v>
      </c>
      <c r="AI771" s="451">
        <f ca="1">IF(SUM(Scharniere[[#This Row],[konf Scharnier 1]:[konf Scharnier 4]])&gt;0,1,0)</f>
        <v>0</v>
      </c>
      <c r="AJ771" s="451"/>
      <c r="AK771" s="451"/>
      <c r="AL771" s="451"/>
      <c r="AM771" s="451"/>
      <c r="AN771" s="451"/>
      <c r="AO771" s="146">
        <v>2</v>
      </c>
      <c r="AP771" s="146">
        <v>2</v>
      </c>
      <c r="AQ771" s="71" t="str">
        <f ca="1">Sprache!$A$113</f>
        <v>Tiomos Scharnier TS Impresso</v>
      </c>
      <c r="AR771" t="str">
        <f ca="1">"110/90°, GB-BB, "&amp;Sprache!$A$62&amp;" ni"</f>
        <v>110/90°, GB-BB, einl. ni</v>
      </c>
      <c r="AS771" t="str">
        <f ca="1">Sprache!$A$116</f>
        <v>Tiomos Impresso Scharniere</v>
      </c>
      <c r="AT771" t="s">
        <v>1264</v>
      </c>
      <c r="AU771" t="s">
        <v>3</v>
      </c>
      <c r="AV771" t="s">
        <v>1489</v>
      </c>
      <c r="AW771" s="71">
        <v>1</v>
      </c>
      <c r="AX771">
        <v>0</v>
      </c>
      <c r="AY771">
        <v>0</v>
      </c>
      <c r="AZ771" s="71">
        <v>0</v>
      </c>
      <c r="BA771">
        <v>0</v>
      </c>
      <c r="BB771">
        <v>0</v>
      </c>
      <c r="BC771">
        <v>1</v>
      </c>
      <c r="BD771" s="144" t="s">
        <v>1507</v>
      </c>
      <c r="BF771" s="10"/>
      <c r="BG771"/>
    </row>
    <row r="772" spans="1:59" ht="14.25" customHeight="1" x14ac:dyDescent="0.25">
      <c r="A772" s="37" t="str">
        <f>LEFT(Scharniere[[#This Row],[ArtikelNR]],4)</f>
        <v>F034</v>
      </c>
      <c r="B772" s="35" t="str">
        <f>MID(Scharniere[[#This Row],[ArtikelNR]],5,3)</f>
        <v>139</v>
      </c>
      <c r="C772" s="37" t="str">
        <f>RIGHT(Scharniere[[#This Row],[ArtikelNR]],3)</f>
        <v>398</v>
      </c>
      <c r="D772" s="35">
        <f>IF(AND(Scharniere[[#This Row],[Gruppenschlüssel]]=select!$A$44,Scharniere[[#This Row],[Scharnierart]]=1)=TRUE,1,0)</f>
        <v>0</v>
      </c>
      <c r="E7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2" s="35">
        <f>IF(select!$F$57=IF(Scharniere[[#This Row],[mit Dämpfung]]=1,1,IF(Scharniere[[#This Row],[ohne Dämpfung]]=1,2,IF(Scharniere[[#This Row],[ohne Feder]]=1,3,0))),1,0)</f>
        <v>0</v>
      </c>
      <c r="G772" s="35">
        <f>IF(Scharniere[[#This Row],[Bohrbild]]=select!$V$43,1,0)</f>
        <v>0</v>
      </c>
      <c r="H772" s="35">
        <f>IF(IF(Scharniere[[#This Row],[Anschrauben]]=1,1,IF(Scharniere[[#This Row],[Einpressen]]=1,2,IF(Scharniere[[#This Row],[Quick]]=1,3,IF(Scharniere[[#This Row],[Werkzeuglos]]=1,4,0))))=select!$F$48,1,0)</f>
        <v>0</v>
      </c>
      <c r="I7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2" s="149">
        <f>IF(AND(Scharniere[[#This Row],[Scharnierart]]=2,Scharniere[[#This Row],[Gruppenschlüssel]]=select!$A$318)=TRUE,1,0)</f>
        <v>0</v>
      </c>
      <c r="K772" s="221">
        <f ca="1">IF(select!$O$424&lt;6,1,0)</f>
        <v>1</v>
      </c>
      <c r="L772" s="221">
        <f>IF(select!$A$362=IF(Scharniere[[#This Row],[mit Dämpfung]]=1,1,IF(Scharniere[[#This Row],[ohne Dämpfung]]=1,2,IF(Scharniere[[#This Row],[ohne Feder]]=1,3,0))),1,0)</f>
        <v>0</v>
      </c>
      <c r="M772" s="135">
        <f>IF(Scharniere[[#This Row],[Bohrbild]]=select!$O$334,1,0)</f>
        <v>0</v>
      </c>
      <c r="N772" s="135">
        <f>IF(IF(Scharniere[[#This Row],[Anschrauben]]=1,1,IF(Scharniere[[#This Row],[Einpressen]]=1,2,IF(Scharniere[[#This Row],[Quick]]=1,3,IF(Scharniere[[#This Row],[Werkzeuglos]]=1,4,0))))=select!$E$362,1,0)</f>
        <v>0</v>
      </c>
      <c r="O7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2" s="298">
        <f>IF(AND(Scharniere[[#This Row],[Scharnierart]]=3,Scharniere[[#This Row],[Gruppenschlüssel]]=select!$A$747)=TRUE,1,0)</f>
        <v>0</v>
      </c>
      <c r="Q772" s="298">
        <f ca="1">IF(select!$O$945&lt;6,1,0)</f>
        <v>1</v>
      </c>
      <c r="R772" s="298">
        <f>IF(select!$A$778=IF(Scharniere[[#This Row],[mit Dämpfung]]=1,1,IF(Scharniere[[#This Row],[ohne Dämpfung]]=1,2,IF(Scharniere[[#This Row],[ohne Feder]]=1,3,0))),1,0)</f>
        <v>1</v>
      </c>
      <c r="S772" s="298">
        <f>IF(Scharniere[[#This Row],[Bohrbild]]=select!$A$755,1,0)</f>
        <v>0</v>
      </c>
      <c r="T772" s="298">
        <f>IF(IF(Scharniere[[#This Row],[Anschrauben]]=1,1,IF(Scharniere[[#This Row],[Einpressen]]=1,2,IF(Scharniere[[#This Row],[Quick]]=1,3,IF(Scharniere[[#This Row],[Werkzeuglos]]=1,4,0))))=select!$A$769,1,0)</f>
        <v>0</v>
      </c>
      <c r="U7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2" s="359">
        <f>IF(AND(Scharniere[[#This Row],[Scharnierart]]=4,Scharniere[[#This Row],[Gruppenschlüssel]]=select!$A$981)=TRUE,1,0)</f>
        <v>0</v>
      </c>
      <c r="W772" s="359">
        <f ca="1">IF(select!$O$1185&lt;6,1,0)</f>
        <v>1</v>
      </c>
      <c r="X772" s="359">
        <f>IF(select!$A$1012=IF(Scharniere[[#This Row],[mit Dämpfung]]=1,1,IF(Scharniere[[#This Row],[ohne Dämpfung]]=1,2,IF(Scharniere[[#This Row],[ohne Feder]]=1,3,0))),1,0)</f>
        <v>1</v>
      </c>
      <c r="Y772" s="359">
        <f>IF(Scharniere[[#This Row],[Bohrbild]]=select!$A$989,1,0)</f>
        <v>0</v>
      </c>
      <c r="Z772" s="359">
        <f>IF(IF(Scharniere[[#This Row],[Anschrauben]]=1,1,IF(Scharniere[[#This Row],[Einpressen]]=1,2,IF(Scharniere[[#This Row],[Quick]]=1,3,IF(Scharniere[[#This Row],[Werkzeuglos]]=1,4,0))))=select!$A$1003,1,0)</f>
        <v>0</v>
      </c>
      <c r="AA7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2" s="359">
        <f ca="1">IF(select!$K$980="*",Scharniere[[#This Row],[AG Ges2]],Scharniere[[#This Row],[AG Ges1]])</f>
        <v>0</v>
      </c>
      <c r="AE772" s="451">
        <f ca="1">IF(AND(Scharniere[[#This Row],[Scharnierart]]=select!$A$1485,Scharniere[[#This Row],[Gruppenschlüssel]]=select!$B$1485)=TRUE,1,0)</f>
        <v>0</v>
      </c>
      <c r="AF772" s="451">
        <f ca="1">IF(AND(Scharniere[[#This Row],[Scharnierart]]=select!$A$1486,Scharniere[[#This Row],[Gruppenschlüssel]]=select!$B$1486)=TRUE,1,0)</f>
        <v>0</v>
      </c>
      <c r="AG772" s="451">
        <f ca="1">IF(AND(Scharniere[[#This Row],[Scharnierart]]=select!$A$1487,Scharniere[[#This Row],[Gruppenschlüssel]]=select!$B$1487)=TRUE,1,0)</f>
        <v>0</v>
      </c>
      <c r="AH772" s="451">
        <f ca="1">IF(AND(Scharniere[[#This Row],[Scharnierart]]=select!$A$1488,Scharniere[[#This Row],[Gruppenschlüssel]]=select!$B$1488)=TRUE,1,0)</f>
        <v>0</v>
      </c>
      <c r="AI772" s="451">
        <f ca="1">IF(SUM(Scharniere[[#This Row],[konf Scharnier 1]:[konf Scharnier 4]])&gt;0,1,0)</f>
        <v>0</v>
      </c>
      <c r="AJ772" s="451"/>
      <c r="AK772" s="451"/>
      <c r="AL772" s="451"/>
      <c r="AM772" s="451"/>
      <c r="AN772" s="451"/>
      <c r="AO772" s="146">
        <v>2</v>
      </c>
      <c r="AP772" s="146">
        <v>2</v>
      </c>
      <c r="AQ772" s="71" t="str">
        <f ca="1">Sprache!$A$119</f>
        <v>Tiomos Scharnier T Impresso</v>
      </c>
      <c r="AR772" t="str">
        <f ca="1">"110/90°, GB-BB, "&amp;Sprache!$A$62&amp;" ni"</f>
        <v>110/90°, GB-BB, einl. ni</v>
      </c>
      <c r="AS772" t="str">
        <f ca="1">Sprache!$A$103</f>
        <v>Tiomos Click-On Scharniere</v>
      </c>
      <c r="AT772" t="s">
        <v>1264</v>
      </c>
      <c r="AU772" t="s">
        <v>9</v>
      </c>
      <c r="AV772" t="s">
        <v>1489</v>
      </c>
      <c r="AW772" s="71">
        <v>0</v>
      </c>
      <c r="AX772">
        <v>1</v>
      </c>
      <c r="AY772">
        <v>0</v>
      </c>
      <c r="AZ772" s="71">
        <v>0</v>
      </c>
      <c r="BA772">
        <v>0</v>
      </c>
      <c r="BB772">
        <v>0</v>
      </c>
      <c r="BC772">
        <v>1</v>
      </c>
      <c r="BD772" s="144" t="s">
        <v>1763</v>
      </c>
      <c r="BF772" s="10"/>
      <c r="BG772"/>
    </row>
    <row r="773" spans="1:59" ht="14.25" customHeight="1" x14ac:dyDescent="0.25">
      <c r="A773" s="37" t="str">
        <f>LEFT(Scharniere[[#This Row],[ArtikelNR]],4)</f>
        <v>F034</v>
      </c>
      <c r="B773" s="35" t="str">
        <f>MID(Scharniere[[#This Row],[ArtikelNR]],5,3)</f>
        <v>139</v>
      </c>
      <c r="C773" s="37" t="str">
        <f>RIGHT(Scharniere[[#This Row],[ArtikelNR]],3)</f>
        <v>398</v>
      </c>
      <c r="D773" s="35">
        <f>IF(AND(Scharniere[[#This Row],[Gruppenschlüssel]]=select!$A$44,Scharniere[[#This Row],[Scharnierart]]=1)=TRUE,1,0)</f>
        <v>0</v>
      </c>
      <c r="E7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3" s="35">
        <f>IF(select!$F$57=IF(Scharniere[[#This Row],[mit Dämpfung]]=1,1,IF(Scharniere[[#This Row],[ohne Dämpfung]]=1,2,IF(Scharniere[[#This Row],[ohne Feder]]=1,3,0))),1,0)</f>
        <v>0</v>
      </c>
      <c r="G773" s="35">
        <f>IF(Scharniere[[#This Row],[Bohrbild]]=select!$V$43,1,0)</f>
        <v>0</v>
      </c>
      <c r="H773" s="35">
        <f>IF(IF(Scharniere[[#This Row],[Anschrauben]]=1,1,IF(Scharniere[[#This Row],[Einpressen]]=1,2,IF(Scharniere[[#This Row],[Quick]]=1,3,IF(Scharniere[[#This Row],[Werkzeuglos]]=1,4,0))))=select!$F$48,1,0)</f>
        <v>0</v>
      </c>
      <c r="I7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3" s="149">
        <f>IF(AND(Scharniere[[#This Row],[Scharnierart]]=2,Scharniere[[#This Row],[Gruppenschlüssel]]=select!$A$318)=TRUE,1,0)</f>
        <v>0</v>
      </c>
      <c r="K773" s="221">
        <f ca="1">IF(select!$O$424&lt;6,1,0)</f>
        <v>1</v>
      </c>
      <c r="L773" s="221">
        <f>IF(select!$A$362=IF(Scharniere[[#This Row],[mit Dämpfung]]=1,1,IF(Scharniere[[#This Row],[ohne Dämpfung]]=1,2,IF(Scharniere[[#This Row],[ohne Feder]]=1,3,0))),1,0)</f>
        <v>0</v>
      </c>
      <c r="M773" s="135">
        <f>IF(Scharniere[[#This Row],[Bohrbild]]=select!$O$334,1,0)</f>
        <v>0</v>
      </c>
      <c r="N773" s="135">
        <f>IF(IF(Scharniere[[#This Row],[Anschrauben]]=1,1,IF(Scharniere[[#This Row],[Einpressen]]=1,2,IF(Scharniere[[#This Row],[Quick]]=1,3,IF(Scharniere[[#This Row],[Werkzeuglos]]=1,4,0))))=select!$E$362,1,0)</f>
        <v>0</v>
      </c>
      <c r="O7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3" s="298">
        <f>IF(AND(Scharniere[[#This Row],[Scharnierart]]=3,Scharniere[[#This Row],[Gruppenschlüssel]]=select!$A$747)=TRUE,1,0)</f>
        <v>0</v>
      </c>
      <c r="Q773" s="298">
        <f ca="1">IF(select!$O$945&lt;6,1,0)</f>
        <v>1</v>
      </c>
      <c r="R773" s="298">
        <f>IF(select!$A$778=IF(Scharniere[[#This Row],[mit Dämpfung]]=1,1,IF(Scharniere[[#This Row],[ohne Dämpfung]]=1,2,IF(Scharniere[[#This Row],[ohne Feder]]=1,3,0))),1,0)</f>
        <v>1</v>
      </c>
      <c r="S773" s="298">
        <f>IF(Scharniere[[#This Row],[Bohrbild]]=select!$A$755,1,0)</f>
        <v>0</v>
      </c>
      <c r="T773" s="298">
        <f>IF(IF(Scharniere[[#This Row],[Anschrauben]]=1,1,IF(Scharniere[[#This Row],[Einpressen]]=1,2,IF(Scharniere[[#This Row],[Quick]]=1,3,IF(Scharniere[[#This Row],[Werkzeuglos]]=1,4,0))))=select!$A$769,1,0)</f>
        <v>0</v>
      </c>
      <c r="U7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3" s="359">
        <f>IF(AND(Scharniere[[#This Row],[Scharnierart]]=4,Scharniere[[#This Row],[Gruppenschlüssel]]=select!$A$981)=TRUE,1,0)</f>
        <v>0</v>
      </c>
      <c r="W773" s="359">
        <f ca="1">IF(select!$O$1185&lt;6,1,0)</f>
        <v>1</v>
      </c>
      <c r="X773" s="359">
        <f>IF(select!$A$1012=IF(Scharniere[[#This Row],[mit Dämpfung]]=1,1,IF(Scharniere[[#This Row],[ohne Dämpfung]]=1,2,IF(Scharniere[[#This Row],[ohne Feder]]=1,3,0))),1,0)</f>
        <v>1</v>
      </c>
      <c r="Y773" s="359">
        <f>IF(Scharniere[[#This Row],[Bohrbild]]=select!$A$989,1,0)</f>
        <v>0</v>
      </c>
      <c r="Z773" s="359">
        <f>IF(IF(Scharniere[[#This Row],[Anschrauben]]=1,1,IF(Scharniere[[#This Row],[Einpressen]]=1,2,IF(Scharniere[[#This Row],[Quick]]=1,3,IF(Scharniere[[#This Row],[Werkzeuglos]]=1,4,0))))=select!$A$1003,1,0)</f>
        <v>0</v>
      </c>
      <c r="AA7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3" s="359">
        <f ca="1">IF(select!$K$980="*",Scharniere[[#This Row],[AG Ges2]],Scharniere[[#This Row],[AG Ges1]])</f>
        <v>0</v>
      </c>
      <c r="AE773" s="451">
        <f ca="1">IF(AND(Scharniere[[#This Row],[Scharnierart]]=select!$A$1485,Scharniere[[#This Row],[Gruppenschlüssel]]=select!$B$1485)=TRUE,1,0)</f>
        <v>0</v>
      </c>
      <c r="AF773" s="451">
        <f ca="1">IF(AND(Scharniere[[#This Row],[Scharnierart]]=select!$A$1486,Scharniere[[#This Row],[Gruppenschlüssel]]=select!$B$1486)=TRUE,1,0)</f>
        <v>0</v>
      </c>
      <c r="AG773" s="451">
        <f ca="1">IF(AND(Scharniere[[#This Row],[Scharnierart]]=select!$A$1487,Scharniere[[#This Row],[Gruppenschlüssel]]=select!$B$1487)=TRUE,1,0)</f>
        <v>0</v>
      </c>
      <c r="AH773" s="451">
        <f ca="1">IF(AND(Scharniere[[#This Row],[Scharnierart]]=select!$A$1488,Scharniere[[#This Row],[Gruppenschlüssel]]=select!$B$1488)=TRUE,1,0)</f>
        <v>0</v>
      </c>
      <c r="AI773" s="451">
        <f ca="1">IF(SUM(Scharniere[[#This Row],[konf Scharnier 1]:[konf Scharnier 4]])&gt;0,1,0)</f>
        <v>0</v>
      </c>
      <c r="AJ773" s="451"/>
      <c r="AK773" s="451"/>
      <c r="AL773" s="451"/>
      <c r="AM773" s="451"/>
      <c r="AN773" s="451"/>
      <c r="AO773" s="146">
        <v>2</v>
      </c>
      <c r="AP773" s="146">
        <v>2</v>
      </c>
      <c r="AQ773" s="71" t="str">
        <f ca="1">Sprache!$A$119</f>
        <v>Tiomos Scharnier T Impresso</v>
      </c>
      <c r="AR773" t="str">
        <f ca="1">"110/90°, GB-BB, "&amp;Sprache!$A$62&amp;" ni"</f>
        <v>110/90°, GB-BB, einl. ni</v>
      </c>
      <c r="AS773" t="str">
        <f ca="1">Sprache!$A$103</f>
        <v>Tiomos Click-On Scharniere</v>
      </c>
      <c r="AT773" t="s">
        <v>1264</v>
      </c>
      <c r="AU773" s="34" t="s">
        <v>3</v>
      </c>
      <c r="AV773" t="s">
        <v>1489</v>
      </c>
      <c r="AW773" s="71">
        <v>0</v>
      </c>
      <c r="AX773">
        <v>1</v>
      </c>
      <c r="AY773">
        <v>0</v>
      </c>
      <c r="AZ773" s="71">
        <v>0</v>
      </c>
      <c r="BA773">
        <v>0</v>
      </c>
      <c r="BB773">
        <v>0</v>
      </c>
      <c r="BC773">
        <v>1</v>
      </c>
      <c r="BD773" s="144" t="s">
        <v>1763</v>
      </c>
      <c r="BF773" s="10"/>
      <c r="BG773"/>
    </row>
    <row r="774" spans="1:59" ht="14.25" customHeight="1" x14ac:dyDescent="0.25">
      <c r="A774" s="37" t="str">
        <f>LEFT(Scharniere[[#This Row],[ArtikelNR]],4)</f>
        <v>F028</v>
      </c>
      <c r="B774" s="35" t="str">
        <f>MID(Scharniere[[#This Row],[ArtikelNR]],5,3)</f>
        <v>138</v>
      </c>
      <c r="C774" s="37" t="str">
        <f>RIGHT(Scharniere[[#This Row],[ArtikelNR]],3)</f>
        <v>728</v>
      </c>
      <c r="D774" s="35">
        <f>IF(AND(Scharniere[[#This Row],[Gruppenschlüssel]]=select!$A$44,Scharniere[[#This Row],[Scharnierart]]=1)=TRUE,1,0)</f>
        <v>0</v>
      </c>
      <c r="E7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4" s="35">
        <f>IF(select!$F$57=IF(Scharniere[[#This Row],[mit Dämpfung]]=1,1,IF(Scharniere[[#This Row],[ohne Dämpfung]]=1,2,IF(Scharniere[[#This Row],[ohne Feder]]=1,3,0))),1,0)</f>
        <v>0</v>
      </c>
      <c r="G774" s="35">
        <f>IF(Scharniere[[#This Row],[Bohrbild]]=select!$V$43,1,0)</f>
        <v>0</v>
      </c>
      <c r="H774" s="35">
        <f>IF(IF(Scharniere[[#This Row],[Anschrauben]]=1,1,IF(Scharniere[[#This Row],[Einpressen]]=1,2,IF(Scharniere[[#This Row],[Quick]]=1,3,IF(Scharniere[[#This Row],[Werkzeuglos]]=1,4,0))))=select!$F$48,1,0)</f>
        <v>1</v>
      </c>
      <c r="I7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4" s="149">
        <f>IF(AND(Scharniere[[#This Row],[Scharnierart]]=2,Scharniere[[#This Row],[Gruppenschlüssel]]=select!$A$318)=TRUE,1,0)</f>
        <v>0</v>
      </c>
      <c r="K774" s="221">
        <f ca="1">IF(select!$O$424&lt;6,1,0)</f>
        <v>1</v>
      </c>
      <c r="L774" s="221">
        <f>IF(select!$A$362=IF(Scharniere[[#This Row],[mit Dämpfung]]=1,1,IF(Scharniere[[#This Row],[ohne Dämpfung]]=1,2,IF(Scharniere[[#This Row],[ohne Feder]]=1,3,0))),1,0)</f>
        <v>1</v>
      </c>
      <c r="M774" s="135">
        <f>IF(Scharniere[[#This Row],[Bohrbild]]=select!$O$334,1,0)</f>
        <v>0</v>
      </c>
      <c r="N774" s="135">
        <f>IF(IF(Scharniere[[#This Row],[Anschrauben]]=1,1,IF(Scharniere[[#This Row],[Einpressen]]=1,2,IF(Scharniere[[#This Row],[Quick]]=1,3,IF(Scharniere[[#This Row],[Werkzeuglos]]=1,4,0))))=select!$E$362,1,0)</f>
        <v>0</v>
      </c>
      <c r="O7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4" s="298">
        <f>IF(AND(Scharniere[[#This Row],[Scharnierart]]=3,Scharniere[[#This Row],[Gruppenschlüssel]]=select!$A$747)=TRUE,1,0)</f>
        <v>0</v>
      </c>
      <c r="Q774" s="298">
        <f ca="1">IF(select!$O$945&lt;6,1,0)</f>
        <v>1</v>
      </c>
      <c r="R774" s="298">
        <f>IF(select!$A$778=IF(Scharniere[[#This Row],[mit Dämpfung]]=1,1,IF(Scharniere[[#This Row],[ohne Dämpfung]]=1,2,IF(Scharniere[[#This Row],[ohne Feder]]=1,3,0))),1,0)</f>
        <v>0</v>
      </c>
      <c r="S774" s="298">
        <f>IF(Scharniere[[#This Row],[Bohrbild]]=select!$A$755,1,0)</f>
        <v>0</v>
      </c>
      <c r="T774" s="298">
        <f>IF(IF(Scharniere[[#This Row],[Anschrauben]]=1,1,IF(Scharniere[[#This Row],[Einpressen]]=1,2,IF(Scharniere[[#This Row],[Quick]]=1,3,IF(Scharniere[[#This Row],[Werkzeuglos]]=1,4,0))))=select!$A$769,1,0)</f>
        <v>0</v>
      </c>
      <c r="U7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4" s="359">
        <f>IF(AND(Scharniere[[#This Row],[Scharnierart]]=4,Scharniere[[#This Row],[Gruppenschlüssel]]=select!$A$981)=TRUE,1,0)</f>
        <v>0</v>
      </c>
      <c r="W774" s="359">
        <f ca="1">IF(select!$O$1185&lt;6,1,0)</f>
        <v>1</v>
      </c>
      <c r="X774" s="359">
        <f>IF(select!$A$1012=IF(Scharniere[[#This Row],[mit Dämpfung]]=1,1,IF(Scharniere[[#This Row],[ohne Dämpfung]]=1,2,IF(Scharniere[[#This Row],[ohne Feder]]=1,3,0))),1,0)</f>
        <v>0</v>
      </c>
      <c r="Y774" s="359">
        <f>IF(Scharniere[[#This Row],[Bohrbild]]=select!$A$989,1,0)</f>
        <v>0</v>
      </c>
      <c r="Z774" s="359">
        <f>IF(IF(Scharniere[[#This Row],[Anschrauben]]=1,1,IF(Scharniere[[#This Row],[Einpressen]]=1,2,IF(Scharniere[[#This Row],[Quick]]=1,3,IF(Scharniere[[#This Row],[Werkzeuglos]]=1,4,0))))=select!$A$1003,1,0)</f>
        <v>0</v>
      </c>
      <c r="AA7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4" s="359">
        <f ca="1">IF(select!$K$980="*",Scharniere[[#This Row],[AG Ges2]],Scharniere[[#This Row],[AG Ges1]])</f>
        <v>0</v>
      </c>
      <c r="AE774" s="451">
        <f ca="1">IF(AND(Scharniere[[#This Row],[Scharnierart]]=select!$A$1485,Scharniere[[#This Row],[Gruppenschlüssel]]=select!$B$1485)=TRUE,1,0)</f>
        <v>0</v>
      </c>
      <c r="AF774" s="451">
        <f ca="1">IF(AND(Scharniere[[#This Row],[Scharnierart]]=select!$A$1486,Scharniere[[#This Row],[Gruppenschlüssel]]=select!$B$1486)=TRUE,1,0)</f>
        <v>0</v>
      </c>
      <c r="AG774" s="451">
        <f ca="1">IF(AND(Scharniere[[#This Row],[Scharnierart]]=select!$A$1487,Scharniere[[#This Row],[Gruppenschlüssel]]=select!$B$1487)=TRUE,1,0)</f>
        <v>0</v>
      </c>
      <c r="AH774" s="451">
        <f ca="1">IF(AND(Scharniere[[#This Row],[Scharnierart]]=select!$A$1488,Scharniere[[#This Row],[Gruppenschlüssel]]=select!$B$1488)=TRUE,1,0)</f>
        <v>0</v>
      </c>
      <c r="AI774" s="451">
        <f ca="1">IF(SUM(Scharniere[[#This Row],[konf Scharnier 1]:[konf Scharnier 4]])&gt;0,1,0)</f>
        <v>0</v>
      </c>
      <c r="AJ774" s="451"/>
      <c r="AK774" s="451"/>
      <c r="AL774" s="451"/>
      <c r="AM774" s="451"/>
      <c r="AN774" s="451"/>
      <c r="AO774" s="146">
        <v>2</v>
      </c>
      <c r="AP774" s="146">
        <v>2</v>
      </c>
      <c r="AQ774" s="71" t="str">
        <f ca="1">Sprache!$A$112</f>
        <v>Tiomos Scharnier TS Click-on</v>
      </c>
      <c r="AR774" t="str">
        <f ca="1">"110/90°, H-BB, "&amp;Sprache!$A$62&amp;" 0, ni"</f>
        <v>110/90°, H-BB, einl. 0, ni</v>
      </c>
      <c r="AS774" t="str">
        <f ca="1">Sprache!$A$103</f>
        <v>Tiomos Click-On Scharniere</v>
      </c>
      <c r="AT774" t="s">
        <v>1264</v>
      </c>
      <c r="AU774" s="34" t="s">
        <v>10</v>
      </c>
      <c r="AV774" t="s">
        <v>1489</v>
      </c>
      <c r="AW774" s="71">
        <v>1</v>
      </c>
      <c r="AX774">
        <v>0</v>
      </c>
      <c r="AY774">
        <v>0</v>
      </c>
      <c r="AZ774" s="71">
        <v>0</v>
      </c>
      <c r="BA774">
        <v>1</v>
      </c>
      <c r="BB774">
        <v>0</v>
      </c>
      <c r="BC774">
        <v>0</v>
      </c>
      <c r="BD774" s="144" t="s">
        <v>1563</v>
      </c>
      <c r="BF774" s="10"/>
      <c r="BG774"/>
    </row>
    <row r="775" spans="1:59" ht="14.25" customHeight="1" x14ac:dyDescent="0.25">
      <c r="A775" s="37" t="str">
        <f>LEFT(Scharniere[[#This Row],[ArtikelNR]],4)</f>
        <v>F045</v>
      </c>
      <c r="B775" s="35" t="str">
        <f>MID(Scharniere[[#This Row],[ArtikelNR]],5,3)</f>
        <v>138</v>
      </c>
      <c r="C775" s="37" t="str">
        <f>RIGHT(Scharniere[[#This Row],[ArtikelNR]],3)</f>
        <v>666</v>
      </c>
      <c r="D775" s="35">
        <f>IF(AND(Scharniere[[#This Row],[Gruppenschlüssel]]=select!$A$44,Scharniere[[#This Row],[Scharnierart]]=1)=TRUE,1,0)</f>
        <v>0</v>
      </c>
      <c r="E7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5" s="35">
        <f>IF(select!$F$57=IF(Scharniere[[#This Row],[mit Dämpfung]]=1,1,IF(Scharniere[[#This Row],[ohne Dämpfung]]=1,2,IF(Scharniere[[#This Row],[ohne Feder]]=1,3,0))),1,0)</f>
        <v>0</v>
      </c>
      <c r="G775" s="35">
        <f>IF(Scharniere[[#This Row],[Bohrbild]]=select!$V$43,1,0)</f>
        <v>0</v>
      </c>
      <c r="H775" s="35">
        <f>IF(IF(Scharniere[[#This Row],[Anschrauben]]=1,1,IF(Scharniere[[#This Row],[Einpressen]]=1,2,IF(Scharniere[[#This Row],[Quick]]=1,3,IF(Scharniere[[#This Row],[Werkzeuglos]]=1,4,0))))=select!$F$48,1,0)</f>
        <v>1</v>
      </c>
      <c r="I7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5" s="149">
        <f>IF(AND(Scharniere[[#This Row],[Scharnierart]]=2,Scharniere[[#This Row],[Gruppenschlüssel]]=select!$A$318)=TRUE,1,0)</f>
        <v>0</v>
      </c>
      <c r="K775" s="221">
        <f ca="1">IF(select!$O$424&lt;6,1,0)</f>
        <v>1</v>
      </c>
      <c r="L775" s="221">
        <f>IF(select!$A$362=IF(Scharniere[[#This Row],[mit Dämpfung]]=1,1,IF(Scharniere[[#This Row],[ohne Dämpfung]]=1,2,IF(Scharniere[[#This Row],[ohne Feder]]=1,3,0))),1,0)</f>
        <v>0</v>
      </c>
      <c r="M775" s="135">
        <f>IF(Scharniere[[#This Row],[Bohrbild]]=select!$O$334,1,0)</f>
        <v>0</v>
      </c>
      <c r="N775" s="135">
        <f>IF(IF(Scharniere[[#This Row],[Anschrauben]]=1,1,IF(Scharniere[[#This Row],[Einpressen]]=1,2,IF(Scharniere[[#This Row],[Quick]]=1,3,IF(Scharniere[[#This Row],[Werkzeuglos]]=1,4,0))))=select!$E$362,1,0)</f>
        <v>0</v>
      </c>
      <c r="O7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5" s="298">
        <f>IF(AND(Scharniere[[#This Row],[Scharnierart]]=3,Scharniere[[#This Row],[Gruppenschlüssel]]=select!$A$747)=TRUE,1,0)</f>
        <v>0</v>
      </c>
      <c r="Q775" s="298">
        <f ca="1">IF(select!$O$945&lt;6,1,0)</f>
        <v>1</v>
      </c>
      <c r="R775" s="298">
        <f>IF(select!$A$778=IF(Scharniere[[#This Row],[mit Dämpfung]]=1,1,IF(Scharniere[[#This Row],[ohne Dämpfung]]=1,2,IF(Scharniere[[#This Row],[ohne Feder]]=1,3,0))),1,0)</f>
        <v>1</v>
      </c>
      <c r="S775" s="298">
        <f>IF(Scharniere[[#This Row],[Bohrbild]]=select!$A$755,1,0)</f>
        <v>0</v>
      </c>
      <c r="T775" s="298">
        <f>IF(IF(Scharniere[[#This Row],[Anschrauben]]=1,1,IF(Scharniere[[#This Row],[Einpressen]]=1,2,IF(Scharniere[[#This Row],[Quick]]=1,3,IF(Scharniere[[#This Row],[Werkzeuglos]]=1,4,0))))=select!$A$769,1,0)</f>
        <v>0</v>
      </c>
      <c r="U7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5" s="359">
        <f>IF(AND(Scharniere[[#This Row],[Scharnierart]]=4,Scharniere[[#This Row],[Gruppenschlüssel]]=select!$A$981)=TRUE,1,0)</f>
        <v>0</v>
      </c>
      <c r="W775" s="359">
        <f ca="1">IF(select!$O$1185&lt;6,1,0)</f>
        <v>1</v>
      </c>
      <c r="X775" s="359">
        <f>IF(select!$A$1012=IF(Scharniere[[#This Row],[mit Dämpfung]]=1,1,IF(Scharniere[[#This Row],[ohne Dämpfung]]=1,2,IF(Scharniere[[#This Row],[ohne Feder]]=1,3,0))),1,0)</f>
        <v>1</v>
      </c>
      <c r="Y775" s="359">
        <f>IF(Scharniere[[#This Row],[Bohrbild]]=select!$A$989,1,0)</f>
        <v>0</v>
      </c>
      <c r="Z775" s="359">
        <f>IF(IF(Scharniere[[#This Row],[Anschrauben]]=1,1,IF(Scharniere[[#This Row],[Einpressen]]=1,2,IF(Scharniere[[#This Row],[Quick]]=1,3,IF(Scharniere[[#This Row],[Werkzeuglos]]=1,4,0))))=select!$A$1003,1,0)</f>
        <v>0</v>
      </c>
      <c r="AA7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5" s="359">
        <f ca="1">IF(select!$K$980="*",Scharniere[[#This Row],[AG Ges2]],Scharniere[[#This Row],[AG Ges1]])</f>
        <v>0</v>
      </c>
      <c r="AE775" s="451">
        <f ca="1">IF(AND(Scharniere[[#This Row],[Scharnierart]]=select!$A$1485,Scharniere[[#This Row],[Gruppenschlüssel]]=select!$B$1485)=TRUE,1,0)</f>
        <v>0</v>
      </c>
      <c r="AF775" s="451">
        <f ca="1">IF(AND(Scharniere[[#This Row],[Scharnierart]]=select!$A$1486,Scharniere[[#This Row],[Gruppenschlüssel]]=select!$B$1486)=TRUE,1,0)</f>
        <v>0</v>
      </c>
      <c r="AG775" s="451">
        <f ca="1">IF(AND(Scharniere[[#This Row],[Scharnierart]]=select!$A$1487,Scharniere[[#This Row],[Gruppenschlüssel]]=select!$B$1487)=TRUE,1,0)</f>
        <v>0</v>
      </c>
      <c r="AH775" s="451">
        <f ca="1">IF(AND(Scharniere[[#This Row],[Scharnierart]]=select!$A$1488,Scharniere[[#This Row],[Gruppenschlüssel]]=select!$B$1488)=TRUE,1,0)</f>
        <v>0</v>
      </c>
      <c r="AI775" s="451">
        <f ca="1">IF(SUM(Scharniere[[#This Row],[konf Scharnier 1]:[konf Scharnier 4]])&gt;0,1,0)</f>
        <v>0</v>
      </c>
      <c r="AJ775" s="451"/>
      <c r="AK775" s="451"/>
      <c r="AL775" s="451"/>
      <c r="AM775" s="451"/>
      <c r="AN775" s="451"/>
      <c r="AO775" s="146">
        <v>2</v>
      </c>
      <c r="AP775" s="146">
        <v>2</v>
      </c>
      <c r="AQ775" s="71" t="str">
        <f ca="1">Sprache!$A$118</f>
        <v>Tiomos Scharnier T Click-on</v>
      </c>
      <c r="AR775" t="str">
        <f ca="1">"110/90°, H-BB, "&amp;Sprache!$A$62&amp;" 0, ni"</f>
        <v>110/90°, H-BB, einl. 0, ni</v>
      </c>
      <c r="AS775" t="str">
        <f ca="1">Sprache!$A$103</f>
        <v>Tiomos Click-On Scharniere</v>
      </c>
      <c r="AT775" t="s">
        <v>1264</v>
      </c>
      <c r="AU775" t="s">
        <v>10</v>
      </c>
      <c r="AV775" t="s">
        <v>1489</v>
      </c>
      <c r="AW775" s="71">
        <v>0</v>
      </c>
      <c r="AX775">
        <v>1</v>
      </c>
      <c r="AY775">
        <v>0</v>
      </c>
      <c r="AZ775" s="71">
        <v>0</v>
      </c>
      <c r="BA775">
        <v>1</v>
      </c>
      <c r="BB775">
        <v>0</v>
      </c>
      <c r="BC775">
        <v>0</v>
      </c>
      <c r="BD775" s="144" t="s">
        <v>1672</v>
      </c>
      <c r="BF775" s="10"/>
      <c r="BG775"/>
    </row>
    <row r="776" spans="1:59" ht="14.25" customHeight="1" x14ac:dyDescent="0.25">
      <c r="A776" s="37" t="str">
        <f>LEFT(Scharniere[[#This Row],[ArtikelNR]],4)</f>
        <v>F028</v>
      </c>
      <c r="B776" s="35" t="str">
        <f>MID(Scharniere[[#This Row],[ArtikelNR]],5,3)</f>
        <v>138</v>
      </c>
      <c r="C776" s="37" t="str">
        <f>RIGHT(Scharniere[[#This Row],[ArtikelNR]],3)</f>
        <v>718</v>
      </c>
      <c r="D776" s="35">
        <f>IF(AND(Scharniere[[#This Row],[Gruppenschlüssel]]=select!$A$44,Scharniere[[#This Row],[Scharnierart]]=1)=TRUE,1,0)</f>
        <v>0</v>
      </c>
      <c r="E7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6" s="35">
        <f>IF(select!$F$57=IF(Scharniere[[#This Row],[mit Dämpfung]]=1,1,IF(Scharniere[[#This Row],[ohne Dämpfung]]=1,2,IF(Scharniere[[#This Row],[ohne Feder]]=1,3,0))),1,0)</f>
        <v>0</v>
      </c>
      <c r="G776" s="35">
        <f>IF(Scharniere[[#This Row],[Bohrbild]]=select!$V$43,1,0)</f>
        <v>0</v>
      </c>
      <c r="H776" s="35">
        <f>IF(IF(Scharniere[[#This Row],[Anschrauben]]=1,1,IF(Scharniere[[#This Row],[Einpressen]]=1,2,IF(Scharniere[[#This Row],[Quick]]=1,3,IF(Scharniere[[#This Row],[Werkzeuglos]]=1,4,0))))=select!$F$48,1,0)</f>
        <v>0</v>
      </c>
      <c r="I7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6" s="149">
        <f>IF(AND(Scharniere[[#This Row],[Scharnierart]]=2,Scharniere[[#This Row],[Gruppenschlüssel]]=select!$A$318)=TRUE,1,0)</f>
        <v>0</v>
      </c>
      <c r="K776" s="221">
        <f ca="1">IF(select!$O$424&lt;6,1,0)</f>
        <v>1</v>
      </c>
      <c r="L776" s="221">
        <f>IF(select!$A$362=IF(Scharniere[[#This Row],[mit Dämpfung]]=1,1,IF(Scharniere[[#This Row],[ohne Dämpfung]]=1,2,IF(Scharniere[[#This Row],[ohne Feder]]=1,3,0))),1,0)</f>
        <v>1</v>
      </c>
      <c r="M776" s="135">
        <f>IF(Scharniere[[#This Row],[Bohrbild]]=select!$O$334,1,0)</f>
        <v>0</v>
      </c>
      <c r="N776" s="135">
        <f>IF(IF(Scharniere[[#This Row],[Anschrauben]]=1,1,IF(Scharniere[[#This Row],[Einpressen]]=1,2,IF(Scharniere[[#This Row],[Quick]]=1,3,IF(Scharniere[[#This Row],[Werkzeuglos]]=1,4,0))))=select!$E$362,1,0)</f>
        <v>1</v>
      </c>
      <c r="O7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6" s="298">
        <f>IF(AND(Scharniere[[#This Row],[Scharnierart]]=3,Scharniere[[#This Row],[Gruppenschlüssel]]=select!$A$747)=TRUE,1,0)</f>
        <v>0</v>
      </c>
      <c r="Q776" s="298">
        <f ca="1">IF(select!$O$945&lt;6,1,0)</f>
        <v>1</v>
      </c>
      <c r="R776" s="298">
        <f>IF(select!$A$778=IF(Scharniere[[#This Row],[mit Dämpfung]]=1,1,IF(Scharniere[[#This Row],[ohne Dämpfung]]=1,2,IF(Scharniere[[#This Row],[ohne Feder]]=1,3,0))),1,0)</f>
        <v>0</v>
      </c>
      <c r="S776" s="298">
        <f>IF(Scharniere[[#This Row],[Bohrbild]]=select!$A$755,1,0)</f>
        <v>0</v>
      </c>
      <c r="T776" s="298">
        <f>IF(IF(Scharniere[[#This Row],[Anschrauben]]=1,1,IF(Scharniere[[#This Row],[Einpressen]]=1,2,IF(Scharniere[[#This Row],[Quick]]=1,3,IF(Scharniere[[#This Row],[Werkzeuglos]]=1,4,0))))=select!$A$769,1,0)</f>
        <v>1</v>
      </c>
      <c r="U7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6" s="359">
        <f>IF(AND(Scharniere[[#This Row],[Scharnierart]]=4,Scharniere[[#This Row],[Gruppenschlüssel]]=select!$A$981)=TRUE,1,0)</f>
        <v>0</v>
      </c>
      <c r="W776" s="359">
        <f ca="1">IF(select!$O$1185&lt;6,1,0)</f>
        <v>1</v>
      </c>
      <c r="X776" s="359">
        <f>IF(select!$A$1012=IF(Scharniere[[#This Row],[mit Dämpfung]]=1,1,IF(Scharniere[[#This Row],[ohne Dämpfung]]=1,2,IF(Scharniere[[#This Row],[ohne Feder]]=1,3,0))),1,0)</f>
        <v>0</v>
      </c>
      <c r="Y776" s="359">
        <f>IF(Scharniere[[#This Row],[Bohrbild]]=select!$A$989,1,0)</f>
        <v>0</v>
      </c>
      <c r="Z776" s="359">
        <f>IF(IF(Scharniere[[#This Row],[Anschrauben]]=1,1,IF(Scharniere[[#This Row],[Einpressen]]=1,2,IF(Scharniere[[#This Row],[Quick]]=1,3,IF(Scharniere[[#This Row],[Werkzeuglos]]=1,4,0))))=select!$A$1003,1,0)</f>
        <v>1</v>
      </c>
      <c r="AA7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6" s="359">
        <f ca="1">IF(select!$K$980="*",Scharniere[[#This Row],[AG Ges2]],Scharniere[[#This Row],[AG Ges1]])</f>
        <v>0</v>
      </c>
      <c r="AE776" s="451">
        <f ca="1">IF(AND(Scharniere[[#This Row],[Scharnierart]]=select!$A$1485,Scharniere[[#This Row],[Gruppenschlüssel]]=select!$B$1485)=TRUE,1,0)</f>
        <v>0</v>
      </c>
      <c r="AF776" s="451">
        <f ca="1">IF(AND(Scharniere[[#This Row],[Scharnierart]]=select!$A$1486,Scharniere[[#This Row],[Gruppenschlüssel]]=select!$B$1486)=TRUE,1,0)</f>
        <v>0</v>
      </c>
      <c r="AG776" s="451">
        <f ca="1">IF(AND(Scharniere[[#This Row],[Scharnierart]]=select!$A$1487,Scharniere[[#This Row],[Gruppenschlüssel]]=select!$B$1487)=TRUE,1,0)</f>
        <v>0</v>
      </c>
      <c r="AH776" s="451">
        <f ca="1">IF(AND(Scharniere[[#This Row],[Scharnierart]]=select!$A$1488,Scharniere[[#This Row],[Gruppenschlüssel]]=select!$B$1488)=TRUE,1,0)</f>
        <v>0</v>
      </c>
      <c r="AI776" s="451">
        <f ca="1">IF(SUM(Scharniere[[#This Row],[konf Scharnier 1]:[konf Scharnier 4]])&gt;0,1,0)</f>
        <v>0</v>
      </c>
      <c r="AJ776" s="451"/>
      <c r="AK776" s="451"/>
      <c r="AL776" s="451"/>
      <c r="AM776" s="451"/>
      <c r="AN776" s="451"/>
      <c r="AO776" s="146">
        <v>2</v>
      </c>
      <c r="AP776" s="146">
        <v>2</v>
      </c>
      <c r="AQ776" s="71" t="str">
        <f ca="1">Sprache!$A$112</f>
        <v>Tiomos Scharnier TS Click-on</v>
      </c>
      <c r="AR776" t="str">
        <f ca="1">"110/90°, H-BB, "&amp;Sprache!$A$62&amp;" ni"</f>
        <v>110/90°, H-BB, einl. ni</v>
      </c>
      <c r="AS776" t="str">
        <f ca="1">Sprache!$A$103</f>
        <v>Tiomos Click-On Scharniere</v>
      </c>
      <c r="AT776" t="s">
        <v>1264</v>
      </c>
      <c r="AU776" t="s">
        <v>10</v>
      </c>
      <c r="AV776" t="s">
        <v>1489</v>
      </c>
      <c r="AW776" s="71">
        <v>1</v>
      </c>
      <c r="AX776">
        <v>0</v>
      </c>
      <c r="AY776">
        <v>0</v>
      </c>
      <c r="AZ776" s="71">
        <v>1</v>
      </c>
      <c r="BA776">
        <v>0</v>
      </c>
      <c r="BB776">
        <v>0</v>
      </c>
      <c r="BC776">
        <v>0</v>
      </c>
      <c r="BD776" s="144" t="s">
        <v>1561</v>
      </c>
      <c r="BF776" s="10"/>
      <c r="BG776"/>
    </row>
    <row r="777" spans="1:59" ht="14.25" customHeight="1" x14ac:dyDescent="0.25">
      <c r="A777" s="37" t="str">
        <f>LEFT(Scharniere[[#This Row],[ArtikelNR]],4)</f>
        <v>F045</v>
      </c>
      <c r="B777" s="35" t="str">
        <f>MID(Scharniere[[#This Row],[ArtikelNR]],5,3)</f>
        <v>138</v>
      </c>
      <c r="C777" s="37" t="str">
        <f>RIGHT(Scharniere[[#This Row],[ArtikelNR]],3)</f>
        <v>656</v>
      </c>
      <c r="D777" s="35">
        <f>IF(AND(Scharniere[[#This Row],[Gruppenschlüssel]]=select!$A$44,Scharniere[[#This Row],[Scharnierart]]=1)=TRUE,1,0)</f>
        <v>0</v>
      </c>
      <c r="E7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7" s="35">
        <f>IF(select!$F$57=IF(Scharniere[[#This Row],[mit Dämpfung]]=1,1,IF(Scharniere[[#This Row],[ohne Dämpfung]]=1,2,IF(Scharniere[[#This Row],[ohne Feder]]=1,3,0))),1,0)</f>
        <v>0</v>
      </c>
      <c r="G777" s="35">
        <f>IF(Scharniere[[#This Row],[Bohrbild]]=select!$V$43,1,0)</f>
        <v>0</v>
      </c>
      <c r="H777" s="35">
        <f>IF(IF(Scharniere[[#This Row],[Anschrauben]]=1,1,IF(Scharniere[[#This Row],[Einpressen]]=1,2,IF(Scharniere[[#This Row],[Quick]]=1,3,IF(Scharniere[[#This Row],[Werkzeuglos]]=1,4,0))))=select!$F$48,1,0)</f>
        <v>0</v>
      </c>
      <c r="I7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7" s="149">
        <f>IF(AND(Scharniere[[#This Row],[Scharnierart]]=2,Scharniere[[#This Row],[Gruppenschlüssel]]=select!$A$318)=TRUE,1,0)</f>
        <v>0</v>
      </c>
      <c r="K777" s="221">
        <f ca="1">IF(select!$O$424&lt;6,1,0)</f>
        <v>1</v>
      </c>
      <c r="L777" s="221">
        <f>IF(select!$A$362=IF(Scharniere[[#This Row],[mit Dämpfung]]=1,1,IF(Scharniere[[#This Row],[ohne Dämpfung]]=1,2,IF(Scharniere[[#This Row],[ohne Feder]]=1,3,0))),1,0)</f>
        <v>0</v>
      </c>
      <c r="M777" s="135">
        <f>IF(Scharniere[[#This Row],[Bohrbild]]=select!$O$334,1,0)</f>
        <v>0</v>
      </c>
      <c r="N777" s="135">
        <f>IF(IF(Scharniere[[#This Row],[Anschrauben]]=1,1,IF(Scharniere[[#This Row],[Einpressen]]=1,2,IF(Scharniere[[#This Row],[Quick]]=1,3,IF(Scharniere[[#This Row],[Werkzeuglos]]=1,4,0))))=select!$E$362,1,0)</f>
        <v>1</v>
      </c>
      <c r="O7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7" s="298">
        <f>IF(AND(Scharniere[[#This Row],[Scharnierart]]=3,Scharniere[[#This Row],[Gruppenschlüssel]]=select!$A$747)=TRUE,1,0)</f>
        <v>0</v>
      </c>
      <c r="Q777" s="298">
        <f ca="1">IF(select!$O$945&lt;6,1,0)</f>
        <v>1</v>
      </c>
      <c r="R777" s="298">
        <f>IF(select!$A$778=IF(Scharniere[[#This Row],[mit Dämpfung]]=1,1,IF(Scharniere[[#This Row],[ohne Dämpfung]]=1,2,IF(Scharniere[[#This Row],[ohne Feder]]=1,3,0))),1,0)</f>
        <v>1</v>
      </c>
      <c r="S777" s="298">
        <f>IF(Scharniere[[#This Row],[Bohrbild]]=select!$A$755,1,0)</f>
        <v>0</v>
      </c>
      <c r="T777" s="298">
        <f>IF(IF(Scharniere[[#This Row],[Anschrauben]]=1,1,IF(Scharniere[[#This Row],[Einpressen]]=1,2,IF(Scharniere[[#This Row],[Quick]]=1,3,IF(Scharniere[[#This Row],[Werkzeuglos]]=1,4,0))))=select!$A$769,1,0)</f>
        <v>1</v>
      </c>
      <c r="U7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7" s="359">
        <f>IF(AND(Scharniere[[#This Row],[Scharnierart]]=4,Scharniere[[#This Row],[Gruppenschlüssel]]=select!$A$981)=TRUE,1,0)</f>
        <v>0</v>
      </c>
      <c r="W777" s="359">
        <f ca="1">IF(select!$O$1185&lt;6,1,0)</f>
        <v>1</v>
      </c>
      <c r="X777" s="359">
        <f>IF(select!$A$1012=IF(Scharniere[[#This Row],[mit Dämpfung]]=1,1,IF(Scharniere[[#This Row],[ohne Dämpfung]]=1,2,IF(Scharniere[[#This Row],[ohne Feder]]=1,3,0))),1,0)</f>
        <v>1</v>
      </c>
      <c r="Y777" s="359">
        <f>IF(Scharniere[[#This Row],[Bohrbild]]=select!$A$989,1,0)</f>
        <v>0</v>
      </c>
      <c r="Z777" s="359">
        <f>IF(IF(Scharniere[[#This Row],[Anschrauben]]=1,1,IF(Scharniere[[#This Row],[Einpressen]]=1,2,IF(Scharniere[[#This Row],[Quick]]=1,3,IF(Scharniere[[#This Row],[Werkzeuglos]]=1,4,0))))=select!$A$1003,1,0)</f>
        <v>1</v>
      </c>
      <c r="AA7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7" s="359">
        <f ca="1">IF(select!$K$980="*",Scharniere[[#This Row],[AG Ges2]],Scharniere[[#This Row],[AG Ges1]])</f>
        <v>0</v>
      </c>
      <c r="AE777" s="451">
        <f ca="1">IF(AND(Scharniere[[#This Row],[Scharnierart]]=select!$A$1485,Scharniere[[#This Row],[Gruppenschlüssel]]=select!$B$1485)=TRUE,1,0)</f>
        <v>0</v>
      </c>
      <c r="AF777" s="451">
        <f ca="1">IF(AND(Scharniere[[#This Row],[Scharnierart]]=select!$A$1486,Scharniere[[#This Row],[Gruppenschlüssel]]=select!$B$1486)=TRUE,1,0)</f>
        <v>0</v>
      </c>
      <c r="AG777" s="451">
        <f ca="1">IF(AND(Scharniere[[#This Row],[Scharnierart]]=select!$A$1487,Scharniere[[#This Row],[Gruppenschlüssel]]=select!$B$1487)=TRUE,1,0)</f>
        <v>0</v>
      </c>
      <c r="AH777" s="451">
        <f ca="1">IF(AND(Scharniere[[#This Row],[Scharnierart]]=select!$A$1488,Scharniere[[#This Row],[Gruppenschlüssel]]=select!$B$1488)=TRUE,1,0)</f>
        <v>0</v>
      </c>
      <c r="AI777" s="451">
        <f ca="1">IF(SUM(Scharniere[[#This Row],[konf Scharnier 1]:[konf Scharnier 4]])&gt;0,1,0)</f>
        <v>0</v>
      </c>
      <c r="AJ777" s="451"/>
      <c r="AK777" s="451"/>
      <c r="AL777" s="451"/>
      <c r="AM777" s="451"/>
      <c r="AN777" s="451"/>
      <c r="AO777" s="146">
        <v>2</v>
      </c>
      <c r="AP777" s="146">
        <v>2</v>
      </c>
      <c r="AQ777" s="71" t="str">
        <f ca="1">Sprache!$A$118</f>
        <v>Tiomos Scharnier T Click-on</v>
      </c>
      <c r="AR777" t="str">
        <f ca="1">"110/90°, H-BB, "&amp;Sprache!$A$62&amp;" ni"</f>
        <v>110/90°, H-BB, einl. ni</v>
      </c>
      <c r="AS777" t="str">
        <f ca="1">Sprache!$A$103</f>
        <v>Tiomos Click-On Scharniere</v>
      </c>
      <c r="AT777" t="s">
        <v>1264</v>
      </c>
      <c r="AU777" t="s">
        <v>10</v>
      </c>
      <c r="AV777" t="s">
        <v>1489</v>
      </c>
      <c r="AW777" s="71">
        <v>0</v>
      </c>
      <c r="AX777">
        <v>1</v>
      </c>
      <c r="AY777">
        <v>0</v>
      </c>
      <c r="AZ777" s="71">
        <v>1</v>
      </c>
      <c r="BA777">
        <v>0</v>
      </c>
      <c r="BB777">
        <v>0</v>
      </c>
      <c r="BC777">
        <v>0</v>
      </c>
      <c r="BD777" s="144" t="s">
        <v>1670</v>
      </c>
      <c r="BF777" s="10"/>
      <c r="BG777"/>
    </row>
    <row r="778" spans="1:59" ht="14.25" customHeight="1" x14ac:dyDescent="0.25">
      <c r="A778" s="37" t="str">
        <f>LEFT(Scharniere[[#This Row],[ArtikelNR]],4)</f>
        <v>F046</v>
      </c>
      <c r="B778" s="35" t="str">
        <f>MID(Scharniere[[#This Row],[ArtikelNR]],5,3)</f>
        <v>138</v>
      </c>
      <c r="C778" s="37" t="str">
        <f>RIGHT(Scharniere[[#This Row],[ArtikelNR]],3)</f>
        <v>778</v>
      </c>
      <c r="D778" s="35">
        <f>IF(AND(Scharniere[[#This Row],[Gruppenschlüssel]]=select!$A$44,Scharniere[[#This Row],[Scharnierart]]=1)=TRUE,1,0)</f>
        <v>0</v>
      </c>
      <c r="E7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8" s="35">
        <f>IF(select!$F$57=IF(Scharniere[[#This Row],[mit Dämpfung]]=1,1,IF(Scharniere[[#This Row],[ohne Dämpfung]]=1,2,IF(Scharniere[[#This Row],[ohne Feder]]=1,3,0))),1,0)</f>
        <v>1</v>
      </c>
      <c r="G778" s="35">
        <f>IF(Scharniere[[#This Row],[Bohrbild]]=select!$V$43,1,0)</f>
        <v>0</v>
      </c>
      <c r="H778" s="35">
        <f>IF(IF(Scharniere[[#This Row],[Anschrauben]]=1,1,IF(Scharniere[[#This Row],[Einpressen]]=1,2,IF(Scharniere[[#This Row],[Quick]]=1,3,IF(Scharniere[[#This Row],[Werkzeuglos]]=1,4,0))))=select!$F$48,1,0)</f>
        <v>0</v>
      </c>
      <c r="I7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8" s="149">
        <f>IF(AND(Scharniere[[#This Row],[Scharnierart]]=2,Scharniere[[#This Row],[Gruppenschlüssel]]=select!$A$318)=TRUE,1,0)</f>
        <v>0</v>
      </c>
      <c r="K778" s="221">
        <f ca="1">IF(select!$O$424&lt;6,1,0)</f>
        <v>1</v>
      </c>
      <c r="L778" s="221">
        <f>IF(select!$A$362=IF(Scharniere[[#This Row],[mit Dämpfung]]=1,1,IF(Scharniere[[#This Row],[ohne Dämpfung]]=1,2,IF(Scharniere[[#This Row],[ohne Feder]]=1,3,0))),1,0)</f>
        <v>0</v>
      </c>
      <c r="M778" s="135">
        <f>IF(Scharniere[[#This Row],[Bohrbild]]=select!$O$334,1,0)</f>
        <v>0</v>
      </c>
      <c r="N778" s="135">
        <f>IF(IF(Scharniere[[#This Row],[Anschrauben]]=1,1,IF(Scharniere[[#This Row],[Einpressen]]=1,2,IF(Scharniere[[#This Row],[Quick]]=1,3,IF(Scharniere[[#This Row],[Werkzeuglos]]=1,4,0))))=select!$E$362,1,0)</f>
        <v>1</v>
      </c>
      <c r="O7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8" s="298">
        <f>IF(AND(Scharniere[[#This Row],[Scharnierart]]=3,Scharniere[[#This Row],[Gruppenschlüssel]]=select!$A$747)=TRUE,1,0)</f>
        <v>0</v>
      </c>
      <c r="Q778" s="298">
        <f ca="1">IF(select!$O$945&lt;6,1,0)</f>
        <v>1</v>
      </c>
      <c r="R778" s="298">
        <f>IF(select!$A$778=IF(Scharniere[[#This Row],[mit Dämpfung]]=1,1,IF(Scharniere[[#This Row],[ohne Dämpfung]]=1,2,IF(Scharniere[[#This Row],[ohne Feder]]=1,3,0))),1,0)</f>
        <v>0</v>
      </c>
      <c r="S778" s="298">
        <f>IF(Scharniere[[#This Row],[Bohrbild]]=select!$A$755,1,0)</f>
        <v>0</v>
      </c>
      <c r="T778" s="298">
        <f>IF(IF(Scharniere[[#This Row],[Anschrauben]]=1,1,IF(Scharniere[[#This Row],[Einpressen]]=1,2,IF(Scharniere[[#This Row],[Quick]]=1,3,IF(Scharniere[[#This Row],[Werkzeuglos]]=1,4,0))))=select!$A$769,1,0)</f>
        <v>1</v>
      </c>
      <c r="U7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8" s="359">
        <f>IF(AND(Scharniere[[#This Row],[Scharnierart]]=4,Scharniere[[#This Row],[Gruppenschlüssel]]=select!$A$981)=TRUE,1,0)</f>
        <v>0</v>
      </c>
      <c r="W778" s="359">
        <f ca="1">IF(select!$O$1185&lt;6,1,0)</f>
        <v>1</v>
      </c>
      <c r="X778" s="359">
        <f>IF(select!$A$1012=IF(Scharniere[[#This Row],[mit Dämpfung]]=1,1,IF(Scharniere[[#This Row],[ohne Dämpfung]]=1,2,IF(Scharniere[[#This Row],[ohne Feder]]=1,3,0))),1,0)</f>
        <v>0</v>
      </c>
      <c r="Y778" s="359">
        <f>IF(Scharniere[[#This Row],[Bohrbild]]=select!$A$989,1,0)</f>
        <v>0</v>
      </c>
      <c r="Z778" s="359">
        <f>IF(IF(Scharniere[[#This Row],[Anschrauben]]=1,1,IF(Scharniere[[#This Row],[Einpressen]]=1,2,IF(Scharniere[[#This Row],[Quick]]=1,3,IF(Scharniere[[#This Row],[Werkzeuglos]]=1,4,0))))=select!$A$1003,1,0)</f>
        <v>1</v>
      </c>
      <c r="AA7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8" s="359">
        <f ca="1">IF(select!$K$980="*",Scharniere[[#This Row],[AG Ges2]],Scharniere[[#This Row],[AG Ges1]])</f>
        <v>0</v>
      </c>
      <c r="AE778" s="451">
        <f ca="1">IF(AND(Scharniere[[#This Row],[Scharnierart]]=select!$A$1485,Scharniere[[#This Row],[Gruppenschlüssel]]=select!$B$1485)=TRUE,1,0)</f>
        <v>0</v>
      </c>
      <c r="AF778" s="451">
        <f ca="1">IF(AND(Scharniere[[#This Row],[Scharnierart]]=select!$A$1486,Scharniere[[#This Row],[Gruppenschlüssel]]=select!$B$1486)=TRUE,1,0)</f>
        <v>0</v>
      </c>
      <c r="AG778" s="451">
        <f ca="1">IF(AND(Scharniere[[#This Row],[Scharnierart]]=select!$A$1487,Scharniere[[#This Row],[Gruppenschlüssel]]=select!$B$1487)=TRUE,1,0)</f>
        <v>0</v>
      </c>
      <c r="AH778" s="451">
        <f ca="1">IF(AND(Scharniere[[#This Row],[Scharnierart]]=select!$A$1488,Scharniere[[#This Row],[Gruppenschlüssel]]=select!$B$1488)=TRUE,1,0)</f>
        <v>0</v>
      </c>
      <c r="AI778" s="451">
        <f ca="1">IF(SUM(Scharniere[[#This Row],[konf Scharnier 1]:[konf Scharnier 4]])&gt;0,1,0)</f>
        <v>0</v>
      </c>
      <c r="AJ778" s="451"/>
      <c r="AK778" s="451"/>
      <c r="AL778" s="451"/>
      <c r="AM778" s="451"/>
      <c r="AN778" s="451"/>
      <c r="AO778" s="146">
        <v>2</v>
      </c>
      <c r="AP778" s="146">
        <v>2</v>
      </c>
      <c r="AQ778" s="71" t="str">
        <f ca="1">Sprache!$A$114</f>
        <v>Tiomos Scharnier TT Click-on</v>
      </c>
      <c r="AR778" t="str">
        <f ca="1">"110/90°, H-BB, "&amp;Sprache!$A$62&amp;" ni"</f>
        <v>110/90°, H-BB, einl. ni</v>
      </c>
      <c r="AS778" t="str">
        <f ca="1">Sprache!$A$103</f>
        <v>Tiomos Click-On Scharniere</v>
      </c>
      <c r="AT778" t="s">
        <v>1264</v>
      </c>
      <c r="AU778" t="s">
        <v>10</v>
      </c>
      <c r="AV778" t="s">
        <v>1489</v>
      </c>
      <c r="AW778" s="71">
        <v>0</v>
      </c>
      <c r="AX778">
        <v>0</v>
      </c>
      <c r="AY778">
        <v>1</v>
      </c>
      <c r="AZ778" s="71">
        <v>1</v>
      </c>
      <c r="BA778">
        <v>0</v>
      </c>
      <c r="BB778">
        <v>0</v>
      </c>
      <c r="BC778">
        <v>0</v>
      </c>
      <c r="BD778" s="144" t="s">
        <v>1731</v>
      </c>
      <c r="BF778" s="10"/>
      <c r="BG778"/>
    </row>
    <row r="779" spans="1:59" ht="14.25" customHeight="1" x14ac:dyDescent="0.25">
      <c r="A779" s="37" t="str">
        <f>LEFT(Scharniere[[#This Row],[ArtikelNR]],4)</f>
        <v>F017</v>
      </c>
      <c r="B779" s="35" t="str">
        <f>MID(Scharniere[[#This Row],[ArtikelNR]],5,3)</f>
        <v>139</v>
      </c>
      <c r="C779" s="37" t="str">
        <f>RIGHT(Scharniere[[#This Row],[ArtikelNR]],3)</f>
        <v>512</v>
      </c>
      <c r="D779" s="35">
        <f>IF(AND(Scharniere[[#This Row],[Gruppenschlüssel]]=select!$A$44,Scharniere[[#This Row],[Scharnierart]]=1)=TRUE,1,0)</f>
        <v>0</v>
      </c>
      <c r="E7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79" s="35">
        <f>IF(select!$F$57=IF(Scharniere[[#This Row],[mit Dämpfung]]=1,1,IF(Scharniere[[#This Row],[ohne Dämpfung]]=1,2,IF(Scharniere[[#This Row],[ohne Feder]]=1,3,0))),1,0)</f>
        <v>0</v>
      </c>
      <c r="G779" s="35">
        <f>IF(Scharniere[[#This Row],[Bohrbild]]=select!$V$43,1,0)</f>
        <v>0</v>
      </c>
      <c r="H779" s="35">
        <f>IF(IF(Scharniere[[#This Row],[Anschrauben]]=1,1,IF(Scharniere[[#This Row],[Einpressen]]=1,2,IF(Scharniere[[#This Row],[Quick]]=1,3,IF(Scharniere[[#This Row],[Werkzeuglos]]=1,4,0))))=select!$F$48,1,0)</f>
        <v>0</v>
      </c>
      <c r="I7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79" s="149">
        <f>IF(AND(Scharniere[[#This Row],[Scharnierart]]=2,Scharniere[[#This Row],[Gruppenschlüssel]]=select!$A$318)=TRUE,1,0)</f>
        <v>0</v>
      </c>
      <c r="K779" s="221">
        <f ca="1">IF(select!$O$424&lt;6,1,0)</f>
        <v>1</v>
      </c>
      <c r="L779" s="221">
        <f>IF(select!$A$362=IF(Scharniere[[#This Row],[mit Dämpfung]]=1,1,IF(Scharniere[[#This Row],[ohne Dämpfung]]=1,2,IF(Scharniere[[#This Row],[ohne Feder]]=1,3,0))),1,0)</f>
        <v>1</v>
      </c>
      <c r="M779" s="135">
        <f>IF(Scharniere[[#This Row],[Bohrbild]]=select!$O$334,1,0)</f>
        <v>0</v>
      </c>
      <c r="N779" s="135">
        <f>IF(IF(Scharniere[[#This Row],[Anschrauben]]=1,1,IF(Scharniere[[#This Row],[Einpressen]]=1,2,IF(Scharniere[[#This Row],[Quick]]=1,3,IF(Scharniere[[#This Row],[Werkzeuglos]]=1,4,0))))=select!$E$362,1,0)</f>
        <v>0</v>
      </c>
      <c r="O7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79" s="298">
        <f>IF(AND(Scharniere[[#This Row],[Scharnierart]]=3,Scharniere[[#This Row],[Gruppenschlüssel]]=select!$A$747)=TRUE,1,0)</f>
        <v>0</v>
      </c>
      <c r="Q779" s="298">
        <f ca="1">IF(select!$O$945&lt;6,1,0)</f>
        <v>1</v>
      </c>
      <c r="R779" s="298">
        <f>IF(select!$A$778=IF(Scharniere[[#This Row],[mit Dämpfung]]=1,1,IF(Scharniere[[#This Row],[ohne Dämpfung]]=1,2,IF(Scharniere[[#This Row],[ohne Feder]]=1,3,0))),1,0)</f>
        <v>0</v>
      </c>
      <c r="S779" s="298">
        <f>IF(Scharniere[[#This Row],[Bohrbild]]=select!$A$755,1,0)</f>
        <v>0</v>
      </c>
      <c r="T779" s="298">
        <f>IF(IF(Scharniere[[#This Row],[Anschrauben]]=1,1,IF(Scharniere[[#This Row],[Einpressen]]=1,2,IF(Scharniere[[#This Row],[Quick]]=1,3,IF(Scharniere[[#This Row],[Werkzeuglos]]=1,4,0))))=select!$A$769,1,0)</f>
        <v>0</v>
      </c>
      <c r="U7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79" s="359">
        <f>IF(AND(Scharniere[[#This Row],[Scharnierart]]=4,Scharniere[[#This Row],[Gruppenschlüssel]]=select!$A$981)=TRUE,1,0)</f>
        <v>0</v>
      </c>
      <c r="W779" s="359">
        <f ca="1">IF(select!$O$1185&lt;6,1,0)</f>
        <v>1</v>
      </c>
      <c r="X779" s="359">
        <f>IF(select!$A$1012=IF(Scharniere[[#This Row],[mit Dämpfung]]=1,1,IF(Scharniere[[#This Row],[ohne Dämpfung]]=1,2,IF(Scharniere[[#This Row],[ohne Feder]]=1,3,0))),1,0)</f>
        <v>0</v>
      </c>
      <c r="Y779" s="359">
        <f>IF(Scharniere[[#This Row],[Bohrbild]]=select!$A$989,1,0)</f>
        <v>0</v>
      </c>
      <c r="Z779" s="359">
        <f>IF(IF(Scharniere[[#This Row],[Anschrauben]]=1,1,IF(Scharniere[[#This Row],[Einpressen]]=1,2,IF(Scharniere[[#This Row],[Quick]]=1,3,IF(Scharniere[[#This Row],[Werkzeuglos]]=1,4,0))))=select!$A$1003,1,0)</f>
        <v>0</v>
      </c>
      <c r="AA7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79" s="359">
        <f ca="1">IF(select!$K$980="*",Scharniere[[#This Row],[AG Ges2]],Scharniere[[#This Row],[AG Ges1]])</f>
        <v>0</v>
      </c>
      <c r="AE779" s="451">
        <f ca="1">IF(AND(Scharniere[[#This Row],[Scharnierart]]=select!$A$1485,Scharniere[[#This Row],[Gruppenschlüssel]]=select!$B$1485)=TRUE,1,0)</f>
        <v>0</v>
      </c>
      <c r="AF779" s="451">
        <f ca="1">IF(AND(Scharniere[[#This Row],[Scharnierart]]=select!$A$1486,Scharniere[[#This Row],[Gruppenschlüssel]]=select!$B$1486)=TRUE,1,0)</f>
        <v>0</v>
      </c>
      <c r="AG779" s="451">
        <f ca="1">IF(AND(Scharniere[[#This Row],[Scharnierart]]=select!$A$1487,Scharniere[[#This Row],[Gruppenschlüssel]]=select!$B$1487)=TRUE,1,0)</f>
        <v>0</v>
      </c>
      <c r="AH779" s="451">
        <f ca="1">IF(AND(Scharniere[[#This Row],[Scharnierart]]=select!$A$1488,Scharniere[[#This Row],[Gruppenschlüssel]]=select!$B$1488)=TRUE,1,0)</f>
        <v>0</v>
      </c>
      <c r="AI779" s="451">
        <f ca="1">IF(SUM(Scharniere[[#This Row],[konf Scharnier 1]:[konf Scharnier 4]])&gt;0,1,0)</f>
        <v>0</v>
      </c>
      <c r="AJ779" s="451"/>
      <c r="AK779" s="451"/>
      <c r="AL779" s="451"/>
      <c r="AM779" s="451"/>
      <c r="AN779" s="451"/>
      <c r="AO779" s="146">
        <v>2</v>
      </c>
      <c r="AP779" s="146">
        <v>2</v>
      </c>
      <c r="AQ779" s="71" t="str">
        <f ca="1">Sprache!$A$113</f>
        <v>Tiomos Scharnier TS Impresso</v>
      </c>
      <c r="AR779" t="str">
        <f ca="1">"110/90°, HS-BB, "&amp;Sprache!$A$62&amp;" ni"</f>
        <v>110/90°, HS-BB, einl. ni</v>
      </c>
      <c r="AS779" t="str">
        <f ca="1">Sprache!$A$116</f>
        <v>Tiomos Impresso Scharniere</v>
      </c>
      <c r="AT779" t="s">
        <v>1264</v>
      </c>
      <c r="AU779" s="34" t="s">
        <v>10</v>
      </c>
      <c r="AV779" t="s">
        <v>1489</v>
      </c>
      <c r="AW779" s="71">
        <v>1</v>
      </c>
      <c r="AX779">
        <v>0</v>
      </c>
      <c r="AY779">
        <v>0</v>
      </c>
      <c r="AZ779" s="71">
        <v>0</v>
      </c>
      <c r="BA779">
        <v>0</v>
      </c>
      <c r="BB779">
        <v>0</v>
      </c>
      <c r="BC779">
        <v>1</v>
      </c>
      <c r="BD779" s="144" t="s">
        <v>1596</v>
      </c>
      <c r="BF779" s="10"/>
      <c r="BG779"/>
    </row>
    <row r="780" spans="1:59" ht="14.25" customHeight="1" x14ac:dyDescent="0.25">
      <c r="A780" s="37" t="str">
        <f>LEFT(Scharniere[[#This Row],[ArtikelNR]],4)</f>
        <v>F017</v>
      </c>
      <c r="B780" s="35" t="str">
        <f>MID(Scharniere[[#This Row],[ArtikelNR]],5,3)</f>
        <v>139</v>
      </c>
      <c r="C780" s="37" t="str">
        <f>RIGHT(Scharniere[[#This Row],[ArtikelNR]],3)</f>
        <v>512</v>
      </c>
      <c r="D780" s="35">
        <f>IF(AND(Scharniere[[#This Row],[Gruppenschlüssel]]=select!$A$44,Scharniere[[#This Row],[Scharnierart]]=1)=TRUE,1,0)</f>
        <v>0</v>
      </c>
      <c r="E7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0" s="35">
        <f>IF(select!$F$57=IF(Scharniere[[#This Row],[mit Dämpfung]]=1,1,IF(Scharniere[[#This Row],[ohne Dämpfung]]=1,2,IF(Scharniere[[#This Row],[ohne Feder]]=1,3,0))),1,0)</f>
        <v>0</v>
      </c>
      <c r="G780" s="35">
        <f>IF(Scharniere[[#This Row],[Bohrbild]]=select!$V$43,1,0)</f>
        <v>0</v>
      </c>
      <c r="H780" s="35">
        <f>IF(IF(Scharniere[[#This Row],[Anschrauben]]=1,1,IF(Scharniere[[#This Row],[Einpressen]]=1,2,IF(Scharniere[[#This Row],[Quick]]=1,3,IF(Scharniere[[#This Row],[Werkzeuglos]]=1,4,0))))=select!$F$48,1,0)</f>
        <v>0</v>
      </c>
      <c r="I7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0" s="149">
        <f>IF(AND(Scharniere[[#This Row],[Scharnierart]]=2,Scharniere[[#This Row],[Gruppenschlüssel]]=select!$A$318)=TRUE,1,0)</f>
        <v>0</v>
      </c>
      <c r="K780" s="221">
        <f ca="1">IF(select!$O$424&lt;6,1,0)</f>
        <v>1</v>
      </c>
      <c r="L780" s="221">
        <f>IF(select!$A$362=IF(Scharniere[[#This Row],[mit Dämpfung]]=1,1,IF(Scharniere[[#This Row],[ohne Dämpfung]]=1,2,IF(Scharniere[[#This Row],[ohne Feder]]=1,3,0))),1,0)</f>
        <v>1</v>
      </c>
      <c r="M780" s="135">
        <f>IF(Scharniere[[#This Row],[Bohrbild]]=select!$O$334,1,0)</f>
        <v>0</v>
      </c>
      <c r="N780" s="135">
        <f>IF(IF(Scharniere[[#This Row],[Anschrauben]]=1,1,IF(Scharniere[[#This Row],[Einpressen]]=1,2,IF(Scharniere[[#This Row],[Quick]]=1,3,IF(Scharniere[[#This Row],[Werkzeuglos]]=1,4,0))))=select!$E$362,1,0)</f>
        <v>0</v>
      </c>
      <c r="O7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0" s="298">
        <f>IF(AND(Scharniere[[#This Row],[Scharnierart]]=3,Scharniere[[#This Row],[Gruppenschlüssel]]=select!$A$747)=TRUE,1,0)</f>
        <v>0</v>
      </c>
      <c r="Q780" s="298">
        <f ca="1">IF(select!$O$945&lt;6,1,0)</f>
        <v>1</v>
      </c>
      <c r="R780" s="298">
        <f>IF(select!$A$778=IF(Scharniere[[#This Row],[mit Dämpfung]]=1,1,IF(Scharniere[[#This Row],[ohne Dämpfung]]=1,2,IF(Scharniere[[#This Row],[ohne Feder]]=1,3,0))),1,0)</f>
        <v>0</v>
      </c>
      <c r="S780" s="298">
        <f>IF(Scharniere[[#This Row],[Bohrbild]]=select!$A$755,1,0)</f>
        <v>0</v>
      </c>
      <c r="T780" s="298">
        <f>IF(IF(Scharniere[[#This Row],[Anschrauben]]=1,1,IF(Scharniere[[#This Row],[Einpressen]]=1,2,IF(Scharniere[[#This Row],[Quick]]=1,3,IF(Scharniere[[#This Row],[Werkzeuglos]]=1,4,0))))=select!$A$769,1,0)</f>
        <v>0</v>
      </c>
      <c r="U7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0" s="359">
        <f>IF(AND(Scharniere[[#This Row],[Scharnierart]]=4,Scharniere[[#This Row],[Gruppenschlüssel]]=select!$A$981)=TRUE,1,0)</f>
        <v>0</v>
      </c>
      <c r="W780" s="359">
        <f ca="1">IF(select!$O$1185&lt;6,1,0)</f>
        <v>1</v>
      </c>
      <c r="X780" s="359">
        <f>IF(select!$A$1012=IF(Scharniere[[#This Row],[mit Dämpfung]]=1,1,IF(Scharniere[[#This Row],[ohne Dämpfung]]=1,2,IF(Scharniere[[#This Row],[ohne Feder]]=1,3,0))),1,0)</f>
        <v>0</v>
      </c>
      <c r="Y780" s="359">
        <f>IF(Scharniere[[#This Row],[Bohrbild]]=select!$A$989,1,0)</f>
        <v>0</v>
      </c>
      <c r="Z780" s="359">
        <f>IF(IF(Scharniere[[#This Row],[Anschrauben]]=1,1,IF(Scharniere[[#This Row],[Einpressen]]=1,2,IF(Scharniere[[#This Row],[Quick]]=1,3,IF(Scharniere[[#This Row],[Werkzeuglos]]=1,4,0))))=select!$A$1003,1,0)</f>
        <v>0</v>
      </c>
      <c r="AA7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0" s="359">
        <f ca="1">IF(select!$K$980="*",Scharniere[[#This Row],[AG Ges2]],Scharniere[[#This Row],[AG Ges1]])</f>
        <v>0</v>
      </c>
      <c r="AE780" s="451">
        <f ca="1">IF(AND(Scharniere[[#This Row],[Scharnierart]]=select!$A$1485,Scharniere[[#This Row],[Gruppenschlüssel]]=select!$B$1485)=TRUE,1,0)</f>
        <v>0</v>
      </c>
      <c r="AF780" s="451">
        <f ca="1">IF(AND(Scharniere[[#This Row],[Scharnierart]]=select!$A$1486,Scharniere[[#This Row],[Gruppenschlüssel]]=select!$B$1486)=TRUE,1,0)</f>
        <v>0</v>
      </c>
      <c r="AG780" s="451">
        <f ca="1">IF(AND(Scharniere[[#This Row],[Scharnierart]]=select!$A$1487,Scharniere[[#This Row],[Gruppenschlüssel]]=select!$B$1487)=TRUE,1,0)</f>
        <v>0</v>
      </c>
      <c r="AH780" s="451">
        <f ca="1">IF(AND(Scharniere[[#This Row],[Scharnierart]]=select!$A$1488,Scharniere[[#This Row],[Gruppenschlüssel]]=select!$B$1488)=TRUE,1,0)</f>
        <v>0</v>
      </c>
      <c r="AI780" s="451">
        <f ca="1">IF(SUM(Scharniere[[#This Row],[konf Scharnier 1]:[konf Scharnier 4]])&gt;0,1,0)</f>
        <v>0</v>
      </c>
      <c r="AJ780" s="451"/>
      <c r="AK780" s="451"/>
      <c r="AL780" s="451"/>
      <c r="AM780" s="451"/>
      <c r="AN780" s="451"/>
      <c r="AO780" s="146">
        <v>2</v>
      </c>
      <c r="AP780" s="146">
        <v>2</v>
      </c>
      <c r="AQ780" s="71" t="str">
        <f ca="1">Sprache!$A$113</f>
        <v>Tiomos Scharnier TS Impresso</v>
      </c>
      <c r="AR780" t="str">
        <f ca="1">"110/90°, HS-BB, "&amp;Sprache!$A$62&amp;" ni"</f>
        <v>110/90°, HS-BB, einl. ni</v>
      </c>
      <c r="AS780" t="str">
        <f ca="1">Sprache!$A$116</f>
        <v>Tiomos Impresso Scharniere</v>
      </c>
      <c r="AT780" t="s">
        <v>1264</v>
      </c>
      <c r="AU780" s="34" t="s">
        <v>11</v>
      </c>
      <c r="AV780" t="s">
        <v>1489</v>
      </c>
      <c r="AW780" s="71">
        <v>1</v>
      </c>
      <c r="AX780">
        <v>0</v>
      </c>
      <c r="AY780">
        <v>0</v>
      </c>
      <c r="AZ780" s="71">
        <v>0</v>
      </c>
      <c r="BA780">
        <v>0</v>
      </c>
      <c r="BB780">
        <v>0</v>
      </c>
      <c r="BC780">
        <v>1</v>
      </c>
      <c r="BD780" s="144" t="s">
        <v>1596</v>
      </c>
      <c r="BF780" s="10"/>
      <c r="BG780"/>
    </row>
    <row r="781" spans="1:59" ht="14.25" customHeight="1" x14ac:dyDescent="0.25">
      <c r="A781" s="37" t="str">
        <f>LEFT(Scharniere[[#This Row],[ArtikelNR]],4)</f>
        <v>F034</v>
      </c>
      <c r="B781" s="35" t="str">
        <f>MID(Scharniere[[#This Row],[ArtikelNR]],5,3)</f>
        <v>139</v>
      </c>
      <c r="C781" s="37" t="str">
        <f>RIGHT(Scharniere[[#This Row],[ArtikelNR]],3)</f>
        <v>483</v>
      </c>
      <c r="D781" s="35">
        <f>IF(AND(Scharniere[[#This Row],[Gruppenschlüssel]]=select!$A$44,Scharniere[[#This Row],[Scharnierart]]=1)=TRUE,1,0)</f>
        <v>0</v>
      </c>
      <c r="E7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1" s="35">
        <f>IF(select!$F$57=IF(Scharniere[[#This Row],[mit Dämpfung]]=1,1,IF(Scharniere[[#This Row],[ohne Dämpfung]]=1,2,IF(Scharniere[[#This Row],[ohne Feder]]=1,3,0))),1,0)</f>
        <v>0</v>
      </c>
      <c r="G781" s="35">
        <f>IF(Scharniere[[#This Row],[Bohrbild]]=select!$V$43,1,0)</f>
        <v>0</v>
      </c>
      <c r="H781" s="35">
        <f>IF(IF(Scharniere[[#This Row],[Anschrauben]]=1,1,IF(Scharniere[[#This Row],[Einpressen]]=1,2,IF(Scharniere[[#This Row],[Quick]]=1,3,IF(Scharniere[[#This Row],[Werkzeuglos]]=1,4,0))))=select!$F$48,1,0)</f>
        <v>0</v>
      </c>
      <c r="I7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1" s="149">
        <f>IF(AND(Scharniere[[#This Row],[Scharnierart]]=2,Scharniere[[#This Row],[Gruppenschlüssel]]=select!$A$318)=TRUE,1,0)</f>
        <v>0</v>
      </c>
      <c r="K781" s="221">
        <f ca="1">IF(select!$O$424&lt;6,1,0)</f>
        <v>1</v>
      </c>
      <c r="L781" s="221">
        <f>IF(select!$A$362=IF(Scharniere[[#This Row],[mit Dämpfung]]=1,1,IF(Scharniere[[#This Row],[ohne Dämpfung]]=1,2,IF(Scharniere[[#This Row],[ohne Feder]]=1,3,0))),1,0)</f>
        <v>0</v>
      </c>
      <c r="M781" s="135">
        <f>IF(Scharniere[[#This Row],[Bohrbild]]=select!$O$334,1,0)</f>
        <v>0</v>
      </c>
      <c r="N781" s="135">
        <f>IF(IF(Scharniere[[#This Row],[Anschrauben]]=1,1,IF(Scharniere[[#This Row],[Einpressen]]=1,2,IF(Scharniere[[#This Row],[Quick]]=1,3,IF(Scharniere[[#This Row],[Werkzeuglos]]=1,4,0))))=select!$E$362,1,0)</f>
        <v>0</v>
      </c>
      <c r="O7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1" s="298">
        <f>IF(AND(Scharniere[[#This Row],[Scharnierart]]=3,Scharniere[[#This Row],[Gruppenschlüssel]]=select!$A$747)=TRUE,1,0)</f>
        <v>0</v>
      </c>
      <c r="Q781" s="298">
        <f ca="1">IF(select!$O$945&lt;6,1,0)</f>
        <v>1</v>
      </c>
      <c r="R781" s="298">
        <f>IF(select!$A$778=IF(Scharniere[[#This Row],[mit Dämpfung]]=1,1,IF(Scharniere[[#This Row],[ohne Dämpfung]]=1,2,IF(Scharniere[[#This Row],[ohne Feder]]=1,3,0))),1,0)</f>
        <v>1</v>
      </c>
      <c r="S781" s="298">
        <f>IF(Scharniere[[#This Row],[Bohrbild]]=select!$A$755,1,0)</f>
        <v>0</v>
      </c>
      <c r="T781" s="298">
        <f>IF(IF(Scharniere[[#This Row],[Anschrauben]]=1,1,IF(Scharniere[[#This Row],[Einpressen]]=1,2,IF(Scharniere[[#This Row],[Quick]]=1,3,IF(Scharniere[[#This Row],[Werkzeuglos]]=1,4,0))))=select!$A$769,1,0)</f>
        <v>0</v>
      </c>
      <c r="U7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1" s="359">
        <f>IF(AND(Scharniere[[#This Row],[Scharnierart]]=4,Scharniere[[#This Row],[Gruppenschlüssel]]=select!$A$981)=TRUE,1,0)</f>
        <v>0</v>
      </c>
      <c r="W781" s="359">
        <f ca="1">IF(select!$O$1185&lt;6,1,0)</f>
        <v>1</v>
      </c>
      <c r="X781" s="359">
        <f>IF(select!$A$1012=IF(Scharniere[[#This Row],[mit Dämpfung]]=1,1,IF(Scharniere[[#This Row],[ohne Dämpfung]]=1,2,IF(Scharniere[[#This Row],[ohne Feder]]=1,3,0))),1,0)</f>
        <v>1</v>
      </c>
      <c r="Y781" s="359">
        <f>IF(Scharniere[[#This Row],[Bohrbild]]=select!$A$989,1,0)</f>
        <v>0</v>
      </c>
      <c r="Z781" s="359">
        <f>IF(IF(Scharniere[[#This Row],[Anschrauben]]=1,1,IF(Scharniere[[#This Row],[Einpressen]]=1,2,IF(Scharniere[[#This Row],[Quick]]=1,3,IF(Scharniere[[#This Row],[Werkzeuglos]]=1,4,0))))=select!$A$1003,1,0)</f>
        <v>0</v>
      </c>
      <c r="AA7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1" s="359">
        <f ca="1">IF(select!$K$980="*",Scharniere[[#This Row],[AG Ges2]],Scharniere[[#This Row],[AG Ges1]])</f>
        <v>0</v>
      </c>
      <c r="AE781" s="451">
        <f ca="1">IF(AND(Scharniere[[#This Row],[Scharnierart]]=select!$A$1485,Scharniere[[#This Row],[Gruppenschlüssel]]=select!$B$1485)=TRUE,1,0)</f>
        <v>0</v>
      </c>
      <c r="AF781" s="451">
        <f ca="1">IF(AND(Scharniere[[#This Row],[Scharnierart]]=select!$A$1486,Scharniere[[#This Row],[Gruppenschlüssel]]=select!$B$1486)=TRUE,1,0)</f>
        <v>0</v>
      </c>
      <c r="AG781" s="451">
        <f ca="1">IF(AND(Scharniere[[#This Row],[Scharnierart]]=select!$A$1487,Scharniere[[#This Row],[Gruppenschlüssel]]=select!$B$1487)=TRUE,1,0)</f>
        <v>0</v>
      </c>
      <c r="AH781" s="451">
        <f ca="1">IF(AND(Scharniere[[#This Row],[Scharnierart]]=select!$A$1488,Scharniere[[#This Row],[Gruppenschlüssel]]=select!$B$1488)=TRUE,1,0)</f>
        <v>0</v>
      </c>
      <c r="AI781" s="451">
        <f ca="1">IF(SUM(Scharniere[[#This Row],[konf Scharnier 1]:[konf Scharnier 4]])&gt;0,1,0)</f>
        <v>0</v>
      </c>
      <c r="AJ781" s="451"/>
      <c r="AK781" s="451"/>
      <c r="AL781" s="451"/>
      <c r="AM781" s="451"/>
      <c r="AN781" s="451"/>
      <c r="AO781" s="146">
        <v>2</v>
      </c>
      <c r="AP781" s="146">
        <v>2</v>
      </c>
      <c r="AQ781" s="71" t="str">
        <f ca="1">Sprache!$A$119</f>
        <v>Tiomos Scharnier T Impresso</v>
      </c>
      <c r="AR781" t="str">
        <f ca="1">"110/90°, HS-BB, "&amp;Sprache!$A$62&amp;" ni"</f>
        <v>110/90°, HS-BB, einl. ni</v>
      </c>
      <c r="AS781" t="str">
        <f ca="1">Sprache!$A$103</f>
        <v>Tiomos Click-On Scharniere</v>
      </c>
      <c r="AT781" t="s">
        <v>1264</v>
      </c>
      <c r="AU781" t="s">
        <v>10</v>
      </c>
      <c r="AV781" t="s">
        <v>1489</v>
      </c>
      <c r="AW781" s="71">
        <v>0</v>
      </c>
      <c r="AX781">
        <v>1</v>
      </c>
      <c r="AY781">
        <v>0</v>
      </c>
      <c r="AZ781" s="71">
        <v>0</v>
      </c>
      <c r="BA781">
        <v>0</v>
      </c>
      <c r="BB781">
        <v>0</v>
      </c>
      <c r="BC781">
        <v>1</v>
      </c>
      <c r="BD781" s="144" t="s">
        <v>1774</v>
      </c>
      <c r="BF781" s="10"/>
      <c r="BG781"/>
    </row>
    <row r="782" spans="1:59" ht="14.25" customHeight="1" x14ac:dyDescent="0.25">
      <c r="A782" s="37" t="str">
        <f>LEFT(Scharniere[[#This Row],[ArtikelNR]],4)</f>
        <v>F034</v>
      </c>
      <c r="B782" s="35" t="str">
        <f>MID(Scharniere[[#This Row],[ArtikelNR]],5,3)</f>
        <v>139</v>
      </c>
      <c r="C782" s="37" t="str">
        <f>RIGHT(Scharniere[[#This Row],[ArtikelNR]],3)</f>
        <v>483</v>
      </c>
      <c r="D782" s="35">
        <f>IF(AND(Scharniere[[#This Row],[Gruppenschlüssel]]=select!$A$44,Scharniere[[#This Row],[Scharnierart]]=1)=TRUE,1,0)</f>
        <v>0</v>
      </c>
      <c r="E7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2" s="35">
        <f>IF(select!$F$57=IF(Scharniere[[#This Row],[mit Dämpfung]]=1,1,IF(Scharniere[[#This Row],[ohne Dämpfung]]=1,2,IF(Scharniere[[#This Row],[ohne Feder]]=1,3,0))),1,0)</f>
        <v>0</v>
      </c>
      <c r="G782" s="35">
        <f>IF(Scharniere[[#This Row],[Bohrbild]]=select!$V$43,1,0)</f>
        <v>0</v>
      </c>
      <c r="H782" s="35">
        <f>IF(IF(Scharniere[[#This Row],[Anschrauben]]=1,1,IF(Scharniere[[#This Row],[Einpressen]]=1,2,IF(Scharniere[[#This Row],[Quick]]=1,3,IF(Scharniere[[#This Row],[Werkzeuglos]]=1,4,0))))=select!$F$48,1,0)</f>
        <v>0</v>
      </c>
      <c r="I7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2" s="149">
        <f>IF(AND(Scharniere[[#This Row],[Scharnierart]]=2,Scharniere[[#This Row],[Gruppenschlüssel]]=select!$A$318)=TRUE,1,0)</f>
        <v>0</v>
      </c>
      <c r="K782" s="221">
        <f ca="1">IF(select!$O$424&lt;6,1,0)</f>
        <v>1</v>
      </c>
      <c r="L782" s="221">
        <f>IF(select!$A$362=IF(Scharniere[[#This Row],[mit Dämpfung]]=1,1,IF(Scharniere[[#This Row],[ohne Dämpfung]]=1,2,IF(Scharniere[[#This Row],[ohne Feder]]=1,3,0))),1,0)</f>
        <v>0</v>
      </c>
      <c r="M782" s="135">
        <f>IF(Scharniere[[#This Row],[Bohrbild]]=select!$O$334,1,0)</f>
        <v>0</v>
      </c>
      <c r="N782" s="135">
        <f>IF(IF(Scharniere[[#This Row],[Anschrauben]]=1,1,IF(Scharniere[[#This Row],[Einpressen]]=1,2,IF(Scharniere[[#This Row],[Quick]]=1,3,IF(Scharniere[[#This Row],[Werkzeuglos]]=1,4,0))))=select!$E$362,1,0)</f>
        <v>0</v>
      </c>
      <c r="O7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2" s="298">
        <f>IF(AND(Scharniere[[#This Row],[Scharnierart]]=3,Scharniere[[#This Row],[Gruppenschlüssel]]=select!$A$747)=TRUE,1,0)</f>
        <v>0</v>
      </c>
      <c r="Q782" s="298">
        <f ca="1">IF(select!$O$945&lt;6,1,0)</f>
        <v>1</v>
      </c>
      <c r="R782" s="298">
        <f>IF(select!$A$778=IF(Scharniere[[#This Row],[mit Dämpfung]]=1,1,IF(Scharniere[[#This Row],[ohne Dämpfung]]=1,2,IF(Scharniere[[#This Row],[ohne Feder]]=1,3,0))),1,0)</f>
        <v>1</v>
      </c>
      <c r="S782" s="298">
        <f>IF(Scharniere[[#This Row],[Bohrbild]]=select!$A$755,1,0)</f>
        <v>0</v>
      </c>
      <c r="T782" s="298">
        <f>IF(IF(Scharniere[[#This Row],[Anschrauben]]=1,1,IF(Scharniere[[#This Row],[Einpressen]]=1,2,IF(Scharniere[[#This Row],[Quick]]=1,3,IF(Scharniere[[#This Row],[Werkzeuglos]]=1,4,0))))=select!$A$769,1,0)</f>
        <v>0</v>
      </c>
      <c r="U7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2" s="359">
        <f>IF(AND(Scharniere[[#This Row],[Scharnierart]]=4,Scharniere[[#This Row],[Gruppenschlüssel]]=select!$A$981)=TRUE,1,0)</f>
        <v>0</v>
      </c>
      <c r="W782" s="359">
        <f ca="1">IF(select!$O$1185&lt;6,1,0)</f>
        <v>1</v>
      </c>
      <c r="X782" s="359">
        <f>IF(select!$A$1012=IF(Scharniere[[#This Row],[mit Dämpfung]]=1,1,IF(Scharniere[[#This Row],[ohne Dämpfung]]=1,2,IF(Scharniere[[#This Row],[ohne Feder]]=1,3,0))),1,0)</f>
        <v>1</v>
      </c>
      <c r="Y782" s="359">
        <f>IF(Scharniere[[#This Row],[Bohrbild]]=select!$A$989,1,0)</f>
        <v>0</v>
      </c>
      <c r="Z782" s="359">
        <f>IF(IF(Scharniere[[#This Row],[Anschrauben]]=1,1,IF(Scharniere[[#This Row],[Einpressen]]=1,2,IF(Scharniere[[#This Row],[Quick]]=1,3,IF(Scharniere[[#This Row],[Werkzeuglos]]=1,4,0))))=select!$A$1003,1,0)</f>
        <v>0</v>
      </c>
      <c r="AA7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2" s="359">
        <f ca="1">IF(select!$K$980="*",Scharniere[[#This Row],[AG Ges2]],Scharniere[[#This Row],[AG Ges1]])</f>
        <v>0</v>
      </c>
      <c r="AE782" s="451">
        <f ca="1">IF(AND(Scharniere[[#This Row],[Scharnierart]]=select!$A$1485,Scharniere[[#This Row],[Gruppenschlüssel]]=select!$B$1485)=TRUE,1,0)</f>
        <v>0</v>
      </c>
      <c r="AF782" s="451">
        <f ca="1">IF(AND(Scharniere[[#This Row],[Scharnierart]]=select!$A$1486,Scharniere[[#This Row],[Gruppenschlüssel]]=select!$B$1486)=TRUE,1,0)</f>
        <v>0</v>
      </c>
      <c r="AG782" s="451">
        <f ca="1">IF(AND(Scharniere[[#This Row],[Scharnierart]]=select!$A$1487,Scharniere[[#This Row],[Gruppenschlüssel]]=select!$B$1487)=TRUE,1,0)</f>
        <v>0</v>
      </c>
      <c r="AH782" s="451">
        <f ca="1">IF(AND(Scharniere[[#This Row],[Scharnierart]]=select!$A$1488,Scharniere[[#This Row],[Gruppenschlüssel]]=select!$B$1488)=TRUE,1,0)</f>
        <v>0</v>
      </c>
      <c r="AI782" s="451">
        <f ca="1">IF(SUM(Scharniere[[#This Row],[konf Scharnier 1]:[konf Scharnier 4]])&gt;0,1,0)</f>
        <v>0</v>
      </c>
      <c r="AJ782" s="451"/>
      <c r="AK782" s="451"/>
      <c r="AL782" s="451"/>
      <c r="AM782" s="451"/>
      <c r="AN782" s="451"/>
      <c r="AO782" s="146">
        <v>2</v>
      </c>
      <c r="AP782" s="146">
        <v>2</v>
      </c>
      <c r="AQ782" s="71" t="str">
        <f ca="1">Sprache!$A$119</f>
        <v>Tiomos Scharnier T Impresso</v>
      </c>
      <c r="AR782" t="str">
        <f ca="1">"110/90°, HS-BB, "&amp;Sprache!$A$62&amp;" ni"</f>
        <v>110/90°, HS-BB, einl. ni</v>
      </c>
      <c r="AS782" t="str">
        <f ca="1">Sprache!$A$103</f>
        <v>Tiomos Click-On Scharniere</v>
      </c>
      <c r="AT782" t="s">
        <v>1264</v>
      </c>
      <c r="AU782" t="s">
        <v>11</v>
      </c>
      <c r="AV782" t="s">
        <v>1489</v>
      </c>
      <c r="AW782" s="71">
        <v>0</v>
      </c>
      <c r="AX782">
        <v>1</v>
      </c>
      <c r="AY782">
        <v>0</v>
      </c>
      <c r="AZ782" s="71">
        <v>0</v>
      </c>
      <c r="BA782">
        <v>0</v>
      </c>
      <c r="BB782">
        <v>0</v>
      </c>
      <c r="BC782">
        <v>1</v>
      </c>
      <c r="BD782" s="144" t="s">
        <v>1774</v>
      </c>
      <c r="BF782" s="10"/>
      <c r="BG782"/>
    </row>
    <row r="783" spans="1:59" ht="14.25" customHeight="1" x14ac:dyDescent="0.25">
      <c r="A783" s="37" t="str">
        <f>LEFT(Scharniere[[#This Row],[ArtikelNR]],4)</f>
        <v>F028</v>
      </c>
      <c r="B783" s="35" t="str">
        <f>MID(Scharniere[[#This Row],[ArtikelNR]],5,3)</f>
        <v>138</v>
      </c>
      <c r="C783" s="37" t="str">
        <f>RIGHT(Scharniere[[#This Row],[ArtikelNR]],3)</f>
        <v>120</v>
      </c>
      <c r="D783" s="35">
        <f>IF(AND(Scharniere[[#This Row],[Gruppenschlüssel]]=select!$A$44,Scharniere[[#This Row],[Scharnierart]]=1)=TRUE,1,0)</f>
        <v>0</v>
      </c>
      <c r="E7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3" s="35">
        <f>IF(select!$F$57=IF(Scharniere[[#This Row],[mit Dämpfung]]=1,1,IF(Scharniere[[#This Row],[ohne Dämpfung]]=1,2,IF(Scharniere[[#This Row],[ohne Feder]]=1,3,0))),1,0)</f>
        <v>0</v>
      </c>
      <c r="G783" s="35">
        <f>IF(Scharniere[[#This Row],[Bohrbild]]=select!$V$43,1,0)</f>
        <v>1</v>
      </c>
      <c r="H783" s="35">
        <f>IF(IF(Scharniere[[#This Row],[Anschrauben]]=1,1,IF(Scharniere[[#This Row],[Einpressen]]=1,2,IF(Scharniere[[#This Row],[Quick]]=1,3,IF(Scharniere[[#This Row],[Werkzeuglos]]=1,4,0))))=select!$F$48,1,0)</f>
        <v>1</v>
      </c>
      <c r="I7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3" s="149">
        <f>IF(AND(Scharniere[[#This Row],[Scharnierart]]=2,Scharniere[[#This Row],[Gruppenschlüssel]]=select!$A$318)=TRUE,1,0)</f>
        <v>0</v>
      </c>
      <c r="K783" s="221">
        <f ca="1">IF(select!$O$424&lt;6,1,0)</f>
        <v>1</v>
      </c>
      <c r="L783" s="221">
        <f>IF(select!$A$362=IF(Scharniere[[#This Row],[mit Dämpfung]]=1,1,IF(Scharniere[[#This Row],[ohne Dämpfung]]=1,2,IF(Scharniere[[#This Row],[ohne Feder]]=1,3,0))),1,0)</f>
        <v>1</v>
      </c>
      <c r="M783" s="135">
        <f>IF(Scharniere[[#This Row],[Bohrbild]]=select!$O$334,1,0)</f>
        <v>1</v>
      </c>
      <c r="N783" s="135">
        <f>IF(IF(Scharniere[[#This Row],[Anschrauben]]=1,1,IF(Scharniere[[#This Row],[Einpressen]]=1,2,IF(Scharniere[[#This Row],[Quick]]=1,3,IF(Scharniere[[#This Row],[Werkzeuglos]]=1,4,0))))=select!$E$362,1,0)</f>
        <v>0</v>
      </c>
      <c r="O7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3" s="298">
        <f>IF(AND(Scharniere[[#This Row],[Scharnierart]]=3,Scharniere[[#This Row],[Gruppenschlüssel]]=select!$A$747)=TRUE,1,0)</f>
        <v>0</v>
      </c>
      <c r="Q783" s="298">
        <f ca="1">IF(select!$O$945&lt;6,1,0)</f>
        <v>1</v>
      </c>
      <c r="R783" s="298">
        <f>IF(select!$A$778=IF(Scharniere[[#This Row],[mit Dämpfung]]=1,1,IF(Scharniere[[#This Row],[ohne Dämpfung]]=1,2,IF(Scharniere[[#This Row],[ohne Feder]]=1,3,0))),1,0)</f>
        <v>0</v>
      </c>
      <c r="S783" s="298">
        <f>IF(Scharniere[[#This Row],[Bohrbild]]=select!$A$755,1,0)</f>
        <v>0</v>
      </c>
      <c r="T783" s="298">
        <f>IF(IF(Scharniere[[#This Row],[Anschrauben]]=1,1,IF(Scharniere[[#This Row],[Einpressen]]=1,2,IF(Scharniere[[#This Row],[Quick]]=1,3,IF(Scharniere[[#This Row],[Werkzeuglos]]=1,4,0))))=select!$A$769,1,0)</f>
        <v>0</v>
      </c>
      <c r="U7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3" s="359">
        <f>IF(AND(Scharniere[[#This Row],[Scharnierart]]=4,Scharniere[[#This Row],[Gruppenschlüssel]]=select!$A$981)=TRUE,1,0)</f>
        <v>0</v>
      </c>
      <c r="W783" s="359">
        <f ca="1">IF(select!$O$1185&lt;6,1,0)</f>
        <v>1</v>
      </c>
      <c r="X783" s="359">
        <f>IF(select!$A$1012=IF(Scharniere[[#This Row],[mit Dämpfung]]=1,1,IF(Scharniere[[#This Row],[ohne Dämpfung]]=1,2,IF(Scharniere[[#This Row],[ohne Feder]]=1,3,0))),1,0)</f>
        <v>0</v>
      </c>
      <c r="Y783" s="359">
        <f>IF(Scharniere[[#This Row],[Bohrbild]]=select!$A$989,1,0)</f>
        <v>0</v>
      </c>
      <c r="Z783" s="359">
        <f>IF(IF(Scharniere[[#This Row],[Anschrauben]]=1,1,IF(Scharniere[[#This Row],[Einpressen]]=1,2,IF(Scharniere[[#This Row],[Quick]]=1,3,IF(Scharniere[[#This Row],[Werkzeuglos]]=1,4,0))))=select!$A$1003,1,0)</f>
        <v>0</v>
      </c>
      <c r="AA7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3" s="359">
        <f ca="1">IF(select!$K$980="*",Scharniere[[#This Row],[AG Ges2]],Scharniere[[#This Row],[AG Ges1]])</f>
        <v>0</v>
      </c>
      <c r="AE783" s="451">
        <f ca="1">IF(AND(Scharniere[[#This Row],[Scharnierart]]=select!$A$1485,Scharniere[[#This Row],[Gruppenschlüssel]]=select!$B$1485)=TRUE,1,0)</f>
        <v>0</v>
      </c>
      <c r="AF783" s="451">
        <f ca="1">IF(AND(Scharniere[[#This Row],[Scharnierart]]=select!$A$1486,Scharniere[[#This Row],[Gruppenschlüssel]]=select!$B$1486)=TRUE,1,0)</f>
        <v>0</v>
      </c>
      <c r="AG783" s="451">
        <f ca="1">IF(AND(Scharniere[[#This Row],[Scharnierart]]=select!$A$1487,Scharniere[[#This Row],[Gruppenschlüssel]]=select!$B$1487)=TRUE,1,0)</f>
        <v>0</v>
      </c>
      <c r="AH783" s="451">
        <f ca="1">IF(AND(Scharniere[[#This Row],[Scharnierart]]=select!$A$1488,Scharniere[[#This Row],[Gruppenschlüssel]]=select!$B$1488)=TRUE,1,0)</f>
        <v>0</v>
      </c>
      <c r="AI783" s="451">
        <f ca="1">IF(SUM(Scharniere[[#This Row],[konf Scharnier 1]:[konf Scharnier 4]])&gt;0,1,0)</f>
        <v>0</v>
      </c>
      <c r="AJ783" s="451"/>
      <c r="AK783" s="451"/>
      <c r="AL783" s="451"/>
      <c r="AM783" s="451"/>
      <c r="AN783" s="451"/>
      <c r="AO783" s="146">
        <v>2</v>
      </c>
      <c r="AP783" s="146">
        <v>2</v>
      </c>
      <c r="AQ783" s="71" t="str">
        <f ca="1">Sprache!$A$112</f>
        <v>Tiomos Scharnier TS Click-on</v>
      </c>
      <c r="AR783" t="str">
        <f ca="1">"110/90°, M-BB, "&amp;Sprache!$A$62&amp;" 0, ni"</f>
        <v>110/90°, M-BB, einl. 0, ni</v>
      </c>
      <c r="AS783" t="str">
        <f ca="1">Sprache!$A$103</f>
        <v>Tiomos Click-On Scharniere</v>
      </c>
      <c r="AT783" t="s">
        <v>1264</v>
      </c>
      <c r="AU783" t="s">
        <v>8</v>
      </c>
      <c r="AV783" t="s">
        <v>1489</v>
      </c>
      <c r="AW783" s="71">
        <v>1</v>
      </c>
      <c r="AX783">
        <v>0</v>
      </c>
      <c r="AY783">
        <v>0</v>
      </c>
      <c r="AZ783" s="71">
        <v>0</v>
      </c>
      <c r="BA783">
        <v>1</v>
      </c>
      <c r="BB783">
        <v>0</v>
      </c>
      <c r="BC783">
        <v>0</v>
      </c>
      <c r="BD783" s="144" t="s">
        <v>1522</v>
      </c>
      <c r="BF783" s="10"/>
      <c r="BG783"/>
    </row>
    <row r="784" spans="1:59" ht="14.25" customHeight="1" x14ac:dyDescent="0.25">
      <c r="A784" s="37" t="str">
        <f>LEFT(Scharniere[[#This Row],[ArtikelNR]],4)</f>
        <v>F045</v>
      </c>
      <c r="B784" s="35" t="str">
        <f>MID(Scharniere[[#This Row],[ArtikelNR]],5,3)</f>
        <v>138</v>
      </c>
      <c r="C784" s="37" t="str">
        <f>RIGHT(Scharniere[[#This Row],[ArtikelNR]],3)</f>
        <v>027</v>
      </c>
      <c r="D784" s="35">
        <f>IF(AND(Scharniere[[#This Row],[Gruppenschlüssel]]=select!$A$44,Scharniere[[#This Row],[Scharnierart]]=1)=TRUE,1,0)</f>
        <v>0</v>
      </c>
      <c r="E7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4" s="35">
        <f>IF(select!$F$57=IF(Scharniere[[#This Row],[mit Dämpfung]]=1,1,IF(Scharniere[[#This Row],[ohne Dämpfung]]=1,2,IF(Scharniere[[#This Row],[ohne Feder]]=1,3,0))),1,0)</f>
        <v>0</v>
      </c>
      <c r="G784" s="35">
        <f>IF(Scharniere[[#This Row],[Bohrbild]]=select!$V$43,1,0)</f>
        <v>1</v>
      </c>
      <c r="H784" s="35">
        <f>IF(IF(Scharniere[[#This Row],[Anschrauben]]=1,1,IF(Scharniere[[#This Row],[Einpressen]]=1,2,IF(Scharniere[[#This Row],[Quick]]=1,3,IF(Scharniere[[#This Row],[Werkzeuglos]]=1,4,0))))=select!$F$48,1,0)</f>
        <v>1</v>
      </c>
      <c r="I7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4" s="149">
        <f>IF(AND(Scharniere[[#This Row],[Scharnierart]]=2,Scharniere[[#This Row],[Gruppenschlüssel]]=select!$A$318)=TRUE,1,0)</f>
        <v>0</v>
      </c>
      <c r="K784" s="221">
        <f ca="1">IF(select!$O$424&lt;6,1,0)</f>
        <v>1</v>
      </c>
      <c r="L784" s="221">
        <f>IF(select!$A$362=IF(Scharniere[[#This Row],[mit Dämpfung]]=1,1,IF(Scharniere[[#This Row],[ohne Dämpfung]]=1,2,IF(Scharniere[[#This Row],[ohne Feder]]=1,3,0))),1,0)</f>
        <v>0</v>
      </c>
      <c r="M784" s="135">
        <f>IF(Scharniere[[#This Row],[Bohrbild]]=select!$O$334,1,0)</f>
        <v>1</v>
      </c>
      <c r="N784" s="135">
        <f>IF(IF(Scharniere[[#This Row],[Anschrauben]]=1,1,IF(Scharniere[[#This Row],[Einpressen]]=1,2,IF(Scharniere[[#This Row],[Quick]]=1,3,IF(Scharniere[[#This Row],[Werkzeuglos]]=1,4,0))))=select!$E$362,1,0)</f>
        <v>0</v>
      </c>
      <c r="O7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4" s="298">
        <f>IF(AND(Scharniere[[#This Row],[Scharnierart]]=3,Scharniere[[#This Row],[Gruppenschlüssel]]=select!$A$747)=TRUE,1,0)</f>
        <v>0</v>
      </c>
      <c r="Q784" s="298">
        <f ca="1">IF(select!$O$945&lt;6,1,0)</f>
        <v>1</v>
      </c>
      <c r="R784" s="298">
        <f>IF(select!$A$778=IF(Scharniere[[#This Row],[mit Dämpfung]]=1,1,IF(Scharniere[[#This Row],[ohne Dämpfung]]=1,2,IF(Scharniere[[#This Row],[ohne Feder]]=1,3,0))),1,0)</f>
        <v>1</v>
      </c>
      <c r="S784" s="298">
        <f>IF(Scharniere[[#This Row],[Bohrbild]]=select!$A$755,1,0)</f>
        <v>0</v>
      </c>
      <c r="T784" s="298">
        <f>IF(IF(Scharniere[[#This Row],[Anschrauben]]=1,1,IF(Scharniere[[#This Row],[Einpressen]]=1,2,IF(Scharniere[[#This Row],[Quick]]=1,3,IF(Scharniere[[#This Row],[Werkzeuglos]]=1,4,0))))=select!$A$769,1,0)</f>
        <v>0</v>
      </c>
      <c r="U7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4" s="359">
        <f>IF(AND(Scharniere[[#This Row],[Scharnierart]]=4,Scharniere[[#This Row],[Gruppenschlüssel]]=select!$A$981)=TRUE,1,0)</f>
        <v>0</v>
      </c>
      <c r="W784" s="359">
        <f ca="1">IF(select!$O$1185&lt;6,1,0)</f>
        <v>1</v>
      </c>
      <c r="X784" s="359">
        <f>IF(select!$A$1012=IF(Scharniere[[#This Row],[mit Dämpfung]]=1,1,IF(Scharniere[[#This Row],[ohne Dämpfung]]=1,2,IF(Scharniere[[#This Row],[ohne Feder]]=1,3,0))),1,0)</f>
        <v>1</v>
      </c>
      <c r="Y784" s="359">
        <f>IF(Scharniere[[#This Row],[Bohrbild]]=select!$A$989,1,0)</f>
        <v>0</v>
      </c>
      <c r="Z784" s="359">
        <f>IF(IF(Scharniere[[#This Row],[Anschrauben]]=1,1,IF(Scharniere[[#This Row],[Einpressen]]=1,2,IF(Scharniere[[#This Row],[Quick]]=1,3,IF(Scharniere[[#This Row],[Werkzeuglos]]=1,4,0))))=select!$A$1003,1,0)</f>
        <v>0</v>
      </c>
      <c r="AA7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4" s="359">
        <f ca="1">IF(select!$K$980="*",Scharniere[[#This Row],[AG Ges2]],Scharniere[[#This Row],[AG Ges1]])</f>
        <v>0</v>
      </c>
      <c r="AE784" s="451">
        <f ca="1">IF(AND(Scharniere[[#This Row],[Scharnierart]]=select!$A$1485,Scharniere[[#This Row],[Gruppenschlüssel]]=select!$B$1485)=TRUE,1,0)</f>
        <v>0</v>
      </c>
      <c r="AF784" s="451">
        <f ca="1">IF(AND(Scharniere[[#This Row],[Scharnierart]]=select!$A$1486,Scharniere[[#This Row],[Gruppenschlüssel]]=select!$B$1486)=TRUE,1,0)</f>
        <v>0</v>
      </c>
      <c r="AG784" s="451">
        <f ca="1">IF(AND(Scharniere[[#This Row],[Scharnierart]]=select!$A$1487,Scharniere[[#This Row],[Gruppenschlüssel]]=select!$B$1487)=TRUE,1,0)</f>
        <v>0</v>
      </c>
      <c r="AH784" s="451">
        <f ca="1">IF(AND(Scharniere[[#This Row],[Scharnierart]]=select!$A$1488,Scharniere[[#This Row],[Gruppenschlüssel]]=select!$B$1488)=TRUE,1,0)</f>
        <v>0</v>
      </c>
      <c r="AI784" s="451">
        <f ca="1">IF(SUM(Scharniere[[#This Row],[konf Scharnier 1]:[konf Scharnier 4]])&gt;0,1,0)</f>
        <v>0</v>
      </c>
      <c r="AJ784" s="451"/>
      <c r="AK784" s="451"/>
      <c r="AL784" s="451"/>
      <c r="AM784" s="451"/>
      <c r="AN784" s="451"/>
      <c r="AO784" s="146">
        <v>2</v>
      </c>
      <c r="AP784" s="146">
        <v>2</v>
      </c>
      <c r="AQ784" s="71" t="str">
        <f ca="1">Sprache!$A$118</f>
        <v>Tiomos Scharnier T Click-on</v>
      </c>
      <c r="AR784" t="str">
        <f ca="1">"110/90°, M-BB, "&amp;Sprache!$A$62&amp;" 0, ni"</f>
        <v>110/90°, M-BB, einl. 0, ni</v>
      </c>
      <c r="AS784" t="str">
        <f ca="1">Sprache!$A$103</f>
        <v>Tiomos Click-On Scharniere</v>
      </c>
      <c r="AT784" t="s">
        <v>1264</v>
      </c>
      <c r="AU784" t="s">
        <v>8</v>
      </c>
      <c r="AV784" t="s">
        <v>1489</v>
      </c>
      <c r="AW784" s="71">
        <v>0</v>
      </c>
      <c r="AX784">
        <v>1</v>
      </c>
      <c r="AY784">
        <v>0</v>
      </c>
      <c r="AZ784" s="71">
        <v>0</v>
      </c>
      <c r="BA784">
        <v>1</v>
      </c>
      <c r="BB784">
        <v>0</v>
      </c>
      <c r="BC784">
        <v>0</v>
      </c>
      <c r="BD784" s="144" t="s">
        <v>1624</v>
      </c>
      <c r="BF784" s="10"/>
      <c r="BG784"/>
    </row>
    <row r="785" spans="1:59" ht="14.25" customHeight="1" x14ac:dyDescent="0.25">
      <c r="A785" s="37" t="str">
        <f>LEFT(Scharniere[[#This Row],[ArtikelNR]],4)</f>
        <v>F028</v>
      </c>
      <c r="B785" s="35" t="str">
        <f>MID(Scharniere[[#This Row],[ArtikelNR]],5,3)</f>
        <v>138</v>
      </c>
      <c r="C785" s="37" t="str">
        <f>RIGHT(Scharniere[[#This Row],[ArtikelNR]],3)</f>
        <v>110</v>
      </c>
      <c r="D785" s="35">
        <f>IF(AND(Scharniere[[#This Row],[Gruppenschlüssel]]=select!$A$44,Scharniere[[#This Row],[Scharnierart]]=1)=TRUE,1,0)</f>
        <v>0</v>
      </c>
      <c r="E7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5" s="35">
        <f>IF(select!$F$57=IF(Scharniere[[#This Row],[mit Dämpfung]]=1,1,IF(Scharniere[[#This Row],[ohne Dämpfung]]=1,2,IF(Scharniere[[#This Row],[ohne Feder]]=1,3,0))),1,0)</f>
        <v>0</v>
      </c>
      <c r="G785" s="35">
        <f>IF(Scharniere[[#This Row],[Bohrbild]]=select!$V$43,1,0)</f>
        <v>1</v>
      </c>
      <c r="H785" s="35">
        <f>IF(IF(Scharniere[[#This Row],[Anschrauben]]=1,1,IF(Scharniere[[#This Row],[Einpressen]]=1,2,IF(Scharniere[[#This Row],[Quick]]=1,3,IF(Scharniere[[#This Row],[Werkzeuglos]]=1,4,0))))=select!$F$48,1,0)</f>
        <v>0</v>
      </c>
      <c r="I7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5" s="149">
        <f>IF(AND(Scharniere[[#This Row],[Scharnierart]]=2,Scharniere[[#This Row],[Gruppenschlüssel]]=select!$A$318)=TRUE,1,0)</f>
        <v>0</v>
      </c>
      <c r="K785" s="221">
        <f ca="1">IF(select!$O$424&lt;6,1,0)</f>
        <v>1</v>
      </c>
      <c r="L785" s="221">
        <f>IF(select!$A$362=IF(Scharniere[[#This Row],[mit Dämpfung]]=1,1,IF(Scharniere[[#This Row],[ohne Dämpfung]]=1,2,IF(Scharniere[[#This Row],[ohne Feder]]=1,3,0))),1,0)</f>
        <v>1</v>
      </c>
      <c r="M785" s="135">
        <f>IF(Scharniere[[#This Row],[Bohrbild]]=select!$O$334,1,0)</f>
        <v>1</v>
      </c>
      <c r="N785" s="135">
        <f>IF(IF(Scharniere[[#This Row],[Anschrauben]]=1,1,IF(Scharniere[[#This Row],[Einpressen]]=1,2,IF(Scharniere[[#This Row],[Quick]]=1,3,IF(Scharniere[[#This Row],[Werkzeuglos]]=1,4,0))))=select!$E$362,1,0)</f>
        <v>1</v>
      </c>
      <c r="O7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5" s="298">
        <f>IF(AND(Scharniere[[#This Row],[Scharnierart]]=3,Scharniere[[#This Row],[Gruppenschlüssel]]=select!$A$747)=TRUE,1,0)</f>
        <v>0</v>
      </c>
      <c r="Q785" s="298">
        <f ca="1">IF(select!$O$945&lt;6,1,0)</f>
        <v>1</v>
      </c>
      <c r="R785" s="298">
        <f>IF(select!$A$778=IF(Scharniere[[#This Row],[mit Dämpfung]]=1,1,IF(Scharniere[[#This Row],[ohne Dämpfung]]=1,2,IF(Scharniere[[#This Row],[ohne Feder]]=1,3,0))),1,0)</f>
        <v>0</v>
      </c>
      <c r="S785" s="298">
        <f>IF(Scharniere[[#This Row],[Bohrbild]]=select!$A$755,1,0)</f>
        <v>0</v>
      </c>
      <c r="T785" s="298">
        <f>IF(IF(Scharniere[[#This Row],[Anschrauben]]=1,1,IF(Scharniere[[#This Row],[Einpressen]]=1,2,IF(Scharniere[[#This Row],[Quick]]=1,3,IF(Scharniere[[#This Row],[Werkzeuglos]]=1,4,0))))=select!$A$769,1,0)</f>
        <v>1</v>
      </c>
      <c r="U7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5" s="359">
        <f>IF(AND(Scharniere[[#This Row],[Scharnierart]]=4,Scharniere[[#This Row],[Gruppenschlüssel]]=select!$A$981)=TRUE,1,0)</f>
        <v>0</v>
      </c>
      <c r="W785" s="359">
        <f ca="1">IF(select!$O$1185&lt;6,1,0)</f>
        <v>1</v>
      </c>
      <c r="X785" s="359">
        <f>IF(select!$A$1012=IF(Scharniere[[#This Row],[mit Dämpfung]]=1,1,IF(Scharniere[[#This Row],[ohne Dämpfung]]=1,2,IF(Scharniere[[#This Row],[ohne Feder]]=1,3,0))),1,0)</f>
        <v>0</v>
      </c>
      <c r="Y785" s="359">
        <f>IF(Scharniere[[#This Row],[Bohrbild]]=select!$A$989,1,0)</f>
        <v>0</v>
      </c>
      <c r="Z785" s="359">
        <f>IF(IF(Scharniere[[#This Row],[Anschrauben]]=1,1,IF(Scharniere[[#This Row],[Einpressen]]=1,2,IF(Scharniere[[#This Row],[Quick]]=1,3,IF(Scharniere[[#This Row],[Werkzeuglos]]=1,4,0))))=select!$A$1003,1,0)</f>
        <v>1</v>
      </c>
      <c r="AA7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5" s="359">
        <f ca="1">IF(select!$K$980="*",Scharniere[[#This Row],[AG Ges2]],Scharniere[[#This Row],[AG Ges1]])</f>
        <v>0</v>
      </c>
      <c r="AE785" s="451">
        <f ca="1">IF(AND(Scharniere[[#This Row],[Scharnierart]]=select!$A$1485,Scharniere[[#This Row],[Gruppenschlüssel]]=select!$B$1485)=TRUE,1,0)</f>
        <v>0</v>
      </c>
      <c r="AF785" s="451">
        <f ca="1">IF(AND(Scharniere[[#This Row],[Scharnierart]]=select!$A$1486,Scharniere[[#This Row],[Gruppenschlüssel]]=select!$B$1486)=TRUE,1,0)</f>
        <v>0</v>
      </c>
      <c r="AG785" s="451">
        <f ca="1">IF(AND(Scharniere[[#This Row],[Scharnierart]]=select!$A$1487,Scharniere[[#This Row],[Gruppenschlüssel]]=select!$B$1487)=TRUE,1,0)</f>
        <v>0</v>
      </c>
      <c r="AH785" s="451">
        <f ca="1">IF(AND(Scharniere[[#This Row],[Scharnierart]]=select!$A$1488,Scharniere[[#This Row],[Gruppenschlüssel]]=select!$B$1488)=TRUE,1,0)</f>
        <v>0</v>
      </c>
      <c r="AI785" s="451">
        <f ca="1">IF(SUM(Scharniere[[#This Row],[konf Scharnier 1]:[konf Scharnier 4]])&gt;0,1,0)</f>
        <v>0</v>
      </c>
      <c r="AJ785" s="451"/>
      <c r="AK785" s="451"/>
      <c r="AL785" s="451"/>
      <c r="AM785" s="451"/>
      <c r="AN785" s="451"/>
      <c r="AO785" s="146">
        <v>2</v>
      </c>
      <c r="AP785" s="146">
        <v>2</v>
      </c>
      <c r="AQ785" s="71" t="str">
        <f ca="1">Sprache!$A$112</f>
        <v>Tiomos Scharnier TS Click-on</v>
      </c>
      <c r="AR785" t="str">
        <f ca="1">"110/90°, M-BB, "&amp;Sprache!$A$62&amp;" ni"</f>
        <v>110/90°, M-BB, einl. ni</v>
      </c>
      <c r="AS785" t="str">
        <f ca="1">Sprache!$A$103</f>
        <v>Tiomos Click-On Scharniere</v>
      </c>
      <c r="AT785" t="s">
        <v>1264</v>
      </c>
      <c r="AU785" t="s">
        <v>8</v>
      </c>
      <c r="AV785" t="s">
        <v>1489</v>
      </c>
      <c r="AW785" s="71">
        <v>1</v>
      </c>
      <c r="AX785">
        <v>0</v>
      </c>
      <c r="AY785">
        <v>0</v>
      </c>
      <c r="AZ785" s="71">
        <v>1</v>
      </c>
      <c r="BA785">
        <v>0</v>
      </c>
      <c r="BB785">
        <v>0</v>
      </c>
      <c r="BC785">
        <v>0</v>
      </c>
      <c r="BD785" s="144" t="s">
        <v>1520</v>
      </c>
      <c r="BF785" s="10"/>
      <c r="BG785"/>
    </row>
    <row r="786" spans="1:59" ht="14.25" customHeight="1" x14ac:dyDescent="0.25">
      <c r="A786" s="37" t="str">
        <f>LEFT(Scharniere[[#This Row],[ArtikelNR]],4)</f>
        <v>F045</v>
      </c>
      <c r="B786" s="35" t="str">
        <f>MID(Scharniere[[#This Row],[ArtikelNR]],5,3)</f>
        <v>138</v>
      </c>
      <c r="C786" s="37" t="str">
        <f>RIGHT(Scharniere[[#This Row],[ArtikelNR]],3)</f>
        <v>017</v>
      </c>
      <c r="D786" s="35">
        <f>IF(AND(Scharniere[[#This Row],[Gruppenschlüssel]]=select!$A$44,Scharniere[[#This Row],[Scharnierart]]=1)=TRUE,1,0)</f>
        <v>0</v>
      </c>
      <c r="E7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6" s="35">
        <f>IF(select!$F$57=IF(Scharniere[[#This Row],[mit Dämpfung]]=1,1,IF(Scharniere[[#This Row],[ohne Dämpfung]]=1,2,IF(Scharniere[[#This Row],[ohne Feder]]=1,3,0))),1,0)</f>
        <v>0</v>
      </c>
      <c r="G786" s="35">
        <f>IF(Scharniere[[#This Row],[Bohrbild]]=select!$V$43,1,0)</f>
        <v>1</v>
      </c>
      <c r="H786" s="35">
        <f>IF(IF(Scharniere[[#This Row],[Anschrauben]]=1,1,IF(Scharniere[[#This Row],[Einpressen]]=1,2,IF(Scharniere[[#This Row],[Quick]]=1,3,IF(Scharniere[[#This Row],[Werkzeuglos]]=1,4,0))))=select!$F$48,1,0)</f>
        <v>0</v>
      </c>
      <c r="I7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6" s="149">
        <f>IF(AND(Scharniere[[#This Row],[Scharnierart]]=2,Scharniere[[#This Row],[Gruppenschlüssel]]=select!$A$318)=TRUE,1,0)</f>
        <v>0</v>
      </c>
      <c r="K786" s="221">
        <f ca="1">IF(select!$O$424&lt;6,1,0)</f>
        <v>1</v>
      </c>
      <c r="L786" s="221">
        <f>IF(select!$A$362=IF(Scharniere[[#This Row],[mit Dämpfung]]=1,1,IF(Scharniere[[#This Row],[ohne Dämpfung]]=1,2,IF(Scharniere[[#This Row],[ohne Feder]]=1,3,0))),1,0)</f>
        <v>0</v>
      </c>
      <c r="M786" s="135">
        <f>IF(Scharniere[[#This Row],[Bohrbild]]=select!$O$334,1,0)</f>
        <v>1</v>
      </c>
      <c r="N786" s="135">
        <f>IF(IF(Scharniere[[#This Row],[Anschrauben]]=1,1,IF(Scharniere[[#This Row],[Einpressen]]=1,2,IF(Scharniere[[#This Row],[Quick]]=1,3,IF(Scharniere[[#This Row],[Werkzeuglos]]=1,4,0))))=select!$E$362,1,0)</f>
        <v>1</v>
      </c>
      <c r="O7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6" s="298">
        <f>IF(AND(Scharniere[[#This Row],[Scharnierart]]=3,Scharniere[[#This Row],[Gruppenschlüssel]]=select!$A$747)=TRUE,1,0)</f>
        <v>0</v>
      </c>
      <c r="Q786" s="298">
        <f ca="1">IF(select!$O$945&lt;6,1,0)</f>
        <v>1</v>
      </c>
      <c r="R786" s="298">
        <f>IF(select!$A$778=IF(Scharniere[[#This Row],[mit Dämpfung]]=1,1,IF(Scharniere[[#This Row],[ohne Dämpfung]]=1,2,IF(Scharniere[[#This Row],[ohne Feder]]=1,3,0))),1,0)</f>
        <v>1</v>
      </c>
      <c r="S786" s="298">
        <f>IF(Scharniere[[#This Row],[Bohrbild]]=select!$A$755,1,0)</f>
        <v>0</v>
      </c>
      <c r="T786" s="298">
        <f>IF(IF(Scharniere[[#This Row],[Anschrauben]]=1,1,IF(Scharniere[[#This Row],[Einpressen]]=1,2,IF(Scharniere[[#This Row],[Quick]]=1,3,IF(Scharniere[[#This Row],[Werkzeuglos]]=1,4,0))))=select!$A$769,1,0)</f>
        <v>1</v>
      </c>
      <c r="U7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6" s="359">
        <f>IF(AND(Scharniere[[#This Row],[Scharnierart]]=4,Scharniere[[#This Row],[Gruppenschlüssel]]=select!$A$981)=TRUE,1,0)</f>
        <v>0</v>
      </c>
      <c r="W786" s="359">
        <f ca="1">IF(select!$O$1185&lt;6,1,0)</f>
        <v>1</v>
      </c>
      <c r="X786" s="359">
        <f>IF(select!$A$1012=IF(Scharniere[[#This Row],[mit Dämpfung]]=1,1,IF(Scharniere[[#This Row],[ohne Dämpfung]]=1,2,IF(Scharniere[[#This Row],[ohne Feder]]=1,3,0))),1,0)</f>
        <v>1</v>
      </c>
      <c r="Y786" s="359">
        <f>IF(Scharniere[[#This Row],[Bohrbild]]=select!$A$989,1,0)</f>
        <v>0</v>
      </c>
      <c r="Z786" s="359">
        <f>IF(IF(Scharniere[[#This Row],[Anschrauben]]=1,1,IF(Scharniere[[#This Row],[Einpressen]]=1,2,IF(Scharniere[[#This Row],[Quick]]=1,3,IF(Scharniere[[#This Row],[Werkzeuglos]]=1,4,0))))=select!$A$1003,1,0)</f>
        <v>1</v>
      </c>
      <c r="AA7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6" s="359">
        <f ca="1">IF(select!$K$980="*",Scharniere[[#This Row],[AG Ges2]],Scharniere[[#This Row],[AG Ges1]])</f>
        <v>0</v>
      </c>
      <c r="AE786" s="451">
        <f ca="1">IF(AND(Scharniere[[#This Row],[Scharnierart]]=select!$A$1485,Scharniere[[#This Row],[Gruppenschlüssel]]=select!$B$1485)=TRUE,1,0)</f>
        <v>0</v>
      </c>
      <c r="AF786" s="451">
        <f ca="1">IF(AND(Scharniere[[#This Row],[Scharnierart]]=select!$A$1486,Scharniere[[#This Row],[Gruppenschlüssel]]=select!$B$1486)=TRUE,1,0)</f>
        <v>0</v>
      </c>
      <c r="AG786" s="451">
        <f ca="1">IF(AND(Scharniere[[#This Row],[Scharnierart]]=select!$A$1487,Scharniere[[#This Row],[Gruppenschlüssel]]=select!$B$1487)=TRUE,1,0)</f>
        <v>0</v>
      </c>
      <c r="AH786" s="451">
        <f ca="1">IF(AND(Scharniere[[#This Row],[Scharnierart]]=select!$A$1488,Scharniere[[#This Row],[Gruppenschlüssel]]=select!$B$1488)=TRUE,1,0)</f>
        <v>0</v>
      </c>
      <c r="AI786" s="451">
        <f ca="1">IF(SUM(Scharniere[[#This Row],[konf Scharnier 1]:[konf Scharnier 4]])&gt;0,1,0)</f>
        <v>0</v>
      </c>
      <c r="AJ786" s="451"/>
      <c r="AK786" s="451"/>
      <c r="AL786" s="451"/>
      <c r="AM786" s="451"/>
      <c r="AN786" s="451"/>
      <c r="AO786" s="146">
        <v>2</v>
      </c>
      <c r="AP786" s="146">
        <v>2</v>
      </c>
      <c r="AQ786" s="71" t="str">
        <f ca="1">Sprache!$A$118</f>
        <v>Tiomos Scharnier T Click-on</v>
      </c>
      <c r="AR786" t="str">
        <f ca="1">"110/90°, M-BB, "&amp;Sprache!$A$62&amp;" ni"</f>
        <v>110/90°, M-BB, einl. ni</v>
      </c>
      <c r="AS786" t="str">
        <f ca="1">Sprache!$A$103</f>
        <v>Tiomos Click-On Scharniere</v>
      </c>
      <c r="AT786" t="s">
        <v>1264</v>
      </c>
      <c r="AU786" t="s">
        <v>8</v>
      </c>
      <c r="AV786" t="s">
        <v>1489</v>
      </c>
      <c r="AW786" s="71">
        <v>0</v>
      </c>
      <c r="AX786">
        <v>1</v>
      </c>
      <c r="AY786">
        <v>0</v>
      </c>
      <c r="AZ786" s="71">
        <v>1</v>
      </c>
      <c r="BA786">
        <v>0</v>
      </c>
      <c r="BB786">
        <v>0</v>
      </c>
      <c r="BC786">
        <v>0</v>
      </c>
      <c r="BD786" s="144" t="s">
        <v>1622</v>
      </c>
      <c r="BF786" s="10"/>
      <c r="BG786"/>
    </row>
    <row r="787" spans="1:59" ht="14.25" customHeight="1" x14ac:dyDescent="0.25">
      <c r="A787" s="37" t="str">
        <f>LEFT(Scharniere[[#This Row],[ArtikelNR]],4)</f>
        <v>F046</v>
      </c>
      <c r="B787" s="35" t="str">
        <f>MID(Scharniere[[#This Row],[ArtikelNR]],5,3)</f>
        <v>138</v>
      </c>
      <c r="C787" s="37" t="str">
        <f>RIGHT(Scharniere[[#This Row],[ArtikelNR]],3)</f>
        <v>201</v>
      </c>
      <c r="D787" s="35">
        <f>IF(AND(Scharniere[[#This Row],[Gruppenschlüssel]]=select!$A$44,Scharniere[[#This Row],[Scharnierart]]=1)=TRUE,1,0)</f>
        <v>0</v>
      </c>
      <c r="E7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7" s="35">
        <f>IF(select!$F$57=IF(Scharniere[[#This Row],[mit Dämpfung]]=1,1,IF(Scharniere[[#This Row],[ohne Dämpfung]]=1,2,IF(Scharniere[[#This Row],[ohne Feder]]=1,3,0))),1,0)</f>
        <v>1</v>
      </c>
      <c r="G787" s="35">
        <f>IF(Scharniere[[#This Row],[Bohrbild]]=select!$V$43,1,0)</f>
        <v>1</v>
      </c>
      <c r="H787" s="35">
        <f>IF(IF(Scharniere[[#This Row],[Anschrauben]]=1,1,IF(Scharniere[[#This Row],[Einpressen]]=1,2,IF(Scharniere[[#This Row],[Quick]]=1,3,IF(Scharniere[[#This Row],[Werkzeuglos]]=1,4,0))))=select!$F$48,1,0)</f>
        <v>0</v>
      </c>
      <c r="I7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7" s="149">
        <f>IF(AND(Scharniere[[#This Row],[Scharnierart]]=2,Scharniere[[#This Row],[Gruppenschlüssel]]=select!$A$318)=TRUE,1,0)</f>
        <v>0</v>
      </c>
      <c r="K787" s="221">
        <f ca="1">IF(select!$O$424&lt;6,1,0)</f>
        <v>1</v>
      </c>
      <c r="L787" s="221">
        <f>IF(select!$A$362=IF(Scharniere[[#This Row],[mit Dämpfung]]=1,1,IF(Scharniere[[#This Row],[ohne Dämpfung]]=1,2,IF(Scharniere[[#This Row],[ohne Feder]]=1,3,0))),1,0)</f>
        <v>0</v>
      </c>
      <c r="M787" s="135">
        <f>IF(Scharniere[[#This Row],[Bohrbild]]=select!$O$334,1,0)</f>
        <v>1</v>
      </c>
      <c r="N787" s="135">
        <f>IF(IF(Scharniere[[#This Row],[Anschrauben]]=1,1,IF(Scharniere[[#This Row],[Einpressen]]=1,2,IF(Scharniere[[#This Row],[Quick]]=1,3,IF(Scharniere[[#This Row],[Werkzeuglos]]=1,4,0))))=select!$E$362,1,0)</f>
        <v>1</v>
      </c>
      <c r="O7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7" s="298">
        <f>IF(AND(Scharniere[[#This Row],[Scharnierart]]=3,Scharniere[[#This Row],[Gruppenschlüssel]]=select!$A$747)=TRUE,1,0)</f>
        <v>0</v>
      </c>
      <c r="Q787" s="298">
        <f ca="1">IF(select!$O$945&lt;6,1,0)</f>
        <v>1</v>
      </c>
      <c r="R787" s="298">
        <f>IF(select!$A$778=IF(Scharniere[[#This Row],[mit Dämpfung]]=1,1,IF(Scharniere[[#This Row],[ohne Dämpfung]]=1,2,IF(Scharniere[[#This Row],[ohne Feder]]=1,3,0))),1,0)</f>
        <v>0</v>
      </c>
      <c r="S787" s="298">
        <f>IF(Scharniere[[#This Row],[Bohrbild]]=select!$A$755,1,0)</f>
        <v>0</v>
      </c>
      <c r="T787" s="298">
        <f>IF(IF(Scharniere[[#This Row],[Anschrauben]]=1,1,IF(Scharniere[[#This Row],[Einpressen]]=1,2,IF(Scharniere[[#This Row],[Quick]]=1,3,IF(Scharniere[[#This Row],[Werkzeuglos]]=1,4,0))))=select!$A$769,1,0)</f>
        <v>1</v>
      </c>
      <c r="U7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7" s="359">
        <f>IF(AND(Scharniere[[#This Row],[Scharnierart]]=4,Scharniere[[#This Row],[Gruppenschlüssel]]=select!$A$981)=TRUE,1,0)</f>
        <v>0</v>
      </c>
      <c r="W787" s="359">
        <f ca="1">IF(select!$O$1185&lt;6,1,0)</f>
        <v>1</v>
      </c>
      <c r="X787" s="359">
        <f>IF(select!$A$1012=IF(Scharniere[[#This Row],[mit Dämpfung]]=1,1,IF(Scharniere[[#This Row],[ohne Dämpfung]]=1,2,IF(Scharniere[[#This Row],[ohne Feder]]=1,3,0))),1,0)</f>
        <v>0</v>
      </c>
      <c r="Y787" s="359">
        <f>IF(Scharniere[[#This Row],[Bohrbild]]=select!$A$989,1,0)</f>
        <v>0</v>
      </c>
      <c r="Z787" s="359">
        <f>IF(IF(Scharniere[[#This Row],[Anschrauben]]=1,1,IF(Scharniere[[#This Row],[Einpressen]]=1,2,IF(Scharniere[[#This Row],[Quick]]=1,3,IF(Scharniere[[#This Row],[Werkzeuglos]]=1,4,0))))=select!$A$1003,1,0)</f>
        <v>1</v>
      </c>
      <c r="AA7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7" s="359">
        <f ca="1">IF(select!$K$980="*",Scharniere[[#This Row],[AG Ges2]],Scharniere[[#This Row],[AG Ges1]])</f>
        <v>0</v>
      </c>
      <c r="AE787" s="451">
        <f ca="1">IF(AND(Scharniere[[#This Row],[Scharnierart]]=select!$A$1485,Scharniere[[#This Row],[Gruppenschlüssel]]=select!$B$1485)=TRUE,1,0)</f>
        <v>0</v>
      </c>
      <c r="AF787" s="451">
        <f ca="1">IF(AND(Scharniere[[#This Row],[Scharnierart]]=select!$A$1486,Scharniere[[#This Row],[Gruppenschlüssel]]=select!$B$1486)=TRUE,1,0)</f>
        <v>0</v>
      </c>
      <c r="AG787" s="451">
        <f ca="1">IF(AND(Scharniere[[#This Row],[Scharnierart]]=select!$A$1487,Scharniere[[#This Row],[Gruppenschlüssel]]=select!$B$1487)=TRUE,1,0)</f>
        <v>0</v>
      </c>
      <c r="AH787" s="451">
        <f ca="1">IF(AND(Scharniere[[#This Row],[Scharnierart]]=select!$A$1488,Scharniere[[#This Row],[Gruppenschlüssel]]=select!$B$1488)=TRUE,1,0)</f>
        <v>0</v>
      </c>
      <c r="AI787" s="451">
        <f ca="1">IF(SUM(Scharniere[[#This Row],[konf Scharnier 1]:[konf Scharnier 4]])&gt;0,1,0)</f>
        <v>0</v>
      </c>
      <c r="AJ787" s="451"/>
      <c r="AK787" s="451"/>
      <c r="AL787" s="451"/>
      <c r="AM787" s="451"/>
      <c r="AN787" s="451"/>
      <c r="AO787" s="146">
        <v>2</v>
      </c>
      <c r="AP787" s="146">
        <v>2</v>
      </c>
      <c r="AQ787" s="71" t="str">
        <f ca="1">Sprache!$A$114</f>
        <v>Tiomos Scharnier TT Click-on</v>
      </c>
      <c r="AR787" t="str">
        <f ca="1">"110/90°, M-BB, "&amp;Sprache!$A$62&amp;" ni"</f>
        <v>110/90°, M-BB, einl. ni</v>
      </c>
      <c r="AS787" t="str">
        <f ca="1">Sprache!$A$103</f>
        <v>Tiomos Click-On Scharniere</v>
      </c>
      <c r="AT787" t="s">
        <v>1264</v>
      </c>
      <c r="AU787" t="s">
        <v>8</v>
      </c>
      <c r="AV787" t="s">
        <v>1489</v>
      </c>
      <c r="AW787" s="71">
        <v>0</v>
      </c>
      <c r="AX787">
        <v>0</v>
      </c>
      <c r="AY787">
        <v>1</v>
      </c>
      <c r="AZ787" s="71">
        <v>1</v>
      </c>
      <c r="BA787">
        <v>0</v>
      </c>
      <c r="BB787">
        <v>0</v>
      </c>
      <c r="BC787">
        <v>0</v>
      </c>
      <c r="BD787" s="144" t="s">
        <v>1706</v>
      </c>
      <c r="BF787" s="10"/>
      <c r="BG787"/>
    </row>
    <row r="788" spans="1:59" ht="14.25" customHeight="1" x14ac:dyDescent="0.25">
      <c r="A788" s="37" t="str">
        <f>LEFT(Scharniere[[#This Row],[ArtikelNR]],4)</f>
        <v>F017</v>
      </c>
      <c r="B788" s="35" t="str">
        <f>MID(Scharniere[[#This Row],[ArtikelNR]],5,3)</f>
        <v>139</v>
      </c>
      <c r="C788" s="37" t="str">
        <f>RIGHT(Scharniere[[#This Row],[ArtikelNR]],3)</f>
        <v>342</v>
      </c>
      <c r="D788" s="35">
        <f>IF(AND(Scharniere[[#This Row],[Gruppenschlüssel]]=select!$A$44,Scharniere[[#This Row],[Scharnierart]]=1)=TRUE,1,0)</f>
        <v>0</v>
      </c>
      <c r="E7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8" s="35">
        <f>IF(select!$F$57=IF(Scharniere[[#This Row],[mit Dämpfung]]=1,1,IF(Scharniere[[#This Row],[ohne Dämpfung]]=1,2,IF(Scharniere[[#This Row],[ohne Feder]]=1,3,0))),1,0)</f>
        <v>0</v>
      </c>
      <c r="G788" s="35">
        <f>IF(Scharniere[[#This Row],[Bohrbild]]=select!$V$43,1,0)</f>
        <v>1</v>
      </c>
      <c r="H788" s="35">
        <f>IF(IF(Scharniere[[#This Row],[Anschrauben]]=1,1,IF(Scharniere[[#This Row],[Einpressen]]=1,2,IF(Scharniere[[#This Row],[Quick]]=1,3,IF(Scharniere[[#This Row],[Werkzeuglos]]=1,4,0))))=select!$F$48,1,0)</f>
        <v>0</v>
      </c>
      <c r="I7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8" s="149">
        <f>IF(AND(Scharniere[[#This Row],[Scharnierart]]=2,Scharniere[[#This Row],[Gruppenschlüssel]]=select!$A$318)=TRUE,1,0)</f>
        <v>0</v>
      </c>
      <c r="K788" s="221">
        <f ca="1">IF(select!$O$424&lt;6,1,0)</f>
        <v>1</v>
      </c>
      <c r="L788" s="221">
        <f>IF(select!$A$362=IF(Scharniere[[#This Row],[mit Dämpfung]]=1,1,IF(Scharniere[[#This Row],[ohne Dämpfung]]=1,2,IF(Scharniere[[#This Row],[ohne Feder]]=1,3,0))),1,0)</f>
        <v>1</v>
      </c>
      <c r="M788" s="135">
        <f>IF(Scharniere[[#This Row],[Bohrbild]]=select!$O$334,1,0)</f>
        <v>1</v>
      </c>
      <c r="N788" s="135">
        <f>IF(IF(Scharniere[[#This Row],[Anschrauben]]=1,1,IF(Scharniere[[#This Row],[Einpressen]]=1,2,IF(Scharniere[[#This Row],[Quick]]=1,3,IF(Scharniere[[#This Row],[Werkzeuglos]]=1,4,0))))=select!$E$362,1,0)</f>
        <v>0</v>
      </c>
      <c r="O7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8" s="298">
        <f>IF(AND(Scharniere[[#This Row],[Scharnierart]]=3,Scharniere[[#This Row],[Gruppenschlüssel]]=select!$A$747)=TRUE,1,0)</f>
        <v>0</v>
      </c>
      <c r="Q788" s="298">
        <f ca="1">IF(select!$O$945&lt;6,1,0)</f>
        <v>1</v>
      </c>
      <c r="R788" s="298">
        <f>IF(select!$A$778=IF(Scharniere[[#This Row],[mit Dämpfung]]=1,1,IF(Scharniere[[#This Row],[ohne Dämpfung]]=1,2,IF(Scharniere[[#This Row],[ohne Feder]]=1,3,0))),1,0)</f>
        <v>0</v>
      </c>
      <c r="S788" s="298">
        <f>IF(Scharniere[[#This Row],[Bohrbild]]=select!$A$755,1,0)</f>
        <v>0</v>
      </c>
      <c r="T788" s="298">
        <f>IF(IF(Scharniere[[#This Row],[Anschrauben]]=1,1,IF(Scharniere[[#This Row],[Einpressen]]=1,2,IF(Scharniere[[#This Row],[Quick]]=1,3,IF(Scharniere[[#This Row],[Werkzeuglos]]=1,4,0))))=select!$A$769,1,0)</f>
        <v>0</v>
      </c>
      <c r="U7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8" s="359">
        <f>IF(AND(Scharniere[[#This Row],[Scharnierart]]=4,Scharniere[[#This Row],[Gruppenschlüssel]]=select!$A$981)=TRUE,1,0)</f>
        <v>0</v>
      </c>
      <c r="W788" s="359">
        <f ca="1">IF(select!$O$1185&lt;6,1,0)</f>
        <v>1</v>
      </c>
      <c r="X788" s="359">
        <f>IF(select!$A$1012=IF(Scharniere[[#This Row],[mit Dämpfung]]=1,1,IF(Scharniere[[#This Row],[ohne Dämpfung]]=1,2,IF(Scharniere[[#This Row],[ohne Feder]]=1,3,0))),1,0)</f>
        <v>0</v>
      </c>
      <c r="Y788" s="359">
        <f>IF(Scharniere[[#This Row],[Bohrbild]]=select!$A$989,1,0)</f>
        <v>0</v>
      </c>
      <c r="Z788" s="359">
        <f>IF(IF(Scharniere[[#This Row],[Anschrauben]]=1,1,IF(Scharniere[[#This Row],[Einpressen]]=1,2,IF(Scharniere[[#This Row],[Quick]]=1,3,IF(Scharniere[[#This Row],[Werkzeuglos]]=1,4,0))))=select!$A$1003,1,0)</f>
        <v>0</v>
      </c>
      <c r="AA7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8" s="359">
        <f ca="1">IF(select!$K$980="*",Scharniere[[#This Row],[AG Ges2]],Scharniere[[#This Row],[AG Ges1]])</f>
        <v>0</v>
      </c>
      <c r="AE788" s="451">
        <f ca="1">IF(AND(Scharniere[[#This Row],[Scharnierart]]=select!$A$1485,Scharniere[[#This Row],[Gruppenschlüssel]]=select!$B$1485)=TRUE,1,0)</f>
        <v>0</v>
      </c>
      <c r="AF788" s="451">
        <f ca="1">IF(AND(Scharniere[[#This Row],[Scharnierart]]=select!$A$1486,Scharniere[[#This Row],[Gruppenschlüssel]]=select!$B$1486)=TRUE,1,0)</f>
        <v>0</v>
      </c>
      <c r="AG788" s="451">
        <f ca="1">IF(AND(Scharniere[[#This Row],[Scharnierart]]=select!$A$1487,Scharniere[[#This Row],[Gruppenschlüssel]]=select!$B$1487)=TRUE,1,0)</f>
        <v>0</v>
      </c>
      <c r="AH788" s="451">
        <f ca="1">IF(AND(Scharniere[[#This Row],[Scharnierart]]=select!$A$1488,Scharniere[[#This Row],[Gruppenschlüssel]]=select!$B$1488)=TRUE,1,0)</f>
        <v>0</v>
      </c>
      <c r="AI788" s="451">
        <f ca="1">IF(SUM(Scharniere[[#This Row],[konf Scharnier 1]:[konf Scharnier 4]])&gt;0,1,0)</f>
        <v>0</v>
      </c>
      <c r="AJ788" s="451"/>
      <c r="AK788" s="451"/>
      <c r="AL788" s="451"/>
      <c r="AM788" s="451"/>
      <c r="AN788" s="451"/>
      <c r="AO788" s="146">
        <v>2</v>
      </c>
      <c r="AP788" s="146">
        <v>2</v>
      </c>
      <c r="AQ788" s="71" t="str">
        <f ca="1">Sprache!$A$113</f>
        <v>Tiomos Scharnier TS Impresso</v>
      </c>
      <c r="AR788" t="str">
        <f ca="1">"110/90°, MB-BB, "&amp;Sprache!$A$62&amp;" ni"</f>
        <v>110/90°, MB-BB, einl. ni</v>
      </c>
      <c r="AS788" t="str">
        <f ca="1">Sprache!$A$116</f>
        <v>Tiomos Impresso Scharniere</v>
      </c>
      <c r="AT788" t="s">
        <v>1264</v>
      </c>
      <c r="AU788" t="s">
        <v>8</v>
      </c>
      <c r="AV788" t="s">
        <v>1489</v>
      </c>
      <c r="AW788" s="71">
        <v>1</v>
      </c>
      <c r="AX788">
        <v>0</v>
      </c>
      <c r="AY788">
        <v>0</v>
      </c>
      <c r="AZ788" s="71">
        <v>0</v>
      </c>
      <c r="BA788">
        <v>0</v>
      </c>
      <c r="BB788">
        <v>0</v>
      </c>
      <c r="BC788">
        <v>1</v>
      </c>
      <c r="BD788" s="144" t="s">
        <v>1455</v>
      </c>
      <c r="BF788" s="10"/>
      <c r="BG788"/>
    </row>
    <row r="789" spans="1:59" ht="14.25" customHeight="1" x14ac:dyDescent="0.25">
      <c r="A789" s="37" t="str">
        <f>LEFT(Scharniere[[#This Row],[ArtikelNR]],4)</f>
        <v>F017</v>
      </c>
      <c r="B789" s="35" t="str">
        <f>MID(Scharniere[[#This Row],[ArtikelNR]],5,3)</f>
        <v>139</v>
      </c>
      <c r="C789" s="37" t="str">
        <f>RIGHT(Scharniere[[#This Row],[ArtikelNR]],3)</f>
        <v>342</v>
      </c>
      <c r="D789" s="35">
        <f>IF(AND(Scharniere[[#This Row],[Gruppenschlüssel]]=select!$A$44,Scharniere[[#This Row],[Scharnierart]]=1)=TRUE,1,0)</f>
        <v>0</v>
      </c>
      <c r="E7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89" s="35">
        <f>IF(select!$F$57=IF(Scharniere[[#This Row],[mit Dämpfung]]=1,1,IF(Scharniere[[#This Row],[ohne Dämpfung]]=1,2,IF(Scharniere[[#This Row],[ohne Feder]]=1,3,0))),1,0)</f>
        <v>0</v>
      </c>
      <c r="G789" s="35">
        <f>IF(Scharniere[[#This Row],[Bohrbild]]=select!$V$43,1,0)</f>
        <v>0</v>
      </c>
      <c r="H789" s="35">
        <f>IF(IF(Scharniere[[#This Row],[Anschrauben]]=1,1,IF(Scharniere[[#This Row],[Einpressen]]=1,2,IF(Scharniere[[#This Row],[Quick]]=1,3,IF(Scharniere[[#This Row],[Werkzeuglos]]=1,4,0))))=select!$F$48,1,0)</f>
        <v>0</v>
      </c>
      <c r="I7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89" s="149">
        <f>IF(AND(Scharniere[[#This Row],[Scharnierart]]=2,Scharniere[[#This Row],[Gruppenschlüssel]]=select!$A$318)=TRUE,1,0)</f>
        <v>0</v>
      </c>
      <c r="K789" s="221">
        <f ca="1">IF(select!$O$424&lt;6,1,0)</f>
        <v>1</v>
      </c>
      <c r="L789" s="221">
        <f>IF(select!$A$362=IF(Scharniere[[#This Row],[mit Dämpfung]]=1,1,IF(Scharniere[[#This Row],[ohne Dämpfung]]=1,2,IF(Scharniere[[#This Row],[ohne Feder]]=1,3,0))),1,0)</f>
        <v>1</v>
      </c>
      <c r="M789" s="135">
        <f>IF(Scharniere[[#This Row],[Bohrbild]]=select!$O$334,1,0)</f>
        <v>0</v>
      </c>
      <c r="N789" s="135">
        <f>IF(IF(Scharniere[[#This Row],[Anschrauben]]=1,1,IF(Scharniere[[#This Row],[Einpressen]]=1,2,IF(Scharniere[[#This Row],[Quick]]=1,3,IF(Scharniere[[#This Row],[Werkzeuglos]]=1,4,0))))=select!$E$362,1,0)</f>
        <v>0</v>
      </c>
      <c r="O7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89" s="298">
        <f>IF(AND(Scharniere[[#This Row],[Scharnierart]]=3,Scharniere[[#This Row],[Gruppenschlüssel]]=select!$A$747)=TRUE,1,0)</f>
        <v>0</v>
      </c>
      <c r="Q789" s="298">
        <f ca="1">IF(select!$O$945&lt;6,1,0)</f>
        <v>1</v>
      </c>
      <c r="R789" s="298">
        <f>IF(select!$A$778=IF(Scharniere[[#This Row],[mit Dämpfung]]=1,1,IF(Scharniere[[#This Row],[ohne Dämpfung]]=1,2,IF(Scharniere[[#This Row],[ohne Feder]]=1,3,0))),1,0)</f>
        <v>0</v>
      </c>
      <c r="S789" s="298">
        <f>IF(Scharniere[[#This Row],[Bohrbild]]=select!$A$755,1,0)</f>
        <v>0</v>
      </c>
      <c r="T789" s="298">
        <f>IF(IF(Scharniere[[#This Row],[Anschrauben]]=1,1,IF(Scharniere[[#This Row],[Einpressen]]=1,2,IF(Scharniere[[#This Row],[Quick]]=1,3,IF(Scharniere[[#This Row],[Werkzeuglos]]=1,4,0))))=select!$A$769,1,0)</f>
        <v>0</v>
      </c>
      <c r="U7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89" s="359">
        <f>IF(AND(Scharniere[[#This Row],[Scharnierart]]=4,Scharniere[[#This Row],[Gruppenschlüssel]]=select!$A$981)=TRUE,1,0)</f>
        <v>0</v>
      </c>
      <c r="W789" s="359">
        <f ca="1">IF(select!$O$1185&lt;6,1,0)</f>
        <v>1</v>
      </c>
      <c r="X789" s="359">
        <f>IF(select!$A$1012=IF(Scharniere[[#This Row],[mit Dämpfung]]=1,1,IF(Scharniere[[#This Row],[ohne Dämpfung]]=1,2,IF(Scharniere[[#This Row],[ohne Feder]]=1,3,0))),1,0)</f>
        <v>0</v>
      </c>
      <c r="Y789" s="359">
        <f>IF(Scharniere[[#This Row],[Bohrbild]]=select!$A$989,1,0)</f>
        <v>0</v>
      </c>
      <c r="Z789" s="359">
        <f>IF(IF(Scharniere[[#This Row],[Anschrauben]]=1,1,IF(Scharniere[[#This Row],[Einpressen]]=1,2,IF(Scharniere[[#This Row],[Quick]]=1,3,IF(Scharniere[[#This Row],[Werkzeuglos]]=1,4,0))))=select!$A$1003,1,0)</f>
        <v>0</v>
      </c>
      <c r="AA7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89" s="359">
        <f ca="1">IF(select!$K$980="*",Scharniere[[#This Row],[AG Ges2]],Scharniere[[#This Row],[AG Ges1]])</f>
        <v>0</v>
      </c>
      <c r="AE789" s="451">
        <f ca="1">IF(AND(Scharniere[[#This Row],[Scharnierart]]=select!$A$1485,Scharniere[[#This Row],[Gruppenschlüssel]]=select!$B$1485)=TRUE,1,0)</f>
        <v>0</v>
      </c>
      <c r="AF789" s="451">
        <f ca="1">IF(AND(Scharniere[[#This Row],[Scharnierart]]=select!$A$1486,Scharniere[[#This Row],[Gruppenschlüssel]]=select!$B$1486)=TRUE,1,0)</f>
        <v>0</v>
      </c>
      <c r="AG789" s="451">
        <f ca="1">IF(AND(Scharniere[[#This Row],[Scharnierart]]=select!$A$1487,Scharniere[[#This Row],[Gruppenschlüssel]]=select!$B$1487)=TRUE,1,0)</f>
        <v>0</v>
      </c>
      <c r="AH789" s="451">
        <f ca="1">IF(AND(Scharniere[[#This Row],[Scharnierart]]=select!$A$1488,Scharniere[[#This Row],[Gruppenschlüssel]]=select!$B$1488)=TRUE,1,0)</f>
        <v>0</v>
      </c>
      <c r="AI789" s="451">
        <f ca="1">IF(SUM(Scharniere[[#This Row],[konf Scharnier 1]:[konf Scharnier 4]])&gt;0,1,0)</f>
        <v>0</v>
      </c>
      <c r="AJ789" s="451"/>
      <c r="AK789" s="451"/>
      <c r="AL789" s="451"/>
      <c r="AM789" s="451"/>
      <c r="AN789" s="451"/>
      <c r="AO789" s="146">
        <v>2</v>
      </c>
      <c r="AP789" s="146">
        <v>2</v>
      </c>
      <c r="AQ789" s="71" t="str">
        <f ca="1">Sprache!$A$113</f>
        <v>Tiomos Scharnier TS Impresso</v>
      </c>
      <c r="AR789" t="str">
        <f ca="1">"110/90°, MB-BB, "&amp;Sprache!$A$62&amp;" ni"</f>
        <v>110/90°, MB-BB, einl. ni</v>
      </c>
      <c r="AS789" t="str">
        <f ca="1">Sprache!$A$116</f>
        <v>Tiomos Impresso Scharniere</v>
      </c>
      <c r="AT789" t="s">
        <v>1264</v>
      </c>
      <c r="AU789" t="s">
        <v>3</v>
      </c>
      <c r="AV789" t="s">
        <v>1489</v>
      </c>
      <c r="AW789" s="71">
        <v>1</v>
      </c>
      <c r="AX789">
        <v>0</v>
      </c>
      <c r="AY789">
        <v>0</v>
      </c>
      <c r="AZ789" s="71">
        <v>0</v>
      </c>
      <c r="BA789">
        <v>0</v>
      </c>
      <c r="BB789">
        <v>0</v>
      </c>
      <c r="BC789">
        <v>1</v>
      </c>
      <c r="BD789" s="144" t="s">
        <v>1455</v>
      </c>
      <c r="BF789" s="10"/>
      <c r="BG789"/>
    </row>
    <row r="790" spans="1:59" ht="14.25" customHeight="1" x14ac:dyDescent="0.25">
      <c r="A790" s="37" t="str">
        <f>LEFT(Scharniere[[#This Row],[ArtikelNR]],4)</f>
        <v>F034</v>
      </c>
      <c r="B790" s="35" t="str">
        <f>MID(Scharniere[[#This Row],[ArtikelNR]],5,3)</f>
        <v>139</v>
      </c>
      <c r="C790" s="37" t="str">
        <f>RIGHT(Scharniere[[#This Row],[ArtikelNR]],3)</f>
        <v>313</v>
      </c>
      <c r="D790" s="35">
        <f>IF(AND(Scharniere[[#This Row],[Gruppenschlüssel]]=select!$A$44,Scharniere[[#This Row],[Scharnierart]]=1)=TRUE,1,0)</f>
        <v>0</v>
      </c>
      <c r="E7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0" s="35">
        <f>IF(select!$F$57=IF(Scharniere[[#This Row],[mit Dämpfung]]=1,1,IF(Scharniere[[#This Row],[ohne Dämpfung]]=1,2,IF(Scharniere[[#This Row],[ohne Feder]]=1,3,0))),1,0)</f>
        <v>0</v>
      </c>
      <c r="G790" s="35">
        <f>IF(Scharniere[[#This Row],[Bohrbild]]=select!$V$43,1,0)</f>
        <v>1</v>
      </c>
      <c r="H790" s="35">
        <f>IF(IF(Scharniere[[#This Row],[Anschrauben]]=1,1,IF(Scharniere[[#This Row],[Einpressen]]=1,2,IF(Scharniere[[#This Row],[Quick]]=1,3,IF(Scharniere[[#This Row],[Werkzeuglos]]=1,4,0))))=select!$F$48,1,0)</f>
        <v>0</v>
      </c>
      <c r="I7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0" s="149">
        <f>IF(AND(Scharniere[[#This Row],[Scharnierart]]=2,Scharniere[[#This Row],[Gruppenschlüssel]]=select!$A$318)=TRUE,1,0)</f>
        <v>0</v>
      </c>
      <c r="K790" s="221">
        <f ca="1">IF(select!$O$424&lt;6,1,0)</f>
        <v>1</v>
      </c>
      <c r="L790" s="221">
        <f>IF(select!$A$362=IF(Scharniere[[#This Row],[mit Dämpfung]]=1,1,IF(Scharniere[[#This Row],[ohne Dämpfung]]=1,2,IF(Scharniere[[#This Row],[ohne Feder]]=1,3,0))),1,0)</f>
        <v>0</v>
      </c>
      <c r="M790" s="135">
        <f>IF(Scharniere[[#This Row],[Bohrbild]]=select!$O$334,1,0)</f>
        <v>1</v>
      </c>
      <c r="N790" s="135">
        <f>IF(IF(Scharniere[[#This Row],[Anschrauben]]=1,1,IF(Scharniere[[#This Row],[Einpressen]]=1,2,IF(Scharniere[[#This Row],[Quick]]=1,3,IF(Scharniere[[#This Row],[Werkzeuglos]]=1,4,0))))=select!$E$362,1,0)</f>
        <v>0</v>
      </c>
      <c r="O7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0" s="298">
        <f>IF(AND(Scharniere[[#This Row],[Scharnierart]]=3,Scharniere[[#This Row],[Gruppenschlüssel]]=select!$A$747)=TRUE,1,0)</f>
        <v>0</v>
      </c>
      <c r="Q790" s="298">
        <f ca="1">IF(select!$O$945&lt;6,1,0)</f>
        <v>1</v>
      </c>
      <c r="R790" s="298">
        <f>IF(select!$A$778=IF(Scharniere[[#This Row],[mit Dämpfung]]=1,1,IF(Scharniere[[#This Row],[ohne Dämpfung]]=1,2,IF(Scharniere[[#This Row],[ohne Feder]]=1,3,0))),1,0)</f>
        <v>1</v>
      </c>
      <c r="S790" s="298">
        <f>IF(Scharniere[[#This Row],[Bohrbild]]=select!$A$755,1,0)</f>
        <v>0</v>
      </c>
      <c r="T790" s="298">
        <f>IF(IF(Scharniere[[#This Row],[Anschrauben]]=1,1,IF(Scharniere[[#This Row],[Einpressen]]=1,2,IF(Scharniere[[#This Row],[Quick]]=1,3,IF(Scharniere[[#This Row],[Werkzeuglos]]=1,4,0))))=select!$A$769,1,0)</f>
        <v>0</v>
      </c>
      <c r="U7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0" s="359">
        <f>IF(AND(Scharniere[[#This Row],[Scharnierart]]=4,Scharniere[[#This Row],[Gruppenschlüssel]]=select!$A$981)=TRUE,1,0)</f>
        <v>0</v>
      </c>
      <c r="W790" s="359">
        <f ca="1">IF(select!$O$1185&lt;6,1,0)</f>
        <v>1</v>
      </c>
      <c r="X790" s="359">
        <f>IF(select!$A$1012=IF(Scharniere[[#This Row],[mit Dämpfung]]=1,1,IF(Scharniere[[#This Row],[ohne Dämpfung]]=1,2,IF(Scharniere[[#This Row],[ohne Feder]]=1,3,0))),1,0)</f>
        <v>1</v>
      </c>
      <c r="Y790" s="359">
        <f>IF(Scharniere[[#This Row],[Bohrbild]]=select!$A$989,1,0)</f>
        <v>0</v>
      </c>
      <c r="Z790" s="359">
        <f>IF(IF(Scharniere[[#This Row],[Anschrauben]]=1,1,IF(Scharniere[[#This Row],[Einpressen]]=1,2,IF(Scharniere[[#This Row],[Quick]]=1,3,IF(Scharniere[[#This Row],[Werkzeuglos]]=1,4,0))))=select!$A$1003,1,0)</f>
        <v>0</v>
      </c>
      <c r="AA7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0" s="359">
        <f ca="1">IF(select!$K$980="*",Scharniere[[#This Row],[AG Ges2]],Scharniere[[#This Row],[AG Ges1]])</f>
        <v>0</v>
      </c>
      <c r="AE790" s="451">
        <f ca="1">IF(AND(Scharniere[[#This Row],[Scharnierart]]=select!$A$1485,Scharniere[[#This Row],[Gruppenschlüssel]]=select!$B$1485)=TRUE,1,0)</f>
        <v>0</v>
      </c>
      <c r="AF790" s="451">
        <f ca="1">IF(AND(Scharniere[[#This Row],[Scharnierart]]=select!$A$1486,Scharniere[[#This Row],[Gruppenschlüssel]]=select!$B$1486)=TRUE,1,0)</f>
        <v>0</v>
      </c>
      <c r="AG790" s="451">
        <f ca="1">IF(AND(Scharniere[[#This Row],[Scharnierart]]=select!$A$1487,Scharniere[[#This Row],[Gruppenschlüssel]]=select!$B$1487)=TRUE,1,0)</f>
        <v>0</v>
      </c>
      <c r="AH790" s="451">
        <f ca="1">IF(AND(Scharniere[[#This Row],[Scharnierart]]=select!$A$1488,Scharniere[[#This Row],[Gruppenschlüssel]]=select!$B$1488)=TRUE,1,0)</f>
        <v>0</v>
      </c>
      <c r="AI790" s="451">
        <f ca="1">IF(SUM(Scharniere[[#This Row],[konf Scharnier 1]:[konf Scharnier 4]])&gt;0,1,0)</f>
        <v>0</v>
      </c>
      <c r="AJ790" s="451"/>
      <c r="AK790" s="451"/>
      <c r="AL790" s="451"/>
      <c r="AM790" s="451"/>
      <c r="AN790" s="451"/>
      <c r="AO790" s="146">
        <v>2</v>
      </c>
      <c r="AP790" s="146">
        <v>2</v>
      </c>
      <c r="AQ790" s="71" t="str">
        <f ca="1">Sprache!$A$119</f>
        <v>Tiomos Scharnier T Impresso</v>
      </c>
      <c r="AR790" t="str">
        <f ca="1">"110/90°, MB-BB, "&amp;Sprache!$A$62&amp;" ni"</f>
        <v>110/90°, MB-BB, einl. ni</v>
      </c>
      <c r="AS790" t="str">
        <f ca="1">Sprache!$A$103</f>
        <v>Tiomos Click-On Scharniere</v>
      </c>
      <c r="AT790" t="s">
        <v>1264</v>
      </c>
      <c r="AU790" s="34" t="s">
        <v>8</v>
      </c>
      <c r="AV790" t="s">
        <v>1489</v>
      </c>
      <c r="AW790" s="71">
        <v>0</v>
      </c>
      <c r="AX790">
        <v>1</v>
      </c>
      <c r="AY790">
        <v>0</v>
      </c>
      <c r="AZ790" s="71">
        <v>0</v>
      </c>
      <c r="BA790">
        <v>0</v>
      </c>
      <c r="BB790">
        <v>0</v>
      </c>
      <c r="BC790">
        <v>1</v>
      </c>
      <c r="BD790" s="144" t="s">
        <v>1607</v>
      </c>
      <c r="BF790" s="10"/>
      <c r="BG790"/>
    </row>
    <row r="791" spans="1:59" ht="14.25" customHeight="1" x14ac:dyDescent="0.25">
      <c r="A791" s="37" t="str">
        <f>LEFT(Scharniere[[#This Row],[ArtikelNR]],4)</f>
        <v>F034</v>
      </c>
      <c r="B791" s="35" t="str">
        <f>MID(Scharniere[[#This Row],[ArtikelNR]],5,3)</f>
        <v>139</v>
      </c>
      <c r="C791" s="37" t="str">
        <f>RIGHT(Scharniere[[#This Row],[ArtikelNR]],3)</f>
        <v>313</v>
      </c>
      <c r="D791" s="35">
        <f>IF(AND(Scharniere[[#This Row],[Gruppenschlüssel]]=select!$A$44,Scharniere[[#This Row],[Scharnierart]]=1)=TRUE,1,0)</f>
        <v>0</v>
      </c>
      <c r="E7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1" s="35">
        <f>IF(select!$F$57=IF(Scharniere[[#This Row],[mit Dämpfung]]=1,1,IF(Scharniere[[#This Row],[ohne Dämpfung]]=1,2,IF(Scharniere[[#This Row],[ohne Feder]]=1,3,0))),1,0)</f>
        <v>0</v>
      </c>
      <c r="G791" s="35">
        <f>IF(Scharniere[[#This Row],[Bohrbild]]=select!$V$43,1,0)</f>
        <v>0</v>
      </c>
      <c r="H791" s="35">
        <f>IF(IF(Scharniere[[#This Row],[Anschrauben]]=1,1,IF(Scharniere[[#This Row],[Einpressen]]=1,2,IF(Scharniere[[#This Row],[Quick]]=1,3,IF(Scharniere[[#This Row],[Werkzeuglos]]=1,4,0))))=select!$F$48,1,0)</f>
        <v>0</v>
      </c>
      <c r="I7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1" s="149">
        <f>IF(AND(Scharniere[[#This Row],[Scharnierart]]=2,Scharniere[[#This Row],[Gruppenschlüssel]]=select!$A$318)=TRUE,1,0)</f>
        <v>0</v>
      </c>
      <c r="K791" s="221">
        <f ca="1">IF(select!$O$424&lt;6,1,0)</f>
        <v>1</v>
      </c>
      <c r="L791" s="221">
        <f>IF(select!$A$362=IF(Scharniere[[#This Row],[mit Dämpfung]]=1,1,IF(Scharniere[[#This Row],[ohne Dämpfung]]=1,2,IF(Scharniere[[#This Row],[ohne Feder]]=1,3,0))),1,0)</f>
        <v>0</v>
      </c>
      <c r="M791" s="135">
        <f>IF(Scharniere[[#This Row],[Bohrbild]]=select!$O$334,1,0)</f>
        <v>0</v>
      </c>
      <c r="N791" s="135">
        <f>IF(IF(Scharniere[[#This Row],[Anschrauben]]=1,1,IF(Scharniere[[#This Row],[Einpressen]]=1,2,IF(Scharniere[[#This Row],[Quick]]=1,3,IF(Scharniere[[#This Row],[Werkzeuglos]]=1,4,0))))=select!$E$362,1,0)</f>
        <v>0</v>
      </c>
      <c r="O7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1" s="298">
        <f>IF(AND(Scharniere[[#This Row],[Scharnierart]]=3,Scharniere[[#This Row],[Gruppenschlüssel]]=select!$A$747)=TRUE,1,0)</f>
        <v>0</v>
      </c>
      <c r="Q791" s="298">
        <f ca="1">IF(select!$O$945&lt;6,1,0)</f>
        <v>1</v>
      </c>
      <c r="R791" s="298">
        <f>IF(select!$A$778=IF(Scharniere[[#This Row],[mit Dämpfung]]=1,1,IF(Scharniere[[#This Row],[ohne Dämpfung]]=1,2,IF(Scharniere[[#This Row],[ohne Feder]]=1,3,0))),1,0)</f>
        <v>1</v>
      </c>
      <c r="S791" s="298">
        <f>IF(Scharniere[[#This Row],[Bohrbild]]=select!$A$755,1,0)</f>
        <v>0</v>
      </c>
      <c r="T791" s="298">
        <f>IF(IF(Scharniere[[#This Row],[Anschrauben]]=1,1,IF(Scharniere[[#This Row],[Einpressen]]=1,2,IF(Scharniere[[#This Row],[Quick]]=1,3,IF(Scharniere[[#This Row],[Werkzeuglos]]=1,4,0))))=select!$A$769,1,0)</f>
        <v>0</v>
      </c>
      <c r="U7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1" s="359">
        <f>IF(AND(Scharniere[[#This Row],[Scharnierart]]=4,Scharniere[[#This Row],[Gruppenschlüssel]]=select!$A$981)=TRUE,1,0)</f>
        <v>0</v>
      </c>
      <c r="W791" s="359">
        <f ca="1">IF(select!$O$1185&lt;6,1,0)</f>
        <v>1</v>
      </c>
      <c r="X791" s="359">
        <f>IF(select!$A$1012=IF(Scharniere[[#This Row],[mit Dämpfung]]=1,1,IF(Scharniere[[#This Row],[ohne Dämpfung]]=1,2,IF(Scharniere[[#This Row],[ohne Feder]]=1,3,0))),1,0)</f>
        <v>1</v>
      </c>
      <c r="Y791" s="359">
        <f>IF(Scharniere[[#This Row],[Bohrbild]]=select!$A$989,1,0)</f>
        <v>0</v>
      </c>
      <c r="Z791" s="359">
        <f>IF(IF(Scharniere[[#This Row],[Anschrauben]]=1,1,IF(Scharniere[[#This Row],[Einpressen]]=1,2,IF(Scharniere[[#This Row],[Quick]]=1,3,IF(Scharniere[[#This Row],[Werkzeuglos]]=1,4,0))))=select!$A$1003,1,0)</f>
        <v>0</v>
      </c>
      <c r="AA7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1" s="359">
        <f ca="1">IF(select!$K$980="*",Scharniere[[#This Row],[AG Ges2]],Scharniere[[#This Row],[AG Ges1]])</f>
        <v>0</v>
      </c>
      <c r="AE791" s="451">
        <f ca="1">IF(AND(Scharniere[[#This Row],[Scharnierart]]=select!$A$1485,Scharniere[[#This Row],[Gruppenschlüssel]]=select!$B$1485)=TRUE,1,0)</f>
        <v>0</v>
      </c>
      <c r="AF791" s="451">
        <f ca="1">IF(AND(Scharniere[[#This Row],[Scharnierart]]=select!$A$1486,Scharniere[[#This Row],[Gruppenschlüssel]]=select!$B$1486)=TRUE,1,0)</f>
        <v>0</v>
      </c>
      <c r="AG791" s="451">
        <f ca="1">IF(AND(Scharniere[[#This Row],[Scharnierart]]=select!$A$1487,Scharniere[[#This Row],[Gruppenschlüssel]]=select!$B$1487)=TRUE,1,0)</f>
        <v>0</v>
      </c>
      <c r="AH791" s="451">
        <f ca="1">IF(AND(Scharniere[[#This Row],[Scharnierart]]=select!$A$1488,Scharniere[[#This Row],[Gruppenschlüssel]]=select!$B$1488)=TRUE,1,0)</f>
        <v>0</v>
      </c>
      <c r="AI791" s="451">
        <f ca="1">IF(SUM(Scharniere[[#This Row],[konf Scharnier 1]:[konf Scharnier 4]])&gt;0,1,0)</f>
        <v>0</v>
      </c>
      <c r="AJ791" s="451"/>
      <c r="AK791" s="451"/>
      <c r="AL791" s="451"/>
      <c r="AM791" s="451"/>
      <c r="AN791" s="451"/>
      <c r="AO791" s="146">
        <v>2</v>
      </c>
      <c r="AP791" s="146">
        <v>2</v>
      </c>
      <c r="AQ791" s="71" t="str">
        <f ca="1">Sprache!$A$119</f>
        <v>Tiomos Scharnier T Impresso</v>
      </c>
      <c r="AR791" t="str">
        <f ca="1">"110/90°, MB-BB, "&amp;Sprache!$A$62&amp;" ni"</f>
        <v>110/90°, MB-BB, einl. ni</v>
      </c>
      <c r="AS791" t="str">
        <f ca="1">Sprache!$A$103</f>
        <v>Tiomos Click-On Scharniere</v>
      </c>
      <c r="AT791" t="s">
        <v>1264</v>
      </c>
      <c r="AU791" t="s">
        <v>3</v>
      </c>
      <c r="AV791" t="s">
        <v>1489</v>
      </c>
      <c r="AW791" s="71">
        <v>0</v>
      </c>
      <c r="AX791">
        <v>1</v>
      </c>
      <c r="AY791">
        <v>0</v>
      </c>
      <c r="AZ791" s="71">
        <v>0</v>
      </c>
      <c r="BA791">
        <v>0</v>
      </c>
      <c r="BB791">
        <v>0</v>
      </c>
      <c r="BC791">
        <v>1</v>
      </c>
      <c r="BD791" s="144" t="s">
        <v>1607</v>
      </c>
      <c r="BF791" s="10"/>
      <c r="BG791"/>
    </row>
    <row r="792" spans="1:59" ht="14.25" customHeight="1" x14ac:dyDescent="0.25">
      <c r="A792" s="37" t="str">
        <f>LEFT(Scharniere[[#This Row],[ArtikelNR]],4)</f>
        <v>F028</v>
      </c>
      <c r="B792" s="35" t="str">
        <f>MID(Scharniere[[#This Row],[ArtikelNR]],5,3)</f>
        <v>138</v>
      </c>
      <c r="C792" s="37" t="str">
        <f>RIGHT(Scharniere[[#This Row],[ArtikelNR]],3)</f>
        <v>910</v>
      </c>
      <c r="D792" s="35">
        <f>IF(AND(Scharniere[[#This Row],[Gruppenschlüssel]]=select!$A$44,Scharniere[[#This Row],[Scharnierart]]=1)=TRUE,1,0)</f>
        <v>0</v>
      </c>
      <c r="E7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2" s="35">
        <f>IF(select!$F$57=IF(Scharniere[[#This Row],[mit Dämpfung]]=1,1,IF(Scharniere[[#This Row],[ohne Dämpfung]]=1,2,IF(Scharniere[[#This Row],[ohne Feder]]=1,3,0))),1,0)</f>
        <v>0</v>
      </c>
      <c r="G792" s="35">
        <f>IF(Scharniere[[#This Row],[Bohrbild]]=select!$V$43,1,0)</f>
        <v>0</v>
      </c>
      <c r="H792" s="35">
        <f>IF(IF(Scharniere[[#This Row],[Anschrauben]]=1,1,IF(Scharniere[[#This Row],[Einpressen]]=1,2,IF(Scharniere[[#This Row],[Quick]]=1,3,IF(Scharniere[[#This Row],[Werkzeuglos]]=1,4,0))))=select!$F$48,1,0)</f>
        <v>1</v>
      </c>
      <c r="I7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2" s="149">
        <f>IF(AND(Scharniere[[#This Row],[Scharnierart]]=2,Scharniere[[#This Row],[Gruppenschlüssel]]=select!$A$318)=TRUE,1,0)</f>
        <v>0</v>
      </c>
      <c r="K792" s="221">
        <f ca="1">IF(select!$O$424&lt;6,1,0)</f>
        <v>1</v>
      </c>
      <c r="L792" s="221">
        <f>IF(select!$A$362=IF(Scharniere[[#This Row],[mit Dämpfung]]=1,1,IF(Scharniere[[#This Row],[ohne Dämpfung]]=1,2,IF(Scharniere[[#This Row],[ohne Feder]]=1,3,0))),1,0)</f>
        <v>1</v>
      </c>
      <c r="M792" s="135">
        <f>IF(Scharniere[[#This Row],[Bohrbild]]=select!$O$334,1,0)</f>
        <v>0</v>
      </c>
      <c r="N792" s="135">
        <f>IF(IF(Scharniere[[#This Row],[Anschrauben]]=1,1,IF(Scharniere[[#This Row],[Einpressen]]=1,2,IF(Scharniere[[#This Row],[Quick]]=1,3,IF(Scharniere[[#This Row],[Werkzeuglos]]=1,4,0))))=select!$E$362,1,0)</f>
        <v>0</v>
      </c>
      <c r="O7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2" s="298">
        <f>IF(AND(Scharniere[[#This Row],[Scharnierart]]=3,Scharniere[[#This Row],[Gruppenschlüssel]]=select!$A$747)=TRUE,1,0)</f>
        <v>0</v>
      </c>
      <c r="Q792" s="298">
        <f ca="1">IF(select!$O$945&lt;6,1,0)</f>
        <v>1</v>
      </c>
      <c r="R792" s="298">
        <f>IF(select!$A$778=IF(Scharniere[[#This Row],[mit Dämpfung]]=1,1,IF(Scharniere[[#This Row],[ohne Dämpfung]]=1,2,IF(Scharniere[[#This Row],[ohne Feder]]=1,3,0))),1,0)</f>
        <v>0</v>
      </c>
      <c r="S792" s="298">
        <f>IF(Scharniere[[#This Row],[Bohrbild]]=select!$A$755,1,0)</f>
        <v>0</v>
      </c>
      <c r="T792" s="298">
        <f>IF(IF(Scharniere[[#This Row],[Anschrauben]]=1,1,IF(Scharniere[[#This Row],[Einpressen]]=1,2,IF(Scharniere[[#This Row],[Quick]]=1,3,IF(Scharniere[[#This Row],[Werkzeuglos]]=1,4,0))))=select!$A$769,1,0)</f>
        <v>0</v>
      </c>
      <c r="U7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2" s="359">
        <f>IF(AND(Scharniere[[#This Row],[Scharnierart]]=4,Scharniere[[#This Row],[Gruppenschlüssel]]=select!$A$981)=TRUE,1,0)</f>
        <v>0</v>
      </c>
      <c r="W792" s="359">
        <f ca="1">IF(select!$O$1185&lt;6,1,0)</f>
        <v>1</v>
      </c>
      <c r="X792" s="359">
        <f>IF(select!$A$1012=IF(Scharniere[[#This Row],[mit Dämpfung]]=1,1,IF(Scharniere[[#This Row],[ohne Dämpfung]]=1,2,IF(Scharniere[[#This Row],[ohne Feder]]=1,3,0))),1,0)</f>
        <v>0</v>
      </c>
      <c r="Y792" s="359">
        <f>IF(Scharniere[[#This Row],[Bohrbild]]=select!$A$989,1,0)</f>
        <v>0</v>
      </c>
      <c r="Z792" s="359">
        <f>IF(IF(Scharniere[[#This Row],[Anschrauben]]=1,1,IF(Scharniere[[#This Row],[Einpressen]]=1,2,IF(Scharniere[[#This Row],[Quick]]=1,3,IF(Scharniere[[#This Row],[Werkzeuglos]]=1,4,0))))=select!$A$1003,1,0)</f>
        <v>0</v>
      </c>
      <c r="AA7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2" s="359">
        <f ca="1">IF(select!$K$980="*",Scharniere[[#This Row],[AG Ges2]],Scharniere[[#This Row],[AG Ges1]])</f>
        <v>0</v>
      </c>
      <c r="AE792" s="451">
        <f ca="1">IF(AND(Scharniere[[#This Row],[Scharnierart]]=select!$A$1485,Scharniere[[#This Row],[Gruppenschlüssel]]=select!$B$1485)=TRUE,1,0)</f>
        <v>0</v>
      </c>
      <c r="AF792" s="451">
        <f ca="1">IF(AND(Scharniere[[#This Row],[Scharnierart]]=select!$A$1486,Scharniere[[#This Row],[Gruppenschlüssel]]=select!$B$1486)=TRUE,1,0)</f>
        <v>0</v>
      </c>
      <c r="AG792" s="451">
        <f ca="1">IF(AND(Scharniere[[#This Row],[Scharnierart]]=select!$A$1487,Scharniere[[#This Row],[Gruppenschlüssel]]=select!$B$1487)=TRUE,1,0)</f>
        <v>0</v>
      </c>
      <c r="AH792" s="451">
        <f ca="1">IF(AND(Scharniere[[#This Row],[Scharnierart]]=select!$A$1488,Scharniere[[#This Row],[Gruppenschlüssel]]=select!$B$1488)=TRUE,1,0)</f>
        <v>0</v>
      </c>
      <c r="AI792" s="451">
        <f ca="1">IF(SUM(Scharniere[[#This Row],[konf Scharnier 1]:[konf Scharnier 4]])&gt;0,1,0)</f>
        <v>0</v>
      </c>
      <c r="AJ792" s="451"/>
      <c r="AK792" s="451"/>
      <c r="AL792" s="451"/>
      <c r="AM792" s="451"/>
      <c r="AN792" s="451"/>
      <c r="AO792" s="146">
        <v>2</v>
      </c>
      <c r="AP792" s="146">
        <v>2</v>
      </c>
      <c r="AQ792" s="71" t="str">
        <f ca="1">Sprache!$A$112</f>
        <v>Tiomos Scharnier TS Click-on</v>
      </c>
      <c r="AR792" t="str">
        <f ca="1">"110/90°, S-BB, "&amp;Sprache!$A$62&amp;" 0, ni"</f>
        <v>110/90°, S-BB, einl. 0, ni</v>
      </c>
      <c r="AS792" t="str">
        <f ca="1">Sprache!$A$103</f>
        <v>Tiomos Click-On Scharniere</v>
      </c>
      <c r="AT792" t="s">
        <v>1264</v>
      </c>
      <c r="AU792" t="s">
        <v>11</v>
      </c>
      <c r="AV792" t="s">
        <v>1489</v>
      </c>
      <c r="AW792" s="71">
        <v>1</v>
      </c>
      <c r="AX792">
        <v>0</v>
      </c>
      <c r="AY792">
        <v>0</v>
      </c>
      <c r="AZ792" s="71">
        <v>0</v>
      </c>
      <c r="BA792">
        <v>1</v>
      </c>
      <c r="BB792">
        <v>0</v>
      </c>
      <c r="BC792">
        <v>0</v>
      </c>
      <c r="BD792" s="144" t="s">
        <v>1576</v>
      </c>
      <c r="BF792" s="10"/>
      <c r="BG792"/>
    </row>
    <row r="793" spans="1:59" ht="14.25" customHeight="1" x14ac:dyDescent="0.25">
      <c r="A793" s="37" t="str">
        <f>LEFT(Scharniere[[#This Row],[ArtikelNR]],4)</f>
        <v>F045</v>
      </c>
      <c r="B793" s="35" t="str">
        <f>MID(Scharniere[[#This Row],[ArtikelNR]],5,3)</f>
        <v>138</v>
      </c>
      <c r="C793" s="37" t="str">
        <f>RIGHT(Scharniere[[#This Row],[ArtikelNR]],3)</f>
        <v>848</v>
      </c>
      <c r="D793" s="35">
        <f>IF(AND(Scharniere[[#This Row],[Gruppenschlüssel]]=select!$A$44,Scharniere[[#This Row],[Scharnierart]]=1)=TRUE,1,0)</f>
        <v>0</v>
      </c>
      <c r="E7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3" s="35">
        <f>IF(select!$F$57=IF(Scharniere[[#This Row],[mit Dämpfung]]=1,1,IF(Scharniere[[#This Row],[ohne Dämpfung]]=1,2,IF(Scharniere[[#This Row],[ohne Feder]]=1,3,0))),1,0)</f>
        <v>0</v>
      </c>
      <c r="G793" s="35">
        <f>IF(Scharniere[[#This Row],[Bohrbild]]=select!$V$43,1,0)</f>
        <v>0</v>
      </c>
      <c r="H793" s="35">
        <f>IF(IF(Scharniere[[#This Row],[Anschrauben]]=1,1,IF(Scharniere[[#This Row],[Einpressen]]=1,2,IF(Scharniere[[#This Row],[Quick]]=1,3,IF(Scharniere[[#This Row],[Werkzeuglos]]=1,4,0))))=select!$F$48,1,0)</f>
        <v>1</v>
      </c>
      <c r="I7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3" s="149">
        <f>IF(AND(Scharniere[[#This Row],[Scharnierart]]=2,Scharniere[[#This Row],[Gruppenschlüssel]]=select!$A$318)=TRUE,1,0)</f>
        <v>0</v>
      </c>
      <c r="K793" s="221">
        <f ca="1">IF(select!$O$424&lt;6,1,0)</f>
        <v>1</v>
      </c>
      <c r="L793" s="221">
        <f>IF(select!$A$362=IF(Scharniere[[#This Row],[mit Dämpfung]]=1,1,IF(Scharniere[[#This Row],[ohne Dämpfung]]=1,2,IF(Scharniere[[#This Row],[ohne Feder]]=1,3,0))),1,0)</f>
        <v>0</v>
      </c>
      <c r="M793" s="135">
        <f>IF(Scharniere[[#This Row],[Bohrbild]]=select!$O$334,1,0)</f>
        <v>0</v>
      </c>
      <c r="N793" s="135">
        <f>IF(IF(Scharniere[[#This Row],[Anschrauben]]=1,1,IF(Scharniere[[#This Row],[Einpressen]]=1,2,IF(Scharniere[[#This Row],[Quick]]=1,3,IF(Scharniere[[#This Row],[Werkzeuglos]]=1,4,0))))=select!$E$362,1,0)</f>
        <v>0</v>
      </c>
      <c r="O7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3" s="298">
        <f>IF(AND(Scharniere[[#This Row],[Scharnierart]]=3,Scharniere[[#This Row],[Gruppenschlüssel]]=select!$A$747)=TRUE,1,0)</f>
        <v>0</v>
      </c>
      <c r="Q793" s="298">
        <f ca="1">IF(select!$O$945&lt;6,1,0)</f>
        <v>1</v>
      </c>
      <c r="R793" s="298">
        <f>IF(select!$A$778=IF(Scharniere[[#This Row],[mit Dämpfung]]=1,1,IF(Scharniere[[#This Row],[ohne Dämpfung]]=1,2,IF(Scharniere[[#This Row],[ohne Feder]]=1,3,0))),1,0)</f>
        <v>1</v>
      </c>
      <c r="S793" s="298">
        <f>IF(Scharniere[[#This Row],[Bohrbild]]=select!$A$755,1,0)</f>
        <v>0</v>
      </c>
      <c r="T793" s="298">
        <f>IF(IF(Scharniere[[#This Row],[Anschrauben]]=1,1,IF(Scharniere[[#This Row],[Einpressen]]=1,2,IF(Scharniere[[#This Row],[Quick]]=1,3,IF(Scharniere[[#This Row],[Werkzeuglos]]=1,4,0))))=select!$A$769,1,0)</f>
        <v>0</v>
      </c>
      <c r="U7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3" s="359">
        <f>IF(AND(Scharniere[[#This Row],[Scharnierart]]=4,Scharniere[[#This Row],[Gruppenschlüssel]]=select!$A$981)=TRUE,1,0)</f>
        <v>0</v>
      </c>
      <c r="W793" s="359">
        <f ca="1">IF(select!$O$1185&lt;6,1,0)</f>
        <v>1</v>
      </c>
      <c r="X793" s="359">
        <f>IF(select!$A$1012=IF(Scharniere[[#This Row],[mit Dämpfung]]=1,1,IF(Scharniere[[#This Row],[ohne Dämpfung]]=1,2,IF(Scharniere[[#This Row],[ohne Feder]]=1,3,0))),1,0)</f>
        <v>1</v>
      </c>
      <c r="Y793" s="359">
        <f>IF(Scharniere[[#This Row],[Bohrbild]]=select!$A$989,1,0)</f>
        <v>0</v>
      </c>
      <c r="Z793" s="359">
        <f>IF(IF(Scharniere[[#This Row],[Anschrauben]]=1,1,IF(Scharniere[[#This Row],[Einpressen]]=1,2,IF(Scharniere[[#This Row],[Quick]]=1,3,IF(Scharniere[[#This Row],[Werkzeuglos]]=1,4,0))))=select!$A$1003,1,0)</f>
        <v>0</v>
      </c>
      <c r="AA7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3" s="359">
        <f ca="1">IF(select!$K$980="*",Scharniere[[#This Row],[AG Ges2]],Scharniere[[#This Row],[AG Ges1]])</f>
        <v>0</v>
      </c>
      <c r="AE793" s="451">
        <f ca="1">IF(AND(Scharniere[[#This Row],[Scharnierart]]=select!$A$1485,Scharniere[[#This Row],[Gruppenschlüssel]]=select!$B$1485)=TRUE,1,0)</f>
        <v>0</v>
      </c>
      <c r="AF793" s="451">
        <f ca="1">IF(AND(Scharniere[[#This Row],[Scharnierart]]=select!$A$1486,Scharniere[[#This Row],[Gruppenschlüssel]]=select!$B$1486)=TRUE,1,0)</f>
        <v>0</v>
      </c>
      <c r="AG793" s="451">
        <f ca="1">IF(AND(Scharniere[[#This Row],[Scharnierart]]=select!$A$1487,Scharniere[[#This Row],[Gruppenschlüssel]]=select!$B$1487)=TRUE,1,0)</f>
        <v>0</v>
      </c>
      <c r="AH793" s="451">
        <f ca="1">IF(AND(Scharniere[[#This Row],[Scharnierart]]=select!$A$1488,Scharniere[[#This Row],[Gruppenschlüssel]]=select!$B$1488)=TRUE,1,0)</f>
        <v>0</v>
      </c>
      <c r="AI793" s="451">
        <f ca="1">IF(SUM(Scharniere[[#This Row],[konf Scharnier 1]:[konf Scharnier 4]])&gt;0,1,0)</f>
        <v>0</v>
      </c>
      <c r="AJ793" s="451"/>
      <c r="AK793" s="451"/>
      <c r="AL793" s="451"/>
      <c r="AM793" s="451"/>
      <c r="AN793" s="451"/>
      <c r="AO793" s="146">
        <v>2</v>
      </c>
      <c r="AP793" s="146">
        <v>2</v>
      </c>
      <c r="AQ793" s="71" t="str">
        <f ca="1">Sprache!$A$118</f>
        <v>Tiomos Scharnier T Click-on</v>
      </c>
      <c r="AR793" t="str">
        <f ca="1">"110/90°, S-BB, "&amp;Sprache!$A$62&amp;" 0, ni"</f>
        <v>110/90°, S-BB, einl. 0, ni</v>
      </c>
      <c r="AS793" t="str">
        <f ca="1">Sprache!$A$103</f>
        <v>Tiomos Click-On Scharniere</v>
      </c>
      <c r="AT793" t="s">
        <v>1264</v>
      </c>
      <c r="AU793" s="34" t="s">
        <v>11</v>
      </c>
      <c r="AV793" t="s">
        <v>1489</v>
      </c>
      <c r="AW793" s="71">
        <v>0</v>
      </c>
      <c r="AX793">
        <v>1</v>
      </c>
      <c r="AY793">
        <v>0</v>
      </c>
      <c r="AZ793" s="71">
        <v>0</v>
      </c>
      <c r="BA793">
        <v>1</v>
      </c>
      <c r="BB793">
        <v>0</v>
      </c>
      <c r="BC793">
        <v>0</v>
      </c>
      <c r="BD793" s="144" t="s">
        <v>1687</v>
      </c>
      <c r="BF793" s="10"/>
      <c r="BG793"/>
    </row>
    <row r="794" spans="1:59" ht="14.25" customHeight="1" x14ac:dyDescent="0.25">
      <c r="A794" s="37" t="str">
        <f>LEFT(Scharniere[[#This Row],[ArtikelNR]],4)</f>
        <v>F028</v>
      </c>
      <c r="B794" s="35" t="str">
        <f>MID(Scharniere[[#This Row],[ArtikelNR]],5,3)</f>
        <v>138</v>
      </c>
      <c r="C794" s="37" t="str">
        <f>RIGHT(Scharniere[[#This Row],[ArtikelNR]],3)</f>
        <v>900</v>
      </c>
      <c r="D794" s="35">
        <f>IF(AND(Scharniere[[#This Row],[Gruppenschlüssel]]=select!$A$44,Scharniere[[#This Row],[Scharnierart]]=1)=TRUE,1,0)</f>
        <v>0</v>
      </c>
      <c r="E7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4" s="35">
        <f>IF(select!$F$57=IF(Scharniere[[#This Row],[mit Dämpfung]]=1,1,IF(Scharniere[[#This Row],[ohne Dämpfung]]=1,2,IF(Scharniere[[#This Row],[ohne Feder]]=1,3,0))),1,0)</f>
        <v>0</v>
      </c>
      <c r="G794" s="35">
        <f>IF(Scharniere[[#This Row],[Bohrbild]]=select!$V$43,1,0)</f>
        <v>0</v>
      </c>
      <c r="H794" s="35">
        <f>IF(IF(Scharniere[[#This Row],[Anschrauben]]=1,1,IF(Scharniere[[#This Row],[Einpressen]]=1,2,IF(Scharniere[[#This Row],[Quick]]=1,3,IF(Scharniere[[#This Row],[Werkzeuglos]]=1,4,0))))=select!$F$48,1,0)</f>
        <v>0</v>
      </c>
      <c r="I7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4" s="149">
        <f>IF(AND(Scharniere[[#This Row],[Scharnierart]]=2,Scharniere[[#This Row],[Gruppenschlüssel]]=select!$A$318)=TRUE,1,0)</f>
        <v>0</v>
      </c>
      <c r="K794" s="221">
        <f ca="1">IF(select!$O$424&lt;6,1,0)</f>
        <v>1</v>
      </c>
      <c r="L794" s="221">
        <f>IF(select!$A$362=IF(Scharniere[[#This Row],[mit Dämpfung]]=1,1,IF(Scharniere[[#This Row],[ohne Dämpfung]]=1,2,IF(Scharniere[[#This Row],[ohne Feder]]=1,3,0))),1,0)</f>
        <v>1</v>
      </c>
      <c r="M794" s="135">
        <f>IF(Scharniere[[#This Row],[Bohrbild]]=select!$O$334,1,0)</f>
        <v>0</v>
      </c>
      <c r="N794" s="135">
        <f>IF(IF(Scharniere[[#This Row],[Anschrauben]]=1,1,IF(Scharniere[[#This Row],[Einpressen]]=1,2,IF(Scharniere[[#This Row],[Quick]]=1,3,IF(Scharniere[[#This Row],[Werkzeuglos]]=1,4,0))))=select!$E$362,1,0)</f>
        <v>1</v>
      </c>
      <c r="O7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4" s="298">
        <f>IF(AND(Scharniere[[#This Row],[Scharnierart]]=3,Scharniere[[#This Row],[Gruppenschlüssel]]=select!$A$747)=TRUE,1,0)</f>
        <v>0</v>
      </c>
      <c r="Q794" s="298">
        <f ca="1">IF(select!$O$945&lt;6,1,0)</f>
        <v>1</v>
      </c>
      <c r="R794" s="298">
        <f>IF(select!$A$778=IF(Scharniere[[#This Row],[mit Dämpfung]]=1,1,IF(Scharniere[[#This Row],[ohne Dämpfung]]=1,2,IF(Scharniere[[#This Row],[ohne Feder]]=1,3,0))),1,0)</f>
        <v>0</v>
      </c>
      <c r="S794" s="298">
        <f>IF(Scharniere[[#This Row],[Bohrbild]]=select!$A$755,1,0)</f>
        <v>0</v>
      </c>
      <c r="T794" s="298">
        <f>IF(IF(Scharniere[[#This Row],[Anschrauben]]=1,1,IF(Scharniere[[#This Row],[Einpressen]]=1,2,IF(Scharniere[[#This Row],[Quick]]=1,3,IF(Scharniere[[#This Row],[Werkzeuglos]]=1,4,0))))=select!$A$769,1,0)</f>
        <v>1</v>
      </c>
      <c r="U7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4" s="359">
        <f>IF(AND(Scharniere[[#This Row],[Scharnierart]]=4,Scharniere[[#This Row],[Gruppenschlüssel]]=select!$A$981)=TRUE,1,0)</f>
        <v>0</v>
      </c>
      <c r="W794" s="359">
        <f ca="1">IF(select!$O$1185&lt;6,1,0)</f>
        <v>1</v>
      </c>
      <c r="X794" s="359">
        <f>IF(select!$A$1012=IF(Scharniere[[#This Row],[mit Dämpfung]]=1,1,IF(Scharniere[[#This Row],[ohne Dämpfung]]=1,2,IF(Scharniere[[#This Row],[ohne Feder]]=1,3,0))),1,0)</f>
        <v>0</v>
      </c>
      <c r="Y794" s="359">
        <f>IF(Scharniere[[#This Row],[Bohrbild]]=select!$A$989,1,0)</f>
        <v>0</v>
      </c>
      <c r="Z794" s="359">
        <f>IF(IF(Scharniere[[#This Row],[Anschrauben]]=1,1,IF(Scharniere[[#This Row],[Einpressen]]=1,2,IF(Scharniere[[#This Row],[Quick]]=1,3,IF(Scharniere[[#This Row],[Werkzeuglos]]=1,4,0))))=select!$A$1003,1,0)</f>
        <v>1</v>
      </c>
      <c r="AA7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4" s="359">
        <f ca="1">IF(select!$K$980="*",Scharniere[[#This Row],[AG Ges2]],Scharniere[[#This Row],[AG Ges1]])</f>
        <v>0</v>
      </c>
      <c r="AE794" s="451">
        <f ca="1">IF(AND(Scharniere[[#This Row],[Scharnierart]]=select!$A$1485,Scharniere[[#This Row],[Gruppenschlüssel]]=select!$B$1485)=TRUE,1,0)</f>
        <v>0</v>
      </c>
      <c r="AF794" s="451">
        <f ca="1">IF(AND(Scharniere[[#This Row],[Scharnierart]]=select!$A$1486,Scharniere[[#This Row],[Gruppenschlüssel]]=select!$B$1486)=TRUE,1,0)</f>
        <v>0</v>
      </c>
      <c r="AG794" s="451">
        <f ca="1">IF(AND(Scharniere[[#This Row],[Scharnierart]]=select!$A$1487,Scharniere[[#This Row],[Gruppenschlüssel]]=select!$B$1487)=TRUE,1,0)</f>
        <v>0</v>
      </c>
      <c r="AH794" s="451">
        <f ca="1">IF(AND(Scharniere[[#This Row],[Scharnierart]]=select!$A$1488,Scharniere[[#This Row],[Gruppenschlüssel]]=select!$B$1488)=TRUE,1,0)</f>
        <v>0</v>
      </c>
      <c r="AI794" s="451">
        <f ca="1">IF(SUM(Scharniere[[#This Row],[konf Scharnier 1]:[konf Scharnier 4]])&gt;0,1,0)</f>
        <v>0</v>
      </c>
      <c r="AJ794" s="451"/>
      <c r="AK794" s="451"/>
      <c r="AL794" s="451"/>
      <c r="AM794" s="451"/>
      <c r="AN794" s="451"/>
      <c r="AO794" s="146">
        <v>2</v>
      </c>
      <c r="AP794" s="146">
        <v>2</v>
      </c>
      <c r="AQ794" s="71" t="str">
        <f ca="1">Sprache!$A$112</f>
        <v>Tiomos Scharnier TS Click-on</v>
      </c>
      <c r="AR794" t="str">
        <f ca="1">"110/90°, S-BB, "&amp;Sprache!$A$62&amp;" ni"</f>
        <v>110/90°, S-BB, einl. ni</v>
      </c>
      <c r="AS794" t="str">
        <f ca="1">Sprache!$A$103</f>
        <v>Tiomos Click-On Scharniere</v>
      </c>
      <c r="AT794" t="s">
        <v>1264</v>
      </c>
      <c r="AU794" t="s">
        <v>11</v>
      </c>
      <c r="AV794" t="s">
        <v>1489</v>
      </c>
      <c r="AW794" s="71">
        <v>1</v>
      </c>
      <c r="AX794">
        <v>0</v>
      </c>
      <c r="AY794">
        <v>0</v>
      </c>
      <c r="AZ794" s="71">
        <v>1</v>
      </c>
      <c r="BA794">
        <v>0</v>
      </c>
      <c r="BB794">
        <v>0</v>
      </c>
      <c r="BC794">
        <v>0</v>
      </c>
      <c r="BD794" s="144" t="s">
        <v>1574</v>
      </c>
      <c r="BF794" s="10"/>
      <c r="BG794"/>
    </row>
    <row r="795" spans="1:59" ht="14.25" customHeight="1" x14ac:dyDescent="0.25">
      <c r="A795" s="37" t="str">
        <f>LEFT(Scharniere[[#This Row],[ArtikelNR]],4)</f>
        <v>F045</v>
      </c>
      <c r="B795" s="35" t="str">
        <f>MID(Scharniere[[#This Row],[ArtikelNR]],5,3)</f>
        <v>138</v>
      </c>
      <c r="C795" s="37" t="str">
        <f>RIGHT(Scharniere[[#This Row],[ArtikelNR]],3)</f>
        <v>838</v>
      </c>
      <c r="D795" s="35">
        <f>IF(AND(Scharniere[[#This Row],[Gruppenschlüssel]]=select!$A$44,Scharniere[[#This Row],[Scharnierart]]=1)=TRUE,1,0)</f>
        <v>0</v>
      </c>
      <c r="E7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5" s="35">
        <f>IF(select!$F$57=IF(Scharniere[[#This Row],[mit Dämpfung]]=1,1,IF(Scharniere[[#This Row],[ohne Dämpfung]]=1,2,IF(Scharniere[[#This Row],[ohne Feder]]=1,3,0))),1,0)</f>
        <v>0</v>
      </c>
      <c r="G795" s="35">
        <f>IF(Scharniere[[#This Row],[Bohrbild]]=select!$V$43,1,0)</f>
        <v>0</v>
      </c>
      <c r="H795" s="35">
        <f>IF(IF(Scharniere[[#This Row],[Anschrauben]]=1,1,IF(Scharniere[[#This Row],[Einpressen]]=1,2,IF(Scharniere[[#This Row],[Quick]]=1,3,IF(Scharniere[[#This Row],[Werkzeuglos]]=1,4,0))))=select!$F$48,1,0)</f>
        <v>0</v>
      </c>
      <c r="I7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5" s="149">
        <f>IF(AND(Scharniere[[#This Row],[Scharnierart]]=2,Scharniere[[#This Row],[Gruppenschlüssel]]=select!$A$318)=TRUE,1,0)</f>
        <v>0</v>
      </c>
      <c r="K795" s="221">
        <f ca="1">IF(select!$O$424&lt;6,1,0)</f>
        <v>1</v>
      </c>
      <c r="L795" s="221">
        <f>IF(select!$A$362=IF(Scharniere[[#This Row],[mit Dämpfung]]=1,1,IF(Scharniere[[#This Row],[ohne Dämpfung]]=1,2,IF(Scharniere[[#This Row],[ohne Feder]]=1,3,0))),1,0)</f>
        <v>0</v>
      </c>
      <c r="M795" s="135">
        <f>IF(Scharniere[[#This Row],[Bohrbild]]=select!$O$334,1,0)</f>
        <v>0</v>
      </c>
      <c r="N795" s="135">
        <f>IF(IF(Scharniere[[#This Row],[Anschrauben]]=1,1,IF(Scharniere[[#This Row],[Einpressen]]=1,2,IF(Scharniere[[#This Row],[Quick]]=1,3,IF(Scharniere[[#This Row],[Werkzeuglos]]=1,4,0))))=select!$E$362,1,0)</f>
        <v>1</v>
      </c>
      <c r="O7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5" s="298">
        <f>IF(AND(Scharniere[[#This Row],[Scharnierart]]=3,Scharniere[[#This Row],[Gruppenschlüssel]]=select!$A$747)=TRUE,1,0)</f>
        <v>0</v>
      </c>
      <c r="Q795" s="298">
        <f ca="1">IF(select!$O$945&lt;6,1,0)</f>
        <v>1</v>
      </c>
      <c r="R795" s="298">
        <f>IF(select!$A$778=IF(Scharniere[[#This Row],[mit Dämpfung]]=1,1,IF(Scharniere[[#This Row],[ohne Dämpfung]]=1,2,IF(Scharniere[[#This Row],[ohne Feder]]=1,3,0))),1,0)</f>
        <v>1</v>
      </c>
      <c r="S795" s="298">
        <f>IF(Scharniere[[#This Row],[Bohrbild]]=select!$A$755,1,0)</f>
        <v>0</v>
      </c>
      <c r="T795" s="298">
        <f>IF(IF(Scharniere[[#This Row],[Anschrauben]]=1,1,IF(Scharniere[[#This Row],[Einpressen]]=1,2,IF(Scharniere[[#This Row],[Quick]]=1,3,IF(Scharniere[[#This Row],[Werkzeuglos]]=1,4,0))))=select!$A$769,1,0)</f>
        <v>1</v>
      </c>
      <c r="U7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5" s="359">
        <f>IF(AND(Scharniere[[#This Row],[Scharnierart]]=4,Scharniere[[#This Row],[Gruppenschlüssel]]=select!$A$981)=TRUE,1,0)</f>
        <v>0</v>
      </c>
      <c r="W795" s="359">
        <f ca="1">IF(select!$O$1185&lt;6,1,0)</f>
        <v>1</v>
      </c>
      <c r="X795" s="359">
        <f>IF(select!$A$1012=IF(Scharniere[[#This Row],[mit Dämpfung]]=1,1,IF(Scharniere[[#This Row],[ohne Dämpfung]]=1,2,IF(Scharniere[[#This Row],[ohne Feder]]=1,3,0))),1,0)</f>
        <v>1</v>
      </c>
      <c r="Y795" s="359">
        <f>IF(Scharniere[[#This Row],[Bohrbild]]=select!$A$989,1,0)</f>
        <v>0</v>
      </c>
      <c r="Z795" s="359">
        <f>IF(IF(Scharniere[[#This Row],[Anschrauben]]=1,1,IF(Scharniere[[#This Row],[Einpressen]]=1,2,IF(Scharniere[[#This Row],[Quick]]=1,3,IF(Scharniere[[#This Row],[Werkzeuglos]]=1,4,0))))=select!$A$1003,1,0)</f>
        <v>1</v>
      </c>
      <c r="AA7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5" s="359">
        <f ca="1">IF(select!$K$980="*",Scharniere[[#This Row],[AG Ges2]],Scharniere[[#This Row],[AG Ges1]])</f>
        <v>0</v>
      </c>
      <c r="AE795" s="451">
        <f ca="1">IF(AND(Scharniere[[#This Row],[Scharnierart]]=select!$A$1485,Scharniere[[#This Row],[Gruppenschlüssel]]=select!$B$1485)=TRUE,1,0)</f>
        <v>0</v>
      </c>
      <c r="AF795" s="451">
        <f ca="1">IF(AND(Scharniere[[#This Row],[Scharnierart]]=select!$A$1486,Scharniere[[#This Row],[Gruppenschlüssel]]=select!$B$1486)=TRUE,1,0)</f>
        <v>0</v>
      </c>
      <c r="AG795" s="451">
        <f ca="1">IF(AND(Scharniere[[#This Row],[Scharnierart]]=select!$A$1487,Scharniere[[#This Row],[Gruppenschlüssel]]=select!$B$1487)=TRUE,1,0)</f>
        <v>0</v>
      </c>
      <c r="AH795" s="451">
        <f ca="1">IF(AND(Scharniere[[#This Row],[Scharnierart]]=select!$A$1488,Scharniere[[#This Row],[Gruppenschlüssel]]=select!$B$1488)=TRUE,1,0)</f>
        <v>0</v>
      </c>
      <c r="AI795" s="451">
        <f ca="1">IF(SUM(Scharniere[[#This Row],[konf Scharnier 1]:[konf Scharnier 4]])&gt;0,1,0)</f>
        <v>0</v>
      </c>
      <c r="AJ795" s="451"/>
      <c r="AK795" s="451"/>
      <c r="AL795" s="451"/>
      <c r="AM795" s="451"/>
      <c r="AN795" s="451"/>
      <c r="AO795" s="146">
        <v>2</v>
      </c>
      <c r="AP795" s="146">
        <v>2</v>
      </c>
      <c r="AQ795" s="71" t="str">
        <f ca="1">Sprache!$A$118</f>
        <v>Tiomos Scharnier T Click-on</v>
      </c>
      <c r="AR795" t="str">
        <f ca="1">"110/90°, S-BB, "&amp;Sprache!$A$62&amp;" ni"</f>
        <v>110/90°, S-BB, einl. ni</v>
      </c>
      <c r="AS795" t="str">
        <f ca="1">Sprache!$A$103</f>
        <v>Tiomos Click-On Scharniere</v>
      </c>
      <c r="AT795" t="s">
        <v>1264</v>
      </c>
      <c r="AU795" s="34" t="s">
        <v>11</v>
      </c>
      <c r="AV795" t="s">
        <v>1489</v>
      </c>
      <c r="AW795" s="71">
        <v>0</v>
      </c>
      <c r="AX795">
        <v>1</v>
      </c>
      <c r="AY795">
        <v>0</v>
      </c>
      <c r="AZ795" s="71">
        <v>1</v>
      </c>
      <c r="BA795">
        <v>0</v>
      </c>
      <c r="BB795">
        <v>0</v>
      </c>
      <c r="BC795">
        <v>0</v>
      </c>
      <c r="BD795" s="144" t="s">
        <v>1685</v>
      </c>
      <c r="BF795" s="10"/>
      <c r="BG795"/>
    </row>
    <row r="796" spans="1:59" ht="14.25" customHeight="1" x14ac:dyDescent="0.25">
      <c r="A796" s="37" t="str">
        <f>LEFT(Scharniere[[#This Row],[ArtikelNR]],4)</f>
        <v>F046</v>
      </c>
      <c r="B796" s="35" t="str">
        <f>MID(Scharniere[[#This Row],[ArtikelNR]],5,3)</f>
        <v>138</v>
      </c>
      <c r="C796" s="37" t="str">
        <f>RIGHT(Scharniere[[#This Row],[ArtikelNR]],3)</f>
        <v>960</v>
      </c>
      <c r="D796" s="35">
        <f>IF(AND(Scharniere[[#This Row],[Gruppenschlüssel]]=select!$A$44,Scharniere[[#This Row],[Scharnierart]]=1)=TRUE,1,0)</f>
        <v>0</v>
      </c>
      <c r="E7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6" s="35">
        <f>IF(select!$F$57=IF(Scharniere[[#This Row],[mit Dämpfung]]=1,1,IF(Scharniere[[#This Row],[ohne Dämpfung]]=1,2,IF(Scharniere[[#This Row],[ohne Feder]]=1,3,0))),1,0)</f>
        <v>1</v>
      </c>
      <c r="G796" s="35">
        <f>IF(Scharniere[[#This Row],[Bohrbild]]=select!$V$43,1,0)</f>
        <v>0</v>
      </c>
      <c r="H796" s="35">
        <f>IF(IF(Scharniere[[#This Row],[Anschrauben]]=1,1,IF(Scharniere[[#This Row],[Einpressen]]=1,2,IF(Scharniere[[#This Row],[Quick]]=1,3,IF(Scharniere[[#This Row],[Werkzeuglos]]=1,4,0))))=select!$F$48,1,0)</f>
        <v>0</v>
      </c>
      <c r="I7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6" s="149">
        <f>IF(AND(Scharniere[[#This Row],[Scharnierart]]=2,Scharniere[[#This Row],[Gruppenschlüssel]]=select!$A$318)=TRUE,1,0)</f>
        <v>0</v>
      </c>
      <c r="K796" s="221">
        <f ca="1">IF(select!$O$424&lt;6,1,0)</f>
        <v>1</v>
      </c>
      <c r="L796" s="221">
        <f>IF(select!$A$362=IF(Scharniere[[#This Row],[mit Dämpfung]]=1,1,IF(Scharniere[[#This Row],[ohne Dämpfung]]=1,2,IF(Scharniere[[#This Row],[ohne Feder]]=1,3,0))),1,0)</f>
        <v>0</v>
      </c>
      <c r="M796" s="135">
        <f>IF(Scharniere[[#This Row],[Bohrbild]]=select!$O$334,1,0)</f>
        <v>0</v>
      </c>
      <c r="N796" s="135">
        <f>IF(IF(Scharniere[[#This Row],[Anschrauben]]=1,1,IF(Scharniere[[#This Row],[Einpressen]]=1,2,IF(Scharniere[[#This Row],[Quick]]=1,3,IF(Scharniere[[#This Row],[Werkzeuglos]]=1,4,0))))=select!$E$362,1,0)</f>
        <v>1</v>
      </c>
      <c r="O7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6" s="298">
        <f>IF(AND(Scharniere[[#This Row],[Scharnierart]]=3,Scharniere[[#This Row],[Gruppenschlüssel]]=select!$A$747)=TRUE,1,0)</f>
        <v>0</v>
      </c>
      <c r="Q796" s="298">
        <f ca="1">IF(select!$O$945&lt;6,1,0)</f>
        <v>1</v>
      </c>
      <c r="R796" s="298">
        <f>IF(select!$A$778=IF(Scharniere[[#This Row],[mit Dämpfung]]=1,1,IF(Scharniere[[#This Row],[ohne Dämpfung]]=1,2,IF(Scharniere[[#This Row],[ohne Feder]]=1,3,0))),1,0)</f>
        <v>0</v>
      </c>
      <c r="S796" s="298">
        <f>IF(Scharniere[[#This Row],[Bohrbild]]=select!$A$755,1,0)</f>
        <v>0</v>
      </c>
      <c r="T796" s="298">
        <f>IF(IF(Scharniere[[#This Row],[Anschrauben]]=1,1,IF(Scharniere[[#This Row],[Einpressen]]=1,2,IF(Scharniere[[#This Row],[Quick]]=1,3,IF(Scharniere[[#This Row],[Werkzeuglos]]=1,4,0))))=select!$A$769,1,0)</f>
        <v>1</v>
      </c>
      <c r="U7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6" s="359">
        <f>IF(AND(Scharniere[[#This Row],[Scharnierart]]=4,Scharniere[[#This Row],[Gruppenschlüssel]]=select!$A$981)=TRUE,1,0)</f>
        <v>0</v>
      </c>
      <c r="W796" s="359">
        <f ca="1">IF(select!$O$1185&lt;6,1,0)</f>
        <v>1</v>
      </c>
      <c r="X796" s="359">
        <f>IF(select!$A$1012=IF(Scharniere[[#This Row],[mit Dämpfung]]=1,1,IF(Scharniere[[#This Row],[ohne Dämpfung]]=1,2,IF(Scharniere[[#This Row],[ohne Feder]]=1,3,0))),1,0)</f>
        <v>0</v>
      </c>
      <c r="Y796" s="359">
        <f>IF(Scharniere[[#This Row],[Bohrbild]]=select!$A$989,1,0)</f>
        <v>0</v>
      </c>
      <c r="Z796" s="359">
        <f>IF(IF(Scharniere[[#This Row],[Anschrauben]]=1,1,IF(Scharniere[[#This Row],[Einpressen]]=1,2,IF(Scharniere[[#This Row],[Quick]]=1,3,IF(Scharniere[[#This Row],[Werkzeuglos]]=1,4,0))))=select!$A$1003,1,0)</f>
        <v>1</v>
      </c>
      <c r="AA7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6" s="359">
        <f ca="1">IF(select!$K$980="*",Scharniere[[#This Row],[AG Ges2]],Scharniere[[#This Row],[AG Ges1]])</f>
        <v>0</v>
      </c>
      <c r="AE796" s="451">
        <f ca="1">IF(AND(Scharniere[[#This Row],[Scharnierart]]=select!$A$1485,Scharniere[[#This Row],[Gruppenschlüssel]]=select!$B$1485)=TRUE,1,0)</f>
        <v>0</v>
      </c>
      <c r="AF796" s="451">
        <f ca="1">IF(AND(Scharniere[[#This Row],[Scharnierart]]=select!$A$1486,Scharniere[[#This Row],[Gruppenschlüssel]]=select!$B$1486)=TRUE,1,0)</f>
        <v>0</v>
      </c>
      <c r="AG796" s="451">
        <f ca="1">IF(AND(Scharniere[[#This Row],[Scharnierart]]=select!$A$1487,Scharniere[[#This Row],[Gruppenschlüssel]]=select!$B$1487)=TRUE,1,0)</f>
        <v>0</v>
      </c>
      <c r="AH796" s="451">
        <f ca="1">IF(AND(Scharniere[[#This Row],[Scharnierart]]=select!$A$1488,Scharniere[[#This Row],[Gruppenschlüssel]]=select!$B$1488)=TRUE,1,0)</f>
        <v>0</v>
      </c>
      <c r="AI796" s="451">
        <f ca="1">IF(SUM(Scharniere[[#This Row],[konf Scharnier 1]:[konf Scharnier 4]])&gt;0,1,0)</f>
        <v>0</v>
      </c>
      <c r="AJ796" s="451"/>
      <c r="AK796" s="451"/>
      <c r="AL796" s="451"/>
      <c r="AM796" s="451"/>
      <c r="AN796" s="451"/>
      <c r="AO796" s="146">
        <v>2</v>
      </c>
      <c r="AP796" s="146">
        <v>2</v>
      </c>
      <c r="AQ796" s="71" t="str">
        <f ca="1">Sprache!$A$114</f>
        <v>Tiomos Scharnier TT Click-on</v>
      </c>
      <c r="AR796" t="str">
        <f ca="1">"110/90°, S-BB, "&amp;Sprache!$A$62&amp;" ni"</f>
        <v>110/90°, S-BB, einl. ni</v>
      </c>
      <c r="AS796" t="str">
        <f ca="1">Sprache!$A$103</f>
        <v>Tiomos Click-On Scharniere</v>
      </c>
      <c r="AT796" t="s">
        <v>1264</v>
      </c>
      <c r="AU796" s="34" t="s">
        <v>11</v>
      </c>
      <c r="AV796" t="s">
        <v>1489</v>
      </c>
      <c r="AW796" s="71">
        <v>0</v>
      </c>
      <c r="AX796">
        <v>0</v>
      </c>
      <c r="AY796">
        <v>1</v>
      </c>
      <c r="AZ796" s="71">
        <v>1</v>
      </c>
      <c r="BA796">
        <v>0</v>
      </c>
      <c r="BB796">
        <v>0</v>
      </c>
      <c r="BC796">
        <v>0</v>
      </c>
      <c r="BD796" s="144" t="s">
        <v>1738</v>
      </c>
      <c r="BF796" s="10"/>
      <c r="BG796"/>
    </row>
    <row r="797" spans="1:59" ht="14.25" customHeight="1" x14ac:dyDescent="0.25">
      <c r="A797" s="37" t="str">
        <f>LEFT(Scharniere[[#This Row],[ArtikelNR]],4)</f>
        <v>F028</v>
      </c>
      <c r="B797" s="35" t="str">
        <f>MID(Scharniere[[#This Row],[ArtikelNR]],5,3)</f>
        <v>138</v>
      </c>
      <c r="C797" s="37" t="str">
        <f>RIGHT(Scharniere[[#This Row],[ArtikelNR]],3)</f>
        <v>529</v>
      </c>
      <c r="D797" s="35">
        <f>IF(AND(Scharniere[[#This Row],[Gruppenschlüssel]]=select!$A$44,Scharniere[[#This Row],[Scharnierart]]=1)=TRUE,1,0)</f>
        <v>0</v>
      </c>
      <c r="E7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7" s="35">
        <f>IF(select!$F$57=IF(Scharniere[[#This Row],[mit Dämpfung]]=1,1,IF(Scharniere[[#This Row],[ohne Dämpfung]]=1,2,IF(Scharniere[[#This Row],[ohne Feder]]=1,3,0))),1,0)</f>
        <v>0</v>
      </c>
      <c r="G797" s="35">
        <f>IF(Scharniere[[#This Row],[Bohrbild]]=select!$V$43,1,0)</f>
        <v>0</v>
      </c>
      <c r="H797" s="35">
        <f>IF(IF(Scharniere[[#This Row],[Anschrauben]]=1,1,IF(Scharniere[[#This Row],[Einpressen]]=1,2,IF(Scharniere[[#This Row],[Quick]]=1,3,IF(Scharniere[[#This Row],[Werkzeuglos]]=1,4,0))))=select!$F$48,1,0)</f>
        <v>0</v>
      </c>
      <c r="I7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7" s="149">
        <f>IF(AND(Scharniere[[#This Row],[Scharnierart]]=2,Scharniere[[#This Row],[Gruppenschlüssel]]=select!$A$318)=TRUE,1,0)</f>
        <v>0</v>
      </c>
      <c r="K797" s="221">
        <f ca="1">IF(select!$O$424&lt;6,1,0)</f>
        <v>1</v>
      </c>
      <c r="L797" s="221">
        <f>IF(select!$A$362=IF(Scharniere[[#This Row],[mit Dämpfung]]=1,1,IF(Scharniere[[#This Row],[ohne Dämpfung]]=1,2,IF(Scharniere[[#This Row],[ohne Feder]]=1,3,0))),1,0)</f>
        <v>1</v>
      </c>
      <c r="M797" s="135">
        <f>IF(Scharniere[[#This Row],[Bohrbild]]=select!$O$334,1,0)</f>
        <v>0</v>
      </c>
      <c r="N797" s="135">
        <f>IF(IF(Scharniere[[#This Row],[Anschrauben]]=1,1,IF(Scharniere[[#This Row],[Einpressen]]=1,2,IF(Scharniere[[#This Row],[Quick]]=1,3,IF(Scharniere[[#This Row],[Werkzeuglos]]=1,4,0))))=select!$E$362,1,0)</f>
        <v>1</v>
      </c>
      <c r="O7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7" s="298">
        <f>IF(AND(Scharniere[[#This Row],[Scharnierart]]=3,Scharniere[[#This Row],[Gruppenschlüssel]]=select!$A$747)=TRUE,1,0)</f>
        <v>0</v>
      </c>
      <c r="Q797" s="298">
        <f ca="1">IF(select!$O$945&lt;6,1,0)</f>
        <v>1</v>
      </c>
      <c r="R797" s="298">
        <f>IF(select!$A$778=IF(Scharniere[[#This Row],[mit Dämpfung]]=1,1,IF(Scharniere[[#This Row],[ohne Dämpfung]]=1,2,IF(Scharniere[[#This Row],[ohne Feder]]=1,3,0))),1,0)</f>
        <v>0</v>
      </c>
      <c r="S797" s="298">
        <f>IF(Scharniere[[#This Row],[Bohrbild]]=select!$A$755,1,0)</f>
        <v>0</v>
      </c>
      <c r="T797" s="298">
        <f>IF(IF(Scharniere[[#This Row],[Anschrauben]]=1,1,IF(Scharniere[[#This Row],[Einpressen]]=1,2,IF(Scharniere[[#This Row],[Quick]]=1,3,IF(Scharniere[[#This Row],[Werkzeuglos]]=1,4,0))))=select!$A$769,1,0)</f>
        <v>1</v>
      </c>
      <c r="U7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7" s="359">
        <f>IF(AND(Scharniere[[#This Row],[Scharnierart]]=4,Scharniere[[#This Row],[Gruppenschlüssel]]=select!$A$981)=TRUE,1,0)</f>
        <v>0</v>
      </c>
      <c r="W797" s="359">
        <f ca="1">IF(select!$O$1185&lt;6,1,0)</f>
        <v>1</v>
      </c>
      <c r="X797" s="359">
        <f>IF(select!$A$1012=IF(Scharniere[[#This Row],[mit Dämpfung]]=1,1,IF(Scharniere[[#This Row],[ohne Dämpfung]]=1,2,IF(Scharniere[[#This Row],[ohne Feder]]=1,3,0))),1,0)</f>
        <v>0</v>
      </c>
      <c r="Y797" s="359">
        <f>IF(Scharniere[[#This Row],[Bohrbild]]=select!$A$989,1,0)</f>
        <v>0</v>
      </c>
      <c r="Z797" s="359">
        <f>IF(IF(Scharniere[[#This Row],[Anschrauben]]=1,1,IF(Scharniere[[#This Row],[Einpressen]]=1,2,IF(Scharniere[[#This Row],[Quick]]=1,3,IF(Scharniere[[#This Row],[Werkzeuglos]]=1,4,0))))=select!$A$1003,1,0)</f>
        <v>1</v>
      </c>
      <c r="AA7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7" s="359">
        <f ca="1">IF(select!$K$980="*",Scharniere[[#This Row],[AG Ges2]],Scharniere[[#This Row],[AG Ges1]])</f>
        <v>0</v>
      </c>
      <c r="AE797" s="451">
        <f ca="1">IF(AND(Scharniere[[#This Row],[Scharnierart]]=select!$A$1485,Scharniere[[#This Row],[Gruppenschlüssel]]=select!$B$1485)=TRUE,1,0)</f>
        <v>0</v>
      </c>
      <c r="AF797" s="451">
        <f ca="1">IF(AND(Scharniere[[#This Row],[Scharnierart]]=select!$A$1486,Scharniere[[#This Row],[Gruppenschlüssel]]=select!$B$1486)=TRUE,1,0)</f>
        <v>0</v>
      </c>
      <c r="AG797" s="451">
        <f ca="1">IF(AND(Scharniere[[#This Row],[Scharnierart]]=select!$A$1487,Scharniere[[#This Row],[Gruppenschlüssel]]=select!$B$1487)=TRUE,1,0)</f>
        <v>0</v>
      </c>
      <c r="AH797" s="451">
        <f ca="1">IF(AND(Scharniere[[#This Row],[Scharnierart]]=select!$A$1488,Scharniere[[#This Row],[Gruppenschlüssel]]=select!$B$1488)=TRUE,1,0)</f>
        <v>0</v>
      </c>
      <c r="AI797" s="451">
        <f ca="1">IF(SUM(Scharniere[[#This Row],[konf Scharnier 1]:[konf Scharnier 4]])&gt;0,1,0)</f>
        <v>0</v>
      </c>
      <c r="AJ797" s="451"/>
      <c r="AK797" s="451"/>
      <c r="AL797" s="451"/>
      <c r="AM797" s="451"/>
      <c r="AN797" s="451"/>
      <c r="AO797" s="146">
        <v>2</v>
      </c>
      <c r="AP797" s="146">
        <v>3</v>
      </c>
      <c r="AQ797" s="71" t="str">
        <f ca="1">Sprache!$A$112</f>
        <v>Tiomos Scharnier TS Click-on</v>
      </c>
      <c r="AR797" t="str">
        <f ca="1">"110/30°, B-BB, "&amp;Sprache!$A$58&amp;" ni"</f>
        <v>110/30°, B-BB, aufl. ni</v>
      </c>
      <c r="AS797" t="str">
        <f ca="1">Sprache!$A$103</f>
        <v>Tiomos Click-On Scharniere</v>
      </c>
      <c r="AT797" t="s">
        <v>1264</v>
      </c>
      <c r="AU797" t="s">
        <v>3</v>
      </c>
      <c r="AV797" t="s">
        <v>1489</v>
      </c>
      <c r="AW797" s="71">
        <v>1</v>
      </c>
      <c r="AX797">
        <v>0</v>
      </c>
      <c r="AY797">
        <v>0</v>
      </c>
      <c r="AZ797" s="71">
        <v>1</v>
      </c>
      <c r="BA797">
        <v>0</v>
      </c>
      <c r="BB797">
        <v>0</v>
      </c>
      <c r="BC797">
        <v>0</v>
      </c>
      <c r="BD797" s="144" t="s">
        <v>1486</v>
      </c>
      <c r="BF797" s="10"/>
      <c r="BG797"/>
    </row>
    <row r="798" spans="1:59" ht="14.25" customHeight="1" x14ac:dyDescent="0.25">
      <c r="A798" s="37" t="str">
        <f>LEFT(Scharniere[[#This Row],[ArtikelNR]],4)</f>
        <v>F045</v>
      </c>
      <c r="B798" s="35" t="str">
        <f>MID(Scharniere[[#This Row],[ArtikelNR]],5,3)</f>
        <v>138</v>
      </c>
      <c r="C798" s="37" t="str">
        <f>RIGHT(Scharniere[[#This Row],[ArtikelNR]],3)</f>
        <v>467</v>
      </c>
      <c r="D798" s="35">
        <f>IF(AND(Scharniere[[#This Row],[Gruppenschlüssel]]=select!$A$44,Scharniere[[#This Row],[Scharnierart]]=1)=TRUE,1,0)</f>
        <v>0</v>
      </c>
      <c r="E7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8" s="35">
        <f>IF(select!$F$57=IF(Scharniere[[#This Row],[mit Dämpfung]]=1,1,IF(Scharniere[[#This Row],[ohne Dämpfung]]=1,2,IF(Scharniere[[#This Row],[ohne Feder]]=1,3,0))),1,0)</f>
        <v>0</v>
      </c>
      <c r="G798" s="35">
        <f>IF(Scharniere[[#This Row],[Bohrbild]]=select!$V$43,1,0)</f>
        <v>0</v>
      </c>
      <c r="H798" s="35">
        <f>IF(IF(Scharniere[[#This Row],[Anschrauben]]=1,1,IF(Scharniere[[#This Row],[Einpressen]]=1,2,IF(Scharniere[[#This Row],[Quick]]=1,3,IF(Scharniere[[#This Row],[Werkzeuglos]]=1,4,0))))=select!$F$48,1,0)</f>
        <v>0</v>
      </c>
      <c r="I7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8" s="149">
        <f>IF(AND(Scharniere[[#This Row],[Scharnierart]]=2,Scharniere[[#This Row],[Gruppenschlüssel]]=select!$A$318)=TRUE,1,0)</f>
        <v>0</v>
      </c>
      <c r="K798" s="221">
        <f ca="1">IF(select!$O$424&lt;6,1,0)</f>
        <v>1</v>
      </c>
      <c r="L798" s="221">
        <f>IF(select!$A$362=IF(Scharniere[[#This Row],[mit Dämpfung]]=1,1,IF(Scharniere[[#This Row],[ohne Dämpfung]]=1,2,IF(Scharniere[[#This Row],[ohne Feder]]=1,3,0))),1,0)</f>
        <v>0</v>
      </c>
      <c r="M798" s="135">
        <f>IF(Scharniere[[#This Row],[Bohrbild]]=select!$O$334,1,0)</f>
        <v>0</v>
      </c>
      <c r="N798" s="135">
        <f>IF(IF(Scharniere[[#This Row],[Anschrauben]]=1,1,IF(Scharniere[[#This Row],[Einpressen]]=1,2,IF(Scharniere[[#This Row],[Quick]]=1,3,IF(Scharniere[[#This Row],[Werkzeuglos]]=1,4,0))))=select!$E$362,1,0)</f>
        <v>1</v>
      </c>
      <c r="O7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8" s="298">
        <f>IF(AND(Scharniere[[#This Row],[Scharnierart]]=3,Scharniere[[#This Row],[Gruppenschlüssel]]=select!$A$747)=TRUE,1,0)</f>
        <v>0</v>
      </c>
      <c r="Q798" s="298">
        <f ca="1">IF(select!$O$945&lt;6,1,0)</f>
        <v>1</v>
      </c>
      <c r="R798" s="298">
        <f>IF(select!$A$778=IF(Scharniere[[#This Row],[mit Dämpfung]]=1,1,IF(Scharniere[[#This Row],[ohne Dämpfung]]=1,2,IF(Scharniere[[#This Row],[ohne Feder]]=1,3,0))),1,0)</f>
        <v>1</v>
      </c>
      <c r="S798" s="298">
        <f>IF(Scharniere[[#This Row],[Bohrbild]]=select!$A$755,1,0)</f>
        <v>0</v>
      </c>
      <c r="T798" s="298">
        <f>IF(IF(Scharniere[[#This Row],[Anschrauben]]=1,1,IF(Scharniere[[#This Row],[Einpressen]]=1,2,IF(Scharniere[[#This Row],[Quick]]=1,3,IF(Scharniere[[#This Row],[Werkzeuglos]]=1,4,0))))=select!$A$769,1,0)</f>
        <v>1</v>
      </c>
      <c r="U7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8" s="359">
        <f>IF(AND(Scharniere[[#This Row],[Scharnierart]]=4,Scharniere[[#This Row],[Gruppenschlüssel]]=select!$A$981)=TRUE,1,0)</f>
        <v>0</v>
      </c>
      <c r="W798" s="359">
        <f ca="1">IF(select!$O$1185&lt;6,1,0)</f>
        <v>1</v>
      </c>
      <c r="X798" s="359">
        <f>IF(select!$A$1012=IF(Scharniere[[#This Row],[mit Dämpfung]]=1,1,IF(Scharniere[[#This Row],[ohne Dämpfung]]=1,2,IF(Scharniere[[#This Row],[ohne Feder]]=1,3,0))),1,0)</f>
        <v>1</v>
      </c>
      <c r="Y798" s="359">
        <f>IF(Scharniere[[#This Row],[Bohrbild]]=select!$A$989,1,0)</f>
        <v>0</v>
      </c>
      <c r="Z798" s="359">
        <f>IF(IF(Scharniere[[#This Row],[Anschrauben]]=1,1,IF(Scharniere[[#This Row],[Einpressen]]=1,2,IF(Scharniere[[#This Row],[Quick]]=1,3,IF(Scharniere[[#This Row],[Werkzeuglos]]=1,4,0))))=select!$A$1003,1,0)</f>
        <v>1</v>
      </c>
      <c r="AA7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8" s="359">
        <f ca="1">IF(select!$K$980="*",Scharniere[[#This Row],[AG Ges2]],Scharniere[[#This Row],[AG Ges1]])</f>
        <v>0</v>
      </c>
      <c r="AE798" s="451">
        <f ca="1">IF(AND(Scharniere[[#This Row],[Scharnierart]]=select!$A$1485,Scharniere[[#This Row],[Gruppenschlüssel]]=select!$B$1485)=TRUE,1,0)</f>
        <v>0</v>
      </c>
      <c r="AF798" s="451">
        <f ca="1">IF(AND(Scharniere[[#This Row],[Scharnierart]]=select!$A$1486,Scharniere[[#This Row],[Gruppenschlüssel]]=select!$B$1486)=TRUE,1,0)</f>
        <v>0</v>
      </c>
      <c r="AG798" s="451">
        <f ca="1">IF(AND(Scharniere[[#This Row],[Scharnierart]]=select!$A$1487,Scharniere[[#This Row],[Gruppenschlüssel]]=select!$B$1487)=TRUE,1,0)</f>
        <v>0</v>
      </c>
      <c r="AH798" s="451">
        <f ca="1">IF(AND(Scharniere[[#This Row],[Scharnierart]]=select!$A$1488,Scharniere[[#This Row],[Gruppenschlüssel]]=select!$B$1488)=TRUE,1,0)</f>
        <v>0</v>
      </c>
      <c r="AI798" s="451">
        <f ca="1">IF(SUM(Scharniere[[#This Row],[konf Scharnier 1]:[konf Scharnier 4]])&gt;0,1,0)</f>
        <v>0</v>
      </c>
      <c r="AJ798" s="451"/>
      <c r="AK798" s="451"/>
      <c r="AL798" s="451"/>
      <c r="AM798" s="451"/>
      <c r="AN798" s="451"/>
      <c r="AO798" s="146">
        <v>2</v>
      </c>
      <c r="AP798" s="146">
        <v>3</v>
      </c>
      <c r="AQ798" s="71" t="str">
        <f ca="1">Sprache!$A$118</f>
        <v>Tiomos Scharnier T Click-on</v>
      </c>
      <c r="AR798" t="str">
        <f ca="1">"110/30°, B-BB, "&amp;Sprache!$A$58&amp;" ni"</f>
        <v>110/30°, B-BB, aufl. ni</v>
      </c>
      <c r="AS798" t="str">
        <f ca="1">Sprache!$A$103</f>
        <v>Tiomos Click-On Scharniere</v>
      </c>
      <c r="AT798" t="s">
        <v>1264</v>
      </c>
      <c r="AU798" t="s">
        <v>3</v>
      </c>
      <c r="AV798" t="s">
        <v>1489</v>
      </c>
      <c r="AW798" s="71">
        <v>0</v>
      </c>
      <c r="AX798">
        <v>1</v>
      </c>
      <c r="AY798">
        <v>0</v>
      </c>
      <c r="AZ798" s="71">
        <v>1</v>
      </c>
      <c r="BA798">
        <v>0</v>
      </c>
      <c r="BB798">
        <v>0</v>
      </c>
      <c r="BC798">
        <v>0</v>
      </c>
      <c r="BD798" s="144" t="s">
        <v>1649</v>
      </c>
      <c r="BF798" s="10"/>
      <c r="BG798"/>
    </row>
    <row r="799" spans="1:59" ht="14.25" customHeight="1" x14ac:dyDescent="0.25">
      <c r="A799" s="37" t="str">
        <f>LEFT(Scharniere[[#This Row],[ArtikelNR]],4)</f>
        <v>F046</v>
      </c>
      <c r="B799" s="35" t="str">
        <f>MID(Scharniere[[#This Row],[ArtikelNR]],5,3)</f>
        <v>138</v>
      </c>
      <c r="C799" s="37" t="str">
        <f>RIGHT(Scharniere[[#This Row],[ArtikelNR]],3)</f>
        <v>589</v>
      </c>
      <c r="D799" s="35">
        <f>IF(AND(Scharniere[[#This Row],[Gruppenschlüssel]]=select!$A$44,Scharniere[[#This Row],[Scharnierart]]=1)=TRUE,1,0)</f>
        <v>0</v>
      </c>
      <c r="E7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799" s="35">
        <f>IF(select!$F$57=IF(Scharniere[[#This Row],[mit Dämpfung]]=1,1,IF(Scharniere[[#This Row],[ohne Dämpfung]]=1,2,IF(Scharniere[[#This Row],[ohne Feder]]=1,3,0))),1,0)</f>
        <v>1</v>
      </c>
      <c r="G799" s="35">
        <f>IF(Scharniere[[#This Row],[Bohrbild]]=select!$V$43,1,0)</f>
        <v>0</v>
      </c>
      <c r="H799" s="35">
        <f>IF(IF(Scharniere[[#This Row],[Anschrauben]]=1,1,IF(Scharniere[[#This Row],[Einpressen]]=1,2,IF(Scharniere[[#This Row],[Quick]]=1,3,IF(Scharniere[[#This Row],[Werkzeuglos]]=1,4,0))))=select!$F$48,1,0)</f>
        <v>0</v>
      </c>
      <c r="I7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799" s="149">
        <f>IF(AND(Scharniere[[#This Row],[Scharnierart]]=2,Scharniere[[#This Row],[Gruppenschlüssel]]=select!$A$318)=TRUE,1,0)</f>
        <v>0</v>
      </c>
      <c r="K799" s="221">
        <f ca="1">IF(select!$O$424&lt;6,1,0)</f>
        <v>1</v>
      </c>
      <c r="L799" s="221">
        <f>IF(select!$A$362=IF(Scharniere[[#This Row],[mit Dämpfung]]=1,1,IF(Scharniere[[#This Row],[ohne Dämpfung]]=1,2,IF(Scharniere[[#This Row],[ohne Feder]]=1,3,0))),1,0)</f>
        <v>0</v>
      </c>
      <c r="M799" s="135">
        <f>IF(Scharniere[[#This Row],[Bohrbild]]=select!$O$334,1,0)</f>
        <v>0</v>
      </c>
      <c r="N799" s="135">
        <f>IF(IF(Scharniere[[#This Row],[Anschrauben]]=1,1,IF(Scharniere[[#This Row],[Einpressen]]=1,2,IF(Scharniere[[#This Row],[Quick]]=1,3,IF(Scharniere[[#This Row],[Werkzeuglos]]=1,4,0))))=select!$E$362,1,0)</f>
        <v>1</v>
      </c>
      <c r="O7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799" s="298">
        <f>IF(AND(Scharniere[[#This Row],[Scharnierart]]=3,Scharniere[[#This Row],[Gruppenschlüssel]]=select!$A$747)=TRUE,1,0)</f>
        <v>0</v>
      </c>
      <c r="Q799" s="298">
        <f ca="1">IF(select!$O$945&lt;6,1,0)</f>
        <v>1</v>
      </c>
      <c r="R799" s="298">
        <f>IF(select!$A$778=IF(Scharniere[[#This Row],[mit Dämpfung]]=1,1,IF(Scharniere[[#This Row],[ohne Dämpfung]]=1,2,IF(Scharniere[[#This Row],[ohne Feder]]=1,3,0))),1,0)</f>
        <v>0</v>
      </c>
      <c r="S799" s="298">
        <f>IF(Scharniere[[#This Row],[Bohrbild]]=select!$A$755,1,0)</f>
        <v>0</v>
      </c>
      <c r="T799" s="298">
        <f>IF(IF(Scharniere[[#This Row],[Anschrauben]]=1,1,IF(Scharniere[[#This Row],[Einpressen]]=1,2,IF(Scharniere[[#This Row],[Quick]]=1,3,IF(Scharniere[[#This Row],[Werkzeuglos]]=1,4,0))))=select!$A$769,1,0)</f>
        <v>1</v>
      </c>
      <c r="U7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799" s="359">
        <f>IF(AND(Scharniere[[#This Row],[Scharnierart]]=4,Scharniere[[#This Row],[Gruppenschlüssel]]=select!$A$981)=TRUE,1,0)</f>
        <v>0</v>
      </c>
      <c r="W799" s="359">
        <f ca="1">IF(select!$O$1185&lt;6,1,0)</f>
        <v>1</v>
      </c>
      <c r="X799" s="359">
        <f>IF(select!$A$1012=IF(Scharniere[[#This Row],[mit Dämpfung]]=1,1,IF(Scharniere[[#This Row],[ohne Dämpfung]]=1,2,IF(Scharniere[[#This Row],[ohne Feder]]=1,3,0))),1,0)</f>
        <v>0</v>
      </c>
      <c r="Y799" s="359">
        <f>IF(Scharniere[[#This Row],[Bohrbild]]=select!$A$989,1,0)</f>
        <v>0</v>
      </c>
      <c r="Z799" s="359">
        <f>IF(IF(Scharniere[[#This Row],[Anschrauben]]=1,1,IF(Scharniere[[#This Row],[Einpressen]]=1,2,IF(Scharniere[[#This Row],[Quick]]=1,3,IF(Scharniere[[#This Row],[Werkzeuglos]]=1,4,0))))=select!$A$1003,1,0)</f>
        <v>1</v>
      </c>
      <c r="AA7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7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7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799" s="359">
        <f ca="1">IF(select!$K$980="*",Scharniere[[#This Row],[AG Ges2]],Scharniere[[#This Row],[AG Ges1]])</f>
        <v>0</v>
      </c>
      <c r="AE799" s="451">
        <f ca="1">IF(AND(Scharniere[[#This Row],[Scharnierart]]=select!$A$1485,Scharniere[[#This Row],[Gruppenschlüssel]]=select!$B$1485)=TRUE,1,0)</f>
        <v>0</v>
      </c>
      <c r="AF799" s="451">
        <f ca="1">IF(AND(Scharniere[[#This Row],[Scharnierart]]=select!$A$1486,Scharniere[[#This Row],[Gruppenschlüssel]]=select!$B$1486)=TRUE,1,0)</f>
        <v>0</v>
      </c>
      <c r="AG799" s="451">
        <f ca="1">IF(AND(Scharniere[[#This Row],[Scharnierart]]=select!$A$1487,Scharniere[[#This Row],[Gruppenschlüssel]]=select!$B$1487)=TRUE,1,0)</f>
        <v>0</v>
      </c>
      <c r="AH799" s="451">
        <f ca="1">IF(AND(Scharniere[[#This Row],[Scharnierart]]=select!$A$1488,Scharniere[[#This Row],[Gruppenschlüssel]]=select!$B$1488)=TRUE,1,0)</f>
        <v>0</v>
      </c>
      <c r="AI799" s="451">
        <f ca="1">IF(SUM(Scharniere[[#This Row],[konf Scharnier 1]:[konf Scharnier 4]])&gt;0,1,0)</f>
        <v>0</v>
      </c>
      <c r="AJ799" s="451"/>
      <c r="AK799" s="451"/>
      <c r="AL799" s="451"/>
      <c r="AM799" s="451"/>
      <c r="AN799" s="451"/>
      <c r="AO799" s="146">
        <v>2</v>
      </c>
      <c r="AP799" s="146">
        <v>3</v>
      </c>
      <c r="AQ799" s="71" t="str">
        <f ca="1">Sprache!$A$114</f>
        <v>Tiomos Scharnier TT Click-on</v>
      </c>
      <c r="AR799" t="str">
        <f ca="1">"110/30°, B-BB, "&amp;Sprache!$A$58&amp;" ni"</f>
        <v>110/30°, B-BB, aufl. ni</v>
      </c>
      <c r="AS799" t="str">
        <f ca="1">Sprache!$A$103</f>
        <v>Tiomos Click-On Scharniere</v>
      </c>
      <c r="AT799" t="s">
        <v>1264</v>
      </c>
      <c r="AU799" t="s">
        <v>3</v>
      </c>
      <c r="AV799" t="s">
        <v>1489</v>
      </c>
      <c r="AW799" s="71">
        <v>0</v>
      </c>
      <c r="AX799">
        <v>0</v>
      </c>
      <c r="AY799">
        <v>1</v>
      </c>
      <c r="AZ799" s="71">
        <v>1</v>
      </c>
      <c r="BA799">
        <v>0</v>
      </c>
      <c r="BB799">
        <v>0</v>
      </c>
      <c r="BC799">
        <v>0</v>
      </c>
      <c r="BD799" s="144" t="s">
        <v>1718</v>
      </c>
      <c r="BF799" s="10"/>
      <c r="BG799"/>
    </row>
    <row r="800" spans="1:59" ht="14.25" customHeight="1" x14ac:dyDescent="0.25">
      <c r="A800" s="37" t="str">
        <f>LEFT(Scharniere[[#This Row],[ArtikelNR]],4)</f>
        <v>F028</v>
      </c>
      <c r="B800" s="35" t="str">
        <f>MID(Scharniere[[#This Row],[ArtikelNR]],5,3)</f>
        <v>138</v>
      </c>
      <c r="C800" s="37" t="str">
        <f>RIGHT(Scharniere[[#This Row],[ArtikelNR]],3)</f>
        <v>347</v>
      </c>
      <c r="D800" s="35">
        <f>IF(AND(Scharniere[[#This Row],[Gruppenschlüssel]]=select!$A$44,Scharniere[[#This Row],[Scharnierart]]=1)=TRUE,1,0)</f>
        <v>0</v>
      </c>
      <c r="E8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0" s="35">
        <f>IF(select!$F$57=IF(Scharniere[[#This Row],[mit Dämpfung]]=1,1,IF(Scharniere[[#This Row],[ohne Dämpfung]]=1,2,IF(Scharniere[[#This Row],[ohne Feder]]=1,3,0))),1,0)</f>
        <v>0</v>
      </c>
      <c r="G800" s="35">
        <f>IF(Scharniere[[#This Row],[Bohrbild]]=select!$V$43,1,0)</f>
        <v>0</v>
      </c>
      <c r="H800" s="35">
        <f>IF(IF(Scharniere[[#This Row],[Anschrauben]]=1,1,IF(Scharniere[[#This Row],[Einpressen]]=1,2,IF(Scharniere[[#This Row],[Quick]]=1,3,IF(Scharniere[[#This Row],[Werkzeuglos]]=1,4,0))))=select!$F$48,1,0)</f>
        <v>0</v>
      </c>
      <c r="I8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0" s="149">
        <f>IF(AND(Scharniere[[#This Row],[Scharnierart]]=2,Scharniere[[#This Row],[Gruppenschlüssel]]=select!$A$318)=TRUE,1,0)</f>
        <v>0</v>
      </c>
      <c r="K800" s="221">
        <f ca="1">IF(select!$O$424&lt;6,1,0)</f>
        <v>1</v>
      </c>
      <c r="L800" s="221">
        <f>IF(select!$A$362=IF(Scharniere[[#This Row],[mit Dämpfung]]=1,1,IF(Scharniere[[#This Row],[ohne Dämpfung]]=1,2,IF(Scharniere[[#This Row],[ohne Feder]]=1,3,0))),1,0)</f>
        <v>1</v>
      </c>
      <c r="M800" s="135">
        <f>IF(Scharniere[[#This Row],[Bohrbild]]=select!$O$334,1,0)</f>
        <v>0</v>
      </c>
      <c r="N800" s="135">
        <f>IF(IF(Scharniere[[#This Row],[Anschrauben]]=1,1,IF(Scharniere[[#This Row],[Einpressen]]=1,2,IF(Scharniere[[#This Row],[Quick]]=1,3,IF(Scharniere[[#This Row],[Werkzeuglos]]=1,4,0))))=select!$E$362,1,0)</f>
        <v>1</v>
      </c>
      <c r="O8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0" s="298">
        <f>IF(AND(Scharniere[[#This Row],[Scharnierart]]=3,Scharniere[[#This Row],[Gruppenschlüssel]]=select!$A$747)=TRUE,1,0)</f>
        <v>0</v>
      </c>
      <c r="Q800" s="298">
        <f ca="1">IF(select!$O$945&lt;6,1,0)</f>
        <v>1</v>
      </c>
      <c r="R800" s="298">
        <f>IF(select!$A$778=IF(Scharniere[[#This Row],[mit Dämpfung]]=1,1,IF(Scharniere[[#This Row],[ohne Dämpfung]]=1,2,IF(Scharniere[[#This Row],[ohne Feder]]=1,3,0))),1,0)</f>
        <v>0</v>
      </c>
      <c r="S800" s="298">
        <f>IF(Scharniere[[#This Row],[Bohrbild]]=select!$A$755,1,0)</f>
        <v>0</v>
      </c>
      <c r="T800" s="298">
        <f>IF(IF(Scharniere[[#This Row],[Anschrauben]]=1,1,IF(Scharniere[[#This Row],[Einpressen]]=1,2,IF(Scharniere[[#This Row],[Quick]]=1,3,IF(Scharniere[[#This Row],[Werkzeuglos]]=1,4,0))))=select!$A$769,1,0)</f>
        <v>1</v>
      </c>
      <c r="U8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0" s="359">
        <f>IF(AND(Scharniere[[#This Row],[Scharnierart]]=4,Scharniere[[#This Row],[Gruppenschlüssel]]=select!$A$981)=TRUE,1,0)</f>
        <v>0</v>
      </c>
      <c r="W800" s="359">
        <f ca="1">IF(select!$O$1185&lt;6,1,0)</f>
        <v>1</v>
      </c>
      <c r="X800" s="359">
        <f>IF(select!$A$1012=IF(Scharniere[[#This Row],[mit Dämpfung]]=1,1,IF(Scharniere[[#This Row],[ohne Dämpfung]]=1,2,IF(Scharniere[[#This Row],[ohne Feder]]=1,3,0))),1,0)</f>
        <v>0</v>
      </c>
      <c r="Y800" s="359">
        <f>IF(Scharniere[[#This Row],[Bohrbild]]=select!$A$989,1,0)</f>
        <v>0</v>
      </c>
      <c r="Z800" s="359">
        <f>IF(IF(Scharniere[[#This Row],[Anschrauben]]=1,1,IF(Scharniere[[#This Row],[Einpressen]]=1,2,IF(Scharniere[[#This Row],[Quick]]=1,3,IF(Scharniere[[#This Row],[Werkzeuglos]]=1,4,0))))=select!$A$1003,1,0)</f>
        <v>1</v>
      </c>
      <c r="AA8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0" s="359">
        <f ca="1">IF(select!$K$980="*",Scharniere[[#This Row],[AG Ges2]],Scharniere[[#This Row],[AG Ges1]])</f>
        <v>0</v>
      </c>
      <c r="AE800" s="451">
        <f ca="1">IF(AND(Scharniere[[#This Row],[Scharnierart]]=select!$A$1485,Scharniere[[#This Row],[Gruppenschlüssel]]=select!$B$1485)=TRUE,1,0)</f>
        <v>0</v>
      </c>
      <c r="AF800" s="451">
        <f ca="1">IF(AND(Scharniere[[#This Row],[Scharnierart]]=select!$A$1486,Scharniere[[#This Row],[Gruppenschlüssel]]=select!$B$1486)=TRUE,1,0)</f>
        <v>0</v>
      </c>
      <c r="AG800" s="451">
        <f ca="1">IF(AND(Scharniere[[#This Row],[Scharnierart]]=select!$A$1487,Scharniere[[#This Row],[Gruppenschlüssel]]=select!$B$1487)=TRUE,1,0)</f>
        <v>0</v>
      </c>
      <c r="AH800" s="451">
        <f ca="1">IF(AND(Scharniere[[#This Row],[Scharnierart]]=select!$A$1488,Scharniere[[#This Row],[Gruppenschlüssel]]=select!$B$1488)=TRUE,1,0)</f>
        <v>0</v>
      </c>
      <c r="AI800" s="451">
        <f ca="1">IF(SUM(Scharniere[[#This Row],[konf Scharnier 1]:[konf Scharnier 4]])&gt;0,1,0)</f>
        <v>0</v>
      </c>
      <c r="AJ800" s="451"/>
      <c r="AK800" s="451"/>
      <c r="AL800" s="451"/>
      <c r="AM800" s="451"/>
      <c r="AN800" s="451"/>
      <c r="AO800" s="146">
        <v>2</v>
      </c>
      <c r="AP800" s="146">
        <v>3</v>
      </c>
      <c r="AQ800" s="71" t="str">
        <f ca="1">Sprache!$A$112</f>
        <v>Tiomos Scharnier TS Click-on</v>
      </c>
      <c r="AR800" t="str">
        <f ca="1">"110/30°, G-BB, "&amp;Sprache!$A$58&amp;" ni"</f>
        <v>110/30°, G-BB, aufl. ni</v>
      </c>
      <c r="AS800" t="str">
        <f ca="1">Sprache!$A$103</f>
        <v>Tiomos Click-On Scharniere</v>
      </c>
      <c r="AT800" t="s">
        <v>1264</v>
      </c>
      <c r="AU800" t="s">
        <v>9</v>
      </c>
      <c r="AV800" t="s">
        <v>1489</v>
      </c>
      <c r="AW800" s="71">
        <v>1</v>
      </c>
      <c r="AX800">
        <v>0</v>
      </c>
      <c r="AY800">
        <v>0</v>
      </c>
      <c r="AZ800" s="71">
        <v>1</v>
      </c>
      <c r="BA800">
        <v>0</v>
      </c>
      <c r="BB800">
        <v>0</v>
      </c>
      <c r="BC800">
        <v>0</v>
      </c>
      <c r="BD800" s="144" t="s">
        <v>1533</v>
      </c>
      <c r="BF800" s="10"/>
      <c r="BG800"/>
    </row>
    <row r="801" spans="1:59" ht="14.25" customHeight="1" x14ac:dyDescent="0.25">
      <c r="A801" s="37" t="str">
        <f>LEFT(Scharniere[[#This Row],[ArtikelNR]],4)</f>
        <v>F045</v>
      </c>
      <c r="B801" s="35" t="str">
        <f>MID(Scharniere[[#This Row],[ArtikelNR]],5,3)</f>
        <v>138</v>
      </c>
      <c r="C801" s="37" t="str">
        <f>RIGHT(Scharniere[[#This Row],[ArtikelNR]],3)</f>
        <v>285</v>
      </c>
      <c r="D801" s="35">
        <f>IF(AND(Scharniere[[#This Row],[Gruppenschlüssel]]=select!$A$44,Scharniere[[#This Row],[Scharnierart]]=1)=TRUE,1,0)</f>
        <v>0</v>
      </c>
      <c r="E8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1" s="35">
        <f>IF(select!$F$57=IF(Scharniere[[#This Row],[mit Dämpfung]]=1,1,IF(Scharniere[[#This Row],[ohne Dämpfung]]=1,2,IF(Scharniere[[#This Row],[ohne Feder]]=1,3,0))),1,0)</f>
        <v>0</v>
      </c>
      <c r="G801" s="35">
        <f>IF(Scharniere[[#This Row],[Bohrbild]]=select!$V$43,1,0)</f>
        <v>0</v>
      </c>
      <c r="H801" s="35">
        <f>IF(IF(Scharniere[[#This Row],[Anschrauben]]=1,1,IF(Scharniere[[#This Row],[Einpressen]]=1,2,IF(Scharniere[[#This Row],[Quick]]=1,3,IF(Scharniere[[#This Row],[Werkzeuglos]]=1,4,0))))=select!$F$48,1,0)</f>
        <v>0</v>
      </c>
      <c r="I8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1" s="149">
        <f>IF(AND(Scharniere[[#This Row],[Scharnierart]]=2,Scharniere[[#This Row],[Gruppenschlüssel]]=select!$A$318)=TRUE,1,0)</f>
        <v>0</v>
      </c>
      <c r="K801" s="221">
        <f ca="1">IF(select!$O$424&lt;6,1,0)</f>
        <v>1</v>
      </c>
      <c r="L801" s="221">
        <f>IF(select!$A$362=IF(Scharniere[[#This Row],[mit Dämpfung]]=1,1,IF(Scharniere[[#This Row],[ohne Dämpfung]]=1,2,IF(Scharniere[[#This Row],[ohne Feder]]=1,3,0))),1,0)</f>
        <v>0</v>
      </c>
      <c r="M801" s="135">
        <f>IF(Scharniere[[#This Row],[Bohrbild]]=select!$O$334,1,0)</f>
        <v>0</v>
      </c>
      <c r="N801" s="135">
        <f>IF(IF(Scharniere[[#This Row],[Anschrauben]]=1,1,IF(Scharniere[[#This Row],[Einpressen]]=1,2,IF(Scharniere[[#This Row],[Quick]]=1,3,IF(Scharniere[[#This Row],[Werkzeuglos]]=1,4,0))))=select!$E$362,1,0)</f>
        <v>1</v>
      </c>
      <c r="O8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1" s="298">
        <f>IF(AND(Scharniere[[#This Row],[Scharnierart]]=3,Scharniere[[#This Row],[Gruppenschlüssel]]=select!$A$747)=TRUE,1,0)</f>
        <v>0</v>
      </c>
      <c r="Q801" s="298">
        <f ca="1">IF(select!$O$945&lt;6,1,0)</f>
        <v>1</v>
      </c>
      <c r="R801" s="298">
        <f>IF(select!$A$778=IF(Scharniere[[#This Row],[mit Dämpfung]]=1,1,IF(Scharniere[[#This Row],[ohne Dämpfung]]=1,2,IF(Scharniere[[#This Row],[ohne Feder]]=1,3,0))),1,0)</f>
        <v>1</v>
      </c>
      <c r="S801" s="298">
        <f>IF(Scharniere[[#This Row],[Bohrbild]]=select!$A$755,1,0)</f>
        <v>0</v>
      </c>
      <c r="T801" s="298">
        <f>IF(IF(Scharniere[[#This Row],[Anschrauben]]=1,1,IF(Scharniere[[#This Row],[Einpressen]]=1,2,IF(Scharniere[[#This Row],[Quick]]=1,3,IF(Scharniere[[#This Row],[Werkzeuglos]]=1,4,0))))=select!$A$769,1,0)</f>
        <v>1</v>
      </c>
      <c r="U8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1" s="359">
        <f>IF(AND(Scharniere[[#This Row],[Scharnierart]]=4,Scharniere[[#This Row],[Gruppenschlüssel]]=select!$A$981)=TRUE,1,0)</f>
        <v>0</v>
      </c>
      <c r="W801" s="359">
        <f ca="1">IF(select!$O$1185&lt;6,1,0)</f>
        <v>1</v>
      </c>
      <c r="X801" s="359">
        <f>IF(select!$A$1012=IF(Scharniere[[#This Row],[mit Dämpfung]]=1,1,IF(Scharniere[[#This Row],[ohne Dämpfung]]=1,2,IF(Scharniere[[#This Row],[ohne Feder]]=1,3,0))),1,0)</f>
        <v>1</v>
      </c>
      <c r="Y801" s="359">
        <f>IF(Scharniere[[#This Row],[Bohrbild]]=select!$A$989,1,0)</f>
        <v>0</v>
      </c>
      <c r="Z801" s="359">
        <f>IF(IF(Scharniere[[#This Row],[Anschrauben]]=1,1,IF(Scharniere[[#This Row],[Einpressen]]=1,2,IF(Scharniere[[#This Row],[Quick]]=1,3,IF(Scharniere[[#This Row],[Werkzeuglos]]=1,4,0))))=select!$A$1003,1,0)</f>
        <v>1</v>
      </c>
      <c r="AA8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1" s="359">
        <f ca="1">IF(select!$K$980="*",Scharniere[[#This Row],[AG Ges2]],Scharniere[[#This Row],[AG Ges1]])</f>
        <v>0</v>
      </c>
      <c r="AE801" s="451">
        <f ca="1">IF(AND(Scharniere[[#This Row],[Scharnierart]]=select!$A$1485,Scharniere[[#This Row],[Gruppenschlüssel]]=select!$B$1485)=TRUE,1,0)</f>
        <v>0</v>
      </c>
      <c r="AF801" s="451">
        <f ca="1">IF(AND(Scharniere[[#This Row],[Scharnierart]]=select!$A$1486,Scharniere[[#This Row],[Gruppenschlüssel]]=select!$B$1486)=TRUE,1,0)</f>
        <v>0</v>
      </c>
      <c r="AG801" s="451">
        <f ca="1">IF(AND(Scharniere[[#This Row],[Scharnierart]]=select!$A$1487,Scharniere[[#This Row],[Gruppenschlüssel]]=select!$B$1487)=TRUE,1,0)</f>
        <v>0</v>
      </c>
      <c r="AH801" s="451">
        <f ca="1">IF(AND(Scharniere[[#This Row],[Scharnierart]]=select!$A$1488,Scharniere[[#This Row],[Gruppenschlüssel]]=select!$B$1488)=TRUE,1,0)</f>
        <v>0</v>
      </c>
      <c r="AI801" s="451">
        <f ca="1">IF(SUM(Scharniere[[#This Row],[konf Scharnier 1]:[konf Scharnier 4]])&gt;0,1,0)</f>
        <v>0</v>
      </c>
      <c r="AJ801" s="451"/>
      <c r="AK801" s="451"/>
      <c r="AL801" s="451"/>
      <c r="AM801" s="451"/>
      <c r="AN801" s="451"/>
      <c r="AO801" s="146">
        <v>2</v>
      </c>
      <c r="AP801" s="146">
        <v>3</v>
      </c>
      <c r="AQ801" s="71" t="str">
        <f ca="1">Sprache!$A$118</f>
        <v>Tiomos Scharnier T Click-on</v>
      </c>
      <c r="AR801" t="str">
        <f ca="1">"110/30°, G-BB, "&amp;Sprache!$A$58&amp;" ni"</f>
        <v>110/30°, G-BB, aufl. ni</v>
      </c>
      <c r="AS801" t="str">
        <f ca="1">Sprache!$A$103</f>
        <v>Tiomos Click-On Scharniere</v>
      </c>
      <c r="AT801" t="s">
        <v>1264</v>
      </c>
      <c r="AU801" t="s">
        <v>9</v>
      </c>
      <c r="AV801" t="s">
        <v>1489</v>
      </c>
      <c r="AW801" s="71">
        <v>0</v>
      </c>
      <c r="AX801">
        <v>1</v>
      </c>
      <c r="AY801">
        <v>0</v>
      </c>
      <c r="AZ801" s="71">
        <v>1</v>
      </c>
      <c r="BA801">
        <v>0</v>
      </c>
      <c r="BB801">
        <v>0</v>
      </c>
      <c r="BC801">
        <v>0</v>
      </c>
      <c r="BD801" s="144" t="s">
        <v>1634</v>
      </c>
      <c r="BF801" s="10"/>
      <c r="BG801"/>
    </row>
    <row r="802" spans="1:59" ht="14.25" customHeight="1" x14ac:dyDescent="0.25">
      <c r="A802" s="37" t="str">
        <f>LEFT(Scharniere[[#This Row],[ArtikelNR]],4)</f>
        <v>F046</v>
      </c>
      <c r="B802" s="35" t="str">
        <f>MID(Scharniere[[#This Row],[ArtikelNR]],5,3)</f>
        <v>138</v>
      </c>
      <c r="C802" s="37" t="str">
        <f>RIGHT(Scharniere[[#This Row],[ArtikelNR]],3)</f>
        <v>407</v>
      </c>
      <c r="D802" s="35">
        <f>IF(AND(Scharniere[[#This Row],[Gruppenschlüssel]]=select!$A$44,Scharniere[[#This Row],[Scharnierart]]=1)=TRUE,1,0)</f>
        <v>0</v>
      </c>
      <c r="E8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2" s="35">
        <f>IF(select!$F$57=IF(Scharniere[[#This Row],[mit Dämpfung]]=1,1,IF(Scharniere[[#This Row],[ohne Dämpfung]]=1,2,IF(Scharniere[[#This Row],[ohne Feder]]=1,3,0))),1,0)</f>
        <v>1</v>
      </c>
      <c r="G802" s="35">
        <f>IF(Scharniere[[#This Row],[Bohrbild]]=select!$V$43,1,0)</f>
        <v>0</v>
      </c>
      <c r="H802" s="35">
        <f>IF(IF(Scharniere[[#This Row],[Anschrauben]]=1,1,IF(Scharniere[[#This Row],[Einpressen]]=1,2,IF(Scharniere[[#This Row],[Quick]]=1,3,IF(Scharniere[[#This Row],[Werkzeuglos]]=1,4,0))))=select!$F$48,1,0)</f>
        <v>0</v>
      </c>
      <c r="I8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2" s="149">
        <f>IF(AND(Scharniere[[#This Row],[Scharnierart]]=2,Scharniere[[#This Row],[Gruppenschlüssel]]=select!$A$318)=TRUE,1,0)</f>
        <v>0</v>
      </c>
      <c r="K802" s="221">
        <f ca="1">IF(select!$O$424&lt;6,1,0)</f>
        <v>1</v>
      </c>
      <c r="L802" s="221">
        <f>IF(select!$A$362=IF(Scharniere[[#This Row],[mit Dämpfung]]=1,1,IF(Scharniere[[#This Row],[ohne Dämpfung]]=1,2,IF(Scharniere[[#This Row],[ohne Feder]]=1,3,0))),1,0)</f>
        <v>0</v>
      </c>
      <c r="M802" s="135">
        <f>IF(Scharniere[[#This Row],[Bohrbild]]=select!$O$334,1,0)</f>
        <v>0</v>
      </c>
      <c r="N802" s="135">
        <f>IF(IF(Scharniere[[#This Row],[Anschrauben]]=1,1,IF(Scharniere[[#This Row],[Einpressen]]=1,2,IF(Scharniere[[#This Row],[Quick]]=1,3,IF(Scharniere[[#This Row],[Werkzeuglos]]=1,4,0))))=select!$E$362,1,0)</f>
        <v>1</v>
      </c>
      <c r="O8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2" s="298">
        <f>IF(AND(Scharniere[[#This Row],[Scharnierart]]=3,Scharniere[[#This Row],[Gruppenschlüssel]]=select!$A$747)=TRUE,1,0)</f>
        <v>0</v>
      </c>
      <c r="Q802" s="298">
        <f ca="1">IF(select!$O$945&lt;6,1,0)</f>
        <v>1</v>
      </c>
      <c r="R802" s="298">
        <f>IF(select!$A$778=IF(Scharniere[[#This Row],[mit Dämpfung]]=1,1,IF(Scharniere[[#This Row],[ohne Dämpfung]]=1,2,IF(Scharniere[[#This Row],[ohne Feder]]=1,3,0))),1,0)</f>
        <v>0</v>
      </c>
      <c r="S802" s="298">
        <f>IF(Scharniere[[#This Row],[Bohrbild]]=select!$A$755,1,0)</f>
        <v>0</v>
      </c>
      <c r="T802" s="298">
        <f>IF(IF(Scharniere[[#This Row],[Anschrauben]]=1,1,IF(Scharniere[[#This Row],[Einpressen]]=1,2,IF(Scharniere[[#This Row],[Quick]]=1,3,IF(Scharniere[[#This Row],[Werkzeuglos]]=1,4,0))))=select!$A$769,1,0)</f>
        <v>1</v>
      </c>
      <c r="U8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2" s="359">
        <f>IF(AND(Scharniere[[#This Row],[Scharnierart]]=4,Scharniere[[#This Row],[Gruppenschlüssel]]=select!$A$981)=TRUE,1,0)</f>
        <v>0</v>
      </c>
      <c r="W802" s="359">
        <f ca="1">IF(select!$O$1185&lt;6,1,0)</f>
        <v>1</v>
      </c>
      <c r="X802" s="359">
        <f>IF(select!$A$1012=IF(Scharniere[[#This Row],[mit Dämpfung]]=1,1,IF(Scharniere[[#This Row],[ohne Dämpfung]]=1,2,IF(Scharniere[[#This Row],[ohne Feder]]=1,3,0))),1,0)</f>
        <v>0</v>
      </c>
      <c r="Y802" s="359">
        <f>IF(Scharniere[[#This Row],[Bohrbild]]=select!$A$989,1,0)</f>
        <v>0</v>
      </c>
      <c r="Z802" s="359">
        <f>IF(IF(Scharniere[[#This Row],[Anschrauben]]=1,1,IF(Scharniere[[#This Row],[Einpressen]]=1,2,IF(Scharniere[[#This Row],[Quick]]=1,3,IF(Scharniere[[#This Row],[Werkzeuglos]]=1,4,0))))=select!$A$1003,1,0)</f>
        <v>1</v>
      </c>
      <c r="AA8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2" s="359">
        <f ca="1">IF(select!$K$980="*",Scharniere[[#This Row],[AG Ges2]],Scharniere[[#This Row],[AG Ges1]])</f>
        <v>0</v>
      </c>
      <c r="AE802" s="451">
        <f ca="1">IF(AND(Scharniere[[#This Row],[Scharnierart]]=select!$A$1485,Scharniere[[#This Row],[Gruppenschlüssel]]=select!$B$1485)=TRUE,1,0)</f>
        <v>0</v>
      </c>
      <c r="AF802" s="451">
        <f ca="1">IF(AND(Scharniere[[#This Row],[Scharnierart]]=select!$A$1486,Scharniere[[#This Row],[Gruppenschlüssel]]=select!$B$1486)=TRUE,1,0)</f>
        <v>0</v>
      </c>
      <c r="AG802" s="451">
        <f ca="1">IF(AND(Scharniere[[#This Row],[Scharnierart]]=select!$A$1487,Scharniere[[#This Row],[Gruppenschlüssel]]=select!$B$1487)=TRUE,1,0)</f>
        <v>0</v>
      </c>
      <c r="AH802" s="451">
        <f ca="1">IF(AND(Scharniere[[#This Row],[Scharnierart]]=select!$A$1488,Scharniere[[#This Row],[Gruppenschlüssel]]=select!$B$1488)=TRUE,1,0)</f>
        <v>0</v>
      </c>
      <c r="AI802" s="451">
        <f ca="1">IF(SUM(Scharniere[[#This Row],[konf Scharnier 1]:[konf Scharnier 4]])&gt;0,1,0)</f>
        <v>0</v>
      </c>
      <c r="AJ802" s="451"/>
      <c r="AK802" s="451"/>
      <c r="AL802" s="451"/>
      <c r="AM802" s="451"/>
      <c r="AN802" s="451"/>
      <c r="AO802" s="146">
        <v>2</v>
      </c>
      <c r="AP802" s="146">
        <v>3</v>
      </c>
      <c r="AQ802" s="71" t="str">
        <f ca="1">Sprache!$A$114</f>
        <v>Tiomos Scharnier TT Click-on</v>
      </c>
      <c r="AR802" t="str">
        <f ca="1">"110/30°, G-BB, "&amp;Sprache!$A$58&amp;" ni"</f>
        <v>110/30°, G-BB, aufl. ni</v>
      </c>
      <c r="AS802" t="str">
        <f ca="1">Sprache!$A$103</f>
        <v>Tiomos Click-On Scharniere</v>
      </c>
      <c r="AT802" t="s">
        <v>1264</v>
      </c>
      <c r="AU802" t="s">
        <v>9</v>
      </c>
      <c r="AV802" t="s">
        <v>1489</v>
      </c>
      <c r="AW802" s="71">
        <v>0</v>
      </c>
      <c r="AX802">
        <v>0</v>
      </c>
      <c r="AY802">
        <v>1</v>
      </c>
      <c r="AZ802" s="71">
        <v>1</v>
      </c>
      <c r="BA802">
        <v>0</v>
      </c>
      <c r="BB802">
        <v>0</v>
      </c>
      <c r="BC802">
        <v>0</v>
      </c>
      <c r="BD802" s="144" t="s">
        <v>1711</v>
      </c>
      <c r="BF802" s="10"/>
      <c r="BG802"/>
    </row>
    <row r="803" spans="1:59" ht="14.25" customHeight="1" x14ac:dyDescent="0.25">
      <c r="A803" s="37" t="str">
        <f>LEFT(Scharniere[[#This Row],[ArtikelNR]],4)</f>
        <v>F017</v>
      </c>
      <c r="B803" s="35" t="str">
        <f>MID(Scharniere[[#This Row],[ArtikelNR]],5,3)</f>
        <v>139</v>
      </c>
      <c r="C803" s="37" t="str">
        <f>RIGHT(Scharniere[[#This Row],[ArtikelNR]],3)</f>
        <v>420</v>
      </c>
      <c r="D803" s="35">
        <f>IF(AND(Scharniere[[#This Row],[Gruppenschlüssel]]=select!$A$44,Scharniere[[#This Row],[Scharnierart]]=1)=TRUE,1,0)</f>
        <v>0</v>
      </c>
      <c r="E8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3" s="35">
        <f>IF(select!$F$57=IF(Scharniere[[#This Row],[mit Dämpfung]]=1,1,IF(Scharniere[[#This Row],[ohne Dämpfung]]=1,2,IF(Scharniere[[#This Row],[ohne Feder]]=1,3,0))),1,0)</f>
        <v>0</v>
      </c>
      <c r="G803" s="35">
        <f>IF(Scharniere[[#This Row],[Bohrbild]]=select!$V$43,1,0)</f>
        <v>0</v>
      </c>
      <c r="H803" s="35">
        <f>IF(IF(Scharniere[[#This Row],[Anschrauben]]=1,1,IF(Scharniere[[#This Row],[Einpressen]]=1,2,IF(Scharniere[[#This Row],[Quick]]=1,3,IF(Scharniere[[#This Row],[Werkzeuglos]]=1,4,0))))=select!$F$48,1,0)</f>
        <v>0</v>
      </c>
      <c r="I8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3" s="149">
        <f>IF(AND(Scharniere[[#This Row],[Scharnierart]]=2,Scharniere[[#This Row],[Gruppenschlüssel]]=select!$A$318)=TRUE,1,0)</f>
        <v>0</v>
      </c>
      <c r="K803" s="221">
        <f ca="1">IF(select!$O$424&lt;6,1,0)</f>
        <v>1</v>
      </c>
      <c r="L803" s="221">
        <f>IF(select!$A$362=IF(Scharniere[[#This Row],[mit Dämpfung]]=1,1,IF(Scharniere[[#This Row],[ohne Dämpfung]]=1,2,IF(Scharniere[[#This Row],[ohne Feder]]=1,3,0))),1,0)</f>
        <v>1</v>
      </c>
      <c r="M803" s="135">
        <f>IF(Scharniere[[#This Row],[Bohrbild]]=select!$O$334,1,0)</f>
        <v>0</v>
      </c>
      <c r="N803" s="135">
        <f>IF(IF(Scharniere[[#This Row],[Anschrauben]]=1,1,IF(Scharniere[[#This Row],[Einpressen]]=1,2,IF(Scharniere[[#This Row],[Quick]]=1,3,IF(Scharniere[[#This Row],[Werkzeuglos]]=1,4,0))))=select!$E$362,1,0)</f>
        <v>0</v>
      </c>
      <c r="O8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3" s="298">
        <f>IF(AND(Scharniere[[#This Row],[Scharnierart]]=3,Scharniere[[#This Row],[Gruppenschlüssel]]=select!$A$747)=TRUE,1,0)</f>
        <v>0</v>
      </c>
      <c r="Q803" s="298">
        <f ca="1">IF(select!$O$945&lt;6,1,0)</f>
        <v>1</v>
      </c>
      <c r="R803" s="298">
        <f>IF(select!$A$778=IF(Scharniere[[#This Row],[mit Dämpfung]]=1,1,IF(Scharniere[[#This Row],[ohne Dämpfung]]=1,2,IF(Scharniere[[#This Row],[ohne Feder]]=1,3,0))),1,0)</f>
        <v>0</v>
      </c>
      <c r="S803" s="298">
        <f>IF(Scharniere[[#This Row],[Bohrbild]]=select!$A$755,1,0)</f>
        <v>0</v>
      </c>
      <c r="T803" s="298">
        <f>IF(IF(Scharniere[[#This Row],[Anschrauben]]=1,1,IF(Scharniere[[#This Row],[Einpressen]]=1,2,IF(Scharniere[[#This Row],[Quick]]=1,3,IF(Scharniere[[#This Row],[Werkzeuglos]]=1,4,0))))=select!$A$769,1,0)</f>
        <v>0</v>
      </c>
      <c r="U8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3" s="359">
        <f>IF(AND(Scharniere[[#This Row],[Scharnierart]]=4,Scharniere[[#This Row],[Gruppenschlüssel]]=select!$A$981)=TRUE,1,0)</f>
        <v>0</v>
      </c>
      <c r="W803" s="359">
        <f ca="1">IF(select!$O$1185&lt;6,1,0)</f>
        <v>1</v>
      </c>
      <c r="X803" s="359">
        <f>IF(select!$A$1012=IF(Scharniere[[#This Row],[mit Dämpfung]]=1,1,IF(Scharniere[[#This Row],[ohne Dämpfung]]=1,2,IF(Scharniere[[#This Row],[ohne Feder]]=1,3,0))),1,0)</f>
        <v>0</v>
      </c>
      <c r="Y803" s="359">
        <f>IF(Scharniere[[#This Row],[Bohrbild]]=select!$A$989,1,0)</f>
        <v>0</v>
      </c>
      <c r="Z803" s="359">
        <f>IF(IF(Scharniere[[#This Row],[Anschrauben]]=1,1,IF(Scharniere[[#This Row],[Einpressen]]=1,2,IF(Scharniere[[#This Row],[Quick]]=1,3,IF(Scharniere[[#This Row],[Werkzeuglos]]=1,4,0))))=select!$A$1003,1,0)</f>
        <v>0</v>
      </c>
      <c r="AA8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3" s="359">
        <f ca="1">IF(select!$K$980="*",Scharniere[[#This Row],[AG Ges2]],Scharniere[[#This Row],[AG Ges1]])</f>
        <v>0</v>
      </c>
      <c r="AE803" s="451">
        <f ca="1">IF(AND(Scharniere[[#This Row],[Scharnierart]]=select!$A$1485,Scharniere[[#This Row],[Gruppenschlüssel]]=select!$B$1485)=TRUE,1,0)</f>
        <v>0</v>
      </c>
      <c r="AF803" s="451">
        <f ca="1">IF(AND(Scharniere[[#This Row],[Scharnierart]]=select!$A$1486,Scharniere[[#This Row],[Gruppenschlüssel]]=select!$B$1486)=TRUE,1,0)</f>
        <v>0</v>
      </c>
      <c r="AG803" s="451">
        <f ca="1">IF(AND(Scharniere[[#This Row],[Scharnierart]]=select!$A$1487,Scharniere[[#This Row],[Gruppenschlüssel]]=select!$B$1487)=TRUE,1,0)</f>
        <v>0</v>
      </c>
      <c r="AH803" s="451">
        <f ca="1">IF(AND(Scharniere[[#This Row],[Scharnierart]]=select!$A$1488,Scharniere[[#This Row],[Gruppenschlüssel]]=select!$B$1488)=TRUE,1,0)</f>
        <v>0</v>
      </c>
      <c r="AI803" s="451">
        <f ca="1">IF(SUM(Scharniere[[#This Row],[konf Scharnier 1]:[konf Scharnier 4]])&gt;0,1,0)</f>
        <v>0</v>
      </c>
      <c r="AJ803" s="451"/>
      <c r="AK803" s="451"/>
      <c r="AL803" s="451"/>
      <c r="AM803" s="451"/>
      <c r="AN803" s="451"/>
      <c r="AO803" s="146">
        <v>2</v>
      </c>
      <c r="AP803" s="146">
        <v>3</v>
      </c>
      <c r="AQ803" s="71" t="str">
        <f ca="1">Sprache!$A$113</f>
        <v>Tiomos Scharnier TS Impresso</v>
      </c>
      <c r="AR803" t="str">
        <f ca="1">"110/30°, GB-BB, "&amp;Sprache!$A$58&amp;" ni"</f>
        <v>110/30°, GB-BB, aufl. ni</v>
      </c>
      <c r="AS803" t="str">
        <f ca="1">Sprache!$A$116</f>
        <v>Tiomos Impresso Scharniere</v>
      </c>
      <c r="AT803" t="s">
        <v>1264</v>
      </c>
      <c r="AU803" s="34" t="s">
        <v>9</v>
      </c>
      <c r="AV803" t="s">
        <v>1489</v>
      </c>
      <c r="AW803" s="71">
        <v>1</v>
      </c>
      <c r="AX803">
        <v>0</v>
      </c>
      <c r="AY803">
        <v>0</v>
      </c>
      <c r="AZ803" s="71">
        <v>0</v>
      </c>
      <c r="BA803">
        <v>0</v>
      </c>
      <c r="BB803">
        <v>0</v>
      </c>
      <c r="BC803">
        <v>1</v>
      </c>
      <c r="BD803" s="144" t="s">
        <v>1500</v>
      </c>
      <c r="BF803" s="10"/>
      <c r="BG803"/>
    </row>
    <row r="804" spans="1:59" ht="14.25" customHeight="1" x14ac:dyDescent="0.25">
      <c r="A804" s="37" t="str">
        <f>LEFT(Scharniere[[#This Row],[ArtikelNR]],4)</f>
        <v>F017</v>
      </c>
      <c r="B804" s="35" t="str">
        <f>MID(Scharniere[[#This Row],[ArtikelNR]],5,3)</f>
        <v>139</v>
      </c>
      <c r="C804" s="37" t="str">
        <f>RIGHT(Scharniere[[#This Row],[ArtikelNR]],3)</f>
        <v>420</v>
      </c>
      <c r="D804" s="35">
        <f>IF(AND(Scharniere[[#This Row],[Gruppenschlüssel]]=select!$A$44,Scharniere[[#This Row],[Scharnierart]]=1)=TRUE,1,0)</f>
        <v>0</v>
      </c>
      <c r="E8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4" s="35">
        <f>IF(select!$F$57=IF(Scharniere[[#This Row],[mit Dämpfung]]=1,1,IF(Scharniere[[#This Row],[ohne Dämpfung]]=1,2,IF(Scharniere[[#This Row],[ohne Feder]]=1,3,0))),1,0)</f>
        <v>0</v>
      </c>
      <c r="G804" s="35">
        <f>IF(Scharniere[[#This Row],[Bohrbild]]=select!$V$43,1,0)</f>
        <v>0</v>
      </c>
      <c r="H804" s="35">
        <f>IF(IF(Scharniere[[#This Row],[Anschrauben]]=1,1,IF(Scharniere[[#This Row],[Einpressen]]=1,2,IF(Scharniere[[#This Row],[Quick]]=1,3,IF(Scharniere[[#This Row],[Werkzeuglos]]=1,4,0))))=select!$F$48,1,0)</f>
        <v>0</v>
      </c>
      <c r="I8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4" s="149">
        <f>IF(AND(Scharniere[[#This Row],[Scharnierart]]=2,Scharniere[[#This Row],[Gruppenschlüssel]]=select!$A$318)=TRUE,1,0)</f>
        <v>0</v>
      </c>
      <c r="K804" s="221">
        <f ca="1">IF(select!$O$424&lt;6,1,0)</f>
        <v>1</v>
      </c>
      <c r="L804" s="221">
        <f>IF(select!$A$362=IF(Scharniere[[#This Row],[mit Dämpfung]]=1,1,IF(Scharniere[[#This Row],[ohne Dämpfung]]=1,2,IF(Scharniere[[#This Row],[ohne Feder]]=1,3,0))),1,0)</f>
        <v>1</v>
      </c>
      <c r="M804" s="135">
        <f>IF(Scharniere[[#This Row],[Bohrbild]]=select!$O$334,1,0)</f>
        <v>0</v>
      </c>
      <c r="N804" s="135">
        <f>IF(IF(Scharniere[[#This Row],[Anschrauben]]=1,1,IF(Scharniere[[#This Row],[Einpressen]]=1,2,IF(Scharniere[[#This Row],[Quick]]=1,3,IF(Scharniere[[#This Row],[Werkzeuglos]]=1,4,0))))=select!$E$362,1,0)</f>
        <v>0</v>
      </c>
      <c r="O8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4" s="298">
        <f>IF(AND(Scharniere[[#This Row],[Scharnierart]]=3,Scharniere[[#This Row],[Gruppenschlüssel]]=select!$A$747)=TRUE,1,0)</f>
        <v>0</v>
      </c>
      <c r="Q804" s="298">
        <f ca="1">IF(select!$O$945&lt;6,1,0)</f>
        <v>1</v>
      </c>
      <c r="R804" s="298">
        <f>IF(select!$A$778=IF(Scharniere[[#This Row],[mit Dämpfung]]=1,1,IF(Scharniere[[#This Row],[ohne Dämpfung]]=1,2,IF(Scharniere[[#This Row],[ohne Feder]]=1,3,0))),1,0)</f>
        <v>0</v>
      </c>
      <c r="S804" s="298">
        <f>IF(Scharniere[[#This Row],[Bohrbild]]=select!$A$755,1,0)</f>
        <v>0</v>
      </c>
      <c r="T804" s="298">
        <f>IF(IF(Scharniere[[#This Row],[Anschrauben]]=1,1,IF(Scharniere[[#This Row],[Einpressen]]=1,2,IF(Scharniere[[#This Row],[Quick]]=1,3,IF(Scharniere[[#This Row],[Werkzeuglos]]=1,4,0))))=select!$A$769,1,0)</f>
        <v>0</v>
      </c>
      <c r="U8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4" s="359">
        <f>IF(AND(Scharniere[[#This Row],[Scharnierart]]=4,Scharniere[[#This Row],[Gruppenschlüssel]]=select!$A$981)=TRUE,1,0)</f>
        <v>0</v>
      </c>
      <c r="W804" s="359">
        <f ca="1">IF(select!$O$1185&lt;6,1,0)</f>
        <v>1</v>
      </c>
      <c r="X804" s="359">
        <f>IF(select!$A$1012=IF(Scharniere[[#This Row],[mit Dämpfung]]=1,1,IF(Scharniere[[#This Row],[ohne Dämpfung]]=1,2,IF(Scharniere[[#This Row],[ohne Feder]]=1,3,0))),1,0)</f>
        <v>0</v>
      </c>
      <c r="Y804" s="359">
        <f>IF(Scharniere[[#This Row],[Bohrbild]]=select!$A$989,1,0)</f>
        <v>0</v>
      </c>
      <c r="Z804" s="359">
        <f>IF(IF(Scharniere[[#This Row],[Anschrauben]]=1,1,IF(Scharniere[[#This Row],[Einpressen]]=1,2,IF(Scharniere[[#This Row],[Quick]]=1,3,IF(Scharniere[[#This Row],[Werkzeuglos]]=1,4,0))))=select!$A$1003,1,0)</f>
        <v>0</v>
      </c>
      <c r="AA8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4" s="359">
        <f ca="1">IF(select!$K$980="*",Scharniere[[#This Row],[AG Ges2]],Scharniere[[#This Row],[AG Ges1]])</f>
        <v>0</v>
      </c>
      <c r="AE804" s="451">
        <f ca="1">IF(AND(Scharniere[[#This Row],[Scharnierart]]=select!$A$1485,Scharniere[[#This Row],[Gruppenschlüssel]]=select!$B$1485)=TRUE,1,0)</f>
        <v>0</v>
      </c>
      <c r="AF804" s="451">
        <f ca="1">IF(AND(Scharniere[[#This Row],[Scharnierart]]=select!$A$1486,Scharniere[[#This Row],[Gruppenschlüssel]]=select!$B$1486)=TRUE,1,0)</f>
        <v>0</v>
      </c>
      <c r="AG804" s="451">
        <f ca="1">IF(AND(Scharniere[[#This Row],[Scharnierart]]=select!$A$1487,Scharniere[[#This Row],[Gruppenschlüssel]]=select!$B$1487)=TRUE,1,0)</f>
        <v>0</v>
      </c>
      <c r="AH804" s="451">
        <f ca="1">IF(AND(Scharniere[[#This Row],[Scharnierart]]=select!$A$1488,Scharniere[[#This Row],[Gruppenschlüssel]]=select!$B$1488)=TRUE,1,0)</f>
        <v>0</v>
      </c>
      <c r="AI804" s="451">
        <f ca="1">IF(SUM(Scharniere[[#This Row],[konf Scharnier 1]:[konf Scharnier 4]])&gt;0,1,0)</f>
        <v>0</v>
      </c>
      <c r="AJ804" s="451"/>
      <c r="AK804" s="451"/>
      <c r="AL804" s="451"/>
      <c r="AM804" s="451"/>
      <c r="AN804" s="451"/>
      <c r="AO804" s="146">
        <v>2</v>
      </c>
      <c r="AP804" s="146">
        <v>3</v>
      </c>
      <c r="AQ804" s="71" t="str">
        <f ca="1">Sprache!$A$113</f>
        <v>Tiomos Scharnier TS Impresso</v>
      </c>
      <c r="AR804" t="str">
        <f ca="1">"110/30°, GB-BB, "&amp;Sprache!$A$58&amp;" ni"</f>
        <v>110/30°, GB-BB, aufl. ni</v>
      </c>
      <c r="AS804" t="str">
        <f ca="1">Sprache!$A$116</f>
        <v>Tiomos Impresso Scharniere</v>
      </c>
      <c r="AT804" t="s">
        <v>1264</v>
      </c>
      <c r="AU804" s="34" t="s">
        <v>3</v>
      </c>
      <c r="AV804" t="s">
        <v>1489</v>
      </c>
      <c r="AW804" s="71">
        <v>1</v>
      </c>
      <c r="AX804">
        <v>0</v>
      </c>
      <c r="AY804">
        <v>0</v>
      </c>
      <c r="AZ804" s="71">
        <v>0</v>
      </c>
      <c r="BA804">
        <v>0</v>
      </c>
      <c r="BB804">
        <v>0</v>
      </c>
      <c r="BC804">
        <v>1</v>
      </c>
      <c r="BD804" s="144" t="s">
        <v>1500</v>
      </c>
      <c r="BF804" s="10"/>
      <c r="BG804"/>
    </row>
    <row r="805" spans="1:59" ht="14.25" customHeight="1" x14ac:dyDescent="0.25">
      <c r="A805" s="37" t="str">
        <f>LEFT(Scharniere[[#This Row],[ArtikelNR]],4)</f>
        <v>F034</v>
      </c>
      <c r="B805" s="35" t="str">
        <f>MID(Scharniere[[#This Row],[ArtikelNR]],5,3)</f>
        <v>139</v>
      </c>
      <c r="C805" s="37" t="str">
        <f>RIGHT(Scharniere[[#This Row],[ArtikelNR]],3)</f>
        <v>391</v>
      </c>
      <c r="D805" s="35">
        <f>IF(AND(Scharniere[[#This Row],[Gruppenschlüssel]]=select!$A$44,Scharniere[[#This Row],[Scharnierart]]=1)=TRUE,1,0)</f>
        <v>0</v>
      </c>
      <c r="E8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5" s="35">
        <f>IF(select!$F$57=IF(Scharniere[[#This Row],[mit Dämpfung]]=1,1,IF(Scharniere[[#This Row],[ohne Dämpfung]]=1,2,IF(Scharniere[[#This Row],[ohne Feder]]=1,3,0))),1,0)</f>
        <v>0</v>
      </c>
      <c r="G805" s="35">
        <f>IF(Scharniere[[#This Row],[Bohrbild]]=select!$V$43,1,0)</f>
        <v>0</v>
      </c>
      <c r="H805" s="35">
        <f>IF(IF(Scharniere[[#This Row],[Anschrauben]]=1,1,IF(Scharniere[[#This Row],[Einpressen]]=1,2,IF(Scharniere[[#This Row],[Quick]]=1,3,IF(Scharniere[[#This Row],[Werkzeuglos]]=1,4,0))))=select!$F$48,1,0)</f>
        <v>0</v>
      </c>
      <c r="I8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5" s="149">
        <f>IF(AND(Scharniere[[#This Row],[Scharnierart]]=2,Scharniere[[#This Row],[Gruppenschlüssel]]=select!$A$318)=TRUE,1,0)</f>
        <v>0</v>
      </c>
      <c r="K805" s="221">
        <f ca="1">IF(select!$O$424&lt;6,1,0)</f>
        <v>1</v>
      </c>
      <c r="L805" s="221">
        <f>IF(select!$A$362=IF(Scharniere[[#This Row],[mit Dämpfung]]=1,1,IF(Scharniere[[#This Row],[ohne Dämpfung]]=1,2,IF(Scharniere[[#This Row],[ohne Feder]]=1,3,0))),1,0)</f>
        <v>0</v>
      </c>
      <c r="M805" s="135">
        <f>IF(Scharniere[[#This Row],[Bohrbild]]=select!$O$334,1,0)</f>
        <v>0</v>
      </c>
      <c r="N805" s="135">
        <f>IF(IF(Scharniere[[#This Row],[Anschrauben]]=1,1,IF(Scharniere[[#This Row],[Einpressen]]=1,2,IF(Scharniere[[#This Row],[Quick]]=1,3,IF(Scharniere[[#This Row],[Werkzeuglos]]=1,4,0))))=select!$E$362,1,0)</f>
        <v>0</v>
      </c>
      <c r="O8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5" s="298">
        <f>IF(AND(Scharniere[[#This Row],[Scharnierart]]=3,Scharniere[[#This Row],[Gruppenschlüssel]]=select!$A$747)=TRUE,1,0)</f>
        <v>0</v>
      </c>
      <c r="Q805" s="298">
        <f ca="1">IF(select!$O$945&lt;6,1,0)</f>
        <v>1</v>
      </c>
      <c r="R805" s="298">
        <f>IF(select!$A$778=IF(Scharniere[[#This Row],[mit Dämpfung]]=1,1,IF(Scharniere[[#This Row],[ohne Dämpfung]]=1,2,IF(Scharniere[[#This Row],[ohne Feder]]=1,3,0))),1,0)</f>
        <v>1</v>
      </c>
      <c r="S805" s="298">
        <f>IF(Scharniere[[#This Row],[Bohrbild]]=select!$A$755,1,0)</f>
        <v>0</v>
      </c>
      <c r="T805" s="298">
        <f>IF(IF(Scharniere[[#This Row],[Anschrauben]]=1,1,IF(Scharniere[[#This Row],[Einpressen]]=1,2,IF(Scharniere[[#This Row],[Quick]]=1,3,IF(Scharniere[[#This Row],[Werkzeuglos]]=1,4,0))))=select!$A$769,1,0)</f>
        <v>0</v>
      </c>
      <c r="U8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5" s="359">
        <f>IF(AND(Scharniere[[#This Row],[Scharnierart]]=4,Scharniere[[#This Row],[Gruppenschlüssel]]=select!$A$981)=TRUE,1,0)</f>
        <v>0</v>
      </c>
      <c r="W805" s="359">
        <f ca="1">IF(select!$O$1185&lt;6,1,0)</f>
        <v>1</v>
      </c>
      <c r="X805" s="359">
        <f>IF(select!$A$1012=IF(Scharniere[[#This Row],[mit Dämpfung]]=1,1,IF(Scharniere[[#This Row],[ohne Dämpfung]]=1,2,IF(Scharniere[[#This Row],[ohne Feder]]=1,3,0))),1,0)</f>
        <v>1</v>
      </c>
      <c r="Y805" s="359">
        <f>IF(Scharniere[[#This Row],[Bohrbild]]=select!$A$989,1,0)</f>
        <v>0</v>
      </c>
      <c r="Z805" s="359">
        <f>IF(IF(Scharniere[[#This Row],[Anschrauben]]=1,1,IF(Scharniere[[#This Row],[Einpressen]]=1,2,IF(Scharniere[[#This Row],[Quick]]=1,3,IF(Scharniere[[#This Row],[Werkzeuglos]]=1,4,0))))=select!$A$1003,1,0)</f>
        <v>0</v>
      </c>
      <c r="AA8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5" s="359">
        <f ca="1">IF(select!$K$980="*",Scharniere[[#This Row],[AG Ges2]],Scharniere[[#This Row],[AG Ges1]])</f>
        <v>0</v>
      </c>
      <c r="AE805" s="451">
        <f ca="1">IF(AND(Scharniere[[#This Row],[Scharnierart]]=select!$A$1485,Scharniere[[#This Row],[Gruppenschlüssel]]=select!$B$1485)=TRUE,1,0)</f>
        <v>0</v>
      </c>
      <c r="AF805" s="451">
        <f ca="1">IF(AND(Scharniere[[#This Row],[Scharnierart]]=select!$A$1486,Scharniere[[#This Row],[Gruppenschlüssel]]=select!$B$1486)=TRUE,1,0)</f>
        <v>0</v>
      </c>
      <c r="AG805" s="451">
        <f ca="1">IF(AND(Scharniere[[#This Row],[Scharnierart]]=select!$A$1487,Scharniere[[#This Row],[Gruppenschlüssel]]=select!$B$1487)=TRUE,1,0)</f>
        <v>0</v>
      </c>
      <c r="AH805" s="451">
        <f ca="1">IF(AND(Scharniere[[#This Row],[Scharnierart]]=select!$A$1488,Scharniere[[#This Row],[Gruppenschlüssel]]=select!$B$1488)=TRUE,1,0)</f>
        <v>0</v>
      </c>
      <c r="AI805" s="451">
        <f ca="1">IF(SUM(Scharniere[[#This Row],[konf Scharnier 1]:[konf Scharnier 4]])&gt;0,1,0)</f>
        <v>0</v>
      </c>
      <c r="AJ805" s="451"/>
      <c r="AK805" s="451"/>
      <c r="AL805" s="451"/>
      <c r="AM805" s="451"/>
      <c r="AN805" s="451"/>
      <c r="AO805" s="146">
        <v>2</v>
      </c>
      <c r="AP805" s="146">
        <v>3</v>
      </c>
      <c r="AQ805" s="71" t="str">
        <f ca="1">Sprache!$A$119</f>
        <v>Tiomos Scharnier T Impresso</v>
      </c>
      <c r="AR805" t="str">
        <f ca="1">"110/30°, GB-BB, "&amp;Sprache!$A$58&amp;" ni"</f>
        <v>110/30°, GB-BB, aufl. ni</v>
      </c>
      <c r="AS805" t="str">
        <f ca="1">Sprache!$A$103</f>
        <v>Tiomos Click-On Scharniere</v>
      </c>
      <c r="AT805" t="s">
        <v>1264</v>
      </c>
      <c r="AU805" t="s">
        <v>9</v>
      </c>
      <c r="AV805" t="s">
        <v>1489</v>
      </c>
      <c r="AW805" s="71">
        <v>0</v>
      </c>
      <c r="AX805">
        <v>1</v>
      </c>
      <c r="AY805">
        <v>0</v>
      </c>
      <c r="AZ805" s="71">
        <v>0</v>
      </c>
      <c r="BA805">
        <v>0</v>
      </c>
      <c r="BB805">
        <v>0</v>
      </c>
      <c r="BC805">
        <v>1</v>
      </c>
      <c r="BD805" s="144" t="s">
        <v>1756</v>
      </c>
      <c r="BF805" s="10"/>
      <c r="BG805"/>
    </row>
    <row r="806" spans="1:59" ht="14.25" customHeight="1" x14ac:dyDescent="0.25">
      <c r="A806" s="37" t="str">
        <f>LEFT(Scharniere[[#This Row],[ArtikelNR]],4)</f>
        <v>F034</v>
      </c>
      <c r="B806" s="35" t="str">
        <f>MID(Scharniere[[#This Row],[ArtikelNR]],5,3)</f>
        <v>139</v>
      </c>
      <c r="C806" s="37" t="str">
        <f>RIGHT(Scharniere[[#This Row],[ArtikelNR]],3)</f>
        <v>391</v>
      </c>
      <c r="D806" s="35">
        <f>IF(AND(Scharniere[[#This Row],[Gruppenschlüssel]]=select!$A$44,Scharniere[[#This Row],[Scharnierart]]=1)=TRUE,1,0)</f>
        <v>0</v>
      </c>
      <c r="E8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6" s="35">
        <f>IF(select!$F$57=IF(Scharniere[[#This Row],[mit Dämpfung]]=1,1,IF(Scharniere[[#This Row],[ohne Dämpfung]]=1,2,IF(Scharniere[[#This Row],[ohne Feder]]=1,3,0))),1,0)</f>
        <v>0</v>
      </c>
      <c r="G806" s="35">
        <f>IF(Scharniere[[#This Row],[Bohrbild]]=select!$V$43,1,0)</f>
        <v>0</v>
      </c>
      <c r="H806" s="35">
        <f>IF(IF(Scharniere[[#This Row],[Anschrauben]]=1,1,IF(Scharniere[[#This Row],[Einpressen]]=1,2,IF(Scharniere[[#This Row],[Quick]]=1,3,IF(Scharniere[[#This Row],[Werkzeuglos]]=1,4,0))))=select!$F$48,1,0)</f>
        <v>0</v>
      </c>
      <c r="I8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6" s="149">
        <f>IF(AND(Scharniere[[#This Row],[Scharnierart]]=2,Scharniere[[#This Row],[Gruppenschlüssel]]=select!$A$318)=TRUE,1,0)</f>
        <v>0</v>
      </c>
      <c r="K806" s="221">
        <f ca="1">IF(select!$O$424&lt;6,1,0)</f>
        <v>1</v>
      </c>
      <c r="L806" s="221">
        <f>IF(select!$A$362=IF(Scharniere[[#This Row],[mit Dämpfung]]=1,1,IF(Scharniere[[#This Row],[ohne Dämpfung]]=1,2,IF(Scharniere[[#This Row],[ohne Feder]]=1,3,0))),1,0)</f>
        <v>0</v>
      </c>
      <c r="M806" s="135">
        <f>IF(Scharniere[[#This Row],[Bohrbild]]=select!$O$334,1,0)</f>
        <v>0</v>
      </c>
      <c r="N806" s="135">
        <f>IF(IF(Scharniere[[#This Row],[Anschrauben]]=1,1,IF(Scharniere[[#This Row],[Einpressen]]=1,2,IF(Scharniere[[#This Row],[Quick]]=1,3,IF(Scharniere[[#This Row],[Werkzeuglos]]=1,4,0))))=select!$E$362,1,0)</f>
        <v>0</v>
      </c>
      <c r="O8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6" s="298">
        <f>IF(AND(Scharniere[[#This Row],[Scharnierart]]=3,Scharniere[[#This Row],[Gruppenschlüssel]]=select!$A$747)=TRUE,1,0)</f>
        <v>0</v>
      </c>
      <c r="Q806" s="298">
        <f ca="1">IF(select!$O$945&lt;6,1,0)</f>
        <v>1</v>
      </c>
      <c r="R806" s="298">
        <f>IF(select!$A$778=IF(Scharniere[[#This Row],[mit Dämpfung]]=1,1,IF(Scharniere[[#This Row],[ohne Dämpfung]]=1,2,IF(Scharniere[[#This Row],[ohne Feder]]=1,3,0))),1,0)</f>
        <v>1</v>
      </c>
      <c r="S806" s="298">
        <f>IF(Scharniere[[#This Row],[Bohrbild]]=select!$A$755,1,0)</f>
        <v>0</v>
      </c>
      <c r="T806" s="298">
        <f>IF(IF(Scharniere[[#This Row],[Anschrauben]]=1,1,IF(Scharniere[[#This Row],[Einpressen]]=1,2,IF(Scharniere[[#This Row],[Quick]]=1,3,IF(Scharniere[[#This Row],[Werkzeuglos]]=1,4,0))))=select!$A$769,1,0)</f>
        <v>0</v>
      </c>
      <c r="U8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6" s="359">
        <f>IF(AND(Scharniere[[#This Row],[Scharnierart]]=4,Scharniere[[#This Row],[Gruppenschlüssel]]=select!$A$981)=TRUE,1,0)</f>
        <v>0</v>
      </c>
      <c r="W806" s="359">
        <f ca="1">IF(select!$O$1185&lt;6,1,0)</f>
        <v>1</v>
      </c>
      <c r="X806" s="359">
        <f>IF(select!$A$1012=IF(Scharniere[[#This Row],[mit Dämpfung]]=1,1,IF(Scharniere[[#This Row],[ohne Dämpfung]]=1,2,IF(Scharniere[[#This Row],[ohne Feder]]=1,3,0))),1,0)</f>
        <v>1</v>
      </c>
      <c r="Y806" s="359">
        <f>IF(Scharniere[[#This Row],[Bohrbild]]=select!$A$989,1,0)</f>
        <v>0</v>
      </c>
      <c r="Z806" s="359">
        <f>IF(IF(Scharniere[[#This Row],[Anschrauben]]=1,1,IF(Scharniere[[#This Row],[Einpressen]]=1,2,IF(Scharniere[[#This Row],[Quick]]=1,3,IF(Scharniere[[#This Row],[Werkzeuglos]]=1,4,0))))=select!$A$1003,1,0)</f>
        <v>0</v>
      </c>
      <c r="AA8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6" s="359">
        <f ca="1">IF(select!$K$980="*",Scharniere[[#This Row],[AG Ges2]],Scharniere[[#This Row],[AG Ges1]])</f>
        <v>0</v>
      </c>
      <c r="AE806" s="451">
        <f ca="1">IF(AND(Scharniere[[#This Row],[Scharnierart]]=select!$A$1485,Scharniere[[#This Row],[Gruppenschlüssel]]=select!$B$1485)=TRUE,1,0)</f>
        <v>0</v>
      </c>
      <c r="AF806" s="451">
        <f ca="1">IF(AND(Scharniere[[#This Row],[Scharnierart]]=select!$A$1486,Scharniere[[#This Row],[Gruppenschlüssel]]=select!$B$1486)=TRUE,1,0)</f>
        <v>0</v>
      </c>
      <c r="AG806" s="451">
        <f ca="1">IF(AND(Scharniere[[#This Row],[Scharnierart]]=select!$A$1487,Scharniere[[#This Row],[Gruppenschlüssel]]=select!$B$1487)=TRUE,1,0)</f>
        <v>0</v>
      </c>
      <c r="AH806" s="451">
        <f ca="1">IF(AND(Scharniere[[#This Row],[Scharnierart]]=select!$A$1488,Scharniere[[#This Row],[Gruppenschlüssel]]=select!$B$1488)=TRUE,1,0)</f>
        <v>0</v>
      </c>
      <c r="AI806" s="451">
        <f ca="1">IF(SUM(Scharniere[[#This Row],[konf Scharnier 1]:[konf Scharnier 4]])&gt;0,1,0)</f>
        <v>0</v>
      </c>
      <c r="AJ806" s="451"/>
      <c r="AK806" s="451"/>
      <c r="AL806" s="451"/>
      <c r="AM806" s="451"/>
      <c r="AN806" s="451"/>
      <c r="AO806" s="146">
        <v>2</v>
      </c>
      <c r="AP806" s="146">
        <v>3</v>
      </c>
      <c r="AQ806" s="71" t="str">
        <f ca="1">Sprache!$A$119</f>
        <v>Tiomos Scharnier T Impresso</v>
      </c>
      <c r="AR806" t="str">
        <f ca="1">"110/30°, GB-BB, "&amp;Sprache!$A$58&amp;" ni"</f>
        <v>110/30°, GB-BB, aufl. ni</v>
      </c>
      <c r="AS806" t="str">
        <f ca="1">Sprache!$A$103</f>
        <v>Tiomos Click-On Scharniere</v>
      </c>
      <c r="AT806" t="s">
        <v>1264</v>
      </c>
      <c r="AU806" t="s">
        <v>3</v>
      </c>
      <c r="AV806" t="s">
        <v>1489</v>
      </c>
      <c r="AW806" s="71">
        <v>0</v>
      </c>
      <c r="AX806">
        <v>1</v>
      </c>
      <c r="AY806">
        <v>0</v>
      </c>
      <c r="AZ806" s="71">
        <v>0</v>
      </c>
      <c r="BA806">
        <v>0</v>
      </c>
      <c r="BB806">
        <v>0</v>
      </c>
      <c r="BC806">
        <v>1</v>
      </c>
      <c r="BD806" s="144" t="s">
        <v>1756</v>
      </c>
      <c r="BF806" s="10"/>
      <c r="BG806"/>
    </row>
    <row r="807" spans="1:59" ht="14.25" customHeight="1" x14ac:dyDescent="0.25">
      <c r="A807" s="37" t="str">
        <f>LEFT(Scharniere[[#This Row],[ArtikelNR]],4)</f>
        <v>F028</v>
      </c>
      <c r="B807" s="35" t="str">
        <f>MID(Scharniere[[#This Row],[ArtikelNR]],5,3)</f>
        <v>138</v>
      </c>
      <c r="C807" s="37" t="str">
        <f>RIGHT(Scharniere[[#This Row],[ArtikelNR]],3)</f>
        <v>711</v>
      </c>
      <c r="D807" s="35">
        <f>IF(AND(Scharniere[[#This Row],[Gruppenschlüssel]]=select!$A$44,Scharniere[[#This Row],[Scharnierart]]=1)=TRUE,1,0)</f>
        <v>0</v>
      </c>
      <c r="E8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7" s="35">
        <f>IF(select!$F$57=IF(Scharniere[[#This Row],[mit Dämpfung]]=1,1,IF(Scharniere[[#This Row],[ohne Dämpfung]]=1,2,IF(Scharniere[[#This Row],[ohne Feder]]=1,3,0))),1,0)</f>
        <v>0</v>
      </c>
      <c r="G807" s="35">
        <f>IF(Scharniere[[#This Row],[Bohrbild]]=select!$V$43,1,0)</f>
        <v>0</v>
      </c>
      <c r="H807" s="35">
        <f>IF(IF(Scharniere[[#This Row],[Anschrauben]]=1,1,IF(Scharniere[[#This Row],[Einpressen]]=1,2,IF(Scharniere[[#This Row],[Quick]]=1,3,IF(Scharniere[[#This Row],[Werkzeuglos]]=1,4,0))))=select!$F$48,1,0)</f>
        <v>0</v>
      </c>
      <c r="I8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7" s="149">
        <f>IF(AND(Scharniere[[#This Row],[Scharnierart]]=2,Scharniere[[#This Row],[Gruppenschlüssel]]=select!$A$318)=TRUE,1,0)</f>
        <v>0</v>
      </c>
      <c r="K807" s="221">
        <f ca="1">IF(select!$O$424&lt;6,1,0)</f>
        <v>1</v>
      </c>
      <c r="L807" s="221">
        <f>IF(select!$A$362=IF(Scharniere[[#This Row],[mit Dämpfung]]=1,1,IF(Scharniere[[#This Row],[ohne Dämpfung]]=1,2,IF(Scharniere[[#This Row],[ohne Feder]]=1,3,0))),1,0)</f>
        <v>1</v>
      </c>
      <c r="M807" s="135">
        <f>IF(Scharniere[[#This Row],[Bohrbild]]=select!$O$334,1,0)</f>
        <v>0</v>
      </c>
      <c r="N807" s="135">
        <f>IF(IF(Scharniere[[#This Row],[Anschrauben]]=1,1,IF(Scharniere[[#This Row],[Einpressen]]=1,2,IF(Scharniere[[#This Row],[Quick]]=1,3,IF(Scharniere[[#This Row],[Werkzeuglos]]=1,4,0))))=select!$E$362,1,0)</f>
        <v>1</v>
      </c>
      <c r="O8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7" s="298">
        <f>IF(AND(Scharniere[[#This Row],[Scharnierart]]=3,Scharniere[[#This Row],[Gruppenschlüssel]]=select!$A$747)=TRUE,1,0)</f>
        <v>0</v>
      </c>
      <c r="Q807" s="298">
        <f ca="1">IF(select!$O$945&lt;6,1,0)</f>
        <v>1</v>
      </c>
      <c r="R807" s="298">
        <f>IF(select!$A$778=IF(Scharniere[[#This Row],[mit Dämpfung]]=1,1,IF(Scharniere[[#This Row],[ohne Dämpfung]]=1,2,IF(Scharniere[[#This Row],[ohne Feder]]=1,3,0))),1,0)</f>
        <v>0</v>
      </c>
      <c r="S807" s="298">
        <f>IF(Scharniere[[#This Row],[Bohrbild]]=select!$A$755,1,0)</f>
        <v>0</v>
      </c>
      <c r="T807" s="298">
        <f>IF(IF(Scharniere[[#This Row],[Anschrauben]]=1,1,IF(Scharniere[[#This Row],[Einpressen]]=1,2,IF(Scharniere[[#This Row],[Quick]]=1,3,IF(Scharniere[[#This Row],[Werkzeuglos]]=1,4,0))))=select!$A$769,1,0)</f>
        <v>1</v>
      </c>
      <c r="U8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7" s="359">
        <f>IF(AND(Scharniere[[#This Row],[Scharnierart]]=4,Scharniere[[#This Row],[Gruppenschlüssel]]=select!$A$981)=TRUE,1,0)</f>
        <v>0</v>
      </c>
      <c r="W807" s="359">
        <f ca="1">IF(select!$O$1185&lt;6,1,0)</f>
        <v>1</v>
      </c>
      <c r="X807" s="359">
        <f>IF(select!$A$1012=IF(Scharniere[[#This Row],[mit Dämpfung]]=1,1,IF(Scharniere[[#This Row],[ohne Dämpfung]]=1,2,IF(Scharniere[[#This Row],[ohne Feder]]=1,3,0))),1,0)</f>
        <v>0</v>
      </c>
      <c r="Y807" s="359">
        <f>IF(Scharniere[[#This Row],[Bohrbild]]=select!$A$989,1,0)</f>
        <v>0</v>
      </c>
      <c r="Z807" s="359">
        <f>IF(IF(Scharniere[[#This Row],[Anschrauben]]=1,1,IF(Scharniere[[#This Row],[Einpressen]]=1,2,IF(Scharniere[[#This Row],[Quick]]=1,3,IF(Scharniere[[#This Row],[Werkzeuglos]]=1,4,0))))=select!$A$1003,1,0)</f>
        <v>1</v>
      </c>
      <c r="AA8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7" s="359">
        <f ca="1">IF(select!$K$980="*",Scharniere[[#This Row],[AG Ges2]],Scharniere[[#This Row],[AG Ges1]])</f>
        <v>0</v>
      </c>
      <c r="AE807" s="451">
        <f ca="1">IF(AND(Scharniere[[#This Row],[Scharnierart]]=select!$A$1485,Scharniere[[#This Row],[Gruppenschlüssel]]=select!$B$1485)=TRUE,1,0)</f>
        <v>0</v>
      </c>
      <c r="AF807" s="451">
        <f ca="1">IF(AND(Scharniere[[#This Row],[Scharnierart]]=select!$A$1486,Scharniere[[#This Row],[Gruppenschlüssel]]=select!$B$1486)=TRUE,1,0)</f>
        <v>0</v>
      </c>
      <c r="AG807" s="451">
        <f ca="1">IF(AND(Scharniere[[#This Row],[Scharnierart]]=select!$A$1487,Scharniere[[#This Row],[Gruppenschlüssel]]=select!$B$1487)=TRUE,1,0)</f>
        <v>0</v>
      </c>
      <c r="AH807" s="451">
        <f ca="1">IF(AND(Scharniere[[#This Row],[Scharnierart]]=select!$A$1488,Scharniere[[#This Row],[Gruppenschlüssel]]=select!$B$1488)=TRUE,1,0)</f>
        <v>0</v>
      </c>
      <c r="AI807" s="451">
        <f ca="1">IF(SUM(Scharniere[[#This Row],[konf Scharnier 1]:[konf Scharnier 4]])&gt;0,1,0)</f>
        <v>0</v>
      </c>
      <c r="AJ807" s="451"/>
      <c r="AK807" s="451"/>
      <c r="AL807" s="451"/>
      <c r="AM807" s="451"/>
      <c r="AN807" s="451"/>
      <c r="AO807" s="146">
        <v>2</v>
      </c>
      <c r="AP807" s="146">
        <v>3</v>
      </c>
      <c r="AQ807" s="71" t="str">
        <f ca="1">Sprache!$A$112</f>
        <v>Tiomos Scharnier TS Click-on</v>
      </c>
      <c r="AR807" t="str">
        <f ca="1">"110/30°, H-BB, "&amp;Sprache!$A$58&amp;" ni"</f>
        <v>110/30°, H-BB, aufl. ni</v>
      </c>
      <c r="AS807" t="str">
        <f ca="1">Sprache!$A$103</f>
        <v>Tiomos Click-On Scharniere</v>
      </c>
      <c r="AT807" t="s">
        <v>1264</v>
      </c>
      <c r="AU807" t="s">
        <v>10</v>
      </c>
      <c r="AV807" t="s">
        <v>1489</v>
      </c>
      <c r="AW807" s="71">
        <v>1</v>
      </c>
      <c r="AX807">
        <v>0</v>
      </c>
      <c r="AY807">
        <v>0</v>
      </c>
      <c r="AZ807" s="71">
        <v>1</v>
      </c>
      <c r="BA807">
        <v>0</v>
      </c>
      <c r="BB807">
        <v>0</v>
      </c>
      <c r="BC807">
        <v>0</v>
      </c>
      <c r="BD807" s="144" t="s">
        <v>1554</v>
      </c>
      <c r="BF807" s="10"/>
      <c r="BG807"/>
    </row>
    <row r="808" spans="1:59" ht="14.25" customHeight="1" x14ac:dyDescent="0.25">
      <c r="A808" s="37" t="str">
        <f>LEFT(Scharniere[[#This Row],[ArtikelNR]],4)</f>
        <v>F045</v>
      </c>
      <c r="B808" s="35" t="str">
        <f>MID(Scharniere[[#This Row],[ArtikelNR]],5,3)</f>
        <v>138</v>
      </c>
      <c r="C808" s="37" t="str">
        <f>RIGHT(Scharniere[[#This Row],[ArtikelNR]],3)</f>
        <v>649</v>
      </c>
      <c r="D808" s="35">
        <f>IF(AND(Scharniere[[#This Row],[Gruppenschlüssel]]=select!$A$44,Scharniere[[#This Row],[Scharnierart]]=1)=TRUE,1,0)</f>
        <v>0</v>
      </c>
      <c r="E8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8" s="35">
        <f>IF(select!$F$57=IF(Scharniere[[#This Row],[mit Dämpfung]]=1,1,IF(Scharniere[[#This Row],[ohne Dämpfung]]=1,2,IF(Scharniere[[#This Row],[ohne Feder]]=1,3,0))),1,0)</f>
        <v>0</v>
      </c>
      <c r="G808" s="35">
        <f>IF(Scharniere[[#This Row],[Bohrbild]]=select!$V$43,1,0)</f>
        <v>0</v>
      </c>
      <c r="H808" s="35">
        <f>IF(IF(Scharniere[[#This Row],[Anschrauben]]=1,1,IF(Scharniere[[#This Row],[Einpressen]]=1,2,IF(Scharniere[[#This Row],[Quick]]=1,3,IF(Scharniere[[#This Row],[Werkzeuglos]]=1,4,0))))=select!$F$48,1,0)</f>
        <v>0</v>
      </c>
      <c r="I8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8" s="149">
        <f>IF(AND(Scharniere[[#This Row],[Scharnierart]]=2,Scharniere[[#This Row],[Gruppenschlüssel]]=select!$A$318)=TRUE,1,0)</f>
        <v>0</v>
      </c>
      <c r="K808" s="221">
        <f ca="1">IF(select!$O$424&lt;6,1,0)</f>
        <v>1</v>
      </c>
      <c r="L808" s="221">
        <f>IF(select!$A$362=IF(Scharniere[[#This Row],[mit Dämpfung]]=1,1,IF(Scharniere[[#This Row],[ohne Dämpfung]]=1,2,IF(Scharniere[[#This Row],[ohne Feder]]=1,3,0))),1,0)</f>
        <v>0</v>
      </c>
      <c r="M808" s="135">
        <f>IF(Scharniere[[#This Row],[Bohrbild]]=select!$O$334,1,0)</f>
        <v>0</v>
      </c>
      <c r="N808" s="135">
        <f>IF(IF(Scharniere[[#This Row],[Anschrauben]]=1,1,IF(Scharniere[[#This Row],[Einpressen]]=1,2,IF(Scharniere[[#This Row],[Quick]]=1,3,IF(Scharniere[[#This Row],[Werkzeuglos]]=1,4,0))))=select!$E$362,1,0)</f>
        <v>1</v>
      </c>
      <c r="O8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8" s="298">
        <f>IF(AND(Scharniere[[#This Row],[Scharnierart]]=3,Scharniere[[#This Row],[Gruppenschlüssel]]=select!$A$747)=TRUE,1,0)</f>
        <v>0</v>
      </c>
      <c r="Q808" s="298">
        <f ca="1">IF(select!$O$945&lt;6,1,0)</f>
        <v>1</v>
      </c>
      <c r="R808" s="298">
        <f>IF(select!$A$778=IF(Scharniere[[#This Row],[mit Dämpfung]]=1,1,IF(Scharniere[[#This Row],[ohne Dämpfung]]=1,2,IF(Scharniere[[#This Row],[ohne Feder]]=1,3,0))),1,0)</f>
        <v>1</v>
      </c>
      <c r="S808" s="298">
        <f>IF(Scharniere[[#This Row],[Bohrbild]]=select!$A$755,1,0)</f>
        <v>0</v>
      </c>
      <c r="T808" s="298">
        <f>IF(IF(Scharniere[[#This Row],[Anschrauben]]=1,1,IF(Scharniere[[#This Row],[Einpressen]]=1,2,IF(Scharniere[[#This Row],[Quick]]=1,3,IF(Scharniere[[#This Row],[Werkzeuglos]]=1,4,0))))=select!$A$769,1,0)</f>
        <v>1</v>
      </c>
      <c r="U8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8" s="359">
        <f>IF(AND(Scharniere[[#This Row],[Scharnierart]]=4,Scharniere[[#This Row],[Gruppenschlüssel]]=select!$A$981)=TRUE,1,0)</f>
        <v>0</v>
      </c>
      <c r="W808" s="359">
        <f ca="1">IF(select!$O$1185&lt;6,1,0)</f>
        <v>1</v>
      </c>
      <c r="X808" s="359">
        <f>IF(select!$A$1012=IF(Scharniere[[#This Row],[mit Dämpfung]]=1,1,IF(Scharniere[[#This Row],[ohne Dämpfung]]=1,2,IF(Scharniere[[#This Row],[ohne Feder]]=1,3,0))),1,0)</f>
        <v>1</v>
      </c>
      <c r="Y808" s="359">
        <f>IF(Scharniere[[#This Row],[Bohrbild]]=select!$A$989,1,0)</f>
        <v>0</v>
      </c>
      <c r="Z808" s="359">
        <f>IF(IF(Scharniere[[#This Row],[Anschrauben]]=1,1,IF(Scharniere[[#This Row],[Einpressen]]=1,2,IF(Scharniere[[#This Row],[Quick]]=1,3,IF(Scharniere[[#This Row],[Werkzeuglos]]=1,4,0))))=select!$A$1003,1,0)</f>
        <v>1</v>
      </c>
      <c r="AA8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8" s="359">
        <f ca="1">IF(select!$K$980="*",Scharniere[[#This Row],[AG Ges2]],Scharniere[[#This Row],[AG Ges1]])</f>
        <v>0</v>
      </c>
      <c r="AE808" s="451">
        <f ca="1">IF(AND(Scharniere[[#This Row],[Scharnierart]]=select!$A$1485,Scharniere[[#This Row],[Gruppenschlüssel]]=select!$B$1485)=TRUE,1,0)</f>
        <v>0</v>
      </c>
      <c r="AF808" s="451">
        <f ca="1">IF(AND(Scharniere[[#This Row],[Scharnierart]]=select!$A$1486,Scharniere[[#This Row],[Gruppenschlüssel]]=select!$B$1486)=TRUE,1,0)</f>
        <v>0</v>
      </c>
      <c r="AG808" s="451">
        <f ca="1">IF(AND(Scharniere[[#This Row],[Scharnierart]]=select!$A$1487,Scharniere[[#This Row],[Gruppenschlüssel]]=select!$B$1487)=TRUE,1,0)</f>
        <v>0</v>
      </c>
      <c r="AH808" s="451">
        <f ca="1">IF(AND(Scharniere[[#This Row],[Scharnierart]]=select!$A$1488,Scharniere[[#This Row],[Gruppenschlüssel]]=select!$B$1488)=TRUE,1,0)</f>
        <v>0</v>
      </c>
      <c r="AI808" s="451">
        <f ca="1">IF(SUM(Scharniere[[#This Row],[konf Scharnier 1]:[konf Scharnier 4]])&gt;0,1,0)</f>
        <v>0</v>
      </c>
      <c r="AJ808" s="451"/>
      <c r="AK808" s="451"/>
      <c r="AL808" s="451"/>
      <c r="AM808" s="451"/>
      <c r="AN808" s="451"/>
      <c r="AO808" s="146">
        <v>2</v>
      </c>
      <c r="AP808" s="146">
        <v>3</v>
      </c>
      <c r="AQ808" s="71" t="str">
        <f ca="1">Sprache!$A$118</f>
        <v>Tiomos Scharnier T Click-on</v>
      </c>
      <c r="AR808" t="str">
        <f ca="1">"110/30°, H-BB, "&amp;Sprache!$A$58&amp;" ni"</f>
        <v>110/30°, H-BB, aufl. ni</v>
      </c>
      <c r="AS808" t="str">
        <f ca="1">Sprache!$A$103</f>
        <v>Tiomos Click-On Scharniere</v>
      </c>
      <c r="AT808" t="s">
        <v>1264</v>
      </c>
      <c r="AU808" t="s">
        <v>10</v>
      </c>
      <c r="AV808" t="s">
        <v>1489</v>
      </c>
      <c r="AW808" s="71">
        <v>0</v>
      </c>
      <c r="AX808">
        <v>1</v>
      </c>
      <c r="AY808">
        <v>0</v>
      </c>
      <c r="AZ808" s="71">
        <v>1</v>
      </c>
      <c r="BA808">
        <v>0</v>
      </c>
      <c r="BB808">
        <v>0</v>
      </c>
      <c r="BC808">
        <v>0</v>
      </c>
      <c r="BD808" s="144" t="s">
        <v>1663</v>
      </c>
      <c r="BF808" s="10"/>
      <c r="BG808"/>
    </row>
    <row r="809" spans="1:59" ht="14.25" customHeight="1" x14ac:dyDescent="0.25">
      <c r="A809" s="37" t="str">
        <f>LEFT(Scharniere[[#This Row],[ArtikelNR]],4)</f>
        <v>F046</v>
      </c>
      <c r="B809" s="35" t="str">
        <f>MID(Scharniere[[#This Row],[ArtikelNR]],5,3)</f>
        <v>138</v>
      </c>
      <c r="C809" s="37" t="str">
        <f>RIGHT(Scharniere[[#This Row],[ArtikelNR]],3)</f>
        <v>771</v>
      </c>
      <c r="D809" s="35">
        <f>IF(AND(Scharniere[[#This Row],[Gruppenschlüssel]]=select!$A$44,Scharniere[[#This Row],[Scharnierart]]=1)=TRUE,1,0)</f>
        <v>0</v>
      </c>
      <c r="E8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09" s="35">
        <f>IF(select!$F$57=IF(Scharniere[[#This Row],[mit Dämpfung]]=1,1,IF(Scharniere[[#This Row],[ohne Dämpfung]]=1,2,IF(Scharniere[[#This Row],[ohne Feder]]=1,3,0))),1,0)</f>
        <v>1</v>
      </c>
      <c r="G809" s="35">
        <f>IF(Scharniere[[#This Row],[Bohrbild]]=select!$V$43,1,0)</f>
        <v>0</v>
      </c>
      <c r="H809" s="35">
        <f>IF(IF(Scharniere[[#This Row],[Anschrauben]]=1,1,IF(Scharniere[[#This Row],[Einpressen]]=1,2,IF(Scharniere[[#This Row],[Quick]]=1,3,IF(Scharniere[[#This Row],[Werkzeuglos]]=1,4,0))))=select!$F$48,1,0)</f>
        <v>0</v>
      </c>
      <c r="I8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09" s="149">
        <f>IF(AND(Scharniere[[#This Row],[Scharnierart]]=2,Scharniere[[#This Row],[Gruppenschlüssel]]=select!$A$318)=TRUE,1,0)</f>
        <v>0</v>
      </c>
      <c r="K809" s="221">
        <f ca="1">IF(select!$O$424&lt;6,1,0)</f>
        <v>1</v>
      </c>
      <c r="L809" s="221">
        <f>IF(select!$A$362=IF(Scharniere[[#This Row],[mit Dämpfung]]=1,1,IF(Scharniere[[#This Row],[ohne Dämpfung]]=1,2,IF(Scharniere[[#This Row],[ohne Feder]]=1,3,0))),1,0)</f>
        <v>0</v>
      </c>
      <c r="M809" s="135">
        <f>IF(Scharniere[[#This Row],[Bohrbild]]=select!$O$334,1,0)</f>
        <v>0</v>
      </c>
      <c r="N809" s="135">
        <f>IF(IF(Scharniere[[#This Row],[Anschrauben]]=1,1,IF(Scharniere[[#This Row],[Einpressen]]=1,2,IF(Scharniere[[#This Row],[Quick]]=1,3,IF(Scharniere[[#This Row],[Werkzeuglos]]=1,4,0))))=select!$E$362,1,0)</f>
        <v>1</v>
      </c>
      <c r="O8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09" s="298">
        <f>IF(AND(Scharniere[[#This Row],[Scharnierart]]=3,Scharniere[[#This Row],[Gruppenschlüssel]]=select!$A$747)=TRUE,1,0)</f>
        <v>0</v>
      </c>
      <c r="Q809" s="298">
        <f ca="1">IF(select!$O$945&lt;6,1,0)</f>
        <v>1</v>
      </c>
      <c r="R809" s="298">
        <f>IF(select!$A$778=IF(Scharniere[[#This Row],[mit Dämpfung]]=1,1,IF(Scharniere[[#This Row],[ohne Dämpfung]]=1,2,IF(Scharniere[[#This Row],[ohne Feder]]=1,3,0))),1,0)</f>
        <v>0</v>
      </c>
      <c r="S809" s="298">
        <f>IF(Scharniere[[#This Row],[Bohrbild]]=select!$A$755,1,0)</f>
        <v>0</v>
      </c>
      <c r="T809" s="298">
        <f>IF(IF(Scharniere[[#This Row],[Anschrauben]]=1,1,IF(Scharniere[[#This Row],[Einpressen]]=1,2,IF(Scharniere[[#This Row],[Quick]]=1,3,IF(Scharniere[[#This Row],[Werkzeuglos]]=1,4,0))))=select!$A$769,1,0)</f>
        <v>1</v>
      </c>
      <c r="U8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09" s="359">
        <f>IF(AND(Scharniere[[#This Row],[Scharnierart]]=4,Scharniere[[#This Row],[Gruppenschlüssel]]=select!$A$981)=TRUE,1,0)</f>
        <v>0</v>
      </c>
      <c r="W809" s="359">
        <f ca="1">IF(select!$O$1185&lt;6,1,0)</f>
        <v>1</v>
      </c>
      <c r="X809" s="359">
        <f>IF(select!$A$1012=IF(Scharniere[[#This Row],[mit Dämpfung]]=1,1,IF(Scharniere[[#This Row],[ohne Dämpfung]]=1,2,IF(Scharniere[[#This Row],[ohne Feder]]=1,3,0))),1,0)</f>
        <v>0</v>
      </c>
      <c r="Y809" s="359">
        <f>IF(Scharniere[[#This Row],[Bohrbild]]=select!$A$989,1,0)</f>
        <v>0</v>
      </c>
      <c r="Z809" s="359">
        <f>IF(IF(Scharniere[[#This Row],[Anschrauben]]=1,1,IF(Scharniere[[#This Row],[Einpressen]]=1,2,IF(Scharniere[[#This Row],[Quick]]=1,3,IF(Scharniere[[#This Row],[Werkzeuglos]]=1,4,0))))=select!$A$1003,1,0)</f>
        <v>1</v>
      </c>
      <c r="AA8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09" s="359">
        <f ca="1">IF(select!$K$980="*",Scharniere[[#This Row],[AG Ges2]],Scharniere[[#This Row],[AG Ges1]])</f>
        <v>0</v>
      </c>
      <c r="AE809" s="451">
        <f ca="1">IF(AND(Scharniere[[#This Row],[Scharnierart]]=select!$A$1485,Scharniere[[#This Row],[Gruppenschlüssel]]=select!$B$1485)=TRUE,1,0)</f>
        <v>0</v>
      </c>
      <c r="AF809" s="451">
        <f ca="1">IF(AND(Scharniere[[#This Row],[Scharnierart]]=select!$A$1486,Scharniere[[#This Row],[Gruppenschlüssel]]=select!$B$1486)=TRUE,1,0)</f>
        <v>0</v>
      </c>
      <c r="AG809" s="451">
        <f ca="1">IF(AND(Scharniere[[#This Row],[Scharnierart]]=select!$A$1487,Scharniere[[#This Row],[Gruppenschlüssel]]=select!$B$1487)=TRUE,1,0)</f>
        <v>0</v>
      </c>
      <c r="AH809" s="451">
        <f ca="1">IF(AND(Scharniere[[#This Row],[Scharnierart]]=select!$A$1488,Scharniere[[#This Row],[Gruppenschlüssel]]=select!$B$1488)=TRUE,1,0)</f>
        <v>0</v>
      </c>
      <c r="AI809" s="451">
        <f ca="1">IF(SUM(Scharniere[[#This Row],[konf Scharnier 1]:[konf Scharnier 4]])&gt;0,1,0)</f>
        <v>0</v>
      </c>
      <c r="AJ809" s="451"/>
      <c r="AK809" s="451"/>
      <c r="AL809" s="451"/>
      <c r="AM809" s="451"/>
      <c r="AN809" s="451"/>
      <c r="AO809" s="146">
        <v>2</v>
      </c>
      <c r="AP809" s="146">
        <v>3</v>
      </c>
      <c r="AQ809" s="71" t="str">
        <f ca="1">Sprache!$A$114</f>
        <v>Tiomos Scharnier TT Click-on</v>
      </c>
      <c r="AR809" t="str">
        <f ca="1">"110/30°, H-BB, "&amp;Sprache!$A$58&amp;" ni"</f>
        <v>110/30°, H-BB, aufl. ni</v>
      </c>
      <c r="AS809" t="str">
        <f ca="1">Sprache!$A$103</f>
        <v>Tiomos Click-On Scharniere</v>
      </c>
      <c r="AT809" t="s">
        <v>1264</v>
      </c>
      <c r="AU809" s="34" t="s">
        <v>10</v>
      </c>
      <c r="AV809" t="s">
        <v>1489</v>
      </c>
      <c r="AW809" s="71">
        <v>0</v>
      </c>
      <c r="AX809">
        <v>0</v>
      </c>
      <c r="AY809">
        <v>1</v>
      </c>
      <c r="AZ809" s="71">
        <v>1</v>
      </c>
      <c r="BA809">
        <v>0</v>
      </c>
      <c r="BB809">
        <v>0</v>
      </c>
      <c r="BC809">
        <v>0</v>
      </c>
      <c r="BD809" s="144" t="s">
        <v>1725</v>
      </c>
      <c r="BF809" s="10"/>
      <c r="BG809"/>
    </row>
    <row r="810" spans="1:59" ht="14.25" customHeight="1" x14ac:dyDescent="0.25">
      <c r="A810" s="37" t="str">
        <f>LEFT(Scharniere[[#This Row],[ArtikelNR]],4)</f>
        <v>F017</v>
      </c>
      <c r="B810" s="35" t="str">
        <f>MID(Scharniere[[#This Row],[ArtikelNR]],5,3)</f>
        <v>139</v>
      </c>
      <c r="C810" s="37" t="str">
        <f>RIGHT(Scharniere[[#This Row],[ArtikelNR]],3)</f>
        <v>505</v>
      </c>
      <c r="D810" s="35">
        <f>IF(AND(Scharniere[[#This Row],[Gruppenschlüssel]]=select!$A$44,Scharniere[[#This Row],[Scharnierart]]=1)=TRUE,1,0)</f>
        <v>0</v>
      </c>
      <c r="E8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0" s="35">
        <f>IF(select!$F$57=IF(Scharniere[[#This Row],[mit Dämpfung]]=1,1,IF(Scharniere[[#This Row],[ohne Dämpfung]]=1,2,IF(Scharniere[[#This Row],[ohne Feder]]=1,3,0))),1,0)</f>
        <v>0</v>
      </c>
      <c r="G810" s="35">
        <f>IF(Scharniere[[#This Row],[Bohrbild]]=select!$V$43,1,0)</f>
        <v>0</v>
      </c>
      <c r="H810" s="35">
        <f>IF(IF(Scharniere[[#This Row],[Anschrauben]]=1,1,IF(Scharniere[[#This Row],[Einpressen]]=1,2,IF(Scharniere[[#This Row],[Quick]]=1,3,IF(Scharniere[[#This Row],[Werkzeuglos]]=1,4,0))))=select!$F$48,1,0)</f>
        <v>0</v>
      </c>
      <c r="I8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0" s="149">
        <f>IF(AND(Scharniere[[#This Row],[Scharnierart]]=2,Scharniere[[#This Row],[Gruppenschlüssel]]=select!$A$318)=TRUE,1,0)</f>
        <v>0</v>
      </c>
      <c r="K810" s="221">
        <f ca="1">IF(select!$O$424&lt;6,1,0)</f>
        <v>1</v>
      </c>
      <c r="L810" s="221">
        <f>IF(select!$A$362=IF(Scharniere[[#This Row],[mit Dämpfung]]=1,1,IF(Scharniere[[#This Row],[ohne Dämpfung]]=1,2,IF(Scharniere[[#This Row],[ohne Feder]]=1,3,0))),1,0)</f>
        <v>1</v>
      </c>
      <c r="M810" s="135">
        <f>IF(Scharniere[[#This Row],[Bohrbild]]=select!$O$334,1,0)</f>
        <v>0</v>
      </c>
      <c r="N810" s="135">
        <f>IF(IF(Scharniere[[#This Row],[Anschrauben]]=1,1,IF(Scharniere[[#This Row],[Einpressen]]=1,2,IF(Scharniere[[#This Row],[Quick]]=1,3,IF(Scharniere[[#This Row],[Werkzeuglos]]=1,4,0))))=select!$E$362,1,0)</f>
        <v>0</v>
      </c>
      <c r="O8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0" s="298">
        <f>IF(AND(Scharniere[[#This Row],[Scharnierart]]=3,Scharniere[[#This Row],[Gruppenschlüssel]]=select!$A$747)=TRUE,1,0)</f>
        <v>0</v>
      </c>
      <c r="Q810" s="298">
        <f ca="1">IF(select!$O$945&lt;6,1,0)</f>
        <v>1</v>
      </c>
      <c r="R810" s="298">
        <f>IF(select!$A$778=IF(Scharniere[[#This Row],[mit Dämpfung]]=1,1,IF(Scharniere[[#This Row],[ohne Dämpfung]]=1,2,IF(Scharniere[[#This Row],[ohne Feder]]=1,3,0))),1,0)</f>
        <v>0</v>
      </c>
      <c r="S810" s="298">
        <f>IF(Scharniere[[#This Row],[Bohrbild]]=select!$A$755,1,0)</f>
        <v>0</v>
      </c>
      <c r="T810" s="298">
        <f>IF(IF(Scharniere[[#This Row],[Anschrauben]]=1,1,IF(Scharniere[[#This Row],[Einpressen]]=1,2,IF(Scharniere[[#This Row],[Quick]]=1,3,IF(Scharniere[[#This Row],[Werkzeuglos]]=1,4,0))))=select!$A$769,1,0)</f>
        <v>0</v>
      </c>
      <c r="U8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0" s="359">
        <f>IF(AND(Scharniere[[#This Row],[Scharnierart]]=4,Scharniere[[#This Row],[Gruppenschlüssel]]=select!$A$981)=TRUE,1,0)</f>
        <v>0</v>
      </c>
      <c r="W810" s="359">
        <f ca="1">IF(select!$O$1185&lt;6,1,0)</f>
        <v>1</v>
      </c>
      <c r="X810" s="359">
        <f>IF(select!$A$1012=IF(Scharniere[[#This Row],[mit Dämpfung]]=1,1,IF(Scharniere[[#This Row],[ohne Dämpfung]]=1,2,IF(Scharniere[[#This Row],[ohne Feder]]=1,3,0))),1,0)</f>
        <v>0</v>
      </c>
      <c r="Y810" s="359">
        <f>IF(Scharniere[[#This Row],[Bohrbild]]=select!$A$989,1,0)</f>
        <v>0</v>
      </c>
      <c r="Z810" s="359">
        <f>IF(IF(Scharniere[[#This Row],[Anschrauben]]=1,1,IF(Scharniere[[#This Row],[Einpressen]]=1,2,IF(Scharniere[[#This Row],[Quick]]=1,3,IF(Scharniere[[#This Row],[Werkzeuglos]]=1,4,0))))=select!$A$1003,1,0)</f>
        <v>0</v>
      </c>
      <c r="AA8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0" s="359">
        <f ca="1">IF(select!$K$980="*",Scharniere[[#This Row],[AG Ges2]],Scharniere[[#This Row],[AG Ges1]])</f>
        <v>0</v>
      </c>
      <c r="AE810" s="451">
        <f ca="1">IF(AND(Scharniere[[#This Row],[Scharnierart]]=select!$A$1485,Scharniere[[#This Row],[Gruppenschlüssel]]=select!$B$1485)=TRUE,1,0)</f>
        <v>0</v>
      </c>
      <c r="AF810" s="451">
        <f ca="1">IF(AND(Scharniere[[#This Row],[Scharnierart]]=select!$A$1486,Scharniere[[#This Row],[Gruppenschlüssel]]=select!$B$1486)=TRUE,1,0)</f>
        <v>0</v>
      </c>
      <c r="AG810" s="451">
        <f ca="1">IF(AND(Scharniere[[#This Row],[Scharnierart]]=select!$A$1487,Scharniere[[#This Row],[Gruppenschlüssel]]=select!$B$1487)=TRUE,1,0)</f>
        <v>0</v>
      </c>
      <c r="AH810" s="451">
        <f ca="1">IF(AND(Scharniere[[#This Row],[Scharnierart]]=select!$A$1488,Scharniere[[#This Row],[Gruppenschlüssel]]=select!$B$1488)=TRUE,1,0)</f>
        <v>0</v>
      </c>
      <c r="AI810" s="451">
        <f ca="1">IF(SUM(Scharniere[[#This Row],[konf Scharnier 1]:[konf Scharnier 4]])&gt;0,1,0)</f>
        <v>0</v>
      </c>
      <c r="AJ810" s="451"/>
      <c r="AK810" s="451"/>
      <c r="AL810" s="451"/>
      <c r="AM810" s="451"/>
      <c r="AN810" s="451"/>
      <c r="AO810" s="146">
        <v>2</v>
      </c>
      <c r="AP810" s="146">
        <v>3</v>
      </c>
      <c r="AQ810" s="71" t="str">
        <f ca="1">Sprache!$A$113</f>
        <v>Tiomos Scharnier TS Impresso</v>
      </c>
      <c r="AR810" t="str">
        <f ca="1">"110/30°, HS-BB, "&amp;Sprache!$A$58&amp;" ni"</f>
        <v>110/30°, HS-BB, aufl. ni</v>
      </c>
      <c r="AS810" t="str">
        <f ca="1">Sprache!$A$116</f>
        <v>Tiomos Impresso Scharniere</v>
      </c>
      <c r="AT810" t="s">
        <v>1264</v>
      </c>
      <c r="AU810" s="34" t="s">
        <v>10</v>
      </c>
      <c r="AV810" t="s">
        <v>1489</v>
      </c>
      <c r="AW810" s="71">
        <v>1</v>
      </c>
      <c r="AX810">
        <v>0</v>
      </c>
      <c r="AY810">
        <v>0</v>
      </c>
      <c r="AZ810" s="71">
        <v>0</v>
      </c>
      <c r="BA810">
        <v>0</v>
      </c>
      <c r="BB810">
        <v>0</v>
      </c>
      <c r="BC810">
        <v>1</v>
      </c>
      <c r="BD810" s="144" t="s">
        <v>1589</v>
      </c>
      <c r="BF810" s="10"/>
      <c r="BG810"/>
    </row>
    <row r="811" spans="1:59" ht="14.25" customHeight="1" x14ac:dyDescent="0.25">
      <c r="A811" s="37" t="str">
        <f>LEFT(Scharniere[[#This Row],[ArtikelNR]],4)</f>
        <v>F017</v>
      </c>
      <c r="B811" s="35" t="str">
        <f>MID(Scharniere[[#This Row],[ArtikelNR]],5,3)</f>
        <v>139</v>
      </c>
      <c r="C811" s="37" t="str">
        <f>RIGHT(Scharniere[[#This Row],[ArtikelNR]],3)</f>
        <v>505</v>
      </c>
      <c r="D811" s="35">
        <f>IF(AND(Scharniere[[#This Row],[Gruppenschlüssel]]=select!$A$44,Scharniere[[#This Row],[Scharnierart]]=1)=TRUE,1,0)</f>
        <v>0</v>
      </c>
      <c r="E8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1" s="35">
        <f>IF(select!$F$57=IF(Scharniere[[#This Row],[mit Dämpfung]]=1,1,IF(Scharniere[[#This Row],[ohne Dämpfung]]=1,2,IF(Scharniere[[#This Row],[ohne Feder]]=1,3,0))),1,0)</f>
        <v>0</v>
      </c>
      <c r="G811" s="35">
        <f>IF(Scharniere[[#This Row],[Bohrbild]]=select!$V$43,1,0)</f>
        <v>0</v>
      </c>
      <c r="H811" s="35">
        <f>IF(IF(Scharniere[[#This Row],[Anschrauben]]=1,1,IF(Scharniere[[#This Row],[Einpressen]]=1,2,IF(Scharniere[[#This Row],[Quick]]=1,3,IF(Scharniere[[#This Row],[Werkzeuglos]]=1,4,0))))=select!$F$48,1,0)</f>
        <v>0</v>
      </c>
      <c r="I8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1" s="149">
        <f>IF(AND(Scharniere[[#This Row],[Scharnierart]]=2,Scharniere[[#This Row],[Gruppenschlüssel]]=select!$A$318)=TRUE,1,0)</f>
        <v>0</v>
      </c>
      <c r="K811" s="221">
        <f ca="1">IF(select!$O$424&lt;6,1,0)</f>
        <v>1</v>
      </c>
      <c r="L811" s="221">
        <f>IF(select!$A$362=IF(Scharniere[[#This Row],[mit Dämpfung]]=1,1,IF(Scharniere[[#This Row],[ohne Dämpfung]]=1,2,IF(Scharniere[[#This Row],[ohne Feder]]=1,3,0))),1,0)</f>
        <v>1</v>
      </c>
      <c r="M811" s="135">
        <f>IF(Scharniere[[#This Row],[Bohrbild]]=select!$O$334,1,0)</f>
        <v>0</v>
      </c>
      <c r="N811" s="135">
        <f>IF(IF(Scharniere[[#This Row],[Anschrauben]]=1,1,IF(Scharniere[[#This Row],[Einpressen]]=1,2,IF(Scharniere[[#This Row],[Quick]]=1,3,IF(Scharniere[[#This Row],[Werkzeuglos]]=1,4,0))))=select!$E$362,1,0)</f>
        <v>0</v>
      </c>
      <c r="O8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1" s="298">
        <f>IF(AND(Scharniere[[#This Row],[Scharnierart]]=3,Scharniere[[#This Row],[Gruppenschlüssel]]=select!$A$747)=TRUE,1,0)</f>
        <v>0</v>
      </c>
      <c r="Q811" s="298">
        <f ca="1">IF(select!$O$945&lt;6,1,0)</f>
        <v>1</v>
      </c>
      <c r="R811" s="298">
        <f>IF(select!$A$778=IF(Scharniere[[#This Row],[mit Dämpfung]]=1,1,IF(Scharniere[[#This Row],[ohne Dämpfung]]=1,2,IF(Scharniere[[#This Row],[ohne Feder]]=1,3,0))),1,0)</f>
        <v>0</v>
      </c>
      <c r="S811" s="298">
        <f>IF(Scharniere[[#This Row],[Bohrbild]]=select!$A$755,1,0)</f>
        <v>0</v>
      </c>
      <c r="T811" s="298">
        <f>IF(IF(Scharniere[[#This Row],[Anschrauben]]=1,1,IF(Scharniere[[#This Row],[Einpressen]]=1,2,IF(Scharniere[[#This Row],[Quick]]=1,3,IF(Scharniere[[#This Row],[Werkzeuglos]]=1,4,0))))=select!$A$769,1,0)</f>
        <v>0</v>
      </c>
      <c r="U8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1" s="359">
        <f>IF(AND(Scharniere[[#This Row],[Scharnierart]]=4,Scharniere[[#This Row],[Gruppenschlüssel]]=select!$A$981)=TRUE,1,0)</f>
        <v>0</v>
      </c>
      <c r="W811" s="359">
        <f ca="1">IF(select!$O$1185&lt;6,1,0)</f>
        <v>1</v>
      </c>
      <c r="X811" s="359">
        <f>IF(select!$A$1012=IF(Scharniere[[#This Row],[mit Dämpfung]]=1,1,IF(Scharniere[[#This Row],[ohne Dämpfung]]=1,2,IF(Scharniere[[#This Row],[ohne Feder]]=1,3,0))),1,0)</f>
        <v>0</v>
      </c>
      <c r="Y811" s="359">
        <f>IF(Scharniere[[#This Row],[Bohrbild]]=select!$A$989,1,0)</f>
        <v>0</v>
      </c>
      <c r="Z811" s="359">
        <f>IF(IF(Scharniere[[#This Row],[Anschrauben]]=1,1,IF(Scharniere[[#This Row],[Einpressen]]=1,2,IF(Scharniere[[#This Row],[Quick]]=1,3,IF(Scharniere[[#This Row],[Werkzeuglos]]=1,4,0))))=select!$A$1003,1,0)</f>
        <v>0</v>
      </c>
      <c r="AA8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1" s="359">
        <f ca="1">IF(select!$K$980="*",Scharniere[[#This Row],[AG Ges2]],Scharniere[[#This Row],[AG Ges1]])</f>
        <v>0</v>
      </c>
      <c r="AE811" s="451">
        <f ca="1">IF(AND(Scharniere[[#This Row],[Scharnierart]]=select!$A$1485,Scharniere[[#This Row],[Gruppenschlüssel]]=select!$B$1485)=TRUE,1,0)</f>
        <v>0</v>
      </c>
      <c r="AF811" s="451">
        <f ca="1">IF(AND(Scharniere[[#This Row],[Scharnierart]]=select!$A$1486,Scharniere[[#This Row],[Gruppenschlüssel]]=select!$B$1486)=TRUE,1,0)</f>
        <v>0</v>
      </c>
      <c r="AG811" s="451">
        <f ca="1">IF(AND(Scharniere[[#This Row],[Scharnierart]]=select!$A$1487,Scharniere[[#This Row],[Gruppenschlüssel]]=select!$B$1487)=TRUE,1,0)</f>
        <v>0</v>
      </c>
      <c r="AH811" s="451">
        <f ca="1">IF(AND(Scharniere[[#This Row],[Scharnierart]]=select!$A$1488,Scharniere[[#This Row],[Gruppenschlüssel]]=select!$B$1488)=TRUE,1,0)</f>
        <v>0</v>
      </c>
      <c r="AI811" s="451">
        <f ca="1">IF(SUM(Scharniere[[#This Row],[konf Scharnier 1]:[konf Scharnier 4]])&gt;0,1,0)</f>
        <v>0</v>
      </c>
      <c r="AJ811" s="451"/>
      <c r="AK811" s="451"/>
      <c r="AL811" s="451"/>
      <c r="AM811" s="451"/>
      <c r="AN811" s="451"/>
      <c r="AO811" s="146">
        <v>2</v>
      </c>
      <c r="AP811" s="146">
        <v>3</v>
      </c>
      <c r="AQ811" s="71" t="str">
        <f ca="1">Sprache!$A$113</f>
        <v>Tiomos Scharnier TS Impresso</v>
      </c>
      <c r="AR811" t="str">
        <f ca="1">"110/30°, HS-BB, "&amp;Sprache!$A$58&amp;" ni"</f>
        <v>110/30°, HS-BB, aufl. ni</v>
      </c>
      <c r="AS811" t="str">
        <f ca="1">Sprache!$A$116</f>
        <v>Tiomos Impresso Scharniere</v>
      </c>
      <c r="AT811" t="s">
        <v>1264</v>
      </c>
      <c r="AU811" t="s">
        <v>11</v>
      </c>
      <c r="AV811" t="s">
        <v>1489</v>
      </c>
      <c r="AW811" s="71">
        <v>1</v>
      </c>
      <c r="AX811">
        <v>0</v>
      </c>
      <c r="AY811">
        <v>0</v>
      </c>
      <c r="AZ811" s="71">
        <v>0</v>
      </c>
      <c r="BA811">
        <v>0</v>
      </c>
      <c r="BB811">
        <v>0</v>
      </c>
      <c r="BC811">
        <v>1</v>
      </c>
      <c r="BD811" s="144" t="s">
        <v>1589</v>
      </c>
      <c r="BF811" s="10"/>
      <c r="BG811"/>
    </row>
    <row r="812" spans="1:59" ht="14.25" customHeight="1" x14ac:dyDescent="0.25">
      <c r="A812" s="37" t="str">
        <f>LEFT(Scharniere[[#This Row],[ArtikelNR]],4)</f>
        <v>F034</v>
      </c>
      <c r="B812" s="35" t="str">
        <f>MID(Scharniere[[#This Row],[ArtikelNR]],5,3)</f>
        <v>139</v>
      </c>
      <c r="C812" s="37" t="str">
        <f>RIGHT(Scharniere[[#This Row],[ArtikelNR]],3)</f>
        <v>476</v>
      </c>
      <c r="D812" s="35">
        <f>IF(AND(Scharniere[[#This Row],[Gruppenschlüssel]]=select!$A$44,Scharniere[[#This Row],[Scharnierart]]=1)=TRUE,1,0)</f>
        <v>0</v>
      </c>
      <c r="E8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2" s="35">
        <f>IF(select!$F$57=IF(Scharniere[[#This Row],[mit Dämpfung]]=1,1,IF(Scharniere[[#This Row],[ohne Dämpfung]]=1,2,IF(Scharniere[[#This Row],[ohne Feder]]=1,3,0))),1,0)</f>
        <v>0</v>
      </c>
      <c r="G812" s="35">
        <f>IF(Scharniere[[#This Row],[Bohrbild]]=select!$V$43,1,0)</f>
        <v>0</v>
      </c>
      <c r="H812" s="35">
        <f>IF(IF(Scharniere[[#This Row],[Anschrauben]]=1,1,IF(Scharniere[[#This Row],[Einpressen]]=1,2,IF(Scharniere[[#This Row],[Quick]]=1,3,IF(Scharniere[[#This Row],[Werkzeuglos]]=1,4,0))))=select!$F$48,1,0)</f>
        <v>0</v>
      </c>
      <c r="I8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2" s="149">
        <f>IF(AND(Scharniere[[#This Row],[Scharnierart]]=2,Scharniere[[#This Row],[Gruppenschlüssel]]=select!$A$318)=TRUE,1,0)</f>
        <v>0</v>
      </c>
      <c r="K812" s="221">
        <f ca="1">IF(select!$O$424&lt;6,1,0)</f>
        <v>1</v>
      </c>
      <c r="L812" s="221">
        <f>IF(select!$A$362=IF(Scharniere[[#This Row],[mit Dämpfung]]=1,1,IF(Scharniere[[#This Row],[ohne Dämpfung]]=1,2,IF(Scharniere[[#This Row],[ohne Feder]]=1,3,0))),1,0)</f>
        <v>0</v>
      </c>
      <c r="M812" s="135">
        <f>IF(Scharniere[[#This Row],[Bohrbild]]=select!$O$334,1,0)</f>
        <v>0</v>
      </c>
      <c r="N812" s="135">
        <f>IF(IF(Scharniere[[#This Row],[Anschrauben]]=1,1,IF(Scharniere[[#This Row],[Einpressen]]=1,2,IF(Scharniere[[#This Row],[Quick]]=1,3,IF(Scharniere[[#This Row],[Werkzeuglos]]=1,4,0))))=select!$E$362,1,0)</f>
        <v>0</v>
      </c>
      <c r="O8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2" s="298">
        <f>IF(AND(Scharniere[[#This Row],[Scharnierart]]=3,Scharniere[[#This Row],[Gruppenschlüssel]]=select!$A$747)=TRUE,1,0)</f>
        <v>0</v>
      </c>
      <c r="Q812" s="298">
        <f ca="1">IF(select!$O$945&lt;6,1,0)</f>
        <v>1</v>
      </c>
      <c r="R812" s="298">
        <f>IF(select!$A$778=IF(Scharniere[[#This Row],[mit Dämpfung]]=1,1,IF(Scharniere[[#This Row],[ohne Dämpfung]]=1,2,IF(Scharniere[[#This Row],[ohne Feder]]=1,3,0))),1,0)</f>
        <v>1</v>
      </c>
      <c r="S812" s="298">
        <f>IF(Scharniere[[#This Row],[Bohrbild]]=select!$A$755,1,0)</f>
        <v>0</v>
      </c>
      <c r="T812" s="298">
        <f>IF(IF(Scharniere[[#This Row],[Anschrauben]]=1,1,IF(Scharniere[[#This Row],[Einpressen]]=1,2,IF(Scharniere[[#This Row],[Quick]]=1,3,IF(Scharniere[[#This Row],[Werkzeuglos]]=1,4,0))))=select!$A$769,1,0)</f>
        <v>0</v>
      </c>
      <c r="U8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2" s="359">
        <f>IF(AND(Scharniere[[#This Row],[Scharnierart]]=4,Scharniere[[#This Row],[Gruppenschlüssel]]=select!$A$981)=TRUE,1,0)</f>
        <v>0</v>
      </c>
      <c r="W812" s="359">
        <f ca="1">IF(select!$O$1185&lt;6,1,0)</f>
        <v>1</v>
      </c>
      <c r="X812" s="359">
        <f>IF(select!$A$1012=IF(Scharniere[[#This Row],[mit Dämpfung]]=1,1,IF(Scharniere[[#This Row],[ohne Dämpfung]]=1,2,IF(Scharniere[[#This Row],[ohne Feder]]=1,3,0))),1,0)</f>
        <v>1</v>
      </c>
      <c r="Y812" s="359">
        <f>IF(Scharniere[[#This Row],[Bohrbild]]=select!$A$989,1,0)</f>
        <v>0</v>
      </c>
      <c r="Z812" s="359">
        <f>IF(IF(Scharniere[[#This Row],[Anschrauben]]=1,1,IF(Scharniere[[#This Row],[Einpressen]]=1,2,IF(Scharniere[[#This Row],[Quick]]=1,3,IF(Scharniere[[#This Row],[Werkzeuglos]]=1,4,0))))=select!$A$1003,1,0)</f>
        <v>0</v>
      </c>
      <c r="AA8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2" s="359">
        <f ca="1">IF(select!$K$980="*",Scharniere[[#This Row],[AG Ges2]],Scharniere[[#This Row],[AG Ges1]])</f>
        <v>0</v>
      </c>
      <c r="AE812" s="451">
        <f ca="1">IF(AND(Scharniere[[#This Row],[Scharnierart]]=select!$A$1485,Scharniere[[#This Row],[Gruppenschlüssel]]=select!$B$1485)=TRUE,1,0)</f>
        <v>0</v>
      </c>
      <c r="AF812" s="451">
        <f ca="1">IF(AND(Scharniere[[#This Row],[Scharnierart]]=select!$A$1486,Scharniere[[#This Row],[Gruppenschlüssel]]=select!$B$1486)=TRUE,1,0)</f>
        <v>0</v>
      </c>
      <c r="AG812" s="451">
        <f ca="1">IF(AND(Scharniere[[#This Row],[Scharnierart]]=select!$A$1487,Scharniere[[#This Row],[Gruppenschlüssel]]=select!$B$1487)=TRUE,1,0)</f>
        <v>0</v>
      </c>
      <c r="AH812" s="451">
        <f ca="1">IF(AND(Scharniere[[#This Row],[Scharnierart]]=select!$A$1488,Scharniere[[#This Row],[Gruppenschlüssel]]=select!$B$1488)=TRUE,1,0)</f>
        <v>0</v>
      </c>
      <c r="AI812" s="451">
        <f ca="1">IF(SUM(Scharniere[[#This Row],[konf Scharnier 1]:[konf Scharnier 4]])&gt;0,1,0)</f>
        <v>0</v>
      </c>
      <c r="AJ812" s="451"/>
      <c r="AK812" s="451"/>
      <c r="AL812" s="451"/>
      <c r="AM812" s="451"/>
      <c r="AN812" s="451"/>
      <c r="AO812" s="146">
        <v>2</v>
      </c>
      <c r="AP812" s="146">
        <v>3</v>
      </c>
      <c r="AQ812" s="71" t="str">
        <f ca="1">Sprache!$A$119</f>
        <v>Tiomos Scharnier T Impresso</v>
      </c>
      <c r="AR812" t="str">
        <f ca="1">"110/30°, HS-BB, "&amp;Sprache!$A$58&amp;" ni"</f>
        <v>110/30°, HS-BB, aufl. ni</v>
      </c>
      <c r="AS812" t="str">
        <f ca="1">Sprache!$A$103</f>
        <v>Tiomos Click-On Scharniere</v>
      </c>
      <c r="AT812" t="s">
        <v>1264</v>
      </c>
      <c r="AU812" t="s">
        <v>10</v>
      </c>
      <c r="AV812" t="s">
        <v>1489</v>
      </c>
      <c r="AW812" s="71">
        <v>0</v>
      </c>
      <c r="AX812">
        <v>1</v>
      </c>
      <c r="AY812">
        <v>0</v>
      </c>
      <c r="AZ812" s="71">
        <v>0</v>
      </c>
      <c r="BA812">
        <v>0</v>
      </c>
      <c r="BB812">
        <v>0</v>
      </c>
      <c r="BC812">
        <v>1</v>
      </c>
      <c r="BD812" s="144" t="s">
        <v>1767</v>
      </c>
      <c r="BF812" s="10"/>
      <c r="BG812"/>
    </row>
    <row r="813" spans="1:59" ht="14.25" customHeight="1" x14ac:dyDescent="0.25">
      <c r="A813" s="37" t="str">
        <f>LEFT(Scharniere[[#This Row],[ArtikelNR]],4)</f>
        <v>F034</v>
      </c>
      <c r="B813" s="35" t="str">
        <f>MID(Scharniere[[#This Row],[ArtikelNR]],5,3)</f>
        <v>139</v>
      </c>
      <c r="C813" s="37" t="str">
        <f>RIGHT(Scharniere[[#This Row],[ArtikelNR]],3)</f>
        <v>476</v>
      </c>
      <c r="D813" s="35">
        <f>IF(AND(Scharniere[[#This Row],[Gruppenschlüssel]]=select!$A$44,Scharniere[[#This Row],[Scharnierart]]=1)=TRUE,1,0)</f>
        <v>0</v>
      </c>
      <c r="E8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3" s="35">
        <f>IF(select!$F$57=IF(Scharniere[[#This Row],[mit Dämpfung]]=1,1,IF(Scharniere[[#This Row],[ohne Dämpfung]]=1,2,IF(Scharniere[[#This Row],[ohne Feder]]=1,3,0))),1,0)</f>
        <v>0</v>
      </c>
      <c r="G813" s="35">
        <f>IF(Scharniere[[#This Row],[Bohrbild]]=select!$V$43,1,0)</f>
        <v>0</v>
      </c>
      <c r="H813" s="35">
        <f>IF(IF(Scharniere[[#This Row],[Anschrauben]]=1,1,IF(Scharniere[[#This Row],[Einpressen]]=1,2,IF(Scharniere[[#This Row],[Quick]]=1,3,IF(Scharniere[[#This Row],[Werkzeuglos]]=1,4,0))))=select!$F$48,1,0)</f>
        <v>0</v>
      </c>
      <c r="I8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3" s="149">
        <f>IF(AND(Scharniere[[#This Row],[Scharnierart]]=2,Scharniere[[#This Row],[Gruppenschlüssel]]=select!$A$318)=TRUE,1,0)</f>
        <v>0</v>
      </c>
      <c r="K813" s="221">
        <f ca="1">IF(select!$O$424&lt;6,1,0)</f>
        <v>1</v>
      </c>
      <c r="L813" s="221">
        <f>IF(select!$A$362=IF(Scharniere[[#This Row],[mit Dämpfung]]=1,1,IF(Scharniere[[#This Row],[ohne Dämpfung]]=1,2,IF(Scharniere[[#This Row],[ohne Feder]]=1,3,0))),1,0)</f>
        <v>0</v>
      </c>
      <c r="M813" s="135">
        <f>IF(Scharniere[[#This Row],[Bohrbild]]=select!$O$334,1,0)</f>
        <v>0</v>
      </c>
      <c r="N813" s="135">
        <f>IF(IF(Scharniere[[#This Row],[Anschrauben]]=1,1,IF(Scharniere[[#This Row],[Einpressen]]=1,2,IF(Scharniere[[#This Row],[Quick]]=1,3,IF(Scharniere[[#This Row],[Werkzeuglos]]=1,4,0))))=select!$E$362,1,0)</f>
        <v>0</v>
      </c>
      <c r="O8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3" s="298">
        <f>IF(AND(Scharniere[[#This Row],[Scharnierart]]=3,Scharniere[[#This Row],[Gruppenschlüssel]]=select!$A$747)=TRUE,1,0)</f>
        <v>0</v>
      </c>
      <c r="Q813" s="298">
        <f ca="1">IF(select!$O$945&lt;6,1,0)</f>
        <v>1</v>
      </c>
      <c r="R813" s="298">
        <f>IF(select!$A$778=IF(Scharniere[[#This Row],[mit Dämpfung]]=1,1,IF(Scharniere[[#This Row],[ohne Dämpfung]]=1,2,IF(Scharniere[[#This Row],[ohne Feder]]=1,3,0))),1,0)</f>
        <v>1</v>
      </c>
      <c r="S813" s="298">
        <f>IF(Scharniere[[#This Row],[Bohrbild]]=select!$A$755,1,0)</f>
        <v>0</v>
      </c>
      <c r="T813" s="298">
        <f>IF(IF(Scharniere[[#This Row],[Anschrauben]]=1,1,IF(Scharniere[[#This Row],[Einpressen]]=1,2,IF(Scharniere[[#This Row],[Quick]]=1,3,IF(Scharniere[[#This Row],[Werkzeuglos]]=1,4,0))))=select!$A$769,1,0)</f>
        <v>0</v>
      </c>
      <c r="U8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3" s="359">
        <f>IF(AND(Scharniere[[#This Row],[Scharnierart]]=4,Scharniere[[#This Row],[Gruppenschlüssel]]=select!$A$981)=TRUE,1,0)</f>
        <v>0</v>
      </c>
      <c r="W813" s="359">
        <f ca="1">IF(select!$O$1185&lt;6,1,0)</f>
        <v>1</v>
      </c>
      <c r="X813" s="359">
        <f>IF(select!$A$1012=IF(Scharniere[[#This Row],[mit Dämpfung]]=1,1,IF(Scharniere[[#This Row],[ohne Dämpfung]]=1,2,IF(Scharniere[[#This Row],[ohne Feder]]=1,3,0))),1,0)</f>
        <v>1</v>
      </c>
      <c r="Y813" s="359">
        <f>IF(Scharniere[[#This Row],[Bohrbild]]=select!$A$989,1,0)</f>
        <v>0</v>
      </c>
      <c r="Z813" s="359">
        <f>IF(IF(Scharniere[[#This Row],[Anschrauben]]=1,1,IF(Scharniere[[#This Row],[Einpressen]]=1,2,IF(Scharniere[[#This Row],[Quick]]=1,3,IF(Scharniere[[#This Row],[Werkzeuglos]]=1,4,0))))=select!$A$1003,1,0)</f>
        <v>0</v>
      </c>
      <c r="AA8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3" s="359">
        <f ca="1">IF(select!$K$980="*",Scharniere[[#This Row],[AG Ges2]],Scharniere[[#This Row],[AG Ges1]])</f>
        <v>0</v>
      </c>
      <c r="AE813" s="451">
        <f ca="1">IF(AND(Scharniere[[#This Row],[Scharnierart]]=select!$A$1485,Scharniere[[#This Row],[Gruppenschlüssel]]=select!$B$1485)=TRUE,1,0)</f>
        <v>0</v>
      </c>
      <c r="AF813" s="451">
        <f ca="1">IF(AND(Scharniere[[#This Row],[Scharnierart]]=select!$A$1486,Scharniere[[#This Row],[Gruppenschlüssel]]=select!$B$1486)=TRUE,1,0)</f>
        <v>0</v>
      </c>
      <c r="AG813" s="451">
        <f ca="1">IF(AND(Scharniere[[#This Row],[Scharnierart]]=select!$A$1487,Scharniere[[#This Row],[Gruppenschlüssel]]=select!$B$1487)=TRUE,1,0)</f>
        <v>0</v>
      </c>
      <c r="AH813" s="451">
        <f ca="1">IF(AND(Scharniere[[#This Row],[Scharnierart]]=select!$A$1488,Scharniere[[#This Row],[Gruppenschlüssel]]=select!$B$1488)=TRUE,1,0)</f>
        <v>0</v>
      </c>
      <c r="AI813" s="451">
        <f ca="1">IF(SUM(Scharniere[[#This Row],[konf Scharnier 1]:[konf Scharnier 4]])&gt;0,1,0)</f>
        <v>0</v>
      </c>
      <c r="AJ813" s="451"/>
      <c r="AK813" s="451"/>
      <c r="AL813" s="451"/>
      <c r="AM813" s="451"/>
      <c r="AN813" s="451"/>
      <c r="AO813" s="146">
        <v>2</v>
      </c>
      <c r="AP813" s="146">
        <v>3</v>
      </c>
      <c r="AQ813" s="71" t="str">
        <f ca="1">Sprache!$A$119</f>
        <v>Tiomos Scharnier T Impresso</v>
      </c>
      <c r="AR813" t="str">
        <f ca="1">"110/30°, HS-BB, "&amp;Sprache!$A$58&amp;" ni"</f>
        <v>110/30°, HS-BB, aufl. ni</v>
      </c>
      <c r="AS813" t="str">
        <f ca="1">Sprache!$A$103</f>
        <v>Tiomos Click-On Scharniere</v>
      </c>
      <c r="AT813" t="s">
        <v>1264</v>
      </c>
      <c r="AU813" t="s">
        <v>11</v>
      </c>
      <c r="AV813" t="s">
        <v>1489</v>
      </c>
      <c r="AW813" s="71">
        <v>0</v>
      </c>
      <c r="AX813">
        <v>1</v>
      </c>
      <c r="AY813">
        <v>0</v>
      </c>
      <c r="AZ813" s="71">
        <v>0</v>
      </c>
      <c r="BA813">
        <v>0</v>
      </c>
      <c r="BB813">
        <v>0</v>
      </c>
      <c r="BC813">
        <v>1</v>
      </c>
      <c r="BD813" s="144" t="s">
        <v>1767</v>
      </c>
      <c r="BF813" s="10"/>
      <c r="BG813"/>
    </row>
    <row r="814" spans="1:59" ht="14.25" customHeight="1" x14ac:dyDescent="0.25">
      <c r="A814" s="37" t="str">
        <f>LEFT(Scharniere[[#This Row],[ArtikelNR]],4)</f>
        <v>F028</v>
      </c>
      <c r="B814" s="35" t="str">
        <f>MID(Scharniere[[#This Row],[ArtikelNR]],5,3)</f>
        <v>138</v>
      </c>
      <c r="C814" s="37" t="str">
        <f>RIGHT(Scharniere[[#This Row],[ArtikelNR]],3)</f>
        <v>103</v>
      </c>
      <c r="D814" s="35">
        <f>IF(AND(Scharniere[[#This Row],[Gruppenschlüssel]]=select!$A$44,Scharniere[[#This Row],[Scharnierart]]=1)=TRUE,1,0)</f>
        <v>0</v>
      </c>
      <c r="E8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4" s="35">
        <f>IF(select!$F$57=IF(Scharniere[[#This Row],[mit Dämpfung]]=1,1,IF(Scharniere[[#This Row],[ohne Dämpfung]]=1,2,IF(Scharniere[[#This Row],[ohne Feder]]=1,3,0))),1,0)</f>
        <v>0</v>
      </c>
      <c r="G814" s="35">
        <f>IF(Scharniere[[#This Row],[Bohrbild]]=select!$V$43,1,0)</f>
        <v>1</v>
      </c>
      <c r="H814" s="35">
        <f>IF(IF(Scharniere[[#This Row],[Anschrauben]]=1,1,IF(Scharniere[[#This Row],[Einpressen]]=1,2,IF(Scharniere[[#This Row],[Quick]]=1,3,IF(Scharniere[[#This Row],[Werkzeuglos]]=1,4,0))))=select!$F$48,1,0)</f>
        <v>0</v>
      </c>
      <c r="I8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4" s="149">
        <f>IF(AND(Scharniere[[#This Row],[Scharnierart]]=2,Scharniere[[#This Row],[Gruppenschlüssel]]=select!$A$318)=TRUE,1,0)</f>
        <v>0</v>
      </c>
      <c r="K814" s="221">
        <f ca="1">IF(select!$O$424&lt;6,1,0)</f>
        <v>1</v>
      </c>
      <c r="L814" s="221">
        <f>IF(select!$A$362=IF(Scharniere[[#This Row],[mit Dämpfung]]=1,1,IF(Scharniere[[#This Row],[ohne Dämpfung]]=1,2,IF(Scharniere[[#This Row],[ohne Feder]]=1,3,0))),1,0)</f>
        <v>1</v>
      </c>
      <c r="M814" s="135">
        <f>IF(Scharniere[[#This Row],[Bohrbild]]=select!$O$334,1,0)</f>
        <v>1</v>
      </c>
      <c r="N814" s="135">
        <f>IF(IF(Scharniere[[#This Row],[Anschrauben]]=1,1,IF(Scharniere[[#This Row],[Einpressen]]=1,2,IF(Scharniere[[#This Row],[Quick]]=1,3,IF(Scharniere[[#This Row],[Werkzeuglos]]=1,4,0))))=select!$E$362,1,0)</f>
        <v>1</v>
      </c>
      <c r="O8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4" s="298">
        <f>IF(AND(Scharniere[[#This Row],[Scharnierart]]=3,Scharniere[[#This Row],[Gruppenschlüssel]]=select!$A$747)=TRUE,1,0)</f>
        <v>0</v>
      </c>
      <c r="Q814" s="298">
        <f ca="1">IF(select!$O$945&lt;6,1,0)</f>
        <v>1</v>
      </c>
      <c r="R814" s="298">
        <f>IF(select!$A$778=IF(Scharniere[[#This Row],[mit Dämpfung]]=1,1,IF(Scharniere[[#This Row],[ohne Dämpfung]]=1,2,IF(Scharniere[[#This Row],[ohne Feder]]=1,3,0))),1,0)</f>
        <v>0</v>
      </c>
      <c r="S814" s="298">
        <f>IF(Scharniere[[#This Row],[Bohrbild]]=select!$A$755,1,0)</f>
        <v>0</v>
      </c>
      <c r="T814" s="298">
        <f>IF(IF(Scharniere[[#This Row],[Anschrauben]]=1,1,IF(Scharniere[[#This Row],[Einpressen]]=1,2,IF(Scharniere[[#This Row],[Quick]]=1,3,IF(Scharniere[[#This Row],[Werkzeuglos]]=1,4,0))))=select!$A$769,1,0)</f>
        <v>1</v>
      </c>
      <c r="U8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4" s="359">
        <f>IF(AND(Scharniere[[#This Row],[Scharnierart]]=4,Scharniere[[#This Row],[Gruppenschlüssel]]=select!$A$981)=TRUE,1,0)</f>
        <v>0</v>
      </c>
      <c r="W814" s="359">
        <f ca="1">IF(select!$O$1185&lt;6,1,0)</f>
        <v>1</v>
      </c>
      <c r="X814" s="359">
        <f>IF(select!$A$1012=IF(Scharniere[[#This Row],[mit Dämpfung]]=1,1,IF(Scharniere[[#This Row],[ohne Dämpfung]]=1,2,IF(Scharniere[[#This Row],[ohne Feder]]=1,3,0))),1,0)</f>
        <v>0</v>
      </c>
      <c r="Y814" s="359">
        <f>IF(Scharniere[[#This Row],[Bohrbild]]=select!$A$989,1,0)</f>
        <v>0</v>
      </c>
      <c r="Z814" s="359">
        <f>IF(IF(Scharniere[[#This Row],[Anschrauben]]=1,1,IF(Scharniere[[#This Row],[Einpressen]]=1,2,IF(Scharniere[[#This Row],[Quick]]=1,3,IF(Scharniere[[#This Row],[Werkzeuglos]]=1,4,0))))=select!$A$1003,1,0)</f>
        <v>1</v>
      </c>
      <c r="AA8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4" s="359">
        <f ca="1">IF(select!$K$980="*",Scharniere[[#This Row],[AG Ges2]],Scharniere[[#This Row],[AG Ges1]])</f>
        <v>0</v>
      </c>
      <c r="AE814" s="451">
        <f ca="1">IF(AND(Scharniere[[#This Row],[Scharnierart]]=select!$A$1485,Scharniere[[#This Row],[Gruppenschlüssel]]=select!$B$1485)=TRUE,1,0)</f>
        <v>0</v>
      </c>
      <c r="AF814" s="451">
        <f ca="1">IF(AND(Scharniere[[#This Row],[Scharnierart]]=select!$A$1486,Scharniere[[#This Row],[Gruppenschlüssel]]=select!$B$1486)=TRUE,1,0)</f>
        <v>0</v>
      </c>
      <c r="AG814" s="451">
        <f ca="1">IF(AND(Scharniere[[#This Row],[Scharnierart]]=select!$A$1487,Scharniere[[#This Row],[Gruppenschlüssel]]=select!$B$1487)=TRUE,1,0)</f>
        <v>0</v>
      </c>
      <c r="AH814" s="451">
        <f ca="1">IF(AND(Scharniere[[#This Row],[Scharnierart]]=select!$A$1488,Scharniere[[#This Row],[Gruppenschlüssel]]=select!$B$1488)=TRUE,1,0)</f>
        <v>0</v>
      </c>
      <c r="AI814" s="451">
        <f ca="1">IF(SUM(Scharniere[[#This Row],[konf Scharnier 1]:[konf Scharnier 4]])&gt;0,1,0)</f>
        <v>0</v>
      </c>
      <c r="AJ814" s="451"/>
      <c r="AK814" s="451"/>
      <c r="AL814" s="451"/>
      <c r="AM814" s="451"/>
      <c r="AN814" s="451"/>
      <c r="AO814" s="146">
        <v>2</v>
      </c>
      <c r="AP814" s="146">
        <v>3</v>
      </c>
      <c r="AQ814" s="71" t="str">
        <f ca="1">Sprache!$A$112</f>
        <v>Tiomos Scharnier TS Click-on</v>
      </c>
      <c r="AR814" t="str">
        <f ca="1">"110/30°, M-BB, "&amp;Sprache!$A$58&amp;" ni"</f>
        <v>110/30°, M-BB, aufl. ni</v>
      </c>
      <c r="AS814" t="str">
        <f ca="1">Sprache!$A$103</f>
        <v>Tiomos Click-On Scharniere</v>
      </c>
      <c r="AT814" t="s">
        <v>1264</v>
      </c>
      <c r="AU814" t="s">
        <v>8</v>
      </c>
      <c r="AV814" t="s">
        <v>1489</v>
      </c>
      <c r="AW814" s="71">
        <v>1</v>
      </c>
      <c r="AX814">
        <v>0</v>
      </c>
      <c r="AY814">
        <v>0</v>
      </c>
      <c r="AZ814" s="71">
        <v>1</v>
      </c>
      <c r="BA814">
        <v>0</v>
      </c>
      <c r="BB814">
        <v>0</v>
      </c>
      <c r="BC814">
        <v>0</v>
      </c>
      <c r="BD814" s="144" t="s">
        <v>1513</v>
      </c>
      <c r="BF814" s="10"/>
      <c r="BG814"/>
    </row>
    <row r="815" spans="1:59" ht="14.25" customHeight="1" x14ac:dyDescent="0.25">
      <c r="A815" s="37" t="str">
        <f>LEFT(Scharniere[[#This Row],[ArtikelNR]],4)</f>
        <v>F045</v>
      </c>
      <c r="B815" s="35" t="str">
        <f>MID(Scharniere[[#This Row],[ArtikelNR]],5,3)</f>
        <v>138</v>
      </c>
      <c r="C815" s="37" t="str">
        <f>RIGHT(Scharniere[[#This Row],[ArtikelNR]],3)</f>
        <v>010</v>
      </c>
      <c r="D815" s="35">
        <f>IF(AND(Scharniere[[#This Row],[Gruppenschlüssel]]=select!$A$44,Scharniere[[#This Row],[Scharnierart]]=1)=TRUE,1,0)</f>
        <v>0</v>
      </c>
      <c r="E8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5" s="35">
        <f>IF(select!$F$57=IF(Scharniere[[#This Row],[mit Dämpfung]]=1,1,IF(Scharniere[[#This Row],[ohne Dämpfung]]=1,2,IF(Scharniere[[#This Row],[ohne Feder]]=1,3,0))),1,0)</f>
        <v>0</v>
      </c>
      <c r="G815" s="35">
        <f>IF(Scharniere[[#This Row],[Bohrbild]]=select!$V$43,1,0)</f>
        <v>1</v>
      </c>
      <c r="H815" s="35">
        <f>IF(IF(Scharniere[[#This Row],[Anschrauben]]=1,1,IF(Scharniere[[#This Row],[Einpressen]]=1,2,IF(Scharniere[[#This Row],[Quick]]=1,3,IF(Scharniere[[#This Row],[Werkzeuglos]]=1,4,0))))=select!$F$48,1,0)</f>
        <v>0</v>
      </c>
      <c r="I8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5" s="149">
        <f>IF(AND(Scharniere[[#This Row],[Scharnierart]]=2,Scharniere[[#This Row],[Gruppenschlüssel]]=select!$A$318)=TRUE,1,0)</f>
        <v>0</v>
      </c>
      <c r="K815" s="221">
        <f ca="1">IF(select!$O$424&lt;6,1,0)</f>
        <v>1</v>
      </c>
      <c r="L815" s="221">
        <f>IF(select!$A$362=IF(Scharniere[[#This Row],[mit Dämpfung]]=1,1,IF(Scharniere[[#This Row],[ohne Dämpfung]]=1,2,IF(Scharniere[[#This Row],[ohne Feder]]=1,3,0))),1,0)</f>
        <v>0</v>
      </c>
      <c r="M815" s="135">
        <f>IF(Scharniere[[#This Row],[Bohrbild]]=select!$O$334,1,0)</f>
        <v>1</v>
      </c>
      <c r="N815" s="135">
        <f>IF(IF(Scharniere[[#This Row],[Anschrauben]]=1,1,IF(Scharniere[[#This Row],[Einpressen]]=1,2,IF(Scharniere[[#This Row],[Quick]]=1,3,IF(Scharniere[[#This Row],[Werkzeuglos]]=1,4,0))))=select!$E$362,1,0)</f>
        <v>1</v>
      </c>
      <c r="O8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5" s="298">
        <f>IF(AND(Scharniere[[#This Row],[Scharnierart]]=3,Scharniere[[#This Row],[Gruppenschlüssel]]=select!$A$747)=TRUE,1,0)</f>
        <v>0</v>
      </c>
      <c r="Q815" s="298">
        <f ca="1">IF(select!$O$945&lt;6,1,0)</f>
        <v>1</v>
      </c>
      <c r="R815" s="298">
        <f>IF(select!$A$778=IF(Scharniere[[#This Row],[mit Dämpfung]]=1,1,IF(Scharniere[[#This Row],[ohne Dämpfung]]=1,2,IF(Scharniere[[#This Row],[ohne Feder]]=1,3,0))),1,0)</f>
        <v>1</v>
      </c>
      <c r="S815" s="298">
        <f>IF(Scharniere[[#This Row],[Bohrbild]]=select!$A$755,1,0)</f>
        <v>0</v>
      </c>
      <c r="T815" s="298">
        <f>IF(IF(Scharniere[[#This Row],[Anschrauben]]=1,1,IF(Scharniere[[#This Row],[Einpressen]]=1,2,IF(Scharniere[[#This Row],[Quick]]=1,3,IF(Scharniere[[#This Row],[Werkzeuglos]]=1,4,0))))=select!$A$769,1,0)</f>
        <v>1</v>
      </c>
      <c r="U8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5" s="359">
        <f>IF(AND(Scharniere[[#This Row],[Scharnierart]]=4,Scharniere[[#This Row],[Gruppenschlüssel]]=select!$A$981)=TRUE,1,0)</f>
        <v>0</v>
      </c>
      <c r="W815" s="359">
        <f ca="1">IF(select!$O$1185&lt;6,1,0)</f>
        <v>1</v>
      </c>
      <c r="X815" s="359">
        <f>IF(select!$A$1012=IF(Scharniere[[#This Row],[mit Dämpfung]]=1,1,IF(Scharniere[[#This Row],[ohne Dämpfung]]=1,2,IF(Scharniere[[#This Row],[ohne Feder]]=1,3,0))),1,0)</f>
        <v>1</v>
      </c>
      <c r="Y815" s="359">
        <f>IF(Scharniere[[#This Row],[Bohrbild]]=select!$A$989,1,0)</f>
        <v>0</v>
      </c>
      <c r="Z815" s="359">
        <f>IF(IF(Scharniere[[#This Row],[Anschrauben]]=1,1,IF(Scharniere[[#This Row],[Einpressen]]=1,2,IF(Scharniere[[#This Row],[Quick]]=1,3,IF(Scharniere[[#This Row],[Werkzeuglos]]=1,4,0))))=select!$A$1003,1,0)</f>
        <v>1</v>
      </c>
      <c r="AA8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5" s="359">
        <f ca="1">IF(select!$K$980="*",Scharniere[[#This Row],[AG Ges2]],Scharniere[[#This Row],[AG Ges1]])</f>
        <v>0</v>
      </c>
      <c r="AE815" s="451">
        <f ca="1">IF(AND(Scharniere[[#This Row],[Scharnierart]]=select!$A$1485,Scharniere[[#This Row],[Gruppenschlüssel]]=select!$B$1485)=TRUE,1,0)</f>
        <v>0</v>
      </c>
      <c r="AF815" s="451">
        <f ca="1">IF(AND(Scharniere[[#This Row],[Scharnierart]]=select!$A$1486,Scharniere[[#This Row],[Gruppenschlüssel]]=select!$B$1486)=TRUE,1,0)</f>
        <v>0</v>
      </c>
      <c r="AG815" s="451">
        <f ca="1">IF(AND(Scharniere[[#This Row],[Scharnierart]]=select!$A$1487,Scharniere[[#This Row],[Gruppenschlüssel]]=select!$B$1487)=TRUE,1,0)</f>
        <v>0</v>
      </c>
      <c r="AH815" s="451">
        <f ca="1">IF(AND(Scharniere[[#This Row],[Scharnierart]]=select!$A$1488,Scharniere[[#This Row],[Gruppenschlüssel]]=select!$B$1488)=TRUE,1,0)</f>
        <v>0</v>
      </c>
      <c r="AI815" s="451">
        <f ca="1">IF(SUM(Scharniere[[#This Row],[konf Scharnier 1]:[konf Scharnier 4]])&gt;0,1,0)</f>
        <v>0</v>
      </c>
      <c r="AJ815" s="451"/>
      <c r="AK815" s="451"/>
      <c r="AL815" s="451"/>
      <c r="AM815" s="451"/>
      <c r="AN815" s="451"/>
      <c r="AO815" s="146">
        <v>2</v>
      </c>
      <c r="AP815" s="146">
        <v>3</v>
      </c>
      <c r="AQ815" s="71" t="str">
        <f ca="1">Sprache!$A$118</f>
        <v>Tiomos Scharnier T Click-on</v>
      </c>
      <c r="AR815" t="str">
        <f ca="1">"110/30°, M-BB, "&amp;Sprache!$A$58&amp;" ni"</f>
        <v>110/30°, M-BB, aufl. ni</v>
      </c>
      <c r="AS815" t="str">
        <f ca="1">Sprache!$A$103</f>
        <v>Tiomos Click-On Scharniere</v>
      </c>
      <c r="AT815" t="s">
        <v>1264</v>
      </c>
      <c r="AU815" s="34" t="s">
        <v>8</v>
      </c>
      <c r="AV815" t="s">
        <v>1489</v>
      </c>
      <c r="AW815" s="71">
        <v>0</v>
      </c>
      <c r="AX815">
        <v>1</v>
      </c>
      <c r="AY815">
        <v>0</v>
      </c>
      <c r="AZ815" s="71">
        <v>1</v>
      </c>
      <c r="BA815">
        <v>0</v>
      </c>
      <c r="BB815">
        <v>0</v>
      </c>
      <c r="BC815">
        <v>0</v>
      </c>
      <c r="BD815" s="144" t="s">
        <v>1615</v>
      </c>
      <c r="BF815" s="10"/>
      <c r="BG815"/>
    </row>
    <row r="816" spans="1:59" ht="14.25" customHeight="1" x14ac:dyDescent="0.25">
      <c r="A816" s="37" t="str">
        <f>LEFT(Scharniere[[#This Row],[ArtikelNR]],4)</f>
        <v>F046</v>
      </c>
      <c r="B816" s="35" t="str">
        <f>MID(Scharniere[[#This Row],[ArtikelNR]],5,3)</f>
        <v>138</v>
      </c>
      <c r="C816" s="37" t="str">
        <f>RIGHT(Scharniere[[#This Row],[ArtikelNR]],3)</f>
        <v>194</v>
      </c>
      <c r="D816" s="35">
        <f>IF(AND(Scharniere[[#This Row],[Gruppenschlüssel]]=select!$A$44,Scharniere[[#This Row],[Scharnierart]]=1)=TRUE,1,0)</f>
        <v>0</v>
      </c>
      <c r="E8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6" s="35">
        <f>IF(select!$F$57=IF(Scharniere[[#This Row],[mit Dämpfung]]=1,1,IF(Scharniere[[#This Row],[ohne Dämpfung]]=1,2,IF(Scharniere[[#This Row],[ohne Feder]]=1,3,0))),1,0)</f>
        <v>1</v>
      </c>
      <c r="G816" s="35">
        <f>IF(Scharniere[[#This Row],[Bohrbild]]=select!$V$43,1,0)</f>
        <v>1</v>
      </c>
      <c r="H816" s="35">
        <f>IF(IF(Scharniere[[#This Row],[Anschrauben]]=1,1,IF(Scharniere[[#This Row],[Einpressen]]=1,2,IF(Scharniere[[#This Row],[Quick]]=1,3,IF(Scharniere[[#This Row],[Werkzeuglos]]=1,4,0))))=select!$F$48,1,0)</f>
        <v>0</v>
      </c>
      <c r="I8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6" s="149">
        <f>IF(AND(Scharniere[[#This Row],[Scharnierart]]=2,Scharniere[[#This Row],[Gruppenschlüssel]]=select!$A$318)=TRUE,1,0)</f>
        <v>0</v>
      </c>
      <c r="K816" s="221">
        <f ca="1">IF(select!$O$424&lt;6,1,0)</f>
        <v>1</v>
      </c>
      <c r="L816" s="221">
        <f>IF(select!$A$362=IF(Scharniere[[#This Row],[mit Dämpfung]]=1,1,IF(Scharniere[[#This Row],[ohne Dämpfung]]=1,2,IF(Scharniere[[#This Row],[ohne Feder]]=1,3,0))),1,0)</f>
        <v>0</v>
      </c>
      <c r="M816" s="135">
        <f>IF(Scharniere[[#This Row],[Bohrbild]]=select!$O$334,1,0)</f>
        <v>1</v>
      </c>
      <c r="N816" s="135">
        <f>IF(IF(Scharniere[[#This Row],[Anschrauben]]=1,1,IF(Scharniere[[#This Row],[Einpressen]]=1,2,IF(Scharniere[[#This Row],[Quick]]=1,3,IF(Scharniere[[#This Row],[Werkzeuglos]]=1,4,0))))=select!$E$362,1,0)</f>
        <v>1</v>
      </c>
      <c r="O8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6" s="298">
        <f>IF(AND(Scharniere[[#This Row],[Scharnierart]]=3,Scharniere[[#This Row],[Gruppenschlüssel]]=select!$A$747)=TRUE,1,0)</f>
        <v>0</v>
      </c>
      <c r="Q816" s="298">
        <f ca="1">IF(select!$O$945&lt;6,1,0)</f>
        <v>1</v>
      </c>
      <c r="R816" s="298">
        <f>IF(select!$A$778=IF(Scharniere[[#This Row],[mit Dämpfung]]=1,1,IF(Scharniere[[#This Row],[ohne Dämpfung]]=1,2,IF(Scharniere[[#This Row],[ohne Feder]]=1,3,0))),1,0)</f>
        <v>0</v>
      </c>
      <c r="S816" s="298">
        <f>IF(Scharniere[[#This Row],[Bohrbild]]=select!$A$755,1,0)</f>
        <v>0</v>
      </c>
      <c r="T816" s="298">
        <f>IF(IF(Scharniere[[#This Row],[Anschrauben]]=1,1,IF(Scharniere[[#This Row],[Einpressen]]=1,2,IF(Scharniere[[#This Row],[Quick]]=1,3,IF(Scharniere[[#This Row],[Werkzeuglos]]=1,4,0))))=select!$A$769,1,0)</f>
        <v>1</v>
      </c>
      <c r="U8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6" s="359">
        <f>IF(AND(Scharniere[[#This Row],[Scharnierart]]=4,Scharniere[[#This Row],[Gruppenschlüssel]]=select!$A$981)=TRUE,1,0)</f>
        <v>0</v>
      </c>
      <c r="W816" s="359">
        <f ca="1">IF(select!$O$1185&lt;6,1,0)</f>
        <v>1</v>
      </c>
      <c r="X816" s="359">
        <f>IF(select!$A$1012=IF(Scharniere[[#This Row],[mit Dämpfung]]=1,1,IF(Scharniere[[#This Row],[ohne Dämpfung]]=1,2,IF(Scharniere[[#This Row],[ohne Feder]]=1,3,0))),1,0)</f>
        <v>0</v>
      </c>
      <c r="Y816" s="359">
        <f>IF(Scharniere[[#This Row],[Bohrbild]]=select!$A$989,1,0)</f>
        <v>0</v>
      </c>
      <c r="Z816" s="359">
        <f>IF(IF(Scharniere[[#This Row],[Anschrauben]]=1,1,IF(Scharniere[[#This Row],[Einpressen]]=1,2,IF(Scharniere[[#This Row],[Quick]]=1,3,IF(Scharniere[[#This Row],[Werkzeuglos]]=1,4,0))))=select!$A$1003,1,0)</f>
        <v>1</v>
      </c>
      <c r="AA8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6" s="359">
        <f ca="1">IF(select!$K$980="*",Scharniere[[#This Row],[AG Ges2]],Scharniere[[#This Row],[AG Ges1]])</f>
        <v>0</v>
      </c>
      <c r="AE816" s="451">
        <f ca="1">IF(AND(Scharniere[[#This Row],[Scharnierart]]=select!$A$1485,Scharniere[[#This Row],[Gruppenschlüssel]]=select!$B$1485)=TRUE,1,0)</f>
        <v>0</v>
      </c>
      <c r="AF816" s="451">
        <f ca="1">IF(AND(Scharniere[[#This Row],[Scharnierart]]=select!$A$1486,Scharniere[[#This Row],[Gruppenschlüssel]]=select!$B$1486)=TRUE,1,0)</f>
        <v>0</v>
      </c>
      <c r="AG816" s="451">
        <f ca="1">IF(AND(Scharniere[[#This Row],[Scharnierart]]=select!$A$1487,Scharniere[[#This Row],[Gruppenschlüssel]]=select!$B$1487)=TRUE,1,0)</f>
        <v>0</v>
      </c>
      <c r="AH816" s="451">
        <f ca="1">IF(AND(Scharniere[[#This Row],[Scharnierart]]=select!$A$1488,Scharniere[[#This Row],[Gruppenschlüssel]]=select!$B$1488)=TRUE,1,0)</f>
        <v>0</v>
      </c>
      <c r="AI816" s="451">
        <f ca="1">IF(SUM(Scharniere[[#This Row],[konf Scharnier 1]:[konf Scharnier 4]])&gt;0,1,0)</f>
        <v>0</v>
      </c>
      <c r="AJ816" s="451"/>
      <c r="AK816" s="451"/>
      <c r="AL816" s="451"/>
      <c r="AM816" s="451"/>
      <c r="AN816" s="451"/>
      <c r="AO816" s="146">
        <v>2</v>
      </c>
      <c r="AP816" s="146">
        <v>3</v>
      </c>
      <c r="AQ816" s="71" t="str">
        <f ca="1">Sprache!$A$114</f>
        <v>Tiomos Scharnier TT Click-on</v>
      </c>
      <c r="AR816" t="str">
        <f ca="1">"110/30°, M-BB, "&amp;Sprache!$A$58&amp;" ni"</f>
        <v>110/30°, M-BB, aufl. ni</v>
      </c>
      <c r="AS816" t="str">
        <f ca="1">Sprache!$A$103</f>
        <v>Tiomos Click-On Scharniere</v>
      </c>
      <c r="AT816" t="s">
        <v>1264</v>
      </c>
      <c r="AU816" t="s">
        <v>8</v>
      </c>
      <c r="AV816" t="s">
        <v>1489</v>
      </c>
      <c r="AW816" s="71">
        <v>0</v>
      </c>
      <c r="AX816">
        <v>0</v>
      </c>
      <c r="AY816">
        <v>1</v>
      </c>
      <c r="AZ816" s="71">
        <v>1</v>
      </c>
      <c r="BA816">
        <v>0</v>
      </c>
      <c r="BB816">
        <v>0</v>
      </c>
      <c r="BC816">
        <v>0</v>
      </c>
      <c r="BD816" s="144" t="s">
        <v>1700</v>
      </c>
      <c r="BF816" s="10"/>
      <c r="BG816"/>
    </row>
    <row r="817" spans="1:59" ht="14.25" customHeight="1" x14ac:dyDescent="0.25">
      <c r="A817" s="37" t="str">
        <f>LEFT(Scharniere[[#This Row],[ArtikelNR]],4)</f>
        <v>F017</v>
      </c>
      <c r="B817" s="35" t="str">
        <f>MID(Scharniere[[#This Row],[ArtikelNR]],5,3)</f>
        <v>139</v>
      </c>
      <c r="C817" s="37" t="str">
        <f>RIGHT(Scharniere[[#This Row],[ArtikelNR]],3)</f>
        <v>335</v>
      </c>
      <c r="D817" s="35">
        <f>IF(AND(Scharniere[[#This Row],[Gruppenschlüssel]]=select!$A$44,Scharniere[[#This Row],[Scharnierart]]=1)=TRUE,1,0)</f>
        <v>0</v>
      </c>
      <c r="E8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7" s="35">
        <f>IF(select!$F$57=IF(Scharniere[[#This Row],[mit Dämpfung]]=1,1,IF(Scharniere[[#This Row],[ohne Dämpfung]]=1,2,IF(Scharniere[[#This Row],[ohne Feder]]=1,3,0))),1,0)</f>
        <v>0</v>
      </c>
      <c r="G817" s="35">
        <f>IF(Scharniere[[#This Row],[Bohrbild]]=select!$V$43,1,0)</f>
        <v>1</v>
      </c>
      <c r="H817" s="35">
        <f>IF(IF(Scharniere[[#This Row],[Anschrauben]]=1,1,IF(Scharniere[[#This Row],[Einpressen]]=1,2,IF(Scharniere[[#This Row],[Quick]]=1,3,IF(Scharniere[[#This Row],[Werkzeuglos]]=1,4,0))))=select!$F$48,1,0)</f>
        <v>0</v>
      </c>
      <c r="I8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7" s="149">
        <f>IF(AND(Scharniere[[#This Row],[Scharnierart]]=2,Scharniere[[#This Row],[Gruppenschlüssel]]=select!$A$318)=TRUE,1,0)</f>
        <v>0</v>
      </c>
      <c r="K817" s="221">
        <f ca="1">IF(select!$O$424&lt;6,1,0)</f>
        <v>1</v>
      </c>
      <c r="L817" s="221">
        <f>IF(select!$A$362=IF(Scharniere[[#This Row],[mit Dämpfung]]=1,1,IF(Scharniere[[#This Row],[ohne Dämpfung]]=1,2,IF(Scharniere[[#This Row],[ohne Feder]]=1,3,0))),1,0)</f>
        <v>1</v>
      </c>
      <c r="M817" s="135">
        <f>IF(Scharniere[[#This Row],[Bohrbild]]=select!$O$334,1,0)</f>
        <v>1</v>
      </c>
      <c r="N817" s="135">
        <f>IF(IF(Scharniere[[#This Row],[Anschrauben]]=1,1,IF(Scharniere[[#This Row],[Einpressen]]=1,2,IF(Scharniere[[#This Row],[Quick]]=1,3,IF(Scharniere[[#This Row],[Werkzeuglos]]=1,4,0))))=select!$E$362,1,0)</f>
        <v>0</v>
      </c>
      <c r="O8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7" s="298">
        <f>IF(AND(Scharniere[[#This Row],[Scharnierart]]=3,Scharniere[[#This Row],[Gruppenschlüssel]]=select!$A$747)=TRUE,1,0)</f>
        <v>0</v>
      </c>
      <c r="Q817" s="298">
        <f ca="1">IF(select!$O$945&lt;6,1,0)</f>
        <v>1</v>
      </c>
      <c r="R817" s="298">
        <f>IF(select!$A$778=IF(Scharniere[[#This Row],[mit Dämpfung]]=1,1,IF(Scharniere[[#This Row],[ohne Dämpfung]]=1,2,IF(Scharniere[[#This Row],[ohne Feder]]=1,3,0))),1,0)</f>
        <v>0</v>
      </c>
      <c r="S817" s="298">
        <f>IF(Scharniere[[#This Row],[Bohrbild]]=select!$A$755,1,0)</f>
        <v>0</v>
      </c>
      <c r="T817" s="298">
        <f>IF(IF(Scharniere[[#This Row],[Anschrauben]]=1,1,IF(Scharniere[[#This Row],[Einpressen]]=1,2,IF(Scharniere[[#This Row],[Quick]]=1,3,IF(Scharniere[[#This Row],[Werkzeuglos]]=1,4,0))))=select!$A$769,1,0)</f>
        <v>0</v>
      </c>
      <c r="U8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7" s="359">
        <f>IF(AND(Scharniere[[#This Row],[Scharnierart]]=4,Scharniere[[#This Row],[Gruppenschlüssel]]=select!$A$981)=TRUE,1,0)</f>
        <v>0</v>
      </c>
      <c r="W817" s="359">
        <f ca="1">IF(select!$O$1185&lt;6,1,0)</f>
        <v>1</v>
      </c>
      <c r="X817" s="359">
        <f>IF(select!$A$1012=IF(Scharniere[[#This Row],[mit Dämpfung]]=1,1,IF(Scharniere[[#This Row],[ohne Dämpfung]]=1,2,IF(Scharniere[[#This Row],[ohne Feder]]=1,3,0))),1,0)</f>
        <v>0</v>
      </c>
      <c r="Y817" s="359">
        <f>IF(Scharniere[[#This Row],[Bohrbild]]=select!$A$989,1,0)</f>
        <v>0</v>
      </c>
      <c r="Z817" s="359">
        <f>IF(IF(Scharniere[[#This Row],[Anschrauben]]=1,1,IF(Scharniere[[#This Row],[Einpressen]]=1,2,IF(Scharniere[[#This Row],[Quick]]=1,3,IF(Scharniere[[#This Row],[Werkzeuglos]]=1,4,0))))=select!$A$1003,1,0)</f>
        <v>0</v>
      </c>
      <c r="AA8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7" s="359">
        <f ca="1">IF(select!$K$980="*",Scharniere[[#This Row],[AG Ges2]],Scharniere[[#This Row],[AG Ges1]])</f>
        <v>0</v>
      </c>
      <c r="AE817" s="451">
        <f ca="1">IF(AND(Scharniere[[#This Row],[Scharnierart]]=select!$A$1485,Scharniere[[#This Row],[Gruppenschlüssel]]=select!$B$1485)=TRUE,1,0)</f>
        <v>0</v>
      </c>
      <c r="AF817" s="451">
        <f ca="1">IF(AND(Scharniere[[#This Row],[Scharnierart]]=select!$A$1486,Scharniere[[#This Row],[Gruppenschlüssel]]=select!$B$1486)=TRUE,1,0)</f>
        <v>0</v>
      </c>
      <c r="AG817" s="451">
        <f ca="1">IF(AND(Scharniere[[#This Row],[Scharnierart]]=select!$A$1487,Scharniere[[#This Row],[Gruppenschlüssel]]=select!$B$1487)=TRUE,1,0)</f>
        <v>0</v>
      </c>
      <c r="AH817" s="451">
        <f ca="1">IF(AND(Scharniere[[#This Row],[Scharnierart]]=select!$A$1488,Scharniere[[#This Row],[Gruppenschlüssel]]=select!$B$1488)=TRUE,1,0)</f>
        <v>0</v>
      </c>
      <c r="AI817" s="451">
        <f ca="1">IF(SUM(Scharniere[[#This Row],[konf Scharnier 1]:[konf Scharnier 4]])&gt;0,1,0)</f>
        <v>0</v>
      </c>
      <c r="AJ817" s="451"/>
      <c r="AK817" s="451"/>
      <c r="AL817" s="451"/>
      <c r="AM817" s="451"/>
      <c r="AN817" s="451"/>
      <c r="AO817" s="146">
        <v>2</v>
      </c>
      <c r="AP817" s="146">
        <v>3</v>
      </c>
      <c r="AQ817" s="71" t="str">
        <f ca="1">Sprache!$A$113</f>
        <v>Tiomos Scharnier TS Impresso</v>
      </c>
      <c r="AR817" t="str">
        <f ca="1">"110/30°, MB-BB, "&amp;Sprache!$A$58&amp;" ni"</f>
        <v>110/30°, MB-BB, aufl. ni</v>
      </c>
      <c r="AS817" t="str">
        <f ca="1">Sprache!$A$116</f>
        <v>Tiomos Impresso Scharniere</v>
      </c>
      <c r="AT817" t="s">
        <v>1264</v>
      </c>
      <c r="AU817" s="34" t="s">
        <v>8</v>
      </c>
      <c r="AV817" t="s">
        <v>1489</v>
      </c>
      <c r="AW817" s="71">
        <v>1</v>
      </c>
      <c r="AX817">
        <v>0</v>
      </c>
      <c r="AY817">
        <v>0</v>
      </c>
      <c r="AZ817" s="71">
        <v>0</v>
      </c>
      <c r="BA817">
        <v>0</v>
      </c>
      <c r="BB817">
        <v>0</v>
      </c>
      <c r="BC817">
        <v>1</v>
      </c>
      <c r="BD817" s="144" t="s">
        <v>1490</v>
      </c>
      <c r="BF817" s="10"/>
      <c r="BG817"/>
    </row>
    <row r="818" spans="1:59" ht="14.25" customHeight="1" x14ac:dyDescent="0.25">
      <c r="A818" s="37" t="str">
        <f>LEFT(Scharniere[[#This Row],[ArtikelNR]],4)</f>
        <v>F017</v>
      </c>
      <c r="B818" s="35" t="str">
        <f>MID(Scharniere[[#This Row],[ArtikelNR]],5,3)</f>
        <v>139</v>
      </c>
      <c r="C818" s="37" t="str">
        <f>RIGHT(Scharniere[[#This Row],[ArtikelNR]],3)</f>
        <v>335</v>
      </c>
      <c r="D818" s="35">
        <f>IF(AND(Scharniere[[#This Row],[Gruppenschlüssel]]=select!$A$44,Scharniere[[#This Row],[Scharnierart]]=1)=TRUE,1,0)</f>
        <v>0</v>
      </c>
      <c r="E8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8" s="35">
        <f>IF(select!$F$57=IF(Scharniere[[#This Row],[mit Dämpfung]]=1,1,IF(Scharniere[[#This Row],[ohne Dämpfung]]=1,2,IF(Scharniere[[#This Row],[ohne Feder]]=1,3,0))),1,0)</f>
        <v>0</v>
      </c>
      <c r="G818" s="35">
        <f>IF(Scharniere[[#This Row],[Bohrbild]]=select!$V$43,1,0)</f>
        <v>0</v>
      </c>
      <c r="H818" s="35">
        <f>IF(IF(Scharniere[[#This Row],[Anschrauben]]=1,1,IF(Scharniere[[#This Row],[Einpressen]]=1,2,IF(Scharniere[[#This Row],[Quick]]=1,3,IF(Scharniere[[#This Row],[Werkzeuglos]]=1,4,0))))=select!$F$48,1,0)</f>
        <v>0</v>
      </c>
      <c r="I8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8" s="149">
        <f>IF(AND(Scharniere[[#This Row],[Scharnierart]]=2,Scharniere[[#This Row],[Gruppenschlüssel]]=select!$A$318)=TRUE,1,0)</f>
        <v>0</v>
      </c>
      <c r="K818" s="221">
        <f ca="1">IF(select!$O$424&lt;6,1,0)</f>
        <v>1</v>
      </c>
      <c r="L818" s="221">
        <f>IF(select!$A$362=IF(Scharniere[[#This Row],[mit Dämpfung]]=1,1,IF(Scharniere[[#This Row],[ohne Dämpfung]]=1,2,IF(Scharniere[[#This Row],[ohne Feder]]=1,3,0))),1,0)</f>
        <v>1</v>
      </c>
      <c r="M818" s="135">
        <f>IF(Scharniere[[#This Row],[Bohrbild]]=select!$O$334,1,0)</f>
        <v>0</v>
      </c>
      <c r="N818" s="135">
        <f>IF(IF(Scharniere[[#This Row],[Anschrauben]]=1,1,IF(Scharniere[[#This Row],[Einpressen]]=1,2,IF(Scharniere[[#This Row],[Quick]]=1,3,IF(Scharniere[[#This Row],[Werkzeuglos]]=1,4,0))))=select!$E$362,1,0)</f>
        <v>0</v>
      </c>
      <c r="O8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8" s="298">
        <f>IF(AND(Scharniere[[#This Row],[Scharnierart]]=3,Scharniere[[#This Row],[Gruppenschlüssel]]=select!$A$747)=TRUE,1,0)</f>
        <v>0</v>
      </c>
      <c r="Q818" s="298">
        <f ca="1">IF(select!$O$945&lt;6,1,0)</f>
        <v>1</v>
      </c>
      <c r="R818" s="298">
        <f>IF(select!$A$778=IF(Scharniere[[#This Row],[mit Dämpfung]]=1,1,IF(Scharniere[[#This Row],[ohne Dämpfung]]=1,2,IF(Scharniere[[#This Row],[ohne Feder]]=1,3,0))),1,0)</f>
        <v>0</v>
      </c>
      <c r="S818" s="298">
        <f>IF(Scharniere[[#This Row],[Bohrbild]]=select!$A$755,1,0)</f>
        <v>0</v>
      </c>
      <c r="T818" s="298">
        <f>IF(IF(Scharniere[[#This Row],[Anschrauben]]=1,1,IF(Scharniere[[#This Row],[Einpressen]]=1,2,IF(Scharniere[[#This Row],[Quick]]=1,3,IF(Scharniere[[#This Row],[Werkzeuglos]]=1,4,0))))=select!$A$769,1,0)</f>
        <v>0</v>
      </c>
      <c r="U8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8" s="359">
        <f>IF(AND(Scharniere[[#This Row],[Scharnierart]]=4,Scharniere[[#This Row],[Gruppenschlüssel]]=select!$A$981)=TRUE,1,0)</f>
        <v>0</v>
      </c>
      <c r="W818" s="359">
        <f ca="1">IF(select!$O$1185&lt;6,1,0)</f>
        <v>1</v>
      </c>
      <c r="X818" s="359">
        <f>IF(select!$A$1012=IF(Scharniere[[#This Row],[mit Dämpfung]]=1,1,IF(Scharniere[[#This Row],[ohne Dämpfung]]=1,2,IF(Scharniere[[#This Row],[ohne Feder]]=1,3,0))),1,0)</f>
        <v>0</v>
      </c>
      <c r="Y818" s="359">
        <f>IF(Scharniere[[#This Row],[Bohrbild]]=select!$A$989,1,0)</f>
        <v>0</v>
      </c>
      <c r="Z818" s="359">
        <f>IF(IF(Scharniere[[#This Row],[Anschrauben]]=1,1,IF(Scharniere[[#This Row],[Einpressen]]=1,2,IF(Scharniere[[#This Row],[Quick]]=1,3,IF(Scharniere[[#This Row],[Werkzeuglos]]=1,4,0))))=select!$A$1003,1,0)</f>
        <v>0</v>
      </c>
      <c r="AA8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8" s="359">
        <f ca="1">IF(select!$K$980="*",Scharniere[[#This Row],[AG Ges2]],Scharniere[[#This Row],[AG Ges1]])</f>
        <v>0</v>
      </c>
      <c r="AE818" s="451">
        <f ca="1">IF(AND(Scharniere[[#This Row],[Scharnierart]]=select!$A$1485,Scharniere[[#This Row],[Gruppenschlüssel]]=select!$B$1485)=TRUE,1,0)</f>
        <v>0</v>
      </c>
      <c r="AF818" s="451">
        <f ca="1">IF(AND(Scharniere[[#This Row],[Scharnierart]]=select!$A$1486,Scharniere[[#This Row],[Gruppenschlüssel]]=select!$B$1486)=TRUE,1,0)</f>
        <v>0</v>
      </c>
      <c r="AG818" s="451">
        <f ca="1">IF(AND(Scharniere[[#This Row],[Scharnierart]]=select!$A$1487,Scharniere[[#This Row],[Gruppenschlüssel]]=select!$B$1487)=TRUE,1,0)</f>
        <v>0</v>
      </c>
      <c r="AH818" s="451">
        <f ca="1">IF(AND(Scharniere[[#This Row],[Scharnierart]]=select!$A$1488,Scharniere[[#This Row],[Gruppenschlüssel]]=select!$B$1488)=TRUE,1,0)</f>
        <v>0</v>
      </c>
      <c r="AI818" s="451">
        <f ca="1">IF(SUM(Scharniere[[#This Row],[konf Scharnier 1]:[konf Scharnier 4]])&gt;0,1,0)</f>
        <v>0</v>
      </c>
      <c r="AJ818" s="451"/>
      <c r="AK818" s="451"/>
      <c r="AL818" s="451"/>
      <c r="AM818" s="451"/>
      <c r="AN818" s="451"/>
      <c r="AO818" s="146">
        <v>2</v>
      </c>
      <c r="AP818" s="146">
        <v>3</v>
      </c>
      <c r="AQ818" s="71" t="str">
        <f ca="1">Sprache!$A$113</f>
        <v>Tiomos Scharnier TS Impresso</v>
      </c>
      <c r="AR818" t="str">
        <f ca="1">"110/30°, MB-BB, "&amp;Sprache!$A$58&amp;" ni"</f>
        <v>110/30°, MB-BB, aufl. ni</v>
      </c>
      <c r="AS818" t="str">
        <f ca="1">Sprache!$A$116</f>
        <v>Tiomos Impresso Scharniere</v>
      </c>
      <c r="AT818" t="s">
        <v>1264</v>
      </c>
      <c r="AU818" s="34" t="s">
        <v>3</v>
      </c>
      <c r="AV818" t="s">
        <v>1489</v>
      </c>
      <c r="AW818" s="71">
        <v>1</v>
      </c>
      <c r="AX818">
        <v>0</v>
      </c>
      <c r="AY818">
        <v>0</v>
      </c>
      <c r="AZ818" s="71">
        <v>0</v>
      </c>
      <c r="BA818">
        <v>0</v>
      </c>
      <c r="BB818">
        <v>0</v>
      </c>
      <c r="BC818">
        <v>1</v>
      </c>
      <c r="BD818" s="144" t="s">
        <v>1490</v>
      </c>
      <c r="BF818" s="10"/>
      <c r="BG818"/>
    </row>
    <row r="819" spans="1:59" ht="14.25" customHeight="1" x14ac:dyDescent="0.25">
      <c r="A819" s="37" t="str">
        <f>LEFT(Scharniere[[#This Row],[ArtikelNR]],4)</f>
        <v>F034</v>
      </c>
      <c r="B819" s="35" t="str">
        <f>MID(Scharniere[[#This Row],[ArtikelNR]],5,3)</f>
        <v>139</v>
      </c>
      <c r="C819" s="37" t="str">
        <f>RIGHT(Scharniere[[#This Row],[ArtikelNR]],3)</f>
        <v>306</v>
      </c>
      <c r="D819" s="35">
        <f>IF(AND(Scharniere[[#This Row],[Gruppenschlüssel]]=select!$A$44,Scharniere[[#This Row],[Scharnierart]]=1)=TRUE,1,0)</f>
        <v>0</v>
      </c>
      <c r="E8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19" s="35">
        <f>IF(select!$F$57=IF(Scharniere[[#This Row],[mit Dämpfung]]=1,1,IF(Scharniere[[#This Row],[ohne Dämpfung]]=1,2,IF(Scharniere[[#This Row],[ohne Feder]]=1,3,0))),1,0)</f>
        <v>0</v>
      </c>
      <c r="G819" s="35">
        <f>IF(Scharniere[[#This Row],[Bohrbild]]=select!$V$43,1,0)</f>
        <v>1</v>
      </c>
      <c r="H819" s="35">
        <f>IF(IF(Scharniere[[#This Row],[Anschrauben]]=1,1,IF(Scharniere[[#This Row],[Einpressen]]=1,2,IF(Scharniere[[#This Row],[Quick]]=1,3,IF(Scharniere[[#This Row],[Werkzeuglos]]=1,4,0))))=select!$F$48,1,0)</f>
        <v>0</v>
      </c>
      <c r="I8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19" s="149">
        <f>IF(AND(Scharniere[[#This Row],[Scharnierart]]=2,Scharniere[[#This Row],[Gruppenschlüssel]]=select!$A$318)=TRUE,1,0)</f>
        <v>0</v>
      </c>
      <c r="K819" s="221">
        <f ca="1">IF(select!$O$424&lt;6,1,0)</f>
        <v>1</v>
      </c>
      <c r="L819" s="221">
        <f>IF(select!$A$362=IF(Scharniere[[#This Row],[mit Dämpfung]]=1,1,IF(Scharniere[[#This Row],[ohne Dämpfung]]=1,2,IF(Scharniere[[#This Row],[ohne Feder]]=1,3,0))),1,0)</f>
        <v>0</v>
      </c>
      <c r="M819" s="135">
        <f>IF(Scharniere[[#This Row],[Bohrbild]]=select!$O$334,1,0)</f>
        <v>1</v>
      </c>
      <c r="N819" s="135">
        <f>IF(IF(Scharniere[[#This Row],[Anschrauben]]=1,1,IF(Scharniere[[#This Row],[Einpressen]]=1,2,IF(Scharniere[[#This Row],[Quick]]=1,3,IF(Scharniere[[#This Row],[Werkzeuglos]]=1,4,0))))=select!$E$362,1,0)</f>
        <v>0</v>
      </c>
      <c r="O8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19" s="298">
        <f>IF(AND(Scharniere[[#This Row],[Scharnierart]]=3,Scharniere[[#This Row],[Gruppenschlüssel]]=select!$A$747)=TRUE,1,0)</f>
        <v>0</v>
      </c>
      <c r="Q819" s="298">
        <f ca="1">IF(select!$O$945&lt;6,1,0)</f>
        <v>1</v>
      </c>
      <c r="R819" s="298">
        <f>IF(select!$A$778=IF(Scharniere[[#This Row],[mit Dämpfung]]=1,1,IF(Scharniere[[#This Row],[ohne Dämpfung]]=1,2,IF(Scharniere[[#This Row],[ohne Feder]]=1,3,0))),1,0)</f>
        <v>1</v>
      </c>
      <c r="S819" s="298">
        <f>IF(Scharniere[[#This Row],[Bohrbild]]=select!$A$755,1,0)</f>
        <v>0</v>
      </c>
      <c r="T819" s="298">
        <f>IF(IF(Scharniere[[#This Row],[Anschrauben]]=1,1,IF(Scharniere[[#This Row],[Einpressen]]=1,2,IF(Scharniere[[#This Row],[Quick]]=1,3,IF(Scharniere[[#This Row],[Werkzeuglos]]=1,4,0))))=select!$A$769,1,0)</f>
        <v>0</v>
      </c>
      <c r="U8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19" s="359">
        <f>IF(AND(Scharniere[[#This Row],[Scharnierart]]=4,Scharniere[[#This Row],[Gruppenschlüssel]]=select!$A$981)=TRUE,1,0)</f>
        <v>0</v>
      </c>
      <c r="W819" s="359">
        <f ca="1">IF(select!$O$1185&lt;6,1,0)</f>
        <v>1</v>
      </c>
      <c r="X819" s="359">
        <f>IF(select!$A$1012=IF(Scharniere[[#This Row],[mit Dämpfung]]=1,1,IF(Scharniere[[#This Row],[ohne Dämpfung]]=1,2,IF(Scharniere[[#This Row],[ohne Feder]]=1,3,0))),1,0)</f>
        <v>1</v>
      </c>
      <c r="Y819" s="359">
        <f>IF(Scharniere[[#This Row],[Bohrbild]]=select!$A$989,1,0)</f>
        <v>0</v>
      </c>
      <c r="Z819" s="359">
        <f>IF(IF(Scharniere[[#This Row],[Anschrauben]]=1,1,IF(Scharniere[[#This Row],[Einpressen]]=1,2,IF(Scharniere[[#This Row],[Quick]]=1,3,IF(Scharniere[[#This Row],[Werkzeuglos]]=1,4,0))))=select!$A$1003,1,0)</f>
        <v>0</v>
      </c>
      <c r="AA8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19" s="359">
        <f ca="1">IF(select!$K$980="*",Scharniere[[#This Row],[AG Ges2]],Scharniere[[#This Row],[AG Ges1]])</f>
        <v>0</v>
      </c>
      <c r="AE819" s="451">
        <f ca="1">IF(AND(Scharniere[[#This Row],[Scharnierart]]=select!$A$1485,Scharniere[[#This Row],[Gruppenschlüssel]]=select!$B$1485)=TRUE,1,0)</f>
        <v>0</v>
      </c>
      <c r="AF819" s="451">
        <f ca="1">IF(AND(Scharniere[[#This Row],[Scharnierart]]=select!$A$1486,Scharniere[[#This Row],[Gruppenschlüssel]]=select!$B$1486)=TRUE,1,0)</f>
        <v>0</v>
      </c>
      <c r="AG819" s="451">
        <f ca="1">IF(AND(Scharniere[[#This Row],[Scharnierart]]=select!$A$1487,Scharniere[[#This Row],[Gruppenschlüssel]]=select!$B$1487)=TRUE,1,0)</f>
        <v>0</v>
      </c>
      <c r="AH819" s="451">
        <f ca="1">IF(AND(Scharniere[[#This Row],[Scharnierart]]=select!$A$1488,Scharniere[[#This Row],[Gruppenschlüssel]]=select!$B$1488)=TRUE,1,0)</f>
        <v>0</v>
      </c>
      <c r="AI819" s="451">
        <f ca="1">IF(SUM(Scharniere[[#This Row],[konf Scharnier 1]:[konf Scharnier 4]])&gt;0,1,0)</f>
        <v>0</v>
      </c>
      <c r="AJ819" s="451"/>
      <c r="AK819" s="451"/>
      <c r="AL819" s="451"/>
      <c r="AM819" s="451"/>
      <c r="AN819" s="451"/>
      <c r="AO819" s="146">
        <v>2</v>
      </c>
      <c r="AP819" s="146">
        <v>3</v>
      </c>
      <c r="AQ819" s="71" t="str">
        <f ca="1">Sprache!$A$119</f>
        <v>Tiomos Scharnier T Impresso</v>
      </c>
      <c r="AR819" t="str">
        <f ca="1">"110/30°, MB-BB, "&amp;Sprache!$A$58&amp;" ni"</f>
        <v>110/30°, MB-BB, aufl. ni</v>
      </c>
      <c r="AS819" t="str">
        <f ca="1">Sprache!$A$103</f>
        <v>Tiomos Click-On Scharniere</v>
      </c>
      <c r="AT819" t="s">
        <v>1264</v>
      </c>
      <c r="AU819" t="s">
        <v>8</v>
      </c>
      <c r="AV819" t="s">
        <v>1489</v>
      </c>
      <c r="AW819" s="71">
        <v>0</v>
      </c>
      <c r="AX819">
        <v>1</v>
      </c>
      <c r="AY819">
        <v>0</v>
      </c>
      <c r="AZ819" s="71">
        <v>0</v>
      </c>
      <c r="BA819">
        <v>0</v>
      </c>
      <c r="BB819">
        <v>0</v>
      </c>
      <c r="BC819">
        <v>1</v>
      </c>
      <c r="BD819" s="144" t="s">
        <v>1600</v>
      </c>
      <c r="BF819" s="10"/>
      <c r="BG819"/>
    </row>
    <row r="820" spans="1:59" ht="14.25" customHeight="1" x14ac:dyDescent="0.25">
      <c r="A820" s="37" t="str">
        <f>LEFT(Scharniere[[#This Row],[ArtikelNR]],4)</f>
        <v>F034</v>
      </c>
      <c r="B820" s="35" t="str">
        <f>MID(Scharniere[[#This Row],[ArtikelNR]],5,3)</f>
        <v>139</v>
      </c>
      <c r="C820" s="37" t="str">
        <f>RIGHT(Scharniere[[#This Row],[ArtikelNR]],3)</f>
        <v>306</v>
      </c>
      <c r="D820" s="35">
        <f>IF(AND(Scharniere[[#This Row],[Gruppenschlüssel]]=select!$A$44,Scharniere[[#This Row],[Scharnierart]]=1)=TRUE,1,0)</f>
        <v>0</v>
      </c>
      <c r="E8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0" s="35">
        <f>IF(select!$F$57=IF(Scharniere[[#This Row],[mit Dämpfung]]=1,1,IF(Scharniere[[#This Row],[ohne Dämpfung]]=1,2,IF(Scharniere[[#This Row],[ohne Feder]]=1,3,0))),1,0)</f>
        <v>0</v>
      </c>
      <c r="G820" s="35">
        <f>IF(Scharniere[[#This Row],[Bohrbild]]=select!$V$43,1,0)</f>
        <v>0</v>
      </c>
      <c r="H820" s="35">
        <f>IF(IF(Scharniere[[#This Row],[Anschrauben]]=1,1,IF(Scharniere[[#This Row],[Einpressen]]=1,2,IF(Scharniere[[#This Row],[Quick]]=1,3,IF(Scharniere[[#This Row],[Werkzeuglos]]=1,4,0))))=select!$F$48,1,0)</f>
        <v>0</v>
      </c>
      <c r="I8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0" s="149">
        <f>IF(AND(Scharniere[[#This Row],[Scharnierart]]=2,Scharniere[[#This Row],[Gruppenschlüssel]]=select!$A$318)=TRUE,1,0)</f>
        <v>0</v>
      </c>
      <c r="K820" s="221">
        <f ca="1">IF(select!$O$424&lt;6,1,0)</f>
        <v>1</v>
      </c>
      <c r="L820" s="221">
        <f>IF(select!$A$362=IF(Scharniere[[#This Row],[mit Dämpfung]]=1,1,IF(Scharniere[[#This Row],[ohne Dämpfung]]=1,2,IF(Scharniere[[#This Row],[ohne Feder]]=1,3,0))),1,0)</f>
        <v>0</v>
      </c>
      <c r="M820" s="135">
        <f>IF(Scharniere[[#This Row],[Bohrbild]]=select!$O$334,1,0)</f>
        <v>0</v>
      </c>
      <c r="N820" s="135">
        <f>IF(IF(Scharniere[[#This Row],[Anschrauben]]=1,1,IF(Scharniere[[#This Row],[Einpressen]]=1,2,IF(Scharniere[[#This Row],[Quick]]=1,3,IF(Scharniere[[#This Row],[Werkzeuglos]]=1,4,0))))=select!$E$362,1,0)</f>
        <v>0</v>
      </c>
      <c r="O8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0" s="298">
        <f>IF(AND(Scharniere[[#This Row],[Scharnierart]]=3,Scharniere[[#This Row],[Gruppenschlüssel]]=select!$A$747)=TRUE,1,0)</f>
        <v>0</v>
      </c>
      <c r="Q820" s="298">
        <f ca="1">IF(select!$O$945&lt;6,1,0)</f>
        <v>1</v>
      </c>
      <c r="R820" s="298">
        <f>IF(select!$A$778=IF(Scharniere[[#This Row],[mit Dämpfung]]=1,1,IF(Scharniere[[#This Row],[ohne Dämpfung]]=1,2,IF(Scharniere[[#This Row],[ohne Feder]]=1,3,0))),1,0)</f>
        <v>1</v>
      </c>
      <c r="S820" s="298">
        <f>IF(Scharniere[[#This Row],[Bohrbild]]=select!$A$755,1,0)</f>
        <v>0</v>
      </c>
      <c r="T820" s="298">
        <f>IF(IF(Scharniere[[#This Row],[Anschrauben]]=1,1,IF(Scharniere[[#This Row],[Einpressen]]=1,2,IF(Scharniere[[#This Row],[Quick]]=1,3,IF(Scharniere[[#This Row],[Werkzeuglos]]=1,4,0))))=select!$A$769,1,0)</f>
        <v>0</v>
      </c>
      <c r="U8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0" s="359">
        <f>IF(AND(Scharniere[[#This Row],[Scharnierart]]=4,Scharniere[[#This Row],[Gruppenschlüssel]]=select!$A$981)=TRUE,1,0)</f>
        <v>0</v>
      </c>
      <c r="W820" s="359">
        <f ca="1">IF(select!$O$1185&lt;6,1,0)</f>
        <v>1</v>
      </c>
      <c r="X820" s="359">
        <f>IF(select!$A$1012=IF(Scharniere[[#This Row],[mit Dämpfung]]=1,1,IF(Scharniere[[#This Row],[ohne Dämpfung]]=1,2,IF(Scharniere[[#This Row],[ohne Feder]]=1,3,0))),1,0)</f>
        <v>1</v>
      </c>
      <c r="Y820" s="359">
        <f>IF(Scharniere[[#This Row],[Bohrbild]]=select!$A$989,1,0)</f>
        <v>0</v>
      </c>
      <c r="Z820" s="359">
        <f>IF(IF(Scharniere[[#This Row],[Anschrauben]]=1,1,IF(Scharniere[[#This Row],[Einpressen]]=1,2,IF(Scharniere[[#This Row],[Quick]]=1,3,IF(Scharniere[[#This Row],[Werkzeuglos]]=1,4,0))))=select!$A$1003,1,0)</f>
        <v>0</v>
      </c>
      <c r="AA8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0" s="359">
        <f ca="1">IF(select!$K$980="*",Scharniere[[#This Row],[AG Ges2]],Scharniere[[#This Row],[AG Ges1]])</f>
        <v>0</v>
      </c>
      <c r="AE820" s="451">
        <f ca="1">IF(AND(Scharniere[[#This Row],[Scharnierart]]=select!$A$1485,Scharniere[[#This Row],[Gruppenschlüssel]]=select!$B$1485)=TRUE,1,0)</f>
        <v>0</v>
      </c>
      <c r="AF820" s="451">
        <f ca="1">IF(AND(Scharniere[[#This Row],[Scharnierart]]=select!$A$1486,Scharniere[[#This Row],[Gruppenschlüssel]]=select!$B$1486)=TRUE,1,0)</f>
        <v>0</v>
      </c>
      <c r="AG820" s="451">
        <f ca="1">IF(AND(Scharniere[[#This Row],[Scharnierart]]=select!$A$1487,Scharniere[[#This Row],[Gruppenschlüssel]]=select!$B$1487)=TRUE,1,0)</f>
        <v>0</v>
      </c>
      <c r="AH820" s="451">
        <f ca="1">IF(AND(Scharniere[[#This Row],[Scharnierart]]=select!$A$1488,Scharniere[[#This Row],[Gruppenschlüssel]]=select!$B$1488)=TRUE,1,0)</f>
        <v>0</v>
      </c>
      <c r="AI820" s="451">
        <f ca="1">IF(SUM(Scharniere[[#This Row],[konf Scharnier 1]:[konf Scharnier 4]])&gt;0,1,0)</f>
        <v>0</v>
      </c>
      <c r="AJ820" s="451"/>
      <c r="AK820" s="451"/>
      <c r="AL820" s="451"/>
      <c r="AM820" s="451"/>
      <c r="AN820" s="451"/>
      <c r="AO820" s="146">
        <v>2</v>
      </c>
      <c r="AP820" s="146">
        <v>3</v>
      </c>
      <c r="AQ820" s="71" t="str">
        <f ca="1">Sprache!$A$119</f>
        <v>Tiomos Scharnier T Impresso</v>
      </c>
      <c r="AR820" t="str">
        <f ca="1">"110/30°, MB-BB, "&amp;Sprache!$A$58&amp;" ni"</f>
        <v>110/30°, MB-BB, aufl. ni</v>
      </c>
      <c r="AS820" t="str">
        <f ca="1">Sprache!$A$103</f>
        <v>Tiomos Click-On Scharniere</v>
      </c>
      <c r="AT820" t="s">
        <v>1264</v>
      </c>
      <c r="AU820" t="s">
        <v>3</v>
      </c>
      <c r="AV820" t="s">
        <v>1489</v>
      </c>
      <c r="AW820" s="71">
        <v>0</v>
      </c>
      <c r="AX820">
        <v>1</v>
      </c>
      <c r="AY820">
        <v>0</v>
      </c>
      <c r="AZ820" s="71">
        <v>0</v>
      </c>
      <c r="BA820">
        <v>0</v>
      </c>
      <c r="BB820">
        <v>0</v>
      </c>
      <c r="BC820">
        <v>1</v>
      </c>
      <c r="BD820" s="144" t="s">
        <v>1600</v>
      </c>
      <c r="BF820" s="10"/>
      <c r="BG820"/>
    </row>
    <row r="821" spans="1:59" ht="14.25" customHeight="1" x14ac:dyDescent="0.25">
      <c r="A821" s="37" t="str">
        <f>LEFT(Scharniere[[#This Row],[ArtikelNR]],4)</f>
        <v>F028</v>
      </c>
      <c r="B821" s="35" t="str">
        <f>MID(Scharniere[[#This Row],[ArtikelNR]],5,3)</f>
        <v>138</v>
      </c>
      <c r="C821" s="37" t="str">
        <f>RIGHT(Scharniere[[#This Row],[ArtikelNR]],3)</f>
        <v>893</v>
      </c>
      <c r="D821" s="35">
        <f>IF(AND(Scharniere[[#This Row],[Gruppenschlüssel]]=select!$A$44,Scharniere[[#This Row],[Scharnierart]]=1)=TRUE,1,0)</f>
        <v>0</v>
      </c>
      <c r="E8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1" s="35">
        <f>IF(select!$F$57=IF(Scharniere[[#This Row],[mit Dämpfung]]=1,1,IF(Scharniere[[#This Row],[ohne Dämpfung]]=1,2,IF(Scharniere[[#This Row],[ohne Feder]]=1,3,0))),1,0)</f>
        <v>0</v>
      </c>
      <c r="G821" s="35">
        <f>IF(Scharniere[[#This Row],[Bohrbild]]=select!$V$43,1,0)</f>
        <v>0</v>
      </c>
      <c r="H821" s="35">
        <f>IF(IF(Scharniere[[#This Row],[Anschrauben]]=1,1,IF(Scharniere[[#This Row],[Einpressen]]=1,2,IF(Scharniere[[#This Row],[Quick]]=1,3,IF(Scharniere[[#This Row],[Werkzeuglos]]=1,4,0))))=select!$F$48,1,0)</f>
        <v>0</v>
      </c>
      <c r="I8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1" s="149">
        <f>IF(AND(Scharniere[[#This Row],[Scharnierart]]=2,Scharniere[[#This Row],[Gruppenschlüssel]]=select!$A$318)=TRUE,1,0)</f>
        <v>0</v>
      </c>
      <c r="K821" s="221">
        <f ca="1">IF(select!$O$424&lt;6,1,0)</f>
        <v>1</v>
      </c>
      <c r="L821" s="221">
        <f>IF(select!$A$362=IF(Scharniere[[#This Row],[mit Dämpfung]]=1,1,IF(Scharniere[[#This Row],[ohne Dämpfung]]=1,2,IF(Scharniere[[#This Row],[ohne Feder]]=1,3,0))),1,0)</f>
        <v>1</v>
      </c>
      <c r="M821" s="135">
        <f>IF(Scharniere[[#This Row],[Bohrbild]]=select!$O$334,1,0)</f>
        <v>0</v>
      </c>
      <c r="N821" s="135">
        <f>IF(IF(Scharniere[[#This Row],[Anschrauben]]=1,1,IF(Scharniere[[#This Row],[Einpressen]]=1,2,IF(Scharniere[[#This Row],[Quick]]=1,3,IF(Scharniere[[#This Row],[Werkzeuglos]]=1,4,0))))=select!$E$362,1,0)</f>
        <v>1</v>
      </c>
      <c r="O8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1" s="298">
        <f>IF(AND(Scharniere[[#This Row],[Scharnierart]]=3,Scharniere[[#This Row],[Gruppenschlüssel]]=select!$A$747)=TRUE,1,0)</f>
        <v>0</v>
      </c>
      <c r="Q821" s="298">
        <f ca="1">IF(select!$O$945&lt;6,1,0)</f>
        <v>1</v>
      </c>
      <c r="R821" s="298">
        <f>IF(select!$A$778=IF(Scharniere[[#This Row],[mit Dämpfung]]=1,1,IF(Scharniere[[#This Row],[ohne Dämpfung]]=1,2,IF(Scharniere[[#This Row],[ohne Feder]]=1,3,0))),1,0)</f>
        <v>0</v>
      </c>
      <c r="S821" s="298">
        <f>IF(Scharniere[[#This Row],[Bohrbild]]=select!$A$755,1,0)</f>
        <v>0</v>
      </c>
      <c r="T821" s="298">
        <f>IF(IF(Scharniere[[#This Row],[Anschrauben]]=1,1,IF(Scharniere[[#This Row],[Einpressen]]=1,2,IF(Scharniere[[#This Row],[Quick]]=1,3,IF(Scharniere[[#This Row],[Werkzeuglos]]=1,4,0))))=select!$A$769,1,0)</f>
        <v>1</v>
      </c>
      <c r="U8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1" s="359">
        <f>IF(AND(Scharniere[[#This Row],[Scharnierart]]=4,Scharniere[[#This Row],[Gruppenschlüssel]]=select!$A$981)=TRUE,1,0)</f>
        <v>0</v>
      </c>
      <c r="W821" s="359">
        <f ca="1">IF(select!$O$1185&lt;6,1,0)</f>
        <v>1</v>
      </c>
      <c r="X821" s="359">
        <f>IF(select!$A$1012=IF(Scharniere[[#This Row],[mit Dämpfung]]=1,1,IF(Scharniere[[#This Row],[ohne Dämpfung]]=1,2,IF(Scharniere[[#This Row],[ohne Feder]]=1,3,0))),1,0)</f>
        <v>0</v>
      </c>
      <c r="Y821" s="359">
        <f>IF(Scharniere[[#This Row],[Bohrbild]]=select!$A$989,1,0)</f>
        <v>0</v>
      </c>
      <c r="Z821" s="359">
        <f>IF(IF(Scharniere[[#This Row],[Anschrauben]]=1,1,IF(Scharniere[[#This Row],[Einpressen]]=1,2,IF(Scharniere[[#This Row],[Quick]]=1,3,IF(Scharniere[[#This Row],[Werkzeuglos]]=1,4,0))))=select!$A$1003,1,0)</f>
        <v>1</v>
      </c>
      <c r="AA8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1" s="359">
        <f ca="1">IF(select!$K$980="*",Scharniere[[#This Row],[AG Ges2]],Scharniere[[#This Row],[AG Ges1]])</f>
        <v>0</v>
      </c>
      <c r="AE821" s="451">
        <f ca="1">IF(AND(Scharniere[[#This Row],[Scharnierart]]=select!$A$1485,Scharniere[[#This Row],[Gruppenschlüssel]]=select!$B$1485)=TRUE,1,0)</f>
        <v>0</v>
      </c>
      <c r="AF821" s="451">
        <f ca="1">IF(AND(Scharniere[[#This Row],[Scharnierart]]=select!$A$1486,Scharniere[[#This Row],[Gruppenschlüssel]]=select!$B$1486)=TRUE,1,0)</f>
        <v>0</v>
      </c>
      <c r="AG821" s="451">
        <f ca="1">IF(AND(Scharniere[[#This Row],[Scharnierart]]=select!$A$1487,Scharniere[[#This Row],[Gruppenschlüssel]]=select!$B$1487)=TRUE,1,0)</f>
        <v>0</v>
      </c>
      <c r="AH821" s="451">
        <f ca="1">IF(AND(Scharniere[[#This Row],[Scharnierart]]=select!$A$1488,Scharniere[[#This Row],[Gruppenschlüssel]]=select!$B$1488)=TRUE,1,0)</f>
        <v>0</v>
      </c>
      <c r="AI821" s="451">
        <f ca="1">IF(SUM(Scharniere[[#This Row],[konf Scharnier 1]:[konf Scharnier 4]])&gt;0,1,0)</f>
        <v>0</v>
      </c>
      <c r="AJ821" s="451"/>
      <c r="AK821" s="451"/>
      <c r="AL821" s="451"/>
      <c r="AM821" s="451"/>
      <c r="AN821" s="451"/>
      <c r="AO821" s="146">
        <v>2</v>
      </c>
      <c r="AP821" s="146">
        <v>3</v>
      </c>
      <c r="AQ821" s="71" t="str">
        <f ca="1">Sprache!$A$112</f>
        <v>Tiomos Scharnier TS Click-on</v>
      </c>
      <c r="AR821" t="str">
        <f ca="1">"110/30°, S-BB, "&amp;Sprache!$A$58&amp;" ni"</f>
        <v>110/30°, S-BB, aufl. ni</v>
      </c>
      <c r="AS821" t="str">
        <f ca="1">Sprache!$A$103</f>
        <v>Tiomos Click-On Scharniere</v>
      </c>
      <c r="AT821" t="s">
        <v>1264</v>
      </c>
      <c r="AU821" t="s">
        <v>11</v>
      </c>
      <c r="AV821" t="s">
        <v>1489</v>
      </c>
      <c r="AW821" s="71">
        <v>1</v>
      </c>
      <c r="AX821">
        <v>0</v>
      </c>
      <c r="AY821">
        <v>0</v>
      </c>
      <c r="AZ821" s="71">
        <v>1</v>
      </c>
      <c r="BA821">
        <v>0</v>
      </c>
      <c r="BB821">
        <v>0</v>
      </c>
      <c r="BC821">
        <v>0</v>
      </c>
      <c r="BD821" s="144" t="s">
        <v>1567</v>
      </c>
      <c r="BF821" s="10"/>
      <c r="BG821"/>
    </row>
    <row r="822" spans="1:59" ht="14.25" customHeight="1" x14ac:dyDescent="0.25">
      <c r="A822" s="37" t="str">
        <f>LEFT(Scharniere[[#This Row],[ArtikelNR]],4)</f>
        <v>F045</v>
      </c>
      <c r="B822" s="35" t="str">
        <f>MID(Scharniere[[#This Row],[ArtikelNR]],5,3)</f>
        <v>138</v>
      </c>
      <c r="C822" s="37" t="str">
        <f>RIGHT(Scharniere[[#This Row],[ArtikelNR]],3)</f>
        <v>831</v>
      </c>
      <c r="D822" s="35">
        <f>IF(AND(Scharniere[[#This Row],[Gruppenschlüssel]]=select!$A$44,Scharniere[[#This Row],[Scharnierart]]=1)=TRUE,1,0)</f>
        <v>0</v>
      </c>
      <c r="E8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2" s="35">
        <f>IF(select!$F$57=IF(Scharniere[[#This Row],[mit Dämpfung]]=1,1,IF(Scharniere[[#This Row],[ohne Dämpfung]]=1,2,IF(Scharniere[[#This Row],[ohne Feder]]=1,3,0))),1,0)</f>
        <v>0</v>
      </c>
      <c r="G822" s="35">
        <f>IF(Scharniere[[#This Row],[Bohrbild]]=select!$V$43,1,0)</f>
        <v>0</v>
      </c>
      <c r="H822" s="35">
        <f>IF(IF(Scharniere[[#This Row],[Anschrauben]]=1,1,IF(Scharniere[[#This Row],[Einpressen]]=1,2,IF(Scharniere[[#This Row],[Quick]]=1,3,IF(Scharniere[[#This Row],[Werkzeuglos]]=1,4,0))))=select!$F$48,1,0)</f>
        <v>0</v>
      </c>
      <c r="I8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2" s="149">
        <f>IF(AND(Scharniere[[#This Row],[Scharnierart]]=2,Scharniere[[#This Row],[Gruppenschlüssel]]=select!$A$318)=TRUE,1,0)</f>
        <v>0</v>
      </c>
      <c r="K822" s="221">
        <f ca="1">IF(select!$O$424&lt;6,1,0)</f>
        <v>1</v>
      </c>
      <c r="L822" s="221">
        <f>IF(select!$A$362=IF(Scharniere[[#This Row],[mit Dämpfung]]=1,1,IF(Scharniere[[#This Row],[ohne Dämpfung]]=1,2,IF(Scharniere[[#This Row],[ohne Feder]]=1,3,0))),1,0)</f>
        <v>0</v>
      </c>
      <c r="M822" s="135">
        <f>IF(Scharniere[[#This Row],[Bohrbild]]=select!$O$334,1,0)</f>
        <v>0</v>
      </c>
      <c r="N822" s="135">
        <f>IF(IF(Scharniere[[#This Row],[Anschrauben]]=1,1,IF(Scharniere[[#This Row],[Einpressen]]=1,2,IF(Scharniere[[#This Row],[Quick]]=1,3,IF(Scharniere[[#This Row],[Werkzeuglos]]=1,4,0))))=select!$E$362,1,0)</f>
        <v>1</v>
      </c>
      <c r="O8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2" s="298">
        <f>IF(AND(Scharniere[[#This Row],[Scharnierart]]=3,Scharniere[[#This Row],[Gruppenschlüssel]]=select!$A$747)=TRUE,1,0)</f>
        <v>0</v>
      </c>
      <c r="Q822" s="298">
        <f ca="1">IF(select!$O$945&lt;6,1,0)</f>
        <v>1</v>
      </c>
      <c r="R822" s="298">
        <f>IF(select!$A$778=IF(Scharniere[[#This Row],[mit Dämpfung]]=1,1,IF(Scharniere[[#This Row],[ohne Dämpfung]]=1,2,IF(Scharniere[[#This Row],[ohne Feder]]=1,3,0))),1,0)</f>
        <v>1</v>
      </c>
      <c r="S822" s="298">
        <f>IF(Scharniere[[#This Row],[Bohrbild]]=select!$A$755,1,0)</f>
        <v>0</v>
      </c>
      <c r="T822" s="298">
        <f>IF(IF(Scharniere[[#This Row],[Anschrauben]]=1,1,IF(Scharniere[[#This Row],[Einpressen]]=1,2,IF(Scharniere[[#This Row],[Quick]]=1,3,IF(Scharniere[[#This Row],[Werkzeuglos]]=1,4,0))))=select!$A$769,1,0)</f>
        <v>1</v>
      </c>
      <c r="U8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2" s="359">
        <f>IF(AND(Scharniere[[#This Row],[Scharnierart]]=4,Scharniere[[#This Row],[Gruppenschlüssel]]=select!$A$981)=TRUE,1,0)</f>
        <v>0</v>
      </c>
      <c r="W822" s="359">
        <f ca="1">IF(select!$O$1185&lt;6,1,0)</f>
        <v>1</v>
      </c>
      <c r="X822" s="359">
        <f>IF(select!$A$1012=IF(Scharniere[[#This Row],[mit Dämpfung]]=1,1,IF(Scharniere[[#This Row],[ohne Dämpfung]]=1,2,IF(Scharniere[[#This Row],[ohne Feder]]=1,3,0))),1,0)</f>
        <v>1</v>
      </c>
      <c r="Y822" s="359">
        <f>IF(Scharniere[[#This Row],[Bohrbild]]=select!$A$989,1,0)</f>
        <v>0</v>
      </c>
      <c r="Z822" s="359">
        <f>IF(IF(Scharniere[[#This Row],[Anschrauben]]=1,1,IF(Scharniere[[#This Row],[Einpressen]]=1,2,IF(Scharniere[[#This Row],[Quick]]=1,3,IF(Scharniere[[#This Row],[Werkzeuglos]]=1,4,0))))=select!$A$1003,1,0)</f>
        <v>1</v>
      </c>
      <c r="AA8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2" s="359">
        <f ca="1">IF(select!$K$980="*",Scharniere[[#This Row],[AG Ges2]],Scharniere[[#This Row],[AG Ges1]])</f>
        <v>0</v>
      </c>
      <c r="AE822" s="451">
        <f ca="1">IF(AND(Scharniere[[#This Row],[Scharnierart]]=select!$A$1485,Scharniere[[#This Row],[Gruppenschlüssel]]=select!$B$1485)=TRUE,1,0)</f>
        <v>0</v>
      </c>
      <c r="AF822" s="451">
        <f ca="1">IF(AND(Scharniere[[#This Row],[Scharnierart]]=select!$A$1486,Scharniere[[#This Row],[Gruppenschlüssel]]=select!$B$1486)=TRUE,1,0)</f>
        <v>0</v>
      </c>
      <c r="AG822" s="451">
        <f ca="1">IF(AND(Scharniere[[#This Row],[Scharnierart]]=select!$A$1487,Scharniere[[#This Row],[Gruppenschlüssel]]=select!$B$1487)=TRUE,1,0)</f>
        <v>0</v>
      </c>
      <c r="AH822" s="451">
        <f ca="1">IF(AND(Scharniere[[#This Row],[Scharnierart]]=select!$A$1488,Scharniere[[#This Row],[Gruppenschlüssel]]=select!$B$1488)=TRUE,1,0)</f>
        <v>0</v>
      </c>
      <c r="AI822" s="451">
        <f ca="1">IF(SUM(Scharniere[[#This Row],[konf Scharnier 1]:[konf Scharnier 4]])&gt;0,1,0)</f>
        <v>0</v>
      </c>
      <c r="AJ822" s="451"/>
      <c r="AK822" s="451"/>
      <c r="AL822" s="451"/>
      <c r="AM822" s="451"/>
      <c r="AN822" s="451"/>
      <c r="AO822" s="146">
        <v>2</v>
      </c>
      <c r="AP822" s="146">
        <v>3</v>
      </c>
      <c r="AQ822" s="71" t="str">
        <f ca="1">Sprache!$A$118</f>
        <v>Tiomos Scharnier T Click-on</v>
      </c>
      <c r="AR822" t="str">
        <f ca="1">"110/30°, S-BB, "&amp;Sprache!$A$58&amp;" ni"</f>
        <v>110/30°, S-BB, aufl. ni</v>
      </c>
      <c r="AS822" t="str">
        <f ca="1">Sprache!$A$103</f>
        <v>Tiomos Click-On Scharniere</v>
      </c>
      <c r="AT822" t="s">
        <v>1264</v>
      </c>
      <c r="AU822" t="s">
        <v>11</v>
      </c>
      <c r="AV822" t="s">
        <v>1489</v>
      </c>
      <c r="AW822" s="71">
        <v>0</v>
      </c>
      <c r="AX822">
        <v>1</v>
      </c>
      <c r="AY822">
        <v>0</v>
      </c>
      <c r="AZ822" s="71">
        <v>1</v>
      </c>
      <c r="BA822">
        <v>0</v>
      </c>
      <c r="BB822">
        <v>0</v>
      </c>
      <c r="BC822">
        <v>0</v>
      </c>
      <c r="BD822" s="144" t="s">
        <v>1678</v>
      </c>
      <c r="BF822" s="10"/>
      <c r="BG822"/>
    </row>
    <row r="823" spans="1:59" ht="14.25" customHeight="1" x14ac:dyDescent="0.25">
      <c r="A823" s="37" t="str">
        <f>LEFT(Scharniere[[#This Row],[ArtikelNR]],4)</f>
        <v>F046</v>
      </c>
      <c r="B823" s="35" t="str">
        <f>MID(Scharniere[[#This Row],[ArtikelNR]],5,3)</f>
        <v>138</v>
      </c>
      <c r="C823" s="37" t="str">
        <f>RIGHT(Scharniere[[#This Row],[ArtikelNR]],3)</f>
        <v>953</v>
      </c>
      <c r="D823" s="35">
        <f>IF(AND(Scharniere[[#This Row],[Gruppenschlüssel]]=select!$A$44,Scharniere[[#This Row],[Scharnierart]]=1)=TRUE,1,0)</f>
        <v>0</v>
      </c>
      <c r="E8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3" s="35">
        <f>IF(select!$F$57=IF(Scharniere[[#This Row],[mit Dämpfung]]=1,1,IF(Scharniere[[#This Row],[ohne Dämpfung]]=1,2,IF(Scharniere[[#This Row],[ohne Feder]]=1,3,0))),1,0)</f>
        <v>1</v>
      </c>
      <c r="G823" s="35">
        <f>IF(Scharniere[[#This Row],[Bohrbild]]=select!$V$43,1,0)</f>
        <v>0</v>
      </c>
      <c r="H823" s="35">
        <f>IF(IF(Scharniere[[#This Row],[Anschrauben]]=1,1,IF(Scharniere[[#This Row],[Einpressen]]=1,2,IF(Scharniere[[#This Row],[Quick]]=1,3,IF(Scharniere[[#This Row],[Werkzeuglos]]=1,4,0))))=select!$F$48,1,0)</f>
        <v>0</v>
      </c>
      <c r="I8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3" s="149">
        <f>IF(AND(Scharniere[[#This Row],[Scharnierart]]=2,Scharniere[[#This Row],[Gruppenschlüssel]]=select!$A$318)=TRUE,1,0)</f>
        <v>0</v>
      </c>
      <c r="K823" s="221">
        <f ca="1">IF(select!$O$424&lt;6,1,0)</f>
        <v>1</v>
      </c>
      <c r="L823" s="221">
        <f>IF(select!$A$362=IF(Scharniere[[#This Row],[mit Dämpfung]]=1,1,IF(Scharniere[[#This Row],[ohne Dämpfung]]=1,2,IF(Scharniere[[#This Row],[ohne Feder]]=1,3,0))),1,0)</f>
        <v>0</v>
      </c>
      <c r="M823" s="135">
        <f>IF(Scharniere[[#This Row],[Bohrbild]]=select!$O$334,1,0)</f>
        <v>0</v>
      </c>
      <c r="N823" s="135">
        <f>IF(IF(Scharniere[[#This Row],[Anschrauben]]=1,1,IF(Scharniere[[#This Row],[Einpressen]]=1,2,IF(Scharniere[[#This Row],[Quick]]=1,3,IF(Scharniere[[#This Row],[Werkzeuglos]]=1,4,0))))=select!$E$362,1,0)</f>
        <v>1</v>
      </c>
      <c r="O8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3" s="298">
        <f>IF(AND(Scharniere[[#This Row],[Scharnierart]]=3,Scharniere[[#This Row],[Gruppenschlüssel]]=select!$A$747)=TRUE,1,0)</f>
        <v>0</v>
      </c>
      <c r="Q823" s="298">
        <f ca="1">IF(select!$O$945&lt;6,1,0)</f>
        <v>1</v>
      </c>
      <c r="R823" s="298">
        <f>IF(select!$A$778=IF(Scharniere[[#This Row],[mit Dämpfung]]=1,1,IF(Scharniere[[#This Row],[ohne Dämpfung]]=1,2,IF(Scharniere[[#This Row],[ohne Feder]]=1,3,0))),1,0)</f>
        <v>0</v>
      </c>
      <c r="S823" s="298">
        <f>IF(Scharniere[[#This Row],[Bohrbild]]=select!$A$755,1,0)</f>
        <v>0</v>
      </c>
      <c r="T823" s="298">
        <f>IF(IF(Scharniere[[#This Row],[Anschrauben]]=1,1,IF(Scharniere[[#This Row],[Einpressen]]=1,2,IF(Scharniere[[#This Row],[Quick]]=1,3,IF(Scharniere[[#This Row],[Werkzeuglos]]=1,4,0))))=select!$A$769,1,0)</f>
        <v>1</v>
      </c>
      <c r="U8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3" s="359">
        <f>IF(AND(Scharniere[[#This Row],[Scharnierart]]=4,Scharniere[[#This Row],[Gruppenschlüssel]]=select!$A$981)=TRUE,1,0)</f>
        <v>0</v>
      </c>
      <c r="W823" s="359">
        <f ca="1">IF(select!$O$1185&lt;6,1,0)</f>
        <v>1</v>
      </c>
      <c r="X823" s="359">
        <f>IF(select!$A$1012=IF(Scharniere[[#This Row],[mit Dämpfung]]=1,1,IF(Scharniere[[#This Row],[ohne Dämpfung]]=1,2,IF(Scharniere[[#This Row],[ohne Feder]]=1,3,0))),1,0)</f>
        <v>0</v>
      </c>
      <c r="Y823" s="359">
        <f>IF(Scharniere[[#This Row],[Bohrbild]]=select!$A$989,1,0)</f>
        <v>0</v>
      </c>
      <c r="Z823" s="359">
        <f>IF(IF(Scharniere[[#This Row],[Anschrauben]]=1,1,IF(Scharniere[[#This Row],[Einpressen]]=1,2,IF(Scharniere[[#This Row],[Quick]]=1,3,IF(Scharniere[[#This Row],[Werkzeuglos]]=1,4,0))))=select!$A$1003,1,0)</f>
        <v>1</v>
      </c>
      <c r="AA8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3" s="359">
        <f ca="1">IF(select!$K$980="*",Scharniere[[#This Row],[AG Ges2]],Scharniere[[#This Row],[AG Ges1]])</f>
        <v>0</v>
      </c>
      <c r="AE823" s="451">
        <f ca="1">IF(AND(Scharniere[[#This Row],[Scharnierart]]=select!$A$1485,Scharniere[[#This Row],[Gruppenschlüssel]]=select!$B$1485)=TRUE,1,0)</f>
        <v>0</v>
      </c>
      <c r="AF823" s="451">
        <f ca="1">IF(AND(Scharniere[[#This Row],[Scharnierart]]=select!$A$1486,Scharniere[[#This Row],[Gruppenschlüssel]]=select!$B$1486)=TRUE,1,0)</f>
        <v>0</v>
      </c>
      <c r="AG823" s="451">
        <f ca="1">IF(AND(Scharniere[[#This Row],[Scharnierart]]=select!$A$1487,Scharniere[[#This Row],[Gruppenschlüssel]]=select!$B$1487)=TRUE,1,0)</f>
        <v>0</v>
      </c>
      <c r="AH823" s="451">
        <f ca="1">IF(AND(Scharniere[[#This Row],[Scharnierart]]=select!$A$1488,Scharniere[[#This Row],[Gruppenschlüssel]]=select!$B$1488)=TRUE,1,0)</f>
        <v>0</v>
      </c>
      <c r="AI823" s="451">
        <f ca="1">IF(SUM(Scharniere[[#This Row],[konf Scharnier 1]:[konf Scharnier 4]])&gt;0,1,0)</f>
        <v>0</v>
      </c>
      <c r="AJ823" s="451"/>
      <c r="AK823" s="451"/>
      <c r="AL823" s="451"/>
      <c r="AM823" s="451"/>
      <c r="AN823" s="451"/>
      <c r="AO823" s="146">
        <v>2</v>
      </c>
      <c r="AP823" s="146">
        <v>3</v>
      </c>
      <c r="AQ823" s="71" t="str">
        <f ca="1">Sprache!$A$114</f>
        <v>Tiomos Scharnier TT Click-on</v>
      </c>
      <c r="AR823" t="str">
        <f ca="1">"110/30°, S-BB, "&amp;Sprache!$A$58&amp;" ni"</f>
        <v>110/30°, S-BB, aufl. ni</v>
      </c>
      <c r="AS823" t="str">
        <f ca="1">Sprache!$A$103</f>
        <v>Tiomos Click-On Scharniere</v>
      </c>
      <c r="AT823" t="s">
        <v>1264</v>
      </c>
      <c r="AU823" t="s">
        <v>11</v>
      </c>
      <c r="AV823" t="s">
        <v>1489</v>
      </c>
      <c r="AW823" s="71">
        <v>0</v>
      </c>
      <c r="AX823">
        <v>0</v>
      </c>
      <c r="AY823">
        <v>1</v>
      </c>
      <c r="AZ823" s="71">
        <v>1</v>
      </c>
      <c r="BA823">
        <v>0</v>
      </c>
      <c r="BB823">
        <v>0</v>
      </c>
      <c r="BC823">
        <v>0</v>
      </c>
      <c r="BD823" s="144" t="s">
        <v>1732</v>
      </c>
      <c r="BF823" s="10"/>
      <c r="BG823"/>
    </row>
    <row r="824" spans="1:59" ht="14.25" customHeight="1" x14ac:dyDescent="0.25">
      <c r="A824" s="37" t="str">
        <f>LEFT(Scharniere[[#This Row],[ArtikelNR]],4)</f>
        <v>F028</v>
      </c>
      <c r="B824" s="35" t="str">
        <f>MID(Scharniere[[#This Row],[ArtikelNR]],5,3)</f>
        <v>138</v>
      </c>
      <c r="C824" s="37" t="str">
        <f>RIGHT(Scharniere[[#This Row],[ArtikelNR]],3)</f>
        <v>530</v>
      </c>
      <c r="D824" s="35">
        <f>IF(AND(Scharniere[[#This Row],[Gruppenschlüssel]]=select!$A$44,Scharniere[[#This Row],[Scharnierart]]=1)=TRUE,1,0)</f>
        <v>0</v>
      </c>
      <c r="E8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4" s="35">
        <f>IF(select!$F$57=IF(Scharniere[[#This Row],[mit Dämpfung]]=1,1,IF(Scharniere[[#This Row],[ohne Dämpfung]]=1,2,IF(Scharniere[[#This Row],[ohne Feder]]=1,3,0))),1,0)</f>
        <v>0</v>
      </c>
      <c r="G824" s="35">
        <f>IF(Scharniere[[#This Row],[Bohrbild]]=select!$V$43,1,0)</f>
        <v>0</v>
      </c>
      <c r="H824" s="35">
        <f>IF(IF(Scharniere[[#This Row],[Anschrauben]]=1,1,IF(Scharniere[[#This Row],[Einpressen]]=1,2,IF(Scharniere[[#This Row],[Quick]]=1,3,IF(Scharniere[[#This Row],[Werkzeuglos]]=1,4,0))))=select!$F$48,1,0)</f>
        <v>0</v>
      </c>
      <c r="I8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4" s="149">
        <f>IF(AND(Scharniere[[#This Row],[Scharnierart]]=2,Scharniere[[#This Row],[Gruppenschlüssel]]=select!$A$318)=TRUE,1,0)</f>
        <v>0</v>
      </c>
      <c r="K824" s="221">
        <f ca="1">IF(select!$O$424&lt;6,1,0)</f>
        <v>1</v>
      </c>
      <c r="L824" s="221">
        <f>IF(select!$A$362=IF(Scharniere[[#This Row],[mit Dämpfung]]=1,1,IF(Scharniere[[#This Row],[ohne Dämpfung]]=1,2,IF(Scharniere[[#This Row],[ohne Feder]]=1,3,0))),1,0)</f>
        <v>1</v>
      </c>
      <c r="M824" s="135">
        <f>IF(Scharniere[[#This Row],[Bohrbild]]=select!$O$334,1,0)</f>
        <v>0</v>
      </c>
      <c r="N824" s="135">
        <f>IF(IF(Scharniere[[#This Row],[Anschrauben]]=1,1,IF(Scharniere[[#This Row],[Einpressen]]=1,2,IF(Scharniere[[#This Row],[Quick]]=1,3,IF(Scharniere[[#This Row],[Werkzeuglos]]=1,4,0))))=select!$E$362,1,0)</f>
        <v>1</v>
      </c>
      <c r="O8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4" s="298">
        <f>IF(AND(Scharniere[[#This Row],[Scharnierart]]=3,Scharniere[[#This Row],[Gruppenschlüssel]]=select!$A$747)=TRUE,1,0)</f>
        <v>0</v>
      </c>
      <c r="Q824" s="298">
        <f ca="1">IF(select!$O$945&lt;6,1,0)</f>
        <v>1</v>
      </c>
      <c r="R824" s="298">
        <f>IF(select!$A$778=IF(Scharniere[[#This Row],[mit Dämpfung]]=1,1,IF(Scharniere[[#This Row],[ohne Dämpfung]]=1,2,IF(Scharniere[[#This Row],[ohne Feder]]=1,3,0))),1,0)</f>
        <v>0</v>
      </c>
      <c r="S824" s="298">
        <f>IF(Scharniere[[#This Row],[Bohrbild]]=select!$A$755,1,0)</f>
        <v>0</v>
      </c>
      <c r="T824" s="298">
        <f>IF(IF(Scharniere[[#This Row],[Anschrauben]]=1,1,IF(Scharniere[[#This Row],[Einpressen]]=1,2,IF(Scharniere[[#This Row],[Quick]]=1,3,IF(Scharniere[[#This Row],[Werkzeuglos]]=1,4,0))))=select!$A$769,1,0)</f>
        <v>1</v>
      </c>
      <c r="U8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4" s="359">
        <f>IF(AND(Scharniere[[#This Row],[Scharnierart]]=4,Scharniere[[#This Row],[Gruppenschlüssel]]=select!$A$981)=TRUE,1,0)</f>
        <v>0</v>
      </c>
      <c r="W824" s="359">
        <f ca="1">IF(select!$O$1185&lt;6,1,0)</f>
        <v>1</v>
      </c>
      <c r="X824" s="359">
        <f>IF(select!$A$1012=IF(Scharniere[[#This Row],[mit Dämpfung]]=1,1,IF(Scharniere[[#This Row],[ohne Dämpfung]]=1,2,IF(Scharniere[[#This Row],[ohne Feder]]=1,3,0))),1,0)</f>
        <v>0</v>
      </c>
      <c r="Y824" s="359">
        <f>IF(Scharniere[[#This Row],[Bohrbild]]=select!$A$989,1,0)</f>
        <v>0</v>
      </c>
      <c r="Z824" s="359">
        <f>IF(IF(Scharniere[[#This Row],[Anschrauben]]=1,1,IF(Scharniere[[#This Row],[Einpressen]]=1,2,IF(Scharniere[[#This Row],[Quick]]=1,3,IF(Scharniere[[#This Row],[Werkzeuglos]]=1,4,0))))=select!$A$1003,1,0)</f>
        <v>1</v>
      </c>
      <c r="AA8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4" s="359">
        <f ca="1">IF(select!$K$980="*",Scharniere[[#This Row],[AG Ges2]],Scharniere[[#This Row],[AG Ges1]])</f>
        <v>0</v>
      </c>
      <c r="AE824" s="451">
        <f ca="1">IF(AND(Scharniere[[#This Row],[Scharnierart]]=select!$A$1485,Scharniere[[#This Row],[Gruppenschlüssel]]=select!$B$1485)=TRUE,1,0)</f>
        <v>0</v>
      </c>
      <c r="AF824" s="451">
        <f ca="1">IF(AND(Scharniere[[#This Row],[Scharnierart]]=select!$A$1486,Scharniere[[#This Row],[Gruppenschlüssel]]=select!$B$1486)=TRUE,1,0)</f>
        <v>0</v>
      </c>
      <c r="AG824" s="451">
        <f ca="1">IF(AND(Scharniere[[#This Row],[Scharnierart]]=select!$A$1487,Scharniere[[#This Row],[Gruppenschlüssel]]=select!$B$1487)=TRUE,1,0)</f>
        <v>0</v>
      </c>
      <c r="AH824" s="451">
        <f ca="1">IF(AND(Scharniere[[#This Row],[Scharnierart]]=select!$A$1488,Scharniere[[#This Row],[Gruppenschlüssel]]=select!$B$1488)=TRUE,1,0)</f>
        <v>0</v>
      </c>
      <c r="AI824" s="451">
        <f ca="1">IF(SUM(Scharniere[[#This Row],[konf Scharnier 1]:[konf Scharnier 4]])&gt;0,1,0)</f>
        <v>0</v>
      </c>
      <c r="AJ824" s="451"/>
      <c r="AK824" s="451"/>
      <c r="AL824" s="451"/>
      <c r="AM824" s="451"/>
      <c r="AN824" s="451"/>
      <c r="AO824" s="146">
        <v>2</v>
      </c>
      <c r="AP824" s="146">
        <v>4</v>
      </c>
      <c r="AQ824" s="71" t="str">
        <f ca="1">Sprache!$A$112</f>
        <v>Tiomos Scharnier TS Click-on</v>
      </c>
      <c r="AR824" t="str">
        <f ca="1">"110/30°, B-BB, "&amp;Sprache!$A$62&amp;" ni"</f>
        <v>110/30°, B-BB, einl. ni</v>
      </c>
      <c r="AS824" t="str">
        <f ca="1">Sprache!$A$103</f>
        <v>Tiomos Click-On Scharniere</v>
      </c>
      <c r="AT824" t="s">
        <v>1264</v>
      </c>
      <c r="AU824" t="s">
        <v>3</v>
      </c>
      <c r="AV824" t="s">
        <v>1489</v>
      </c>
      <c r="AW824" s="71">
        <v>1</v>
      </c>
      <c r="AX824">
        <v>0</v>
      </c>
      <c r="AY824">
        <v>0</v>
      </c>
      <c r="AZ824" s="71">
        <v>1</v>
      </c>
      <c r="BA824">
        <v>0</v>
      </c>
      <c r="BB824">
        <v>0</v>
      </c>
      <c r="BC824">
        <v>0</v>
      </c>
      <c r="BD824" s="144" t="s">
        <v>1546</v>
      </c>
      <c r="BF824" s="10"/>
      <c r="BG824"/>
    </row>
    <row r="825" spans="1:59" ht="14.25" customHeight="1" x14ac:dyDescent="0.25">
      <c r="A825" s="37" t="str">
        <f>LEFT(Scharniere[[#This Row],[ArtikelNR]],4)</f>
        <v>F045</v>
      </c>
      <c r="B825" s="35" t="str">
        <f>MID(Scharniere[[#This Row],[ArtikelNR]],5,3)</f>
        <v>138</v>
      </c>
      <c r="C825" s="37" t="str">
        <f>RIGHT(Scharniere[[#This Row],[ArtikelNR]],3)</f>
        <v>468</v>
      </c>
      <c r="D825" s="35">
        <f>IF(AND(Scharniere[[#This Row],[Gruppenschlüssel]]=select!$A$44,Scharniere[[#This Row],[Scharnierart]]=1)=TRUE,1,0)</f>
        <v>0</v>
      </c>
      <c r="E8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5" s="35">
        <f>IF(select!$F$57=IF(Scharniere[[#This Row],[mit Dämpfung]]=1,1,IF(Scharniere[[#This Row],[ohne Dämpfung]]=1,2,IF(Scharniere[[#This Row],[ohne Feder]]=1,3,0))),1,0)</f>
        <v>0</v>
      </c>
      <c r="G825" s="35">
        <f>IF(Scharniere[[#This Row],[Bohrbild]]=select!$V$43,1,0)</f>
        <v>0</v>
      </c>
      <c r="H825" s="35">
        <f>IF(IF(Scharniere[[#This Row],[Anschrauben]]=1,1,IF(Scharniere[[#This Row],[Einpressen]]=1,2,IF(Scharniere[[#This Row],[Quick]]=1,3,IF(Scharniere[[#This Row],[Werkzeuglos]]=1,4,0))))=select!$F$48,1,0)</f>
        <v>0</v>
      </c>
      <c r="I8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5" s="149">
        <f>IF(AND(Scharniere[[#This Row],[Scharnierart]]=2,Scharniere[[#This Row],[Gruppenschlüssel]]=select!$A$318)=TRUE,1,0)</f>
        <v>0</v>
      </c>
      <c r="K825" s="221">
        <f ca="1">IF(select!$O$424&lt;6,1,0)</f>
        <v>1</v>
      </c>
      <c r="L825" s="221">
        <f>IF(select!$A$362=IF(Scharniere[[#This Row],[mit Dämpfung]]=1,1,IF(Scharniere[[#This Row],[ohne Dämpfung]]=1,2,IF(Scharniere[[#This Row],[ohne Feder]]=1,3,0))),1,0)</f>
        <v>0</v>
      </c>
      <c r="M825" s="135">
        <f>IF(Scharniere[[#This Row],[Bohrbild]]=select!$O$334,1,0)</f>
        <v>0</v>
      </c>
      <c r="N825" s="135">
        <f>IF(IF(Scharniere[[#This Row],[Anschrauben]]=1,1,IF(Scharniere[[#This Row],[Einpressen]]=1,2,IF(Scharniere[[#This Row],[Quick]]=1,3,IF(Scharniere[[#This Row],[Werkzeuglos]]=1,4,0))))=select!$E$362,1,0)</f>
        <v>1</v>
      </c>
      <c r="O8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5" s="298">
        <f>IF(AND(Scharniere[[#This Row],[Scharnierart]]=3,Scharniere[[#This Row],[Gruppenschlüssel]]=select!$A$747)=TRUE,1,0)</f>
        <v>0</v>
      </c>
      <c r="Q825" s="298">
        <f ca="1">IF(select!$O$945&lt;6,1,0)</f>
        <v>1</v>
      </c>
      <c r="R825" s="298">
        <f>IF(select!$A$778=IF(Scharniere[[#This Row],[mit Dämpfung]]=1,1,IF(Scharniere[[#This Row],[ohne Dämpfung]]=1,2,IF(Scharniere[[#This Row],[ohne Feder]]=1,3,0))),1,0)</f>
        <v>1</v>
      </c>
      <c r="S825" s="298">
        <f>IF(Scharniere[[#This Row],[Bohrbild]]=select!$A$755,1,0)</f>
        <v>0</v>
      </c>
      <c r="T825" s="298">
        <f>IF(IF(Scharniere[[#This Row],[Anschrauben]]=1,1,IF(Scharniere[[#This Row],[Einpressen]]=1,2,IF(Scharniere[[#This Row],[Quick]]=1,3,IF(Scharniere[[#This Row],[Werkzeuglos]]=1,4,0))))=select!$A$769,1,0)</f>
        <v>1</v>
      </c>
      <c r="U8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5" s="359">
        <f>IF(AND(Scharniere[[#This Row],[Scharnierart]]=4,Scharniere[[#This Row],[Gruppenschlüssel]]=select!$A$981)=TRUE,1,0)</f>
        <v>0</v>
      </c>
      <c r="W825" s="359">
        <f ca="1">IF(select!$O$1185&lt;6,1,0)</f>
        <v>1</v>
      </c>
      <c r="X825" s="359">
        <f>IF(select!$A$1012=IF(Scharniere[[#This Row],[mit Dämpfung]]=1,1,IF(Scharniere[[#This Row],[ohne Dämpfung]]=1,2,IF(Scharniere[[#This Row],[ohne Feder]]=1,3,0))),1,0)</f>
        <v>1</v>
      </c>
      <c r="Y825" s="359">
        <f>IF(Scharniere[[#This Row],[Bohrbild]]=select!$A$989,1,0)</f>
        <v>0</v>
      </c>
      <c r="Z825" s="359">
        <f>IF(IF(Scharniere[[#This Row],[Anschrauben]]=1,1,IF(Scharniere[[#This Row],[Einpressen]]=1,2,IF(Scharniere[[#This Row],[Quick]]=1,3,IF(Scharniere[[#This Row],[Werkzeuglos]]=1,4,0))))=select!$A$1003,1,0)</f>
        <v>1</v>
      </c>
      <c r="AA8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5" s="359">
        <f ca="1">IF(select!$K$980="*",Scharniere[[#This Row],[AG Ges2]],Scharniere[[#This Row],[AG Ges1]])</f>
        <v>0</v>
      </c>
      <c r="AE825" s="451">
        <f ca="1">IF(AND(Scharniere[[#This Row],[Scharnierart]]=select!$A$1485,Scharniere[[#This Row],[Gruppenschlüssel]]=select!$B$1485)=TRUE,1,0)</f>
        <v>0</v>
      </c>
      <c r="AF825" s="451">
        <f ca="1">IF(AND(Scharniere[[#This Row],[Scharnierart]]=select!$A$1486,Scharniere[[#This Row],[Gruppenschlüssel]]=select!$B$1486)=TRUE,1,0)</f>
        <v>0</v>
      </c>
      <c r="AG825" s="451">
        <f ca="1">IF(AND(Scharniere[[#This Row],[Scharnierart]]=select!$A$1487,Scharniere[[#This Row],[Gruppenschlüssel]]=select!$B$1487)=TRUE,1,0)</f>
        <v>0</v>
      </c>
      <c r="AH825" s="451">
        <f ca="1">IF(AND(Scharniere[[#This Row],[Scharnierart]]=select!$A$1488,Scharniere[[#This Row],[Gruppenschlüssel]]=select!$B$1488)=TRUE,1,0)</f>
        <v>0</v>
      </c>
      <c r="AI825" s="451">
        <f ca="1">IF(SUM(Scharniere[[#This Row],[konf Scharnier 1]:[konf Scharnier 4]])&gt;0,1,0)</f>
        <v>0</v>
      </c>
      <c r="AJ825" s="451"/>
      <c r="AK825" s="451"/>
      <c r="AL825" s="451"/>
      <c r="AM825" s="451"/>
      <c r="AN825" s="451"/>
      <c r="AO825" s="146">
        <v>2</v>
      </c>
      <c r="AP825" s="146">
        <v>4</v>
      </c>
      <c r="AQ825" s="71" t="str">
        <f ca="1">Sprache!$A$118</f>
        <v>Tiomos Scharnier T Click-on</v>
      </c>
      <c r="AR825" t="str">
        <f ca="1">"110/30°, B-BB, "&amp;Sprache!$A$62&amp;" ni"</f>
        <v>110/30°, B-BB, einl. ni</v>
      </c>
      <c r="AS825" t="str">
        <f ca="1">Sprache!$A$103</f>
        <v>Tiomos Click-On Scharniere</v>
      </c>
      <c r="AT825" t="s">
        <v>1264</v>
      </c>
      <c r="AU825" t="s">
        <v>3</v>
      </c>
      <c r="AV825" t="s">
        <v>1489</v>
      </c>
      <c r="AW825" s="71">
        <v>0</v>
      </c>
      <c r="AX825">
        <v>1</v>
      </c>
      <c r="AY825">
        <v>0</v>
      </c>
      <c r="AZ825" s="71">
        <v>1</v>
      </c>
      <c r="BA825">
        <v>0</v>
      </c>
      <c r="BB825">
        <v>0</v>
      </c>
      <c r="BC825">
        <v>0</v>
      </c>
      <c r="BD825" s="144" t="s">
        <v>1650</v>
      </c>
      <c r="BF825" s="10"/>
      <c r="BG825"/>
    </row>
    <row r="826" spans="1:59" ht="14.25" customHeight="1" x14ac:dyDescent="0.25">
      <c r="A826" s="37" t="str">
        <f>LEFT(Scharniere[[#This Row],[ArtikelNR]],4)</f>
        <v>F046</v>
      </c>
      <c r="B826" s="35" t="str">
        <f>MID(Scharniere[[#This Row],[ArtikelNR]],5,3)</f>
        <v>138</v>
      </c>
      <c r="C826" s="37" t="str">
        <f>RIGHT(Scharniere[[#This Row],[ArtikelNR]],3)</f>
        <v>590</v>
      </c>
      <c r="D826" s="35">
        <f>IF(AND(Scharniere[[#This Row],[Gruppenschlüssel]]=select!$A$44,Scharniere[[#This Row],[Scharnierart]]=1)=TRUE,1,0)</f>
        <v>0</v>
      </c>
      <c r="E8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6" s="35">
        <f>IF(select!$F$57=IF(Scharniere[[#This Row],[mit Dämpfung]]=1,1,IF(Scharniere[[#This Row],[ohne Dämpfung]]=1,2,IF(Scharniere[[#This Row],[ohne Feder]]=1,3,0))),1,0)</f>
        <v>1</v>
      </c>
      <c r="G826" s="35">
        <f>IF(Scharniere[[#This Row],[Bohrbild]]=select!$V$43,1,0)</f>
        <v>0</v>
      </c>
      <c r="H826" s="35">
        <f>IF(IF(Scharniere[[#This Row],[Anschrauben]]=1,1,IF(Scharniere[[#This Row],[Einpressen]]=1,2,IF(Scharniere[[#This Row],[Quick]]=1,3,IF(Scharniere[[#This Row],[Werkzeuglos]]=1,4,0))))=select!$F$48,1,0)</f>
        <v>0</v>
      </c>
      <c r="I8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6" s="149">
        <f>IF(AND(Scharniere[[#This Row],[Scharnierart]]=2,Scharniere[[#This Row],[Gruppenschlüssel]]=select!$A$318)=TRUE,1,0)</f>
        <v>0</v>
      </c>
      <c r="K826" s="221">
        <f ca="1">IF(select!$O$424&lt;6,1,0)</f>
        <v>1</v>
      </c>
      <c r="L826" s="221">
        <f>IF(select!$A$362=IF(Scharniere[[#This Row],[mit Dämpfung]]=1,1,IF(Scharniere[[#This Row],[ohne Dämpfung]]=1,2,IF(Scharniere[[#This Row],[ohne Feder]]=1,3,0))),1,0)</f>
        <v>0</v>
      </c>
      <c r="M826" s="135">
        <f>IF(Scharniere[[#This Row],[Bohrbild]]=select!$O$334,1,0)</f>
        <v>0</v>
      </c>
      <c r="N826" s="135">
        <f>IF(IF(Scharniere[[#This Row],[Anschrauben]]=1,1,IF(Scharniere[[#This Row],[Einpressen]]=1,2,IF(Scharniere[[#This Row],[Quick]]=1,3,IF(Scharniere[[#This Row],[Werkzeuglos]]=1,4,0))))=select!$E$362,1,0)</f>
        <v>1</v>
      </c>
      <c r="O8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6" s="298">
        <f>IF(AND(Scharniere[[#This Row],[Scharnierart]]=3,Scharniere[[#This Row],[Gruppenschlüssel]]=select!$A$747)=TRUE,1,0)</f>
        <v>0</v>
      </c>
      <c r="Q826" s="298">
        <f ca="1">IF(select!$O$945&lt;6,1,0)</f>
        <v>1</v>
      </c>
      <c r="R826" s="298">
        <f>IF(select!$A$778=IF(Scharniere[[#This Row],[mit Dämpfung]]=1,1,IF(Scharniere[[#This Row],[ohne Dämpfung]]=1,2,IF(Scharniere[[#This Row],[ohne Feder]]=1,3,0))),1,0)</f>
        <v>0</v>
      </c>
      <c r="S826" s="298">
        <f>IF(Scharniere[[#This Row],[Bohrbild]]=select!$A$755,1,0)</f>
        <v>0</v>
      </c>
      <c r="T826" s="298">
        <f>IF(IF(Scharniere[[#This Row],[Anschrauben]]=1,1,IF(Scharniere[[#This Row],[Einpressen]]=1,2,IF(Scharniere[[#This Row],[Quick]]=1,3,IF(Scharniere[[#This Row],[Werkzeuglos]]=1,4,0))))=select!$A$769,1,0)</f>
        <v>1</v>
      </c>
      <c r="U8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6" s="359">
        <f>IF(AND(Scharniere[[#This Row],[Scharnierart]]=4,Scharniere[[#This Row],[Gruppenschlüssel]]=select!$A$981)=TRUE,1,0)</f>
        <v>0</v>
      </c>
      <c r="W826" s="359">
        <f ca="1">IF(select!$O$1185&lt;6,1,0)</f>
        <v>1</v>
      </c>
      <c r="X826" s="359">
        <f>IF(select!$A$1012=IF(Scharniere[[#This Row],[mit Dämpfung]]=1,1,IF(Scharniere[[#This Row],[ohne Dämpfung]]=1,2,IF(Scharniere[[#This Row],[ohne Feder]]=1,3,0))),1,0)</f>
        <v>0</v>
      </c>
      <c r="Y826" s="359">
        <f>IF(Scharniere[[#This Row],[Bohrbild]]=select!$A$989,1,0)</f>
        <v>0</v>
      </c>
      <c r="Z826" s="359">
        <f>IF(IF(Scharniere[[#This Row],[Anschrauben]]=1,1,IF(Scharniere[[#This Row],[Einpressen]]=1,2,IF(Scharniere[[#This Row],[Quick]]=1,3,IF(Scharniere[[#This Row],[Werkzeuglos]]=1,4,0))))=select!$A$1003,1,0)</f>
        <v>1</v>
      </c>
      <c r="AA8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6" s="359">
        <f ca="1">IF(select!$K$980="*",Scharniere[[#This Row],[AG Ges2]],Scharniere[[#This Row],[AG Ges1]])</f>
        <v>0</v>
      </c>
      <c r="AE826" s="451">
        <f ca="1">IF(AND(Scharniere[[#This Row],[Scharnierart]]=select!$A$1485,Scharniere[[#This Row],[Gruppenschlüssel]]=select!$B$1485)=TRUE,1,0)</f>
        <v>0</v>
      </c>
      <c r="AF826" s="451">
        <f ca="1">IF(AND(Scharniere[[#This Row],[Scharnierart]]=select!$A$1486,Scharniere[[#This Row],[Gruppenschlüssel]]=select!$B$1486)=TRUE,1,0)</f>
        <v>0</v>
      </c>
      <c r="AG826" s="451">
        <f ca="1">IF(AND(Scharniere[[#This Row],[Scharnierart]]=select!$A$1487,Scharniere[[#This Row],[Gruppenschlüssel]]=select!$B$1487)=TRUE,1,0)</f>
        <v>0</v>
      </c>
      <c r="AH826" s="451">
        <f ca="1">IF(AND(Scharniere[[#This Row],[Scharnierart]]=select!$A$1488,Scharniere[[#This Row],[Gruppenschlüssel]]=select!$B$1488)=TRUE,1,0)</f>
        <v>0</v>
      </c>
      <c r="AI826" s="451">
        <f ca="1">IF(SUM(Scharniere[[#This Row],[konf Scharnier 1]:[konf Scharnier 4]])&gt;0,1,0)</f>
        <v>0</v>
      </c>
      <c r="AJ826" s="451"/>
      <c r="AK826" s="451"/>
      <c r="AL826" s="451"/>
      <c r="AM826" s="451"/>
      <c r="AN826" s="451"/>
      <c r="AO826" s="146">
        <v>2</v>
      </c>
      <c r="AP826" s="146">
        <v>4</v>
      </c>
      <c r="AQ826" s="71" t="str">
        <f ca="1">Sprache!$A$114</f>
        <v>Tiomos Scharnier TT Click-on</v>
      </c>
      <c r="AR826" t="str">
        <f ca="1">"110/30°, B-BB, "&amp;Sprache!$A$62&amp;" ni"</f>
        <v>110/30°, B-BB, einl. ni</v>
      </c>
      <c r="AS826" t="str">
        <f ca="1">Sprache!$A$103</f>
        <v>Tiomos Click-On Scharniere</v>
      </c>
      <c r="AT826" t="s">
        <v>1264</v>
      </c>
      <c r="AU826" t="s">
        <v>3</v>
      </c>
      <c r="AV826" t="s">
        <v>1489</v>
      </c>
      <c r="AW826" s="71">
        <v>0</v>
      </c>
      <c r="AX826">
        <v>0</v>
      </c>
      <c r="AY826">
        <v>1</v>
      </c>
      <c r="AZ826" s="71">
        <v>1</v>
      </c>
      <c r="BA826">
        <v>0</v>
      </c>
      <c r="BB826">
        <v>0</v>
      </c>
      <c r="BC826">
        <v>0</v>
      </c>
      <c r="BD826" s="144" t="s">
        <v>1719</v>
      </c>
      <c r="BF826" s="10"/>
      <c r="BG826"/>
    </row>
    <row r="827" spans="1:59" ht="14.25" customHeight="1" x14ac:dyDescent="0.25">
      <c r="A827" s="37" t="str">
        <f>LEFT(Scharniere[[#This Row],[ArtikelNR]],4)</f>
        <v>F028</v>
      </c>
      <c r="B827" s="35" t="str">
        <f>MID(Scharniere[[#This Row],[ArtikelNR]],5,3)</f>
        <v>138</v>
      </c>
      <c r="C827" s="37" t="str">
        <f>RIGHT(Scharniere[[#This Row],[ArtikelNR]],3)</f>
        <v>348</v>
      </c>
      <c r="D827" s="35">
        <f>IF(AND(Scharniere[[#This Row],[Gruppenschlüssel]]=select!$A$44,Scharniere[[#This Row],[Scharnierart]]=1)=TRUE,1,0)</f>
        <v>0</v>
      </c>
      <c r="E8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7" s="35">
        <f>IF(select!$F$57=IF(Scharniere[[#This Row],[mit Dämpfung]]=1,1,IF(Scharniere[[#This Row],[ohne Dämpfung]]=1,2,IF(Scharniere[[#This Row],[ohne Feder]]=1,3,0))),1,0)</f>
        <v>0</v>
      </c>
      <c r="G827" s="35">
        <f>IF(Scharniere[[#This Row],[Bohrbild]]=select!$V$43,1,0)</f>
        <v>0</v>
      </c>
      <c r="H827" s="35">
        <f>IF(IF(Scharniere[[#This Row],[Anschrauben]]=1,1,IF(Scharniere[[#This Row],[Einpressen]]=1,2,IF(Scharniere[[#This Row],[Quick]]=1,3,IF(Scharniere[[#This Row],[Werkzeuglos]]=1,4,0))))=select!$F$48,1,0)</f>
        <v>0</v>
      </c>
      <c r="I8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7" s="149">
        <f>IF(AND(Scharniere[[#This Row],[Scharnierart]]=2,Scharniere[[#This Row],[Gruppenschlüssel]]=select!$A$318)=TRUE,1,0)</f>
        <v>0</v>
      </c>
      <c r="K827" s="221">
        <f ca="1">IF(select!$O$424&lt;6,1,0)</f>
        <v>1</v>
      </c>
      <c r="L827" s="221">
        <f>IF(select!$A$362=IF(Scharniere[[#This Row],[mit Dämpfung]]=1,1,IF(Scharniere[[#This Row],[ohne Dämpfung]]=1,2,IF(Scharniere[[#This Row],[ohne Feder]]=1,3,0))),1,0)</f>
        <v>1</v>
      </c>
      <c r="M827" s="135">
        <f>IF(Scharniere[[#This Row],[Bohrbild]]=select!$O$334,1,0)</f>
        <v>0</v>
      </c>
      <c r="N827" s="135">
        <f>IF(IF(Scharniere[[#This Row],[Anschrauben]]=1,1,IF(Scharniere[[#This Row],[Einpressen]]=1,2,IF(Scharniere[[#This Row],[Quick]]=1,3,IF(Scharniere[[#This Row],[Werkzeuglos]]=1,4,0))))=select!$E$362,1,0)</f>
        <v>1</v>
      </c>
      <c r="O8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7" s="298">
        <f>IF(AND(Scharniere[[#This Row],[Scharnierart]]=3,Scharniere[[#This Row],[Gruppenschlüssel]]=select!$A$747)=TRUE,1,0)</f>
        <v>0</v>
      </c>
      <c r="Q827" s="298">
        <f ca="1">IF(select!$O$945&lt;6,1,0)</f>
        <v>1</v>
      </c>
      <c r="R827" s="298">
        <f>IF(select!$A$778=IF(Scharniere[[#This Row],[mit Dämpfung]]=1,1,IF(Scharniere[[#This Row],[ohne Dämpfung]]=1,2,IF(Scharniere[[#This Row],[ohne Feder]]=1,3,0))),1,0)</f>
        <v>0</v>
      </c>
      <c r="S827" s="298">
        <f>IF(Scharniere[[#This Row],[Bohrbild]]=select!$A$755,1,0)</f>
        <v>0</v>
      </c>
      <c r="T827" s="298">
        <f>IF(IF(Scharniere[[#This Row],[Anschrauben]]=1,1,IF(Scharniere[[#This Row],[Einpressen]]=1,2,IF(Scharniere[[#This Row],[Quick]]=1,3,IF(Scharniere[[#This Row],[Werkzeuglos]]=1,4,0))))=select!$A$769,1,0)</f>
        <v>1</v>
      </c>
      <c r="U8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7" s="359">
        <f>IF(AND(Scharniere[[#This Row],[Scharnierart]]=4,Scharniere[[#This Row],[Gruppenschlüssel]]=select!$A$981)=TRUE,1,0)</f>
        <v>0</v>
      </c>
      <c r="W827" s="359">
        <f ca="1">IF(select!$O$1185&lt;6,1,0)</f>
        <v>1</v>
      </c>
      <c r="X827" s="359">
        <f>IF(select!$A$1012=IF(Scharniere[[#This Row],[mit Dämpfung]]=1,1,IF(Scharniere[[#This Row],[ohne Dämpfung]]=1,2,IF(Scharniere[[#This Row],[ohne Feder]]=1,3,0))),1,0)</f>
        <v>0</v>
      </c>
      <c r="Y827" s="359">
        <f>IF(Scharniere[[#This Row],[Bohrbild]]=select!$A$989,1,0)</f>
        <v>0</v>
      </c>
      <c r="Z827" s="359">
        <f>IF(IF(Scharniere[[#This Row],[Anschrauben]]=1,1,IF(Scharniere[[#This Row],[Einpressen]]=1,2,IF(Scharniere[[#This Row],[Quick]]=1,3,IF(Scharniere[[#This Row],[Werkzeuglos]]=1,4,0))))=select!$A$1003,1,0)</f>
        <v>1</v>
      </c>
      <c r="AA8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7" s="359">
        <f ca="1">IF(select!$K$980="*",Scharniere[[#This Row],[AG Ges2]],Scharniere[[#This Row],[AG Ges1]])</f>
        <v>0</v>
      </c>
      <c r="AE827" s="451">
        <f ca="1">IF(AND(Scharniere[[#This Row],[Scharnierart]]=select!$A$1485,Scharniere[[#This Row],[Gruppenschlüssel]]=select!$B$1485)=TRUE,1,0)</f>
        <v>0</v>
      </c>
      <c r="AF827" s="451">
        <f ca="1">IF(AND(Scharniere[[#This Row],[Scharnierart]]=select!$A$1486,Scharniere[[#This Row],[Gruppenschlüssel]]=select!$B$1486)=TRUE,1,0)</f>
        <v>0</v>
      </c>
      <c r="AG827" s="451">
        <f ca="1">IF(AND(Scharniere[[#This Row],[Scharnierart]]=select!$A$1487,Scharniere[[#This Row],[Gruppenschlüssel]]=select!$B$1487)=TRUE,1,0)</f>
        <v>0</v>
      </c>
      <c r="AH827" s="451">
        <f ca="1">IF(AND(Scharniere[[#This Row],[Scharnierart]]=select!$A$1488,Scharniere[[#This Row],[Gruppenschlüssel]]=select!$B$1488)=TRUE,1,0)</f>
        <v>0</v>
      </c>
      <c r="AI827" s="451">
        <f ca="1">IF(SUM(Scharniere[[#This Row],[konf Scharnier 1]:[konf Scharnier 4]])&gt;0,1,0)</f>
        <v>0</v>
      </c>
      <c r="AJ827" s="451"/>
      <c r="AK827" s="451"/>
      <c r="AL827" s="451"/>
      <c r="AM827" s="451"/>
      <c r="AN827" s="451"/>
      <c r="AO827" s="146">
        <v>2</v>
      </c>
      <c r="AP827" s="146">
        <v>4</v>
      </c>
      <c r="AQ827" s="71" t="str">
        <f ca="1">Sprache!$A$112</f>
        <v>Tiomos Scharnier TS Click-on</v>
      </c>
      <c r="AR827" t="str">
        <f ca="1">"110/30°, G-BB, "&amp;Sprache!$A$62&amp;" ni"</f>
        <v>110/30°, G-BB, einl. ni</v>
      </c>
      <c r="AS827" t="str">
        <f ca="1">Sprache!$A$103</f>
        <v>Tiomos Click-On Scharniere</v>
      </c>
      <c r="AT827" t="s">
        <v>1264</v>
      </c>
      <c r="AU827" t="s">
        <v>9</v>
      </c>
      <c r="AV827" t="s">
        <v>1489</v>
      </c>
      <c r="AW827" s="71">
        <v>1</v>
      </c>
      <c r="AX827">
        <v>0</v>
      </c>
      <c r="AY827">
        <v>0</v>
      </c>
      <c r="AZ827" s="71">
        <v>1</v>
      </c>
      <c r="BA827">
        <v>0</v>
      </c>
      <c r="BB827">
        <v>0</v>
      </c>
      <c r="BC827">
        <v>0</v>
      </c>
      <c r="BD827" s="144" t="s">
        <v>1534</v>
      </c>
      <c r="BF827" s="10"/>
      <c r="BG827"/>
    </row>
    <row r="828" spans="1:59" ht="14.25" customHeight="1" x14ac:dyDescent="0.25">
      <c r="A828" s="37" t="str">
        <f>LEFT(Scharniere[[#This Row],[ArtikelNR]],4)</f>
        <v>F045</v>
      </c>
      <c r="B828" s="35" t="str">
        <f>MID(Scharniere[[#This Row],[ArtikelNR]],5,3)</f>
        <v>138</v>
      </c>
      <c r="C828" s="37" t="str">
        <f>RIGHT(Scharniere[[#This Row],[ArtikelNR]],3)</f>
        <v>286</v>
      </c>
      <c r="D828" s="35">
        <f>IF(AND(Scharniere[[#This Row],[Gruppenschlüssel]]=select!$A$44,Scharniere[[#This Row],[Scharnierart]]=1)=TRUE,1,0)</f>
        <v>0</v>
      </c>
      <c r="E8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8" s="35">
        <f>IF(select!$F$57=IF(Scharniere[[#This Row],[mit Dämpfung]]=1,1,IF(Scharniere[[#This Row],[ohne Dämpfung]]=1,2,IF(Scharniere[[#This Row],[ohne Feder]]=1,3,0))),1,0)</f>
        <v>0</v>
      </c>
      <c r="G828" s="35">
        <f>IF(Scharniere[[#This Row],[Bohrbild]]=select!$V$43,1,0)</f>
        <v>0</v>
      </c>
      <c r="H828" s="35">
        <f>IF(IF(Scharniere[[#This Row],[Anschrauben]]=1,1,IF(Scharniere[[#This Row],[Einpressen]]=1,2,IF(Scharniere[[#This Row],[Quick]]=1,3,IF(Scharniere[[#This Row],[Werkzeuglos]]=1,4,0))))=select!$F$48,1,0)</f>
        <v>0</v>
      </c>
      <c r="I8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8" s="149">
        <f>IF(AND(Scharniere[[#This Row],[Scharnierart]]=2,Scharniere[[#This Row],[Gruppenschlüssel]]=select!$A$318)=TRUE,1,0)</f>
        <v>0</v>
      </c>
      <c r="K828" s="221">
        <f ca="1">IF(select!$O$424&lt;6,1,0)</f>
        <v>1</v>
      </c>
      <c r="L828" s="221">
        <f>IF(select!$A$362=IF(Scharniere[[#This Row],[mit Dämpfung]]=1,1,IF(Scharniere[[#This Row],[ohne Dämpfung]]=1,2,IF(Scharniere[[#This Row],[ohne Feder]]=1,3,0))),1,0)</f>
        <v>0</v>
      </c>
      <c r="M828" s="135">
        <f>IF(Scharniere[[#This Row],[Bohrbild]]=select!$O$334,1,0)</f>
        <v>0</v>
      </c>
      <c r="N828" s="135">
        <f>IF(IF(Scharniere[[#This Row],[Anschrauben]]=1,1,IF(Scharniere[[#This Row],[Einpressen]]=1,2,IF(Scharniere[[#This Row],[Quick]]=1,3,IF(Scharniere[[#This Row],[Werkzeuglos]]=1,4,0))))=select!$E$362,1,0)</f>
        <v>1</v>
      </c>
      <c r="O8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8" s="298">
        <f>IF(AND(Scharniere[[#This Row],[Scharnierart]]=3,Scharniere[[#This Row],[Gruppenschlüssel]]=select!$A$747)=TRUE,1,0)</f>
        <v>0</v>
      </c>
      <c r="Q828" s="298">
        <f ca="1">IF(select!$O$945&lt;6,1,0)</f>
        <v>1</v>
      </c>
      <c r="R828" s="298">
        <f>IF(select!$A$778=IF(Scharniere[[#This Row],[mit Dämpfung]]=1,1,IF(Scharniere[[#This Row],[ohne Dämpfung]]=1,2,IF(Scharniere[[#This Row],[ohne Feder]]=1,3,0))),1,0)</f>
        <v>1</v>
      </c>
      <c r="S828" s="298">
        <f>IF(Scharniere[[#This Row],[Bohrbild]]=select!$A$755,1,0)</f>
        <v>0</v>
      </c>
      <c r="T828" s="298">
        <f>IF(IF(Scharniere[[#This Row],[Anschrauben]]=1,1,IF(Scharniere[[#This Row],[Einpressen]]=1,2,IF(Scharniere[[#This Row],[Quick]]=1,3,IF(Scharniere[[#This Row],[Werkzeuglos]]=1,4,0))))=select!$A$769,1,0)</f>
        <v>1</v>
      </c>
      <c r="U8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8" s="359">
        <f>IF(AND(Scharniere[[#This Row],[Scharnierart]]=4,Scharniere[[#This Row],[Gruppenschlüssel]]=select!$A$981)=TRUE,1,0)</f>
        <v>0</v>
      </c>
      <c r="W828" s="359">
        <f ca="1">IF(select!$O$1185&lt;6,1,0)</f>
        <v>1</v>
      </c>
      <c r="X828" s="359">
        <f>IF(select!$A$1012=IF(Scharniere[[#This Row],[mit Dämpfung]]=1,1,IF(Scharniere[[#This Row],[ohne Dämpfung]]=1,2,IF(Scharniere[[#This Row],[ohne Feder]]=1,3,0))),1,0)</f>
        <v>1</v>
      </c>
      <c r="Y828" s="359">
        <f>IF(Scharniere[[#This Row],[Bohrbild]]=select!$A$989,1,0)</f>
        <v>0</v>
      </c>
      <c r="Z828" s="359">
        <f>IF(IF(Scharniere[[#This Row],[Anschrauben]]=1,1,IF(Scharniere[[#This Row],[Einpressen]]=1,2,IF(Scharniere[[#This Row],[Quick]]=1,3,IF(Scharniere[[#This Row],[Werkzeuglos]]=1,4,0))))=select!$A$1003,1,0)</f>
        <v>1</v>
      </c>
      <c r="AA8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8" s="359">
        <f ca="1">IF(select!$K$980="*",Scharniere[[#This Row],[AG Ges2]],Scharniere[[#This Row],[AG Ges1]])</f>
        <v>0</v>
      </c>
      <c r="AE828" s="451">
        <f ca="1">IF(AND(Scharniere[[#This Row],[Scharnierart]]=select!$A$1485,Scharniere[[#This Row],[Gruppenschlüssel]]=select!$B$1485)=TRUE,1,0)</f>
        <v>0</v>
      </c>
      <c r="AF828" s="451">
        <f ca="1">IF(AND(Scharniere[[#This Row],[Scharnierart]]=select!$A$1486,Scharniere[[#This Row],[Gruppenschlüssel]]=select!$B$1486)=TRUE,1,0)</f>
        <v>0</v>
      </c>
      <c r="AG828" s="451">
        <f ca="1">IF(AND(Scharniere[[#This Row],[Scharnierart]]=select!$A$1487,Scharniere[[#This Row],[Gruppenschlüssel]]=select!$B$1487)=TRUE,1,0)</f>
        <v>0</v>
      </c>
      <c r="AH828" s="451">
        <f ca="1">IF(AND(Scharniere[[#This Row],[Scharnierart]]=select!$A$1488,Scharniere[[#This Row],[Gruppenschlüssel]]=select!$B$1488)=TRUE,1,0)</f>
        <v>0</v>
      </c>
      <c r="AI828" s="451">
        <f ca="1">IF(SUM(Scharniere[[#This Row],[konf Scharnier 1]:[konf Scharnier 4]])&gt;0,1,0)</f>
        <v>0</v>
      </c>
      <c r="AJ828" s="451"/>
      <c r="AK828" s="451"/>
      <c r="AL828" s="451"/>
      <c r="AM828" s="451"/>
      <c r="AN828" s="451"/>
      <c r="AO828" s="146">
        <v>2</v>
      </c>
      <c r="AP828" s="146">
        <v>4</v>
      </c>
      <c r="AQ828" s="71" t="str">
        <f ca="1">Sprache!$A$118</f>
        <v>Tiomos Scharnier T Click-on</v>
      </c>
      <c r="AR828" t="str">
        <f ca="1">"110/30°, G-BB, "&amp;Sprache!$A$62&amp;" ni"</f>
        <v>110/30°, G-BB, einl. ni</v>
      </c>
      <c r="AS828" t="str">
        <f ca="1">Sprache!$A$103</f>
        <v>Tiomos Click-On Scharniere</v>
      </c>
      <c r="AT828" t="s">
        <v>1264</v>
      </c>
      <c r="AU828" t="s">
        <v>9</v>
      </c>
      <c r="AV828" t="s">
        <v>1489</v>
      </c>
      <c r="AW828" s="71">
        <v>0</v>
      </c>
      <c r="AX828">
        <v>1</v>
      </c>
      <c r="AY828">
        <v>0</v>
      </c>
      <c r="AZ828" s="71">
        <v>1</v>
      </c>
      <c r="BA828">
        <v>0</v>
      </c>
      <c r="BB828">
        <v>0</v>
      </c>
      <c r="BC828">
        <v>0</v>
      </c>
      <c r="BD828" s="144" t="s">
        <v>1635</v>
      </c>
      <c r="BF828" s="10"/>
      <c r="BG828"/>
    </row>
    <row r="829" spans="1:59" ht="14.25" customHeight="1" x14ac:dyDescent="0.25">
      <c r="A829" s="37" t="str">
        <f>LEFT(Scharniere[[#This Row],[ArtikelNR]],4)</f>
        <v>F046</v>
      </c>
      <c r="B829" s="35" t="str">
        <f>MID(Scharniere[[#This Row],[ArtikelNR]],5,3)</f>
        <v>138</v>
      </c>
      <c r="C829" s="37" t="str">
        <f>RIGHT(Scharniere[[#This Row],[ArtikelNR]],3)</f>
        <v>408</v>
      </c>
      <c r="D829" s="35">
        <f>IF(AND(Scharniere[[#This Row],[Gruppenschlüssel]]=select!$A$44,Scharniere[[#This Row],[Scharnierart]]=1)=TRUE,1,0)</f>
        <v>0</v>
      </c>
      <c r="E8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29" s="35">
        <f>IF(select!$F$57=IF(Scharniere[[#This Row],[mit Dämpfung]]=1,1,IF(Scharniere[[#This Row],[ohne Dämpfung]]=1,2,IF(Scharniere[[#This Row],[ohne Feder]]=1,3,0))),1,0)</f>
        <v>1</v>
      </c>
      <c r="G829" s="35">
        <f>IF(Scharniere[[#This Row],[Bohrbild]]=select!$V$43,1,0)</f>
        <v>0</v>
      </c>
      <c r="H829" s="35">
        <f>IF(IF(Scharniere[[#This Row],[Anschrauben]]=1,1,IF(Scharniere[[#This Row],[Einpressen]]=1,2,IF(Scharniere[[#This Row],[Quick]]=1,3,IF(Scharniere[[#This Row],[Werkzeuglos]]=1,4,0))))=select!$F$48,1,0)</f>
        <v>0</v>
      </c>
      <c r="I8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29" s="149">
        <f>IF(AND(Scharniere[[#This Row],[Scharnierart]]=2,Scharniere[[#This Row],[Gruppenschlüssel]]=select!$A$318)=TRUE,1,0)</f>
        <v>0</v>
      </c>
      <c r="K829" s="221">
        <f ca="1">IF(select!$O$424&lt;6,1,0)</f>
        <v>1</v>
      </c>
      <c r="L829" s="221">
        <f>IF(select!$A$362=IF(Scharniere[[#This Row],[mit Dämpfung]]=1,1,IF(Scharniere[[#This Row],[ohne Dämpfung]]=1,2,IF(Scharniere[[#This Row],[ohne Feder]]=1,3,0))),1,0)</f>
        <v>0</v>
      </c>
      <c r="M829" s="135">
        <f>IF(Scharniere[[#This Row],[Bohrbild]]=select!$O$334,1,0)</f>
        <v>0</v>
      </c>
      <c r="N829" s="135">
        <f>IF(IF(Scharniere[[#This Row],[Anschrauben]]=1,1,IF(Scharniere[[#This Row],[Einpressen]]=1,2,IF(Scharniere[[#This Row],[Quick]]=1,3,IF(Scharniere[[#This Row],[Werkzeuglos]]=1,4,0))))=select!$E$362,1,0)</f>
        <v>1</v>
      </c>
      <c r="O8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29" s="298">
        <f>IF(AND(Scharniere[[#This Row],[Scharnierart]]=3,Scharniere[[#This Row],[Gruppenschlüssel]]=select!$A$747)=TRUE,1,0)</f>
        <v>0</v>
      </c>
      <c r="Q829" s="298">
        <f ca="1">IF(select!$O$945&lt;6,1,0)</f>
        <v>1</v>
      </c>
      <c r="R829" s="298">
        <f>IF(select!$A$778=IF(Scharniere[[#This Row],[mit Dämpfung]]=1,1,IF(Scharniere[[#This Row],[ohne Dämpfung]]=1,2,IF(Scharniere[[#This Row],[ohne Feder]]=1,3,0))),1,0)</f>
        <v>0</v>
      </c>
      <c r="S829" s="298">
        <f>IF(Scharniere[[#This Row],[Bohrbild]]=select!$A$755,1,0)</f>
        <v>0</v>
      </c>
      <c r="T829" s="298">
        <f>IF(IF(Scharniere[[#This Row],[Anschrauben]]=1,1,IF(Scharniere[[#This Row],[Einpressen]]=1,2,IF(Scharniere[[#This Row],[Quick]]=1,3,IF(Scharniere[[#This Row],[Werkzeuglos]]=1,4,0))))=select!$A$769,1,0)</f>
        <v>1</v>
      </c>
      <c r="U8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29" s="359">
        <f>IF(AND(Scharniere[[#This Row],[Scharnierart]]=4,Scharniere[[#This Row],[Gruppenschlüssel]]=select!$A$981)=TRUE,1,0)</f>
        <v>0</v>
      </c>
      <c r="W829" s="359">
        <f ca="1">IF(select!$O$1185&lt;6,1,0)</f>
        <v>1</v>
      </c>
      <c r="X829" s="359">
        <f>IF(select!$A$1012=IF(Scharniere[[#This Row],[mit Dämpfung]]=1,1,IF(Scharniere[[#This Row],[ohne Dämpfung]]=1,2,IF(Scharniere[[#This Row],[ohne Feder]]=1,3,0))),1,0)</f>
        <v>0</v>
      </c>
      <c r="Y829" s="359">
        <f>IF(Scharniere[[#This Row],[Bohrbild]]=select!$A$989,1,0)</f>
        <v>0</v>
      </c>
      <c r="Z829" s="359">
        <f>IF(IF(Scharniere[[#This Row],[Anschrauben]]=1,1,IF(Scharniere[[#This Row],[Einpressen]]=1,2,IF(Scharniere[[#This Row],[Quick]]=1,3,IF(Scharniere[[#This Row],[Werkzeuglos]]=1,4,0))))=select!$A$1003,1,0)</f>
        <v>1</v>
      </c>
      <c r="AA8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29" s="359">
        <f ca="1">IF(select!$K$980="*",Scharniere[[#This Row],[AG Ges2]],Scharniere[[#This Row],[AG Ges1]])</f>
        <v>0</v>
      </c>
      <c r="AE829" s="451">
        <f ca="1">IF(AND(Scharniere[[#This Row],[Scharnierart]]=select!$A$1485,Scharniere[[#This Row],[Gruppenschlüssel]]=select!$B$1485)=TRUE,1,0)</f>
        <v>0</v>
      </c>
      <c r="AF829" s="451">
        <f ca="1">IF(AND(Scharniere[[#This Row],[Scharnierart]]=select!$A$1486,Scharniere[[#This Row],[Gruppenschlüssel]]=select!$B$1486)=TRUE,1,0)</f>
        <v>0</v>
      </c>
      <c r="AG829" s="451">
        <f ca="1">IF(AND(Scharniere[[#This Row],[Scharnierart]]=select!$A$1487,Scharniere[[#This Row],[Gruppenschlüssel]]=select!$B$1487)=TRUE,1,0)</f>
        <v>0</v>
      </c>
      <c r="AH829" s="451">
        <f ca="1">IF(AND(Scharniere[[#This Row],[Scharnierart]]=select!$A$1488,Scharniere[[#This Row],[Gruppenschlüssel]]=select!$B$1488)=TRUE,1,0)</f>
        <v>0</v>
      </c>
      <c r="AI829" s="451">
        <f ca="1">IF(SUM(Scharniere[[#This Row],[konf Scharnier 1]:[konf Scharnier 4]])&gt;0,1,0)</f>
        <v>0</v>
      </c>
      <c r="AJ829" s="451"/>
      <c r="AK829" s="451"/>
      <c r="AL829" s="451"/>
      <c r="AM829" s="451"/>
      <c r="AN829" s="451"/>
      <c r="AO829" s="146">
        <v>2</v>
      </c>
      <c r="AP829" s="146">
        <v>4</v>
      </c>
      <c r="AQ829" s="71" t="str">
        <f ca="1">Sprache!$A$114</f>
        <v>Tiomos Scharnier TT Click-on</v>
      </c>
      <c r="AR829" t="str">
        <f ca="1">"110/30°, G-BB, "&amp;Sprache!$A$62&amp;" ni"</f>
        <v>110/30°, G-BB, einl. ni</v>
      </c>
      <c r="AS829" t="str">
        <f ca="1">Sprache!$A$103</f>
        <v>Tiomos Click-On Scharniere</v>
      </c>
      <c r="AT829" t="s">
        <v>1264</v>
      </c>
      <c r="AU829" t="s">
        <v>9</v>
      </c>
      <c r="AV829" t="s">
        <v>1489</v>
      </c>
      <c r="AW829" s="71">
        <v>0</v>
      </c>
      <c r="AX829">
        <v>0</v>
      </c>
      <c r="AY829">
        <v>1</v>
      </c>
      <c r="AZ829" s="71">
        <v>1</v>
      </c>
      <c r="BA829">
        <v>0</v>
      </c>
      <c r="BB829">
        <v>0</v>
      </c>
      <c r="BC829">
        <v>0</v>
      </c>
      <c r="BD829" s="144" t="s">
        <v>1712</v>
      </c>
      <c r="BF829" s="10"/>
      <c r="BG829"/>
    </row>
    <row r="830" spans="1:59" ht="14.25" customHeight="1" x14ac:dyDescent="0.25">
      <c r="A830" s="37" t="str">
        <f>LEFT(Scharniere[[#This Row],[ArtikelNR]],4)</f>
        <v>F017</v>
      </c>
      <c r="B830" s="35" t="str">
        <f>MID(Scharniere[[#This Row],[ArtikelNR]],5,3)</f>
        <v>139</v>
      </c>
      <c r="C830" s="37" t="str">
        <f>RIGHT(Scharniere[[#This Row],[ArtikelNR]],3)</f>
        <v>421</v>
      </c>
      <c r="D830" s="35">
        <f>IF(AND(Scharniere[[#This Row],[Gruppenschlüssel]]=select!$A$44,Scharniere[[#This Row],[Scharnierart]]=1)=TRUE,1,0)</f>
        <v>0</v>
      </c>
      <c r="E8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0" s="35">
        <f>IF(select!$F$57=IF(Scharniere[[#This Row],[mit Dämpfung]]=1,1,IF(Scharniere[[#This Row],[ohne Dämpfung]]=1,2,IF(Scharniere[[#This Row],[ohne Feder]]=1,3,0))),1,0)</f>
        <v>0</v>
      </c>
      <c r="G830" s="35">
        <f>IF(Scharniere[[#This Row],[Bohrbild]]=select!$V$43,1,0)</f>
        <v>0</v>
      </c>
      <c r="H830" s="35">
        <f>IF(IF(Scharniere[[#This Row],[Anschrauben]]=1,1,IF(Scharniere[[#This Row],[Einpressen]]=1,2,IF(Scharniere[[#This Row],[Quick]]=1,3,IF(Scharniere[[#This Row],[Werkzeuglos]]=1,4,0))))=select!$F$48,1,0)</f>
        <v>0</v>
      </c>
      <c r="I8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0" s="149">
        <f>IF(AND(Scharniere[[#This Row],[Scharnierart]]=2,Scharniere[[#This Row],[Gruppenschlüssel]]=select!$A$318)=TRUE,1,0)</f>
        <v>0</v>
      </c>
      <c r="K830" s="221">
        <f ca="1">IF(select!$O$424&lt;6,1,0)</f>
        <v>1</v>
      </c>
      <c r="L830" s="221">
        <f>IF(select!$A$362=IF(Scharniere[[#This Row],[mit Dämpfung]]=1,1,IF(Scharniere[[#This Row],[ohne Dämpfung]]=1,2,IF(Scharniere[[#This Row],[ohne Feder]]=1,3,0))),1,0)</f>
        <v>1</v>
      </c>
      <c r="M830" s="135">
        <f>IF(Scharniere[[#This Row],[Bohrbild]]=select!$O$334,1,0)</f>
        <v>0</v>
      </c>
      <c r="N830" s="135">
        <f>IF(IF(Scharniere[[#This Row],[Anschrauben]]=1,1,IF(Scharniere[[#This Row],[Einpressen]]=1,2,IF(Scharniere[[#This Row],[Quick]]=1,3,IF(Scharniere[[#This Row],[Werkzeuglos]]=1,4,0))))=select!$E$362,1,0)</f>
        <v>0</v>
      </c>
      <c r="O8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0" s="298">
        <f>IF(AND(Scharniere[[#This Row],[Scharnierart]]=3,Scharniere[[#This Row],[Gruppenschlüssel]]=select!$A$747)=TRUE,1,0)</f>
        <v>0</v>
      </c>
      <c r="Q830" s="298">
        <f ca="1">IF(select!$O$945&lt;6,1,0)</f>
        <v>1</v>
      </c>
      <c r="R830" s="298">
        <f>IF(select!$A$778=IF(Scharniere[[#This Row],[mit Dämpfung]]=1,1,IF(Scharniere[[#This Row],[ohne Dämpfung]]=1,2,IF(Scharniere[[#This Row],[ohne Feder]]=1,3,0))),1,0)</f>
        <v>0</v>
      </c>
      <c r="S830" s="298">
        <f>IF(Scharniere[[#This Row],[Bohrbild]]=select!$A$755,1,0)</f>
        <v>0</v>
      </c>
      <c r="T830" s="298">
        <f>IF(IF(Scharniere[[#This Row],[Anschrauben]]=1,1,IF(Scharniere[[#This Row],[Einpressen]]=1,2,IF(Scharniere[[#This Row],[Quick]]=1,3,IF(Scharniere[[#This Row],[Werkzeuglos]]=1,4,0))))=select!$A$769,1,0)</f>
        <v>0</v>
      </c>
      <c r="U8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0" s="359">
        <f>IF(AND(Scharniere[[#This Row],[Scharnierart]]=4,Scharniere[[#This Row],[Gruppenschlüssel]]=select!$A$981)=TRUE,1,0)</f>
        <v>0</v>
      </c>
      <c r="W830" s="359">
        <f ca="1">IF(select!$O$1185&lt;6,1,0)</f>
        <v>1</v>
      </c>
      <c r="X830" s="359">
        <f>IF(select!$A$1012=IF(Scharniere[[#This Row],[mit Dämpfung]]=1,1,IF(Scharniere[[#This Row],[ohne Dämpfung]]=1,2,IF(Scharniere[[#This Row],[ohne Feder]]=1,3,0))),1,0)</f>
        <v>0</v>
      </c>
      <c r="Y830" s="359">
        <f>IF(Scharniere[[#This Row],[Bohrbild]]=select!$A$989,1,0)</f>
        <v>0</v>
      </c>
      <c r="Z830" s="359">
        <f>IF(IF(Scharniere[[#This Row],[Anschrauben]]=1,1,IF(Scharniere[[#This Row],[Einpressen]]=1,2,IF(Scharniere[[#This Row],[Quick]]=1,3,IF(Scharniere[[#This Row],[Werkzeuglos]]=1,4,0))))=select!$A$1003,1,0)</f>
        <v>0</v>
      </c>
      <c r="AA8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0" s="359">
        <f ca="1">IF(select!$K$980="*",Scharniere[[#This Row],[AG Ges2]],Scharniere[[#This Row],[AG Ges1]])</f>
        <v>0</v>
      </c>
      <c r="AE830" s="451">
        <f ca="1">IF(AND(Scharniere[[#This Row],[Scharnierart]]=select!$A$1485,Scharniere[[#This Row],[Gruppenschlüssel]]=select!$B$1485)=TRUE,1,0)</f>
        <v>0</v>
      </c>
      <c r="AF830" s="451">
        <f ca="1">IF(AND(Scharniere[[#This Row],[Scharnierart]]=select!$A$1486,Scharniere[[#This Row],[Gruppenschlüssel]]=select!$B$1486)=TRUE,1,0)</f>
        <v>0</v>
      </c>
      <c r="AG830" s="451">
        <f ca="1">IF(AND(Scharniere[[#This Row],[Scharnierart]]=select!$A$1487,Scharniere[[#This Row],[Gruppenschlüssel]]=select!$B$1487)=TRUE,1,0)</f>
        <v>0</v>
      </c>
      <c r="AH830" s="451">
        <f ca="1">IF(AND(Scharniere[[#This Row],[Scharnierart]]=select!$A$1488,Scharniere[[#This Row],[Gruppenschlüssel]]=select!$B$1488)=TRUE,1,0)</f>
        <v>0</v>
      </c>
      <c r="AI830" s="451">
        <f ca="1">IF(SUM(Scharniere[[#This Row],[konf Scharnier 1]:[konf Scharnier 4]])&gt;0,1,0)</f>
        <v>0</v>
      </c>
      <c r="AJ830" s="451"/>
      <c r="AK830" s="451"/>
      <c r="AL830" s="451"/>
      <c r="AM830" s="451"/>
      <c r="AN830" s="451"/>
      <c r="AO830" s="146">
        <v>2</v>
      </c>
      <c r="AP830" s="146">
        <v>4</v>
      </c>
      <c r="AQ830" s="71" t="str">
        <f ca="1">Sprache!$A$113</f>
        <v>Tiomos Scharnier TS Impresso</v>
      </c>
      <c r="AR830" t="str">
        <f ca="1">"110/30°, GB-BB, "&amp;Sprache!$A$62&amp;" ni"</f>
        <v>110/30°, GB-BB, einl. ni</v>
      </c>
      <c r="AS830" t="str">
        <f ca="1">Sprache!$A$116</f>
        <v>Tiomos Impresso Scharniere</v>
      </c>
      <c r="AT830" t="s">
        <v>1264</v>
      </c>
      <c r="AU830" t="s">
        <v>9</v>
      </c>
      <c r="AV830" t="s">
        <v>1489</v>
      </c>
      <c r="AW830" s="71">
        <v>1</v>
      </c>
      <c r="AX830">
        <v>0</v>
      </c>
      <c r="AY830">
        <v>0</v>
      </c>
      <c r="AZ830" s="71">
        <v>0</v>
      </c>
      <c r="BA830">
        <v>0</v>
      </c>
      <c r="BB830">
        <v>0</v>
      </c>
      <c r="BC830">
        <v>1</v>
      </c>
      <c r="BD830" s="144" t="s">
        <v>1501</v>
      </c>
      <c r="BF830" s="10"/>
      <c r="BG830"/>
    </row>
    <row r="831" spans="1:59" ht="14.25" customHeight="1" x14ac:dyDescent="0.25">
      <c r="A831" s="37" t="str">
        <f>LEFT(Scharniere[[#This Row],[ArtikelNR]],4)</f>
        <v>F017</v>
      </c>
      <c r="B831" s="35" t="str">
        <f>MID(Scharniere[[#This Row],[ArtikelNR]],5,3)</f>
        <v>139</v>
      </c>
      <c r="C831" s="37" t="str">
        <f>RIGHT(Scharniere[[#This Row],[ArtikelNR]],3)</f>
        <v>421</v>
      </c>
      <c r="D831" s="35">
        <f>IF(AND(Scharniere[[#This Row],[Gruppenschlüssel]]=select!$A$44,Scharniere[[#This Row],[Scharnierart]]=1)=TRUE,1,0)</f>
        <v>0</v>
      </c>
      <c r="E8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1" s="35">
        <f>IF(select!$F$57=IF(Scharniere[[#This Row],[mit Dämpfung]]=1,1,IF(Scharniere[[#This Row],[ohne Dämpfung]]=1,2,IF(Scharniere[[#This Row],[ohne Feder]]=1,3,0))),1,0)</f>
        <v>0</v>
      </c>
      <c r="G831" s="35">
        <f>IF(Scharniere[[#This Row],[Bohrbild]]=select!$V$43,1,0)</f>
        <v>0</v>
      </c>
      <c r="H831" s="35">
        <f>IF(IF(Scharniere[[#This Row],[Anschrauben]]=1,1,IF(Scharniere[[#This Row],[Einpressen]]=1,2,IF(Scharniere[[#This Row],[Quick]]=1,3,IF(Scharniere[[#This Row],[Werkzeuglos]]=1,4,0))))=select!$F$48,1,0)</f>
        <v>0</v>
      </c>
      <c r="I8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1" s="149">
        <f>IF(AND(Scharniere[[#This Row],[Scharnierart]]=2,Scharniere[[#This Row],[Gruppenschlüssel]]=select!$A$318)=TRUE,1,0)</f>
        <v>0</v>
      </c>
      <c r="K831" s="221">
        <f ca="1">IF(select!$O$424&lt;6,1,0)</f>
        <v>1</v>
      </c>
      <c r="L831" s="221">
        <f>IF(select!$A$362=IF(Scharniere[[#This Row],[mit Dämpfung]]=1,1,IF(Scharniere[[#This Row],[ohne Dämpfung]]=1,2,IF(Scharniere[[#This Row],[ohne Feder]]=1,3,0))),1,0)</f>
        <v>1</v>
      </c>
      <c r="M831" s="135">
        <f>IF(Scharniere[[#This Row],[Bohrbild]]=select!$O$334,1,0)</f>
        <v>0</v>
      </c>
      <c r="N831" s="135">
        <f>IF(IF(Scharniere[[#This Row],[Anschrauben]]=1,1,IF(Scharniere[[#This Row],[Einpressen]]=1,2,IF(Scharniere[[#This Row],[Quick]]=1,3,IF(Scharniere[[#This Row],[Werkzeuglos]]=1,4,0))))=select!$E$362,1,0)</f>
        <v>0</v>
      </c>
      <c r="O8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1" s="298">
        <f>IF(AND(Scharniere[[#This Row],[Scharnierart]]=3,Scharniere[[#This Row],[Gruppenschlüssel]]=select!$A$747)=TRUE,1,0)</f>
        <v>0</v>
      </c>
      <c r="Q831" s="298">
        <f ca="1">IF(select!$O$945&lt;6,1,0)</f>
        <v>1</v>
      </c>
      <c r="R831" s="298">
        <f>IF(select!$A$778=IF(Scharniere[[#This Row],[mit Dämpfung]]=1,1,IF(Scharniere[[#This Row],[ohne Dämpfung]]=1,2,IF(Scharniere[[#This Row],[ohne Feder]]=1,3,0))),1,0)</f>
        <v>0</v>
      </c>
      <c r="S831" s="298">
        <f>IF(Scharniere[[#This Row],[Bohrbild]]=select!$A$755,1,0)</f>
        <v>0</v>
      </c>
      <c r="T831" s="298">
        <f>IF(IF(Scharniere[[#This Row],[Anschrauben]]=1,1,IF(Scharniere[[#This Row],[Einpressen]]=1,2,IF(Scharniere[[#This Row],[Quick]]=1,3,IF(Scharniere[[#This Row],[Werkzeuglos]]=1,4,0))))=select!$A$769,1,0)</f>
        <v>0</v>
      </c>
      <c r="U8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1" s="359">
        <f>IF(AND(Scharniere[[#This Row],[Scharnierart]]=4,Scharniere[[#This Row],[Gruppenschlüssel]]=select!$A$981)=TRUE,1,0)</f>
        <v>0</v>
      </c>
      <c r="W831" s="359">
        <f ca="1">IF(select!$O$1185&lt;6,1,0)</f>
        <v>1</v>
      </c>
      <c r="X831" s="359">
        <f>IF(select!$A$1012=IF(Scharniere[[#This Row],[mit Dämpfung]]=1,1,IF(Scharniere[[#This Row],[ohne Dämpfung]]=1,2,IF(Scharniere[[#This Row],[ohne Feder]]=1,3,0))),1,0)</f>
        <v>0</v>
      </c>
      <c r="Y831" s="359">
        <f>IF(Scharniere[[#This Row],[Bohrbild]]=select!$A$989,1,0)</f>
        <v>0</v>
      </c>
      <c r="Z831" s="359">
        <f>IF(IF(Scharniere[[#This Row],[Anschrauben]]=1,1,IF(Scharniere[[#This Row],[Einpressen]]=1,2,IF(Scharniere[[#This Row],[Quick]]=1,3,IF(Scharniere[[#This Row],[Werkzeuglos]]=1,4,0))))=select!$A$1003,1,0)</f>
        <v>0</v>
      </c>
      <c r="AA8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1" s="359">
        <f ca="1">IF(select!$K$980="*",Scharniere[[#This Row],[AG Ges2]],Scharniere[[#This Row],[AG Ges1]])</f>
        <v>0</v>
      </c>
      <c r="AE831" s="451">
        <f ca="1">IF(AND(Scharniere[[#This Row],[Scharnierart]]=select!$A$1485,Scharniere[[#This Row],[Gruppenschlüssel]]=select!$B$1485)=TRUE,1,0)</f>
        <v>0</v>
      </c>
      <c r="AF831" s="451">
        <f ca="1">IF(AND(Scharniere[[#This Row],[Scharnierart]]=select!$A$1486,Scharniere[[#This Row],[Gruppenschlüssel]]=select!$B$1486)=TRUE,1,0)</f>
        <v>0</v>
      </c>
      <c r="AG831" s="451">
        <f ca="1">IF(AND(Scharniere[[#This Row],[Scharnierart]]=select!$A$1487,Scharniere[[#This Row],[Gruppenschlüssel]]=select!$B$1487)=TRUE,1,0)</f>
        <v>0</v>
      </c>
      <c r="AH831" s="451">
        <f ca="1">IF(AND(Scharniere[[#This Row],[Scharnierart]]=select!$A$1488,Scharniere[[#This Row],[Gruppenschlüssel]]=select!$B$1488)=TRUE,1,0)</f>
        <v>0</v>
      </c>
      <c r="AI831" s="451">
        <f ca="1">IF(SUM(Scharniere[[#This Row],[konf Scharnier 1]:[konf Scharnier 4]])&gt;0,1,0)</f>
        <v>0</v>
      </c>
      <c r="AJ831" s="451"/>
      <c r="AK831" s="451"/>
      <c r="AL831" s="451"/>
      <c r="AM831" s="451"/>
      <c r="AN831" s="451"/>
      <c r="AO831" s="146">
        <v>2</v>
      </c>
      <c r="AP831" s="146">
        <v>4</v>
      </c>
      <c r="AQ831" s="71" t="str">
        <f ca="1">Sprache!$A$113</f>
        <v>Tiomos Scharnier TS Impresso</v>
      </c>
      <c r="AR831" t="str">
        <f ca="1">"110/30°, GB-BB, "&amp;Sprache!$A$62&amp;" ni"</f>
        <v>110/30°, GB-BB, einl. ni</v>
      </c>
      <c r="AS831" t="str">
        <f ca="1">Sprache!$A$116</f>
        <v>Tiomos Impresso Scharniere</v>
      </c>
      <c r="AT831" t="s">
        <v>1264</v>
      </c>
      <c r="AU831" t="s">
        <v>3</v>
      </c>
      <c r="AV831" t="s">
        <v>1489</v>
      </c>
      <c r="AW831" s="71">
        <v>1</v>
      </c>
      <c r="AX831">
        <v>0</v>
      </c>
      <c r="AY831">
        <v>0</v>
      </c>
      <c r="AZ831" s="71">
        <v>0</v>
      </c>
      <c r="BA831">
        <v>0</v>
      </c>
      <c r="BB831">
        <v>0</v>
      </c>
      <c r="BC831">
        <v>1</v>
      </c>
      <c r="BD831" s="144" t="s">
        <v>1501</v>
      </c>
      <c r="BF831" s="10"/>
      <c r="BG831"/>
    </row>
    <row r="832" spans="1:59" ht="14.25" customHeight="1" x14ac:dyDescent="0.25">
      <c r="A832" s="37" t="str">
        <f>LEFT(Scharniere[[#This Row],[ArtikelNR]],4)</f>
        <v>F034</v>
      </c>
      <c r="B832" s="35" t="str">
        <f>MID(Scharniere[[#This Row],[ArtikelNR]],5,3)</f>
        <v>139</v>
      </c>
      <c r="C832" s="37" t="str">
        <f>RIGHT(Scharniere[[#This Row],[ArtikelNR]],3)</f>
        <v>392</v>
      </c>
      <c r="D832" s="35">
        <f>IF(AND(Scharniere[[#This Row],[Gruppenschlüssel]]=select!$A$44,Scharniere[[#This Row],[Scharnierart]]=1)=TRUE,1,0)</f>
        <v>0</v>
      </c>
      <c r="E8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2" s="35">
        <f>IF(select!$F$57=IF(Scharniere[[#This Row],[mit Dämpfung]]=1,1,IF(Scharniere[[#This Row],[ohne Dämpfung]]=1,2,IF(Scharniere[[#This Row],[ohne Feder]]=1,3,0))),1,0)</f>
        <v>0</v>
      </c>
      <c r="G832" s="35">
        <f>IF(Scharniere[[#This Row],[Bohrbild]]=select!$V$43,1,0)</f>
        <v>0</v>
      </c>
      <c r="H832" s="35">
        <f>IF(IF(Scharniere[[#This Row],[Anschrauben]]=1,1,IF(Scharniere[[#This Row],[Einpressen]]=1,2,IF(Scharniere[[#This Row],[Quick]]=1,3,IF(Scharniere[[#This Row],[Werkzeuglos]]=1,4,0))))=select!$F$48,1,0)</f>
        <v>0</v>
      </c>
      <c r="I8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2" s="149">
        <f>IF(AND(Scharniere[[#This Row],[Scharnierart]]=2,Scharniere[[#This Row],[Gruppenschlüssel]]=select!$A$318)=TRUE,1,0)</f>
        <v>0</v>
      </c>
      <c r="K832" s="221">
        <f ca="1">IF(select!$O$424&lt;6,1,0)</f>
        <v>1</v>
      </c>
      <c r="L832" s="221">
        <f>IF(select!$A$362=IF(Scharniere[[#This Row],[mit Dämpfung]]=1,1,IF(Scharniere[[#This Row],[ohne Dämpfung]]=1,2,IF(Scharniere[[#This Row],[ohne Feder]]=1,3,0))),1,0)</f>
        <v>0</v>
      </c>
      <c r="M832" s="135">
        <f>IF(Scharniere[[#This Row],[Bohrbild]]=select!$O$334,1,0)</f>
        <v>0</v>
      </c>
      <c r="N832" s="135">
        <f>IF(IF(Scharniere[[#This Row],[Anschrauben]]=1,1,IF(Scharniere[[#This Row],[Einpressen]]=1,2,IF(Scharniere[[#This Row],[Quick]]=1,3,IF(Scharniere[[#This Row],[Werkzeuglos]]=1,4,0))))=select!$E$362,1,0)</f>
        <v>0</v>
      </c>
      <c r="O8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2" s="298">
        <f>IF(AND(Scharniere[[#This Row],[Scharnierart]]=3,Scharniere[[#This Row],[Gruppenschlüssel]]=select!$A$747)=TRUE,1,0)</f>
        <v>0</v>
      </c>
      <c r="Q832" s="298">
        <f ca="1">IF(select!$O$945&lt;6,1,0)</f>
        <v>1</v>
      </c>
      <c r="R832" s="298">
        <f>IF(select!$A$778=IF(Scharniere[[#This Row],[mit Dämpfung]]=1,1,IF(Scharniere[[#This Row],[ohne Dämpfung]]=1,2,IF(Scharniere[[#This Row],[ohne Feder]]=1,3,0))),1,0)</f>
        <v>1</v>
      </c>
      <c r="S832" s="298">
        <f>IF(Scharniere[[#This Row],[Bohrbild]]=select!$A$755,1,0)</f>
        <v>0</v>
      </c>
      <c r="T832" s="298">
        <f>IF(IF(Scharniere[[#This Row],[Anschrauben]]=1,1,IF(Scharniere[[#This Row],[Einpressen]]=1,2,IF(Scharniere[[#This Row],[Quick]]=1,3,IF(Scharniere[[#This Row],[Werkzeuglos]]=1,4,0))))=select!$A$769,1,0)</f>
        <v>0</v>
      </c>
      <c r="U8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2" s="359">
        <f>IF(AND(Scharniere[[#This Row],[Scharnierart]]=4,Scharniere[[#This Row],[Gruppenschlüssel]]=select!$A$981)=TRUE,1,0)</f>
        <v>0</v>
      </c>
      <c r="W832" s="359">
        <f ca="1">IF(select!$O$1185&lt;6,1,0)</f>
        <v>1</v>
      </c>
      <c r="X832" s="359">
        <f>IF(select!$A$1012=IF(Scharniere[[#This Row],[mit Dämpfung]]=1,1,IF(Scharniere[[#This Row],[ohne Dämpfung]]=1,2,IF(Scharniere[[#This Row],[ohne Feder]]=1,3,0))),1,0)</f>
        <v>1</v>
      </c>
      <c r="Y832" s="359">
        <f>IF(Scharniere[[#This Row],[Bohrbild]]=select!$A$989,1,0)</f>
        <v>0</v>
      </c>
      <c r="Z832" s="359">
        <f>IF(IF(Scharniere[[#This Row],[Anschrauben]]=1,1,IF(Scharniere[[#This Row],[Einpressen]]=1,2,IF(Scharniere[[#This Row],[Quick]]=1,3,IF(Scharniere[[#This Row],[Werkzeuglos]]=1,4,0))))=select!$A$1003,1,0)</f>
        <v>0</v>
      </c>
      <c r="AA8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2" s="359">
        <f ca="1">IF(select!$K$980="*",Scharniere[[#This Row],[AG Ges2]],Scharniere[[#This Row],[AG Ges1]])</f>
        <v>0</v>
      </c>
      <c r="AE832" s="451">
        <f ca="1">IF(AND(Scharniere[[#This Row],[Scharnierart]]=select!$A$1485,Scharniere[[#This Row],[Gruppenschlüssel]]=select!$B$1485)=TRUE,1,0)</f>
        <v>0</v>
      </c>
      <c r="AF832" s="451">
        <f ca="1">IF(AND(Scharniere[[#This Row],[Scharnierart]]=select!$A$1486,Scharniere[[#This Row],[Gruppenschlüssel]]=select!$B$1486)=TRUE,1,0)</f>
        <v>0</v>
      </c>
      <c r="AG832" s="451">
        <f ca="1">IF(AND(Scharniere[[#This Row],[Scharnierart]]=select!$A$1487,Scharniere[[#This Row],[Gruppenschlüssel]]=select!$B$1487)=TRUE,1,0)</f>
        <v>0</v>
      </c>
      <c r="AH832" s="451">
        <f ca="1">IF(AND(Scharniere[[#This Row],[Scharnierart]]=select!$A$1488,Scharniere[[#This Row],[Gruppenschlüssel]]=select!$B$1488)=TRUE,1,0)</f>
        <v>0</v>
      </c>
      <c r="AI832" s="451">
        <f ca="1">IF(SUM(Scharniere[[#This Row],[konf Scharnier 1]:[konf Scharnier 4]])&gt;0,1,0)</f>
        <v>0</v>
      </c>
      <c r="AJ832" s="451"/>
      <c r="AK832" s="451"/>
      <c r="AL832" s="451"/>
      <c r="AM832" s="451"/>
      <c r="AN832" s="451"/>
      <c r="AO832" s="146">
        <v>2</v>
      </c>
      <c r="AP832" s="146">
        <v>4</v>
      </c>
      <c r="AQ832" s="71" t="str">
        <f ca="1">Sprache!$A$119</f>
        <v>Tiomos Scharnier T Impresso</v>
      </c>
      <c r="AR832" t="str">
        <f ca="1">"110/30°, GB-BB, "&amp;Sprache!$A$62&amp;" ni"</f>
        <v>110/30°, GB-BB, einl. ni</v>
      </c>
      <c r="AS832" t="str">
        <f ca="1">Sprache!$A$103</f>
        <v>Tiomos Click-On Scharniere</v>
      </c>
      <c r="AT832" t="s">
        <v>1264</v>
      </c>
      <c r="AU832" t="s">
        <v>9</v>
      </c>
      <c r="AV832" t="s">
        <v>1489</v>
      </c>
      <c r="AW832" s="71">
        <v>0</v>
      </c>
      <c r="AX832">
        <v>1</v>
      </c>
      <c r="AY832">
        <v>0</v>
      </c>
      <c r="AZ832" s="71">
        <v>0</v>
      </c>
      <c r="BA832">
        <v>0</v>
      </c>
      <c r="BB832">
        <v>0</v>
      </c>
      <c r="BC832">
        <v>1</v>
      </c>
      <c r="BD832" s="144" t="s">
        <v>1757</v>
      </c>
      <c r="BF832" s="10"/>
      <c r="BG832"/>
    </row>
    <row r="833" spans="1:59" ht="14.25" customHeight="1" x14ac:dyDescent="0.25">
      <c r="A833" s="37" t="str">
        <f>LEFT(Scharniere[[#This Row],[ArtikelNR]],4)</f>
        <v>F034</v>
      </c>
      <c r="B833" s="35" t="str">
        <f>MID(Scharniere[[#This Row],[ArtikelNR]],5,3)</f>
        <v>139</v>
      </c>
      <c r="C833" s="37" t="str">
        <f>RIGHT(Scharniere[[#This Row],[ArtikelNR]],3)</f>
        <v>392</v>
      </c>
      <c r="D833" s="35">
        <f>IF(AND(Scharniere[[#This Row],[Gruppenschlüssel]]=select!$A$44,Scharniere[[#This Row],[Scharnierart]]=1)=TRUE,1,0)</f>
        <v>0</v>
      </c>
      <c r="E8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3" s="35">
        <f>IF(select!$F$57=IF(Scharniere[[#This Row],[mit Dämpfung]]=1,1,IF(Scharniere[[#This Row],[ohne Dämpfung]]=1,2,IF(Scharniere[[#This Row],[ohne Feder]]=1,3,0))),1,0)</f>
        <v>0</v>
      </c>
      <c r="G833" s="35">
        <f>IF(Scharniere[[#This Row],[Bohrbild]]=select!$V$43,1,0)</f>
        <v>0</v>
      </c>
      <c r="H833" s="35">
        <f>IF(IF(Scharniere[[#This Row],[Anschrauben]]=1,1,IF(Scharniere[[#This Row],[Einpressen]]=1,2,IF(Scharniere[[#This Row],[Quick]]=1,3,IF(Scharniere[[#This Row],[Werkzeuglos]]=1,4,0))))=select!$F$48,1,0)</f>
        <v>0</v>
      </c>
      <c r="I8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3" s="149">
        <f>IF(AND(Scharniere[[#This Row],[Scharnierart]]=2,Scharniere[[#This Row],[Gruppenschlüssel]]=select!$A$318)=TRUE,1,0)</f>
        <v>0</v>
      </c>
      <c r="K833" s="221">
        <f ca="1">IF(select!$O$424&lt;6,1,0)</f>
        <v>1</v>
      </c>
      <c r="L833" s="221">
        <f>IF(select!$A$362=IF(Scharniere[[#This Row],[mit Dämpfung]]=1,1,IF(Scharniere[[#This Row],[ohne Dämpfung]]=1,2,IF(Scharniere[[#This Row],[ohne Feder]]=1,3,0))),1,0)</f>
        <v>0</v>
      </c>
      <c r="M833" s="135">
        <f>IF(Scharniere[[#This Row],[Bohrbild]]=select!$O$334,1,0)</f>
        <v>0</v>
      </c>
      <c r="N833" s="135">
        <f>IF(IF(Scharniere[[#This Row],[Anschrauben]]=1,1,IF(Scharniere[[#This Row],[Einpressen]]=1,2,IF(Scharniere[[#This Row],[Quick]]=1,3,IF(Scharniere[[#This Row],[Werkzeuglos]]=1,4,0))))=select!$E$362,1,0)</f>
        <v>0</v>
      </c>
      <c r="O8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3" s="298">
        <f>IF(AND(Scharniere[[#This Row],[Scharnierart]]=3,Scharniere[[#This Row],[Gruppenschlüssel]]=select!$A$747)=TRUE,1,0)</f>
        <v>0</v>
      </c>
      <c r="Q833" s="298">
        <f ca="1">IF(select!$O$945&lt;6,1,0)</f>
        <v>1</v>
      </c>
      <c r="R833" s="298">
        <f>IF(select!$A$778=IF(Scharniere[[#This Row],[mit Dämpfung]]=1,1,IF(Scharniere[[#This Row],[ohne Dämpfung]]=1,2,IF(Scharniere[[#This Row],[ohne Feder]]=1,3,0))),1,0)</f>
        <v>1</v>
      </c>
      <c r="S833" s="298">
        <f>IF(Scharniere[[#This Row],[Bohrbild]]=select!$A$755,1,0)</f>
        <v>0</v>
      </c>
      <c r="T833" s="298">
        <f>IF(IF(Scharniere[[#This Row],[Anschrauben]]=1,1,IF(Scharniere[[#This Row],[Einpressen]]=1,2,IF(Scharniere[[#This Row],[Quick]]=1,3,IF(Scharniere[[#This Row],[Werkzeuglos]]=1,4,0))))=select!$A$769,1,0)</f>
        <v>0</v>
      </c>
      <c r="U8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3" s="359">
        <f>IF(AND(Scharniere[[#This Row],[Scharnierart]]=4,Scharniere[[#This Row],[Gruppenschlüssel]]=select!$A$981)=TRUE,1,0)</f>
        <v>0</v>
      </c>
      <c r="W833" s="359">
        <f ca="1">IF(select!$O$1185&lt;6,1,0)</f>
        <v>1</v>
      </c>
      <c r="X833" s="359">
        <f>IF(select!$A$1012=IF(Scharniere[[#This Row],[mit Dämpfung]]=1,1,IF(Scharniere[[#This Row],[ohne Dämpfung]]=1,2,IF(Scharniere[[#This Row],[ohne Feder]]=1,3,0))),1,0)</f>
        <v>1</v>
      </c>
      <c r="Y833" s="359">
        <f>IF(Scharniere[[#This Row],[Bohrbild]]=select!$A$989,1,0)</f>
        <v>0</v>
      </c>
      <c r="Z833" s="359">
        <f>IF(IF(Scharniere[[#This Row],[Anschrauben]]=1,1,IF(Scharniere[[#This Row],[Einpressen]]=1,2,IF(Scharniere[[#This Row],[Quick]]=1,3,IF(Scharniere[[#This Row],[Werkzeuglos]]=1,4,0))))=select!$A$1003,1,0)</f>
        <v>0</v>
      </c>
      <c r="AA8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3" s="359">
        <f ca="1">IF(select!$K$980="*",Scharniere[[#This Row],[AG Ges2]],Scharniere[[#This Row],[AG Ges1]])</f>
        <v>0</v>
      </c>
      <c r="AE833" s="451">
        <f ca="1">IF(AND(Scharniere[[#This Row],[Scharnierart]]=select!$A$1485,Scharniere[[#This Row],[Gruppenschlüssel]]=select!$B$1485)=TRUE,1,0)</f>
        <v>0</v>
      </c>
      <c r="AF833" s="451">
        <f ca="1">IF(AND(Scharniere[[#This Row],[Scharnierart]]=select!$A$1486,Scharniere[[#This Row],[Gruppenschlüssel]]=select!$B$1486)=TRUE,1,0)</f>
        <v>0</v>
      </c>
      <c r="AG833" s="451">
        <f ca="1">IF(AND(Scharniere[[#This Row],[Scharnierart]]=select!$A$1487,Scharniere[[#This Row],[Gruppenschlüssel]]=select!$B$1487)=TRUE,1,0)</f>
        <v>0</v>
      </c>
      <c r="AH833" s="451">
        <f ca="1">IF(AND(Scharniere[[#This Row],[Scharnierart]]=select!$A$1488,Scharniere[[#This Row],[Gruppenschlüssel]]=select!$B$1488)=TRUE,1,0)</f>
        <v>0</v>
      </c>
      <c r="AI833" s="451">
        <f ca="1">IF(SUM(Scharniere[[#This Row],[konf Scharnier 1]:[konf Scharnier 4]])&gt;0,1,0)</f>
        <v>0</v>
      </c>
      <c r="AJ833" s="451"/>
      <c r="AK833" s="451"/>
      <c r="AL833" s="451"/>
      <c r="AM833" s="451"/>
      <c r="AN833" s="451"/>
      <c r="AO833" s="146">
        <v>2</v>
      </c>
      <c r="AP833" s="146">
        <v>4</v>
      </c>
      <c r="AQ833" s="71" t="str">
        <f ca="1">Sprache!$A$119</f>
        <v>Tiomos Scharnier T Impresso</v>
      </c>
      <c r="AR833" t="str">
        <f ca="1">"110/30°, GB-BB, "&amp;Sprache!$A$62&amp;" ni"</f>
        <v>110/30°, GB-BB, einl. ni</v>
      </c>
      <c r="AS833" t="str">
        <f ca="1">Sprache!$A$103</f>
        <v>Tiomos Click-On Scharniere</v>
      </c>
      <c r="AT833" t="s">
        <v>1264</v>
      </c>
      <c r="AU833" t="s">
        <v>3</v>
      </c>
      <c r="AV833" t="s">
        <v>1489</v>
      </c>
      <c r="AW833" s="71">
        <v>0</v>
      </c>
      <c r="AX833">
        <v>1</v>
      </c>
      <c r="AY833">
        <v>0</v>
      </c>
      <c r="AZ833" s="71">
        <v>0</v>
      </c>
      <c r="BA833">
        <v>0</v>
      </c>
      <c r="BB833">
        <v>0</v>
      </c>
      <c r="BC833">
        <v>1</v>
      </c>
      <c r="BD833" s="144" t="s">
        <v>1757</v>
      </c>
      <c r="BF833" s="10"/>
      <c r="BG833"/>
    </row>
    <row r="834" spans="1:59" ht="14.25" customHeight="1" x14ac:dyDescent="0.25">
      <c r="A834" s="37" t="str">
        <f>LEFT(Scharniere[[#This Row],[ArtikelNR]],4)</f>
        <v>F028</v>
      </c>
      <c r="B834" s="35" t="str">
        <f>MID(Scharniere[[#This Row],[ArtikelNR]],5,3)</f>
        <v>138</v>
      </c>
      <c r="C834" s="37" t="str">
        <f>RIGHT(Scharniere[[#This Row],[ArtikelNR]],3)</f>
        <v>712</v>
      </c>
      <c r="D834" s="35">
        <f>IF(AND(Scharniere[[#This Row],[Gruppenschlüssel]]=select!$A$44,Scharniere[[#This Row],[Scharnierart]]=1)=TRUE,1,0)</f>
        <v>0</v>
      </c>
      <c r="E8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4" s="35">
        <f>IF(select!$F$57=IF(Scharniere[[#This Row],[mit Dämpfung]]=1,1,IF(Scharniere[[#This Row],[ohne Dämpfung]]=1,2,IF(Scharniere[[#This Row],[ohne Feder]]=1,3,0))),1,0)</f>
        <v>0</v>
      </c>
      <c r="G834" s="35">
        <f>IF(Scharniere[[#This Row],[Bohrbild]]=select!$V$43,1,0)</f>
        <v>0</v>
      </c>
      <c r="H834" s="35">
        <f>IF(IF(Scharniere[[#This Row],[Anschrauben]]=1,1,IF(Scharniere[[#This Row],[Einpressen]]=1,2,IF(Scharniere[[#This Row],[Quick]]=1,3,IF(Scharniere[[#This Row],[Werkzeuglos]]=1,4,0))))=select!$F$48,1,0)</f>
        <v>0</v>
      </c>
      <c r="I8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4" s="149">
        <f>IF(AND(Scharniere[[#This Row],[Scharnierart]]=2,Scharniere[[#This Row],[Gruppenschlüssel]]=select!$A$318)=TRUE,1,0)</f>
        <v>0</v>
      </c>
      <c r="K834" s="221">
        <f ca="1">IF(select!$O$424&lt;6,1,0)</f>
        <v>1</v>
      </c>
      <c r="L834" s="221">
        <f>IF(select!$A$362=IF(Scharniere[[#This Row],[mit Dämpfung]]=1,1,IF(Scharniere[[#This Row],[ohne Dämpfung]]=1,2,IF(Scharniere[[#This Row],[ohne Feder]]=1,3,0))),1,0)</f>
        <v>1</v>
      </c>
      <c r="M834" s="135">
        <f>IF(Scharniere[[#This Row],[Bohrbild]]=select!$O$334,1,0)</f>
        <v>0</v>
      </c>
      <c r="N834" s="135">
        <f>IF(IF(Scharniere[[#This Row],[Anschrauben]]=1,1,IF(Scharniere[[#This Row],[Einpressen]]=1,2,IF(Scharniere[[#This Row],[Quick]]=1,3,IF(Scharniere[[#This Row],[Werkzeuglos]]=1,4,0))))=select!$E$362,1,0)</f>
        <v>1</v>
      </c>
      <c r="O8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4" s="298">
        <f>IF(AND(Scharniere[[#This Row],[Scharnierart]]=3,Scharniere[[#This Row],[Gruppenschlüssel]]=select!$A$747)=TRUE,1,0)</f>
        <v>0</v>
      </c>
      <c r="Q834" s="298">
        <f ca="1">IF(select!$O$945&lt;6,1,0)</f>
        <v>1</v>
      </c>
      <c r="R834" s="298">
        <f>IF(select!$A$778=IF(Scharniere[[#This Row],[mit Dämpfung]]=1,1,IF(Scharniere[[#This Row],[ohne Dämpfung]]=1,2,IF(Scharniere[[#This Row],[ohne Feder]]=1,3,0))),1,0)</f>
        <v>0</v>
      </c>
      <c r="S834" s="298">
        <f>IF(Scharniere[[#This Row],[Bohrbild]]=select!$A$755,1,0)</f>
        <v>0</v>
      </c>
      <c r="T834" s="298">
        <f>IF(IF(Scharniere[[#This Row],[Anschrauben]]=1,1,IF(Scharniere[[#This Row],[Einpressen]]=1,2,IF(Scharniere[[#This Row],[Quick]]=1,3,IF(Scharniere[[#This Row],[Werkzeuglos]]=1,4,0))))=select!$A$769,1,0)</f>
        <v>1</v>
      </c>
      <c r="U8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4" s="359">
        <f>IF(AND(Scharniere[[#This Row],[Scharnierart]]=4,Scharniere[[#This Row],[Gruppenschlüssel]]=select!$A$981)=TRUE,1,0)</f>
        <v>0</v>
      </c>
      <c r="W834" s="359">
        <f ca="1">IF(select!$O$1185&lt;6,1,0)</f>
        <v>1</v>
      </c>
      <c r="X834" s="359">
        <f>IF(select!$A$1012=IF(Scharniere[[#This Row],[mit Dämpfung]]=1,1,IF(Scharniere[[#This Row],[ohne Dämpfung]]=1,2,IF(Scharniere[[#This Row],[ohne Feder]]=1,3,0))),1,0)</f>
        <v>0</v>
      </c>
      <c r="Y834" s="359">
        <f>IF(Scharniere[[#This Row],[Bohrbild]]=select!$A$989,1,0)</f>
        <v>0</v>
      </c>
      <c r="Z834" s="359">
        <f>IF(IF(Scharniere[[#This Row],[Anschrauben]]=1,1,IF(Scharniere[[#This Row],[Einpressen]]=1,2,IF(Scharniere[[#This Row],[Quick]]=1,3,IF(Scharniere[[#This Row],[Werkzeuglos]]=1,4,0))))=select!$A$1003,1,0)</f>
        <v>1</v>
      </c>
      <c r="AA8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4" s="359">
        <f ca="1">IF(select!$K$980="*",Scharniere[[#This Row],[AG Ges2]],Scharniere[[#This Row],[AG Ges1]])</f>
        <v>0</v>
      </c>
      <c r="AE834" s="451">
        <f ca="1">IF(AND(Scharniere[[#This Row],[Scharnierart]]=select!$A$1485,Scharniere[[#This Row],[Gruppenschlüssel]]=select!$B$1485)=TRUE,1,0)</f>
        <v>0</v>
      </c>
      <c r="AF834" s="451">
        <f ca="1">IF(AND(Scharniere[[#This Row],[Scharnierart]]=select!$A$1486,Scharniere[[#This Row],[Gruppenschlüssel]]=select!$B$1486)=TRUE,1,0)</f>
        <v>0</v>
      </c>
      <c r="AG834" s="451">
        <f ca="1">IF(AND(Scharniere[[#This Row],[Scharnierart]]=select!$A$1487,Scharniere[[#This Row],[Gruppenschlüssel]]=select!$B$1487)=TRUE,1,0)</f>
        <v>0</v>
      </c>
      <c r="AH834" s="451">
        <f ca="1">IF(AND(Scharniere[[#This Row],[Scharnierart]]=select!$A$1488,Scharniere[[#This Row],[Gruppenschlüssel]]=select!$B$1488)=TRUE,1,0)</f>
        <v>0</v>
      </c>
      <c r="AI834" s="451">
        <f ca="1">IF(SUM(Scharniere[[#This Row],[konf Scharnier 1]:[konf Scharnier 4]])&gt;0,1,0)</f>
        <v>0</v>
      </c>
      <c r="AJ834" s="451"/>
      <c r="AK834" s="451"/>
      <c r="AL834" s="451"/>
      <c r="AM834" s="451"/>
      <c r="AN834" s="451"/>
      <c r="AO834" s="146">
        <v>2</v>
      </c>
      <c r="AP834" s="146">
        <v>4</v>
      </c>
      <c r="AQ834" s="10" t="str">
        <f ca="1">Sprache!$A$112</f>
        <v>Tiomos Scharnier TS Click-on</v>
      </c>
      <c r="AR834" t="str">
        <f ca="1">"110/30°, H-BB, "&amp;Sprache!$A$62&amp;" ni"</f>
        <v>110/30°, H-BB, einl. ni</v>
      </c>
      <c r="AS834" t="str">
        <f ca="1">Sprache!$A$103</f>
        <v>Tiomos Click-On Scharniere</v>
      </c>
      <c r="AT834" t="s">
        <v>1264</v>
      </c>
      <c r="AU834" t="s">
        <v>10</v>
      </c>
      <c r="AV834" t="s">
        <v>1489</v>
      </c>
      <c r="AW834" s="71">
        <v>1</v>
      </c>
      <c r="AX834">
        <v>0</v>
      </c>
      <c r="AY834">
        <v>0</v>
      </c>
      <c r="AZ834" s="71">
        <v>1</v>
      </c>
      <c r="BA834">
        <v>0</v>
      </c>
      <c r="BB834">
        <v>0</v>
      </c>
      <c r="BC834">
        <v>0</v>
      </c>
      <c r="BD834" s="144" t="s">
        <v>1555</v>
      </c>
      <c r="BF834" s="10"/>
      <c r="BG834"/>
    </row>
    <row r="835" spans="1:59" ht="14.25" customHeight="1" x14ac:dyDescent="0.25">
      <c r="A835" s="37" t="str">
        <f>LEFT(Scharniere[[#This Row],[ArtikelNR]],4)</f>
        <v>F045</v>
      </c>
      <c r="B835" s="35" t="str">
        <f>MID(Scharniere[[#This Row],[ArtikelNR]],5,3)</f>
        <v>138</v>
      </c>
      <c r="C835" s="37" t="str">
        <f>RIGHT(Scharniere[[#This Row],[ArtikelNR]],3)</f>
        <v>650</v>
      </c>
      <c r="D835" s="35">
        <f>IF(AND(Scharniere[[#This Row],[Gruppenschlüssel]]=select!$A$44,Scharniere[[#This Row],[Scharnierart]]=1)=TRUE,1,0)</f>
        <v>0</v>
      </c>
      <c r="E8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5" s="35">
        <f>IF(select!$F$57=IF(Scharniere[[#This Row],[mit Dämpfung]]=1,1,IF(Scharniere[[#This Row],[ohne Dämpfung]]=1,2,IF(Scharniere[[#This Row],[ohne Feder]]=1,3,0))),1,0)</f>
        <v>0</v>
      </c>
      <c r="G835" s="35">
        <f>IF(Scharniere[[#This Row],[Bohrbild]]=select!$V$43,1,0)</f>
        <v>0</v>
      </c>
      <c r="H835" s="35">
        <f>IF(IF(Scharniere[[#This Row],[Anschrauben]]=1,1,IF(Scharniere[[#This Row],[Einpressen]]=1,2,IF(Scharniere[[#This Row],[Quick]]=1,3,IF(Scharniere[[#This Row],[Werkzeuglos]]=1,4,0))))=select!$F$48,1,0)</f>
        <v>0</v>
      </c>
      <c r="I8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5" s="149">
        <f>IF(AND(Scharniere[[#This Row],[Scharnierart]]=2,Scharniere[[#This Row],[Gruppenschlüssel]]=select!$A$318)=TRUE,1,0)</f>
        <v>0</v>
      </c>
      <c r="K835" s="221">
        <f ca="1">IF(select!$O$424&lt;6,1,0)</f>
        <v>1</v>
      </c>
      <c r="L835" s="221">
        <f>IF(select!$A$362=IF(Scharniere[[#This Row],[mit Dämpfung]]=1,1,IF(Scharniere[[#This Row],[ohne Dämpfung]]=1,2,IF(Scharniere[[#This Row],[ohne Feder]]=1,3,0))),1,0)</f>
        <v>0</v>
      </c>
      <c r="M835" s="135">
        <f>IF(Scharniere[[#This Row],[Bohrbild]]=select!$O$334,1,0)</f>
        <v>0</v>
      </c>
      <c r="N835" s="135">
        <f>IF(IF(Scharniere[[#This Row],[Anschrauben]]=1,1,IF(Scharniere[[#This Row],[Einpressen]]=1,2,IF(Scharniere[[#This Row],[Quick]]=1,3,IF(Scharniere[[#This Row],[Werkzeuglos]]=1,4,0))))=select!$E$362,1,0)</f>
        <v>1</v>
      </c>
      <c r="O8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5" s="298">
        <f>IF(AND(Scharniere[[#This Row],[Scharnierart]]=3,Scharniere[[#This Row],[Gruppenschlüssel]]=select!$A$747)=TRUE,1,0)</f>
        <v>0</v>
      </c>
      <c r="Q835" s="298">
        <f ca="1">IF(select!$O$945&lt;6,1,0)</f>
        <v>1</v>
      </c>
      <c r="R835" s="298">
        <f>IF(select!$A$778=IF(Scharniere[[#This Row],[mit Dämpfung]]=1,1,IF(Scharniere[[#This Row],[ohne Dämpfung]]=1,2,IF(Scharniere[[#This Row],[ohne Feder]]=1,3,0))),1,0)</f>
        <v>1</v>
      </c>
      <c r="S835" s="298">
        <f>IF(Scharniere[[#This Row],[Bohrbild]]=select!$A$755,1,0)</f>
        <v>0</v>
      </c>
      <c r="T835" s="298">
        <f>IF(IF(Scharniere[[#This Row],[Anschrauben]]=1,1,IF(Scharniere[[#This Row],[Einpressen]]=1,2,IF(Scharniere[[#This Row],[Quick]]=1,3,IF(Scharniere[[#This Row],[Werkzeuglos]]=1,4,0))))=select!$A$769,1,0)</f>
        <v>1</v>
      </c>
      <c r="U8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5" s="359">
        <f>IF(AND(Scharniere[[#This Row],[Scharnierart]]=4,Scharniere[[#This Row],[Gruppenschlüssel]]=select!$A$981)=TRUE,1,0)</f>
        <v>0</v>
      </c>
      <c r="W835" s="359">
        <f ca="1">IF(select!$O$1185&lt;6,1,0)</f>
        <v>1</v>
      </c>
      <c r="X835" s="359">
        <f>IF(select!$A$1012=IF(Scharniere[[#This Row],[mit Dämpfung]]=1,1,IF(Scharniere[[#This Row],[ohne Dämpfung]]=1,2,IF(Scharniere[[#This Row],[ohne Feder]]=1,3,0))),1,0)</f>
        <v>1</v>
      </c>
      <c r="Y835" s="359">
        <f>IF(Scharniere[[#This Row],[Bohrbild]]=select!$A$989,1,0)</f>
        <v>0</v>
      </c>
      <c r="Z835" s="359">
        <f>IF(IF(Scharniere[[#This Row],[Anschrauben]]=1,1,IF(Scharniere[[#This Row],[Einpressen]]=1,2,IF(Scharniere[[#This Row],[Quick]]=1,3,IF(Scharniere[[#This Row],[Werkzeuglos]]=1,4,0))))=select!$A$1003,1,0)</f>
        <v>1</v>
      </c>
      <c r="AA8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5" s="359">
        <f ca="1">IF(select!$K$980="*",Scharniere[[#This Row],[AG Ges2]],Scharniere[[#This Row],[AG Ges1]])</f>
        <v>0</v>
      </c>
      <c r="AE835" s="451">
        <f ca="1">IF(AND(Scharniere[[#This Row],[Scharnierart]]=select!$A$1485,Scharniere[[#This Row],[Gruppenschlüssel]]=select!$B$1485)=TRUE,1,0)</f>
        <v>0</v>
      </c>
      <c r="AF835" s="451">
        <f ca="1">IF(AND(Scharniere[[#This Row],[Scharnierart]]=select!$A$1486,Scharniere[[#This Row],[Gruppenschlüssel]]=select!$B$1486)=TRUE,1,0)</f>
        <v>0</v>
      </c>
      <c r="AG835" s="451">
        <f ca="1">IF(AND(Scharniere[[#This Row],[Scharnierart]]=select!$A$1487,Scharniere[[#This Row],[Gruppenschlüssel]]=select!$B$1487)=TRUE,1,0)</f>
        <v>0</v>
      </c>
      <c r="AH835" s="451">
        <f ca="1">IF(AND(Scharniere[[#This Row],[Scharnierart]]=select!$A$1488,Scharniere[[#This Row],[Gruppenschlüssel]]=select!$B$1488)=TRUE,1,0)</f>
        <v>0</v>
      </c>
      <c r="AI835" s="451">
        <f ca="1">IF(SUM(Scharniere[[#This Row],[konf Scharnier 1]:[konf Scharnier 4]])&gt;0,1,0)</f>
        <v>0</v>
      </c>
      <c r="AJ835" s="451"/>
      <c r="AK835" s="451"/>
      <c r="AL835" s="451"/>
      <c r="AM835" s="451"/>
      <c r="AN835" s="451"/>
      <c r="AO835" s="146">
        <v>2</v>
      </c>
      <c r="AP835" s="146">
        <v>4</v>
      </c>
      <c r="AQ835" s="10" t="str">
        <f ca="1">Sprache!$A$118</f>
        <v>Tiomos Scharnier T Click-on</v>
      </c>
      <c r="AR835" t="str">
        <f ca="1">"110/30°, H-BB, "&amp;Sprache!$A$62&amp;" ni"</f>
        <v>110/30°, H-BB, einl. ni</v>
      </c>
      <c r="AS835" t="str">
        <f ca="1">Sprache!$A$103</f>
        <v>Tiomos Click-On Scharniere</v>
      </c>
      <c r="AT835" t="s">
        <v>1264</v>
      </c>
      <c r="AU835" t="s">
        <v>10</v>
      </c>
      <c r="AV835" t="s">
        <v>1489</v>
      </c>
      <c r="AW835" s="71">
        <v>0</v>
      </c>
      <c r="AX835">
        <v>1</v>
      </c>
      <c r="AY835">
        <v>0</v>
      </c>
      <c r="AZ835" s="71">
        <v>1</v>
      </c>
      <c r="BA835">
        <v>0</v>
      </c>
      <c r="BB835">
        <v>0</v>
      </c>
      <c r="BC835">
        <v>0</v>
      </c>
      <c r="BD835" s="144" t="s">
        <v>1664</v>
      </c>
      <c r="BF835" s="10"/>
      <c r="BG835"/>
    </row>
    <row r="836" spans="1:59" ht="14.25" customHeight="1" x14ac:dyDescent="0.25">
      <c r="A836" s="37" t="str">
        <f>LEFT(Scharniere[[#This Row],[ArtikelNR]],4)</f>
        <v>F046</v>
      </c>
      <c r="B836" s="35" t="str">
        <f>MID(Scharniere[[#This Row],[ArtikelNR]],5,3)</f>
        <v>138</v>
      </c>
      <c r="C836" s="37" t="str">
        <f>RIGHT(Scharniere[[#This Row],[ArtikelNR]],3)</f>
        <v>772</v>
      </c>
      <c r="D836" s="35">
        <f>IF(AND(Scharniere[[#This Row],[Gruppenschlüssel]]=select!$A$44,Scharniere[[#This Row],[Scharnierart]]=1)=TRUE,1,0)</f>
        <v>0</v>
      </c>
      <c r="E8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6" s="35">
        <f>IF(select!$F$57=IF(Scharniere[[#This Row],[mit Dämpfung]]=1,1,IF(Scharniere[[#This Row],[ohne Dämpfung]]=1,2,IF(Scharniere[[#This Row],[ohne Feder]]=1,3,0))),1,0)</f>
        <v>1</v>
      </c>
      <c r="G836" s="35">
        <f>IF(Scharniere[[#This Row],[Bohrbild]]=select!$V$43,1,0)</f>
        <v>0</v>
      </c>
      <c r="H836" s="35">
        <f>IF(IF(Scharniere[[#This Row],[Anschrauben]]=1,1,IF(Scharniere[[#This Row],[Einpressen]]=1,2,IF(Scharniere[[#This Row],[Quick]]=1,3,IF(Scharniere[[#This Row],[Werkzeuglos]]=1,4,0))))=select!$F$48,1,0)</f>
        <v>0</v>
      </c>
      <c r="I8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6" s="149">
        <f>IF(AND(Scharniere[[#This Row],[Scharnierart]]=2,Scharniere[[#This Row],[Gruppenschlüssel]]=select!$A$318)=TRUE,1,0)</f>
        <v>0</v>
      </c>
      <c r="K836" s="221">
        <f ca="1">IF(select!$O$424&lt;6,1,0)</f>
        <v>1</v>
      </c>
      <c r="L836" s="221">
        <f>IF(select!$A$362=IF(Scharniere[[#This Row],[mit Dämpfung]]=1,1,IF(Scharniere[[#This Row],[ohne Dämpfung]]=1,2,IF(Scharniere[[#This Row],[ohne Feder]]=1,3,0))),1,0)</f>
        <v>0</v>
      </c>
      <c r="M836" s="135">
        <f>IF(Scharniere[[#This Row],[Bohrbild]]=select!$O$334,1,0)</f>
        <v>0</v>
      </c>
      <c r="N836" s="135">
        <f>IF(IF(Scharniere[[#This Row],[Anschrauben]]=1,1,IF(Scharniere[[#This Row],[Einpressen]]=1,2,IF(Scharniere[[#This Row],[Quick]]=1,3,IF(Scharniere[[#This Row],[Werkzeuglos]]=1,4,0))))=select!$E$362,1,0)</f>
        <v>1</v>
      </c>
      <c r="O8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6" s="298">
        <f>IF(AND(Scharniere[[#This Row],[Scharnierart]]=3,Scharniere[[#This Row],[Gruppenschlüssel]]=select!$A$747)=TRUE,1,0)</f>
        <v>0</v>
      </c>
      <c r="Q836" s="298">
        <f ca="1">IF(select!$O$945&lt;6,1,0)</f>
        <v>1</v>
      </c>
      <c r="R836" s="298">
        <f>IF(select!$A$778=IF(Scharniere[[#This Row],[mit Dämpfung]]=1,1,IF(Scharniere[[#This Row],[ohne Dämpfung]]=1,2,IF(Scharniere[[#This Row],[ohne Feder]]=1,3,0))),1,0)</f>
        <v>0</v>
      </c>
      <c r="S836" s="298">
        <f>IF(Scharniere[[#This Row],[Bohrbild]]=select!$A$755,1,0)</f>
        <v>0</v>
      </c>
      <c r="T836" s="298">
        <f>IF(IF(Scharniere[[#This Row],[Anschrauben]]=1,1,IF(Scharniere[[#This Row],[Einpressen]]=1,2,IF(Scharniere[[#This Row],[Quick]]=1,3,IF(Scharniere[[#This Row],[Werkzeuglos]]=1,4,0))))=select!$A$769,1,0)</f>
        <v>1</v>
      </c>
      <c r="U8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6" s="359">
        <f>IF(AND(Scharniere[[#This Row],[Scharnierart]]=4,Scharniere[[#This Row],[Gruppenschlüssel]]=select!$A$981)=TRUE,1,0)</f>
        <v>0</v>
      </c>
      <c r="W836" s="359">
        <f ca="1">IF(select!$O$1185&lt;6,1,0)</f>
        <v>1</v>
      </c>
      <c r="X836" s="359">
        <f>IF(select!$A$1012=IF(Scharniere[[#This Row],[mit Dämpfung]]=1,1,IF(Scharniere[[#This Row],[ohne Dämpfung]]=1,2,IF(Scharniere[[#This Row],[ohne Feder]]=1,3,0))),1,0)</f>
        <v>0</v>
      </c>
      <c r="Y836" s="359">
        <f>IF(Scharniere[[#This Row],[Bohrbild]]=select!$A$989,1,0)</f>
        <v>0</v>
      </c>
      <c r="Z836" s="359">
        <f>IF(IF(Scharniere[[#This Row],[Anschrauben]]=1,1,IF(Scharniere[[#This Row],[Einpressen]]=1,2,IF(Scharniere[[#This Row],[Quick]]=1,3,IF(Scharniere[[#This Row],[Werkzeuglos]]=1,4,0))))=select!$A$1003,1,0)</f>
        <v>1</v>
      </c>
      <c r="AA8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6" s="359">
        <f ca="1">IF(select!$K$980="*",Scharniere[[#This Row],[AG Ges2]],Scharniere[[#This Row],[AG Ges1]])</f>
        <v>0</v>
      </c>
      <c r="AE836" s="451">
        <f ca="1">IF(AND(Scharniere[[#This Row],[Scharnierart]]=select!$A$1485,Scharniere[[#This Row],[Gruppenschlüssel]]=select!$B$1485)=TRUE,1,0)</f>
        <v>0</v>
      </c>
      <c r="AF836" s="451">
        <f ca="1">IF(AND(Scharniere[[#This Row],[Scharnierart]]=select!$A$1486,Scharniere[[#This Row],[Gruppenschlüssel]]=select!$B$1486)=TRUE,1,0)</f>
        <v>0</v>
      </c>
      <c r="AG836" s="451">
        <f ca="1">IF(AND(Scharniere[[#This Row],[Scharnierart]]=select!$A$1487,Scharniere[[#This Row],[Gruppenschlüssel]]=select!$B$1487)=TRUE,1,0)</f>
        <v>0</v>
      </c>
      <c r="AH836" s="451">
        <f ca="1">IF(AND(Scharniere[[#This Row],[Scharnierart]]=select!$A$1488,Scharniere[[#This Row],[Gruppenschlüssel]]=select!$B$1488)=TRUE,1,0)</f>
        <v>0</v>
      </c>
      <c r="AI836" s="451">
        <f ca="1">IF(SUM(Scharniere[[#This Row],[konf Scharnier 1]:[konf Scharnier 4]])&gt;0,1,0)</f>
        <v>0</v>
      </c>
      <c r="AJ836" s="451"/>
      <c r="AK836" s="451"/>
      <c r="AL836" s="451"/>
      <c r="AM836" s="451"/>
      <c r="AN836" s="451"/>
      <c r="AO836" s="146">
        <v>2</v>
      </c>
      <c r="AP836" s="146">
        <v>4</v>
      </c>
      <c r="AQ836" s="10" t="str">
        <f ca="1">Sprache!$A$114</f>
        <v>Tiomos Scharnier TT Click-on</v>
      </c>
      <c r="AR836" t="str">
        <f ca="1">"110/30°, H-BB, "&amp;Sprache!$A$62&amp;" ni"</f>
        <v>110/30°, H-BB, einl. ni</v>
      </c>
      <c r="AS836" t="str">
        <f ca="1">Sprache!$A$103</f>
        <v>Tiomos Click-On Scharniere</v>
      </c>
      <c r="AT836" t="s">
        <v>1264</v>
      </c>
      <c r="AU836" t="s">
        <v>10</v>
      </c>
      <c r="AV836" t="s">
        <v>1489</v>
      </c>
      <c r="AW836" s="71">
        <v>0</v>
      </c>
      <c r="AX836">
        <v>0</v>
      </c>
      <c r="AY836">
        <v>1</v>
      </c>
      <c r="AZ836" s="71">
        <v>1</v>
      </c>
      <c r="BA836">
        <v>0</v>
      </c>
      <c r="BB836">
        <v>0</v>
      </c>
      <c r="BC836">
        <v>0</v>
      </c>
      <c r="BD836" s="144" t="s">
        <v>1726</v>
      </c>
      <c r="BF836" s="10"/>
      <c r="BG836"/>
    </row>
    <row r="837" spans="1:59" ht="14.25" customHeight="1" x14ac:dyDescent="0.25">
      <c r="A837" s="37" t="str">
        <f>LEFT(Scharniere[[#This Row],[ArtikelNR]],4)</f>
        <v>F017</v>
      </c>
      <c r="B837" s="35" t="str">
        <f>MID(Scharniere[[#This Row],[ArtikelNR]],5,3)</f>
        <v>139</v>
      </c>
      <c r="C837" s="37" t="str">
        <f>RIGHT(Scharniere[[#This Row],[ArtikelNR]],3)</f>
        <v>506</v>
      </c>
      <c r="D837" s="35">
        <f>IF(AND(Scharniere[[#This Row],[Gruppenschlüssel]]=select!$A$44,Scharniere[[#This Row],[Scharnierart]]=1)=TRUE,1,0)</f>
        <v>0</v>
      </c>
      <c r="E8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7" s="35">
        <f>IF(select!$F$57=IF(Scharniere[[#This Row],[mit Dämpfung]]=1,1,IF(Scharniere[[#This Row],[ohne Dämpfung]]=1,2,IF(Scharniere[[#This Row],[ohne Feder]]=1,3,0))),1,0)</f>
        <v>0</v>
      </c>
      <c r="G837" s="35">
        <f>IF(Scharniere[[#This Row],[Bohrbild]]=select!$V$43,1,0)</f>
        <v>0</v>
      </c>
      <c r="H837" s="35">
        <f>IF(IF(Scharniere[[#This Row],[Anschrauben]]=1,1,IF(Scharniere[[#This Row],[Einpressen]]=1,2,IF(Scharniere[[#This Row],[Quick]]=1,3,IF(Scharniere[[#This Row],[Werkzeuglos]]=1,4,0))))=select!$F$48,1,0)</f>
        <v>0</v>
      </c>
      <c r="I8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7" s="149">
        <f>IF(AND(Scharniere[[#This Row],[Scharnierart]]=2,Scharniere[[#This Row],[Gruppenschlüssel]]=select!$A$318)=TRUE,1,0)</f>
        <v>0</v>
      </c>
      <c r="K837" s="221">
        <f ca="1">IF(select!$O$424&lt;6,1,0)</f>
        <v>1</v>
      </c>
      <c r="L837" s="221">
        <f>IF(select!$A$362=IF(Scharniere[[#This Row],[mit Dämpfung]]=1,1,IF(Scharniere[[#This Row],[ohne Dämpfung]]=1,2,IF(Scharniere[[#This Row],[ohne Feder]]=1,3,0))),1,0)</f>
        <v>1</v>
      </c>
      <c r="M837" s="135">
        <f>IF(Scharniere[[#This Row],[Bohrbild]]=select!$O$334,1,0)</f>
        <v>0</v>
      </c>
      <c r="N837" s="135">
        <f>IF(IF(Scharniere[[#This Row],[Anschrauben]]=1,1,IF(Scharniere[[#This Row],[Einpressen]]=1,2,IF(Scharniere[[#This Row],[Quick]]=1,3,IF(Scharniere[[#This Row],[Werkzeuglos]]=1,4,0))))=select!$E$362,1,0)</f>
        <v>0</v>
      </c>
      <c r="O8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7" s="298">
        <f>IF(AND(Scharniere[[#This Row],[Scharnierart]]=3,Scharniere[[#This Row],[Gruppenschlüssel]]=select!$A$747)=TRUE,1,0)</f>
        <v>0</v>
      </c>
      <c r="Q837" s="298">
        <f ca="1">IF(select!$O$945&lt;6,1,0)</f>
        <v>1</v>
      </c>
      <c r="R837" s="298">
        <f>IF(select!$A$778=IF(Scharniere[[#This Row],[mit Dämpfung]]=1,1,IF(Scharniere[[#This Row],[ohne Dämpfung]]=1,2,IF(Scharniere[[#This Row],[ohne Feder]]=1,3,0))),1,0)</f>
        <v>0</v>
      </c>
      <c r="S837" s="298">
        <f>IF(Scharniere[[#This Row],[Bohrbild]]=select!$A$755,1,0)</f>
        <v>0</v>
      </c>
      <c r="T837" s="298">
        <f>IF(IF(Scharniere[[#This Row],[Anschrauben]]=1,1,IF(Scharniere[[#This Row],[Einpressen]]=1,2,IF(Scharniere[[#This Row],[Quick]]=1,3,IF(Scharniere[[#This Row],[Werkzeuglos]]=1,4,0))))=select!$A$769,1,0)</f>
        <v>0</v>
      </c>
      <c r="U8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7" s="359">
        <f>IF(AND(Scharniere[[#This Row],[Scharnierart]]=4,Scharniere[[#This Row],[Gruppenschlüssel]]=select!$A$981)=TRUE,1,0)</f>
        <v>0</v>
      </c>
      <c r="W837" s="359">
        <f ca="1">IF(select!$O$1185&lt;6,1,0)</f>
        <v>1</v>
      </c>
      <c r="X837" s="359">
        <f>IF(select!$A$1012=IF(Scharniere[[#This Row],[mit Dämpfung]]=1,1,IF(Scharniere[[#This Row],[ohne Dämpfung]]=1,2,IF(Scharniere[[#This Row],[ohne Feder]]=1,3,0))),1,0)</f>
        <v>0</v>
      </c>
      <c r="Y837" s="359">
        <f>IF(Scharniere[[#This Row],[Bohrbild]]=select!$A$989,1,0)</f>
        <v>0</v>
      </c>
      <c r="Z837" s="359">
        <f>IF(IF(Scharniere[[#This Row],[Anschrauben]]=1,1,IF(Scharniere[[#This Row],[Einpressen]]=1,2,IF(Scharniere[[#This Row],[Quick]]=1,3,IF(Scharniere[[#This Row],[Werkzeuglos]]=1,4,0))))=select!$A$1003,1,0)</f>
        <v>0</v>
      </c>
      <c r="AA8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7" s="359">
        <f ca="1">IF(select!$K$980="*",Scharniere[[#This Row],[AG Ges2]],Scharniere[[#This Row],[AG Ges1]])</f>
        <v>0</v>
      </c>
      <c r="AE837" s="451">
        <f ca="1">IF(AND(Scharniere[[#This Row],[Scharnierart]]=select!$A$1485,Scharniere[[#This Row],[Gruppenschlüssel]]=select!$B$1485)=TRUE,1,0)</f>
        <v>0</v>
      </c>
      <c r="AF837" s="451">
        <f ca="1">IF(AND(Scharniere[[#This Row],[Scharnierart]]=select!$A$1486,Scharniere[[#This Row],[Gruppenschlüssel]]=select!$B$1486)=TRUE,1,0)</f>
        <v>0</v>
      </c>
      <c r="AG837" s="451">
        <f ca="1">IF(AND(Scharniere[[#This Row],[Scharnierart]]=select!$A$1487,Scharniere[[#This Row],[Gruppenschlüssel]]=select!$B$1487)=TRUE,1,0)</f>
        <v>0</v>
      </c>
      <c r="AH837" s="451">
        <f ca="1">IF(AND(Scharniere[[#This Row],[Scharnierart]]=select!$A$1488,Scharniere[[#This Row],[Gruppenschlüssel]]=select!$B$1488)=TRUE,1,0)</f>
        <v>0</v>
      </c>
      <c r="AI837" s="451">
        <f ca="1">IF(SUM(Scharniere[[#This Row],[konf Scharnier 1]:[konf Scharnier 4]])&gt;0,1,0)</f>
        <v>0</v>
      </c>
      <c r="AJ837" s="451"/>
      <c r="AK837" s="451"/>
      <c r="AL837" s="451"/>
      <c r="AM837" s="451"/>
      <c r="AN837" s="451"/>
      <c r="AO837" s="146">
        <v>2</v>
      </c>
      <c r="AP837" s="146">
        <v>4</v>
      </c>
      <c r="AQ837" s="10" t="str">
        <f ca="1">Sprache!$A$113</f>
        <v>Tiomos Scharnier TS Impresso</v>
      </c>
      <c r="AR837" t="str">
        <f ca="1">"110/30°, HS-BB, "&amp;Sprache!$A$62&amp;" ni"</f>
        <v>110/30°, HS-BB, einl. ni</v>
      </c>
      <c r="AS837" t="str">
        <f ca="1">Sprache!$A$116</f>
        <v>Tiomos Impresso Scharniere</v>
      </c>
      <c r="AT837" t="s">
        <v>1264</v>
      </c>
      <c r="AU837" t="s">
        <v>10</v>
      </c>
      <c r="AV837" t="s">
        <v>1489</v>
      </c>
      <c r="AW837" s="71">
        <v>1</v>
      </c>
      <c r="AX837">
        <v>0</v>
      </c>
      <c r="AY837">
        <v>0</v>
      </c>
      <c r="AZ837" s="71">
        <v>0</v>
      </c>
      <c r="BA837">
        <v>0</v>
      </c>
      <c r="BB837">
        <v>0</v>
      </c>
      <c r="BC837">
        <v>1</v>
      </c>
      <c r="BD837" s="144" t="s">
        <v>1590</v>
      </c>
      <c r="BF837" s="10"/>
      <c r="BG837"/>
    </row>
    <row r="838" spans="1:59" ht="14.25" customHeight="1" x14ac:dyDescent="0.25">
      <c r="A838" s="37" t="str">
        <f>LEFT(Scharniere[[#This Row],[ArtikelNR]],4)</f>
        <v>F017</v>
      </c>
      <c r="B838" s="35" t="str">
        <f>MID(Scharniere[[#This Row],[ArtikelNR]],5,3)</f>
        <v>139</v>
      </c>
      <c r="C838" s="37" t="str">
        <f>RIGHT(Scharniere[[#This Row],[ArtikelNR]],3)</f>
        <v>506</v>
      </c>
      <c r="D838" s="35">
        <f>IF(AND(Scharniere[[#This Row],[Gruppenschlüssel]]=select!$A$44,Scharniere[[#This Row],[Scharnierart]]=1)=TRUE,1,0)</f>
        <v>0</v>
      </c>
      <c r="E8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8" s="35">
        <f>IF(select!$F$57=IF(Scharniere[[#This Row],[mit Dämpfung]]=1,1,IF(Scharniere[[#This Row],[ohne Dämpfung]]=1,2,IF(Scharniere[[#This Row],[ohne Feder]]=1,3,0))),1,0)</f>
        <v>0</v>
      </c>
      <c r="G838" s="35">
        <f>IF(Scharniere[[#This Row],[Bohrbild]]=select!$V$43,1,0)</f>
        <v>0</v>
      </c>
      <c r="H838" s="35">
        <f>IF(IF(Scharniere[[#This Row],[Anschrauben]]=1,1,IF(Scharniere[[#This Row],[Einpressen]]=1,2,IF(Scharniere[[#This Row],[Quick]]=1,3,IF(Scharniere[[#This Row],[Werkzeuglos]]=1,4,0))))=select!$F$48,1,0)</f>
        <v>0</v>
      </c>
      <c r="I8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8" s="149">
        <f>IF(AND(Scharniere[[#This Row],[Scharnierart]]=2,Scharniere[[#This Row],[Gruppenschlüssel]]=select!$A$318)=TRUE,1,0)</f>
        <v>0</v>
      </c>
      <c r="K838" s="221">
        <f ca="1">IF(select!$O$424&lt;6,1,0)</f>
        <v>1</v>
      </c>
      <c r="L838" s="221">
        <f>IF(select!$A$362=IF(Scharniere[[#This Row],[mit Dämpfung]]=1,1,IF(Scharniere[[#This Row],[ohne Dämpfung]]=1,2,IF(Scharniere[[#This Row],[ohne Feder]]=1,3,0))),1,0)</f>
        <v>1</v>
      </c>
      <c r="M838" s="135">
        <f>IF(Scharniere[[#This Row],[Bohrbild]]=select!$O$334,1,0)</f>
        <v>0</v>
      </c>
      <c r="N838" s="135">
        <f>IF(IF(Scharniere[[#This Row],[Anschrauben]]=1,1,IF(Scharniere[[#This Row],[Einpressen]]=1,2,IF(Scharniere[[#This Row],[Quick]]=1,3,IF(Scharniere[[#This Row],[Werkzeuglos]]=1,4,0))))=select!$E$362,1,0)</f>
        <v>0</v>
      </c>
      <c r="O8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8" s="298">
        <f>IF(AND(Scharniere[[#This Row],[Scharnierart]]=3,Scharniere[[#This Row],[Gruppenschlüssel]]=select!$A$747)=TRUE,1,0)</f>
        <v>0</v>
      </c>
      <c r="Q838" s="298">
        <f ca="1">IF(select!$O$945&lt;6,1,0)</f>
        <v>1</v>
      </c>
      <c r="R838" s="298">
        <f>IF(select!$A$778=IF(Scharniere[[#This Row],[mit Dämpfung]]=1,1,IF(Scharniere[[#This Row],[ohne Dämpfung]]=1,2,IF(Scharniere[[#This Row],[ohne Feder]]=1,3,0))),1,0)</f>
        <v>0</v>
      </c>
      <c r="S838" s="298">
        <f>IF(Scharniere[[#This Row],[Bohrbild]]=select!$A$755,1,0)</f>
        <v>0</v>
      </c>
      <c r="T838" s="298">
        <f>IF(IF(Scharniere[[#This Row],[Anschrauben]]=1,1,IF(Scharniere[[#This Row],[Einpressen]]=1,2,IF(Scharniere[[#This Row],[Quick]]=1,3,IF(Scharniere[[#This Row],[Werkzeuglos]]=1,4,0))))=select!$A$769,1,0)</f>
        <v>0</v>
      </c>
      <c r="U8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8" s="359">
        <f>IF(AND(Scharniere[[#This Row],[Scharnierart]]=4,Scharniere[[#This Row],[Gruppenschlüssel]]=select!$A$981)=TRUE,1,0)</f>
        <v>0</v>
      </c>
      <c r="W838" s="359">
        <f ca="1">IF(select!$O$1185&lt;6,1,0)</f>
        <v>1</v>
      </c>
      <c r="X838" s="359">
        <f>IF(select!$A$1012=IF(Scharniere[[#This Row],[mit Dämpfung]]=1,1,IF(Scharniere[[#This Row],[ohne Dämpfung]]=1,2,IF(Scharniere[[#This Row],[ohne Feder]]=1,3,0))),1,0)</f>
        <v>0</v>
      </c>
      <c r="Y838" s="359">
        <f>IF(Scharniere[[#This Row],[Bohrbild]]=select!$A$989,1,0)</f>
        <v>0</v>
      </c>
      <c r="Z838" s="359">
        <f>IF(IF(Scharniere[[#This Row],[Anschrauben]]=1,1,IF(Scharniere[[#This Row],[Einpressen]]=1,2,IF(Scharniere[[#This Row],[Quick]]=1,3,IF(Scharniere[[#This Row],[Werkzeuglos]]=1,4,0))))=select!$A$1003,1,0)</f>
        <v>0</v>
      </c>
      <c r="AA8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8" s="359">
        <f ca="1">IF(select!$K$980="*",Scharniere[[#This Row],[AG Ges2]],Scharniere[[#This Row],[AG Ges1]])</f>
        <v>0</v>
      </c>
      <c r="AE838" s="451">
        <f ca="1">IF(AND(Scharniere[[#This Row],[Scharnierart]]=select!$A$1485,Scharniere[[#This Row],[Gruppenschlüssel]]=select!$B$1485)=TRUE,1,0)</f>
        <v>0</v>
      </c>
      <c r="AF838" s="451">
        <f ca="1">IF(AND(Scharniere[[#This Row],[Scharnierart]]=select!$A$1486,Scharniere[[#This Row],[Gruppenschlüssel]]=select!$B$1486)=TRUE,1,0)</f>
        <v>0</v>
      </c>
      <c r="AG838" s="451">
        <f ca="1">IF(AND(Scharniere[[#This Row],[Scharnierart]]=select!$A$1487,Scharniere[[#This Row],[Gruppenschlüssel]]=select!$B$1487)=TRUE,1,0)</f>
        <v>0</v>
      </c>
      <c r="AH838" s="451">
        <f ca="1">IF(AND(Scharniere[[#This Row],[Scharnierart]]=select!$A$1488,Scharniere[[#This Row],[Gruppenschlüssel]]=select!$B$1488)=TRUE,1,0)</f>
        <v>0</v>
      </c>
      <c r="AI838" s="451">
        <f ca="1">IF(SUM(Scharniere[[#This Row],[konf Scharnier 1]:[konf Scharnier 4]])&gt;0,1,0)</f>
        <v>0</v>
      </c>
      <c r="AJ838" s="451"/>
      <c r="AK838" s="451"/>
      <c r="AL838" s="451"/>
      <c r="AM838" s="451"/>
      <c r="AN838" s="451"/>
      <c r="AO838" s="146">
        <v>2</v>
      </c>
      <c r="AP838" s="146">
        <v>4</v>
      </c>
      <c r="AQ838" s="10" t="str">
        <f ca="1">Sprache!$A$113</f>
        <v>Tiomos Scharnier TS Impresso</v>
      </c>
      <c r="AR838" t="str">
        <f ca="1">"110/30°, HS-BB, "&amp;Sprache!$A$62&amp;" ni"</f>
        <v>110/30°, HS-BB, einl. ni</v>
      </c>
      <c r="AS838" t="str">
        <f ca="1">Sprache!$A$116</f>
        <v>Tiomos Impresso Scharniere</v>
      </c>
      <c r="AT838" t="s">
        <v>1264</v>
      </c>
      <c r="AU838" t="s">
        <v>11</v>
      </c>
      <c r="AV838" t="s">
        <v>1489</v>
      </c>
      <c r="AW838" s="71">
        <v>1</v>
      </c>
      <c r="AX838">
        <v>0</v>
      </c>
      <c r="AY838">
        <v>0</v>
      </c>
      <c r="AZ838" s="71">
        <v>0</v>
      </c>
      <c r="BA838">
        <v>0</v>
      </c>
      <c r="BB838">
        <v>0</v>
      </c>
      <c r="BC838">
        <v>1</v>
      </c>
      <c r="BD838" s="144" t="s">
        <v>1590</v>
      </c>
      <c r="BF838" s="10"/>
      <c r="BG838"/>
    </row>
    <row r="839" spans="1:59" ht="14.25" customHeight="1" x14ac:dyDescent="0.25">
      <c r="A839" s="37" t="str">
        <f>LEFT(Scharniere[[#This Row],[ArtikelNR]],4)</f>
        <v>F034</v>
      </c>
      <c r="B839" s="35" t="str">
        <f>MID(Scharniere[[#This Row],[ArtikelNR]],5,3)</f>
        <v>139</v>
      </c>
      <c r="C839" s="37" t="str">
        <f>RIGHT(Scharniere[[#This Row],[ArtikelNR]],3)</f>
        <v>477</v>
      </c>
      <c r="D839" s="35">
        <f>IF(AND(Scharniere[[#This Row],[Gruppenschlüssel]]=select!$A$44,Scharniere[[#This Row],[Scharnierart]]=1)=TRUE,1,0)</f>
        <v>0</v>
      </c>
      <c r="E8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39" s="35">
        <f>IF(select!$F$57=IF(Scharniere[[#This Row],[mit Dämpfung]]=1,1,IF(Scharniere[[#This Row],[ohne Dämpfung]]=1,2,IF(Scharniere[[#This Row],[ohne Feder]]=1,3,0))),1,0)</f>
        <v>0</v>
      </c>
      <c r="G839" s="35">
        <f>IF(Scharniere[[#This Row],[Bohrbild]]=select!$V$43,1,0)</f>
        <v>0</v>
      </c>
      <c r="H839" s="35">
        <f>IF(IF(Scharniere[[#This Row],[Anschrauben]]=1,1,IF(Scharniere[[#This Row],[Einpressen]]=1,2,IF(Scharniere[[#This Row],[Quick]]=1,3,IF(Scharniere[[#This Row],[Werkzeuglos]]=1,4,0))))=select!$F$48,1,0)</f>
        <v>0</v>
      </c>
      <c r="I8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39" s="149">
        <f>IF(AND(Scharniere[[#This Row],[Scharnierart]]=2,Scharniere[[#This Row],[Gruppenschlüssel]]=select!$A$318)=TRUE,1,0)</f>
        <v>0</v>
      </c>
      <c r="K839" s="221">
        <f ca="1">IF(select!$O$424&lt;6,1,0)</f>
        <v>1</v>
      </c>
      <c r="L839" s="221">
        <f>IF(select!$A$362=IF(Scharniere[[#This Row],[mit Dämpfung]]=1,1,IF(Scharniere[[#This Row],[ohne Dämpfung]]=1,2,IF(Scharniere[[#This Row],[ohne Feder]]=1,3,0))),1,0)</f>
        <v>0</v>
      </c>
      <c r="M839" s="135">
        <f>IF(Scharniere[[#This Row],[Bohrbild]]=select!$O$334,1,0)</f>
        <v>0</v>
      </c>
      <c r="N839" s="135">
        <f>IF(IF(Scharniere[[#This Row],[Anschrauben]]=1,1,IF(Scharniere[[#This Row],[Einpressen]]=1,2,IF(Scharniere[[#This Row],[Quick]]=1,3,IF(Scharniere[[#This Row],[Werkzeuglos]]=1,4,0))))=select!$E$362,1,0)</f>
        <v>0</v>
      </c>
      <c r="O8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39" s="298">
        <f>IF(AND(Scharniere[[#This Row],[Scharnierart]]=3,Scharniere[[#This Row],[Gruppenschlüssel]]=select!$A$747)=TRUE,1,0)</f>
        <v>0</v>
      </c>
      <c r="Q839" s="298">
        <f ca="1">IF(select!$O$945&lt;6,1,0)</f>
        <v>1</v>
      </c>
      <c r="R839" s="298">
        <f>IF(select!$A$778=IF(Scharniere[[#This Row],[mit Dämpfung]]=1,1,IF(Scharniere[[#This Row],[ohne Dämpfung]]=1,2,IF(Scharniere[[#This Row],[ohne Feder]]=1,3,0))),1,0)</f>
        <v>1</v>
      </c>
      <c r="S839" s="298">
        <f>IF(Scharniere[[#This Row],[Bohrbild]]=select!$A$755,1,0)</f>
        <v>0</v>
      </c>
      <c r="T839" s="298">
        <f>IF(IF(Scharniere[[#This Row],[Anschrauben]]=1,1,IF(Scharniere[[#This Row],[Einpressen]]=1,2,IF(Scharniere[[#This Row],[Quick]]=1,3,IF(Scharniere[[#This Row],[Werkzeuglos]]=1,4,0))))=select!$A$769,1,0)</f>
        <v>0</v>
      </c>
      <c r="U8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39" s="359">
        <f>IF(AND(Scharniere[[#This Row],[Scharnierart]]=4,Scharniere[[#This Row],[Gruppenschlüssel]]=select!$A$981)=TRUE,1,0)</f>
        <v>0</v>
      </c>
      <c r="W839" s="359">
        <f ca="1">IF(select!$O$1185&lt;6,1,0)</f>
        <v>1</v>
      </c>
      <c r="X839" s="359">
        <f>IF(select!$A$1012=IF(Scharniere[[#This Row],[mit Dämpfung]]=1,1,IF(Scharniere[[#This Row],[ohne Dämpfung]]=1,2,IF(Scharniere[[#This Row],[ohne Feder]]=1,3,0))),1,0)</f>
        <v>1</v>
      </c>
      <c r="Y839" s="359">
        <f>IF(Scharniere[[#This Row],[Bohrbild]]=select!$A$989,1,0)</f>
        <v>0</v>
      </c>
      <c r="Z839" s="359">
        <f>IF(IF(Scharniere[[#This Row],[Anschrauben]]=1,1,IF(Scharniere[[#This Row],[Einpressen]]=1,2,IF(Scharniere[[#This Row],[Quick]]=1,3,IF(Scharniere[[#This Row],[Werkzeuglos]]=1,4,0))))=select!$A$1003,1,0)</f>
        <v>0</v>
      </c>
      <c r="AA8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39" s="359">
        <f ca="1">IF(select!$K$980="*",Scharniere[[#This Row],[AG Ges2]],Scharniere[[#This Row],[AG Ges1]])</f>
        <v>0</v>
      </c>
      <c r="AE839" s="451">
        <f ca="1">IF(AND(Scharniere[[#This Row],[Scharnierart]]=select!$A$1485,Scharniere[[#This Row],[Gruppenschlüssel]]=select!$B$1485)=TRUE,1,0)</f>
        <v>0</v>
      </c>
      <c r="AF839" s="451">
        <f ca="1">IF(AND(Scharniere[[#This Row],[Scharnierart]]=select!$A$1486,Scharniere[[#This Row],[Gruppenschlüssel]]=select!$B$1486)=TRUE,1,0)</f>
        <v>0</v>
      </c>
      <c r="AG839" s="451">
        <f ca="1">IF(AND(Scharniere[[#This Row],[Scharnierart]]=select!$A$1487,Scharniere[[#This Row],[Gruppenschlüssel]]=select!$B$1487)=TRUE,1,0)</f>
        <v>0</v>
      </c>
      <c r="AH839" s="451">
        <f ca="1">IF(AND(Scharniere[[#This Row],[Scharnierart]]=select!$A$1488,Scharniere[[#This Row],[Gruppenschlüssel]]=select!$B$1488)=TRUE,1,0)</f>
        <v>0</v>
      </c>
      <c r="AI839" s="451">
        <f ca="1">IF(SUM(Scharniere[[#This Row],[konf Scharnier 1]:[konf Scharnier 4]])&gt;0,1,0)</f>
        <v>0</v>
      </c>
      <c r="AJ839" s="451"/>
      <c r="AK839" s="451"/>
      <c r="AL839" s="451"/>
      <c r="AM839" s="451"/>
      <c r="AN839" s="451"/>
      <c r="AO839" s="146">
        <v>2</v>
      </c>
      <c r="AP839" s="146">
        <v>4</v>
      </c>
      <c r="AQ839" s="10" t="str">
        <f ca="1">Sprache!$A$119</f>
        <v>Tiomos Scharnier T Impresso</v>
      </c>
      <c r="AR839" t="str">
        <f ca="1">"110/30°, HS-BB, "&amp;Sprache!$A$62&amp;" ni"</f>
        <v>110/30°, HS-BB, einl. ni</v>
      </c>
      <c r="AS839" t="str">
        <f ca="1">Sprache!$A$103</f>
        <v>Tiomos Click-On Scharniere</v>
      </c>
      <c r="AT839" t="s">
        <v>1264</v>
      </c>
      <c r="AU839" t="s">
        <v>10</v>
      </c>
      <c r="AV839" t="s">
        <v>1489</v>
      </c>
      <c r="AW839" s="71">
        <v>0</v>
      </c>
      <c r="AX839">
        <v>1</v>
      </c>
      <c r="AY839">
        <v>0</v>
      </c>
      <c r="AZ839" s="71">
        <v>0</v>
      </c>
      <c r="BA839">
        <v>0</v>
      </c>
      <c r="BB839">
        <v>0</v>
      </c>
      <c r="BC839">
        <v>1</v>
      </c>
      <c r="BD839" s="144" t="s">
        <v>1768</v>
      </c>
      <c r="BF839" s="10"/>
      <c r="BG839"/>
    </row>
    <row r="840" spans="1:59" ht="14.25" customHeight="1" x14ac:dyDescent="0.25">
      <c r="A840" s="37" t="str">
        <f>LEFT(Scharniere[[#This Row],[ArtikelNR]],4)</f>
        <v>F034</v>
      </c>
      <c r="B840" s="35" t="str">
        <f>MID(Scharniere[[#This Row],[ArtikelNR]],5,3)</f>
        <v>139</v>
      </c>
      <c r="C840" s="37" t="str">
        <f>RIGHT(Scharniere[[#This Row],[ArtikelNR]],3)</f>
        <v>477</v>
      </c>
      <c r="D840" s="35">
        <f>IF(AND(Scharniere[[#This Row],[Gruppenschlüssel]]=select!$A$44,Scharniere[[#This Row],[Scharnierart]]=1)=TRUE,1,0)</f>
        <v>0</v>
      </c>
      <c r="E8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0" s="35">
        <f>IF(select!$F$57=IF(Scharniere[[#This Row],[mit Dämpfung]]=1,1,IF(Scharniere[[#This Row],[ohne Dämpfung]]=1,2,IF(Scharniere[[#This Row],[ohne Feder]]=1,3,0))),1,0)</f>
        <v>0</v>
      </c>
      <c r="G840" s="35">
        <f>IF(Scharniere[[#This Row],[Bohrbild]]=select!$V$43,1,0)</f>
        <v>0</v>
      </c>
      <c r="H840" s="35">
        <f>IF(IF(Scharniere[[#This Row],[Anschrauben]]=1,1,IF(Scharniere[[#This Row],[Einpressen]]=1,2,IF(Scharniere[[#This Row],[Quick]]=1,3,IF(Scharniere[[#This Row],[Werkzeuglos]]=1,4,0))))=select!$F$48,1,0)</f>
        <v>0</v>
      </c>
      <c r="I8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0" s="149">
        <f>IF(AND(Scharniere[[#This Row],[Scharnierart]]=2,Scharniere[[#This Row],[Gruppenschlüssel]]=select!$A$318)=TRUE,1,0)</f>
        <v>0</v>
      </c>
      <c r="K840" s="221">
        <f ca="1">IF(select!$O$424&lt;6,1,0)</f>
        <v>1</v>
      </c>
      <c r="L840" s="221">
        <f>IF(select!$A$362=IF(Scharniere[[#This Row],[mit Dämpfung]]=1,1,IF(Scharniere[[#This Row],[ohne Dämpfung]]=1,2,IF(Scharniere[[#This Row],[ohne Feder]]=1,3,0))),1,0)</f>
        <v>0</v>
      </c>
      <c r="M840" s="135">
        <f>IF(Scharniere[[#This Row],[Bohrbild]]=select!$O$334,1,0)</f>
        <v>0</v>
      </c>
      <c r="N840" s="135">
        <f>IF(IF(Scharniere[[#This Row],[Anschrauben]]=1,1,IF(Scharniere[[#This Row],[Einpressen]]=1,2,IF(Scharniere[[#This Row],[Quick]]=1,3,IF(Scharniere[[#This Row],[Werkzeuglos]]=1,4,0))))=select!$E$362,1,0)</f>
        <v>0</v>
      </c>
      <c r="O8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0" s="298">
        <f>IF(AND(Scharniere[[#This Row],[Scharnierart]]=3,Scharniere[[#This Row],[Gruppenschlüssel]]=select!$A$747)=TRUE,1,0)</f>
        <v>0</v>
      </c>
      <c r="Q840" s="298">
        <f ca="1">IF(select!$O$945&lt;6,1,0)</f>
        <v>1</v>
      </c>
      <c r="R840" s="298">
        <f>IF(select!$A$778=IF(Scharniere[[#This Row],[mit Dämpfung]]=1,1,IF(Scharniere[[#This Row],[ohne Dämpfung]]=1,2,IF(Scharniere[[#This Row],[ohne Feder]]=1,3,0))),1,0)</f>
        <v>1</v>
      </c>
      <c r="S840" s="298">
        <f>IF(Scharniere[[#This Row],[Bohrbild]]=select!$A$755,1,0)</f>
        <v>0</v>
      </c>
      <c r="T840" s="298">
        <f>IF(IF(Scharniere[[#This Row],[Anschrauben]]=1,1,IF(Scharniere[[#This Row],[Einpressen]]=1,2,IF(Scharniere[[#This Row],[Quick]]=1,3,IF(Scharniere[[#This Row],[Werkzeuglos]]=1,4,0))))=select!$A$769,1,0)</f>
        <v>0</v>
      </c>
      <c r="U8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0" s="359">
        <f>IF(AND(Scharniere[[#This Row],[Scharnierart]]=4,Scharniere[[#This Row],[Gruppenschlüssel]]=select!$A$981)=TRUE,1,0)</f>
        <v>0</v>
      </c>
      <c r="W840" s="359">
        <f ca="1">IF(select!$O$1185&lt;6,1,0)</f>
        <v>1</v>
      </c>
      <c r="X840" s="359">
        <f>IF(select!$A$1012=IF(Scharniere[[#This Row],[mit Dämpfung]]=1,1,IF(Scharniere[[#This Row],[ohne Dämpfung]]=1,2,IF(Scharniere[[#This Row],[ohne Feder]]=1,3,0))),1,0)</f>
        <v>1</v>
      </c>
      <c r="Y840" s="359">
        <f>IF(Scharniere[[#This Row],[Bohrbild]]=select!$A$989,1,0)</f>
        <v>0</v>
      </c>
      <c r="Z840" s="359">
        <f>IF(IF(Scharniere[[#This Row],[Anschrauben]]=1,1,IF(Scharniere[[#This Row],[Einpressen]]=1,2,IF(Scharniere[[#This Row],[Quick]]=1,3,IF(Scharniere[[#This Row],[Werkzeuglos]]=1,4,0))))=select!$A$1003,1,0)</f>
        <v>0</v>
      </c>
      <c r="AA8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0" s="359">
        <f ca="1">IF(select!$K$980="*",Scharniere[[#This Row],[AG Ges2]],Scharniere[[#This Row],[AG Ges1]])</f>
        <v>0</v>
      </c>
      <c r="AE840" s="451">
        <f ca="1">IF(AND(Scharniere[[#This Row],[Scharnierart]]=select!$A$1485,Scharniere[[#This Row],[Gruppenschlüssel]]=select!$B$1485)=TRUE,1,0)</f>
        <v>0</v>
      </c>
      <c r="AF840" s="451">
        <f ca="1">IF(AND(Scharniere[[#This Row],[Scharnierart]]=select!$A$1486,Scharniere[[#This Row],[Gruppenschlüssel]]=select!$B$1486)=TRUE,1,0)</f>
        <v>0</v>
      </c>
      <c r="AG840" s="451">
        <f ca="1">IF(AND(Scharniere[[#This Row],[Scharnierart]]=select!$A$1487,Scharniere[[#This Row],[Gruppenschlüssel]]=select!$B$1487)=TRUE,1,0)</f>
        <v>0</v>
      </c>
      <c r="AH840" s="451">
        <f ca="1">IF(AND(Scharniere[[#This Row],[Scharnierart]]=select!$A$1488,Scharniere[[#This Row],[Gruppenschlüssel]]=select!$B$1488)=TRUE,1,0)</f>
        <v>0</v>
      </c>
      <c r="AI840" s="451">
        <f ca="1">IF(SUM(Scharniere[[#This Row],[konf Scharnier 1]:[konf Scharnier 4]])&gt;0,1,0)</f>
        <v>0</v>
      </c>
      <c r="AJ840" s="451"/>
      <c r="AK840" s="451"/>
      <c r="AL840" s="451"/>
      <c r="AM840" s="451"/>
      <c r="AN840" s="451"/>
      <c r="AO840" s="146">
        <v>2</v>
      </c>
      <c r="AP840" s="146">
        <v>4</v>
      </c>
      <c r="AQ840" s="10" t="str">
        <f ca="1">Sprache!$A$119</f>
        <v>Tiomos Scharnier T Impresso</v>
      </c>
      <c r="AR840" t="str">
        <f ca="1">"110/30°, HS-BB, "&amp;Sprache!$A$62&amp;" ni"</f>
        <v>110/30°, HS-BB, einl. ni</v>
      </c>
      <c r="AS840" t="str">
        <f ca="1">Sprache!$A$103</f>
        <v>Tiomos Click-On Scharniere</v>
      </c>
      <c r="AT840" t="s">
        <v>1264</v>
      </c>
      <c r="AU840" t="s">
        <v>11</v>
      </c>
      <c r="AV840" t="s">
        <v>1489</v>
      </c>
      <c r="AW840" s="71">
        <v>0</v>
      </c>
      <c r="AX840">
        <v>1</v>
      </c>
      <c r="AY840">
        <v>0</v>
      </c>
      <c r="AZ840" s="71">
        <v>0</v>
      </c>
      <c r="BA840">
        <v>0</v>
      </c>
      <c r="BB840">
        <v>0</v>
      </c>
      <c r="BC840">
        <v>1</v>
      </c>
      <c r="BD840" s="144" t="s">
        <v>1768</v>
      </c>
      <c r="BF840" s="10"/>
      <c r="BG840"/>
    </row>
    <row r="841" spans="1:59" ht="14.25" customHeight="1" x14ac:dyDescent="0.25">
      <c r="A841" s="37" t="str">
        <f>LEFT(Scharniere[[#This Row],[ArtikelNR]],4)</f>
        <v>F028</v>
      </c>
      <c r="B841" s="35" t="str">
        <f>MID(Scharniere[[#This Row],[ArtikelNR]],5,3)</f>
        <v>138</v>
      </c>
      <c r="C841" s="37" t="str">
        <f>RIGHT(Scharniere[[#This Row],[ArtikelNR]],3)</f>
        <v>104</v>
      </c>
      <c r="D841" s="35">
        <f>IF(AND(Scharniere[[#This Row],[Gruppenschlüssel]]=select!$A$44,Scharniere[[#This Row],[Scharnierart]]=1)=TRUE,1,0)</f>
        <v>0</v>
      </c>
      <c r="E8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1" s="35">
        <f>IF(select!$F$57=IF(Scharniere[[#This Row],[mit Dämpfung]]=1,1,IF(Scharniere[[#This Row],[ohne Dämpfung]]=1,2,IF(Scharniere[[#This Row],[ohne Feder]]=1,3,0))),1,0)</f>
        <v>0</v>
      </c>
      <c r="G841" s="35">
        <f>IF(Scharniere[[#This Row],[Bohrbild]]=select!$V$43,1,0)</f>
        <v>1</v>
      </c>
      <c r="H841" s="35">
        <f>IF(IF(Scharniere[[#This Row],[Anschrauben]]=1,1,IF(Scharniere[[#This Row],[Einpressen]]=1,2,IF(Scharniere[[#This Row],[Quick]]=1,3,IF(Scharniere[[#This Row],[Werkzeuglos]]=1,4,0))))=select!$F$48,1,0)</f>
        <v>0</v>
      </c>
      <c r="I8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1" s="149">
        <f>IF(AND(Scharniere[[#This Row],[Scharnierart]]=2,Scharniere[[#This Row],[Gruppenschlüssel]]=select!$A$318)=TRUE,1,0)</f>
        <v>0</v>
      </c>
      <c r="K841" s="221">
        <f ca="1">IF(select!$O$424&lt;6,1,0)</f>
        <v>1</v>
      </c>
      <c r="L841" s="221">
        <f>IF(select!$A$362=IF(Scharniere[[#This Row],[mit Dämpfung]]=1,1,IF(Scharniere[[#This Row],[ohne Dämpfung]]=1,2,IF(Scharniere[[#This Row],[ohne Feder]]=1,3,0))),1,0)</f>
        <v>1</v>
      </c>
      <c r="M841" s="135">
        <f>IF(Scharniere[[#This Row],[Bohrbild]]=select!$O$334,1,0)</f>
        <v>1</v>
      </c>
      <c r="N841" s="135">
        <f>IF(IF(Scharniere[[#This Row],[Anschrauben]]=1,1,IF(Scharniere[[#This Row],[Einpressen]]=1,2,IF(Scharniere[[#This Row],[Quick]]=1,3,IF(Scharniere[[#This Row],[Werkzeuglos]]=1,4,0))))=select!$E$362,1,0)</f>
        <v>1</v>
      </c>
      <c r="O8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1" s="298">
        <f>IF(AND(Scharniere[[#This Row],[Scharnierart]]=3,Scharniere[[#This Row],[Gruppenschlüssel]]=select!$A$747)=TRUE,1,0)</f>
        <v>0</v>
      </c>
      <c r="Q841" s="298">
        <f ca="1">IF(select!$O$945&lt;6,1,0)</f>
        <v>1</v>
      </c>
      <c r="R841" s="298">
        <f>IF(select!$A$778=IF(Scharniere[[#This Row],[mit Dämpfung]]=1,1,IF(Scharniere[[#This Row],[ohne Dämpfung]]=1,2,IF(Scharniere[[#This Row],[ohne Feder]]=1,3,0))),1,0)</f>
        <v>0</v>
      </c>
      <c r="S841" s="298">
        <f>IF(Scharniere[[#This Row],[Bohrbild]]=select!$A$755,1,0)</f>
        <v>0</v>
      </c>
      <c r="T841" s="298">
        <f>IF(IF(Scharniere[[#This Row],[Anschrauben]]=1,1,IF(Scharniere[[#This Row],[Einpressen]]=1,2,IF(Scharniere[[#This Row],[Quick]]=1,3,IF(Scharniere[[#This Row],[Werkzeuglos]]=1,4,0))))=select!$A$769,1,0)</f>
        <v>1</v>
      </c>
      <c r="U8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1" s="359">
        <f>IF(AND(Scharniere[[#This Row],[Scharnierart]]=4,Scharniere[[#This Row],[Gruppenschlüssel]]=select!$A$981)=TRUE,1,0)</f>
        <v>0</v>
      </c>
      <c r="W841" s="359">
        <f ca="1">IF(select!$O$1185&lt;6,1,0)</f>
        <v>1</v>
      </c>
      <c r="X841" s="359">
        <f>IF(select!$A$1012=IF(Scharniere[[#This Row],[mit Dämpfung]]=1,1,IF(Scharniere[[#This Row],[ohne Dämpfung]]=1,2,IF(Scharniere[[#This Row],[ohne Feder]]=1,3,0))),1,0)</f>
        <v>0</v>
      </c>
      <c r="Y841" s="359">
        <f>IF(Scharniere[[#This Row],[Bohrbild]]=select!$A$989,1,0)</f>
        <v>0</v>
      </c>
      <c r="Z841" s="359">
        <f>IF(IF(Scharniere[[#This Row],[Anschrauben]]=1,1,IF(Scharniere[[#This Row],[Einpressen]]=1,2,IF(Scharniere[[#This Row],[Quick]]=1,3,IF(Scharniere[[#This Row],[Werkzeuglos]]=1,4,0))))=select!$A$1003,1,0)</f>
        <v>1</v>
      </c>
      <c r="AA8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1" s="359">
        <f ca="1">IF(select!$K$980="*",Scharniere[[#This Row],[AG Ges2]],Scharniere[[#This Row],[AG Ges1]])</f>
        <v>0</v>
      </c>
      <c r="AE841" s="451">
        <f ca="1">IF(AND(Scharniere[[#This Row],[Scharnierart]]=select!$A$1485,Scharniere[[#This Row],[Gruppenschlüssel]]=select!$B$1485)=TRUE,1,0)</f>
        <v>0</v>
      </c>
      <c r="AF841" s="451">
        <f ca="1">IF(AND(Scharniere[[#This Row],[Scharnierart]]=select!$A$1486,Scharniere[[#This Row],[Gruppenschlüssel]]=select!$B$1486)=TRUE,1,0)</f>
        <v>0</v>
      </c>
      <c r="AG841" s="451">
        <f ca="1">IF(AND(Scharniere[[#This Row],[Scharnierart]]=select!$A$1487,Scharniere[[#This Row],[Gruppenschlüssel]]=select!$B$1487)=TRUE,1,0)</f>
        <v>0</v>
      </c>
      <c r="AH841" s="451">
        <f ca="1">IF(AND(Scharniere[[#This Row],[Scharnierart]]=select!$A$1488,Scharniere[[#This Row],[Gruppenschlüssel]]=select!$B$1488)=TRUE,1,0)</f>
        <v>0</v>
      </c>
      <c r="AI841" s="451">
        <f ca="1">IF(SUM(Scharniere[[#This Row],[konf Scharnier 1]:[konf Scharnier 4]])&gt;0,1,0)</f>
        <v>0</v>
      </c>
      <c r="AJ841" s="451"/>
      <c r="AK841" s="451"/>
      <c r="AL841" s="451"/>
      <c r="AM841" s="451"/>
      <c r="AN841" s="451"/>
      <c r="AO841" s="146">
        <v>2</v>
      </c>
      <c r="AP841" s="146">
        <v>4</v>
      </c>
      <c r="AQ841" s="10" t="str">
        <f ca="1">Sprache!$A$112</f>
        <v>Tiomos Scharnier TS Click-on</v>
      </c>
      <c r="AR841" t="str">
        <f ca="1">"110/30°, M-BB, "&amp;Sprache!$A$62&amp;" ni"</f>
        <v>110/30°, M-BB, einl. ni</v>
      </c>
      <c r="AS841" t="str">
        <f ca="1">Sprache!$A$103</f>
        <v>Tiomos Click-On Scharniere</v>
      </c>
      <c r="AT841" t="s">
        <v>1264</v>
      </c>
      <c r="AU841" t="s">
        <v>8</v>
      </c>
      <c r="AV841" t="s">
        <v>1489</v>
      </c>
      <c r="AW841" s="71">
        <v>1</v>
      </c>
      <c r="AX841">
        <v>0</v>
      </c>
      <c r="AY841">
        <v>0</v>
      </c>
      <c r="AZ841" s="71">
        <v>1</v>
      </c>
      <c r="BA841">
        <v>0</v>
      </c>
      <c r="BB841">
        <v>0</v>
      </c>
      <c r="BC841">
        <v>0</v>
      </c>
      <c r="BD841" s="144" t="s">
        <v>1514</v>
      </c>
      <c r="BF841" s="10"/>
      <c r="BG841"/>
    </row>
    <row r="842" spans="1:59" ht="14.25" customHeight="1" x14ac:dyDescent="0.25">
      <c r="A842" s="37" t="str">
        <f>LEFT(Scharniere[[#This Row],[ArtikelNR]],4)</f>
        <v>F045</v>
      </c>
      <c r="B842" s="35" t="str">
        <f>MID(Scharniere[[#This Row],[ArtikelNR]],5,3)</f>
        <v>138</v>
      </c>
      <c r="C842" s="37" t="str">
        <f>RIGHT(Scharniere[[#This Row],[ArtikelNR]],3)</f>
        <v>011</v>
      </c>
      <c r="D842" s="35">
        <f>IF(AND(Scharniere[[#This Row],[Gruppenschlüssel]]=select!$A$44,Scharniere[[#This Row],[Scharnierart]]=1)=TRUE,1,0)</f>
        <v>0</v>
      </c>
      <c r="E8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2" s="35">
        <f>IF(select!$F$57=IF(Scharniere[[#This Row],[mit Dämpfung]]=1,1,IF(Scharniere[[#This Row],[ohne Dämpfung]]=1,2,IF(Scharniere[[#This Row],[ohne Feder]]=1,3,0))),1,0)</f>
        <v>0</v>
      </c>
      <c r="G842" s="35">
        <f>IF(Scharniere[[#This Row],[Bohrbild]]=select!$V$43,1,0)</f>
        <v>1</v>
      </c>
      <c r="H842" s="35">
        <f>IF(IF(Scharniere[[#This Row],[Anschrauben]]=1,1,IF(Scharniere[[#This Row],[Einpressen]]=1,2,IF(Scharniere[[#This Row],[Quick]]=1,3,IF(Scharniere[[#This Row],[Werkzeuglos]]=1,4,0))))=select!$F$48,1,0)</f>
        <v>0</v>
      </c>
      <c r="I8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2" s="149">
        <f>IF(AND(Scharniere[[#This Row],[Scharnierart]]=2,Scharniere[[#This Row],[Gruppenschlüssel]]=select!$A$318)=TRUE,1,0)</f>
        <v>0</v>
      </c>
      <c r="K842" s="221">
        <f ca="1">IF(select!$O$424&lt;6,1,0)</f>
        <v>1</v>
      </c>
      <c r="L842" s="221">
        <f>IF(select!$A$362=IF(Scharniere[[#This Row],[mit Dämpfung]]=1,1,IF(Scharniere[[#This Row],[ohne Dämpfung]]=1,2,IF(Scharniere[[#This Row],[ohne Feder]]=1,3,0))),1,0)</f>
        <v>0</v>
      </c>
      <c r="M842" s="135">
        <f>IF(Scharniere[[#This Row],[Bohrbild]]=select!$O$334,1,0)</f>
        <v>1</v>
      </c>
      <c r="N842" s="135">
        <f>IF(IF(Scharniere[[#This Row],[Anschrauben]]=1,1,IF(Scharniere[[#This Row],[Einpressen]]=1,2,IF(Scharniere[[#This Row],[Quick]]=1,3,IF(Scharniere[[#This Row],[Werkzeuglos]]=1,4,0))))=select!$E$362,1,0)</f>
        <v>1</v>
      </c>
      <c r="O8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2" s="298">
        <f>IF(AND(Scharniere[[#This Row],[Scharnierart]]=3,Scharniere[[#This Row],[Gruppenschlüssel]]=select!$A$747)=TRUE,1,0)</f>
        <v>0</v>
      </c>
      <c r="Q842" s="298">
        <f ca="1">IF(select!$O$945&lt;6,1,0)</f>
        <v>1</v>
      </c>
      <c r="R842" s="298">
        <f>IF(select!$A$778=IF(Scharniere[[#This Row],[mit Dämpfung]]=1,1,IF(Scharniere[[#This Row],[ohne Dämpfung]]=1,2,IF(Scharniere[[#This Row],[ohne Feder]]=1,3,0))),1,0)</f>
        <v>1</v>
      </c>
      <c r="S842" s="298">
        <f>IF(Scharniere[[#This Row],[Bohrbild]]=select!$A$755,1,0)</f>
        <v>0</v>
      </c>
      <c r="T842" s="298">
        <f>IF(IF(Scharniere[[#This Row],[Anschrauben]]=1,1,IF(Scharniere[[#This Row],[Einpressen]]=1,2,IF(Scharniere[[#This Row],[Quick]]=1,3,IF(Scharniere[[#This Row],[Werkzeuglos]]=1,4,0))))=select!$A$769,1,0)</f>
        <v>1</v>
      </c>
      <c r="U8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2" s="359">
        <f>IF(AND(Scharniere[[#This Row],[Scharnierart]]=4,Scharniere[[#This Row],[Gruppenschlüssel]]=select!$A$981)=TRUE,1,0)</f>
        <v>0</v>
      </c>
      <c r="W842" s="359">
        <f ca="1">IF(select!$O$1185&lt;6,1,0)</f>
        <v>1</v>
      </c>
      <c r="X842" s="359">
        <f>IF(select!$A$1012=IF(Scharniere[[#This Row],[mit Dämpfung]]=1,1,IF(Scharniere[[#This Row],[ohne Dämpfung]]=1,2,IF(Scharniere[[#This Row],[ohne Feder]]=1,3,0))),1,0)</f>
        <v>1</v>
      </c>
      <c r="Y842" s="359">
        <f>IF(Scharniere[[#This Row],[Bohrbild]]=select!$A$989,1,0)</f>
        <v>0</v>
      </c>
      <c r="Z842" s="359">
        <f>IF(IF(Scharniere[[#This Row],[Anschrauben]]=1,1,IF(Scharniere[[#This Row],[Einpressen]]=1,2,IF(Scharniere[[#This Row],[Quick]]=1,3,IF(Scharniere[[#This Row],[Werkzeuglos]]=1,4,0))))=select!$A$1003,1,0)</f>
        <v>1</v>
      </c>
      <c r="AA8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2" s="359">
        <f ca="1">IF(select!$K$980="*",Scharniere[[#This Row],[AG Ges2]],Scharniere[[#This Row],[AG Ges1]])</f>
        <v>0</v>
      </c>
      <c r="AE842" s="451">
        <f ca="1">IF(AND(Scharniere[[#This Row],[Scharnierart]]=select!$A$1485,Scharniere[[#This Row],[Gruppenschlüssel]]=select!$B$1485)=TRUE,1,0)</f>
        <v>0</v>
      </c>
      <c r="AF842" s="451">
        <f ca="1">IF(AND(Scharniere[[#This Row],[Scharnierart]]=select!$A$1486,Scharniere[[#This Row],[Gruppenschlüssel]]=select!$B$1486)=TRUE,1,0)</f>
        <v>0</v>
      </c>
      <c r="AG842" s="451">
        <f ca="1">IF(AND(Scharniere[[#This Row],[Scharnierart]]=select!$A$1487,Scharniere[[#This Row],[Gruppenschlüssel]]=select!$B$1487)=TRUE,1,0)</f>
        <v>0</v>
      </c>
      <c r="AH842" s="451">
        <f ca="1">IF(AND(Scharniere[[#This Row],[Scharnierart]]=select!$A$1488,Scharniere[[#This Row],[Gruppenschlüssel]]=select!$B$1488)=TRUE,1,0)</f>
        <v>0</v>
      </c>
      <c r="AI842" s="451">
        <f ca="1">IF(SUM(Scharniere[[#This Row],[konf Scharnier 1]:[konf Scharnier 4]])&gt;0,1,0)</f>
        <v>0</v>
      </c>
      <c r="AJ842" s="451"/>
      <c r="AK842" s="451"/>
      <c r="AL842" s="451"/>
      <c r="AM842" s="451"/>
      <c r="AN842" s="451"/>
      <c r="AO842" s="146">
        <v>2</v>
      </c>
      <c r="AP842" s="146">
        <v>4</v>
      </c>
      <c r="AQ842" s="10" t="str">
        <f ca="1">Sprache!$A$118</f>
        <v>Tiomos Scharnier T Click-on</v>
      </c>
      <c r="AR842" t="str">
        <f ca="1">"110/30°, M-BB, "&amp;Sprache!$A$62&amp;" ni"</f>
        <v>110/30°, M-BB, einl. ni</v>
      </c>
      <c r="AS842" t="str">
        <f ca="1">Sprache!$A$103</f>
        <v>Tiomos Click-On Scharniere</v>
      </c>
      <c r="AT842" t="s">
        <v>1264</v>
      </c>
      <c r="AU842" t="s">
        <v>8</v>
      </c>
      <c r="AV842" t="s">
        <v>1489</v>
      </c>
      <c r="AW842" s="71">
        <v>0</v>
      </c>
      <c r="AX842">
        <v>1</v>
      </c>
      <c r="AY842">
        <v>0</v>
      </c>
      <c r="AZ842" s="71">
        <v>1</v>
      </c>
      <c r="BA842">
        <v>0</v>
      </c>
      <c r="BB842">
        <v>0</v>
      </c>
      <c r="BC842">
        <v>0</v>
      </c>
      <c r="BD842" s="144" t="s">
        <v>1616</v>
      </c>
      <c r="BF842" s="10"/>
      <c r="BG842"/>
    </row>
    <row r="843" spans="1:59" ht="14.25" customHeight="1" x14ac:dyDescent="0.25">
      <c r="A843" s="37" t="str">
        <f>LEFT(Scharniere[[#This Row],[ArtikelNR]],4)</f>
        <v>F046</v>
      </c>
      <c r="B843" s="35" t="str">
        <f>MID(Scharniere[[#This Row],[ArtikelNR]],5,3)</f>
        <v>138</v>
      </c>
      <c r="C843" s="37" t="str">
        <f>RIGHT(Scharniere[[#This Row],[ArtikelNR]],3)</f>
        <v>195</v>
      </c>
      <c r="D843" s="35">
        <f>IF(AND(Scharniere[[#This Row],[Gruppenschlüssel]]=select!$A$44,Scharniere[[#This Row],[Scharnierart]]=1)=TRUE,1,0)</f>
        <v>0</v>
      </c>
      <c r="E8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3" s="35">
        <f>IF(select!$F$57=IF(Scharniere[[#This Row],[mit Dämpfung]]=1,1,IF(Scharniere[[#This Row],[ohne Dämpfung]]=1,2,IF(Scharniere[[#This Row],[ohne Feder]]=1,3,0))),1,0)</f>
        <v>1</v>
      </c>
      <c r="G843" s="35">
        <f>IF(Scharniere[[#This Row],[Bohrbild]]=select!$V$43,1,0)</f>
        <v>1</v>
      </c>
      <c r="H843" s="35">
        <f>IF(IF(Scharniere[[#This Row],[Anschrauben]]=1,1,IF(Scharniere[[#This Row],[Einpressen]]=1,2,IF(Scharniere[[#This Row],[Quick]]=1,3,IF(Scharniere[[#This Row],[Werkzeuglos]]=1,4,0))))=select!$F$48,1,0)</f>
        <v>0</v>
      </c>
      <c r="I8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3" s="149">
        <f>IF(AND(Scharniere[[#This Row],[Scharnierart]]=2,Scharniere[[#This Row],[Gruppenschlüssel]]=select!$A$318)=TRUE,1,0)</f>
        <v>0</v>
      </c>
      <c r="K843" s="221">
        <f ca="1">IF(select!$O$424&lt;6,1,0)</f>
        <v>1</v>
      </c>
      <c r="L843" s="221">
        <f>IF(select!$A$362=IF(Scharniere[[#This Row],[mit Dämpfung]]=1,1,IF(Scharniere[[#This Row],[ohne Dämpfung]]=1,2,IF(Scharniere[[#This Row],[ohne Feder]]=1,3,0))),1,0)</f>
        <v>0</v>
      </c>
      <c r="M843" s="135">
        <f>IF(Scharniere[[#This Row],[Bohrbild]]=select!$O$334,1,0)</f>
        <v>1</v>
      </c>
      <c r="N843" s="135">
        <f>IF(IF(Scharniere[[#This Row],[Anschrauben]]=1,1,IF(Scharniere[[#This Row],[Einpressen]]=1,2,IF(Scharniere[[#This Row],[Quick]]=1,3,IF(Scharniere[[#This Row],[Werkzeuglos]]=1,4,0))))=select!$E$362,1,0)</f>
        <v>1</v>
      </c>
      <c r="O8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3" s="298">
        <f>IF(AND(Scharniere[[#This Row],[Scharnierart]]=3,Scharniere[[#This Row],[Gruppenschlüssel]]=select!$A$747)=TRUE,1,0)</f>
        <v>0</v>
      </c>
      <c r="Q843" s="298">
        <f ca="1">IF(select!$O$945&lt;6,1,0)</f>
        <v>1</v>
      </c>
      <c r="R843" s="298">
        <f>IF(select!$A$778=IF(Scharniere[[#This Row],[mit Dämpfung]]=1,1,IF(Scharniere[[#This Row],[ohne Dämpfung]]=1,2,IF(Scharniere[[#This Row],[ohne Feder]]=1,3,0))),1,0)</f>
        <v>0</v>
      </c>
      <c r="S843" s="298">
        <f>IF(Scharniere[[#This Row],[Bohrbild]]=select!$A$755,1,0)</f>
        <v>0</v>
      </c>
      <c r="T843" s="298">
        <f>IF(IF(Scharniere[[#This Row],[Anschrauben]]=1,1,IF(Scharniere[[#This Row],[Einpressen]]=1,2,IF(Scharniere[[#This Row],[Quick]]=1,3,IF(Scharniere[[#This Row],[Werkzeuglos]]=1,4,0))))=select!$A$769,1,0)</f>
        <v>1</v>
      </c>
      <c r="U8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3" s="359">
        <f>IF(AND(Scharniere[[#This Row],[Scharnierart]]=4,Scharniere[[#This Row],[Gruppenschlüssel]]=select!$A$981)=TRUE,1,0)</f>
        <v>0</v>
      </c>
      <c r="W843" s="359">
        <f ca="1">IF(select!$O$1185&lt;6,1,0)</f>
        <v>1</v>
      </c>
      <c r="X843" s="359">
        <f>IF(select!$A$1012=IF(Scharniere[[#This Row],[mit Dämpfung]]=1,1,IF(Scharniere[[#This Row],[ohne Dämpfung]]=1,2,IF(Scharniere[[#This Row],[ohne Feder]]=1,3,0))),1,0)</f>
        <v>0</v>
      </c>
      <c r="Y843" s="359">
        <f>IF(Scharniere[[#This Row],[Bohrbild]]=select!$A$989,1,0)</f>
        <v>0</v>
      </c>
      <c r="Z843" s="359">
        <f>IF(IF(Scharniere[[#This Row],[Anschrauben]]=1,1,IF(Scharniere[[#This Row],[Einpressen]]=1,2,IF(Scharniere[[#This Row],[Quick]]=1,3,IF(Scharniere[[#This Row],[Werkzeuglos]]=1,4,0))))=select!$A$1003,1,0)</f>
        <v>1</v>
      </c>
      <c r="AA8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3" s="359">
        <f ca="1">IF(select!$K$980="*",Scharniere[[#This Row],[AG Ges2]],Scharniere[[#This Row],[AG Ges1]])</f>
        <v>0</v>
      </c>
      <c r="AE843" s="451">
        <f ca="1">IF(AND(Scharniere[[#This Row],[Scharnierart]]=select!$A$1485,Scharniere[[#This Row],[Gruppenschlüssel]]=select!$B$1485)=TRUE,1,0)</f>
        <v>0</v>
      </c>
      <c r="AF843" s="451">
        <f ca="1">IF(AND(Scharniere[[#This Row],[Scharnierart]]=select!$A$1486,Scharniere[[#This Row],[Gruppenschlüssel]]=select!$B$1486)=TRUE,1,0)</f>
        <v>0</v>
      </c>
      <c r="AG843" s="451">
        <f ca="1">IF(AND(Scharniere[[#This Row],[Scharnierart]]=select!$A$1487,Scharniere[[#This Row],[Gruppenschlüssel]]=select!$B$1487)=TRUE,1,0)</f>
        <v>0</v>
      </c>
      <c r="AH843" s="451">
        <f ca="1">IF(AND(Scharniere[[#This Row],[Scharnierart]]=select!$A$1488,Scharniere[[#This Row],[Gruppenschlüssel]]=select!$B$1488)=TRUE,1,0)</f>
        <v>0</v>
      </c>
      <c r="AI843" s="451">
        <f ca="1">IF(SUM(Scharniere[[#This Row],[konf Scharnier 1]:[konf Scharnier 4]])&gt;0,1,0)</f>
        <v>0</v>
      </c>
      <c r="AJ843" s="451"/>
      <c r="AK843" s="451"/>
      <c r="AL843" s="451"/>
      <c r="AM843" s="451"/>
      <c r="AN843" s="451"/>
      <c r="AO843" s="146">
        <v>2</v>
      </c>
      <c r="AP843" s="146">
        <v>4</v>
      </c>
      <c r="AQ843" s="10" t="str">
        <f ca="1">Sprache!$A$114</f>
        <v>Tiomos Scharnier TT Click-on</v>
      </c>
      <c r="AR843" t="str">
        <f ca="1">"110/30°, M-BB, "&amp;Sprache!$A$62&amp;" ni"</f>
        <v>110/30°, M-BB, einl. ni</v>
      </c>
      <c r="AS843" t="str">
        <f ca="1">Sprache!$A$103</f>
        <v>Tiomos Click-On Scharniere</v>
      </c>
      <c r="AT843" t="s">
        <v>1264</v>
      </c>
      <c r="AU843" s="34" t="s">
        <v>8</v>
      </c>
      <c r="AV843" t="s">
        <v>1489</v>
      </c>
      <c r="AW843" s="71">
        <v>0</v>
      </c>
      <c r="AX843">
        <v>0</v>
      </c>
      <c r="AY843">
        <v>1</v>
      </c>
      <c r="AZ843" s="71">
        <v>1</v>
      </c>
      <c r="BA843">
        <v>0</v>
      </c>
      <c r="BB843">
        <v>0</v>
      </c>
      <c r="BC843">
        <v>0</v>
      </c>
      <c r="BD843" s="144" t="s">
        <v>1701</v>
      </c>
      <c r="BF843" s="10"/>
      <c r="BG843"/>
    </row>
    <row r="844" spans="1:59" ht="14.25" customHeight="1" x14ac:dyDescent="0.25">
      <c r="A844" s="37" t="str">
        <f>LEFT(Scharniere[[#This Row],[ArtikelNR]],4)</f>
        <v>F017</v>
      </c>
      <c r="B844" s="35" t="str">
        <f>MID(Scharniere[[#This Row],[ArtikelNR]],5,3)</f>
        <v>139</v>
      </c>
      <c r="C844" s="37" t="str">
        <f>RIGHT(Scharniere[[#This Row],[ArtikelNR]],3)</f>
        <v>336</v>
      </c>
      <c r="D844" s="35">
        <f>IF(AND(Scharniere[[#This Row],[Gruppenschlüssel]]=select!$A$44,Scharniere[[#This Row],[Scharnierart]]=1)=TRUE,1,0)</f>
        <v>0</v>
      </c>
      <c r="E8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4" s="35">
        <f>IF(select!$F$57=IF(Scharniere[[#This Row],[mit Dämpfung]]=1,1,IF(Scharniere[[#This Row],[ohne Dämpfung]]=1,2,IF(Scharniere[[#This Row],[ohne Feder]]=1,3,0))),1,0)</f>
        <v>0</v>
      </c>
      <c r="G844" s="35">
        <f>IF(Scharniere[[#This Row],[Bohrbild]]=select!$V$43,1,0)</f>
        <v>1</v>
      </c>
      <c r="H844" s="35">
        <f>IF(IF(Scharniere[[#This Row],[Anschrauben]]=1,1,IF(Scharniere[[#This Row],[Einpressen]]=1,2,IF(Scharniere[[#This Row],[Quick]]=1,3,IF(Scharniere[[#This Row],[Werkzeuglos]]=1,4,0))))=select!$F$48,1,0)</f>
        <v>0</v>
      </c>
      <c r="I8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4" s="149">
        <f>IF(AND(Scharniere[[#This Row],[Scharnierart]]=2,Scharniere[[#This Row],[Gruppenschlüssel]]=select!$A$318)=TRUE,1,0)</f>
        <v>0</v>
      </c>
      <c r="K844" s="221">
        <f ca="1">IF(select!$O$424&lt;6,1,0)</f>
        <v>1</v>
      </c>
      <c r="L844" s="221">
        <f>IF(select!$A$362=IF(Scharniere[[#This Row],[mit Dämpfung]]=1,1,IF(Scharniere[[#This Row],[ohne Dämpfung]]=1,2,IF(Scharniere[[#This Row],[ohne Feder]]=1,3,0))),1,0)</f>
        <v>1</v>
      </c>
      <c r="M844" s="135">
        <f>IF(Scharniere[[#This Row],[Bohrbild]]=select!$O$334,1,0)</f>
        <v>1</v>
      </c>
      <c r="N844" s="135">
        <f>IF(IF(Scharniere[[#This Row],[Anschrauben]]=1,1,IF(Scharniere[[#This Row],[Einpressen]]=1,2,IF(Scharniere[[#This Row],[Quick]]=1,3,IF(Scharniere[[#This Row],[Werkzeuglos]]=1,4,0))))=select!$E$362,1,0)</f>
        <v>0</v>
      </c>
      <c r="O8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4" s="298">
        <f>IF(AND(Scharniere[[#This Row],[Scharnierart]]=3,Scharniere[[#This Row],[Gruppenschlüssel]]=select!$A$747)=TRUE,1,0)</f>
        <v>0</v>
      </c>
      <c r="Q844" s="298">
        <f ca="1">IF(select!$O$945&lt;6,1,0)</f>
        <v>1</v>
      </c>
      <c r="R844" s="298">
        <f>IF(select!$A$778=IF(Scharniere[[#This Row],[mit Dämpfung]]=1,1,IF(Scharniere[[#This Row],[ohne Dämpfung]]=1,2,IF(Scharniere[[#This Row],[ohne Feder]]=1,3,0))),1,0)</f>
        <v>0</v>
      </c>
      <c r="S844" s="298">
        <f>IF(Scharniere[[#This Row],[Bohrbild]]=select!$A$755,1,0)</f>
        <v>0</v>
      </c>
      <c r="T844" s="298">
        <f>IF(IF(Scharniere[[#This Row],[Anschrauben]]=1,1,IF(Scharniere[[#This Row],[Einpressen]]=1,2,IF(Scharniere[[#This Row],[Quick]]=1,3,IF(Scharniere[[#This Row],[Werkzeuglos]]=1,4,0))))=select!$A$769,1,0)</f>
        <v>0</v>
      </c>
      <c r="U8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4" s="359">
        <f>IF(AND(Scharniere[[#This Row],[Scharnierart]]=4,Scharniere[[#This Row],[Gruppenschlüssel]]=select!$A$981)=TRUE,1,0)</f>
        <v>0</v>
      </c>
      <c r="W844" s="359">
        <f ca="1">IF(select!$O$1185&lt;6,1,0)</f>
        <v>1</v>
      </c>
      <c r="X844" s="359">
        <f>IF(select!$A$1012=IF(Scharniere[[#This Row],[mit Dämpfung]]=1,1,IF(Scharniere[[#This Row],[ohne Dämpfung]]=1,2,IF(Scharniere[[#This Row],[ohne Feder]]=1,3,0))),1,0)</f>
        <v>0</v>
      </c>
      <c r="Y844" s="359">
        <f>IF(Scharniere[[#This Row],[Bohrbild]]=select!$A$989,1,0)</f>
        <v>0</v>
      </c>
      <c r="Z844" s="359">
        <f>IF(IF(Scharniere[[#This Row],[Anschrauben]]=1,1,IF(Scharniere[[#This Row],[Einpressen]]=1,2,IF(Scharniere[[#This Row],[Quick]]=1,3,IF(Scharniere[[#This Row],[Werkzeuglos]]=1,4,0))))=select!$A$1003,1,0)</f>
        <v>0</v>
      </c>
      <c r="AA8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4" s="359">
        <f ca="1">IF(select!$K$980="*",Scharniere[[#This Row],[AG Ges2]],Scharniere[[#This Row],[AG Ges1]])</f>
        <v>0</v>
      </c>
      <c r="AE844" s="451">
        <f ca="1">IF(AND(Scharniere[[#This Row],[Scharnierart]]=select!$A$1485,Scharniere[[#This Row],[Gruppenschlüssel]]=select!$B$1485)=TRUE,1,0)</f>
        <v>0</v>
      </c>
      <c r="AF844" s="451">
        <f ca="1">IF(AND(Scharniere[[#This Row],[Scharnierart]]=select!$A$1486,Scharniere[[#This Row],[Gruppenschlüssel]]=select!$B$1486)=TRUE,1,0)</f>
        <v>0</v>
      </c>
      <c r="AG844" s="451">
        <f ca="1">IF(AND(Scharniere[[#This Row],[Scharnierart]]=select!$A$1487,Scharniere[[#This Row],[Gruppenschlüssel]]=select!$B$1487)=TRUE,1,0)</f>
        <v>0</v>
      </c>
      <c r="AH844" s="451">
        <f ca="1">IF(AND(Scharniere[[#This Row],[Scharnierart]]=select!$A$1488,Scharniere[[#This Row],[Gruppenschlüssel]]=select!$B$1488)=TRUE,1,0)</f>
        <v>0</v>
      </c>
      <c r="AI844" s="451">
        <f ca="1">IF(SUM(Scharniere[[#This Row],[konf Scharnier 1]:[konf Scharnier 4]])&gt;0,1,0)</f>
        <v>0</v>
      </c>
      <c r="AJ844" s="451"/>
      <c r="AK844" s="451"/>
      <c r="AL844" s="451"/>
      <c r="AM844" s="451"/>
      <c r="AN844" s="451"/>
      <c r="AO844" s="146">
        <v>2</v>
      </c>
      <c r="AP844" s="146">
        <v>4</v>
      </c>
      <c r="AQ844" s="10" t="str">
        <f ca="1">Sprache!$A$113</f>
        <v>Tiomos Scharnier TS Impresso</v>
      </c>
      <c r="AR844" t="str">
        <f ca="1">"110/30°, MB-BB, "&amp;Sprache!$A$62&amp;" ni"</f>
        <v>110/30°, MB-BB, einl. ni</v>
      </c>
      <c r="AS844" t="str">
        <f ca="1">Sprache!$A$116</f>
        <v>Tiomos Impresso Scharniere</v>
      </c>
      <c r="AT844" t="s">
        <v>1264</v>
      </c>
      <c r="AU844" s="34" t="s">
        <v>8</v>
      </c>
      <c r="AV844" t="s">
        <v>1489</v>
      </c>
      <c r="AW844" s="71">
        <v>1</v>
      </c>
      <c r="AX844">
        <v>0</v>
      </c>
      <c r="AY844">
        <v>0</v>
      </c>
      <c r="AZ844" s="71">
        <v>0</v>
      </c>
      <c r="BA844">
        <v>0</v>
      </c>
      <c r="BB844">
        <v>0</v>
      </c>
      <c r="BC844">
        <v>1</v>
      </c>
      <c r="BD844" s="144" t="s">
        <v>1491</v>
      </c>
      <c r="BF844" s="10"/>
      <c r="BG844"/>
    </row>
    <row r="845" spans="1:59" ht="14.25" customHeight="1" x14ac:dyDescent="0.25">
      <c r="A845" s="37" t="str">
        <f>LEFT(Scharniere[[#This Row],[ArtikelNR]],4)</f>
        <v>F017</v>
      </c>
      <c r="B845" s="35" t="str">
        <f>MID(Scharniere[[#This Row],[ArtikelNR]],5,3)</f>
        <v>139</v>
      </c>
      <c r="C845" s="37" t="str">
        <f>RIGHT(Scharniere[[#This Row],[ArtikelNR]],3)</f>
        <v>336</v>
      </c>
      <c r="D845" s="35">
        <f>IF(AND(Scharniere[[#This Row],[Gruppenschlüssel]]=select!$A$44,Scharniere[[#This Row],[Scharnierart]]=1)=TRUE,1,0)</f>
        <v>0</v>
      </c>
      <c r="E8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5" s="35">
        <f>IF(select!$F$57=IF(Scharniere[[#This Row],[mit Dämpfung]]=1,1,IF(Scharniere[[#This Row],[ohne Dämpfung]]=1,2,IF(Scharniere[[#This Row],[ohne Feder]]=1,3,0))),1,0)</f>
        <v>0</v>
      </c>
      <c r="G845" s="35">
        <f>IF(Scharniere[[#This Row],[Bohrbild]]=select!$V$43,1,0)</f>
        <v>0</v>
      </c>
      <c r="H845" s="35">
        <f>IF(IF(Scharniere[[#This Row],[Anschrauben]]=1,1,IF(Scharniere[[#This Row],[Einpressen]]=1,2,IF(Scharniere[[#This Row],[Quick]]=1,3,IF(Scharniere[[#This Row],[Werkzeuglos]]=1,4,0))))=select!$F$48,1,0)</f>
        <v>0</v>
      </c>
      <c r="I8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5" s="149">
        <f>IF(AND(Scharniere[[#This Row],[Scharnierart]]=2,Scharniere[[#This Row],[Gruppenschlüssel]]=select!$A$318)=TRUE,1,0)</f>
        <v>0</v>
      </c>
      <c r="K845" s="221">
        <f ca="1">IF(select!$O$424&lt;6,1,0)</f>
        <v>1</v>
      </c>
      <c r="L845" s="221">
        <f>IF(select!$A$362=IF(Scharniere[[#This Row],[mit Dämpfung]]=1,1,IF(Scharniere[[#This Row],[ohne Dämpfung]]=1,2,IF(Scharniere[[#This Row],[ohne Feder]]=1,3,0))),1,0)</f>
        <v>1</v>
      </c>
      <c r="M845" s="135">
        <f>IF(Scharniere[[#This Row],[Bohrbild]]=select!$O$334,1,0)</f>
        <v>0</v>
      </c>
      <c r="N845" s="135">
        <f>IF(IF(Scharniere[[#This Row],[Anschrauben]]=1,1,IF(Scharniere[[#This Row],[Einpressen]]=1,2,IF(Scharniere[[#This Row],[Quick]]=1,3,IF(Scharniere[[#This Row],[Werkzeuglos]]=1,4,0))))=select!$E$362,1,0)</f>
        <v>0</v>
      </c>
      <c r="O8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5" s="298">
        <f>IF(AND(Scharniere[[#This Row],[Scharnierart]]=3,Scharniere[[#This Row],[Gruppenschlüssel]]=select!$A$747)=TRUE,1,0)</f>
        <v>0</v>
      </c>
      <c r="Q845" s="298">
        <f ca="1">IF(select!$O$945&lt;6,1,0)</f>
        <v>1</v>
      </c>
      <c r="R845" s="298">
        <f>IF(select!$A$778=IF(Scharniere[[#This Row],[mit Dämpfung]]=1,1,IF(Scharniere[[#This Row],[ohne Dämpfung]]=1,2,IF(Scharniere[[#This Row],[ohne Feder]]=1,3,0))),1,0)</f>
        <v>0</v>
      </c>
      <c r="S845" s="298">
        <f>IF(Scharniere[[#This Row],[Bohrbild]]=select!$A$755,1,0)</f>
        <v>0</v>
      </c>
      <c r="T845" s="298">
        <f>IF(IF(Scharniere[[#This Row],[Anschrauben]]=1,1,IF(Scharniere[[#This Row],[Einpressen]]=1,2,IF(Scharniere[[#This Row],[Quick]]=1,3,IF(Scharniere[[#This Row],[Werkzeuglos]]=1,4,0))))=select!$A$769,1,0)</f>
        <v>0</v>
      </c>
      <c r="U8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5" s="359">
        <f>IF(AND(Scharniere[[#This Row],[Scharnierart]]=4,Scharniere[[#This Row],[Gruppenschlüssel]]=select!$A$981)=TRUE,1,0)</f>
        <v>0</v>
      </c>
      <c r="W845" s="359">
        <f ca="1">IF(select!$O$1185&lt;6,1,0)</f>
        <v>1</v>
      </c>
      <c r="X845" s="359">
        <f>IF(select!$A$1012=IF(Scharniere[[#This Row],[mit Dämpfung]]=1,1,IF(Scharniere[[#This Row],[ohne Dämpfung]]=1,2,IF(Scharniere[[#This Row],[ohne Feder]]=1,3,0))),1,0)</f>
        <v>0</v>
      </c>
      <c r="Y845" s="359">
        <f>IF(Scharniere[[#This Row],[Bohrbild]]=select!$A$989,1,0)</f>
        <v>0</v>
      </c>
      <c r="Z845" s="359">
        <f>IF(IF(Scharniere[[#This Row],[Anschrauben]]=1,1,IF(Scharniere[[#This Row],[Einpressen]]=1,2,IF(Scharniere[[#This Row],[Quick]]=1,3,IF(Scharniere[[#This Row],[Werkzeuglos]]=1,4,0))))=select!$A$1003,1,0)</f>
        <v>0</v>
      </c>
      <c r="AA8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5" s="359">
        <f ca="1">IF(select!$K$980="*",Scharniere[[#This Row],[AG Ges2]],Scharniere[[#This Row],[AG Ges1]])</f>
        <v>0</v>
      </c>
      <c r="AE845" s="451">
        <f ca="1">IF(AND(Scharniere[[#This Row],[Scharnierart]]=select!$A$1485,Scharniere[[#This Row],[Gruppenschlüssel]]=select!$B$1485)=TRUE,1,0)</f>
        <v>0</v>
      </c>
      <c r="AF845" s="451">
        <f ca="1">IF(AND(Scharniere[[#This Row],[Scharnierart]]=select!$A$1486,Scharniere[[#This Row],[Gruppenschlüssel]]=select!$B$1486)=TRUE,1,0)</f>
        <v>0</v>
      </c>
      <c r="AG845" s="451">
        <f ca="1">IF(AND(Scharniere[[#This Row],[Scharnierart]]=select!$A$1487,Scharniere[[#This Row],[Gruppenschlüssel]]=select!$B$1487)=TRUE,1,0)</f>
        <v>0</v>
      </c>
      <c r="AH845" s="451">
        <f ca="1">IF(AND(Scharniere[[#This Row],[Scharnierart]]=select!$A$1488,Scharniere[[#This Row],[Gruppenschlüssel]]=select!$B$1488)=TRUE,1,0)</f>
        <v>0</v>
      </c>
      <c r="AI845" s="451">
        <f ca="1">IF(SUM(Scharniere[[#This Row],[konf Scharnier 1]:[konf Scharnier 4]])&gt;0,1,0)</f>
        <v>0</v>
      </c>
      <c r="AJ845" s="451"/>
      <c r="AK845" s="451"/>
      <c r="AL845" s="451"/>
      <c r="AM845" s="451"/>
      <c r="AN845" s="451"/>
      <c r="AO845" s="146">
        <v>2</v>
      </c>
      <c r="AP845" s="146">
        <v>4</v>
      </c>
      <c r="AQ845" s="10" t="str">
        <f ca="1">Sprache!$A$113</f>
        <v>Tiomos Scharnier TS Impresso</v>
      </c>
      <c r="AR845" t="str">
        <f ca="1">"110/30°, MB-BB, "&amp;Sprache!$A$62&amp;" ni"</f>
        <v>110/30°, MB-BB, einl. ni</v>
      </c>
      <c r="AS845" t="str">
        <f ca="1">Sprache!$A$116</f>
        <v>Tiomos Impresso Scharniere</v>
      </c>
      <c r="AT845" t="s">
        <v>1264</v>
      </c>
      <c r="AU845" t="s">
        <v>3</v>
      </c>
      <c r="AV845" t="s">
        <v>1489</v>
      </c>
      <c r="AW845" s="71">
        <v>1</v>
      </c>
      <c r="AX845">
        <v>0</v>
      </c>
      <c r="AY845">
        <v>0</v>
      </c>
      <c r="AZ845" s="71">
        <v>0</v>
      </c>
      <c r="BA845">
        <v>0</v>
      </c>
      <c r="BB845">
        <v>0</v>
      </c>
      <c r="BC845">
        <v>1</v>
      </c>
      <c r="BD845" s="144" t="s">
        <v>1491</v>
      </c>
      <c r="BF845" s="10"/>
      <c r="BG845"/>
    </row>
    <row r="846" spans="1:59" ht="14.25" customHeight="1" x14ac:dyDescent="0.25">
      <c r="A846" s="37" t="str">
        <f>LEFT(Scharniere[[#This Row],[ArtikelNR]],4)</f>
        <v>F034</v>
      </c>
      <c r="B846" s="35" t="str">
        <f>MID(Scharniere[[#This Row],[ArtikelNR]],5,3)</f>
        <v>139</v>
      </c>
      <c r="C846" s="37" t="str">
        <f>RIGHT(Scharniere[[#This Row],[ArtikelNR]],3)</f>
        <v>307</v>
      </c>
      <c r="D846" s="35">
        <f>IF(AND(Scharniere[[#This Row],[Gruppenschlüssel]]=select!$A$44,Scharniere[[#This Row],[Scharnierart]]=1)=TRUE,1,0)</f>
        <v>0</v>
      </c>
      <c r="E8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6" s="35">
        <f>IF(select!$F$57=IF(Scharniere[[#This Row],[mit Dämpfung]]=1,1,IF(Scharniere[[#This Row],[ohne Dämpfung]]=1,2,IF(Scharniere[[#This Row],[ohne Feder]]=1,3,0))),1,0)</f>
        <v>0</v>
      </c>
      <c r="G846" s="35">
        <f>IF(Scharniere[[#This Row],[Bohrbild]]=select!$V$43,1,0)</f>
        <v>1</v>
      </c>
      <c r="H846" s="35">
        <f>IF(IF(Scharniere[[#This Row],[Anschrauben]]=1,1,IF(Scharniere[[#This Row],[Einpressen]]=1,2,IF(Scharniere[[#This Row],[Quick]]=1,3,IF(Scharniere[[#This Row],[Werkzeuglos]]=1,4,0))))=select!$F$48,1,0)</f>
        <v>0</v>
      </c>
      <c r="I8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6" s="149">
        <f>IF(AND(Scharniere[[#This Row],[Scharnierart]]=2,Scharniere[[#This Row],[Gruppenschlüssel]]=select!$A$318)=TRUE,1,0)</f>
        <v>0</v>
      </c>
      <c r="K846" s="221">
        <f ca="1">IF(select!$O$424&lt;6,1,0)</f>
        <v>1</v>
      </c>
      <c r="L846" s="221">
        <f>IF(select!$A$362=IF(Scharniere[[#This Row],[mit Dämpfung]]=1,1,IF(Scharniere[[#This Row],[ohne Dämpfung]]=1,2,IF(Scharniere[[#This Row],[ohne Feder]]=1,3,0))),1,0)</f>
        <v>0</v>
      </c>
      <c r="M846" s="135">
        <f>IF(Scharniere[[#This Row],[Bohrbild]]=select!$O$334,1,0)</f>
        <v>1</v>
      </c>
      <c r="N846" s="135">
        <f>IF(IF(Scharniere[[#This Row],[Anschrauben]]=1,1,IF(Scharniere[[#This Row],[Einpressen]]=1,2,IF(Scharniere[[#This Row],[Quick]]=1,3,IF(Scharniere[[#This Row],[Werkzeuglos]]=1,4,0))))=select!$E$362,1,0)</f>
        <v>0</v>
      </c>
      <c r="O8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6" s="298">
        <f>IF(AND(Scharniere[[#This Row],[Scharnierart]]=3,Scharniere[[#This Row],[Gruppenschlüssel]]=select!$A$747)=TRUE,1,0)</f>
        <v>0</v>
      </c>
      <c r="Q846" s="298">
        <f ca="1">IF(select!$O$945&lt;6,1,0)</f>
        <v>1</v>
      </c>
      <c r="R846" s="298">
        <f>IF(select!$A$778=IF(Scharniere[[#This Row],[mit Dämpfung]]=1,1,IF(Scharniere[[#This Row],[ohne Dämpfung]]=1,2,IF(Scharniere[[#This Row],[ohne Feder]]=1,3,0))),1,0)</f>
        <v>1</v>
      </c>
      <c r="S846" s="298">
        <f>IF(Scharniere[[#This Row],[Bohrbild]]=select!$A$755,1,0)</f>
        <v>0</v>
      </c>
      <c r="T846" s="298">
        <f>IF(IF(Scharniere[[#This Row],[Anschrauben]]=1,1,IF(Scharniere[[#This Row],[Einpressen]]=1,2,IF(Scharniere[[#This Row],[Quick]]=1,3,IF(Scharniere[[#This Row],[Werkzeuglos]]=1,4,0))))=select!$A$769,1,0)</f>
        <v>0</v>
      </c>
      <c r="U8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6" s="359">
        <f>IF(AND(Scharniere[[#This Row],[Scharnierart]]=4,Scharniere[[#This Row],[Gruppenschlüssel]]=select!$A$981)=TRUE,1,0)</f>
        <v>0</v>
      </c>
      <c r="W846" s="359">
        <f ca="1">IF(select!$O$1185&lt;6,1,0)</f>
        <v>1</v>
      </c>
      <c r="X846" s="359">
        <f>IF(select!$A$1012=IF(Scharniere[[#This Row],[mit Dämpfung]]=1,1,IF(Scharniere[[#This Row],[ohne Dämpfung]]=1,2,IF(Scharniere[[#This Row],[ohne Feder]]=1,3,0))),1,0)</f>
        <v>1</v>
      </c>
      <c r="Y846" s="359">
        <f>IF(Scharniere[[#This Row],[Bohrbild]]=select!$A$989,1,0)</f>
        <v>0</v>
      </c>
      <c r="Z846" s="359">
        <f>IF(IF(Scharniere[[#This Row],[Anschrauben]]=1,1,IF(Scharniere[[#This Row],[Einpressen]]=1,2,IF(Scharniere[[#This Row],[Quick]]=1,3,IF(Scharniere[[#This Row],[Werkzeuglos]]=1,4,0))))=select!$A$1003,1,0)</f>
        <v>0</v>
      </c>
      <c r="AA8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6" s="359">
        <f ca="1">IF(select!$K$980="*",Scharniere[[#This Row],[AG Ges2]],Scharniere[[#This Row],[AG Ges1]])</f>
        <v>0</v>
      </c>
      <c r="AE846" s="451">
        <f ca="1">IF(AND(Scharniere[[#This Row],[Scharnierart]]=select!$A$1485,Scharniere[[#This Row],[Gruppenschlüssel]]=select!$B$1485)=TRUE,1,0)</f>
        <v>0</v>
      </c>
      <c r="AF846" s="451">
        <f ca="1">IF(AND(Scharniere[[#This Row],[Scharnierart]]=select!$A$1486,Scharniere[[#This Row],[Gruppenschlüssel]]=select!$B$1486)=TRUE,1,0)</f>
        <v>0</v>
      </c>
      <c r="AG846" s="451">
        <f ca="1">IF(AND(Scharniere[[#This Row],[Scharnierart]]=select!$A$1487,Scharniere[[#This Row],[Gruppenschlüssel]]=select!$B$1487)=TRUE,1,0)</f>
        <v>0</v>
      </c>
      <c r="AH846" s="451">
        <f ca="1">IF(AND(Scharniere[[#This Row],[Scharnierart]]=select!$A$1488,Scharniere[[#This Row],[Gruppenschlüssel]]=select!$B$1488)=TRUE,1,0)</f>
        <v>0</v>
      </c>
      <c r="AI846" s="451">
        <f ca="1">IF(SUM(Scharniere[[#This Row],[konf Scharnier 1]:[konf Scharnier 4]])&gt;0,1,0)</f>
        <v>0</v>
      </c>
      <c r="AJ846" s="451"/>
      <c r="AK846" s="451"/>
      <c r="AL846" s="451"/>
      <c r="AM846" s="451"/>
      <c r="AN846" s="451"/>
      <c r="AO846" s="146">
        <v>2</v>
      </c>
      <c r="AP846" s="146">
        <v>4</v>
      </c>
      <c r="AQ846" s="10" t="str">
        <f ca="1">Sprache!$A$119</f>
        <v>Tiomos Scharnier T Impresso</v>
      </c>
      <c r="AR846" t="str">
        <f ca="1">"110/30°, MB-BB, "&amp;Sprache!$A$62&amp;" ni"</f>
        <v>110/30°, MB-BB, einl. ni</v>
      </c>
      <c r="AS846" t="str">
        <f ca="1">Sprache!$A$103</f>
        <v>Tiomos Click-On Scharniere</v>
      </c>
      <c r="AT846" t="s">
        <v>1264</v>
      </c>
      <c r="AU846" t="s">
        <v>8</v>
      </c>
      <c r="AV846" t="s">
        <v>1489</v>
      </c>
      <c r="AW846" s="71">
        <v>0</v>
      </c>
      <c r="AX846">
        <v>1</v>
      </c>
      <c r="AY846">
        <v>0</v>
      </c>
      <c r="AZ846" s="71">
        <v>0</v>
      </c>
      <c r="BA846">
        <v>0</v>
      </c>
      <c r="BB846">
        <v>0</v>
      </c>
      <c r="BC846">
        <v>1</v>
      </c>
      <c r="BD846" s="144" t="s">
        <v>1601</v>
      </c>
      <c r="BF846" s="10"/>
      <c r="BG846"/>
    </row>
    <row r="847" spans="1:59" ht="14.25" customHeight="1" x14ac:dyDescent="0.25">
      <c r="A847" s="37" t="str">
        <f>LEFT(Scharniere[[#This Row],[ArtikelNR]],4)</f>
        <v>F034</v>
      </c>
      <c r="B847" s="35" t="str">
        <f>MID(Scharniere[[#This Row],[ArtikelNR]],5,3)</f>
        <v>139</v>
      </c>
      <c r="C847" s="37" t="str">
        <f>RIGHT(Scharniere[[#This Row],[ArtikelNR]],3)</f>
        <v>307</v>
      </c>
      <c r="D847" s="35">
        <f>IF(AND(Scharniere[[#This Row],[Gruppenschlüssel]]=select!$A$44,Scharniere[[#This Row],[Scharnierart]]=1)=TRUE,1,0)</f>
        <v>0</v>
      </c>
      <c r="E8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7" s="35">
        <f>IF(select!$F$57=IF(Scharniere[[#This Row],[mit Dämpfung]]=1,1,IF(Scharniere[[#This Row],[ohne Dämpfung]]=1,2,IF(Scharniere[[#This Row],[ohne Feder]]=1,3,0))),1,0)</f>
        <v>0</v>
      </c>
      <c r="G847" s="35">
        <f>IF(Scharniere[[#This Row],[Bohrbild]]=select!$V$43,1,0)</f>
        <v>0</v>
      </c>
      <c r="H847" s="35">
        <f>IF(IF(Scharniere[[#This Row],[Anschrauben]]=1,1,IF(Scharniere[[#This Row],[Einpressen]]=1,2,IF(Scharniere[[#This Row],[Quick]]=1,3,IF(Scharniere[[#This Row],[Werkzeuglos]]=1,4,0))))=select!$F$48,1,0)</f>
        <v>0</v>
      </c>
      <c r="I8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7" s="149">
        <f>IF(AND(Scharniere[[#This Row],[Scharnierart]]=2,Scharniere[[#This Row],[Gruppenschlüssel]]=select!$A$318)=TRUE,1,0)</f>
        <v>0</v>
      </c>
      <c r="K847" s="221">
        <f ca="1">IF(select!$O$424&lt;6,1,0)</f>
        <v>1</v>
      </c>
      <c r="L847" s="221">
        <f>IF(select!$A$362=IF(Scharniere[[#This Row],[mit Dämpfung]]=1,1,IF(Scharniere[[#This Row],[ohne Dämpfung]]=1,2,IF(Scharniere[[#This Row],[ohne Feder]]=1,3,0))),1,0)</f>
        <v>0</v>
      </c>
      <c r="M847" s="135">
        <f>IF(Scharniere[[#This Row],[Bohrbild]]=select!$O$334,1,0)</f>
        <v>0</v>
      </c>
      <c r="N847" s="135">
        <f>IF(IF(Scharniere[[#This Row],[Anschrauben]]=1,1,IF(Scharniere[[#This Row],[Einpressen]]=1,2,IF(Scharniere[[#This Row],[Quick]]=1,3,IF(Scharniere[[#This Row],[Werkzeuglos]]=1,4,0))))=select!$E$362,1,0)</f>
        <v>0</v>
      </c>
      <c r="O8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7" s="298">
        <f>IF(AND(Scharniere[[#This Row],[Scharnierart]]=3,Scharniere[[#This Row],[Gruppenschlüssel]]=select!$A$747)=TRUE,1,0)</f>
        <v>0</v>
      </c>
      <c r="Q847" s="298">
        <f ca="1">IF(select!$O$945&lt;6,1,0)</f>
        <v>1</v>
      </c>
      <c r="R847" s="298">
        <f>IF(select!$A$778=IF(Scharniere[[#This Row],[mit Dämpfung]]=1,1,IF(Scharniere[[#This Row],[ohne Dämpfung]]=1,2,IF(Scharniere[[#This Row],[ohne Feder]]=1,3,0))),1,0)</f>
        <v>1</v>
      </c>
      <c r="S847" s="298">
        <f>IF(Scharniere[[#This Row],[Bohrbild]]=select!$A$755,1,0)</f>
        <v>0</v>
      </c>
      <c r="T847" s="298">
        <f>IF(IF(Scharniere[[#This Row],[Anschrauben]]=1,1,IF(Scharniere[[#This Row],[Einpressen]]=1,2,IF(Scharniere[[#This Row],[Quick]]=1,3,IF(Scharniere[[#This Row],[Werkzeuglos]]=1,4,0))))=select!$A$769,1,0)</f>
        <v>0</v>
      </c>
      <c r="U8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7" s="359">
        <f>IF(AND(Scharniere[[#This Row],[Scharnierart]]=4,Scharniere[[#This Row],[Gruppenschlüssel]]=select!$A$981)=TRUE,1,0)</f>
        <v>0</v>
      </c>
      <c r="W847" s="359">
        <f ca="1">IF(select!$O$1185&lt;6,1,0)</f>
        <v>1</v>
      </c>
      <c r="X847" s="359">
        <f>IF(select!$A$1012=IF(Scharniere[[#This Row],[mit Dämpfung]]=1,1,IF(Scharniere[[#This Row],[ohne Dämpfung]]=1,2,IF(Scharniere[[#This Row],[ohne Feder]]=1,3,0))),1,0)</f>
        <v>1</v>
      </c>
      <c r="Y847" s="359">
        <f>IF(Scharniere[[#This Row],[Bohrbild]]=select!$A$989,1,0)</f>
        <v>0</v>
      </c>
      <c r="Z847" s="359">
        <f>IF(IF(Scharniere[[#This Row],[Anschrauben]]=1,1,IF(Scharniere[[#This Row],[Einpressen]]=1,2,IF(Scharniere[[#This Row],[Quick]]=1,3,IF(Scharniere[[#This Row],[Werkzeuglos]]=1,4,0))))=select!$A$1003,1,0)</f>
        <v>0</v>
      </c>
      <c r="AA8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7" s="359">
        <f ca="1">IF(select!$K$980="*",Scharniere[[#This Row],[AG Ges2]],Scharniere[[#This Row],[AG Ges1]])</f>
        <v>0</v>
      </c>
      <c r="AE847" s="451">
        <f ca="1">IF(AND(Scharniere[[#This Row],[Scharnierart]]=select!$A$1485,Scharniere[[#This Row],[Gruppenschlüssel]]=select!$B$1485)=TRUE,1,0)</f>
        <v>0</v>
      </c>
      <c r="AF847" s="451">
        <f ca="1">IF(AND(Scharniere[[#This Row],[Scharnierart]]=select!$A$1486,Scharniere[[#This Row],[Gruppenschlüssel]]=select!$B$1486)=TRUE,1,0)</f>
        <v>0</v>
      </c>
      <c r="AG847" s="451">
        <f ca="1">IF(AND(Scharniere[[#This Row],[Scharnierart]]=select!$A$1487,Scharniere[[#This Row],[Gruppenschlüssel]]=select!$B$1487)=TRUE,1,0)</f>
        <v>0</v>
      </c>
      <c r="AH847" s="451">
        <f ca="1">IF(AND(Scharniere[[#This Row],[Scharnierart]]=select!$A$1488,Scharniere[[#This Row],[Gruppenschlüssel]]=select!$B$1488)=TRUE,1,0)</f>
        <v>0</v>
      </c>
      <c r="AI847" s="451">
        <f ca="1">IF(SUM(Scharniere[[#This Row],[konf Scharnier 1]:[konf Scharnier 4]])&gt;0,1,0)</f>
        <v>0</v>
      </c>
      <c r="AJ847" s="451"/>
      <c r="AK847" s="451"/>
      <c r="AL847" s="451"/>
      <c r="AM847" s="451"/>
      <c r="AN847" s="451"/>
      <c r="AO847" s="146">
        <v>2</v>
      </c>
      <c r="AP847" s="146">
        <v>4</v>
      </c>
      <c r="AQ847" s="10" t="str">
        <f ca="1">Sprache!$A$119</f>
        <v>Tiomos Scharnier T Impresso</v>
      </c>
      <c r="AR847" t="str">
        <f ca="1">"110/30°, MB-BB, "&amp;Sprache!$A$62&amp;" ni"</f>
        <v>110/30°, MB-BB, einl. ni</v>
      </c>
      <c r="AS847" t="str">
        <f ca="1">Sprache!$A$103</f>
        <v>Tiomos Click-On Scharniere</v>
      </c>
      <c r="AT847" t="s">
        <v>1264</v>
      </c>
      <c r="AU847" t="s">
        <v>3</v>
      </c>
      <c r="AV847" t="s">
        <v>1489</v>
      </c>
      <c r="AW847" s="71">
        <v>0</v>
      </c>
      <c r="AX847">
        <v>1</v>
      </c>
      <c r="AY847">
        <v>0</v>
      </c>
      <c r="AZ847" s="71">
        <v>0</v>
      </c>
      <c r="BA847">
        <v>0</v>
      </c>
      <c r="BB847">
        <v>0</v>
      </c>
      <c r="BC847">
        <v>1</v>
      </c>
      <c r="BD847" s="144" t="s">
        <v>1601</v>
      </c>
      <c r="BF847" s="10"/>
      <c r="BG847"/>
    </row>
    <row r="848" spans="1:59" ht="14.25" customHeight="1" x14ac:dyDescent="0.25">
      <c r="A848" s="37" t="str">
        <f>LEFT(Scharniere[[#This Row],[ArtikelNR]],4)</f>
        <v>F028</v>
      </c>
      <c r="B848" s="35" t="str">
        <f>MID(Scharniere[[#This Row],[ArtikelNR]],5,3)</f>
        <v>138</v>
      </c>
      <c r="C848" s="37" t="str">
        <f>RIGHT(Scharniere[[#This Row],[ArtikelNR]],3)</f>
        <v>894</v>
      </c>
      <c r="D848" s="35">
        <f>IF(AND(Scharniere[[#This Row],[Gruppenschlüssel]]=select!$A$44,Scharniere[[#This Row],[Scharnierart]]=1)=TRUE,1,0)</f>
        <v>0</v>
      </c>
      <c r="E8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8" s="35">
        <f>IF(select!$F$57=IF(Scharniere[[#This Row],[mit Dämpfung]]=1,1,IF(Scharniere[[#This Row],[ohne Dämpfung]]=1,2,IF(Scharniere[[#This Row],[ohne Feder]]=1,3,0))),1,0)</f>
        <v>0</v>
      </c>
      <c r="G848" s="35">
        <f>IF(Scharniere[[#This Row],[Bohrbild]]=select!$V$43,1,0)</f>
        <v>0</v>
      </c>
      <c r="H848" s="35">
        <f>IF(IF(Scharniere[[#This Row],[Anschrauben]]=1,1,IF(Scharniere[[#This Row],[Einpressen]]=1,2,IF(Scharniere[[#This Row],[Quick]]=1,3,IF(Scharniere[[#This Row],[Werkzeuglos]]=1,4,0))))=select!$F$48,1,0)</f>
        <v>0</v>
      </c>
      <c r="I8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8" s="149">
        <f>IF(AND(Scharniere[[#This Row],[Scharnierart]]=2,Scharniere[[#This Row],[Gruppenschlüssel]]=select!$A$318)=TRUE,1,0)</f>
        <v>0</v>
      </c>
      <c r="K848" s="221">
        <f ca="1">IF(select!$O$424&lt;6,1,0)</f>
        <v>1</v>
      </c>
      <c r="L848" s="221">
        <f>IF(select!$A$362=IF(Scharniere[[#This Row],[mit Dämpfung]]=1,1,IF(Scharniere[[#This Row],[ohne Dämpfung]]=1,2,IF(Scharniere[[#This Row],[ohne Feder]]=1,3,0))),1,0)</f>
        <v>1</v>
      </c>
      <c r="M848" s="135">
        <f>IF(Scharniere[[#This Row],[Bohrbild]]=select!$O$334,1,0)</f>
        <v>0</v>
      </c>
      <c r="N848" s="135">
        <f>IF(IF(Scharniere[[#This Row],[Anschrauben]]=1,1,IF(Scharniere[[#This Row],[Einpressen]]=1,2,IF(Scharniere[[#This Row],[Quick]]=1,3,IF(Scharniere[[#This Row],[Werkzeuglos]]=1,4,0))))=select!$E$362,1,0)</f>
        <v>1</v>
      </c>
      <c r="O8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8" s="298">
        <f>IF(AND(Scharniere[[#This Row],[Scharnierart]]=3,Scharniere[[#This Row],[Gruppenschlüssel]]=select!$A$747)=TRUE,1,0)</f>
        <v>0</v>
      </c>
      <c r="Q848" s="298">
        <f ca="1">IF(select!$O$945&lt;6,1,0)</f>
        <v>1</v>
      </c>
      <c r="R848" s="298">
        <f>IF(select!$A$778=IF(Scharniere[[#This Row],[mit Dämpfung]]=1,1,IF(Scharniere[[#This Row],[ohne Dämpfung]]=1,2,IF(Scharniere[[#This Row],[ohne Feder]]=1,3,0))),1,0)</f>
        <v>0</v>
      </c>
      <c r="S848" s="298">
        <f>IF(Scharniere[[#This Row],[Bohrbild]]=select!$A$755,1,0)</f>
        <v>0</v>
      </c>
      <c r="T848" s="298">
        <f>IF(IF(Scharniere[[#This Row],[Anschrauben]]=1,1,IF(Scharniere[[#This Row],[Einpressen]]=1,2,IF(Scharniere[[#This Row],[Quick]]=1,3,IF(Scharniere[[#This Row],[Werkzeuglos]]=1,4,0))))=select!$A$769,1,0)</f>
        <v>1</v>
      </c>
      <c r="U8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8" s="359">
        <f>IF(AND(Scharniere[[#This Row],[Scharnierart]]=4,Scharniere[[#This Row],[Gruppenschlüssel]]=select!$A$981)=TRUE,1,0)</f>
        <v>0</v>
      </c>
      <c r="W848" s="359">
        <f ca="1">IF(select!$O$1185&lt;6,1,0)</f>
        <v>1</v>
      </c>
      <c r="X848" s="359">
        <f>IF(select!$A$1012=IF(Scharniere[[#This Row],[mit Dämpfung]]=1,1,IF(Scharniere[[#This Row],[ohne Dämpfung]]=1,2,IF(Scharniere[[#This Row],[ohne Feder]]=1,3,0))),1,0)</f>
        <v>0</v>
      </c>
      <c r="Y848" s="359">
        <f>IF(Scharniere[[#This Row],[Bohrbild]]=select!$A$989,1,0)</f>
        <v>0</v>
      </c>
      <c r="Z848" s="359">
        <f>IF(IF(Scharniere[[#This Row],[Anschrauben]]=1,1,IF(Scharniere[[#This Row],[Einpressen]]=1,2,IF(Scharniere[[#This Row],[Quick]]=1,3,IF(Scharniere[[#This Row],[Werkzeuglos]]=1,4,0))))=select!$A$1003,1,0)</f>
        <v>1</v>
      </c>
      <c r="AA8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8" s="359">
        <f ca="1">IF(select!$K$980="*",Scharniere[[#This Row],[AG Ges2]],Scharniere[[#This Row],[AG Ges1]])</f>
        <v>0</v>
      </c>
      <c r="AE848" s="451">
        <f ca="1">IF(AND(Scharniere[[#This Row],[Scharnierart]]=select!$A$1485,Scharniere[[#This Row],[Gruppenschlüssel]]=select!$B$1485)=TRUE,1,0)</f>
        <v>0</v>
      </c>
      <c r="AF848" s="451">
        <f ca="1">IF(AND(Scharniere[[#This Row],[Scharnierart]]=select!$A$1486,Scharniere[[#This Row],[Gruppenschlüssel]]=select!$B$1486)=TRUE,1,0)</f>
        <v>0</v>
      </c>
      <c r="AG848" s="451">
        <f ca="1">IF(AND(Scharniere[[#This Row],[Scharnierart]]=select!$A$1487,Scharniere[[#This Row],[Gruppenschlüssel]]=select!$B$1487)=TRUE,1,0)</f>
        <v>0</v>
      </c>
      <c r="AH848" s="451">
        <f ca="1">IF(AND(Scharniere[[#This Row],[Scharnierart]]=select!$A$1488,Scharniere[[#This Row],[Gruppenschlüssel]]=select!$B$1488)=TRUE,1,0)</f>
        <v>0</v>
      </c>
      <c r="AI848" s="451">
        <f ca="1">IF(SUM(Scharniere[[#This Row],[konf Scharnier 1]:[konf Scharnier 4]])&gt;0,1,0)</f>
        <v>0</v>
      </c>
      <c r="AJ848" s="451"/>
      <c r="AK848" s="451"/>
      <c r="AL848" s="451"/>
      <c r="AM848" s="451"/>
      <c r="AN848" s="451"/>
      <c r="AO848" s="146">
        <v>2</v>
      </c>
      <c r="AP848" s="146">
        <v>4</v>
      </c>
      <c r="AQ848" s="10" t="str">
        <f ca="1">Sprache!$A$112</f>
        <v>Tiomos Scharnier TS Click-on</v>
      </c>
      <c r="AR848" t="str">
        <f ca="1">"110/30°, S-BB, "&amp;Sprache!$A$62&amp;" ni"</f>
        <v>110/30°, S-BB, einl. ni</v>
      </c>
      <c r="AS848" t="str">
        <f ca="1">Sprache!$A$103</f>
        <v>Tiomos Click-On Scharniere</v>
      </c>
      <c r="AT848" t="s">
        <v>1264</v>
      </c>
      <c r="AU848" t="s">
        <v>11</v>
      </c>
      <c r="AV848" t="s">
        <v>1489</v>
      </c>
      <c r="AW848" s="71">
        <v>1</v>
      </c>
      <c r="AX848">
        <v>0</v>
      </c>
      <c r="AY848">
        <v>0</v>
      </c>
      <c r="AZ848" s="71">
        <v>1</v>
      </c>
      <c r="BA848">
        <v>0</v>
      </c>
      <c r="BB848">
        <v>0</v>
      </c>
      <c r="BC848">
        <v>0</v>
      </c>
      <c r="BD848" s="144" t="s">
        <v>1568</v>
      </c>
      <c r="BF848" s="10"/>
      <c r="BG848"/>
    </row>
    <row r="849" spans="1:59" ht="14.25" customHeight="1" x14ac:dyDescent="0.25">
      <c r="A849" s="37" t="str">
        <f>LEFT(Scharniere[[#This Row],[ArtikelNR]],4)</f>
        <v>F045</v>
      </c>
      <c r="B849" s="35" t="str">
        <f>MID(Scharniere[[#This Row],[ArtikelNR]],5,3)</f>
        <v>138</v>
      </c>
      <c r="C849" s="37" t="str">
        <f>RIGHT(Scharniere[[#This Row],[ArtikelNR]],3)</f>
        <v>832</v>
      </c>
      <c r="D849" s="35">
        <f>IF(AND(Scharniere[[#This Row],[Gruppenschlüssel]]=select!$A$44,Scharniere[[#This Row],[Scharnierart]]=1)=TRUE,1,0)</f>
        <v>0</v>
      </c>
      <c r="E8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49" s="35">
        <f>IF(select!$F$57=IF(Scharniere[[#This Row],[mit Dämpfung]]=1,1,IF(Scharniere[[#This Row],[ohne Dämpfung]]=1,2,IF(Scharniere[[#This Row],[ohne Feder]]=1,3,0))),1,0)</f>
        <v>0</v>
      </c>
      <c r="G849" s="35">
        <f>IF(Scharniere[[#This Row],[Bohrbild]]=select!$V$43,1,0)</f>
        <v>0</v>
      </c>
      <c r="H849" s="35">
        <f>IF(IF(Scharniere[[#This Row],[Anschrauben]]=1,1,IF(Scharniere[[#This Row],[Einpressen]]=1,2,IF(Scharniere[[#This Row],[Quick]]=1,3,IF(Scharniere[[#This Row],[Werkzeuglos]]=1,4,0))))=select!$F$48,1,0)</f>
        <v>0</v>
      </c>
      <c r="I8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49" s="149">
        <f>IF(AND(Scharniere[[#This Row],[Scharnierart]]=2,Scharniere[[#This Row],[Gruppenschlüssel]]=select!$A$318)=TRUE,1,0)</f>
        <v>0</v>
      </c>
      <c r="K849" s="221">
        <f ca="1">IF(select!$O$424&lt;6,1,0)</f>
        <v>1</v>
      </c>
      <c r="L849" s="221">
        <f>IF(select!$A$362=IF(Scharniere[[#This Row],[mit Dämpfung]]=1,1,IF(Scharniere[[#This Row],[ohne Dämpfung]]=1,2,IF(Scharniere[[#This Row],[ohne Feder]]=1,3,0))),1,0)</f>
        <v>0</v>
      </c>
      <c r="M849" s="135">
        <f>IF(Scharniere[[#This Row],[Bohrbild]]=select!$O$334,1,0)</f>
        <v>0</v>
      </c>
      <c r="N849" s="135">
        <f>IF(IF(Scharniere[[#This Row],[Anschrauben]]=1,1,IF(Scharniere[[#This Row],[Einpressen]]=1,2,IF(Scharniere[[#This Row],[Quick]]=1,3,IF(Scharniere[[#This Row],[Werkzeuglos]]=1,4,0))))=select!$E$362,1,0)</f>
        <v>1</v>
      </c>
      <c r="O8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49" s="298">
        <f>IF(AND(Scharniere[[#This Row],[Scharnierart]]=3,Scharniere[[#This Row],[Gruppenschlüssel]]=select!$A$747)=TRUE,1,0)</f>
        <v>0</v>
      </c>
      <c r="Q849" s="298">
        <f ca="1">IF(select!$O$945&lt;6,1,0)</f>
        <v>1</v>
      </c>
      <c r="R849" s="298">
        <f>IF(select!$A$778=IF(Scharniere[[#This Row],[mit Dämpfung]]=1,1,IF(Scharniere[[#This Row],[ohne Dämpfung]]=1,2,IF(Scharniere[[#This Row],[ohne Feder]]=1,3,0))),1,0)</f>
        <v>1</v>
      </c>
      <c r="S849" s="298">
        <f>IF(Scharniere[[#This Row],[Bohrbild]]=select!$A$755,1,0)</f>
        <v>0</v>
      </c>
      <c r="T849" s="298">
        <f>IF(IF(Scharniere[[#This Row],[Anschrauben]]=1,1,IF(Scharniere[[#This Row],[Einpressen]]=1,2,IF(Scharniere[[#This Row],[Quick]]=1,3,IF(Scharniere[[#This Row],[Werkzeuglos]]=1,4,0))))=select!$A$769,1,0)</f>
        <v>1</v>
      </c>
      <c r="U8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49" s="359">
        <f>IF(AND(Scharniere[[#This Row],[Scharnierart]]=4,Scharniere[[#This Row],[Gruppenschlüssel]]=select!$A$981)=TRUE,1,0)</f>
        <v>0</v>
      </c>
      <c r="W849" s="359">
        <f ca="1">IF(select!$O$1185&lt;6,1,0)</f>
        <v>1</v>
      </c>
      <c r="X849" s="359">
        <f>IF(select!$A$1012=IF(Scharniere[[#This Row],[mit Dämpfung]]=1,1,IF(Scharniere[[#This Row],[ohne Dämpfung]]=1,2,IF(Scharniere[[#This Row],[ohne Feder]]=1,3,0))),1,0)</f>
        <v>1</v>
      </c>
      <c r="Y849" s="359">
        <f>IF(Scharniere[[#This Row],[Bohrbild]]=select!$A$989,1,0)</f>
        <v>0</v>
      </c>
      <c r="Z849" s="359">
        <f>IF(IF(Scharniere[[#This Row],[Anschrauben]]=1,1,IF(Scharniere[[#This Row],[Einpressen]]=1,2,IF(Scharniere[[#This Row],[Quick]]=1,3,IF(Scharniere[[#This Row],[Werkzeuglos]]=1,4,0))))=select!$A$1003,1,0)</f>
        <v>1</v>
      </c>
      <c r="AA8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49" s="359">
        <f ca="1">IF(select!$K$980="*",Scharniere[[#This Row],[AG Ges2]],Scharniere[[#This Row],[AG Ges1]])</f>
        <v>0</v>
      </c>
      <c r="AE849" s="451">
        <f ca="1">IF(AND(Scharniere[[#This Row],[Scharnierart]]=select!$A$1485,Scharniere[[#This Row],[Gruppenschlüssel]]=select!$B$1485)=TRUE,1,0)</f>
        <v>0</v>
      </c>
      <c r="AF849" s="451">
        <f ca="1">IF(AND(Scharniere[[#This Row],[Scharnierart]]=select!$A$1486,Scharniere[[#This Row],[Gruppenschlüssel]]=select!$B$1486)=TRUE,1,0)</f>
        <v>0</v>
      </c>
      <c r="AG849" s="451">
        <f ca="1">IF(AND(Scharniere[[#This Row],[Scharnierart]]=select!$A$1487,Scharniere[[#This Row],[Gruppenschlüssel]]=select!$B$1487)=TRUE,1,0)</f>
        <v>0</v>
      </c>
      <c r="AH849" s="451">
        <f ca="1">IF(AND(Scharniere[[#This Row],[Scharnierart]]=select!$A$1488,Scharniere[[#This Row],[Gruppenschlüssel]]=select!$B$1488)=TRUE,1,0)</f>
        <v>0</v>
      </c>
      <c r="AI849" s="451">
        <f ca="1">IF(SUM(Scharniere[[#This Row],[konf Scharnier 1]:[konf Scharnier 4]])&gt;0,1,0)</f>
        <v>0</v>
      </c>
      <c r="AJ849" s="451"/>
      <c r="AK849" s="451"/>
      <c r="AL849" s="451"/>
      <c r="AM849" s="451"/>
      <c r="AN849" s="451"/>
      <c r="AO849" s="146">
        <v>2</v>
      </c>
      <c r="AP849" s="146">
        <v>4</v>
      </c>
      <c r="AQ849" s="10" t="str">
        <f ca="1">Sprache!$A$118</f>
        <v>Tiomos Scharnier T Click-on</v>
      </c>
      <c r="AR849" t="str">
        <f ca="1">"110/30°, S-BB, "&amp;Sprache!$A$62&amp;" ni"</f>
        <v>110/30°, S-BB, einl. ni</v>
      </c>
      <c r="AS849" t="str">
        <f ca="1">Sprache!$A$103</f>
        <v>Tiomos Click-On Scharniere</v>
      </c>
      <c r="AT849" t="s">
        <v>1264</v>
      </c>
      <c r="AU849" t="s">
        <v>11</v>
      </c>
      <c r="AV849" t="s">
        <v>1489</v>
      </c>
      <c r="AW849" s="71">
        <v>0</v>
      </c>
      <c r="AX849">
        <v>1</v>
      </c>
      <c r="AY849">
        <v>0</v>
      </c>
      <c r="AZ849" s="71">
        <v>1</v>
      </c>
      <c r="BA849">
        <v>0</v>
      </c>
      <c r="BB849">
        <v>0</v>
      </c>
      <c r="BC849">
        <v>0</v>
      </c>
      <c r="BD849" s="144" t="s">
        <v>1679</v>
      </c>
      <c r="BF849" s="10"/>
      <c r="BG849"/>
    </row>
    <row r="850" spans="1:59" ht="14.25" customHeight="1" x14ac:dyDescent="0.25">
      <c r="A850" s="37" t="str">
        <f>LEFT(Scharniere[[#This Row],[ArtikelNR]],4)</f>
        <v>F046</v>
      </c>
      <c r="B850" s="35" t="str">
        <f>MID(Scharniere[[#This Row],[ArtikelNR]],5,3)</f>
        <v>138</v>
      </c>
      <c r="C850" s="37" t="str">
        <f>RIGHT(Scharniere[[#This Row],[ArtikelNR]],3)</f>
        <v>954</v>
      </c>
      <c r="D850" s="35">
        <f>IF(AND(Scharniere[[#This Row],[Gruppenschlüssel]]=select!$A$44,Scharniere[[#This Row],[Scharnierart]]=1)=TRUE,1,0)</f>
        <v>0</v>
      </c>
      <c r="E8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0" s="35">
        <f>IF(select!$F$57=IF(Scharniere[[#This Row],[mit Dämpfung]]=1,1,IF(Scharniere[[#This Row],[ohne Dämpfung]]=1,2,IF(Scharniere[[#This Row],[ohne Feder]]=1,3,0))),1,0)</f>
        <v>1</v>
      </c>
      <c r="G850" s="35">
        <f>IF(Scharniere[[#This Row],[Bohrbild]]=select!$V$43,1,0)</f>
        <v>0</v>
      </c>
      <c r="H850" s="35">
        <f>IF(IF(Scharniere[[#This Row],[Anschrauben]]=1,1,IF(Scharniere[[#This Row],[Einpressen]]=1,2,IF(Scharniere[[#This Row],[Quick]]=1,3,IF(Scharniere[[#This Row],[Werkzeuglos]]=1,4,0))))=select!$F$48,1,0)</f>
        <v>0</v>
      </c>
      <c r="I8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0" s="149">
        <f>IF(AND(Scharniere[[#This Row],[Scharnierart]]=2,Scharniere[[#This Row],[Gruppenschlüssel]]=select!$A$318)=TRUE,1,0)</f>
        <v>0</v>
      </c>
      <c r="K850" s="221">
        <f ca="1">IF(select!$O$424&lt;6,1,0)</f>
        <v>1</v>
      </c>
      <c r="L850" s="221">
        <f>IF(select!$A$362=IF(Scharniere[[#This Row],[mit Dämpfung]]=1,1,IF(Scharniere[[#This Row],[ohne Dämpfung]]=1,2,IF(Scharniere[[#This Row],[ohne Feder]]=1,3,0))),1,0)</f>
        <v>0</v>
      </c>
      <c r="M850" s="135">
        <f>IF(Scharniere[[#This Row],[Bohrbild]]=select!$O$334,1,0)</f>
        <v>0</v>
      </c>
      <c r="N850" s="135">
        <f>IF(IF(Scharniere[[#This Row],[Anschrauben]]=1,1,IF(Scharniere[[#This Row],[Einpressen]]=1,2,IF(Scharniere[[#This Row],[Quick]]=1,3,IF(Scharniere[[#This Row],[Werkzeuglos]]=1,4,0))))=select!$E$362,1,0)</f>
        <v>1</v>
      </c>
      <c r="O8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0" s="298">
        <f>IF(AND(Scharniere[[#This Row],[Scharnierart]]=3,Scharniere[[#This Row],[Gruppenschlüssel]]=select!$A$747)=TRUE,1,0)</f>
        <v>0</v>
      </c>
      <c r="Q850" s="298">
        <f ca="1">IF(select!$O$945&lt;6,1,0)</f>
        <v>1</v>
      </c>
      <c r="R850" s="298">
        <f>IF(select!$A$778=IF(Scharniere[[#This Row],[mit Dämpfung]]=1,1,IF(Scharniere[[#This Row],[ohne Dämpfung]]=1,2,IF(Scharniere[[#This Row],[ohne Feder]]=1,3,0))),1,0)</f>
        <v>0</v>
      </c>
      <c r="S850" s="298">
        <f>IF(Scharniere[[#This Row],[Bohrbild]]=select!$A$755,1,0)</f>
        <v>0</v>
      </c>
      <c r="T850" s="298">
        <f>IF(IF(Scharniere[[#This Row],[Anschrauben]]=1,1,IF(Scharniere[[#This Row],[Einpressen]]=1,2,IF(Scharniere[[#This Row],[Quick]]=1,3,IF(Scharniere[[#This Row],[Werkzeuglos]]=1,4,0))))=select!$A$769,1,0)</f>
        <v>1</v>
      </c>
      <c r="U8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0" s="359">
        <f>IF(AND(Scharniere[[#This Row],[Scharnierart]]=4,Scharniere[[#This Row],[Gruppenschlüssel]]=select!$A$981)=TRUE,1,0)</f>
        <v>0</v>
      </c>
      <c r="W850" s="359">
        <f ca="1">IF(select!$O$1185&lt;6,1,0)</f>
        <v>1</v>
      </c>
      <c r="X850" s="359">
        <f>IF(select!$A$1012=IF(Scharniere[[#This Row],[mit Dämpfung]]=1,1,IF(Scharniere[[#This Row],[ohne Dämpfung]]=1,2,IF(Scharniere[[#This Row],[ohne Feder]]=1,3,0))),1,0)</f>
        <v>0</v>
      </c>
      <c r="Y850" s="359">
        <f>IF(Scharniere[[#This Row],[Bohrbild]]=select!$A$989,1,0)</f>
        <v>0</v>
      </c>
      <c r="Z850" s="359">
        <f>IF(IF(Scharniere[[#This Row],[Anschrauben]]=1,1,IF(Scharniere[[#This Row],[Einpressen]]=1,2,IF(Scharniere[[#This Row],[Quick]]=1,3,IF(Scharniere[[#This Row],[Werkzeuglos]]=1,4,0))))=select!$A$1003,1,0)</f>
        <v>1</v>
      </c>
      <c r="AA8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0" s="359">
        <f ca="1">IF(select!$K$980="*",Scharniere[[#This Row],[AG Ges2]],Scharniere[[#This Row],[AG Ges1]])</f>
        <v>0</v>
      </c>
      <c r="AE850" s="451">
        <f ca="1">IF(AND(Scharniere[[#This Row],[Scharnierart]]=select!$A$1485,Scharniere[[#This Row],[Gruppenschlüssel]]=select!$B$1485)=TRUE,1,0)</f>
        <v>0</v>
      </c>
      <c r="AF850" s="451">
        <f ca="1">IF(AND(Scharniere[[#This Row],[Scharnierart]]=select!$A$1486,Scharniere[[#This Row],[Gruppenschlüssel]]=select!$B$1486)=TRUE,1,0)</f>
        <v>0</v>
      </c>
      <c r="AG850" s="451">
        <f ca="1">IF(AND(Scharniere[[#This Row],[Scharnierart]]=select!$A$1487,Scharniere[[#This Row],[Gruppenschlüssel]]=select!$B$1487)=TRUE,1,0)</f>
        <v>0</v>
      </c>
      <c r="AH850" s="451">
        <f ca="1">IF(AND(Scharniere[[#This Row],[Scharnierart]]=select!$A$1488,Scharniere[[#This Row],[Gruppenschlüssel]]=select!$B$1488)=TRUE,1,0)</f>
        <v>0</v>
      </c>
      <c r="AI850" s="451">
        <f ca="1">IF(SUM(Scharniere[[#This Row],[konf Scharnier 1]:[konf Scharnier 4]])&gt;0,1,0)</f>
        <v>0</v>
      </c>
      <c r="AJ850" s="451"/>
      <c r="AK850" s="451"/>
      <c r="AL850" s="451"/>
      <c r="AM850" s="451"/>
      <c r="AN850" s="451"/>
      <c r="AO850" s="146">
        <v>2</v>
      </c>
      <c r="AP850" s="146">
        <v>4</v>
      </c>
      <c r="AQ850" s="10" t="str">
        <f ca="1">Sprache!$A$114</f>
        <v>Tiomos Scharnier TT Click-on</v>
      </c>
      <c r="AR850" t="str">
        <f ca="1">"110/30°, S-BB, "&amp;Sprache!$A$62&amp;" ni"</f>
        <v>110/30°, S-BB, einl. ni</v>
      </c>
      <c r="AS850" t="str">
        <f ca="1">Sprache!$A$103</f>
        <v>Tiomos Click-On Scharniere</v>
      </c>
      <c r="AT850" t="s">
        <v>1264</v>
      </c>
      <c r="AU850" t="s">
        <v>11</v>
      </c>
      <c r="AV850" t="s">
        <v>1489</v>
      </c>
      <c r="AW850" s="71">
        <v>0</v>
      </c>
      <c r="AX850">
        <v>0</v>
      </c>
      <c r="AY850">
        <v>1</v>
      </c>
      <c r="AZ850" s="71">
        <v>1</v>
      </c>
      <c r="BA850">
        <v>0</v>
      </c>
      <c r="BB850">
        <v>0</v>
      </c>
      <c r="BC850">
        <v>0</v>
      </c>
      <c r="BD850" s="144" t="s">
        <v>1733</v>
      </c>
      <c r="BF850" s="10"/>
      <c r="BG850"/>
    </row>
    <row r="851" spans="1:59" ht="14.25" customHeight="1" x14ac:dyDescent="0.25">
      <c r="A851" s="37" t="str">
        <f>LEFT(Scharniere[[#This Row],[ArtikelNR]],4)</f>
        <v>F028</v>
      </c>
      <c r="B851" s="35" t="str">
        <f>MID(Scharniere[[#This Row],[ArtikelNR]],5,3)</f>
        <v>138</v>
      </c>
      <c r="C851" s="37" t="str">
        <f>RIGHT(Scharniere[[#This Row],[ArtikelNR]],3)</f>
        <v>531</v>
      </c>
      <c r="D851" s="35">
        <f>IF(AND(Scharniere[[#This Row],[Gruppenschlüssel]]=select!$A$44,Scharniere[[#This Row],[Scharnierart]]=1)=TRUE,1,0)</f>
        <v>0</v>
      </c>
      <c r="E8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1" s="35">
        <f>IF(select!$F$57=IF(Scharniere[[#This Row],[mit Dämpfung]]=1,1,IF(Scharniere[[#This Row],[ohne Dämpfung]]=1,2,IF(Scharniere[[#This Row],[ohne Feder]]=1,3,0))),1,0)</f>
        <v>0</v>
      </c>
      <c r="G851" s="35">
        <f>IF(Scharniere[[#This Row],[Bohrbild]]=select!$V$43,1,0)</f>
        <v>0</v>
      </c>
      <c r="H851" s="35">
        <f>IF(IF(Scharniere[[#This Row],[Anschrauben]]=1,1,IF(Scharniere[[#This Row],[Einpressen]]=1,2,IF(Scharniere[[#This Row],[Quick]]=1,3,IF(Scharniere[[#This Row],[Werkzeuglos]]=1,4,0))))=select!$F$48,1,0)</f>
        <v>0</v>
      </c>
      <c r="I8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1" s="149">
        <f>IF(AND(Scharniere[[#This Row],[Scharnierart]]=2,Scharniere[[#This Row],[Gruppenschlüssel]]=select!$A$318)=TRUE,1,0)</f>
        <v>0</v>
      </c>
      <c r="K851" s="221">
        <f ca="1">IF(select!$O$424&lt;6,1,0)</f>
        <v>1</v>
      </c>
      <c r="L851" s="221">
        <f>IF(select!$A$362=IF(Scharniere[[#This Row],[mit Dämpfung]]=1,1,IF(Scharniere[[#This Row],[ohne Dämpfung]]=1,2,IF(Scharniere[[#This Row],[ohne Feder]]=1,3,0))),1,0)</f>
        <v>1</v>
      </c>
      <c r="M851" s="135">
        <f>IF(Scharniere[[#This Row],[Bohrbild]]=select!$O$334,1,0)</f>
        <v>0</v>
      </c>
      <c r="N851" s="135">
        <f>IF(IF(Scharniere[[#This Row],[Anschrauben]]=1,1,IF(Scharniere[[#This Row],[Einpressen]]=1,2,IF(Scharniere[[#This Row],[Quick]]=1,3,IF(Scharniere[[#This Row],[Werkzeuglos]]=1,4,0))))=select!$E$362,1,0)</f>
        <v>1</v>
      </c>
      <c r="O8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1" s="298">
        <f>IF(AND(Scharniere[[#This Row],[Scharnierart]]=3,Scharniere[[#This Row],[Gruppenschlüssel]]=select!$A$747)=TRUE,1,0)</f>
        <v>0</v>
      </c>
      <c r="Q851" s="298">
        <f ca="1">IF(select!$O$945&lt;6,1,0)</f>
        <v>1</v>
      </c>
      <c r="R851" s="298">
        <f>IF(select!$A$778=IF(Scharniere[[#This Row],[mit Dämpfung]]=1,1,IF(Scharniere[[#This Row],[ohne Dämpfung]]=1,2,IF(Scharniere[[#This Row],[ohne Feder]]=1,3,0))),1,0)</f>
        <v>0</v>
      </c>
      <c r="S851" s="298">
        <f>IF(Scharniere[[#This Row],[Bohrbild]]=select!$A$755,1,0)</f>
        <v>0</v>
      </c>
      <c r="T851" s="298">
        <f>IF(IF(Scharniere[[#This Row],[Anschrauben]]=1,1,IF(Scharniere[[#This Row],[Einpressen]]=1,2,IF(Scharniere[[#This Row],[Quick]]=1,3,IF(Scharniere[[#This Row],[Werkzeuglos]]=1,4,0))))=select!$A$769,1,0)</f>
        <v>1</v>
      </c>
      <c r="U8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1" s="359">
        <f>IF(AND(Scharniere[[#This Row],[Scharnierart]]=4,Scharniere[[#This Row],[Gruppenschlüssel]]=select!$A$981)=TRUE,1,0)</f>
        <v>0</v>
      </c>
      <c r="W851" s="359">
        <f ca="1">IF(select!$O$1185&lt;6,1,0)</f>
        <v>1</v>
      </c>
      <c r="X851" s="359">
        <f>IF(select!$A$1012=IF(Scharniere[[#This Row],[mit Dämpfung]]=1,1,IF(Scharniere[[#This Row],[ohne Dämpfung]]=1,2,IF(Scharniere[[#This Row],[ohne Feder]]=1,3,0))),1,0)</f>
        <v>0</v>
      </c>
      <c r="Y851" s="359">
        <f>IF(Scharniere[[#This Row],[Bohrbild]]=select!$A$989,1,0)</f>
        <v>0</v>
      </c>
      <c r="Z851" s="359">
        <f>IF(IF(Scharniere[[#This Row],[Anschrauben]]=1,1,IF(Scharniere[[#This Row],[Einpressen]]=1,2,IF(Scharniere[[#This Row],[Quick]]=1,3,IF(Scharniere[[#This Row],[Werkzeuglos]]=1,4,0))))=select!$A$1003,1,0)</f>
        <v>1</v>
      </c>
      <c r="AA8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1" s="359">
        <f ca="1">IF(select!$K$980="*",Scharniere[[#This Row],[AG Ges2]],Scharniere[[#This Row],[AG Ges1]])</f>
        <v>0</v>
      </c>
      <c r="AE851" s="451">
        <f ca="1">IF(AND(Scharniere[[#This Row],[Scharnierart]]=select!$A$1485,Scharniere[[#This Row],[Gruppenschlüssel]]=select!$B$1485)=TRUE,1,0)</f>
        <v>0</v>
      </c>
      <c r="AF851" s="451">
        <f ca="1">IF(AND(Scharniere[[#This Row],[Scharnierart]]=select!$A$1486,Scharniere[[#This Row],[Gruppenschlüssel]]=select!$B$1486)=TRUE,1,0)</f>
        <v>0</v>
      </c>
      <c r="AG851" s="451">
        <f ca="1">IF(AND(Scharniere[[#This Row],[Scharnierart]]=select!$A$1487,Scharniere[[#This Row],[Gruppenschlüssel]]=select!$B$1487)=TRUE,1,0)</f>
        <v>0</v>
      </c>
      <c r="AH851" s="451">
        <f ca="1">IF(AND(Scharniere[[#This Row],[Scharnierart]]=select!$A$1488,Scharniere[[#This Row],[Gruppenschlüssel]]=select!$B$1488)=TRUE,1,0)</f>
        <v>0</v>
      </c>
      <c r="AI851" s="451">
        <f ca="1">IF(SUM(Scharniere[[#This Row],[konf Scharnier 1]:[konf Scharnier 4]])&gt;0,1,0)</f>
        <v>0</v>
      </c>
      <c r="AJ851" s="451"/>
      <c r="AK851" s="451"/>
      <c r="AL851" s="451"/>
      <c r="AM851" s="451"/>
      <c r="AN851" s="451"/>
      <c r="AO851" s="146">
        <v>2</v>
      </c>
      <c r="AP851" s="146">
        <v>5</v>
      </c>
      <c r="AQ851" s="10" t="str">
        <f ca="1">Sprache!$A$112</f>
        <v>Tiomos Scharnier TS Click-on</v>
      </c>
      <c r="AR851" t="str">
        <f ca="1">"110/37°, B-BB, "&amp;Sprache!$A$58&amp;" ni"</f>
        <v>110/37°, B-BB, aufl. ni</v>
      </c>
      <c r="AS851" t="str">
        <f ca="1">Sprache!$A$103</f>
        <v>Tiomos Click-On Scharniere</v>
      </c>
      <c r="AT851" t="s">
        <v>1264</v>
      </c>
      <c r="AU851" t="s">
        <v>3</v>
      </c>
      <c r="AV851" t="s">
        <v>1489</v>
      </c>
      <c r="AW851" s="71">
        <v>1</v>
      </c>
      <c r="AX851">
        <v>0</v>
      </c>
      <c r="AY851">
        <v>0</v>
      </c>
      <c r="AZ851" s="71">
        <v>1</v>
      </c>
      <c r="BA851">
        <v>0</v>
      </c>
      <c r="BB851">
        <v>0</v>
      </c>
      <c r="BC851">
        <v>0</v>
      </c>
      <c r="BD851" s="144" t="s">
        <v>1547</v>
      </c>
      <c r="BF851" s="10"/>
      <c r="BG851"/>
    </row>
    <row r="852" spans="1:59" ht="14.25" customHeight="1" x14ac:dyDescent="0.25">
      <c r="A852" s="37" t="str">
        <f>LEFT(Scharniere[[#This Row],[ArtikelNR]],4)</f>
        <v>F045</v>
      </c>
      <c r="B852" s="35" t="str">
        <f>MID(Scharniere[[#This Row],[ArtikelNR]],5,3)</f>
        <v>138</v>
      </c>
      <c r="C852" s="37" t="str">
        <f>RIGHT(Scharniere[[#This Row],[ArtikelNR]],3)</f>
        <v>469</v>
      </c>
      <c r="D852" s="35">
        <f>IF(AND(Scharniere[[#This Row],[Gruppenschlüssel]]=select!$A$44,Scharniere[[#This Row],[Scharnierart]]=1)=TRUE,1,0)</f>
        <v>0</v>
      </c>
      <c r="E8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2" s="35">
        <f>IF(select!$F$57=IF(Scharniere[[#This Row],[mit Dämpfung]]=1,1,IF(Scharniere[[#This Row],[ohne Dämpfung]]=1,2,IF(Scharniere[[#This Row],[ohne Feder]]=1,3,0))),1,0)</f>
        <v>0</v>
      </c>
      <c r="G852" s="35">
        <f>IF(Scharniere[[#This Row],[Bohrbild]]=select!$V$43,1,0)</f>
        <v>0</v>
      </c>
      <c r="H852" s="35">
        <f>IF(IF(Scharniere[[#This Row],[Anschrauben]]=1,1,IF(Scharniere[[#This Row],[Einpressen]]=1,2,IF(Scharniere[[#This Row],[Quick]]=1,3,IF(Scharniere[[#This Row],[Werkzeuglos]]=1,4,0))))=select!$F$48,1,0)</f>
        <v>0</v>
      </c>
      <c r="I8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2" s="149">
        <f>IF(AND(Scharniere[[#This Row],[Scharnierart]]=2,Scharniere[[#This Row],[Gruppenschlüssel]]=select!$A$318)=TRUE,1,0)</f>
        <v>0</v>
      </c>
      <c r="K852" s="221">
        <f ca="1">IF(select!$O$424&lt;6,1,0)</f>
        <v>1</v>
      </c>
      <c r="L852" s="221">
        <f>IF(select!$A$362=IF(Scharniere[[#This Row],[mit Dämpfung]]=1,1,IF(Scharniere[[#This Row],[ohne Dämpfung]]=1,2,IF(Scharniere[[#This Row],[ohne Feder]]=1,3,0))),1,0)</f>
        <v>0</v>
      </c>
      <c r="M852" s="135">
        <f>IF(Scharniere[[#This Row],[Bohrbild]]=select!$O$334,1,0)</f>
        <v>0</v>
      </c>
      <c r="N852" s="135">
        <f>IF(IF(Scharniere[[#This Row],[Anschrauben]]=1,1,IF(Scharniere[[#This Row],[Einpressen]]=1,2,IF(Scharniere[[#This Row],[Quick]]=1,3,IF(Scharniere[[#This Row],[Werkzeuglos]]=1,4,0))))=select!$E$362,1,0)</f>
        <v>1</v>
      </c>
      <c r="O8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2" s="298">
        <f>IF(AND(Scharniere[[#This Row],[Scharnierart]]=3,Scharniere[[#This Row],[Gruppenschlüssel]]=select!$A$747)=TRUE,1,0)</f>
        <v>0</v>
      </c>
      <c r="Q852" s="298">
        <f ca="1">IF(select!$O$945&lt;6,1,0)</f>
        <v>1</v>
      </c>
      <c r="R852" s="298">
        <f>IF(select!$A$778=IF(Scharniere[[#This Row],[mit Dämpfung]]=1,1,IF(Scharniere[[#This Row],[ohne Dämpfung]]=1,2,IF(Scharniere[[#This Row],[ohne Feder]]=1,3,0))),1,0)</f>
        <v>1</v>
      </c>
      <c r="S852" s="298">
        <f>IF(Scharniere[[#This Row],[Bohrbild]]=select!$A$755,1,0)</f>
        <v>0</v>
      </c>
      <c r="T852" s="298">
        <f>IF(IF(Scharniere[[#This Row],[Anschrauben]]=1,1,IF(Scharniere[[#This Row],[Einpressen]]=1,2,IF(Scharniere[[#This Row],[Quick]]=1,3,IF(Scharniere[[#This Row],[Werkzeuglos]]=1,4,0))))=select!$A$769,1,0)</f>
        <v>1</v>
      </c>
      <c r="U8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2" s="359">
        <f>IF(AND(Scharniere[[#This Row],[Scharnierart]]=4,Scharniere[[#This Row],[Gruppenschlüssel]]=select!$A$981)=TRUE,1,0)</f>
        <v>0</v>
      </c>
      <c r="W852" s="359">
        <f ca="1">IF(select!$O$1185&lt;6,1,0)</f>
        <v>1</v>
      </c>
      <c r="X852" s="359">
        <f>IF(select!$A$1012=IF(Scharniere[[#This Row],[mit Dämpfung]]=1,1,IF(Scharniere[[#This Row],[ohne Dämpfung]]=1,2,IF(Scharniere[[#This Row],[ohne Feder]]=1,3,0))),1,0)</f>
        <v>1</v>
      </c>
      <c r="Y852" s="359">
        <f>IF(Scharniere[[#This Row],[Bohrbild]]=select!$A$989,1,0)</f>
        <v>0</v>
      </c>
      <c r="Z852" s="359">
        <f>IF(IF(Scharniere[[#This Row],[Anschrauben]]=1,1,IF(Scharniere[[#This Row],[Einpressen]]=1,2,IF(Scharniere[[#This Row],[Quick]]=1,3,IF(Scharniere[[#This Row],[Werkzeuglos]]=1,4,0))))=select!$A$1003,1,0)</f>
        <v>1</v>
      </c>
      <c r="AA8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2" s="359">
        <f ca="1">IF(select!$K$980="*",Scharniere[[#This Row],[AG Ges2]],Scharniere[[#This Row],[AG Ges1]])</f>
        <v>0</v>
      </c>
      <c r="AE852" s="451">
        <f ca="1">IF(AND(Scharniere[[#This Row],[Scharnierart]]=select!$A$1485,Scharniere[[#This Row],[Gruppenschlüssel]]=select!$B$1485)=TRUE,1,0)</f>
        <v>0</v>
      </c>
      <c r="AF852" s="451">
        <f ca="1">IF(AND(Scharniere[[#This Row],[Scharnierart]]=select!$A$1486,Scharniere[[#This Row],[Gruppenschlüssel]]=select!$B$1486)=TRUE,1,0)</f>
        <v>0</v>
      </c>
      <c r="AG852" s="451">
        <f ca="1">IF(AND(Scharniere[[#This Row],[Scharnierart]]=select!$A$1487,Scharniere[[#This Row],[Gruppenschlüssel]]=select!$B$1487)=TRUE,1,0)</f>
        <v>0</v>
      </c>
      <c r="AH852" s="451">
        <f ca="1">IF(AND(Scharniere[[#This Row],[Scharnierart]]=select!$A$1488,Scharniere[[#This Row],[Gruppenschlüssel]]=select!$B$1488)=TRUE,1,0)</f>
        <v>0</v>
      </c>
      <c r="AI852" s="451">
        <f ca="1">IF(SUM(Scharniere[[#This Row],[konf Scharnier 1]:[konf Scharnier 4]])&gt;0,1,0)</f>
        <v>0</v>
      </c>
      <c r="AJ852" s="451"/>
      <c r="AK852" s="451"/>
      <c r="AL852" s="451"/>
      <c r="AM852" s="451"/>
      <c r="AN852" s="451"/>
      <c r="AO852" s="146">
        <v>2</v>
      </c>
      <c r="AP852" s="146">
        <v>5</v>
      </c>
      <c r="AQ852" s="10" t="str">
        <f ca="1">Sprache!$A$118</f>
        <v>Tiomos Scharnier T Click-on</v>
      </c>
      <c r="AR852" t="str">
        <f ca="1">"110/37°, B-BB, "&amp;Sprache!$A$58&amp;" ni"</f>
        <v>110/37°, B-BB, aufl. ni</v>
      </c>
      <c r="AS852" t="str">
        <f ca="1">Sprache!$A$103</f>
        <v>Tiomos Click-On Scharniere</v>
      </c>
      <c r="AT852" t="s">
        <v>1264</v>
      </c>
      <c r="AU852" t="s">
        <v>3</v>
      </c>
      <c r="AV852" t="s">
        <v>1489</v>
      </c>
      <c r="AW852" s="71">
        <v>0</v>
      </c>
      <c r="AX852">
        <v>1</v>
      </c>
      <c r="AY852">
        <v>0</v>
      </c>
      <c r="AZ852" s="71">
        <v>1</v>
      </c>
      <c r="BA852">
        <v>0</v>
      </c>
      <c r="BB852">
        <v>0</v>
      </c>
      <c r="BC852">
        <v>0</v>
      </c>
      <c r="BD852" s="144" t="s">
        <v>1651</v>
      </c>
      <c r="BF852" s="10"/>
      <c r="BG852"/>
    </row>
    <row r="853" spans="1:59" ht="14.25" customHeight="1" x14ac:dyDescent="0.25">
      <c r="A853" s="37" t="str">
        <f>LEFT(Scharniere[[#This Row],[ArtikelNR]],4)</f>
        <v>F046</v>
      </c>
      <c r="B853" s="35" t="str">
        <f>MID(Scharniere[[#This Row],[ArtikelNR]],5,3)</f>
        <v>138</v>
      </c>
      <c r="C853" s="37" t="str">
        <f>RIGHT(Scharniere[[#This Row],[ArtikelNR]],3)</f>
        <v>591</v>
      </c>
      <c r="D853" s="35">
        <f>IF(AND(Scharniere[[#This Row],[Gruppenschlüssel]]=select!$A$44,Scharniere[[#This Row],[Scharnierart]]=1)=TRUE,1,0)</f>
        <v>0</v>
      </c>
      <c r="E8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3" s="35">
        <f>IF(select!$F$57=IF(Scharniere[[#This Row],[mit Dämpfung]]=1,1,IF(Scharniere[[#This Row],[ohne Dämpfung]]=1,2,IF(Scharniere[[#This Row],[ohne Feder]]=1,3,0))),1,0)</f>
        <v>1</v>
      </c>
      <c r="G853" s="35">
        <f>IF(Scharniere[[#This Row],[Bohrbild]]=select!$V$43,1,0)</f>
        <v>0</v>
      </c>
      <c r="H853" s="35">
        <f>IF(IF(Scharniere[[#This Row],[Anschrauben]]=1,1,IF(Scharniere[[#This Row],[Einpressen]]=1,2,IF(Scharniere[[#This Row],[Quick]]=1,3,IF(Scharniere[[#This Row],[Werkzeuglos]]=1,4,0))))=select!$F$48,1,0)</f>
        <v>0</v>
      </c>
      <c r="I8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3" s="149">
        <f>IF(AND(Scharniere[[#This Row],[Scharnierart]]=2,Scharniere[[#This Row],[Gruppenschlüssel]]=select!$A$318)=TRUE,1,0)</f>
        <v>0</v>
      </c>
      <c r="K853" s="221">
        <f ca="1">IF(select!$O$424&lt;6,1,0)</f>
        <v>1</v>
      </c>
      <c r="L853" s="221">
        <f>IF(select!$A$362=IF(Scharniere[[#This Row],[mit Dämpfung]]=1,1,IF(Scharniere[[#This Row],[ohne Dämpfung]]=1,2,IF(Scharniere[[#This Row],[ohne Feder]]=1,3,0))),1,0)</f>
        <v>0</v>
      </c>
      <c r="M853" s="135">
        <f>IF(Scharniere[[#This Row],[Bohrbild]]=select!$O$334,1,0)</f>
        <v>0</v>
      </c>
      <c r="N853" s="135">
        <f>IF(IF(Scharniere[[#This Row],[Anschrauben]]=1,1,IF(Scharniere[[#This Row],[Einpressen]]=1,2,IF(Scharniere[[#This Row],[Quick]]=1,3,IF(Scharniere[[#This Row],[Werkzeuglos]]=1,4,0))))=select!$E$362,1,0)</f>
        <v>1</v>
      </c>
      <c r="O8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3" s="298">
        <f>IF(AND(Scharniere[[#This Row],[Scharnierart]]=3,Scharniere[[#This Row],[Gruppenschlüssel]]=select!$A$747)=TRUE,1,0)</f>
        <v>0</v>
      </c>
      <c r="Q853" s="298">
        <f ca="1">IF(select!$O$945&lt;6,1,0)</f>
        <v>1</v>
      </c>
      <c r="R853" s="298">
        <f>IF(select!$A$778=IF(Scharniere[[#This Row],[mit Dämpfung]]=1,1,IF(Scharniere[[#This Row],[ohne Dämpfung]]=1,2,IF(Scharniere[[#This Row],[ohne Feder]]=1,3,0))),1,0)</f>
        <v>0</v>
      </c>
      <c r="S853" s="298">
        <f>IF(Scharniere[[#This Row],[Bohrbild]]=select!$A$755,1,0)</f>
        <v>0</v>
      </c>
      <c r="T853" s="298">
        <f>IF(IF(Scharniere[[#This Row],[Anschrauben]]=1,1,IF(Scharniere[[#This Row],[Einpressen]]=1,2,IF(Scharniere[[#This Row],[Quick]]=1,3,IF(Scharniere[[#This Row],[Werkzeuglos]]=1,4,0))))=select!$A$769,1,0)</f>
        <v>1</v>
      </c>
      <c r="U8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3" s="359">
        <f>IF(AND(Scharniere[[#This Row],[Scharnierart]]=4,Scharniere[[#This Row],[Gruppenschlüssel]]=select!$A$981)=TRUE,1,0)</f>
        <v>0</v>
      </c>
      <c r="W853" s="359">
        <f ca="1">IF(select!$O$1185&lt;6,1,0)</f>
        <v>1</v>
      </c>
      <c r="X853" s="359">
        <f>IF(select!$A$1012=IF(Scharniere[[#This Row],[mit Dämpfung]]=1,1,IF(Scharniere[[#This Row],[ohne Dämpfung]]=1,2,IF(Scharniere[[#This Row],[ohne Feder]]=1,3,0))),1,0)</f>
        <v>0</v>
      </c>
      <c r="Y853" s="359">
        <f>IF(Scharniere[[#This Row],[Bohrbild]]=select!$A$989,1,0)</f>
        <v>0</v>
      </c>
      <c r="Z853" s="359">
        <f>IF(IF(Scharniere[[#This Row],[Anschrauben]]=1,1,IF(Scharniere[[#This Row],[Einpressen]]=1,2,IF(Scharniere[[#This Row],[Quick]]=1,3,IF(Scharniere[[#This Row],[Werkzeuglos]]=1,4,0))))=select!$A$1003,1,0)</f>
        <v>1</v>
      </c>
      <c r="AA8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3" s="359">
        <f ca="1">IF(select!$K$980="*",Scharniere[[#This Row],[AG Ges2]],Scharniere[[#This Row],[AG Ges1]])</f>
        <v>0</v>
      </c>
      <c r="AE853" s="451">
        <f ca="1">IF(AND(Scharniere[[#This Row],[Scharnierart]]=select!$A$1485,Scharniere[[#This Row],[Gruppenschlüssel]]=select!$B$1485)=TRUE,1,0)</f>
        <v>0</v>
      </c>
      <c r="AF853" s="451">
        <f ca="1">IF(AND(Scharniere[[#This Row],[Scharnierart]]=select!$A$1486,Scharniere[[#This Row],[Gruppenschlüssel]]=select!$B$1486)=TRUE,1,0)</f>
        <v>0</v>
      </c>
      <c r="AG853" s="451">
        <f ca="1">IF(AND(Scharniere[[#This Row],[Scharnierart]]=select!$A$1487,Scharniere[[#This Row],[Gruppenschlüssel]]=select!$B$1487)=TRUE,1,0)</f>
        <v>0</v>
      </c>
      <c r="AH853" s="451">
        <f ca="1">IF(AND(Scharniere[[#This Row],[Scharnierart]]=select!$A$1488,Scharniere[[#This Row],[Gruppenschlüssel]]=select!$B$1488)=TRUE,1,0)</f>
        <v>0</v>
      </c>
      <c r="AI853" s="451">
        <f ca="1">IF(SUM(Scharniere[[#This Row],[konf Scharnier 1]:[konf Scharnier 4]])&gt;0,1,0)</f>
        <v>0</v>
      </c>
      <c r="AJ853" s="451"/>
      <c r="AK853" s="451"/>
      <c r="AL853" s="451"/>
      <c r="AM853" s="451"/>
      <c r="AN853" s="451"/>
      <c r="AO853" s="146">
        <v>2</v>
      </c>
      <c r="AP853" s="146">
        <v>5</v>
      </c>
      <c r="AQ853" s="10" t="str">
        <f ca="1">Sprache!$A$114</f>
        <v>Tiomos Scharnier TT Click-on</v>
      </c>
      <c r="AR853" t="str">
        <f ca="1">"110/37°, B-BB, "&amp;Sprache!$A$58&amp;" ni"</f>
        <v>110/37°, B-BB, aufl. ni</v>
      </c>
      <c r="AS853" t="str">
        <f ca="1">Sprache!$A$103</f>
        <v>Tiomos Click-On Scharniere</v>
      </c>
      <c r="AT853" t="s">
        <v>1264</v>
      </c>
      <c r="AU853" t="s">
        <v>3</v>
      </c>
      <c r="AV853" t="s">
        <v>1489</v>
      </c>
      <c r="AW853" s="71">
        <v>0</v>
      </c>
      <c r="AX853">
        <v>0</v>
      </c>
      <c r="AY853">
        <v>1</v>
      </c>
      <c r="AZ853" s="71">
        <v>1</v>
      </c>
      <c r="BA853">
        <v>0</v>
      </c>
      <c r="BB853">
        <v>0</v>
      </c>
      <c r="BC853">
        <v>0</v>
      </c>
      <c r="BD853" s="144" t="s">
        <v>1720</v>
      </c>
      <c r="BF853" s="10"/>
      <c r="BG853"/>
    </row>
    <row r="854" spans="1:59" ht="14.25" customHeight="1" x14ac:dyDescent="0.25">
      <c r="A854" s="37" t="str">
        <f>LEFT(Scharniere[[#This Row],[ArtikelNR]],4)</f>
        <v>F028</v>
      </c>
      <c r="B854" s="35" t="str">
        <f>MID(Scharniere[[#This Row],[ArtikelNR]],5,3)</f>
        <v>138</v>
      </c>
      <c r="C854" s="37" t="str">
        <f>RIGHT(Scharniere[[#This Row],[ArtikelNR]],3)</f>
        <v>349</v>
      </c>
      <c r="D854" s="35">
        <f>IF(AND(Scharniere[[#This Row],[Gruppenschlüssel]]=select!$A$44,Scharniere[[#This Row],[Scharnierart]]=1)=TRUE,1,0)</f>
        <v>0</v>
      </c>
      <c r="E8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4" s="35">
        <f>IF(select!$F$57=IF(Scharniere[[#This Row],[mit Dämpfung]]=1,1,IF(Scharniere[[#This Row],[ohne Dämpfung]]=1,2,IF(Scharniere[[#This Row],[ohne Feder]]=1,3,0))),1,0)</f>
        <v>0</v>
      </c>
      <c r="G854" s="35">
        <f>IF(Scharniere[[#This Row],[Bohrbild]]=select!$V$43,1,0)</f>
        <v>0</v>
      </c>
      <c r="H854" s="35">
        <f>IF(IF(Scharniere[[#This Row],[Anschrauben]]=1,1,IF(Scharniere[[#This Row],[Einpressen]]=1,2,IF(Scharniere[[#This Row],[Quick]]=1,3,IF(Scharniere[[#This Row],[Werkzeuglos]]=1,4,0))))=select!$F$48,1,0)</f>
        <v>0</v>
      </c>
      <c r="I8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4" s="149">
        <f>IF(AND(Scharniere[[#This Row],[Scharnierart]]=2,Scharniere[[#This Row],[Gruppenschlüssel]]=select!$A$318)=TRUE,1,0)</f>
        <v>0</v>
      </c>
      <c r="K854" s="221">
        <f ca="1">IF(select!$O$424&lt;6,1,0)</f>
        <v>1</v>
      </c>
      <c r="L854" s="221">
        <f>IF(select!$A$362=IF(Scharniere[[#This Row],[mit Dämpfung]]=1,1,IF(Scharniere[[#This Row],[ohne Dämpfung]]=1,2,IF(Scharniere[[#This Row],[ohne Feder]]=1,3,0))),1,0)</f>
        <v>1</v>
      </c>
      <c r="M854" s="135">
        <f>IF(Scharniere[[#This Row],[Bohrbild]]=select!$O$334,1,0)</f>
        <v>0</v>
      </c>
      <c r="N854" s="135">
        <f>IF(IF(Scharniere[[#This Row],[Anschrauben]]=1,1,IF(Scharniere[[#This Row],[Einpressen]]=1,2,IF(Scharniere[[#This Row],[Quick]]=1,3,IF(Scharniere[[#This Row],[Werkzeuglos]]=1,4,0))))=select!$E$362,1,0)</f>
        <v>1</v>
      </c>
      <c r="O8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4" s="298">
        <f>IF(AND(Scharniere[[#This Row],[Scharnierart]]=3,Scharniere[[#This Row],[Gruppenschlüssel]]=select!$A$747)=TRUE,1,0)</f>
        <v>0</v>
      </c>
      <c r="Q854" s="298">
        <f ca="1">IF(select!$O$945&lt;6,1,0)</f>
        <v>1</v>
      </c>
      <c r="R854" s="298">
        <f>IF(select!$A$778=IF(Scharniere[[#This Row],[mit Dämpfung]]=1,1,IF(Scharniere[[#This Row],[ohne Dämpfung]]=1,2,IF(Scharniere[[#This Row],[ohne Feder]]=1,3,0))),1,0)</f>
        <v>0</v>
      </c>
      <c r="S854" s="298">
        <f>IF(Scharniere[[#This Row],[Bohrbild]]=select!$A$755,1,0)</f>
        <v>0</v>
      </c>
      <c r="T854" s="298">
        <f>IF(IF(Scharniere[[#This Row],[Anschrauben]]=1,1,IF(Scharniere[[#This Row],[Einpressen]]=1,2,IF(Scharniere[[#This Row],[Quick]]=1,3,IF(Scharniere[[#This Row],[Werkzeuglos]]=1,4,0))))=select!$A$769,1,0)</f>
        <v>1</v>
      </c>
      <c r="U8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4" s="359">
        <f>IF(AND(Scharniere[[#This Row],[Scharnierart]]=4,Scharniere[[#This Row],[Gruppenschlüssel]]=select!$A$981)=TRUE,1,0)</f>
        <v>0</v>
      </c>
      <c r="W854" s="359">
        <f ca="1">IF(select!$O$1185&lt;6,1,0)</f>
        <v>1</v>
      </c>
      <c r="X854" s="359">
        <f>IF(select!$A$1012=IF(Scharniere[[#This Row],[mit Dämpfung]]=1,1,IF(Scharniere[[#This Row],[ohne Dämpfung]]=1,2,IF(Scharniere[[#This Row],[ohne Feder]]=1,3,0))),1,0)</f>
        <v>0</v>
      </c>
      <c r="Y854" s="359">
        <f>IF(Scharniere[[#This Row],[Bohrbild]]=select!$A$989,1,0)</f>
        <v>0</v>
      </c>
      <c r="Z854" s="359">
        <f>IF(IF(Scharniere[[#This Row],[Anschrauben]]=1,1,IF(Scharniere[[#This Row],[Einpressen]]=1,2,IF(Scharniere[[#This Row],[Quick]]=1,3,IF(Scharniere[[#This Row],[Werkzeuglos]]=1,4,0))))=select!$A$1003,1,0)</f>
        <v>1</v>
      </c>
      <c r="AA8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4" s="359">
        <f ca="1">IF(select!$K$980="*",Scharniere[[#This Row],[AG Ges2]],Scharniere[[#This Row],[AG Ges1]])</f>
        <v>0</v>
      </c>
      <c r="AE854" s="451">
        <f ca="1">IF(AND(Scharniere[[#This Row],[Scharnierart]]=select!$A$1485,Scharniere[[#This Row],[Gruppenschlüssel]]=select!$B$1485)=TRUE,1,0)</f>
        <v>0</v>
      </c>
      <c r="AF854" s="451">
        <f ca="1">IF(AND(Scharniere[[#This Row],[Scharnierart]]=select!$A$1486,Scharniere[[#This Row],[Gruppenschlüssel]]=select!$B$1486)=TRUE,1,0)</f>
        <v>0</v>
      </c>
      <c r="AG854" s="451">
        <f ca="1">IF(AND(Scharniere[[#This Row],[Scharnierart]]=select!$A$1487,Scharniere[[#This Row],[Gruppenschlüssel]]=select!$B$1487)=TRUE,1,0)</f>
        <v>0</v>
      </c>
      <c r="AH854" s="451">
        <f ca="1">IF(AND(Scharniere[[#This Row],[Scharnierart]]=select!$A$1488,Scharniere[[#This Row],[Gruppenschlüssel]]=select!$B$1488)=TRUE,1,0)</f>
        <v>0</v>
      </c>
      <c r="AI854" s="451">
        <f ca="1">IF(SUM(Scharniere[[#This Row],[konf Scharnier 1]:[konf Scharnier 4]])&gt;0,1,0)</f>
        <v>0</v>
      </c>
      <c r="AJ854" s="451"/>
      <c r="AK854" s="451"/>
      <c r="AL854" s="451"/>
      <c r="AM854" s="451"/>
      <c r="AN854" s="451"/>
      <c r="AO854" s="146">
        <v>2</v>
      </c>
      <c r="AP854" s="146">
        <v>5</v>
      </c>
      <c r="AQ854" s="10" t="str">
        <f ca="1">Sprache!$A$112</f>
        <v>Tiomos Scharnier TS Click-on</v>
      </c>
      <c r="AR854" t="str">
        <f ca="1">"110/37°, G-BB, "&amp;Sprache!$A$58&amp;" ni"</f>
        <v>110/37°, G-BB, aufl. ni</v>
      </c>
      <c r="AS854" t="str">
        <f ca="1">Sprache!$A$103</f>
        <v>Tiomos Click-On Scharniere</v>
      </c>
      <c r="AT854" t="s">
        <v>1264</v>
      </c>
      <c r="AU854" t="s">
        <v>9</v>
      </c>
      <c r="AV854" t="s">
        <v>1489</v>
      </c>
      <c r="AW854" s="71">
        <v>1</v>
      </c>
      <c r="AX854">
        <v>0</v>
      </c>
      <c r="AY854">
        <v>0</v>
      </c>
      <c r="AZ854" s="71">
        <v>1</v>
      </c>
      <c r="BA854">
        <v>0</v>
      </c>
      <c r="BB854">
        <v>0</v>
      </c>
      <c r="BC854">
        <v>0</v>
      </c>
      <c r="BD854" s="144" t="s">
        <v>1535</v>
      </c>
      <c r="BF854" s="10"/>
      <c r="BG854"/>
    </row>
    <row r="855" spans="1:59" ht="14.25" customHeight="1" x14ac:dyDescent="0.25">
      <c r="A855" s="37" t="str">
        <f>LEFT(Scharniere[[#This Row],[ArtikelNR]],4)</f>
        <v>F045</v>
      </c>
      <c r="B855" s="35" t="str">
        <f>MID(Scharniere[[#This Row],[ArtikelNR]],5,3)</f>
        <v>138</v>
      </c>
      <c r="C855" s="37" t="str">
        <f>RIGHT(Scharniere[[#This Row],[ArtikelNR]],3)</f>
        <v>287</v>
      </c>
      <c r="D855" s="35">
        <f>IF(AND(Scharniere[[#This Row],[Gruppenschlüssel]]=select!$A$44,Scharniere[[#This Row],[Scharnierart]]=1)=TRUE,1,0)</f>
        <v>0</v>
      </c>
      <c r="E8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5" s="35">
        <f>IF(select!$F$57=IF(Scharniere[[#This Row],[mit Dämpfung]]=1,1,IF(Scharniere[[#This Row],[ohne Dämpfung]]=1,2,IF(Scharniere[[#This Row],[ohne Feder]]=1,3,0))),1,0)</f>
        <v>0</v>
      </c>
      <c r="G855" s="35">
        <f>IF(Scharniere[[#This Row],[Bohrbild]]=select!$V$43,1,0)</f>
        <v>0</v>
      </c>
      <c r="H855" s="35">
        <f>IF(IF(Scharniere[[#This Row],[Anschrauben]]=1,1,IF(Scharniere[[#This Row],[Einpressen]]=1,2,IF(Scharniere[[#This Row],[Quick]]=1,3,IF(Scharniere[[#This Row],[Werkzeuglos]]=1,4,0))))=select!$F$48,1,0)</f>
        <v>0</v>
      </c>
      <c r="I8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5" s="149">
        <f>IF(AND(Scharniere[[#This Row],[Scharnierart]]=2,Scharniere[[#This Row],[Gruppenschlüssel]]=select!$A$318)=TRUE,1,0)</f>
        <v>0</v>
      </c>
      <c r="K855" s="221">
        <f ca="1">IF(select!$O$424&lt;6,1,0)</f>
        <v>1</v>
      </c>
      <c r="L855" s="221">
        <f>IF(select!$A$362=IF(Scharniere[[#This Row],[mit Dämpfung]]=1,1,IF(Scharniere[[#This Row],[ohne Dämpfung]]=1,2,IF(Scharniere[[#This Row],[ohne Feder]]=1,3,0))),1,0)</f>
        <v>0</v>
      </c>
      <c r="M855" s="135">
        <f>IF(Scharniere[[#This Row],[Bohrbild]]=select!$O$334,1,0)</f>
        <v>0</v>
      </c>
      <c r="N855" s="135">
        <f>IF(IF(Scharniere[[#This Row],[Anschrauben]]=1,1,IF(Scharniere[[#This Row],[Einpressen]]=1,2,IF(Scharniere[[#This Row],[Quick]]=1,3,IF(Scharniere[[#This Row],[Werkzeuglos]]=1,4,0))))=select!$E$362,1,0)</f>
        <v>1</v>
      </c>
      <c r="O8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5" s="298">
        <f>IF(AND(Scharniere[[#This Row],[Scharnierart]]=3,Scharniere[[#This Row],[Gruppenschlüssel]]=select!$A$747)=TRUE,1,0)</f>
        <v>0</v>
      </c>
      <c r="Q855" s="298">
        <f ca="1">IF(select!$O$945&lt;6,1,0)</f>
        <v>1</v>
      </c>
      <c r="R855" s="298">
        <f>IF(select!$A$778=IF(Scharniere[[#This Row],[mit Dämpfung]]=1,1,IF(Scharniere[[#This Row],[ohne Dämpfung]]=1,2,IF(Scharniere[[#This Row],[ohne Feder]]=1,3,0))),1,0)</f>
        <v>1</v>
      </c>
      <c r="S855" s="298">
        <f>IF(Scharniere[[#This Row],[Bohrbild]]=select!$A$755,1,0)</f>
        <v>0</v>
      </c>
      <c r="T855" s="298">
        <f>IF(IF(Scharniere[[#This Row],[Anschrauben]]=1,1,IF(Scharniere[[#This Row],[Einpressen]]=1,2,IF(Scharniere[[#This Row],[Quick]]=1,3,IF(Scharniere[[#This Row],[Werkzeuglos]]=1,4,0))))=select!$A$769,1,0)</f>
        <v>1</v>
      </c>
      <c r="U8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5" s="359">
        <f>IF(AND(Scharniere[[#This Row],[Scharnierart]]=4,Scharniere[[#This Row],[Gruppenschlüssel]]=select!$A$981)=TRUE,1,0)</f>
        <v>0</v>
      </c>
      <c r="W855" s="359">
        <f ca="1">IF(select!$O$1185&lt;6,1,0)</f>
        <v>1</v>
      </c>
      <c r="X855" s="359">
        <f>IF(select!$A$1012=IF(Scharniere[[#This Row],[mit Dämpfung]]=1,1,IF(Scharniere[[#This Row],[ohne Dämpfung]]=1,2,IF(Scharniere[[#This Row],[ohne Feder]]=1,3,0))),1,0)</f>
        <v>1</v>
      </c>
      <c r="Y855" s="359">
        <f>IF(Scharniere[[#This Row],[Bohrbild]]=select!$A$989,1,0)</f>
        <v>0</v>
      </c>
      <c r="Z855" s="359">
        <f>IF(IF(Scharniere[[#This Row],[Anschrauben]]=1,1,IF(Scharniere[[#This Row],[Einpressen]]=1,2,IF(Scharniere[[#This Row],[Quick]]=1,3,IF(Scharniere[[#This Row],[Werkzeuglos]]=1,4,0))))=select!$A$1003,1,0)</f>
        <v>1</v>
      </c>
      <c r="AA8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5" s="359">
        <f ca="1">IF(select!$K$980="*",Scharniere[[#This Row],[AG Ges2]],Scharniere[[#This Row],[AG Ges1]])</f>
        <v>0</v>
      </c>
      <c r="AE855" s="451">
        <f ca="1">IF(AND(Scharniere[[#This Row],[Scharnierart]]=select!$A$1485,Scharniere[[#This Row],[Gruppenschlüssel]]=select!$B$1485)=TRUE,1,0)</f>
        <v>0</v>
      </c>
      <c r="AF855" s="451">
        <f ca="1">IF(AND(Scharniere[[#This Row],[Scharnierart]]=select!$A$1486,Scharniere[[#This Row],[Gruppenschlüssel]]=select!$B$1486)=TRUE,1,0)</f>
        <v>0</v>
      </c>
      <c r="AG855" s="451">
        <f ca="1">IF(AND(Scharniere[[#This Row],[Scharnierart]]=select!$A$1487,Scharniere[[#This Row],[Gruppenschlüssel]]=select!$B$1487)=TRUE,1,0)</f>
        <v>0</v>
      </c>
      <c r="AH855" s="451">
        <f ca="1">IF(AND(Scharniere[[#This Row],[Scharnierart]]=select!$A$1488,Scharniere[[#This Row],[Gruppenschlüssel]]=select!$B$1488)=TRUE,1,0)</f>
        <v>0</v>
      </c>
      <c r="AI855" s="451">
        <f ca="1">IF(SUM(Scharniere[[#This Row],[konf Scharnier 1]:[konf Scharnier 4]])&gt;0,1,0)</f>
        <v>0</v>
      </c>
      <c r="AJ855" s="451"/>
      <c r="AK855" s="451"/>
      <c r="AL855" s="451"/>
      <c r="AM855" s="451"/>
      <c r="AN855" s="451"/>
      <c r="AO855" s="146">
        <v>2</v>
      </c>
      <c r="AP855" s="146">
        <v>5</v>
      </c>
      <c r="AQ855" s="10" t="str">
        <f ca="1">Sprache!$A$118</f>
        <v>Tiomos Scharnier T Click-on</v>
      </c>
      <c r="AR855" t="str">
        <f ca="1">"110/37°, G-BB, "&amp;Sprache!$A$58&amp;" ni"</f>
        <v>110/37°, G-BB, aufl. ni</v>
      </c>
      <c r="AS855" t="str">
        <f ca="1">Sprache!$A$103</f>
        <v>Tiomos Click-On Scharniere</v>
      </c>
      <c r="AT855" t="s">
        <v>1264</v>
      </c>
      <c r="AU855" t="s">
        <v>9</v>
      </c>
      <c r="AV855" t="s">
        <v>1489</v>
      </c>
      <c r="AW855" s="71">
        <v>0</v>
      </c>
      <c r="AX855">
        <v>1</v>
      </c>
      <c r="AY855">
        <v>0</v>
      </c>
      <c r="AZ855" s="71">
        <v>1</v>
      </c>
      <c r="BA855">
        <v>0</v>
      </c>
      <c r="BB855">
        <v>0</v>
      </c>
      <c r="BC855">
        <v>0</v>
      </c>
      <c r="BD855" s="144" t="s">
        <v>1636</v>
      </c>
      <c r="BF855" s="10"/>
      <c r="BG855"/>
    </row>
    <row r="856" spans="1:59" ht="14.25" customHeight="1" x14ac:dyDescent="0.25">
      <c r="A856" s="37" t="str">
        <f>LEFT(Scharniere[[#This Row],[ArtikelNR]],4)</f>
        <v>F046</v>
      </c>
      <c r="B856" s="35" t="str">
        <f>MID(Scharniere[[#This Row],[ArtikelNR]],5,3)</f>
        <v>138</v>
      </c>
      <c r="C856" s="37" t="str">
        <f>RIGHT(Scharniere[[#This Row],[ArtikelNR]],3)</f>
        <v>409</v>
      </c>
      <c r="D856" s="35">
        <f>IF(AND(Scharniere[[#This Row],[Gruppenschlüssel]]=select!$A$44,Scharniere[[#This Row],[Scharnierart]]=1)=TRUE,1,0)</f>
        <v>0</v>
      </c>
      <c r="E8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6" s="35">
        <f>IF(select!$F$57=IF(Scharniere[[#This Row],[mit Dämpfung]]=1,1,IF(Scharniere[[#This Row],[ohne Dämpfung]]=1,2,IF(Scharniere[[#This Row],[ohne Feder]]=1,3,0))),1,0)</f>
        <v>1</v>
      </c>
      <c r="G856" s="35">
        <f>IF(Scharniere[[#This Row],[Bohrbild]]=select!$V$43,1,0)</f>
        <v>0</v>
      </c>
      <c r="H856" s="35">
        <f>IF(IF(Scharniere[[#This Row],[Anschrauben]]=1,1,IF(Scharniere[[#This Row],[Einpressen]]=1,2,IF(Scharniere[[#This Row],[Quick]]=1,3,IF(Scharniere[[#This Row],[Werkzeuglos]]=1,4,0))))=select!$F$48,1,0)</f>
        <v>0</v>
      </c>
      <c r="I8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6" s="149">
        <f>IF(AND(Scharniere[[#This Row],[Scharnierart]]=2,Scharniere[[#This Row],[Gruppenschlüssel]]=select!$A$318)=TRUE,1,0)</f>
        <v>0</v>
      </c>
      <c r="K856" s="221">
        <f ca="1">IF(select!$O$424&lt;6,1,0)</f>
        <v>1</v>
      </c>
      <c r="L856" s="221">
        <f>IF(select!$A$362=IF(Scharniere[[#This Row],[mit Dämpfung]]=1,1,IF(Scharniere[[#This Row],[ohne Dämpfung]]=1,2,IF(Scharniere[[#This Row],[ohne Feder]]=1,3,0))),1,0)</f>
        <v>0</v>
      </c>
      <c r="M856" s="135">
        <f>IF(Scharniere[[#This Row],[Bohrbild]]=select!$O$334,1,0)</f>
        <v>0</v>
      </c>
      <c r="N856" s="135">
        <f>IF(IF(Scharniere[[#This Row],[Anschrauben]]=1,1,IF(Scharniere[[#This Row],[Einpressen]]=1,2,IF(Scharniere[[#This Row],[Quick]]=1,3,IF(Scharniere[[#This Row],[Werkzeuglos]]=1,4,0))))=select!$E$362,1,0)</f>
        <v>1</v>
      </c>
      <c r="O8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6" s="298">
        <f>IF(AND(Scharniere[[#This Row],[Scharnierart]]=3,Scharniere[[#This Row],[Gruppenschlüssel]]=select!$A$747)=TRUE,1,0)</f>
        <v>0</v>
      </c>
      <c r="Q856" s="298">
        <f ca="1">IF(select!$O$945&lt;6,1,0)</f>
        <v>1</v>
      </c>
      <c r="R856" s="298">
        <f>IF(select!$A$778=IF(Scharniere[[#This Row],[mit Dämpfung]]=1,1,IF(Scharniere[[#This Row],[ohne Dämpfung]]=1,2,IF(Scharniere[[#This Row],[ohne Feder]]=1,3,0))),1,0)</f>
        <v>0</v>
      </c>
      <c r="S856" s="298">
        <f>IF(Scharniere[[#This Row],[Bohrbild]]=select!$A$755,1,0)</f>
        <v>0</v>
      </c>
      <c r="T856" s="298">
        <f>IF(IF(Scharniere[[#This Row],[Anschrauben]]=1,1,IF(Scharniere[[#This Row],[Einpressen]]=1,2,IF(Scharniere[[#This Row],[Quick]]=1,3,IF(Scharniere[[#This Row],[Werkzeuglos]]=1,4,0))))=select!$A$769,1,0)</f>
        <v>1</v>
      </c>
      <c r="U8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6" s="359">
        <f>IF(AND(Scharniere[[#This Row],[Scharnierart]]=4,Scharniere[[#This Row],[Gruppenschlüssel]]=select!$A$981)=TRUE,1,0)</f>
        <v>0</v>
      </c>
      <c r="W856" s="359">
        <f ca="1">IF(select!$O$1185&lt;6,1,0)</f>
        <v>1</v>
      </c>
      <c r="X856" s="359">
        <f>IF(select!$A$1012=IF(Scharniere[[#This Row],[mit Dämpfung]]=1,1,IF(Scharniere[[#This Row],[ohne Dämpfung]]=1,2,IF(Scharniere[[#This Row],[ohne Feder]]=1,3,0))),1,0)</f>
        <v>0</v>
      </c>
      <c r="Y856" s="359">
        <f>IF(Scharniere[[#This Row],[Bohrbild]]=select!$A$989,1,0)</f>
        <v>0</v>
      </c>
      <c r="Z856" s="359">
        <f>IF(IF(Scharniere[[#This Row],[Anschrauben]]=1,1,IF(Scharniere[[#This Row],[Einpressen]]=1,2,IF(Scharniere[[#This Row],[Quick]]=1,3,IF(Scharniere[[#This Row],[Werkzeuglos]]=1,4,0))))=select!$A$1003,1,0)</f>
        <v>1</v>
      </c>
      <c r="AA8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6" s="359">
        <f ca="1">IF(select!$K$980="*",Scharniere[[#This Row],[AG Ges2]],Scharniere[[#This Row],[AG Ges1]])</f>
        <v>0</v>
      </c>
      <c r="AE856" s="451">
        <f ca="1">IF(AND(Scharniere[[#This Row],[Scharnierart]]=select!$A$1485,Scharniere[[#This Row],[Gruppenschlüssel]]=select!$B$1485)=TRUE,1,0)</f>
        <v>0</v>
      </c>
      <c r="AF856" s="451">
        <f ca="1">IF(AND(Scharniere[[#This Row],[Scharnierart]]=select!$A$1486,Scharniere[[#This Row],[Gruppenschlüssel]]=select!$B$1486)=TRUE,1,0)</f>
        <v>0</v>
      </c>
      <c r="AG856" s="451">
        <f ca="1">IF(AND(Scharniere[[#This Row],[Scharnierart]]=select!$A$1487,Scharniere[[#This Row],[Gruppenschlüssel]]=select!$B$1487)=TRUE,1,0)</f>
        <v>0</v>
      </c>
      <c r="AH856" s="451">
        <f ca="1">IF(AND(Scharniere[[#This Row],[Scharnierart]]=select!$A$1488,Scharniere[[#This Row],[Gruppenschlüssel]]=select!$B$1488)=TRUE,1,0)</f>
        <v>0</v>
      </c>
      <c r="AI856" s="451">
        <f ca="1">IF(SUM(Scharniere[[#This Row],[konf Scharnier 1]:[konf Scharnier 4]])&gt;0,1,0)</f>
        <v>0</v>
      </c>
      <c r="AJ856" s="451"/>
      <c r="AK856" s="451"/>
      <c r="AL856" s="451"/>
      <c r="AM856" s="451"/>
      <c r="AN856" s="451"/>
      <c r="AO856" s="146">
        <v>2</v>
      </c>
      <c r="AP856" s="146">
        <v>5</v>
      </c>
      <c r="AQ856" s="10" t="str">
        <f ca="1">Sprache!$A$114</f>
        <v>Tiomos Scharnier TT Click-on</v>
      </c>
      <c r="AR856" t="str">
        <f ca="1">"110/37°, G-BB, "&amp;Sprache!$A$58&amp;" ni"</f>
        <v>110/37°, G-BB, aufl. ni</v>
      </c>
      <c r="AS856" t="str">
        <f ca="1">Sprache!$A$103</f>
        <v>Tiomos Click-On Scharniere</v>
      </c>
      <c r="AT856" t="s">
        <v>1264</v>
      </c>
      <c r="AU856" t="s">
        <v>9</v>
      </c>
      <c r="AV856" t="s">
        <v>1489</v>
      </c>
      <c r="AW856" s="71">
        <v>0</v>
      </c>
      <c r="AX856">
        <v>0</v>
      </c>
      <c r="AY856">
        <v>1</v>
      </c>
      <c r="AZ856" s="71">
        <v>1</v>
      </c>
      <c r="BA856">
        <v>0</v>
      </c>
      <c r="BB856">
        <v>0</v>
      </c>
      <c r="BC856">
        <v>0</v>
      </c>
      <c r="BD856" s="144" t="s">
        <v>1713</v>
      </c>
      <c r="BF856" s="10"/>
      <c r="BG856"/>
    </row>
    <row r="857" spans="1:59" ht="14.25" customHeight="1" x14ac:dyDescent="0.25">
      <c r="A857" s="37" t="str">
        <f>LEFT(Scharniere[[#This Row],[ArtikelNR]],4)</f>
        <v>F017</v>
      </c>
      <c r="B857" s="35" t="str">
        <f>MID(Scharniere[[#This Row],[ArtikelNR]],5,3)</f>
        <v>139</v>
      </c>
      <c r="C857" s="37" t="str">
        <f>RIGHT(Scharniere[[#This Row],[ArtikelNR]],3)</f>
        <v>422</v>
      </c>
      <c r="D857" s="35">
        <f>IF(AND(Scharniere[[#This Row],[Gruppenschlüssel]]=select!$A$44,Scharniere[[#This Row],[Scharnierart]]=1)=TRUE,1,0)</f>
        <v>0</v>
      </c>
      <c r="E8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7" s="35">
        <f>IF(select!$F$57=IF(Scharniere[[#This Row],[mit Dämpfung]]=1,1,IF(Scharniere[[#This Row],[ohne Dämpfung]]=1,2,IF(Scharniere[[#This Row],[ohne Feder]]=1,3,0))),1,0)</f>
        <v>0</v>
      </c>
      <c r="G857" s="35">
        <f>IF(Scharniere[[#This Row],[Bohrbild]]=select!$V$43,1,0)</f>
        <v>0</v>
      </c>
      <c r="H857" s="35">
        <f>IF(IF(Scharniere[[#This Row],[Anschrauben]]=1,1,IF(Scharniere[[#This Row],[Einpressen]]=1,2,IF(Scharniere[[#This Row],[Quick]]=1,3,IF(Scharniere[[#This Row],[Werkzeuglos]]=1,4,0))))=select!$F$48,1,0)</f>
        <v>0</v>
      </c>
      <c r="I8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7" s="149">
        <f>IF(AND(Scharniere[[#This Row],[Scharnierart]]=2,Scharniere[[#This Row],[Gruppenschlüssel]]=select!$A$318)=TRUE,1,0)</f>
        <v>0</v>
      </c>
      <c r="K857" s="221">
        <f ca="1">IF(select!$O$424&lt;6,1,0)</f>
        <v>1</v>
      </c>
      <c r="L857" s="221">
        <f>IF(select!$A$362=IF(Scharniere[[#This Row],[mit Dämpfung]]=1,1,IF(Scharniere[[#This Row],[ohne Dämpfung]]=1,2,IF(Scharniere[[#This Row],[ohne Feder]]=1,3,0))),1,0)</f>
        <v>1</v>
      </c>
      <c r="M857" s="135">
        <f>IF(Scharniere[[#This Row],[Bohrbild]]=select!$O$334,1,0)</f>
        <v>0</v>
      </c>
      <c r="N857" s="135">
        <f>IF(IF(Scharniere[[#This Row],[Anschrauben]]=1,1,IF(Scharniere[[#This Row],[Einpressen]]=1,2,IF(Scharniere[[#This Row],[Quick]]=1,3,IF(Scharniere[[#This Row],[Werkzeuglos]]=1,4,0))))=select!$E$362,1,0)</f>
        <v>0</v>
      </c>
      <c r="O8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7" s="298">
        <f>IF(AND(Scharniere[[#This Row],[Scharnierart]]=3,Scharniere[[#This Row],[Gruppenschlüssel]]=select!$A$747)=TRUE,1,0)</f>
        <v>0</v>
      </c>
      <c r="Q857" s="298">
        <f ca="1">IF(select!$O$945&lt;6,1,0)</f>
        <v>1</v>
      </c>
      <c r="R857" s="298">
        <f>IF(select!$A$778=IF(Scharniere[[#This Row],[mit Dämpfung]]=1,1,IF(Scharniere[[#This Row],[ohne Dämpfung]]=1,2,IF(Scharniere[[#This Row],[ohne Feder]]=1,3,0))),1,0)</f>
        <v>0</v>
      </c>
      <c r="S857" s="298">
        <f>IF(Scharniere[[#This Row],[Bohrbild]]=select!$A$755,1,0)</f>
        <v>0</v>
      </c>
      <c r="T857" s="298">
        <f>IF(IF(Scharniere[[#This Row],[Anschrauben]]=1,1,IF(Scharniere[[#This Row],[Einpressen]]=1,2,IF(Scharniere[[#This Row],[Quick]]=1,3,IF(Scharniere[[#This Row],[Werkzeuglos]]=1,4,0))))=select!$A$769,1,0)</f>
        <v>0</v>
      </c>
      <c r="U8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7" s="359">
        <f>IF(AND(Scharniere[[#This Row],[Scharnierart]]=4,Scharniere[[#This Row],[Gruppenschlüssel]]=select!$A$981)=TRUE,1,0)</f>
        <v>0</v>
      </c>
      <c r="W857" s="359">
        <f ca="1">IF(select!$O$1185&lt;6,1,0)</f>
        <v>1</v>
      </c>
      <c r="X857" s="359">
        <f>IF(select!$A$1012=IF(Scharniere[[#This Row],[mit Dämpfung]]=1,1,IF(Scharniere[[#This Row],[ohne Dämpfung]]=1,2,IF(Scharniere[[#This Row],[ohne Feder]]=1,3,0))),1,0)</f>
        <v>0</v>
      </c>
      <c r="Y857" s="359">
        <f>IF(Scharniere[[#This Row],[Bohrbild]]=select!$A$989,1,0)</f>
        <v>0</v>
      </c>
      <c r="Z857" s="359">
        <f>IF(IF(Scharniere[[#This Row],[Anschrauben]]=1,1,IF(Scharniere[[#This Row],[Einpressen]]=1,2,IF(Scharniere[[#This Row],[Quick]]=1,3,IF(Scharniere[[#This Row],[Werkzeuglos]]=1,4,0))))=select!$A$1003,1,0)</f>
        <v>0</v>
      </c>
      <c r="AA8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7" s="359">
        <f ca="1">IF(select!$K$980="*",Scharniere[[#This Row],[AG Ges2]],Scharniere[[#This Row],[AG Ges1]])</f>
        <v>0</v>
      </c>
      <c r="AE857" s="451">
        <f ca="1">IF(AND(Scharniere[[#This Row],[Scharnierart]]=select!$A$1485,Scharniere[[#This Row],[Gruppenschlüssel]]=select!$B$1485)=TRUE,1,0)</f>
        <v>0</v>
      </c>
      <c r="AF857" s="451">
        <f ca="1">IF(AND(Scharniere[[#This Row],[Scharnierart]]=select!$A$1486,Scharniere[[#This Row],[Gruppenschlüssel]]=select!$B$1486)=TRUE,1,0)</f>
        <v>0</v>
      </c>
      <c r="AG857" s="451">
        <f ca="1">IF(AND(Scharniere[[#This Row],[Scharnierart]]=select!$A$1487,Scharniere[[#This Row],[Gruppenschlüssel]]=select!$B$1487)=TRUE,1,0)</f>
        <v>0</v>
      </c>
      <c r="AH857" s="451">
        <f ca="1">IF(AND(Scharniere[[#This Row],[Scharnierart]]=select!$A$1488,Scharniere[[#This Row],[Gruppenschlüssel]]=select!$B$1488)=TRUE,1,0)</f>
        <v>0</v>
      </c>
      <c r="AI857" s="451">
        <f ca="1">IF(SUM(Scharniere[[#This Row],[konf Scharnier 1]:[konf Scharnier 4]])&gt;0,1,0)</f>
        <v>0</v>
      </c>
      <c r="AJ857" s="451"/>
      <c r="AK857" s="451"/>
      <c r="AL857" s="451"/>
      <c r="AM857" s="451"/>
      <c r="AN857" s="451"/>
      <c r="AO857" s="146">
        <v>2</v>
      </c>
      <c r="AP857" s="146">
        <v>5</v>
      </c>
      <c r="AQ857" s="10" t="str">
        <f ca="1">Sprache!$A$113</f>
        <v>Tiomos Scharnier TS Impresso</v>
      </c>
      <c r="AR857" t="str">
        <f ca="1">"110/37°, GB-BB, "&amp;Sprache!$A$58&amp;" ni"</f>
        <v>110/37°, GB-BB, aufl. ni</v>
      </c>
      <c r="AS857" t="str">
        <f ca="1">Sprache!$A$116</f>
        <v>Tiomos Impresso Scharniere</v>
      </c>
      <c r="AT857" t="s">
        <v>1264</v>
      </c>
      <c r="AU857" t="s">
        <v>9</v>
      </c>
      <c r="AV857" t="s">
        <v>1489</v>
      </c>
      <c r="AW857" s="71">
        <v>1</v>
      </c>
      <c r="AX857">
        <v>0</v>
      </c>
      <c r="AY857">
        <v>0</v>
      </c>
      <c r="AZ857" s="71">
        <v>0</v>
      </c>
      <c r="BA857">
        <v>0</v>
      </c>
      <c r="BB857">
        <v>0</v>
      </c>
      <c r="BC857">
        <v>1</v>
      </c>
      <c r="BD857" s="144" t="s">
        <v>1502</v>
      </c>
      <c r="BF857" s="10"/>
      <c r="BG857"/>
    </row>
    <row r="858" spans="1:59" ht="14.25" customHeight="1" x14ac:dyDescent="0.25">
      <c r="A858" s="37" t="str">
        <f>LEFT(Scharniere[[#This Row],[ArtikelNR]],4)</f>
        <v>F017</v>
      </c>
      <c r="B858" s="35" t="str">
        <f>MID(Scharniere[[#This Row],[ArtikelNR]],5,3)</f>
        <v>139</v>
      </c>
      <c r="C858" s="37" t="str">
        <f>RIGHT(Scharniere[[#This Row],[ArtikelNR]],3)</f>
        <v>422</v>
      </c>
      <c r="D858" s="35">
        <f>IF(AND(Scharniere[[#This Row],[Gruppenschlüssel]]=select!$A$44,Scharniere[[#This Row],[Scharnierart]]=1)=TRUE,1,0)</f>
        <v>0</v>
      </c>
      <c r="E8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8" s="35">
        <f>IF(select!$F$57=IF(Scharniere[[#This Row],[mit Dämpfung]]=1,1,IF(Scharniere[[#This Row],[ohne Dämpfung]]=1,2,IF(Scharniere[[#This Row],[ohne Feder]]=1,3,0))),1,0)</f>
        <v>0</v>
      </c>
      <c r="G858" s="35">
        <f>IF(Scharniere[[#This Row],[Bohrbild]]=select!$V$43,1,0)</f>
        <v>0</v>
      </c>
      <c r="H858" s="35">
        <f>IF(IF(Scharniere[[#This Row],[Anschrauben]]=1,1,IF(Scharniere[[#This Row],[Einpressen]]=1,2,IF(Scharniere[[#This Row],[Quick]]=1,3,IF(Scharniere[[#This Row],[Werkzeuglos]]=1,4,0))))=select!$F$48,1,0)</f>
        <v>0</v>
      </c>
      <c r="I8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8" s="149">
        <f>IF(AND(Scharniere[[#This Row],[Scharnierart]]=2,Scharniere[[#This Row],[Gruppenschlüssel]]=select!$A$318)=TRUE,1,0)</f>
        <v>0</v>
      </c>
      <c r="K858" s="221">
        <f ca="1">IF(select!$O$424&lt;6,1,0)</f>
        <v>1</v>
      </c>
      <c r="L858" s="221">
        <f>IF(select!$A$362=IF(Scharniere[[#This Row],[mit Dämpfung]]=1,1,IF(Scharniere[[#This Row],[ohne Dämpfung]]=1,2,IF(Scharniere[[#This Row],[ohne Feder]]=1,3,0))),1,0)</f>
        <v>1</v>
      </c>
      <c r="M858" s="135">
        <f>IF(Scharniere[[#This Row],[Bohrbild]]=select!$O$334,1,0)</f>
        <v>0</v>
      </c>
      <c r="N858" s="135">
        <f>IF(IF(Scharniere[[#This Row],[Anschrauben]]=1,1,IF(Scharniere[[#This Row],[Einpressen]]=1,2,IF(Scharniere[[#This Row],[Quick]]=1,3,IF(Scharniere[[#This Row],[Werkzeuglos]]=1,4,0))))=select!$E$362,1,0)</f>
        <v>0</v>
      </c>
      <c r="O8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8" s="298">
        <f>IF(AND(Scharniere[[#This Row],[Scharnierart]]=3,Scharniere[[#This Row],[Gruppenschlüssel]]=select!$A$747)=TRUE,1,0)</f>
        <v>0</v>
      </c>
      <c r="Q858" s="298">
        <f ca="1">IF(select!$O$945&lt;6,1,0)</f>
        <v>1</v>
      </c>
      <c r="R858" s="298">
        <f>IF(select!$A$778=IF(Scharniere[[#This Row],[mit Dämpfung]]=1,1,IF(Scharniere[[#This Row],[ohne Dämpfung]]=1,2,IF(Scharniere[[#This Row],[ohne Feder]]=1,3,0))),1,0)</f>
        <v>0</v>
      </c>
      <c r="S858" s="298">
        <f>IF(Scharniere[[#This Row],[Bohrbild]]=select!$A$755,1,0)</f>
        <v>0</v>
      </c>
      <c r="T858" s="298">
        <f>IF(IF(Scharniere[[#This Row],[Anschrauben]]=1,1,IF(Scharniere[[#This Row],[Einpressen]]=1,2,IF(Scharniere[[#This Row],[Quick]]=1,3,IF(Scharniere[[#This Row],[Werkzeuglos]]=1,4,0))))=select!$A$769,1,0)</f>
        <v>0</v>
      </c>
      <c r="U8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8" s="359">
        <f>IF(AND(Scharniere[[#This Row],[Scharnierart]]=4,Scharniere[[#This Row],[Gruppenschlüssel]]=select!$A$981)=TRUE,1,0)</f>
        <v>0</v>
      </c>
      <c r="W858" s="359">
        <f ca="1">IF(select!$O$1185&lt;6,1,0)</f>
        <v>1</v>
      </c>
      <c r="X858" s="359">
        <f>IF(select!$A$1012=IF(Scharniere[[#This Row],[mit Dämpfung]]=1,1,IF(Scharniere[[#This Row],[ohne Dämpfung]]=1,2,IF(Scharniere[[#This Row],[ohne Feder]]=1,3,0))),1,0)</f>
        <v>0</v>
      </c>
      <c r="Y858" s="359">
        <f>IF(Scharniere[[#This Row],[Bohrbild]]=select!$A$989,1,0)</f>
        <v>0</v>
      </c>
      <c r="Z858" s="359">
        <f>IF(IF(Scharniere[[#This Row],[Anschrauben]]=1,1,IF(Scharniere[[#This Row],[Einpressen]]=1,2,IF(Scharniere[[#This Row],[Quick]]=1,3,IF(Scharniere[[#This Row],[Werkzeuglos]]=1,4,0))))=select!$A$1003,1,0)</f>
        <v>0</v>
      </c>
      <c r="AA8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8" s="359">
        <f ca="1">IF(select!$K$980="*",Scharniere[[#This Row],[AG Ges2]],Scharniere[[#This Row],[AG Ges1]])</f>
        <v>0</v>
      </c>
      <c r="AE858" s="451">
        <f ca="1">IF(AND(Scharniere[[#This Row],[Scharnierart]]=select!$A$1485,Scharniere[[#This Row],[Gruppenschlüssel]]=select!$B$1485)=TRUE,1,0)</f>
        <v>0</v>
      </c>
      <c r="AF858" s="451">
        <f ca="1">IF(AND(Scharniere[[#This Row],[Scharnierart]]=select!$A$1486,Scharniere[[#This Row],[Gruppenschlüssel]]=select!$B$1486)=TRUE,1,0)</f>
        <v>0</v>
      </c>
      <c r="AG858" s="451">
        <f ca="1">IF(AND(Scharniere[[#This Row],[Scharnierart]]=select!$A$1487,Scharniere[[#This Row],[Gruppenschlüssel]]=select!$B$1487)=TRUE,1,0)</f>
        <v>0</v>
      </c>
      <c r="AH858" s="451">
        <f ca="1">IF(AND(Scharniere[[#This Row],[Scharnierart]]=select!$A$1488,Scharniere[[#This Row],[Gruppenschlüssel]]=select!$B$1488)=TRUE,1,0)</f>
        <v>0</v>
      </c>
      <c r="AI858" s="451">
        <f ca="1">IF(SUM(Scharniere[[#This Row],[konf Scharnier 1]:[konf Scharnier 4]])&gt;0,1,0)</f>
        <v>0</v>
      </c>
      <c r="AJ858" s="451"/>
      <c r="AK858" s="451"/>
      <c r="AL858" s="451"/>
      <c r="AM858" s="451"/>
      <c r="AN858" s="451"/>
      <c r="AO858" s="146">
        <v>2</v>
      </c>
      <c r="AP858" s="146">
        <v>5</v>
      </c>
      <c r="AQ858" s="10" t="str">
        <f ca="1">Sprache!$A$113</f>
        <v>Tiomos Scharnier TS Impresso</v>
      </c>
      <c r="AR858" t="str">
        <f ca="1">"110/37°, GB-BB, "&amp;Sprache!$A$58&amp;" ni"</f>
        <v>110/37°, GB-BB, aufl. ni</v>
      </c>
      <c r="AS858" t="str">
        <f ca="1">Sprache!$A$116</f>
        <v>Tiomos Impresso Scharniere</v>
      </c>
      <c r="AT858" t="s">
        <v>1264</v>
      </c>
      <c r="AU858" t="s">
        <v>3</v>
      </c>
      <c r="AV858" t="s">
        <v>1489</v>
      </c>
      <c r="AW858" s="71">
        <v>1</v>
      </c>
      <c r="AX858">
        <v>0</v>
      </c>
      <c r="AY858">
        <v>0</v>
      </c>
      <c r="AZ858" s="71">
        <v>0</v>
      </c>
      <c r="BA858">
        <v>0</v>
      </c>
      <c r="BB858">
        <v>0</v>
      </c>
      <c r="BC858">
        <v>1</v>
      </c>
      <c r="BD858" s="144" t="s">
        <v>1502</v>
      </c>
      <c r="BF858" s="10"/>
      <c r="BG858"/>
    </row>
    <row r="859" spans="1:59" ht="14.25" customHeight="1" x14ac:dyDescent="0.25">
      <c r="A859" s="37" t="str">
        <f>LEFT(Scharniere[[#This Row],[ArtikelNR]],4)</f>
        <v>F034</v>
      </c>
      <c r="B859" s="35" t="str">
        <f>MID(Scharniere[[#This Row],[ArtikelNR]],5,3)</f>
        <v>139</v>
      </c>
      <c r="C859" s="37" t="str">
        <f>RIGHT(Scharniere[[#This Row],[ArtikelNR]],3)</f>
        <v>393</v>
      </c>
      <c r="D859" s="35">
        <f>IF(AND(Scharniere[[#This Row],[Gruppenschlüssel]]=select!$A$44,Scharniere[[#This Row],[Scharnierart]]=1)=TRUE,1,0)</f>
        <v>0</v>
      </c>
      <c r="E8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59" s="35">
        <f>IF(select!$F$57=IF(Scharniere[[#This Row],[mit Dämpfung]]=1,1,IF(Scharniere[[#This Row],[ohne Dämpfung]]=1,2,IF(Scharniere[[#This Row],[ohne Feder]]=1,3,0))),1,0)</f>
        <v>0</v>
      </c>
      <c r="G859" s="35">
        <f>IF(Scharniere[[#This Row],[Bohrbild]]=select!$V$43,1,0)</f>
        <v>0</v>
      </c>
      <c r="H859" s="35">
        <f>IF(IF(Scharniere[[#This Row],[Anschrauben]]=1,1,IF(Scharniere[[#This Row],[Einpressen]]=1,2,IF(Scharniere[[#This Row],[Quick]]=1,3,IF(Scharniere[[#This Row],[Werkzeuglos]]=1,4,0))))=select!$F$48,1,0)</f>
        <v>0</v>
      </c>
      <c r="I8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59" s="149">
        <f>IF(AND(Scharniere[[#This Row],[Scharnierart]]=2,Scharniere[[#This Row],[Gruppenschlüssel]]=select!$A$318)=TRUE,1,0)</f>
        <v>0</v>
      </c>
      <c r="K859" s="221">
        <f ca="1">IF(select!$O$424&lt;6,1,0)</f>
        <v>1</v>
      </c>
      <c r="L859" s="221">
        <f>IF(select!$A$362=IF(Scharniere[[#This Row],[mit Dämpfung]]=1,1,IF(Scharniere[[#This Row],[ohne Dämpfung]]=1,2,IF(Scharniere[[#This Row],[ohne Feder]]=1,3,0))),1,0)</f>
        <v>0</v>
      </c>
      <c r="M859" s="135">
        <f>IF(Scharniere[[#This Row],[Bohrbild]]=select!$O$334,1,0)</f>
        <v>0</v>
      </c>
      <c r="N859" s="135">
        <f>IF(IF(Scharniere[[#This Row],[Anschrauben]]=1,1,IF(Scharniere[[#This Row],[Einpressen]]=1,2,IF(Scharniere[[#This Row],[Quick]]=1,3,IF(Scharniere[[#This Row],[Werkzeuglos]]=1,4,0))))=select!$E$362,1,0)</f>
        <v>0</v>
      </c>
      <c r="O8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59" s="298">
        <f>IF(AND(Scharniere[[#This Row],[Scharnierart]]=3,Scharniere[[#This Row],[Gruppenschlüssel]]=select!$A$747)=TRUE,1,0)</f>
        <v>0</v>
      </c>
      <c r="Q859" s="298">
        <f ca="1">IF(select!$O$945&lt;6,1,0)</f>
        <v>1</v>
      </c>
      <c r="R859" s="298">
        <f>IF(select!$A$778=IF(Scharniere[[#This Row],[mit Dämpfung]]=1,1,IF(Scharniere[[#This Row],[ohne Dämpfung]]=1,2,IF(Scharniere[[#This Row],[ohne Feder]]=1,3,0))),1,0)</f>
        <v>1</v>
      </c>
      <c r="S859" s="298">
        <f>IF(Scharniere[[#This Row],[Bohrbild]]=select!$A$755,1,0)</f>
        <v>0</v>
      </c>
      <c r="T859" s="298">
        <f>IF(IF(Scharniere[[#This Row],[Anschrauben]]=1,1,IF(Scharniere[[#This Row],[Einpressen]]=1,2,IF(Scharniere[[#This Row],[Quick]]=1,3,IF(Scharniere[[#This Row],[Werkzeuglos]]=1,4,0))))=select!$A$769,1,0)</f>
        <v>0</v>
      </c>
      <c r="U8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59" s="359">
        <f>IF(AND(Scharniere[[#This Row],[Scharnierart]]=4,Scharniere[[#This Row],[Gruppenschlüssel]]=select!$A$981)=TRUE,1,0)</f>
        <v>0</v>
      </c>
      <c r="W859" s="359">
        <f ca="1">IF(select!$O$1185&lt;6,1,0)</f>
        <v>1</v>
      </c>
      <c r="X859" s="359">
        <f>IF(select!$A$1012=IF(Scharniere[[#This Row],[mit Dämpfung]]=1,1,IF(Scharniere[[#This Row],[ohne Dämpfung]]=1,2,IF(Scharniere[[#This Row],[ohne Feder]]=1,3,0))),1,0)</f>
        <v>1</v>
      </c>
      <c r="Y859" s="359">
        <f>IF(Scharniere[[#This Row],[Bohrbild]]=select!$A$989,1,0)</f>
        <v>0</v>
      </c>
      <c r="Z859" s="359">
        <f>IF(IF(Scharniere[[#This Row],[Anschrauben]]=1,1,IF(Scharniere[[#This Row],[Einpressen]]=1,2,IF(Scharniere[[#This Row],[Quick]]=1,3,IF(Scharniere[[#This Row],[Werkzeuglos]]=1,4,0))))=select!$A$1003,1,0)</f>
        <v>0</v>
      </c>
      <c r="AA8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59" s="359">
        <f ca="1">IF(select!$K$980="*",Scharniere[[#This Row],[AG Ges2]],Scharniere[[#This Row],[AG Ges1]])</f>
        <v>0</v>
      </c>
      <c r="AE859" s="451">
        <f ca="1">IF(AND(Scharniere[[#This Row],[Scharnierart]]=select!$A$1485,Scharniere[[#This Row],[Gruppenschlüssel]]=select!$B$1485)=TRUE,1,0)</f>
        <v>0</v>
      </c>
      <c r="AF859" s="451">
        <f ca="1">IF(AND(Scharniere[[#This Row],[Scharnierart]]=select!$A$1486,Scharniere[[#This Row],[Gruppenschlüssel]]=select!$B$1486)=TRUE,1,0)</f>
        <v>0</v>
      </c>
      <c r="AG859" s="451">
        <f ca="1">IF(AND(Scharniere[[#This Row],[Scharnierart]]=select!$A$1487,Scharniere[[#This Row],[Gruppenschlüssel]]=select!$B$1487)=TRUE,1,0)</f>
        <v>0</v>
      </c>
      <c r="AH859" s="451">
        <f ca="1">IF(AND(Scharniere[[#This Row],[Scharnierart]]=select!$A$1488,Scharniere[[#This Row],[Gruppenschlüssel]]=select!$B$1488)=TRUE,1,0)</f>
        <v>0</v>
      </c>
      <c r="AI859" s="451">
        <f ca="1">IF(SUM(Scharniere[[#This Row],[konf Scharnier 1]:[konf Scharnier 4]])&gt;0,1,0)</f>
        <v>0</v>
      </c>
      <c r="AJ859" s="451"/>
      <c r="AK859" s="451"/>
      <c r="AL859" s="451"/>
      <c r="AM859" s="451"/>
      <c r="AN859" s="451"/>
      <c r="AO859" s="146">
        <v>2</v>
      </c>
      <c r="AP859" s="146">
        <v>5</v>
      </c>
      <c r="AQ859" s="10" t="str">
        <f ca="1">Sprache!$A$119</f>
        <v>Tiomos Scharnier T Impresso</v>
      </c>
      <c r="AR859" t="str">
        <f ca="1">"110/37°, GB-BB, "&amp;Sprache!$A$58&amp;" ni"</f>
        <v>110/37°, GB-BB, aufl. ni</v>
      </c>
      <c r="AS859" t="str">
        <f ca="1">Sprache!$A$103</f>
        <v>Tiomos Click-On Scharniere</v>
      </c>
      <c r="AT859" t="s">
        <v>1264</v>
      </c>
      <c r="AU859" t="s">
        <v>9</v>
      </c>
      <c r="AV859" t="s">
        <v>1489</v>
      </c>
      <c r="AW859" s="71">
        <v>0</v>
      </c>
      <c r="AX859">
        <v>1</v>
      </c>
      <c r="AY859">
        <v>0</v>
      </c>
      <c r="AZ859" s="71">
        <v>0</v>
      </c>
      <c r="BA859">
        <v>0</v>
      </c>
      <c r="BB859">
        <v>0</v>
      </c>
      <c r="BC859">
        <v>1</v>
      </c>
      <c r="BD859" s="144" t="s">
        <v>1758</v>
      </c>
      <c r="BF859" s="10"/>
      <c r="BG859"/>
    </row>
    <row r="860" spans="1:59" ht="14.25" customHeight="1" x14ac:dyDescent="0.25">
      <c r="A860" s="37" t="str">
        <f>LEFT(Scharniere[[#This Row],[ArtikelNR]],4)</f>
        <v>F034</v>
      </c>
      <c r="B860" s="35" t="str">
        <f>MID(Scharniere[[#This Row],[ArtikelNR]],5,3)</f>
        <v>139</v>
      </c>
      <c r="C860" s="37" t="str">
        <f>RIGHT(Scharniere[[#This Row],[ArtikelNR]],3)</f>
        <v>393</v>
      </c>
      <c r="D860" s="35">
        <f>IF(AND(Scharniere[[#This Row],[Gruppenschlüssel]]=select!$A$44,Scharniere[[#This Row],[Scharnierart]]=1)=TRUE,1,0)</f>
        <v>0</v>
      </c>
      <c r="E8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0" s="35">
        <f>IF(select!$F$57=IF(Scharniere[[#This Row],[mit Dämpfung]]=1,1,IF(Scharniere[[#This Row],[ohne Dämpfung]]=1,2,IF(Scharniere[[#This Row],[ohne Feder]]=1,3,0))),1,0)</f>
        <v>0</v>
      </c>
      <c r="G860" s="35">
        <f>IF(Scharniere[[#This Row],[Bohrbild]]=select!$V$43,1,0)</f>
        <v>0</v>
      </c>
      <c r="H860" s="35">
        <f>IF(IF(Scharniere[[#This Row],[Anschrauben]]=1,1,IF(Scharniere[[#This Row],[Einpressen]]=1,2,IF(Scharniere[[#This Row],[Quick]]=1,3,IF(Scharniere[[#This Row],[Werkzeuglos]]=1,4,0))))=select!$F$48,1,0)</f>
        <v>0</v>
      </c>
      <c r="I8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0" s="149">
        <f>IF(AND(Scharniere[[#This Row],[Scharnierart]]=2,Scharniere[[#This Row],[Gruppenschlüssel]]=select!$A$318)=TRUE,1,0)</f>
        <v>0</v>
      </c>
      <c r="K860" s="221">
        <f ca="1">IF(select!$O$424&lt;6,1,0)</f>
        <v>1</v>
      </c>
      <c r="L860" s="221">
        <f>IF(select!$A$362=IF(Scharniere[[#This Row],[mit Dämpfung]]=1,1,IF(Scharniere[[#This Row],[ohne Dämpfung]]=1,2,IF(Scharniere[[#This Row],[ohne Feder]]=1,3,0))),1,0)</f>
        <v>0</v>
      </c>
      <c r="M860" s="135">
        <f>IF(Scharniere[[#This Row],[Bohrbild]]=select!$O$334,1,0)</f>
        <v>0</v>
      </c>
      <c r="N860" s="135">
        <f>IF(IF(Scharniere[[#This Row],[Anschrauben]]=1,1,IF(Scharniere[[#This Row],[Einpressen]]=1,2,IF(Scharniere[[#This Row],[Quick]]=1,3,IF(Scharniere[[#This Row],[Werkzeuglos]]=1,4,0))))=select!$E$362,1,0)</f>
        <v>0</v>
      </c>
      <c r="O8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0" s="298">
        <f>IF(AND(Scharniere[[#This Row],[Scharnierart]]=3,Scharniere[[#This Row],[Gruppenschlüssel]]=select!$A$747)=TRUE,1,0)</f>
        <v>0</v>
      </c>
      <c r="Q860" s="298">
        <f ca="1">IF(select!$O$945&lt;6,1,0)</f>
        <v>1</v>
      </c>
      <c r="R860" s="298">
        <f>IF(select!$A$778=IF(Scharniere[[#This Row],[mit Dämpfung]]=1,1,IF(Scharniere[[#This Row],[ohne Dämpfung]]=1,2,IF(Scharniere[[#This Row],[ohne Feder]]=1,3,0))),1,0)</f>
        <v>1</v>
      </c>
      <c r="S860" s="298">
        <f>IF(Scharniere[[#This Row],[Bohrbild]]=select!$A$755,1,0)</f>
        <v>0</v>
      </c>
      <c r="T860" s="298">
        <f>IF(IF(Scharniere[[#This Row],[Anschrauben]]=1,1,IF(Scharniere[[#This Row],[Einpressen]]=1,2,IF(Scharniere[[#This Row],[Quick]]=1,3,IF(Scharniere[[#This Row],[Werkzeuglos]]=1,4,0))))=select!$A$769,1,0)</f>
        <v>0</v>
      </c>
      <c r="U8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0" s="359">
        <f>IF(AND(Scharniere[[#This Row],[Scharnierart]]=4,Scharniere[[#This Row],[Gruppenschlüssel]]=select!$A$981)=TRUE,1,0)</f>
        <v>0</v>
      </c>
      <c r="W860" s="359">
        <f ca="1">IF(select!$O$1185&lt;6,1,0)</f>
        <v>1</v>
      </c>
      <c r="X860" s="359">
        <f>IF(select!$A$1012=IF(Scharniere[[#This Row],[mit Dämpfung]]=1,1,IF(Scharniere[[#This Row],[ohne Dämpfung]]=1,2,IF(Scharniere[[#This Row],[ohne Feder]]=1,3,0))),1,0)</f>
        <v>1</v>
      </c>
      <c r="Y860" s="359">
        <f>IF(Scharniere[[#This Row],[Bohrbild]]=select!$A$989,1,0)</f>
        <v>0</v>
      </c>
      <c r="Z860" s="359">
        <f>IF(IF(Scharniere[[#This Row],[Anschrauben]]=1,1,IF(Scharniere[[#This Row],[Einpressen]]=1,2,IF(Scharniere[[#This Row],[Quick]]=1,3,IF(Scharniere[[#This Row],[Werkzeuglos]]=1,4,0))))=select!$A$1003,1,0)</f>
        <v>0</v>
      </c>
      <c r="AA8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0" s="359">
        <f ca="1">IF(select!$K$980="*",Scharniere[[#This Row],[AG Ges2]],Scharniere[[#This Row],[AG Ges1]])</f>
        <v>0</v>
      </c>
      <c r="AE860" s="451">
        <f ca="1">IF(AND(Scharniere[[#This Row],[Scharnierart]]=select!$A$1485,Scharniere[[#This Row],[Gruppenschlüssel]]=select!$B$1485)=TRUE,1,0)</f>
        <v>0</v>
      </c>
      <c r="AF860" s="451">
        <f ca="1">IF(AND(Scharniere[[#This Row],[Scharnierart]]=select!$A$1486,Scharniere[[#This Row],[Gruppenschlüssel]]=select!$B$1486)=TRUE,1,0)</f>
        <v>0</v>
      </c>
      <c r="AG860" s="451">
        <f ca="1">IF(AND(Scharniere[[#This Row],[Scharnierart]]=select!$A$1487,Scharniere[[#This Row],[Gruppenschlüssel]]=select!$B$1487)=TRUE,1,0)</f>
        <v>0</v>
      </c>
      <c r="AH860" s="451">
        <f ca="1">IF(AND(Scharniere[[#This Row],[Scharnierart]]=select!$A$1488,Scharniere[[#This Row],[Gruppenschlüssel]]=select!$B$1488)=TRUE,1,0)</f>
        <v>0</v>
      </c>
      <c r="AI860" s="451">
        <f ca="1">IF(SUM(Scharniere[[#This Row],[konf Scharnier 1]:[konf Scharnier 4]])&gt;0,1,0)</f>
        <v>0</v>
      </c>
      <c r="AJ860" s="451"/>
      <c r="AK860" s="451"/>
      <c r="AL860" s="451"/>
      <c r="AM860" s="451"/>
      <c r="AN860" s="451"/>
      <c r="AO860" s="146">
        <v>2</v>
      </c>
      <c r="AP860" s="146">
        <v>5</v>
      </c>
      <c r="AQ860" s="10" t="str">
        <f ca="1">Sprache!$A$119</f>
        <v>Tiomos Scharnier T Impresso</v>
      </c>
      <c r="AR860" t="str">
        <f ca="1">"110/37°, GB-BB, "&amp;Sprache!$A$58&amp;" ni"</f>
        <v>110/37°, GB-BB, aufl. ni</v>
      </c>
      <c r="AS860" t="str">
        <f ca="1">Sprache!$A$103</f>
        <v>Tiomos Click-On Scharniere</v>
      </c>
      <c r="AT860" t="s">
        <v>1264</v>
      </c>
      <c r="AU860" t="s">
        <v>3</v>
      </c>
      <c r="AV860" t="s">
        <v>1489</v>
      </c>
      <c r="AW860" s="71">
        <v>0</v>
      </c>
      <c r="AX860">
        <v>1</v>
      </c>
      <c r="AY860">
        <v>0</v>
      </c>
      <c r="AZ860" s="71">
        <v>0</v>
      </c>
      <c r="BA860">
        <v>0</v>
      </c>
      <c r="BB860">
        <v>0</v>
      </c>
      <c r="BC860">
        <v>1</v>
      </c>
      <c r="BD860" s="144" t="s">
        <v>1758</v>
      </c>
      <c r="BF860" s="10"/>
      <c r="BG860"/>
    </row>
    <row r="861" spans="1:59" ht="14.25" customHeight="1" x14ac:dyDescent="0.25">
      <c r="A861" s="37" t="str">
        <f>LEFT(Scharniere[[#This Row],[ArtikelNR]],4)</f>
        <v>F028</v>
      </c>
      <c r="B861" s="35" t="str">
        <f>MID(Scharniere[[#This Row],[ArtikelNR]],5,3)</f>
        <v>138</v>
      </c>
      <c r="C861" s="37" t="str">
        <f>RIGHT(Scharniere[[#This Row],[ArtikelNR]],3)</f>
        <v>713</v>
      </c>
      <c r="D861" s="35">
        <f>IF(AND(Scharniere[[#This Row],[Gruppenschlüssel]]=select!$A$44,Scharniere[[#This Row],[Scharnierart]]=1)=TRUE,1,0)</f>
        <v>0</v>
      </c>
      <c r="E8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1" s="35">
        <f>IF(select!$F$57=IF(Scharniere[[#This Row],[mit Dämpfung]]=1,1,IF(Scharniere[[#This Row],[ohne Dämpfung]]=1,2,IF(Scharniere[[#This Row],[ohne Feder]]=1,3,0))),1,0)</f>
        <v>0</v>
      </c>
      <c r="G861" s="35">
        <f>IF(Scharniere[[#This Row],[Bohrbild]]=select!$V$43,1,0)</f>
        <v>0</v>
      </c>
      <c r="H861" s="35">
        <f>IF(IF(Scharniere[[#This Row],[Anschrauben]]=1,1,IF(Scharniere[[#This Row],[Einpressen]]=1,2,IF(Scharniere[[#This Row],[Quick]]=1,3,IF(Scharniere[[#This Row],[Werkzeuglos]]=1,4,0))))=select!$F$48,1,0)</f>
        <v>0</v>
      </c>
      <c r="I8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1" s="149">
        <f>IF(AND(Scharniere[[#This Row],[Scharnierart]]=2,Scharniere[[#This Row],[Gruppenschlüssel]]=select!$A$318)=TRUE,1,0)</f>
        <v>0</v>
      </c>
      <c r="K861" s="221">
        <f ca="1">IF(select!$O$424&lt;6,1,0)</f>
        <v>1</v>
      </c>
      <c r="L861" s="221">
        <f>IF(select!$A$362=IF(Scharniere[[#This Row],[mit Dämpfung]]=1,1,IF(Scharniere[[#This Row],[ohne Dämpfung]]=1,2,IF(Scharniere[[#This Row],[ohne Feder]]=1,3,0))),1,0)</f>
        <v>1</v>
      </c>
      <c r="M861" s="135">
        <f>IF(Scharniere[[#This Row],[Bohrbild]]=select!$O$334,1,0)</f>
        <v>0</v>
      </c>
      <c r="N861" s="135">
        <f>IF(IF(Scharniere[[#This Row],[Anschrauben]]=1,1,IF(Scharniere[[#This Row],[Einpressen]]=1,2,IF(Scharniere[[#This Row],[Quick]]=1,3,IF(Scharniere[[#This Row],[Werkzeuglos]]=1,4,0))))=select!$E$362,1,0)</f>
        <v>1</v>
      </c>
      <c r="O8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1" s="298">
        <f>IF(AND(Scharniere[[#This Row],[Scharnierart]]=3,Scharniere[[#This Row],[Gruppenschlüssel]]=select!$A$747)=TRUE,1,0)</f>
        <v>0</v>
      </c>
      <c r="Q861" s="298">
        <f ca="1">IF(select!$O$945&lt;6,1,0)</f>
        <v>1</v>
      </c>
      <c r="R861" s="298">
        <f>IF(select!$A$778=IF(Scharniere[[#This Row],[mit Dämpfung]]=1,1,IF(Scharniere[[#This Row],[ohne Dämpfung]]=1,2,IF(Scharniere[[#This Row],[ohne Feder]]=1,3,0))),1,0)</f>
        <v>0</v>
      </c>
      <c r="S861" s="298">
        <f>IF(Scharniere[[#This Row],[Bohrbild]]=select!$A$755,1,0)</f>
        <v>0</v>
      </c>
      <c r="T861" s="298">
        <f>IF(IF(Scharniere[[#This Row],[Anschrauben]]=1,1,IF(Scharniere[[#This Row],[Einpressen]]=1,2,IF(Scharniere[[#This Row],[Quick]]=1,3,IF(Scharniere[[#This Row],[Werkzeuglos]]=1,4,0))))=select!$A$769,1,0)</f>
        <v>1</v>
      </c>
      <c r="U8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1" s="359">
        <f>IF(AND(Scharniere[[#This Row],[Scharnierart]]=4,Scharniere[[#This Row],[Gruppenschlüssel]]=select!$A$981)=TRUE,1,0)</f>
        <v>0</v>
      </c>
      <c r="W861" s="359">
        <f ca="1">IF(select!$O$1185&lt;6,1,0)</f>
        <v>1</v>
      </c>
      <c r="X861" s="359">
        <f>IF(select!$A$1012=IF(Scharniere[[#This Row],[mit Dämpfung]]=1,1,IF(Scharniere[[#This Row],[ohne Dämpfung]]=1,2,IF(Scharniere[[#This Row],[ohne Feder]]=1,3,0))),1,0)</f>
        <v>0</v>
      </c>
      <c r="Y861" s="359">
        <f>IF(Scharniere[[#This Row],[Bohrbild]]=select!$A$989,1,0)</f>
        <v>0</v>
      </c>
      <c r="Z861" s="359">
        <f>IF(IF(Scharniere[[#This Row],[Anschrauben]]=1,1,IF(Scharniere[[#This Row],[Einpressen]]=1,2,IF(Scharniere[[#This Row],[Quick]]=1,3,IF(Scharniere[[#This Row],[Werkzeuglos]]=1,4,0))))=select!$A$1003,1,0)</f>
        <v>1</v>
      </c>
      <c r="AA8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1" s="359">
        <f ca="1">IF(select!$K$980="*",Scharniere[[#This Row],[AG Ges2]],Scharniere[[#This Row],[AG Ges1]])</f>
        <v>0</v>
      </c>
      <c r="AE861" s="451">
        <f ca="1">IF(AND(Scharniere[[#This Row],[Scharnierart]]=select!$A$1485,Scharniere[[#This Row],[Gruppenschlüssel]]=select!$B$1485)=TRUE,1,0)</f>
        <v>0</v>
      </c>
      <c r="AF861" s="451">
        <f ca="1">IF(AND(Scharniere[[#This Row],[Scharnierart]]=select!$A$1486,Scharniere[[#This Row],[Gruppenschlüssel]]=select!$B$1486)=TRUE,1,0)</f>
        <v>0</v>
      </c>
      <c r="AG861" s="451">
        <f ca="1">IF(AND(Scharniere[[#This Row],[Scharnierart]]=select!$A$1487,Scharniere[[#This Row],[Gruppenschlüssel]]=select!$B$1487)=TRUE,1,0)</f>
        <v>0</v>
      </c>
      <c r="AH861" s="451">
        <f ca="1">IF(AND(Scharniere[[#This Row],[Scharnierart]]=select!$A$1488,Scharniere[[#This Row],[Gruppenschlüssel]]=select!$B$1488)=TRUE,1,0)</f>
        <v>0</v>
      </c>
      <c r="AI861" s="451">
        <f ca="1">IF(SUM(Scharniere[[#This Row],[konf Scharnier 1]:[konf Scharnier 4]])&gt;0,1,0)</f>
        <v>0</v>
      </c>
      <c r="AJ861" s="451"/>
      <c r="AK861" s="451"/>
      <c r="AL861" s="451"/>
      <c r="AM861" s="451"/>
      <c r="AN861" s="451"/>
      <c r="AO861" s="146">
        <v>2</v>
      </c>
      <c r="AP861" s="146">
        <v>5</v>
      </c>
      <c r="AQ861" s="10" t="str">
        <f ca="1">Sprache!$A$112</f>
        <v>Tiomos Scharnier TS Click-on</v>
      </c>
      <c r="AR861" t="str">
        <f ca="1">"110/37°, H-BB, "&amp;Sprache!$A$58&amp;" ni"</f>
        <v>110/37°, H-BB, aufl. ni</v>
      </c>
      <c r="AS861" t="str">
        <f ca="1">Sprache!$A$103</f>
        <v>Tiomos Click-On Scharniere</v>
      </c>
      <c r="AT861" t="s">
        <v>1264</v>
      </c>
      <c r="AU861" t="s">
        <v>10</v>
      </c>
      <c r="AV861" t="s">
        <v>1489</v>
      </c>
      <c r="AW861" s="71">
        <v>1</v>
      </c>
      <c r="AX861">
        <v>0</v>
      </c>
      <c r="AY861">
        <v>0</v>
      </c>
      <c r="AZ861" s="71">
        <v>1</v>
      </c>
      <c r="BA861">
        <v>0</v>
      </c>
      <c r="BB861">
        <v>0</v>
      </c>
      <c r="BC861">
        <v>0</v>
      </c>
      <c r="BD861" s="144" t="s">
        <v>1556</v>
      </c>
      <c r="BF861" s="10"/>
      <c r="BG861"/>
    </row>
    <row r="862" spans="1:59" ht="14.25" customHeight="1" x14ac:dyDescent="0.25">
      <c r="A862" s="37" t="str">
        <f>LEFT(Scharniere[[#This Row],[ArtikelNR]],4)</f>
        <v>F045</v>
      </c>
      <c r="B862" s="35" t="str">
        <f>MID(Scharniere[[#This Row],[ArtikelNR]],5,3)</f>
        <v>138</v>
      </c>
      <c r="C862" s="37" t="str">
        <f>RIGHT(Scharniere[[#This Row],[ArtikelNR]],3)</f>
        <v>651</v>
      </c>
      <c r="D862" s="35">
        <f>IF(AND(Scharniere[[#This Row],[Gruppenschlüssel]]=select!$A$44,Scharniere[[#This Row],[Scharnierart]]=1)=TRUE,1,0)</f>
        <v>0</v>
      </c>
      <c r="E8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2" s="35">
        <f>IF(select!$F$57=IF(Scharniere[[#This Row],[mit Dämpfung]]=1,1,IF(Scharniere[[#This Row],[ohne Dämpfung]]=1,2,IF(Scharniere[[#This Row],[ohne Feder]]=1,3,0))),1,0)</f>
        <v>0</v>
      </c>
      <c r="G862" s="35">
        <f>IF(Scharniere[[#This Row],[Bohrbild]]=select!$V$43,1,0)</f>
        <v>0</v>
      </c>
      <c r="H862" s="35">
        <f>IF(IF(Scharniere[[#This Row],[Anschrauben]]=1,1,IF(Scharniere[[#This Row],[Einpressen]]=1,2,IF(Scharniere[[#This Row],[Quick]]=1,3,IF(Scharniere[[#This Row],[Werkzeuglos]]=1,4,0))))=select!$F$48,1,0)</f>
        <v>0</v>
      </c>
      <c r="I8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2" s="149">
        <f>IF(AND(Scharniere[[#This Row],[Scharnierart]]=2,Scharniere[[#This Row],[Gruppenschlüssel]]=select!$A$318)=TRUE,1,0)</f>
        <v>0</v>
      </c>
      <c r="K862" s="221">
        <f ca="1">IF(select!$O$424&lt;6,1,0)</f>
        <v>1</v>
      </c>
      <c r="L862" s="221">
        <f>IF(select!$A$362=IF(Scharniere[[#This Row],[mit Dämpfung]]=1,1,IF(Scharniere[[#This Row],[ohne Dämpfung]]=1,2,IF(Scharniere[[#This Row],[ohne Feder]]=1,3,0))),1,0)</f>
        <v>0</v>
      </c>
      <c r="M862" s="135">
        <f>IF(Scharniere[[#This Row],[Bohrbild]]=select!$O$334,1,0)</f>
        <v>0</v>
      </c>
      <c r="N862" s="135">
        <f>IF(IF(Scharniere[[#This Row],[Anschrauben]]=1,1,IF(Scharniere[[#This Row],[Einpressen]]=1,2,IF(Scharniere[[#This Row],[Quick]]=1,3,IF(Scharniere[[#This Row],[Werkzeuglos]]=1,4,0))))=select!$E$362,1,0)</f>
        <v>1</v>
      </c>
      <c r="O8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2" s="298">
        <f>IF(AND(Scharniere[[#This Row],[Scharnierart]]=3,Scharniere[[#This Row],[Gruppenschlüssel]]=select!$A$747)=TRUE,1,0)</f>
        <v>0</v>
      </c>
      <c r="Q862" s="298">
        <f ca="1">IF(select!$O$945&lt;6,1,0)</f>
        <v>1</v>
      </c>
      <c r="R862" s="298">
        <f>IF(select!$A$778=IF(Scharniere[[#This Row],[mit Dämpfung]]=1,1,IF(Scharniere[[#This Row],[ohne Dämpfung]]=1,2,IF(Scharniere[[#This Row],[ohne Feder]]=1,3,0))),1,0)</f>
        <v>1</v>
      </c>
      <c r="S862" s="298">
        <f>IF(Scharniere[[#This Row],[Bohrbild]]=select!$A$755,1,0)</f>
        <v>0</v>
      </c>
      <c r="T862" s="298">
        <f>IF(IF(Scharniere[[#This Row],[Anschrauben]]=1,1,IF(Scharniere[[#This Row],[Einpressen]]=1,2,IF(Scharniere[[#This Row],[Quick]]=1,3,IF(Scharniere[[#This Row],[Werkzeuglos]]=1,4,0))))=select!$A$769,1,0)</f>
        <v>1</v>
      </c>
      <c r="U8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2" s="359">
        <f>IF(AND(Scharniere[[#This Row],[Scharnierart]]=4,Scharniere[[#This Row],[Gruppenschlüssel]]=select!$A$981)=TRUE,1,0)</f>
        <v>0</v>
      </c>
      <c r="W862" s="359">
        <f ca="1">IF(select!$O$1185&lt;6,1,0)</f>
        <v>1</v>
      </c>
      <c r="X862" s="359">
        <f>IF(select!$A$1012=IF(Scharniere[[#This Row],[mit Dämpfung]]=1,1,IF(Scharniere[[#This Row],[ohne Dämpfung]]=1,2,IF(Scharniere[[#This Row],[ohne Feder]]=1,3,0))),1,0)</f>
        <v>1</v>
      </c>
      <c r="Y862" s="359">
        <f>IF(Scharniere[[#This Row],[Bohrbild]]=select!$A$989,1,0)</f>
        <v>0</v>
      </c>
      <c r="Z862" s="359">
        <f>IF(IF(Scharniere[[#This Row],[Anschrauben]]=1,1,IF(Scharniere[[#This Row],[Einpressen]]=1,2,IF(Scharniere[[#This Row],[Quick]]=1,3,IF(Scharniere[[#This Row],[Werkzeuglos]]=1,4,0))))=select!$A$1003,1,0)</f>
        <v>1</v>
      </c>
      <c r="AA8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2" s="359">
        <f ca="1">IF(select!$K$980="*",Scharniere[[#This Row],[AG Ges2]],Scharniere[[#This Row],[AG Ges1]])</f>
        <v>0</v>
      </c>
      <c r="AE862" s="451">
        <f ca="1">IF(AND(Scharniere[[#This Row],[Scharnierart]]=select!$A$1485,Scharniere[[#This Row],[Gruppenschlüssel]]=select!$B$1485)=TRUE,1,0)</f>
        <v>0</v>
      </c>
      <c r="AF862" s="451">
        <f ca="1">IF(AND(Scharniere[[#This Row],[Scharnierart]]=select!$A$1486,Scharniere[[#This Row],[Gruppenschlüssel]]=select!$B$1486)=TRUE,1,0)</f>
        <v>0</v>
      </c>
      <c r="AG862" s="451">
        <f ca="1">IF(AND(Scharniere[[#This Row],[Scharnierart]]=select!$A$1487,Scharniere[[#This Row],[Gruppenschlüssel]]=select!$B$1487)=TRUE,1,0)</f>
        <v>0</v>
      </c>
      <c r="AH862" s="451">
        <f ca="1">IF(AND(Scharniere[[#This Row],[Scharnierart]]=select!$A$1488,Scharniere[[#This Row],[Gruppenschlüssel]]=select!$B$1488)=TRUE,1,0)</f>
        <v>0</v>
      </c>
      <c r="AI862" s="451">
        <f ca="1">IF(SUM(Scharniere[[#This Row],[konf Scharnier 1]:[konf Scharnier 4]])&gt;0,1,0)</f>
        <v>0</v>
      </c>
      <c r="AJ862" s="451"/>
      <c r="AK862" s="451"/>
      <c r="AL862" s="451"/>
      <c r="AM862" s="451"/>
      <c r="AN862" s="451"/>
      <c r="AO862" s="146">
        <v>2</v>
      </c>
      <c r="AP862" s="146">
        <v>5</v>
      </c>
      <c r="AQ862" s="71" t="str">
        <f ca="1">Sprache!$A$118</f>
        <v>Tiomos Scharnier T Click-on</v>
      </c>
      <c r="AR862" t="str">
        <f ca="1">"110/37°, H-BB, "&amp;Sprache!$A$58&amp;" ni"</f>
        <v>110/37°, H-BB, aufl. ni</v>
      </c>
      <c r="AS862" t="str">
        <f ca="1">Sprache!$A$103</f>
        <v>Tiomos Click-On Scharniere</v>
      </c>
      <c r="AT862" t="s">
        <v>1264</v>
      </c>
      <c r="AU862" t="s">
        <v>10</v>
      </c>
      <c r="AV862" t="s">
        <v>1489</v>
      </c>
      <c r="AW862" s="71">
        <v>0</v>
      </c>
      <c r="AX862">
        <v>1</v>
      </c>
      <c r="AY862">
        <v>0</v>
      </c>
      <c r="AZ862" s="71">
        <v>1</v>
      </c>
      <c r="BA862">
        <v>0</v>
      </c>
      <c r="BB862">
        <v>0</v>
      </c>
      <c r="BC862">
        <v>0</v>
      </c>
      <c r="BD862" s="144" t="s">
        <v>1665</v>
      </c>
      <c r="BF862" s="10"/>
      <c r="BG862"/>
    </row>
    <row r="863" spans="1:59" ht="14.25" customHeight="1" x14ac:dyDescent="0.25">
      <c r="A863" s="37" t="str">
        <f>LEFT(Scharniere[[#This Row],[ArtikelNR]],4)</f>
        <v>F046</v>
      </c>
      <c r="B863" s="35" t="str">
        <f>MID(Scharniere[[#This Row],[ArtikelNR]],5,3)</f>
        <v>138</v>
      </c>
      <c r="C863" s="37" t="str">
        <f>RIGHT(Scharniere[[#This Row],[ArtikelNR]],3)</f>
        <v>773</v>
      </c>
      <c r="D863" s="35">
        <f>IF(AND(Scharniere[[#This Row],[Gruppenschlüssel]]=select!$A$44,Scharniere[[#This Row],[Scharnierart]]=1)=TRUE,1,0)</f>
        <v>0</v>
      </c>
      <c r="E8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3" s="35">
        <f>IF(select!$F$57=IF(Scharniere[[#This Row],[mit Dämpfung]]=1,1,IF(Scharniere[[#This Row],[ohne Dämpfung]]=1,2,IF(Scharniere[[#This Row],[ohne Feder]]=1,3,0))),1,0)</f>
        <v>1</v>
      </c>
      <c r="G863" s="35">
        <f>IF(Scharniere[[#This Row],[Bohrbild]]=select!$V$43,1,0)</f>
        <v>0</v>
      </c>
      <c r="H863" s="35">
        <f>IF(IF(Scharniere[[#This Row],[Anschrauben]]=1,1,IF(Scharniere[[#This Row],[Einpressen]]=1,2,IF(Scharniere[[#This Row],[Quick]]=1,3,IF(Scharniere[[#This Row],[Werkzeuglos]]=1,4,0))))=select!$F$48,1,0)</f>
        <v>0</v>
      </c>
      <c r="I8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3" s="149">
        <f>IF(AND(Scharniere[[#This Row],[Scharnierart]]=2,Scharniere[[#This Row],[Gruppenschlüssel]]=select!$A$318)=TRUE,1,0)</f>
        <v>0</v>
      </c>
      <c r="K863" s="221">
        <f ca="1">IF(select!$O$424&lt;6,1,0)</f>
        <v>1</v>
      </c>
      <c r="L863" s="221">
        <f>IF(select!$A$362=IF(Scharniere[[#This Row],[mit Dämpfung]]=1,1,IF(Scharniere[[#This Row],[ohne Dämpfung]]=1,2,IF(Scharniere[[#This Row],[ohne Feder]]=1,3,0))),1,0)</f>
        <v>0</v>
      </c>
      <c r="M863" s="135">
        <f>IF(Scharniere[[#This Row],[Bohrbild]]=select!$O$334,1,0)</f>
        <v>0</v>
      </c>
      <c r="N863" s="135">
        <f>IF(IF(Scharniere[[#This Row],[Anschrauben]]=1,1,IF(Scharniere[[#This Row],[Einpressen]]=1,2,IF(Scharniere[[#This Row],[Quick]]=1,3,IF(Scharniere[[#This Row],[Werkzeuglos]]=1,4,0))))=select!$E$362,1,0)</f>
        <v>1</v>
      </c>
      <c r="O8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3" s="298">
        <f>IF(AND(Scharniere[[#This Row],[Scharnierart]]=3,Scharniere[[#This Row],[Gruppenschlüssel]]=select!$A$747)=TRUE,1,0)</f>
        <v>0</v>
      </c>
      <c r="Q863" s="298">
        <f ca="1">IF(select!$O$945&lt;6,1,0)</f>
        <v>1</v>
      </c>
      <c r="R863" s="298">
        <f>IF(select!$A$778=IF(Scharniere[[#This Row],[mit Dämpfung]]=1,1,IF(Scharniere[[#This Row],[ohne Dämpfung]]=1,2,IF(Scharniere[[#This Row],[ohne Feder]]=1,3,0))),1,0)</f>
        <v>0</v>
      </c>
      <c r="S863" s="298">
        <f>IF(Scharniere[[#This Row],[Bohrbild]]=select!$A$755,1,0)</f>
        <v>0</v>
      </c>
      <c r="T863" s="298">
        <f>IF(IF(Scharniere[[#This Row],[Anschrauben]]=1,1,IF(Scharniere[[#This Row],[Einpressen]]=1,2,IF(Scharniere[[#This Row],[Quick]]=1,3,IF(Scharniere[[#This Row],[Werkzeuglos]]=1,4,0))))=select!$A$769,1,0)</f>
        <v>1</v>
      </c>
      <c r="U8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3" s="359">
        <f>IF(AND(Scharniere[[#This Row],[Scharnierart]]=4,Scharniere[[#This Row],[Gruppenschlüssel]]=select!$A$981)=TRUE,1,0)</f>
        <v>0</v>
      </c>
      <c r="W863" s="359">
        <f ca="1">IF(select!$O$1185&lt;6,1,0)</f>
        <v>1</v>
      </c>
      <c r="X863" s="359">
        <f>IF(select!$A$1012=IF(Scharniere[[#This Row],[mit Dämpfung]]=1,1,IF(Scharniere[[#This Row],[ohne Dämpfung]]=1,2,IF(Scharniere[[#This Row],[ohne Feder]]=1,3,0))),1,0)</f>
        <v>0</v>
      </c>
      <c r="Y863" s="359">
        <f>IF(Scharniere[[#This Row],[Bohrbild]]=select!$A$989,1,0)</f>
        <v>0</v>
      </c>
      <c r="Z863" s="359">
        <f>IF(IF(Scharniere[[#This Row],[Anschrauben]]=1,1,IF(Scharniere[[#This Row],[Einpressen]]=1,2,IF(Scharniere[[#This Row],[Quick]]=1,3,IF(Scharniere[[#This Row],[Werkzeuglos]]=1,4,0))))=select!$A$1003,1,0)</f>
        <v>1</v>
      </c>
      <c r="AA8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3" s="359">
        <f ca="1">IF(select!$K$980="*",Scharniere[[#This Row],[AG Ges2]],Scharniere[[#This Row],[AG Ges1]])</f>
        <v>0</v>
      </c>
      <c r="AE863" s="451">
        <f ca="1">IF(AND(Scharniere[[#This Row],[Scharnierart]]=select!$A$1485,Scharniere[[#This Row],[Gruppenschlüssel]]=select!$B$1485)=TRUE,1,0)</f>
        <v>0</v>
      </c>
      <c r="AF863" s="451">
        <f ca="1">IF(AND(Scharniere[[#This Row],[Scharnierart]]=select!$A$1486,Scharniere[[#This Row],[Gruppenschlüssel]]=select!$B$1486)=TRUE,1,0)</f>
        <v>0</v>
      </c>
      <c r="AG863" s="451">
        <f ca="1">IF(AND(Scharniere[[#This Row],[Scharnierart]]=select!$A$1487,Scharniere[[#This Row],[Gruppenschlüssel]]=select!$B$1487)=TRUE,1,0)</f>
        <v>0</v>
      </c>
      <c r="AH863" s="451">
        <f ca="1">IF(AND(Scharniere[[#This Row],[Scharnierart]]=select!$A$1488,Scharniere[[#This Row],[Gruppenschlüssel]]=select!$B$1488)=TRUE,1,0)</f>
        <v>0</v>
      </c>
      <c r="AI863" s="451">
        <f ca="1">IF(SUM(Scharniere[[#This Row],[konf Scharnier 1]:[konf Scharnier 4]])&gt;0,1,0)</f>
        <v>0</v>
      </c>
      <c r="AJ863" s="451"/>
      <c r="AK863" s="451"/>
      <c r="AL863" s="451"/>
      <c r="AM863" s="451"/>
      <c r="AN863" s="451"/>
      <c r="AO863" s="146">
        <v>2</v>
      </c>
      <c r="AP863" s="146">
        <v>5</v>
      </c>
      <c r="AQ863" s="71" t="str">
        <f ca="1">Sprache!$A$114</f>
        <v>Tiomos Scharnier TT Click-on</v>
      </c>
      <c r="AR863" t="str">
        <f ca="1">"110/37°, H-BB, "&amp;Sprache!$A$58&amp;" ni"</f>
        <v>110/37°, H-BB, aufl. ni</v>
      </c>
      <c r="AS863" t="str">
        <f ca="1">Sprache!$A$103</f>
        <v>Tiomos Click-On Scharniere</v>
      </c>
      <c r="AT863" t="s">
        <v>1264</v>
      </c>
      <c r="AU863" s="34" t="s">
        <v>10</v>
      </c>
      <c r="AV863" t="s">
        <v>1489</v>
      </c>
      <c r="AW863" s="71">
        <v>0</v>
      </c>
      <c r="AX863">
        <v>0</v>
      </c>
      <c r="AY863">
        <v>1</v>
      </c>
      <c r="AZ863" s="71">
        <v>1</v>
      </c>
      <c r="BA863">
        <v>0</v>
      </c>
      <c r="BB863">
        <v>0</v>
      </c>
      <c r="BC863">
        <v>0</v>
      </c>
      <c r="BD863" s="144" t="s">
        <v>1727</v>
      </c>
      <c r="BF863" s="10"/>
      <c r="BG863"/>
    </row>
    <row r="864" spans="1:59" ht="14.25" customHeight="1" x14ac:dyDescent="0.25">
      <c r="A864" s="37" t="str">
        <f>LEFT(Scharniere[[#This Row],[ArtikelNR]],4)</f>
        <v>F017</v>
      </c>
      <c r="B864" s="35" t="str">
        <f>MID(Scharniere[[#This Row],[ArtikelNR]],5,3)</f>
        <v>139</v>
      </c>
      <c r="C864" s="37" t="str">
        <f>RIGHT(Scharniere[[#This Row],[ArtikelNR]],3)</f>
        <v>507</v>
      </c>
      <c r="D864" s="35">
        <f>IF(AND(Scharniere[[#This Row],[Gruppenschlüssel]]=select!$A$44,Scharniere[[#This Row],[Scharnierart]]=1)=TRUE,1,0)</f>
        <v>0</v>
      </c>
      <c r="E8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4" s="35">
        <f>IF(select!$F$57=IF(Scharniere[[#This Row],[mit Dämpfung]]=1,1,IF(Scharniere[[#This Row],[ohne Dämpfung]]=1,2,IF(Scharniere[[#This Row],[ohne Feder]]=1,3,0))),1,0)</f>
        <v>0</v>
      </c>
      <c r="G864" s="35">
        <f>IF(Scharniere[[#This Row],[Bohrbild]]=select!$V$43,1,0)</f>
        <v>0</v>
      </c>
      <c r="H864" s="35">
        <f>IF(IF(Scharniere[[#This Row],[Anschrauben]]=1,1,IF(Scharniere[[#This Row],[Einpressen]]=1,2,IF(Scharniere[[#This Row],[Quick]]=1,3,IF(Scharniere[[#This Row],[Werkzeuglos]]=1,4,0))))=select!$F$48,1,0)</f>
        <v>0</v>
      </c>
      <c r="I8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4" s="149">
        <f>IF(AND(Scharniere[[#This Row],[Scharnierart]]=2,Scharniere[[#This Row],[Gruppenschlüssel]]=select!$A$318)=TRUE,1,0)</f>
        <v>0</v>
      </c>
      <c r="K864" s="221">
        <f ca="1">IF(select!$O$424&lt;6,1,0)</f>
        <v>1</v>
      </c>
      <c r="L864" s="221">
        <f>IF(select!$A$362=IF(Scharniere[[#This Row],[mit Dämpfung]]=1,1,IF(Scharniere[[#This Row],[ohne Dämpfung]]=1,2,IF(Scharniere[[#This Row],[ohne Feder]]=1,3,0))),1,0)</f>
        <v>1</v>
      </c>
      <c r="M864" s="135">
        <f>IF(Scharniere[[#This Row],[Bohrbild]]=select!$O$334,1,0)</f>
        <v>0</v>
      </c>
      <c r="N864" s="135">
        <f>IF(IF(Scharniere[[#This Row],[Anschrauben]]=1,1,IF(Scharniere[[#This Row],[Einpressen]]=1,2,IF(Scharniere[[#This Row],[Quick]]=1,3,IF(Scharniere[[#This Row],[Werkzeuglos]]=1,4,0))))=select!$E$362,1,0)</f>
        <v>0</v>
      </c>
      <c r="O8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4" s="298">
        <f>IF(AND(Scharniere[[#This Row],[Scharnierart]]=3,Scharniere[[#This Row],[Gruppenschlüssel]]=select!$A$747)=TRUE,1,0)</f>
        <v>0</v>
      </c>
      <c r="Q864" s="298">
        <f ca="1">IF(select!$O$945&lt;6,1,0)</f>
        <v>1</v>
      </c>
      <c r="R864" s="298">
        <f>IF(select!$A$778=IF(Scharniere[[#This Row],[mit Dämpfung]]=1,1,IF(Scharniere[[#This Row],[ohne Dämpfung]]=1,2,IF(Scharniere[[#This Row],[ohne Feder]]=1,3,0))),1,0)</f>
        <v>0</v>
      </c>
      <c r="S864" s="298">
        <f>IF(Scharniere[[#This Row],[Bohrbild]]=select!$A$755,1,0)</f>
        <v>0</v>
      </c>
      <c r="T864" s="298">
        <f>IF(IF(Scharniere[[#This Row],[Anschrauben]]=1,1,IF(Scharniere[[#This Row],[Einpressen]]=1,2,IF(Scharniere[[#This Row],[Quick]]=1,3,IF(Scharniere[[#This Row],[Werkzeuglos]]=1,4,0))))=select!$A$769,1,0)</f>
        <v>0</v>
      </c>
      <c r="U8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4" s="359">
        <f>IF(AND(Scharniere[[#This Row],[Scharnierart]]=4,Scharniere[[#This Row],[Gruppenschlüssel]]=select!$A$981)=TRUE,1,0)</f>
        <v>0</v>
      </c>
      <c r="W864" s="359">
        <f ca="1">IF(select!$O$1185&lt;6,1,0)</f>
        <v>1</v>
      </c>
      <c r="X864" s="359">
        <f>IF(select!$A$1012=IF(Scharniere[[#This Row],[mit Dämpfung]]=1,1,IF(Scharniere[[#This Row],[ohne Dämpfung]]=1,2,IF(Scharniere[[#This Row],[ohne Feder]]=1,3,0))),1,0)</f>
        <v>0</v>
      </c>
      <c r="Y864" s="359">
        <f>IF(Scharniere[[#This Row],[Bohrbild]]=select!$A$989,1,0)</f>
        <v>0</v>
      </c>
      <c r="Z864" s="359">
        <f>IF(IF(Scharniere[[#This Row],[Anschrauben]]=1,1,IF(Scharniere[[#This Row],[Einpressen]]=1,2,IF(Scharniere[[#This Row],[Quick]]=1,3,IF(Scharniere[[#This Row],[Werkzeuglos]]=1,4,0))))=select!$A$1003,1,0)</f>
        <v>0</v>
      </c>
      <c r="AA8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4" s="359">
        <f ca="1">IF(select!$K$980="*",Scharniere[[#This Row],[AG Ges2]],Scharniere[[#This Row],[AG Ges1]])</f>
        <v>0</v>
      </c>
      <c r="AE864" s="451">
        <f ca="1">IF(AND(Scharniere[[#This Row],[Scharnierart]]=select!$A$1485,Scharniere[[#This Row],[Gruppenschlüssel]]=select!$B$1485)=TRUE,1,0)</f>
        <v>0</v>
      </c>
      <c r="AF864" s="451">
        <f ca="1">IF(AND(Scharniere[[#This Row],[Scharnierart]]=select!$A$1486,Scharniere[[#This Row],[Gruppenschlüssel]]=select!$B$1486)=TRUE,1,0)</f>
        <v>0</v>
      </c>
      <c r="AG864" s="451">
        <f ca="1">IF(AND(Scharniere[[#This Row],[Scharnierart]]=select!$A$1487,Scharniere[[#This Row],[Gruppenschlüssel]]=select!$B$1487)=TRUE,1,0)</f>
        <v>0</v>
      </c>
      <c r="AH864" s="451">
        <f ca="1">IF(AND(Scharniere[[#This Row],[Scharnierart]]=select!$A$1488,Scharniere[[#This Row],[Gruppenschlüssel]]=select!$B$1488)=TRUE,1,0)</f>
        <v>0</v>
      </c>
      <c r="AI864" s="451">
        <f ca="1">IF(SUM(Scharniere[[#This Row],[konf Scharnier 1]:[konf Scharnier 4]])&gt;0,1,0)</f>
        <v>0</v>
      </c>
      <c r="AJ864" s="451"/>
      <c r="AK864" s="451"/>
      <c r="AL864" s="451"/>
      <c r="AM864" s="451"/>
      <c r="AN864" s="451"/>
      <c r="AO864" s="146">
        <v>2</v>
      </c>
      <c r="AP864" s="146">
        <v>5</v>
      </c>
      <c r="AQ864" s="71" t="str">
        <f ca="1">Sprache!$A$113</f>
        <v>Tiomos Scharnier TS Impresso</v>
      </c>
      <c r="AR864" t="str">
        <f ca="1">"110/37°, HS-BB, "&amp;Sprache!$A$58&amp;" ni"</f>
        <v>110/37°, HS-BB, aufl. ni</v>
      </c>
      <c r="AS864" t="str">
        <f ca="1">Sprache!$A$116</f>
        <v>Tiomos Impresso Scharniere</v>
      </c>
      <c r="AT864" t="s">
        <v>1264</v>
      </c>
      <c r="AU864" t="s">
        <v>10</v>
      </c>
      <c r="AV864" t="s">
        <v>1489</v>
      </c>
      <c r="AW864" s="71">
        <v>1</v>
      </c>
      <c r="AX864">
        <v>0</v>
      </c>
      <c r="AY864">
        <v>0</v>
      </c>
      <c r="AZ864" s="71">
        <v>0</v>
      </c>
      <c r="BA864">
        <v>0</v>
      </c>
      <c r="BB864">
        <v>0</v>
      </c>
      <c r="BC864">
        <v>1</v>
      </c>
      <c r="BD864" s="144" t="s">
        <v>1591</v>
      </c>
      <c r="BF864" s="10"/>
      <c r="BG864"/>
    </row>
    <row r="865" spans="1:59" ht="14.25" customHeight="1" x14ac:dyDescent="0.25">
      <c r="A865" s="37" t="str">
        <f>LEFT(Scharniere[[#This Row],[ArtikelNR]],4)</f>
        <v>F017</v>
      </c>
      <c r="B865" s="35" t="str">
        <f>MID(Scharniere[[#This Row],[ArtikelNR]],5,3)</f>
        <v>139</v>
      </c>
      <c r="C865" s="37" t="str">
        <f>RIGHT(Scharniere[[#This Row],[ArtikelNR]],3)</f>
        <v>507</v>
      </c>
      <c r="D865" s="35">
        <f>IF(AND(Scharniere[[#This Row],[Gruppenschlüssel]]=select!$A$44,Scharniere[[#This Row],[Scharnierart]]=1)=TRUE,1,0)</f>
        <v>0</v>
      </c>
      <c r="E8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5" s="35">
        <f>IF(select!$F$57=IF(Scharniere[[#This Row],[mit Dämpfung]]=1,1,IF(Scharniere[[#This Row],[ohne Dämpfung]]=1,2,IF(Scharniere[[#This Row],[ohne Feder]]=1,3,0))),1,0)</f>
        <v>0</v>
      </c>
      <c r="G865" s="35">
        <f>IF(Scharniere[[#This Row],[Bohrbild]]=select!$V$43,1,0)</f>
        <v>0</v>
      </c>
      <c r="H865" s="35">
        <f>IF(IF(Scharniere[[#This Row],[Anschrauben]]=1,1,IF(Scharniere[[#This Row],[Einpressen]]=1,2,IF(Scharniere[[#This Row],[Quick]]=1,3,IF(Scharniere[[#This Row],[Werkzeuglos]]=1,4,0))))=select!$F$48,1,0)</f>
        <v>0</v>
      </c>
      <c r="I8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5" s="149">
        <f>IF(AND(Scharniere[[#This Row],[Scharnierart]]=2,Scharniere[[#This Row],[Gruppenschlüssel]]=select!$A$318)=TRUE,1,0)</f>
        <v>0</v>
      </c>
      <c r="K865" s="221">
        <f ca="1">IF(select!$O$424&lt;6,1,0)</f>
        <v>1</v>
      </c>
      <c r="L865" s="221">
        <f>IF(select!$A$362=IF(Scharniere[[#This Row],[mit Dämpfung]]=1,1,IF(Scharniere[[#This Row],[ohne Dämpfung]]=1,2,IF(Scharniere[[#This Row],[ohne Feder]]=1,3,0))),1,0)</f>
        <v>1</v>
      </c>
      <c r="M865" s="135">
        <f>IF(Scharniere[[#This Row],[Bohrbild]]=select!$O$334,1,0)</f>
        <v>0</v>
      </c>
      <c r="N865" s="135">
        <f>IF(IF(Scharniere[[#This Row],[Anschrauben]]=1,1,IF(Scharniere[[#This Row],[Einpressen]]=1,2,IF(Scharniere[[#This Row],[Quick]]=1,3,IF(Scharniere[[#This Row],[Werkzeuglos]]=1,4,0))))=select!$E$362,1,0)</f>
        <v>0</v>
      </c>
      <c r="O8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5" s="298">
        <f>IF(AND(Scharniere[[#This Row],[Scharnierart]]=3,Scharniere[[#This Row],[Gruppenschlüssel]]=select!$A$747)=TRUE,1,0)</f>
        <v>0</v>
      </c>
      <c r="Q865" s="298">
        <f ca="1">IF(select!$O$945&lt;6,1,0)</f>
        <v>1</v>
      </c>
      <c r="R865" s="298">
        <f>IF(select!$A$778=IF(Scharniere[[#This Row],[mit Dämpfung]]=1,1,IF(Scharniere[[#This Row],[ohne Dämpfung]]=1,2,IF(Scharniere[[#This Row],[ohne Feder]]=1,3,0))),1,0)</f>
        <v>0</v>
      </c>
      <c r="S865" s="298">
        <f>IF(Scharniere[[#This Row],[Bohrbild]]=select!$A$755,1,0)</f>
        <v>0</v>
      </c>
      <c r="T865" s="298">
        <f>IF(IF(Scharniere[[#This Row],[Anschrauben]]=1,1,IF(Scharniere[[#This Row],[Einpressen]]=1,2,IF(Scharniere[[#This Row],[Quick]]=1,3,IF(Scharniere[[#This Row],[Werkzeuglos]]=1,4,0))))=select!$A$769,1,0)</f>
        <v>0</v>
      </c>
      <c r="U8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5" s="359">
        <f>IF(AND(Scharniere[[#This Row],[Scharnierart]]=4,Scharniere[[#This Row],[Gruppenschlüssel]]=select!$A$981)=TRUE,1,0)</f>
        <v>0</v>
      </c>
      <c r="W865" s="359">
        <f ca="1">IF(select!$O$1185&lt;6,1,0)</f>
        <v>1</v>
      </c>
      <c r="X865" s="359">
        <f>IF(select!$A$1012=IF(Scharniere[[#This Row],[mit Dämpfung]]=1,1,IF(Scharniere[[#This Row],[ohne Dämpfung]]=1,2,IF(Scharniere[[#This Row],[ohne Feder]]=1,3,0))),1,0)</f>
        <v>0</v>
      </c>
      <c r="Y865" s="359">
        <f>IF(Scharniere[[#This Row],[Bohrbild]]=select!$A$989,1,0)</f>
        <v>0</v>
      </c>
      <c r="Z865" s="359">
        <f>IF(IF(Scharniere[[#This Row],[Anschrauben]]=1,1,IF(Scharniere[[#This Row],[Einpressen]]=1,2,IF(Scharniere[[#This Row],[Quick]]=1,3,IF(Scharniere[[#This Row],[Werkzeuglos]]=1,4,0))))=select!$A$1003,1,0)</f>
        <v>0</v>
      </c>
      <c r="AA8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5" s="359">
        <f ca="1">IF(select!$K$980="*",Scharniere[[#This Row],[AG Ges2]],Scharniere[[#This Row],[AG Ges1]])</f>
        <v>0</v>
      </c>
      <c r="AE865" s="451">
        <f ca="1">IF(AND(Scharniere[[#This Row],[Scharnierart]]=select!$A$1485,Scharniere[[#This Row],[Gruppenschlüssel]]=select!$B$1485)=TRUE,1,0)</f>
        <v>0</v>
      </c>
      <c r="AF865" s="451">
        <f ca="1">IF(AND(Scharniere[[#This Row],[Scharnierart]]=select!$A$1486,Scharniere[[#This Row],[Gruppenschlüssel]]=select!$B$1486)=TRUE,1,0)</f>
        <v>0</v>
      </c>
      <c r="AG865" s="451">
        <f ca="1">IF(AND(Scharniere[[#This Row],[Scharnierart]]=select!$A$1487,Scharniere[[#This Row],[Gruppenschlüssel]]=select!$B$1487)=TRUE,1,0)</f>
        <v>0</v>
      </c>
      <c r="AH865" s="451">
        <f ca="1">IF(AND(Scharniere[[#This Row],[Scharnierart]]=select!$A$1488,Scharniere[[#This Row],[Gruppenschlüssel]]=select!$B$1488)=TRUE,1,0)</f>
        <v>0</v>
      </c>
      <c r="AI865" s="451">
        <f ca="1">IF(SUM(Scharniere[[#This Row],[konf Scharnier 1]:[konf Scharnier 4]])&gt;0,1,0)</f>
        <v>0</v>
      </c>
      <c r="AJ865" s="451"/>
      <c r="AK865" s="451"/>
      <c r="AL865" s="451"/>
      <c r="AM865" s="451"/>
      <c r="AN865" s="451"/>
      <c r="AO865" s="146">
        <v>2</v>
      </c>
      <c r="AP865" s="146">
        <v>5</v>
      </c>
      <c r="AQ865" s="71" t="str">
        <f ca="1">Sprache!$A$113</f>
        <v>Tiomos Scharnier TS Impresso</v>
      </c>
      <c r="AR865" t="str">
        <f ca="1">"110/37°, HS-BB, "&amp;Sprache!$A$58&amp;" ni"</f>
        <v>110/37°, HS-BB, aufl. ni</v>
      </c>
      <c r="AS865" t="str">
        <f ca="1">Sprache!$A$116</f>
        <v>Tiomos Impresso Scharniere</v>
      </c>
      <c r="AT865" t="s">
        <v>1264</v>
      </c>
      <c r="AU865" t="s">
        <v>11</v>
      </c>
      <c r="AV865" t="s">
        <v>1489</v>
      </c>
      <c r="AW865" s="71">
        <v>1</v>
      </c>
      <c r="AX865">
        <v>0</v>
      </c>
      <c r="AY865">
        <v>0</v>
      </c>
      <c r="AZ865" s="71">
        <v>0</v>
      </c>
      <c r="BA865">
        <v>0</v>
      </c>
      <c r="BB865">
        <v>0</v>
      </c>
      <c r="BC865">
        <v>1</v>
      </c>
      <c r="BD865" s="144" t="s">
        <v>1591</v>
      </c>
      <c r="BF865" s="10"/>
      <c r="BG865"/>
    </row>
    <row r="866" spans="1:59" ht="14.25" customHeight="1" x14ac:dyDescent="0.25">
      <c r="A866" s="37" t="str">
        <f>LEFT(Scharniere[[#This Row],[ArtikelNR]],4)</f>
        <v>F034</v>
      </c>
      <c r="B866" s="35" t="str">
        <f>MID(Scharniere[[#This Row],[ArtikelNR]],5,3)</f>
        <v>139</v>
      </c>
      <c r="C866" s="37" t="str">
        <f>RIGHT(Scharniere[[#This Row],[ArtikelNR]],3)</f>
        <v>478</v>
      </c>
      <c r="D866" s="35">
        <f>IF(AND(Scharniere[[#This Row],[Gruppenschlüssel]]=select!$A$44,Scharniere[[#This Row],[Scharnierart]]=1)=TRUE,1,0)</f>
        <v>0</v>
      </c>
      <c r="E8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6" s="35">
        <f>IF(select!$F$57=IF(Scharniere[[#This Row],[mit Dämpfung]]=1,1,IF(Scharniere[[#This Row],[ohne Dämpfung]]=1,2,IF(Scharniere[[#This Row],[ohne Feder]]=1,3,0))),1,0)</f>
        <v>0</v>
      </c>
      <c r="G866" s="35">
        <f>IF(Scharniere[[#This Row],[Bohrbild]]=select!$V$43,1,0)</f>
        <v>0</v>
      </c>
      <c r="H866" s="35">
        <f>IF(IF(Scharniere[[#This Row],[Anschrauben]]=1,1,IF(Scharniere[[#This Row],[Einpressen]]=1,2,IF(Scharniere[[#This Row],[Quick]]=1,3,IF(Scharniere[[#This Row],[Werkzeuglos]]=1,4,0))))=select!$F$48,1,0)</f>
        <v>0</v>
      </c>
      <c r="I8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6" s="149">
        <f>IF(AND(Scharniere[[#This Row],[Scharnierart]]=2,Scharniere[[#This Row],[Gruppenschlüssel]]=select!$A$318)=TRUE,1,0)</f>
        <v>0</v>
      </c>
      <c r="K866" s="221">
        <f ca="1">IF(select!$O$424&lt;6,1,0)</f>
        <v>1</v>
      </c>
      <c r="L866" s="221">
        <f>IF(select!$A$362=IF(Scharniere[[#This Row],[mit Dämpfung]]=1,1,IF(Scharniere[[#This Row],[ohne Dämpfung]]=1,2,IF(Scharniere[[#This Row],[ohne Feder]]=1,3,0))),1,0)</f>
        <v>0</v>
      </c>
      <c r="M866" s="135">
        <f>IF(Scharniere[[#This Row],[Bohrbild]]=select!$O$334,1,0)</f>
        <v>0</v>
      </c>
      <c r="N866" s="135">
        <f>IF(IF(Scharniere[[#This Row],[Anschrauben]]=1,1,IF(Scharniere[[#This Row],[Einpressen]]=1,2,IF(Scharniere[[#This Row],[Quick]]=1,3,IF(Scharniere[[#This Row],[Werkzeuglos]]=1,4,0))))=select!$E$362,1,0)</f>
        <v>0</v>
      </c>
      <c r="O8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6" s="298">
        <f>IF(AND(Scharniere[[#This Row],[Scharnierart]]=3,Scharniere[[#This Row],[Gruppenschlüssel]]=select!$A$747)=TRUE,1,0)</f>
        <v>0</v>
      </c>
      <c r="Q866" s="298">
        <f ca="1">IF(select!$O$945&lt;6,1,0)</f>
        <v>1</v>
      </c>
      <c r="R866" s="298">
        <f>IF(select!$A$778=IF(Scharniere[[#This Row],[mit Dämpfung]]=1,1,IF(Scharniere[[#This Row],[ohne Dämpfung]]=1,2,IF(Scharniere[[#This Row],[ohne Feder]]=1,3,0))),1,0)</f>
        <v>1</v>
      </c>
      <c r="S866" s="298">
        <f>IF(Scharniere[[#This Row],[Bohrbild]]=select!$A$755,1,0)</f>
        <v>0</v>
      </c>
      <c r="T866" s="298">
        <f>IF(IF(Scharniere[[#This Row],[Anschrauben]]=1,1,IF(Scharniere[[#This Row],[Einpressen]]=1,2,IF(Scharniere[[#This Row],[Quick]]=1,3,IF(Scharniere[[#This Row],[Werkzeuglos]]=1,4,0))))=select!$A$769,1,0)</f>
        <v>0</v>
      </c>
      <c r="U8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6" s="359">
        <f>IF(AND(Scharniere[[#This Row],[Scharnierart]]=4,Scharniere[[#This Row],[Gruppenschlüssel]]=select!$A$981)=TRUE,1,0)</f>
        <v>0</v>
      </c>
      <c r="W866" s="359">
        <f ca="1">IF(select!$O$1185&lt;6,1,0)</f>
        <v>1</v>
      </c>
      <c r="X866" s="359">
        <f>IF(select!$A$1012=IF(Scharniere[[#This Row],[mit Dämpfung]]=1,1,IF(Scharniere[[#This Row],[ohne Dämpfung]]=1,2,IF(Scharniere[[#This Row],[ohne Feder]]=1,3,0))),1,0)</f>
        <v>1</v>
      </c>
      <c r="Y866" s="359">
        <f>IF(Scharniere[[#This Row],[Bohrbild]]=select!$A$989,1,0)</f>
        <v>0</v>
      </c>
      <c r="Z866" s="359">
        <f>IF(IF(Scharniere[[#This Row],[Anschrauben]]=1,1,IF(Scharniere[[#This Row],[Einpressen]]=1,2,IF(Scharniere[[#This Row],[Quick]]=1,3,IF(Scharniere[[#This Row],[Werkzeuglos]]=1,4,0))))=select!$A$1003,1,0)</f>
        <v>0</v>
      </c>
      <c r="AA8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6" s="359">
        <f ca="1">IF(select!$K$980="*",Scharniere[[#This Row],[AG Ges2]],Scharniere[[#This Row],[AG Ges1]])</f>
        <v>0</v>
      </c>
      <c r="AE866" s="451">
        <f ca="1">IF(AND(Scharniere[[#This Row],[Scharnierart]]=select!$A$1485,Scharniere[[#This Row],[Gruppenschlüssel]]=select!$B$1485)=TRUE,1,0)</f>
        <v>0</v>
      </c>
      <c r="AF866" s="451">
        <f ca="1">IF(AND(Scharniere[[#This Row],[Scharnierart]]=select!$A$1486,Scharniere[[#This Row],[Gruppenschlüssel]]=select!$B$1486)=TRUE,1,0)</f>
        <v>0</v>
      </c>
      <c r="AG866" s="451">
        <f ca="1">IF(AND(Scharniere[[#This Row],[Scharnierart]]=select!$A$1487,Scharniere[[#This Row],[Gruppenschlüssel]]=select!$B$1487)=TRUE,1,0)</f>
        <v>0</v>
      </c>
      <c r="AH866" s="451">
        <f ca="1">IF(AND(Scharniere[[#This Row],[Scharnierart]]=select!$A$1488,Scharniere[[#This Row],[Gruppenschlüssel]]=select!$B$1488)=TRUE,1,0)</f>
        <v>0</v>
      </c>
      <c r="AI866" s="451">
        <f ca="1">IF(SUM(Scharniere[[#This Row],[konf Scharnier 1]:[konf Scharnier 4]])&gt;0,1,0)</f>
        <v>0</v>
      </c>
      <c r="AJ866" s="451"/>
      <c r="AK866" s="451"/>
      <c r="AL866" s="451"/>
      <c r="AM866" s="451"/>
      <c r="AN866" s="451"/>
      <c r="AO866" s="146">
        <v>2</v>
      </c>
      <c r="AP866" s="146">
        <v>5</v>
      </c>
      <c r="AQ866" s="71" t="str">
        <f ca="1">Sprache!$A$119</f>
        <v>Tiomos Scharnier T Impresso</v>
      </c>
      <c r="AR866" t="str">
        <f ca="1">"110/37°, HS-BB, "&amp;Sprache!$A$58&amp;" ni"</f>
        <v>110/37°, HS-BB, aufl. ni</v>
      </c>
      <c r="AS866" t="str">
        <f ca="1">Sprache!$A$103</f>
        <v>Tiomos Click-On Scharniere</v>
      </c>
      <c r="AT866" t="s">
        <v>1264</v>
      </c>
      <c r="AU866" t="s">
        <v>10</v>
      </c>
      <c r="AV866" t="s">
        <v>1489</v>
      </c>
      <c r="AW866" s="71">
        <v>0</v>
      </c>
      <c r="AX866">
        <v>1</v>
      </c>
      <c r="AY866">
        <v>0</v>
      </c>
      <c r="AZ866" s="71">
        <v>0</v>
      </c>
      <c r="BA866">
        <v>0</v>
      </c>
      <c r="BB866">
        <v>0</v>
      </c>
      <c r="BC866">
        <v>1</v>
      </c>
      <c r="BD866" s="144" t="s">
        <v>1769</v>
      </c>
      <c r="BF866" s="10"/>
      <c r="BG866"/>
    </row>
    <row r="867" spans="1:59" ht="14.25" customHeight="1" x14ac:dyDescent="0.25">
      <c r="A867" s="37" t="str">
        <f>LEFT(Scharniere[[#This Row],[ArtikelNR]],4)</f>
        <v>F034</v>
      </c>
      <c r="B867" s="35" t="str">
        <f>MID(Scharniere[[#This Row],[ArtikelNR]],5,3)</f>
        <v>139</v>
      </c>
      <c r="C867" s="37" t="str">
        <f>RIGHT(Scharniere[[#This Row],[ArtikelNR]],3)</f>
        <v>478</v>
      </c>
      <c r="D867" s="35">
        <f>IF(AND(Scharniere[[#This Row],[Gruppenschlüssel]]=select!$A$44,Scharniere[[#This Row],[Scharnierart]]=1)=TRUE,1,0)</f>
        <v>0</v>
      </c>
      <c r="E8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7" s="35">
        <f>IF(select!$F$57=IF(Scharniere[[#This Row],[mit Dämpfung]]=1,1,IF(Scharniere[[#This Row],[ohne Dämpfung]]=1,2,IF(Scharniere[[#This Row],[ohne Feder]]=1,3,0))),1,0)</f>
        <v>0</v>
      </c>
      <c r="G867" s="35">
        <f>IF(Scharniere[[#This Row],[Bohrbild]]=select!$V$43,1,0)</f>
        <v>0</v>
      </c>
      <c r="H867" s="35">
        <f>IF(IF(Scharniere[[#This Row],[Anschrauben]]=1,1,IF(Scharniere[[#This Row],[Einpressen]]=1,2,IF(Scharniere[[#This Row],[Quick]]=1,3,IF(Scharniere[[#This Row],[Werkzeuglos]]=1,4,0))))=select!$F$48,1,0)</f>
        <v>0</v>
      </c>
      <c r="I8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7" s="149">
        <f>IF(AND(Scharniere[[#This Row],[Scharnierart]]=2,Scharniere[[#This Row],[Gruppenschlüssel]]=select!$A$318)=TRUE,1,0)</f>
        <v>0</v>
      </c>
      <c r="K867" s="221">
        <f ca="1">IF(select!$O$424&lt;6,1,0)</f>
        <v>1</v>
      </c>
      <c r="L867" s="221">
        <f>IF(select!$A$362=IF(Scharniere[[#This Row],[mit Dämpfung]]=1,1,IF(Scharniere[[#This Row],[ohne Dämpfung]]=1,2,IF(Scharniere[[#This Row],[ohne Feder]]=1,3,0))),1,0)</f>
        <v>0</v>
      </c>
      <c r="M867" s="135">
        <f>IF(Scharniere[[#This Row],[Bohrbild]]=select!$O$334,1,0)</f>
        <v>0</v>
      </c>
      <c r="N867" s="135">
        <f>IF(IF(Scharniere[[#This Row],[Anschrauben]]=1,1,IF(Scharniere[[#This Row],[Einpressen]]=1,2,IF(Scharniere[[#This Row],[Quick]]=1,3,IF(Scharniere[[#This Row],[Werkzeuglos]]=1,4,0))))=select!$E$362,1,0)</f>
        <v>0</v>
      </c>
      <c r="O8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7" s="298">
        <f>IF(AND(Scharniere[[#This Row],[Scharnierart]]=3,Scharniere[[#This Row],[Gruppenschlüssel]]=select!$A$747)=TRUE,1,0)</f>
        <v>0</v>
      </c>
      <c r="Q867" s="298">
        <f ca="1">IF(select!$O$945&lt;6,1,0)</f>
        <v>1</v>
      </c>
      <c r="R867" s="298">
        <f>IF(select!$A$778=IF(Scharniere[[#This Row],[mit Dämpfung]]=1,1,IF(Scharniere[[#This Row],[ohne Dämpfung]]=1,2,IF(Scharniere[[#This Row],[ohne Feder]]=1,3,0))),1,0)</f>
        <v>1</v>
      </c>
      <c r="S867" s="298">
        <f>IF(Scharniere[[#This Row],[Bohrbild]]=select!$A$755,1,0)</f>
        <v>0</v>
      </c>
      <c r="T867" s="298">
        <f>IF(IF(Scharniere[[#This Row],[Anschrauben]]=1,1,IF(Scharniere[[#This Row],[Einpressen]]=1,2,IF(Scharniere[[#This Row],[Quick]]=1,3,IF(Scharniere[[#This Row],[Werkzeuglos]]=1,4,0))))=select!$A$769,1,0)</f>
        <v>0</v>
      </c>
      <c r="U8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7" s="359">
        <f>IF(AND(Scharniere[[#This Row],[Scharnierart]]=4,Scharniere[[#This Row],[Gruppenschlüssel]]=select!$A$981)=TRUE,1,0)</f>
        <v>0</v>
      </c>
      <c r="W867" s="359">
        <f ca="1">IF(select!$O$1185&lt;6,1,0)</f>
        <v>1</v>
      </c>
      <c r="X867" s="359">
        <f>IF(select!$A$1012=IF(Scharniere[[#This Row],[mit Dämpfung]]=1,1,IF(Scharniere[[#This Row],[ohne Dämpfung]]=1,2,IF(Scharniere[[#This Row],[ohne Feder]]=1,3,0))),1,0)</f>
        <v>1</v>
      </c>
      <c r="Y867" s="359">
        <f>IF(Scharniere[[#This Row],[Bohrbild]]=select!$A$989,1,0)</f>
        <v>0</v>
      </c>
      <c r="Z867" s="359">
        <f>IF(IF(Scharniere[[#This Row],[Anschrauben]]=1,1,IF(Scharniere[[#This Row],[Einpressen]]=1,2,IF(Scharniere[[#This Row],[Quick]]=1,3,IF(Scharniere[[#This Row],[Werkzeuglos]]=1,4,0))))=select!$A$1003,1,0)</f>
        <v>0</v>
      </c>
      <c r="AA8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7" s="359">
        <f ca="1">IF(select!$K$980="*",Scharniere[[#This Row],[AG Ges2]],Scharniere[[#This Row],[AG Ges1]])</f>
        <v>0</v>
      </c>
      <c r="AE867" s="451">
        <f ca="1">IF(AND(Scharniere[[#This Row],[Scharnierart]]=select!$A$1485,Scharniere[[#This Row],[Gruppenschlüssel]]=select!$B$1485)=TRUE,1,0)</f>
        <v>0</v>
      </c>
      <c r="AF867" s="451">
        <f ca="1">IF(AND(Scharniere[[#This Row],[Scharnierart]]=select!$A$1486,Scharniere[[#This Row],[Gruppenschlüssel]]=select!$B$1486)=TRUE,1,0)</f>
        <v>0</v>
      </c>
      <c r="AG867" s="451">
        <f ca="1">IF(AND(Scharniere[[#This Row],[Scharnierart]]=select!$A$1487,Scharniere[[#This Row],[Gruppenschlüssel]]=select!$B$1487)=TRUE,1,0)</f>
        <v>0</v>
      </c>
      <c r="AH867" s="451">
        <f ca="1">IF(AND(Scharniere[[#This Row],[Scharnierart]]=select!$A$1488,Scharniere[[#This Row],[Gruppenschlüssel]]=select!$B$1488)=TRUE,1,0)</f>
        <v>0</v>
      </c>
      <c r="AI867" s="451">
        <f ca="1">IF(SUM(Scharniere[[#This Row],[konf Scharnier 1]:[konf Scharnier 4]])&gt;0,1,0)</f>
        <v>0</v>
      </c>
      <c r="AJ867" s="451"/>
      <c r="AK867" s="451"/>
      <c r="AL867" s="451"/>
      <c r="AM867" s="451"/>
      <c r="AN867" s="451"/>
      <c r="AO867" s="146">
        <v>2</v>
      </c>
      <c r="AP867" s="146">
        <v>5</v>
      </c>
      <c r="AQ867" s="71" t="str">
        <f ca="1">Sprache!$A$119</f>
        <v>Tiomos Scharnier T Impresso</v>
      </c>
      <c r="AR867" t="str">
        <f ca="1">"110/37°, HS-BB, "&amp;Sprache!$A$58&amp;" ni"</f>
        <v>110/37°, HS-BB, aufl. ni</v>
      </c>
      <c r="AS867" t="str">
        <f ca="1">Sprache!$A$103</f>
        <v>Tiomos Click-On Scharniere</v>
      </c>
      <c r="AT867" t="s">
        <v>1264</v>
      </c>
      <c r="AU867" t="s">
        <v>11</v>
      </c>
      <c r="AV867" t="s">
        <v>1489</v>
      </c>
      <c r="AW867" s="71">
        <v>0</v>
      </c>
      <c r="AX867">
        <v>1</v>
      </c>
      <c r="AY867">
        <v>0</v>
      </c>
      <c r="AZ867" s="71">
        <v>0</v>
      </c>
      <c r="BA867">
        <v>0</v>
      </c>
      <c r="BB867">
        <v>0</v>
      </c>
      <c r="BC867">
        <v>1</v>
      </c>
      <c r="BD867" s="144" t="s">
        <v>1769</v>
      </c>
      <c r="BF867" s="10"/>
      <c r="BG867"/>
    </row>
    <row r="868" spans="1:59" ht="14.25" customHeight="1" x14ac:dyDescent="0.25">
      <c r="A868" s="37" t="str">
        <f>LEFT(Scharniere[[#This Row],[ArtikelNR]],4)</f>
        <v>F028</v>
      </c>
      <c r="B868" s="35" t="str">
        <f>MID(Scharniere[[#This Row],[ArtikelNR]],5,3)</f>
        <v>138</v>
      </c>
      <c r="C868" s="37" t="str">
        <f>RIGHT(Scharniere[[#This Row],[ArtikelNR]],3)</f>
        <v>105</v>
      </c>
      <c r="D868" s="35">
        <f>IF(AND(Scharniere[[#This Row],[Gruppenschlüssel]]=select!$A$44,Scharniere[[#This Row],[Scharnierart]]=1)=TRUE,1,0)</f>
        <v>0</v>
      </c>
      <c r="E8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8" s="35">
        <f>IF(select!$F$57=IF(Scharniere[[#This Row],[mit Dämpfung]]=1,1,IF(Scharniere[[#This Row],[ohne Dämpfung]]=1,2,IF(Scharniere[[#This Row],[ohne Feder]]=1,3,0))),1,0)</f>
        <v>0</v>
      </c>
      <c r="G868" s="35">
        <f>IF(Scharniere[[#This Row],[Bohrbild]]=select!$V$43,1,0)</f>
        <v>1</v>
      </c>
      <c r="H868" s="35">
        <f>IF(IF(Scharniere[[#This Row],[Anschrauben]]=1,1,IF(Scharniere[[#This Row],[Einpressen]]=1,2,IF(Scharniere[[#This Row],[Quick]]=1,3,IF(Scharniere[[#This Row],[Werkzeuglos]]=1,4,0))))=select!$F$48,1,0)</f>
        <v>0</v>
      </c>
      <c r="I8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8" s="149">
        <f>IF(AND(Scharniere[[#This Row],[Scharnierart]]=2,Scharniere[[#This Row],[Gruppenschlüssel]]=select!$A$318)=TRUE,1,0)</f>
        <v>0</v>
      </c>
      <c r="K868" s="221">
        <f ca="1">IF(select!$O$424&lt;6,1,0)</f>
        <v>1</v>
      </c>
      <c r="L868" s="221">
        <f>IF(select!$A$362=IF(Scharniere[[#This Row],[mit Dämpfung]]=1,1,IF(Scharniere[[#This Row],[ohne Dämpfung]]=1,2,IF(Scharniere[[#This Row],[ohne Feder]]=1,3,0))),1,0)</f>
        <v>1</v>
      </c>
      <c r="M868" s="135">
        <f>IF(Scharniere[[#This Row],[Bohrbild]]=select!$O$334,1,0)</f>
        <v>1</v>
      </c>
      <c r="N868" s="135">
        <f>IF(IF(Scharniere[[#This Row],[Anschrauben]]=1,1,IF(Scharniere[[#This Row],[Einpressen]]=1,2,IF(Scharniere[[#This Row],[Quick]]=1,3,IF(Scharniere[[#This Row],[Werkzeuglos]]=1,4,0))))=select!$E$362,1,0)</f>
        <v>1</v>
      </c>
      <c r="O8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8" s="298">
        <f>IF(AND(Scharniere[[#This Row],[Scharnierart]]=3,Scharniere[[#This Row],[Gruppenschlüssel]]=select!$A$747)=TRUE,1,0)</f>
        <v>0</v>
      </c>
      <c r="Q868" s="298">
        <f ca="1">IF(select!$O$945&lt;6,1,0)</f>
        <v>1</v>
      </c>
      <c r="R868" s="298">
        <f>IF(select!$A$778=IF(Scharniere[[#This Row],[mit Dämpfung]]=1,1,IF(Scharniere[[#This Row],[ohne Dämpfung]]=1,2,IF(Scharniere[[#This Row],[ohne Feder]]=1,3,0))),1,0)</f>
        <v>0</v>
      </c>
      <c r="S868" s="298">
        <f>IF(Scharniere[[#This Row],[Bohrbild]]=select!$A$755,1,0)</f>
        <v>0</v>
      </c>
      <c r="T868" s="298">
        <f>IF(IF(Scharniere[[#This Row],[Anschrauben]]=1,1,IF(Scharniere[[#This Row],[Einpressen]]=1,2,IF(Scharniere[[#This Row],[Quick]]=1,3,IF(Scharniere[[#This Row],[Werkzeuglos]]=1,4,0))))=select!$A$769,1,0)</f>
        <v>1</v>
      </c>
      <c r="U8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8" s="359">
        <f>IF(AND(Scharniere[[#This Row],[Scharnierart]]=4,Scharniere[[#This Row],[Gruppenschlüssel]]=select!$A$981)=TRUE,1,0)</f>
        <v>0</v>
      </c>
      <c r="W868" s="359">
        <f ca="1">IF(select!$O$1185&lt;6,1,0)</f>
        <v>1</v>
      </c>
      <c r="X868" s="359">
        <f>IF(select!$A$1012=IF(Scharniere[[#This Row],[mit Dämpfung]]=1,1,IF(Scharniere[[#This Row],[ohne Dämpfung]]=1,2,IF(Scharniere[[#This Row],[ohne Feder]]=1,3,0))),1,0)</f>
        <v>0</v>
      </c>
      <c r="Y868" s="359">
        <f>IF(Scharniere[[#This Row],[Bohrbild]]=select!$A$989,1,0)</f>
        <v>0</v>
      </c>
      <c r="Z868" s="359">
        <f>IF(IF(Scharniere[[#This Row],[Anschrauben]]=1,1,IF(Scharniere[[#This Row],[Einpressen]]=1,2,IF(Scharniere[[#This Row],[Quick]]=1,3,IF(Scharniere[[#This Row],[Werkzeuglos]]=1,4,0))))=select!$A$1003,1,0)</f>
        <v>1</v>
      </c>
      <c r="AA8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8" s="359">
        <f ca="1">IF(select!$K$980="*",Scharniere[[#This Row],[AG Ges2]],Scharniere[[#This Row],[AG Ges1]])</f>
        <v>0</v>
      </c>
      <c r="AE868" s="451">
        <f ca="1">IF(AND(Scharniere[[#This Row],[Scharnierart]]=select!$A$1485,Scharniere[[#This Row],[Gruppenschlüssel]]=select!$B$1485)=TRUE,1,0)</f>
        <v>0</v>
      </c>
      <c r="AF868" s="451">
        <f ca="1">IF(AND(Scharniere[[#This Row],[Scharnierart]]=select!$A$1486,Scharniere[[#This Row],[Gruppenschlüssel]]=select!$B$1486)=TRUE,1,0)</f>
        <v>0</v>
      </c>
      <c r="AG868" s="451">
        <f ca="1">IF(AND(Scharniere[[#This Row],[Scharnierart]]=select!$A$1487,Scharniere[[#This Row],[Gruppenschlüssel]]=select!$B$1487)=TRUE,1,0)</f>
        <v>0</v>
      </c>
      <c r="AH868" s="451">
        <f ca="1">IF(AND(Scharniere[[#This Row],[Scharnierart]]=select!$A$1488,Scharniere[[#This Row],[Gruppenschlüssel]]=select!$B$1488)=TRUE,1,0)</f>
        <v>0</v>
      </c>
      <c r="AI868" s="451">
        <f ca="1">IF(SUM(Scharniere[[#This Row],[konf Scharnier 1]:[konf Scharnier 4]])&gt;0,1,0)</f>
        <v>0</v>
      </c>
      <c r="AJ868" s="451"/>
      <c r="AK868" s="451"/>
      <c r="AL868" s="451"/>
      <c r="AM868" s="451"/>
      <c r="AN868" s="451"/>
      <c r="AO868" s="146">
        <v>2</v>
      </c>
      <c r="AP868" s="146">
        <v>5</v>
      </c>
      <c r="AQ868" s="71" t="str">
        <f ca="1">Sprache!$A$112</f>
        <v>Tiomos Scharnier TS Click-on</v>
      </c>
      <c r="AR868" t="str">
        <f ca="1">"110/37°, M-BB, "&amp;Sprache!$A$58&amp;" ni"</f>
        <v>110/37°, M-BB, aufl. ni</v>
      </c>
      <c r="AS868" t="str">
        <f ca="1">Sprache!$A$103</f>
        <v>Tiomos Click-On Scharniere</v>
      </c>
      <c r="AT868" t="s">
        <v>1264</v>
      </c>
      <c r="AU868" t="s">
        <v>8</v>
      </c>
      <c r="AV868" t="s">
        <v>1489</v>
      </c>
      <c r="AW868" s="71">
        <v>1</v>
      </c>
      <c r="AX868">
        <v>0</v>
      </c>
      <c r="AY868">
        <v>0</v>
      </c>
      <c r="AZ868" s="71">
        <v>1</v>
      </c>
      <c r="BA868">
        <v>0</v>
      </c>
      <c r="BB868">
        <v>0</v>
      </c>
      <c r="BC868">
        <v>0</v>
      </c>
      <c r="BD868" s="144" t="s">
        <v>1515</v>
      </c>
      <c r="BF868" s="10"/>
      <c r="BG868"/>
    </row>
    <row r="869" spans="1:59" ht="14.25" customHeight="1" x14ac:dyDescent="0.25">
      <c r="A869" s="37" t="str">
        <f>LEFT(Scharniere[[#This Row],[ArtikelNR]],4)</f>
        <v>F045</v>
      </c>
      <c r="B869" s="35" t="str">
        <f>MID(Scharniere[[#This Row],[ArtikelNR]],5,3)</f>
        <v>138</v>
      </c>
      <c r="C869" s="37" t="str">
        <f>RIGHT(Scharniere[[#This Row],[ArtikelNR]],3)</f>
        <v>012</v>
      </c>
      <c r="D869" s="35">
        <f>IF(AND(Scharniere[[#This Row],[Gruppenschlüssel]]=select!$A$44,Scharniere[[#This Row],[Scharnierart]]=1)=TRUE,1,0)</f>
        <v>0</v>
      </c>
      <c r="E8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69" s="35">
        <f>IF(select!$F$57=IF(Scharniere[[#This Row],[mit Dämpfung]]=1,1,IF(Scharniere[[#This Row],[ohne Dämpfung]]=1,2,IF(Scharniere[[#This Row],[ohne Feder]]=1,3,0))),1,0)</f>
        <v>0</v>
      </c>
      <c r="G869" s="35">
        <f>IF(Scharniere[[#This Row],[Bohrbild]]=select!$V$43,1,0)</f>
        <v>1</v>
      </c>
      <c r="H869" s="35">
        <f>IF(IF(Scharniere[[#This Row],[Anschrauben]]=1,1,IF(Scharniere[[#This Row],[Einpressen]]=1,2,IF(Scharniere[[#This Row],[Quick]]=1,3,IF(Scharniere[[#This Row],[Werkzeuglos]]=1,4,0))))=select!$F$48,1,0)</f>
        <v>0</v>
      </c>
      <c r="I8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69" s="149">
        <f>IF(AND(Scharniere[[#This Row],[Scharnierart]]=2,Scharniere[[#This Row],[Gruppenschlüssel]]=select!$A$318)=TRUE,1,0)</f>
        <v>0</v>
      </c>
      <c r="K869" s="221">
        <f ca="1">IF(select!$O$424&lt;6,1,0)</f>
        <v>1</v>
      </c>
      <c r="L869" s="221">
        <f>IF(select!$A$362=IF(Scharniere[[#This Row],[mit Dämpfung]]=1,1,IF(Scharniere[[#This Row],[ohne Dämpfung]]=1,2,IF(Scharniere[[#This Row],[ohne Feder]]=1,3,0))),1,0)</f>
        <v>0</v>
      </c>
      <c r="M869" s="135">
        <f>IF(Scharniere[[#This Row],[Bohrbild]]=select!$O$334,1,0)</f>
        <v>1</v>
      </c>
      <c r="N869" s="135">
        <f>IF(IF(Scharniere[[#This Row],[Anschrauben]]=1,1,IF(Scharniere[[#This Row],[Einpressen]]=1,2,IF(Scharniere[[#This Row],[Quick]]=1,3,IF(Scharniere[[#This Row],[Werkzeuglos]]=1,4,0))))=select!$E$362,1,0)</f>
        <v>1</v>
      </c>
      <c r="O8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69" s="298">
        <f>IF(AND(Scharniere[[#This Row],[Scharnierart]]=3,Scharniere[[#This Row],[Gruppenschlüssel]]=select!$A$747)=TRUE,1,0)</f>
        <v>0</v>
      </c>
      <c r="Q869" s="298">
        <f ca="1">IF(select!$O$945&lt;6,1,0)</f>
        <v>1</v>
      </c>
      <c r="R869" s="298">
        <f>IF(select!$A$778=IF(Scharniere[[#This Row],[mit Dämpfung]]=1,1,IF(Scharniere[[#This Row],[ohne Dämpfung]]=1,2,IF(Scharniere[[#This Row],[ohne Feder]]=1,3,0))),1,0)</f>
        <v>1</v>
      </c>
      <c r="S869" s="298">
        <f>IF(Scharniere[[#This Row],[Bohrbild]]=select!$A$755,1,0)</f>
        <v>0</v>
      </c>
      <c r="T869" s="298">
        <f>IF(IF(Scharniere[[#This Row],[Anschrauben]]=1,1,IF(Scharniere[[#This Row],[Einpressen]]=1,2,IF(Scharniere[[#This Row],[Quick]]=1,3,IF(Scharniere[[#This Row],[Werkzeuglos]]=1,4,0))))=select!$A$769,1,0)</f>
        <v>1</v>
      </c>
      <c r="U8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69" s="359">
        <f>IF(AND(Scharniere[[#This Row],[Scharnierart]]=4,Scharniere[[#This Row],[Gruppenschlüssel]]=select!$A$981)=TRUE,1,0)</f>
        <v>0</v>
      </c>
      <c r="W869" s="359">
        <f ca="1">IF(select!$O$1185&lt;6,1,0)</f>
        <v>1</v>
      </c>
      <c r="X869" s="359">
        <f>IF(select!$A$1012=IF(Scharniere[[#This Row],[mit Dämpfung]]=1,1,IF(Scharniere[[#This Row],[ohne Dämpfung]]=1,2,IF(Scharniere[[#This Row],[ohne Feder]]=1,3,0))),1,0)</f>
        <v>1</v>
      </c>
      <c r="Y869" s="359">
        <f>IF(Scharniere[[#This Row],[Bohrbild]]=select!$A$989,1,0)</f>
        <v>0</v>
      </c>
      <c r="Z869" s="359">
        <f>IF(IF(Scharniere[[#This Row],[Anschrauben]]=1,1,IF(Scharniere[[#This Row],[Einpressen]]=1,2,IF(Scharniere[[#This Row],[Quick]]=1,3,IF(Scharniere[[#This Row],[Werkzeuglos]]=1,4,0))))=select!$A$1003,1,0)</f>
        <v>1</v>
      </c>
      <c r="AA8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69" s="359">
        <f ca="1">IF(select!$K$980="*",Scharniere[[#This Row],[AG Ges2]],Scharniere[[#This Row],[AG Ges1]])</f>
        <v>0</v>
      </c>
      <c r="AE869" s="451">
        <f ca="1">IF(AND(Scharniere[[#This Row],[Scharnierart]]=select!$A$1485,Scharniere[[#This Row],[Gruppenschlüssel]]=select!$B$1485)=TRUE,1,0)</f>
        <v>0</v>
      </c>
      <c r="AF869" s="451">
        <f ca="1">IF(AND(Scharniere[[#This Row],[Scharnierart]]=select!$A$1486,Scharniere[[#This Row],[Gruppenschlüssel]]=select!$B$1486)=TRUE,1,0)</f>
        <v>0</v>
      </c>
      <c r="AG869" s="451">
        <f ca="1">IF(AND(Scharniere[[#This Row],[Scharnierart]]=select!$A$1487,Scharniere[[#This Row],[Gruppenschlüssel]]=select!$B$1487)=TRUE,1,0)</f>
        <v>0</v>
      </c>
      <c r="AH869" s="451">
        <f ca="1">IF(AND(Scharniere[[#This Row],[Scharnierart]]=select!$A$1488,Scharniere[[#This Row],[Gruppenschlüssel]]=select!$B$1488)=TRUE,1,0)</f>
        <v>0</v>
      </c>
      <c r="AI869" s="451">
        <f ca="1">IF(SUM(Scharniere[[#This Row],[konf Scharnier 1]:[konf Scharnier 4]])&gt;0,1,0)</f>
        <v>0</v>
      </c>
      <c r="AJ869" s="451"/>
      <c r="AK869" s="451"/>
      <c r="AL869" s="451"/>
      <c r="AM869" s="451"/>
      <c r="AN869" s="451"/>
      <c r="AO869" s="146">
        <v>2</v>
      </c>
      <c r="AP869" s="146">
        <v>5</v>
      </c>
      <c r="AQ869" s="71" t="str">
        <f ca="1">Sprache!$A$118</f>
        <v>Tiomos Scharnier T Click-on</v>
      </c>
      <c r="AR869" t="str">
        <f ca="1">"110/37°, M-BB, "&amp;Sprache!$A$58&amp;" ni"</f>
        <v>110/37°, M-BB, aufl. ni</v>
      </c>
      <c r="AS869" t="str">
        <f ca="1">Sprache!$A$103</f>
        <v>Tiomos Click-On Scharniere</v>
      </c>
      <c r="AT869" t="s">
        <v>1264</v>
      </c>
      <c r="AU869" t="s">
        <v>8</v>
      </c>
      <c r="AV869" t="s">
        <v>1489</v>
      </c>
      <c r="AW869" s="71">
        <v>0</v>
      </c>
      <c r="AX869">
        <v>1</v>
      </c>
      <c r="AY869">
        <v>0</v>
      </c>
      <c r="AZ869" s="71">
        <v>1</v>
      </c>
      <c r="BA869">
        <v>0</v>
      </c>
      <c r="BB869">
        <v>0</v>
      </c>
      <c r="BC869">
        <v>0</v>
      </c>
      <c r="BD869" s="144" t="s">
        <v>1617</v>
      </c>
      <c r="BF869" s="10"/>
      <c r="BG869"/>
    </row>
    <row r="870" spans="1:59" ht="14.25" customHeight="1" x14ac:dyDescent="0.25">
      <c r="A870" s="37" t="str">
        <f>LEFT(Scharniere[[#This Row],[ArtikelNR]],4)</f>
        <v>F046</v>
      </c>
      <c r="B870" s="35" t="str">
        <f>MID(Scharniere[[#This Row],[ArtikelNR]],5,3)</f>
        <v>138</v>
      </c>
      <c r="C870" s="37" t="str">
        <f>RIGHT(Scharniere[[#This Row],[ArtikelNR]],3)</f>
        <v>196</v>
      </c>
      <c r="D870" s="35">
        <f>IF(AND(Scharniere[[#This Row],[Gruppenschlüssel]]=select!$A$44,Scharniere[[#This Row],[Scharnierart]]=1)=TRUE,1,0)</f>
        <v>0</v>
      </c>
      <c r="E8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0" s="35">
        <f>IF(select!$F$57=IF(Scharniere[[#This Row],[mit Dämpfung]]=1,1,IF(Scharniere[[#This Row],[ohne Dämpfung]]=1,2,IF(Scharniere[[#This Row],[ohne Feder]]=1,3,0))),1,0)</f>
        <v>1</v>
      </c>
      <c r="G870" s="35">
        <f>IF(Scharniere[[#This Row],[Bohrbild]]=select!$V$43,1,0)</f>
        <v>1</v>
      </c>
      <c r="H870" s="35">
        <f>IF(IF(Scharniere[[#This Row],[Anschrauben]]=1,1,IF(Scharniere[[#This Row],[Einpressen]]=1,2,IF(Scharniere[[#This Row],[Quick]]=1,3,IF(Scharniere[[#This Row],[Werkzeuglos]]=1,4,0))))=select!$F$48,1,0)</f>
        <v>0</v>
      </c>
      <c r="I8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0" s="149">
        <f>IF(AND(Scharniere[[#This Row],[Scharnierart]]=2,Scharniere[[#This Row],[Gruppenschlüssel]]=select!$A$318)=TRUE,1,0)</f>
        <v>0</v>
      </c>
      <c r="K870" s="221">
        <f ca="1">IF(select!$O$424&lt;6,1,0)</f>
        <v>1</v>
      </c>
      <c r="L870" s="221">
        <f>IF(select!$A$362=IF(Scharniere[[#This Row],[mit Dämpfung]]=1,1,IF(Scharniere[[#This Row],[ohne Dämpfung]]=1,2,IF(Scharniere[[#This Row],[ohne Feder]]=1,3,0))),1,0)</f>
        <v>0</v>
      </c>
      <c r="M870" s="135">
        <f>IF(Scharniere[[#This Row],[Bohrbild]]=select!$O$334,1,0)</f>
        <v>1</v>
      </c>
      <c r="N870" s="135">
        <f>IF(IF(Scharniere[[#This Row],[Anschrauben]]=1,1,IF(Scharniere[[#This Row],[Einpressen]]=1,2,IF(Scharniere[[#This Row],[Quick]]=1,3,IF(Scharniere[[#This Row],[Werkzeuglos]]=1,4,0))))=select!$E$362,1,0)</f>
        <v>1</v>
      </c>
      <c r="O8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0" s="298">
        <f>IF(AND(Scharniere[[#This Row],[Scharnierart]]=3,Scharniere[[#This Row],[Gruppenschlüssel]]=select!$A$747)=TRUE,1,0)</f>
        <v>0</v>
      </c>
      <c r="Q870" s="298">
        <f ca="1">IF(select!$O$945&lt;6,1,0)</f>
        <v>1</v>
      </c>
      <c r="R870" s="298">
        <f>IF(select!$A$778=IF(Scharniere[[#This Row],[mit Dämpfung]]=1,1,IF(Scharniere[[#This Row],[ohne Dämpfung]]=1,2,IF(Scharniere[[#This Row],[ohne Feder]]=1,3,0))),1,0)</f>
        <v>0</v>
      </c>
      <c r="S870" s="298">
        <f>IF(Scharniere[[#This Row],[Bohrbild]]=select!$A$755,1,0)</f>
        <v>0</v>
      </c>
      <c r="T870" s="298">
        <f>IF(IF(Scharniere[[#This Row],[Anschrauben]]=1,1,IF(Scharniere[[#This Row],[Einpressen]]=1,2,IF(Scharniere[[#This Row],[Quick]]=1,3,IF(Scharniere[[#This Row],[Werkzeuglos]]=1,4,0))))=select!$A$769,1,0)</f>
        <v>1</v>
      </c>
      <c r="U8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0" s="359">
        <f>IF(AND(Scharniere[[#This Row],[Scharnierart]]=4,Scharniere[[#This Row],[Gruppenschlüssel]]=select!$A$981)=TRUE,1,0)</f>
        <v>0</v>
      </c>
      <c r="W870" s="359">
        <f ca="1">IF(select!$O$1185&lt;6,1,0)</f>
        <v>1</v>
      </c>
      <c r="X870" s="359">
        <f>IF(select!$A$1012=IF(Scharniere[[#This Row],[mit Dämpfung]]=1,1,IF(Scharniere[[#This Row],[ohne Dämpfung]]=1,2,IF(Scharniere[[#This Row],[ohne Feder]]=1,3,0))),1,0)</f>
        <v>0</v>
      </c>
      <c r="Y870" s="359">
        <f>IF(Scharniere[[#This Row],[Bohrbild]]=select!$A$989,1,0)</f>
        <v>0</v>
      </c>
      <c r="Z870" s="359">
        <f>IF(IF(Scharniere[[#This Row],[Anschrauben]]=1,1,IF(Scharniere[[#This Row],[Einpressen]]=1,2,IF(Scharniere[[#This Row],[Quick]]=1,3,IF(Scharniere[[#This Row],[Werkzeuglos]]=1,4,0))))=select!$A$1003,1,0)</f>
        <v>1</v>
      </c>
      <c r="AA8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0" s="359">
        <f ca="1">IF(select!$K$980="*",Scharniere[[#This Row],[AG Ges2]],Scharniere[[#This Row],[AG Ges1]])</f>
        <v>0</v>
      </c>
      <c r="AE870" s="451">
        <f ca="1">IF(AND(Scharniere[[#This Row],[Scharnierart]]=select!$A$1485,Scharniere[[#This Row],[Gruppenschlüssel]]=select!$B$1485)=TRUE,1,0)</f>
        <v>0</v>
      </c>
      <c r="AF870" s="451">
        <f ca="1">IF(AND(Scharniere[[#This Row],[Scharnierart]]=select!$A$1486,Scharniere[[#This Row],[Gruppenschlüssel]]=select!$B$1486)=TRUE,1,0)</f>
        <v>0</v>
      </c>
      <c r="AG870" s="451">
        <f ca="1">IF(AND(Scharniere[[#This Row],[Scharnierart]]=select!$A$1487,Scharniere[[#This Row],[Gruppenschlüssel]]=select!$B$1487)=TRUE,1,0)</f>
        <v>0</v>
      </c>
      <c r="AH870" s="451">
        <f ca="1">IF(AND(Scharniere[[#This Row],[Scharnierart]]=select!$A$1488,Scharniere[[#This Row],[Gruppenschlüssel]]=select!$B$1488)=TRUE,1,0)</f>
        <v>0</v>
      </c>
      <c r="AI870" s="451">
        <f ca="1">IF(SUM(Scharniere[[#This Row],[konf Scharnier 1]:[konf Scharnier 4]])&gt;0,1,0)</f>
        <v>0</v>
      </c>
      <c r="AJ870" s="451"/>
      <c r="AK870" s="451"/>
      <c r="AL870" s="451"/>
      <c r="AM870" s="451"/>
      <c r="AN870" s="451"/>
      <c r="AO870" s="146">
        <v>2</v>
      </c>
      <c r="AP870" s="146">
        <v>5</v>
      </c>
      <c r="AQ870" s="71" t="str">
        <f ca="1">Sprache!$A$114</f>
        <v>Tiomos Scharnier TT Click-on</v>
      </c>
      <c r="AR870" t="str">
        <f ca="1">"110/37°, M-BB, "&amp;Sprache!$A$58&amp;" ni"</f>
        <v>110/37°, M-BB, aufl. ni</v>
      </c>
      <c r="AS870" t="str">
        <f ca="1">Sprache!$A$103</f>
        <v>Tiomos Click-On Scharniere</v>
      </c>
      <c r="AT870" t="s">
        <v>1264</v>
      </c>
      <c r="AU870" t="s">
        <v>8</v>
      </c>
      <c r="AV870" t="s">
        <v>1489</v>
      </c>
      <c r="AW870" s="71">
        <v>0</v>
      </c>
      <c r="AX870">
        <v>0</v>
      </c>
      <c r="AY870">
        <v>1</v>
      </c>
      <c r="AZ870" s="71">
        <v>1</v>
      </c>
      <c r="BA870">
        <v>0</v>
      </c>
      <c r="BB870">
        <v>0</v>
      </c>
      <c r="BC870">
        <v>0</v>
      </c>
      <c r="BD870" s="144" t="s">
        <v>1702</v>
      </c>
      <c r="BF870" s="10"/>
      <c r="BG870"/>
    </row>
    <row r="871" spans="1:59" ht="14.25" customHeight="1" x14ac:dyDescent="0.25">
      <c r="A871" s="37" t="str">
        <f>LEFT(Scharniere[[#This Row],[ArtikelNR]],4)</f>
        <v>F017</v>
      </c>
      <c r="B871" s="35" t="str">
        <f>MID(Scharniere[[#This Row],[ArtikelNR]],5,3)</f>
        <v>139</v>
      </c>
      <c r="C871" s="37" t="str">
        <f>RIGHT(Scharniere[[#This Row],[ArtikelNR]],3)</f>
        <v>337</v>
      </c>
      <c r="D871" s="35">
        <f>IF(AND(Scharniere[[#This Row],[Gruppenschlüssel]]=select!$A$44,Scharniere[[#This Row],[Scharnierart]]=1)=TRUE,1,0)</f>
        <v>0</v>
      </c>
      <c r="E8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1" s="35">
        <f>IF(select!$F$57=IF(Scharniere[[#This Row],[mit Dämpfung]]=1,1,IF(Scharniere[[#This Row],[ohne Dämpfung]]=1,2,IF(Scharniere[[#This Row],[ohne Feder]]=1,3,0))),1,0)</f>
        <v>0</v>
      </c>
      <c r="G871" s="35">
        <f>IF(Scharniere[[#This Row],[Bohrbild]]=select!$V$43,1,0)</f>
        <v>1</v>
      </c>
      <c r="H871" s="35">
        <f>IF(IF(Scharniere[[#This Row],[Anschrauben]]=1,1,IF(Scharniere[[#This Row],[Einpressen]]=1,2,IF(Scharniere[[#This Row],[Quick]]=1,3,IF(Scharniere[[#This Row],[Werkzeuglos]]=1,4,0))))=select!$F$48,1,0)</f>
        <v>0</v>
      </c>
      <c r="I8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1" s="149">
        <f>IF(AND(Scharniere[[#This Row],[Scharnierart]]=2,Scharniere[[#This Row],[Gruppenschlüssel]]=select!$A$318)=TRUE,1,0)</f>
        <v>0</v>
      </c>
      <c r="K871" s="221">
        <f ca="1">IF(select!$O$424&lt;6,1,0)</f>
        <v>1</v>
      </c>
      <c r="L871" s="221">
        <f>IF(select!$A$362=IF(Scharniere[[#This Row],[mit Dämpfung]]=1,1,IF(Scharniere[[#This Row],[ohne Dämpfung]]=1,2,IF(Scharniere[[#This Row],[ohne Feder]]=1,3,0))),1,0)</f>
        <v>1</v>
      </c>
      <c r="M871" s="135">
        <f>IF(Scharniere[[#This Row],[Bohrbild]]=select!$O$334,1,0)</f>
        <v>1</v>
      </c>
      <c r="N871" s="135">
        <f>IF(IF(Scharniere[[#This Row],[Anschrauben]]=1,1,IF(Scharniere[[#This Row],[Einpressen]]=1,2,IF(Scharniere[[#This Row],[Quick]]=1,3,IF(Scharniere[[#This Row],[Werkzeuglos]]=1,4,0))))=select!$E$362,1,0)</f>
        <v>0</v>
      </c>
      <c r="O8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1" s="298">
        <f>IF(AND(Scharniere[[#This Row],[Scharnierart]]=3,Scharniere[[#This Row],[Gruppenschlüssel]]=select!$A$747)=TRUE,1,0)</f>
        <v>0</v>
      </c>
      <c r="Q871" s="298">
        <f ca="1">IF(select!$O$945&lt;6,1,0)</f>
        <v>1</v>
      </c>
      <c r="R871" s="298">
        <f>IF(select!$A$778=IF(Scharniere[[#This Row],[mit Dämpfung]]=1,1,IF(Scharniere[[#This Row],[ohne Dämpfung]]=1,2,IF(Scharniere[[#This Row],[ohne Feder]]=1,3,0))),1,0)</f>
        <v>0</v>
      </c>
      <c r="S871" s="298">
        <f>IF(Scharniere[[#This Row],[Bohrbild]]=select!$A$755,1,0)</f>
        <v>0</v>
      </c>
      <c r="T871" s="298">
        <f>IF(IF(Scharniere[[#This Row],[Anschrauben]]=1,1,IF(Scharniere[[#This Row],[Einpressen]]=1,2,IF(Scharniere[[#This Row],[Quick]]=1,3,IF(Scharniere[[#This Row],[Werkzeuglos]]=1,4,0))))=select!$A$769,1,0)</f>
        <v>0</v>
      </c>
      <c r="U8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1" s="359">
        <f>IF(AND(Scharniere[[#This Row],[Scharnierart]]=4,Scharniere[[#This Row],[Gruppenschlüssel]]=select!$A$981)=TRUE,1,0)</f>
        <v>0</v>
      </c>
      <c r="W871" s="359">
        <f ca="1">IF(select!$O$1185&lt;6,1,0)</f>
        <v>1</v>
      </c>
      <c r="X871" s="359">
        <f>IF(select!$A$1012=IF(Scharniere[[#This Row],[mit Dämpfung]]=1,1,IF(Scharniere[[#This Row],[ohne Dämpfung]]=1,2,IF(Scharniere[[#This Row],[ohne Feder]]=1,3,0))),1,0)</f>
        <v>0</v>
      </c>
      <c r="Y871" s="359">
        <f>IF(Scharniere[[#This Row],[Bohrbild]]=select!$A$989,1,0)</f>
        <v>0</v>
      </c>
      <c r="Z871" s="359">
        <f>IF(IF(Scharniere[[#This Row],[Anschrauben]]=1,1,IF(Scharniere[[#This Row],[Einpressen]]=1,2,IF(Scharniere[[#This Row],[Quick]]=1,3,IF(Scharniere[[#This Row],[Werkzeuglos]]=1,4,0))))=select!$A$1003,1,0)</f>
        <v>0</v>
      </c>
      <c r="AA8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1" s="359">
        <f ca="1">IF(select!$K$980="*",Scharniere[[#This Row],[AG Ges2]],Scharniere[[#This Row],[AG Ges1]])</f>
        <v>0</v>
      </c>
      <c r="AE871" s="451">
        <f ca="1">IF(AND(Scharniere[[#This Row],[Scharnierart]]=select!$A$1485,Scharniere[[#This Row],[Gruppenschlüssel]]=select!$B$1485)=TRUE,1,0)</f>
        <v>0</v>
      </c>
      <c r="AF871" s="451">
        <f ca="1">IF(AND(Scharniere[[#This Row],[Scharnierart]]=select!$A$1486,Scharniere[[#This Row],[Gruppenschlüssel]]=select!$B$1486)=TRUE,1,0)</f>
        <v>0</v>
      </c>
      <c r="AG871" s="451">
        <f ca="1">IF(AND(Scharniere[[#This Row],[Scharnierart]]=select!$A$1487,Scharniere[[#This Row],[Gruppenschlüssel]]=select!$B$1487)=TRUE,1,0)</f>
        <v>0</v>
      </c>
      <c r="AH871" s="451">
        <f ca="1">IF(AND(Scharniere[[#This Row],[Scharnierart]]=select!$A$1488,Scharniere[[#This Row],[Gruppenschlüssel]]=select!$B$1488)=TRUE,1,0)</f>
        <v>0</v>
      </c>
      <c r="AI871" s="451">
        <f ca="1">IF(SUM(Scharniere[[#This Row],[konf Scharnier 1]:[konf Scharnier 4]])&gt;0,1,0)</f>
        <v>0</v>
      </c>
      <c r="AJ871" s="451"/>
      <c r="AK871" s="451"/>
      <c r="AL871" s="451"/>
      <c r="AM871" s="451"/>
      <c r="AN871" s="451"/>
      <c r="AO871" s="146">
        <v>2</v>
      </c>
      <c r="AP871" s="146">
        <v>5</v>
      </c>
      <c r="AQ871" s="71" t="str">
        <f ca="1">Sprache!$A$113</f>
        <v>Tiomos Scharnier TS Impresso</v>
      </c>
      <c r="AR871" t="str">
        <f ca="1">"110/37°, MB-BB, "&amp;Sprache!$A$58&amp;" ni"</f>
        <v>110/37°, MB-BB, aufl. ni</v>
      </c>
      <c r="AS871" t="str">
        <f ca="1">Sprache!$A$116</f>
        <v>Tiomos Impresso Scharniere</v>
      </c>
      <c r="AT871" t="s">
        <v>1264</v>
      </c>
      <c r="AU871" s="34" t="s">
        <v>8</v>
      </c>
      <c r="AV871" t="s">
        <v>1489</v>
      </c>
      <c r="AW871" s="71">
        <v>1</v>
      </c>
      <c r="AX871">
        <v>0</v>
      </c>
      <c r="AY871">
        <v>0</v>
      </c>
      <c r="AZ871" s="71">
        <v>0</v>
      </c>
      <c r="BA871">
        <v>0</v>
      </c>
      <c r="BB871">
        <v>0</v>
      </c>
      <c r="BC871">
        <v>1</v>
      </c>
      <c r="BD871" s="144" t="s">
        <v>1492</v>
      </c>
      <c r="BF871" s="10"/>
      <c r="BG871"/>
    </row>
    <row r="872" spans="1:59" ht="14.25" customHeight="1" x14ac:dyDescent="0.25">
      <c r="A872" s="37" t="str">
        <f>LEFT(Scharniere[[#This Row],[ArtikelNR]],4)</f>
        <v>F017</v>
      </c>
      <c r="B872" s="35" t="str">
        <f>MID(Scharniere[[#This Row],[ArtikelNR]],5,3)</f>
        <v>139</v>
      </c>
      <c r="C872" s="37" t="str">
        <f>RIGHT(Scharniere[[#This Row],[ArtikelNR]],3)</f>
        <v>337</v>
      </c>
      <c r="D872" s="35">
        <f>IF(AND(Scharniere[[#This Row],[Gruppenschlüssel]]=select!$A$44,Scharniere[[#This Row],[Scharnierart]]=1)=TRUE,1,0)</f>
        <v>0</v>
      </c>
      <c r="E8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2" s="35">
        <f>IF(select!$F$57=IF(Scharniere[[#This Row],[mit Dämpfung]]=1,1,IF(Scharniere[[#This Row],[ohne Dämpfung]]=1,2,IF(Scharniere[[#This Row],[ohne Feder]]=1,3,0))),1,0)</f>
        <v>0</v>
      </c>
      <c r="G872" s="35">
        <f>IF(Scharniere[[#This Row],[Bohrbild]]=select!$V$43,1,0)</f>
        <v>0</v>
      </c>
      <c r="H872" s="35">
        <f>IF(IF(Scharniere[[#This Row],[Anschrauben]]=1,1,IF(Scharniere[[#This Row],[Einpressen]]=1,2,IF(Scharniere[[#This Row],[Quick]]=1,3,IF(Scharniere[[#This Row],[Werkzeuglos]]=1,4,0))))=select!$F$48,1,0)</f>
        <v>0</v>
      </c>
      <c r="I8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2" s="149">
        <f>IF(AND(Scharniere[[#This Row],[Scharnierart]]=2,Scharniere[[#This Row],[Gruppenschlüssel]]=select!$A$318)=TRUE,1,0)</f>
        <v>0</v>
      </c>
      <c r="K872" s="221">
        <f ca="1">IF(select!$O$424&lt;6,1,0)</f>
        <v>1</v>
      </c>
      <c r="L872" s="221">
        <f>IF(select!$A$362=IF(Scharniere[[#This Row],[mit Dämpfung]]=1,1,IF(Scharniere[[#This Row],[ohne Dämpfung]]=1,2,IF(Scharniere[[#This Row],[ohne Feder]]=1,3,0))),1,0)</f>
        <v>1</v>
      </c>
      <c r="M872" s="135">
        <f>IF(Scharniere[[#This Row],[Bohrbild]]=select!$O$334,1,0)</f>
        <v>0</v>
      </c>
      <c r="N872" s="135">
        <f>IF(IF(Scharniere[[#This Row],[Anschrauben]]=1,1,IF(Scharniere[[#This Row],[Einpressen]]=1,2,IF(Scharniere[[#This Row],[Quick]]=1,3,IF(Scharniere[[#This Row],[Werkzeuglos]]=1,4,0))))=select!$E$362,1,0)</f>
        <v>0</v>
      </c>
      <c r="O8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2" s="298">
        <f>IF(AND(Scharniere[[#This Row],[Scharnierart]]=3,Scharniere[[#This Row],[Gruppenschlüssel]]=select!$A$747)=TRUE,1,0)</f>
        <v>0</v>
      </c>
      <c r="Q872" s="298">
        <f ca="1">IF(select!$O$945&lt;6,1,0)</f>
        <v>1</v>
      </c>
      <c r="R872" s="298">
        <f>IF(select!$A$778=IF(Scharniere[[#This Row],[mit Dämpfung]]=1,1,IF(Scharniere[[#This Row],[ohne Dämpfung]]=1,2,IF(Scharniere[[#This Row],[ohne Feder]]=1,3,0))),1,0)</f>
        <v>0</v>
      </c>
      <c r="S872" s="298">
        <f>IF(Scharniere[[#This Row],[Bohrbild]]=select!$A$755,1,0)</f>
        <v>0</v>
      </c>
      <c r="T872" s="298">
        <f>IF(IF(Scharniere[[#This Row],[Anschrauben]]=1,1,IF(Scharniere[[#This Row],[Einpressen]]=1,2,IF(Scharniere[[#This Row],[Quick]]=1,3,IF(Scharniere[[#This Row],[Werkzeuglos]]=1,4,0))))=select!$A$769,1,0)</f>
        <v>0</v>
      </c>
      <c r="U8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2" s="359">
        <f>IF(AND(Scharniere[[#This Row],[Scharnierart]]=4,Scharniere[[#This Row],[Gruppenschlüssel]]=select!$A$981)=TRUE,1,0)</f>
        <v>0</v>
      </c>
      <c r="W872" s="359">
        <f ca="1">IF(select!$O$1185&lt;6,1,0)</f>
        <v>1</v>
      </c>
      <c r="X872" s="359">
        <f>IF(select!$A$1012=IF(Scharniere[[#This Row],[mit Dämpfung]]=1,1,IF(Scharniere[[#This Row],[ohne Dämpfung]]=1,2,IF(Scharniere[[#This Row],[ohne Feder]]=1,3,0))),1,0)</f>
        <v>0</v>
      </c>
      <c r="Y872" s="359">
        <f>IF(Scharniere[[#This Row],[Bohrbild]]=select!$A$989,1,0)</f>
        <v>0</v>
      </c>
      <c r="Z872" s="359">
        <f>IF(IF(Scharniere[[#This Row],[Anschrauben]]=1,1,IF(Scharniere[[#This Row],[Einpressen]]=1,2,IF(Scharniere[[#This Row],[Quick]]=1,3,IF(Scharniere[[#This Row],[Werkzeuglos]]=1,4,0))))=select!$A$1003,1,0)</f>
        <v>0</v>
      </c>
      <c r="AA8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2" s="359">
        <f ca="1">IF(select!$K$980="*",Scharniere[[#This Row],[AG Ges2]],Scharniere[[#This Row],[AG Ges1]])</f>
        <v>0</v>
      </c>
      <c r="AE872" s="451">
        <f ca="1">IF(AND(Scharniere[[#This Row],[Scharnierart]]=select!$A$1485,Scharniere[[#This Row],[Gruppenschlüssel]]=select!$B$1485)=TRUE,1,0)</f>
        <v>0</v>
      </c>
      <c r="AF872" s="451">
        <f ca="1">IF(AND(Scharniere[[#This Row],[Scharnierart]]=select!$A$1486,Scharniere[[#This Row],[Gruppenschlüssel]]=select!$B$1486)=TRUE,1,0)</f>
        <v>0</v>
      </c>
      <c r="AG872" s="451">
        <f ca="1">IF(AND(Scharniere[[#This Row],[Scharnierart]]=select!$A$1487,Scharniere[[#This Row],[Gruppenschlüssel]]=select!$B$1487)=TRUE,1,0)</f>
        <v>0</v>
      </c>
      <c r="AH872" s="451">
        <f ca="1">IF(AND(Scharniere[[#This Row],[Scharnierart]]=select!$A$1488,Scharniere[[#This Row],[Gruppenschlüssel]]=select!$B$1488)=TRUE,1,0)</f>
        <v>0</v>
      </c>
      <c r="AI872" s="451">
        <f ca="1">IF(SUM(Scharniere[[#This Row],[konf Scharnier 1]:[konf Scharnier 4]])&gt;0,1,0)</f>
        <v>0</v>
      </c>
      <c r="AJ872" s="451"/>
      <c r="AK872" s="451"/>
      <c r="AL872" s="451"/>
      <c r="AM872" s="451"/>
      <c r="AN872" s="451"/>
      <c r="AO872" s="146">
        <v>2</v>
      </c>
      <c r="AP872" s="146">
        <v>5</v>
      </c>
      <c r="AQ872" s="71" t="str">
        <f ca="1">Sprache!$A$113</f>
        <v>Tiomos Scharnier TS Impresso</v>
      </c>
      <c r="AR872" t="str">
        <f ca="1">"110/37°, MB-BB, "&amp;Sprache!$A$58&amp;" ni"</f>
        <v>110/37°, MB-BB, aufl. ni</v>
      </c>
      <c r="AS872" t="str">
        <f ca="1">Sprache!$A$116</f>
        <v>Tiomos Impresso Scharniere</v>
      </c>
      <c r="AT872" t="s">
        <v>1264</v>
      </c>
      <c r="AU872" s="34" t="s">
        <v>3</v>
      </c>
      <c r="AV872" t="s">
        <v>1489</v>
      </c>
      <c r="AW872" s="71">
        <v>1</v>
      </c>
      <c r="AX872">
        <v>0</v>
      </c>
      <c r="AY872">
        <v>0</v>
      </c>
      <c r="AZ872" s="71">
        <v>0</v>
      </c>
      <c r="BA872">
        <v>0</v>
      </c>
      <c r="BB872">
        <v>0</v>
      </c>
      <c r="BC872">
        <v>1</v>
      </c>
      <c r="BD872" s="144" t="s">
        <v>1492</v>
      </c>
      <c r="BF872" s="10"/>
      <c r="BG872"/>
    </row>
    <row r="873" spans="1:59" ht="14.25" customHeight="1" x14ac:dyDescent="0.25">
      <c r="A873" s="37" t="str">
        <f>LEFT(Scharniere[[#This Row],[ArtikelNR]],4)</f>
        <v>F034</v>
      </c>
      <c r="B873" s="35" t="str">
        <f>MID(Scharniere[[#This Row],[ArtikelNR]],5,3)</f>
        <v>139</v>
      </c>
      <c r="C873" s="37" t="str">
        <f>RIGHT(Scharniere[[#This Row],[ArtikelNR]],3)</f>
        <v>308</v>
      </c>
      <c r="D873" s="35">
        <f>IF(AND(Scharniere[[#This Row],[Gruppenschlüssel]]=select!$A$44,Scharniere[[#This Row],[Scharnierart]]=1)=TRUE,1,0)</f>
        <v>0</v>
      </c>
      <c r="E8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3" s="35">
        <f>IF(select!$F$57=IF(Scharniere[[#This Row],[mit Dämpfung]]=1,1,IF(Scharniere[[#This Row],[ohne Dämpfung]]=1,2,IF(Scharniere[[#This Row],[ohne Feder]]=1,3,0))),1,0)</f>
        <v>0</v>
      </c>
      <c r="G873" s="35">
        <f>IF(Scharniere[[#This Row],[Bohrbild]]=select!$V$43,1,0)</f>
        <v>1</v>
      </c>
      <c r="H873" s="35">
        <f>IF(IF(Scharniere[[#This Row],[Anschrauben]]=1,1,IF(Scharniere[[#This Row],[Einpressen]]=1,2,IF(Scharniere[[#This Row],[Quick]]=1,3,IF(Scharniere[[#This Row],[Werkzeuglos]]=1,4,0))))=select!$F$48,1,0)</f>
        <v>0</v>
      </c>
      <c r="I8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3" s="149">
        <f>IF(AND(Scharniere[[#This Row],[Scharnierart]]=2,Scharniere[[#This Row],[Gruppenschlüssel]]=select!$A$318)=TRUE,1,0)</f>
        <v>0</v>
      </c>
      <c r="K873" s="221">
        <f ca="1">IF(select!$O$424&lt;6,1,0)</f>
        <v>1</v>
      </c>
      <c r="L873" s="221">
        <f>IF(select!$A$362=IF(Scharniere[[#This Row],[mit Dämpfung]]=1,1,IF(Scharniere[[#This Row],[ohne Dämpfung]]=1,2,IF(Scharniere[[#This Row],[ohne Feder]]=1,3,0))),1,0)</f>
        <v>0</v>
      </c>
      <c r="M873" s="135">
        <f>IF(Scharniere[[#This Row],[Bohrbild]]=select!$O$334,1,0)</f>
        <v>1</v>
      </c>
      <c r="N873" s="135">
        <f>IF(IF(Scharniere[[#This Row],[Anschrauben]]=1,1,IF(Scharniere[[#This Row],[Einpressen]]=1,2,IF(Scharniere[[#This Row],[Quick]]=1,3,IF(Scharniere[[#This Row],[Werkzeuglos]]=1,4,0))))=select!$E$362,1,0)</f>
        <v>0</v>
      </c>
      <c r="O8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3" s="298">
        <f>IF(AND(Scharniere[[#This Row],[Scharnierart]]=3,Scharniere[[#This Row],[Gruppenschlüssel]]=select!$A$747)=TRUE,1,0)</f>
        <v>0</v>
      </c>
      <c r="Q873" s="298">
        <f ca="1">IF(select!$O$945&lt;6,1,0)</f>
        <v>1</v>
      </c>
      <c r="R873" s="298">
        <f>IF(select!$A$778=IF(Scharniere[[#This Row],[mit Dämpfung]]=1,1,IF(Scharniere[[#This Row],[ohne Dämpfung]]=1,2,IF(Scharniere[[#This Row],[ohne Feder]]=1,3,0))),1,0)</f>
        <v>1</v>
      </c>
      <c r="S873" s="298">
        <f>IF(Scharniere[[#This Row],[Bohrbild]]=select!$A$755,1,0)</f>
        <v>0</v>
      </c>
      <c r="T873" s="298">
        <f>IF(IF(Scharniere[[#This Row],[Anschrauben]]=1,1,IF(Scharniere[[#This Row],[Einpressen]]=1,2,IF(Scharniere[[#This Row],[Quick]]=1,3,IF(Scharniere[[#This Row],[Werkzeuglos]]=1,4,0))))=select!$A$769,1,0)</f>
        <v>0</v>
      </c>
      <c r="U8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3" s="359">
        <f>IF(AND(Scharniere[[#This Row],[Scharnierart]]=4,Scharniere[[#This Row],[Gruppenschlüssel]]=select!$A$981)=TRUE,1,0)</f>
        <v>0</v>
      </c>
      <c r="W873" s="359">
        <f ca="1">IF(select!$O$1185&lt;6,1,0)</f>
        <v>1</v>
      </c>
      <c r="X873" s="359">
        <f>IF(select!$A$1012=IF(Scharniere[[#This Row],[mit Dämpfung]]=1,1,IF(Scharniere[[#This Row],[ohne Dämpfung]]=1,2,IF(Scharniere[[#This Row],[ohne Feder]]=1,3,0))),1,0)</f>
        <v>1</v>
      </c>
      <c r="Y873" s="359">
        <f>IF(Scharniere[[#This Row],[Bohrbild]]=select!$A$989,1,0)</f>
        <v>0</v>
      </c>
      <c r="Z873" s="359">
        <f>IF(IF(Scharniere[[#This Row],[Anschrauben]]=1,1,IF(Scharniere[[#This Row],[Einpressen]]=1,2,IF(Scharniere[[#This Row],[Quick]]=1,3,IF(Scharniere[[#This Row],[Werkzeuglos]]=1,4,0))))=select!$A$1003,1,0)</f>
        <v>0</v>
      </c>
      <c r="AA8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3" s="359">
        <f ca="1">IF(select!$K$980="*",Scharniere[[#This Row],[AG Ges2]],Scharniere[[#This Row],[AG Ges1]])</f>
        <v>0</v>
      </c>
      <c r="AE873" s="451">
        <f ca="1">IF(AND(Scharniere[[#This Row],[Scharnierart]]=select!$A$1485,Scharniere[[#This Row],[Gruppenschlüssel]]=select!$B$1485)=TRUE,1,0)</f>
        <v>0</v>
      </c>
      <c r="AF873" s="451">
        <f ca="1">IF(AND(Scharniere[[#This Row],[Scharnierart]]=select!$A$1486,Scharniere[[#This Row],[Gruppenschlüssel]]=select!$B$1486)=TRUE,1,0)</f>
        <v>0</v>
      </c>
      <c r="AG873" s="451">
        <f ca="1">IF(AND(Scharniere[[#This Row],[Scharnierart]]=select!$A$1487,Scharniere[[#This Row],[Gruppenschlüssel]]=select!$B$1487)=TRUE,1,0)</f>
        <v>0</v>
      </c>
      <c r="AH873" s="451">
        <f ca="1">IF(AND(Scharniere[[#This Row],[Scharnierart]]=select!$A$1488,Scharniere[[#This Row],[Gruppenschlüssel]]=select!$B$1488)=TRUE,1,0)</f>
        <v>0</v>
      </c>
      <c r="AI873" s="451">
        <f ca="1">IF(SUM(Scharniere[[#This Row],[konf Scharnier 1]:[konf Scharnier 4]])&gt;0,1,0)</f>
        <v>0</v>
      </c>
      <c r="AJ873" s="451"/>
      <c r="AK873" s="451"/>
      <c r="AL873" s="451"/>
      <c r="AM873" s="451"/>
      <c r="AN873" s="451"/>
      <c r="AO873" s="146">
        <v>2</v>
      </c>
      <c r="AP873" s="146">
        <v>5</v>
      </c>
      <c r="AQ873" s="71" t="str">
        <f ca="1">Sprache!$A$119</f>
        <v>Tiomos Scharnier T Impresso</v>
      </c>
      <c r="AR873" t="str">
        <f ca="1">"110/37°, MB-BB, "&amp;Sprache!$A$58&amp;" ni"</f>
        <v>110/37°, MB-BB, aufl. ni</v>
      </c>
      <c r="AS873" t="str">
        <f ca="1">Sprache!$A$103</f>
        <v>Tiomos Click-On Scharniere</v>
      </c>
      <c r="AT873" t="s">
        <v>1264</v>
      </c>
      <c r="AU873" t="s">
        <v>8</v>
      </c>
      <c r="AV873" t="s">
        <v>1489</v>
      </c>
      <c r="AW873" s="71">
        <v>0</v>
      </c>
      <c r="AX873">
        <v>1</v>
      </c>
      <c r="AY873">
        <v>0</v>
      </c>
      <c r="AZ873" s="71">
        <v>0</v>
      </c>
      <c r="BA873">
        <v>0</v>
      </c>
      <c r="BB873">
        <v>0</v>
      </c>
      <c r="BC873">
        <v>1</v>
      </c>
      <c r="BD873" s="144" t="s">
        <v>1602</v>
      </c>
      <c r="BF873" s="10"/>
      <c r="BG873"/>
    </row>
    <row r="874" spans="1:59" ht="14.25" customHeight="1" x14ac:dyDescent="0.25">
      <c r="A874" s="37" t="str">
        <f>LEFT(Scharniere[[#This Row],[ArtikelNR]],4)</f>
        <v>F034</v>
      </c>
      <c r="B874" s="35" t="str">
        <f>MID(Scharniere[[#This Row],[ArtikelNR]],5,3)</f>
        <v>139</v>
      </c>
      <c r="C874" s="37" t="str">
        <f>RIGHT(Scharniere[[#This Row],[ArtikelNR]],3)</f>
        <v>308</v>
      </c>
      <c r="D874" s="35">
        <f>IF(AND(Scharniere[[#This Row],[Gruppenschlüssel]]=select!$A$44,Scharniere[[#This Row],[Scharnierart]]=1)=TRUE,1,0)</f>
        <v>0</v>
      </c>
      <c r="E8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4" s="35">
        <f>IF(select!$F$57=IF(Scharniere[[#This Row],[mit Dämpfung]]=1,1,IF(Scharniere[[#This Row],[ohne Dämpfung]]=1,2,IF(Scharniere[[#This Row],[ohne Feder]]=1,3,0))),1,0)</f>
        <v>0</v>
      </c>
      <c r="G874" s="35">
        <f>IF(Scharniere[[#This Row],[Bohrbild]]=select!$V$43,1,0)</f>
        <v>0</v>
      </c>
      <c r="H874" s="35">
        <f>IF(IF(Scharniere[[#This Row],[Anschrauben]]=1,1,IF(Scharniere[[#This Row],[Einpressen]]=1,2,IF(Scharniere[[#This Row],[Quick]]=1,3,IF(Scharniere[[#This Row],[Werkzeuglos]]=1,4,0))))=select!$F$48,1,0)</f>
        <v>0</v>
      </c>
      <c r="I8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4" s="149">
        <f>IF(AND(Scharniere[[#This Row],[Scharnierart]]=2,Scharniere[[#This Row],[Gruppenschlüssel]]=select!$A$318)=TRUE,1,0)</f>
        <v>0</v>
      </c>
      <c r="K874" s="221">
        <f ca="1">IF(select!$O$424&lt;6,1,0)</f>
        <v>1</v>
      </c>
      <c r="L874" s="221">
        <f>IF(select!$A$362=IF(Scharniere[[#This Row],[mit Dämpfung]]=1,1,IF(Scharniere[[#This Row],[ohne Dämpfung]]=1,2,IF(Scharniere[[#This Row],[ohne Feder]]=1,3,0))),1,0)</f>
        <v>0</v>
      </c>
      <c r="M874" s="135">
        <f>IF(Scharniere[[#This Row],[Bohrbild]]=select!$O$334,1,0)</f>
        <v>0</v>
      </c>
      <c r="N874" s="135">
        <f>IF(IF(Scharniere[[#This Row],[Anschrauben]]=1,1,IF(Scharniere[[#This Row],[Einpressen]]=1,2,IF(Scharniere[[#This Row],[Quick]]=1,3,IF(Scharniere[[#This Row],[Werkzeuglos]]=1,4,0))))=select!$E$362,1,0)</f>
        <v>0</v>
      </c>
      <c r="O8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4" s="298">
        <f>IF(AND(Scharniere[[#This Row],[Scharnierart]]=3,Scharniere[[#This Row],[Gruppenschlüssel]]=select!$A$747)=TRUE,1,0)</f>
        <v>0</v>
      </c>
      <c r="Q874" s="298">
        <f ca="1">IF(select!$O$945&lt;6,1,0)</f>
        <v>1</v>
      </c>
      <c r="R874" s="298">
        <f>IF(select!$A$778=IF(Scharniere[[#This Row],[mit Dämpfung]]=1,1,IF(Scharniere[[#This Row],[ohne Dämpfung]]=1,2,IF(Scharniere[[#This Row],[ohne Feder]]=1,3,0))),1,0)</f>
        <v>1</v>
      </c>
      <c r="S874" s="298">
        <f>IF(Scharniere[[#This Row],[Bohrbild]]=select!$A$755,1,0)</f>
        <v>0</v>
      </c>
      <c r="T874" s="298">
        <f>IF(IF(Scharniere[[#This Row],[Anschrauben]]=1,1,IF(Scharniere[[#This Row],[Einpressen]]=1,2,IF(Scharniere[[#This Row],[Quick]]=1,3,IF(Scharniere[[#This Row],[Werkzeuglos]]=1,4,0))))=select!$A$769,1,0)</f>
        <v>0</v>
      </c>
      <c r="U8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4" s="359">
        <f>IF(AND(Scharniere[[#This Row],[Scharnierart]]=4,Scharniere[[#This Row],[Gruppenschlüssel]]=select!$A$981)=TRUE,1,0)</f>
        <v>0</v>
      </c>
      <c r="W874" s="359">
        <f ca="1">IF(select!$O$1185&lt;6,1,0)</f>
        <v>1</v>
      </c>
      <c r="X874" s="359">
        <f>IF(select!$A$1012=IF(Scharniere[[#This Row],[mit Dämpfung]]=1,1,IF(Scharniere[[#This Row],[ohne Dämpfung]]=1,2,IF(Scharniere[[#This Row],[ohne Feder]]=1,3,0))),1,0)</f>
        <v>1</v>
      </c>
      <c r="Y874" s="359">
        <f>IF(Scharniere[[#This Row],[Bohrbild]]=select!$A$989,1,0)</f>
        <v>0</v>
      </c>
      <c r="Z874" s="359">
        <f>IF(IF(Scharniere[[#This Row],[Anschrauben]]=1,1,IF(Scharniere[[#This Row],[Einpressen]]=1,2,IF(Scharniere[[#This Row],[Quick]]=1,3,IF(Scharniere[[#This Row],[Werkzeuglos]]=1,4,0))))=select!$A$1003,1,0)</f>
        <v>0</v>
      </c>
      <c r="AA8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4" s="359">
        <f ca="1">IF(select!$K$980="*",Scharniere[[#This Row],[AG Ges2]],Scharniere[[#This Row],[AG Ges1]])</f>
        <v>0</v>
      </c>
      <c r="AE874" s="451">
        <f ca="1">IF(AND(Scharniere[[#This Row],[Scharnierart]]=select!$A$1485,Scharniere[[#This Row],[Gruppenschlüssel]]=select!$B$1485)=TRUE,1,0)</f>
        <v>0</v>
      </c>
      <c r="AF874" s="451">
        <f ca="1">IF(AND(Scharniere[[#This Row],[Scharnierart]]=select!$A$1486,Scharniere[[#This Row],[Gruppenschlüssel]]=select!$B$1486)=TRUE,1,0)</f>
        <v>0</v>
      </c>
      <c r="AG874" s="451">
        <f ca="1">IF(AND(Scharniere[[#This Row],[Scharnierart]]=select!$A$1487,Scharniere[[#This Row],[Gruppenschlüssel]]=select!$B$1487)=TRUE,1,0)</f>
        <v>0</v>
      </c>
      <c r="AH874" s="451">
        <f ca="1">IF(AND(Scharniere[[#This Row],[Scharnierart]]=select!$A$1488,Scharniere[[#This Row],[Gruppenschlüssel]]=select!$B$1488)=TRUE,1,0)</f>
        <v>0</v>
      </c>
      <c r="AI874" s="451">
        <f ca="1">IF(SUM(Scharniere[[#This Row],[konf Scharnier 1]:[konf Scharnier 4]])&gt;0,1,0)</f>
        <v>0</v>
      </c>
      <c r="AJ874" s="451"/>
      <c r="AK874" s="451"/>
      <c r="AL874" s="451"/>
      <c r="AM874" s="451"/>
      <c r="AN874" s="451"/>
      <c r="AO874" s="146">
        <v>2</v>
      </c>
      <c r="AP874" s="146">
        <v>5</v>
      </c>
      <c r="AQ874" s="71" t="str">
        <f ca="1">Sprache!$A$119</f>
        <v>Tiomos Scharnier T Impresso</v>
      </c>
      <c r="AR874" t="str">
        <f ca="1">"110/37°, MB-BB, "&amp;Sprache!$A$58&amp;" ni"</f>
        <v>110/37°, MB-BB, aufl. ni</v>
      </c>
      <c r="AS874" t="str">
        <f ca="1">Sprache!$A$103</f>
        <v>Tiomos Click-On Scharniere</v>
      </c>
      <c r="AT874" t="s">
        <v>1264</v>
      </c>
      <c r="AU874" t="s">
        <v>3</v>
      </c>
      <c r="AV874" t="s">
        <v>1489</v>
      </c>
      <c r="AW874" s="71">
        <v>0</v>
      </c>
      <c r="AX874">
        <v>1</v>
      </c>
      <c r="AY874">
        <v>0</v>
      </c>
      <c r="AZ874" s="71">
        <v>0</v>
      </c>
      <c r="BA874">
        <v>0</v>
      </c>
      <c r="BB874">
        <v>0</v>
      </c>
      <c r="BC874">
        <v>1</v>
      </c>
      <c r="BD874" s="144" t="s">
        <v>1602</v>
      </c>
      <c r="BF874" s="10"/>
      <c r="BG874"/>
    </row>
    <row r="875" spans="1:59" ht="14.25" customHeight="1" x14ac:dyDescent="0.25">
      <c r="A875" s="37" t="str">
        <f>LEFT(Scharniere[[#This Row],[ArtikelNR]],4)</f>
        <v>F028</v>
      </c>
      <c r="B875" s="35" t="str">
        <f>MID(Scharniere[[#This Row],[ArtikelNR]],5,3)</f>
        <v>138</v>
      </c>
      <c r="C875" s="37" t="str">
        <f>RIGHT(Scharniere[[#This Row],[ArtikelNR]],3)</f>
        <v>895</v>
      </c>
      <c r="D875" s="35">
        <f>IF(AND(Scharniere[[#This Row],[Gruppenschlüssel]]=select!$A$44,Scharniere[[#This Row],[Scharnierart]]=1)=TRUE,1,0)</f>
        <v>0</v>
      </c>
      <c r="E8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5" s="35">
        <f>IF(select!$F$57=IF(Scharniere[[#This Row],[mit Dämpfung]]=1,1,IF(Scharniere[[#This Row],[ohne Dämpfung]]=1,2,IF(Scharniere[[#This Row],[ohne Feder]]=1,3,0))),1,0)</f>
        <v>0</v>
      </c>
      <c r="G875" s="35">
        <f>IF(Scharniere[[#This Row],[Bohrbild]]=select!$V$43,1,0)</f>
        <v>0</v>
      </c>
      <c r="H875" s="35">
        <f>IF(IF(Scharniere[[#This Row],[Anschrauben]]=1,1,IF(Scharniere[[#This Row],[Einpressen]]=1,2,IF(Scharniere[[#This Row],[Quick]]=1,3,IF(Scharniere[[#This Row],[Werkzeuglos]]=1,4,0))))=select!$F$48,1,0)</f>
        <v>0</v>
      </c>
      <c r="I8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5" s="149">
        <f>IF(AND(Scharniere[[#This Row],[Scharnierart]]=2,Scharniere[[#This Row],[Gruppenschlüssel]]=select!$A$318)=TRUE,1,0)</f>
        <v>0</v>
      </c>
      <c r="K875" s="221">
        <f ca="1">IF(select!$O$424&lt;6,1,0)</f>
        <v>1</v>
      </c>
      <c r="L875" s="221">
        <f>IF(select!$A$362=IF(Scharniere[[#This Row],[mit Dämpfung]]=1,1,IF(Scharniere[[#This Row],[ohne Dämpfung]]=1,2,IF(Scharniere[[#This Row],[ohne Feder]]=1,3,0))),1,0)</f>
        <v>1</v>
      </c>
      <c r="M875" s="135">
        <f>IF(Scharniere[[#This Row],[Bohrbild]]=select!$O$334,1,0)</f>
        <v>0</v>
      </c>
      <c r="N875" s="135">
        <f>IF(IF(Scharniere[[#This Row],[Anschrauben]]=1,1,IF(Scharniere[[#This Row],[Einpressen]]=1,2,IF(Scharniere[[#This Row],[Quick]]=1,3,IF(Scharniere[[#This Row],[Werkzeuglos]]=1,4,0))))=select!$E$362,1,0)</f>
        <v>1</v>
      </c>
      <c r="O8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5" s="298">
        <f>IF(AND(Scharniere[[#This Row],[Scharnierart]]=3,Scharniere[[#This Row],[Gruppenschlüssel]]=select!$A$747)=TRUE,1,0)</f>
        <v>0</v>
      </c>
      <c r="Q875" s="298">
        <f ca="1">IF(select!$O$945&lt;6,1,0)</f>
        <v>1</v>
      </c>
      <c r="R875" s="298">
        <f>IF(select!$A$778=IF(Scharniere[[#This Row],[mit Dämpfung]]=1,1,IF(Scharniere[[#This Row],[ohne Dämpfung]]=1,2,IF(Scharniere[[#This Row],[ohne Feder]]=1,3,0))),1,0)</f>
        <v>0</v>
      </c>
      <c r="S875" s="298">
        <f>IF(Scharniere[[#This Row],[Bohrbild]]=select!$A$755,1,0)</f>
        <v>0</v>
      </c>
      <c r="T875" s="298">
        <f>IF(IF(Scharniere[[#This Row],[Anschrauben]]=1,1,IF(Scharniere[[#This Row],[Einpressen]]=1,2,IF(Scharniere[[#This Row],[Quick]]=1,3,IF(Scharniere[[#This Row],[Werkzeuglos]]=1,4,0))))=select!$A$769,1,0)</f>
        <v>1</v>
      </c>
      <c r="U8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5" s="359">
        <f>IF(AND(Scharniere[[#This Row],[Scharnierart]]=4,Scharniere[[#This Row],[Gruppenschlüssel]]=select!$A$981)=TRUE,1,0)</f>
        <v>0</v>
      </c>
      <c r="W875" s="359">
        <f ca="1">IF(select!$O$1185&lt;6,1,0)</f>
        <v>1</v>
      </c>
      <c r="X875" s="359">
        <f>IF(select!$A$1012=IF(Scharniere[[#This Row],[mit Dämpfung]]=1,1,IF(Scharniere[[#This Row],[ohne Dämpfung]]=1,2,IF(Scharniere[[#This Row],[ohne Feder]]=1,3,0))),1,0)</f>
        <v>0</v>
      </c>
      <c r="Y875" s="359">
        <f>IF(Scharniere[[#This Row],[Bohrbild]]=select!$A$989,1,0)</f>
        <v>0</v>
      </c>
      <c r="Z875" s="359">
        <f>IF(IF(Scharniere[[#This Row],[Anschrauben]]=1,1,IF(Scharniere[[#This Row],[Einpressen]]=1,2,IF(Scharniere[[#This Row],[Quick]]=1,3,IF(Scharniere[[#This Row],[Werkzeuglos]]=1,4,0))))=select!$A$1003,1,0)</f>
        <v>1</v>
      </c>
      <c r="AA8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5" s="359">
        <f ca="1">IF(select!$K$980="*",Scharniere[[#This Row],[AG Ges2]],Scharniere[[#This Row],[AG Ges1]])</f>
        <v>0</v>
      </c>
      <c r="AE875" s="451">
        <f ca="1">IF(AND(Scharniere[[#This Row],[Scharnierart]]=select!$A$1485,Scharniere[[#This Row],[Gruppenschlüssel]]=select!$B$1485)=TRUE,1,0)</f>
        <v>0</v>
      </c>
      <c r="AF875" s="451">
        <f ca="1">IF(AND(Scharniere[[#This Row],[Scharnierart]]=select!$A$1486,Scharniere[[#This Row],[Gruppenschlüssel]]=select!$B$1486)=TRUE,1,0)</f>
        <v>0</v>
      </c>
      <c r="AG875" s="451">
        <f ca="1">IF(AND(Scharniere[[#This Row],[Scharnierart]]=select!$A$1487,Scharniere[[#This Row],[Gruppenschlüssel]]=select!$B$1487)=TRUE,1,0)</f>
        <v>0</v>
      </c>
      <c r="AH875" s="451">
        <f ca="1">IF(AND(Scharniere[[#This Row],[Scharnierart]]=select!$A$1488,Scharniere[[#This Row],[Gruppenschlüssel]]=select!$B$1488)=TRUE,1,0)</f>
        <v>0</v>
      </c>
      <c r="AI875" s="451">
        <f ca="1">IF(SUM(Scharniere[[#This Row],[konf Scharnier 1]:[konf Scharnier 4]])&gt;0,1,0)</f>
        <v>0</v>
      </c>
      <c r="AJ875" s="451"/>
      <c r="AK875" s="451"/>
      <c r="AL875" s="451"/>
      <c r="AM875" s="451"/>
      <c r="AN875" s="451"/>
      <c r="AO875" s="146">
        <v>2</v>
      </c>
      <c r="AP875" s="146">
        <v>5</v>
      </c>
      <c r="AQ875" s="71" t="str">
        <f ca="1">Sprache!$A$112</f>
        <v>Tiomos Scharnier TS Click-on</v>
      </c>
      <c r="AR875" t="str">
        <f ca="1">"110/37°, S-BB, "&amp;Sprache!$A$58&amp;" ni"</f>
        <v>110/37°, S-BB, aufl. ni</v>
      </c>
      <c r="AS875" t="str">
        <f ca="1">Sprache!$A$103</f>
        <v>Tiomos Click-On Scharniere</v>
      </c>
      <c r="AT875" t="s">
        <v>1264</v>
      </c>
      <c r="AU875" t="s">
        <v>11</v>
      </c>
      <c r="AV875" t="s">
        <v>1489</v>
      </c>
      <c r="AW875" s="71">
        <v>1</v>
      </c>
      <c r="AX875">
        <v>0</v>
      </c>
      <c r="AY875">
        <v>0</v>
      </c>
      <c r="AZ875" s="71">
        <v>1</v>
      </c>
      <c r="BA875">
        <v>0</v>
      </c>
      <c r="BB875">
        <v>0</v>
      </c>
      <c r="BC875">
        <v>0</v>
      </c>
      <c r="BD875" s="144" t="s">
        <v>1569</v>
      </c>
      <c r="BF875" s="10"/>
      <c r="BG875"/>
    </row>
    <row r="876" spans="1:59" ht="14.25" customHeight="1" x14ac:dyDescent="0.25">
      <c r="A876" s="37" t="str">
        <f>LEFT(Scharniere[[#This Row],[ArtikelNR]],4)</f>
        <v>F045</v>
      </c>
      <c r="B876" s="35" t="str">
        <f>MID(Scharniere[[#This Row],[ArtikelNR]],5,3)</f>
        <v>138</v>
      </c>
      <c r="C876" s="37" t="str">
        <f>RIGHT(Scharniere[[#This Row],[ArtikelNR]],3)</f>
        <v>833</v>
      </c>
      <c r="D876" s="35">
        <f>IF(AND(Scharniere[[#This Row],[Gruppenschlüssel]]=select!$A$44,Scharniere[[#This Row],[Scharnierart]]=1)=TRUE,1,0)</f>
        <v>0</v>
      </c>
      <c r="E8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6" s="35">
        <f>IF(select!$F$57=IF(Scharniere[[#This Row],[mit Dämpfung]]=1,1,IF(Scharniere[[#This Row],[ohne Dämpfung]]=1,2,IF(Scharniere[[#This Row],[ohne Feder]]=1,3,0))),1,0)</f>
        <v>0</v>
      </c>
      <c r="G876" s="35">
        <f>IF(Scharniere[[#This Row],[Bohrbild]]=select!$V$43,1,0)</f>
        <v>0</v>
      </c>
      <c r="H876" s="35">
        <f>IF(IF(Scharniere[[#This Row],[Anschrauben]]=1,1,IF(Scharniere[[#This Row],[Einpressen]]=1,2,IF(Scharniere[[#This Row],[Quick]]=1,3,IF(Scharniere[[#This Row],[Werkzeuglos]]=1,4,0))))=select!$F$48,1,0)</f>
        <v>0</v>
      </c>
      <c r="I8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6" s="149">
        <f>IF(AND(Scharniere[[#This Row],[Scharnierart]]=2,Scharniere[[#This Row],[Gruppenschlüssel]]=select!$A$318)=TRUE,1,0)</f>
        <v>0</v>
      </c>
      <c r="K876" s="221">
        <f ca="1">IF(select!$O$424&lt;6,1,0)</f>
        <v>1</v>
      </c>
      <c r="L876" s="221">
        <f>IF(select!$A$362=IF(Scharniere[[#This Row],[mit Dämpfung]]=1,1,IF(Scharniere[[#This Row],[ohne Dämpfung]]=1,2,IF(Scharniere[[#This Row],[ohne Feder]]=1,3,0))),1,0)</f>
        <v>0</v>
      </c>
      <c r="M876" s="135">
        <f>IF(Scharniere[[#This Row],[Bohrbild]]=select!$O$334,1,0)</f>
        <v>0</v>
      </c>
      <c r="N876" s="135">
        <f>IF(IF(Scharniere[[#This Row],[Anschrauben]]=1,1,IF(Scharniere[[#This Row],[Einpressen]]=1,2,IF(Scharniere[[#This Row],[Quick]]=1,3,IF(Scharniere[[#This Row],[Werkzeuglos]]=1,4,0))))=select!$E$362,1,0)</f>
        <v>1</v>
      </c>
      <c r="O8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6" s="298">
        <f>IF(AND(Scharniere[[#This Row],[Scharnierart]]=3,Scharniere[[#This Row],[Gruppenschlüssel]]=select!$A$747)=TRUE,1,0)</f>
        <v>0</v>
      </c>
      <c r="Q876" s="298">
        <f ca="1">IF(select!$O$945&lt;6,1,0)</f>
        <v>1</v>
      </c>
      <c r="R876" s="298">
        <f>IF(select!$A$778=IF(Scharniere[[#This Row],[mit Dämpfung]]=1,1,IF(Scharniere[[#This Row],[ohne Dämpfung]]=1,2,IF(Scharniere[[#This Row],[ohne Feder]]=1,3,0))),1,0)</f>
        <v>1</v>
      </c>
      <c r="S876" s="298">
        <f>IF(Scharniere[[#This Row],[Bohrbild]]=select!$A$755,1,0)</f>
        <v>0</v>
      </c>
      <c r="T876" s="298">
        <f>IF(IF(Scharniere[[#This Row],[Anschrauben]]=1,1,IF(Scharniere[[#This Row],[Einpressen]]=1,2,IF(Scharniere[[#This Row],[Quick]]=1,3,IF(Scharniere[[#This Row],[Werkzeuglos]]=1,4,0))))=select!$A$769,1,0)</f>
        <v>1</v>
      </c>
      <c r="U8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6" s="359">
        <f>IF(AND(Scharniere[[#This Row],[Scharnierart]]=4,Scharniere[[#This Row],[Gruppenschlüssel]]=select!$A$981)=TRUE,1,0)</f>
        <v>0</v>
      </c>
      <c r="W876" s="359">
        <f ca="1">IF(select!$O$1185&lt;6,1,0)</f>
        <v>1</v>
      </c>
      <c r="X876" s="359">
        <f>IF(select!$A$1012=IF(Scharniere[[#This Row],[mit Dämpfung]]=1,1,IF(Scharniere[[#This Row],[ohne Dämpfung]]=1,2,IF(Scharniere[[#This Row],[ohne Feder]]=1,3,0))),1,0)</f>
        <v>1</v>
      </c>
      <c r="Y876" s="359">
        <f>IF(Scharniere[[#This Row],[Bohrbild]]=select!$A$989,1,0)</f>
        <v>0</v>
      </c>
      <c r="Z876" s="359">
        <f>IF(IF(Scharniere[[#This Row],[Anschrauben]]=1,1,IF(Scharniere[[#This Row],[Einpressen]]=1,2,IF(Scharniere[[#This Row],[Quick]]=1,3,IF(Scharniere[[#This Row],[Werkzeuglos]]=1,4,0))))=select!$A$1003,1,0)</f>
        <v>1</v>
      </c>
      <c r="AA8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6" s="359">
        <f ca="1">IF(select!$K$980="*",Scharniere[[#This Row],[AG Ges2]],Scharniere[[#This Row],[AG Ges1]])</f>
        <v>0</v>
      </c>
      <c r="AE876" s="451">
        <f ca="1">IF(AND(Scharniere[[#This Row],[Scharnierart]]=select!$A$1485,Scharniere[[#This Row],[Gruppenschlüssel]]=select!$B$1485)=TRUE,1,0)</f>
        <v>0</v>
      </c>
      <c r="AF876" s="451">
        <f ca="1">IF(AND(Scharniere[[#This Row],[Scharnierart]]=select!$A$1486,Scharniere[[#This Row],[Gruppenschlüssel]]=select!$B$1486)=TRUE,1,0)</f>
        <v>0</v>
      </c>
      <c r="AG876" s="451">
        <f ca="1">IF(AND(Scharniere[[#This Row],[Scharnierart]]=select!$A$1487,Scharniere[[#This Row],[Gruppenschlüssel]]=select!$B$1487)=TRUE,1,0)</f>
        <v>0</v>
      </c>
      <c r="AH876" s="451">
        <f ca="1">IF(AND(Scharniere[[#This Row],[Scharnierart]]=select!$A$1488,Scharniere[[#This Row],[Gruppenschlüssel]]=select!$B$1488)=TRUE,1,0)</f>
        <v>0</v>
      </c>
      <c r="AI876" s="451">
        <f ca="1">IF(SUM(Scharniere[[#This Row],[konf Scharnier 1]:[konf Scharnier 4]])&gt;0,1,0)</f>
        <v>0</v>
      </c>
      <c r="AJ876" s="451"/>
      <c r="AK876" s="451"/>
      <c r="AL876" s="451"/>
      <c r="AM876" s="451"/>
      <c r="AN876" s="451"/>
      <c r="AO876" s="146">
        <v>2</v>
      </c>
      <c r="AP876" s="146">
        <v>5</v>
      </c>
      <c r="AQ876" s="71" t="str">
        <f ca="1">Sprache!$A$118</f>
        <v>Tiomos Scharnier T Click-on</v>
      </c>
      <c r="AR876" t="str">
        <f ca="1">"110/37°, S-BB, "&amp;Sprache!$A$58&amp;" ni"</f>
        <v>110/37°, S-BB, aufl. ni</v>
      </c>
      <c r="AS876" t="str">
        <f ca="1">Sprache!$A$103</f>
        <v>Tiomos Click-On Scharniere</v>
      </c>
      <c r="AT876" t="s">
        <v>1264</v>
      </c>
      <c r="AU876" t="s">
        <v>11</v>
      </c>
      <c r="AV876" t="s">
        <v>1489</v>
      </c>
      <c r="AW876" s="71">
        <v>0</v>
      </c>
      <c r="AX876">
        <v>1</v>
      </c>
      <c r="AY876">
        <v>0</v>
      </c>
      <c r="AZ876" s="71">
        <v>1</v>
      </c>
      <c r="BA876">
        <v>0</v>
      </c>
      <c r="BB876">
        <v>0</v>
      </c>
      <c r="BC876">
        <v>0</v>
      </c>
      <c r="BD876" s="144" t="s">
        <v>1680</v>
      </c>
      <c r="BF876" s="10"/>
      <c r="BG876"/>
    </row>
    <row r="877" spans="1:59" ht="14.25" customHeight="1" x14ac:dyDescent="0.25">
      <c r="A877" s="37" t="str">
        <f>LEFT(Scharniere[[#This Row],[ArtikelNR]],4)</f>
        <v>F046</v>
      </c>
      <c r="B877" s="35" t="str">
        <f>MID(Scharniere[[#This Row],[ArtikelNR]],5,3)</f>
        <v>138</v>
      </c>
      <c r="C877" s="37" t="str">
        <f>RIGHT(Scharniere[[#This Row],[ArtikelNR]],3)</f>
        <v>955</v>
      </c>
      <c r="D877" s="35">
        <f>IF(AND(Scharniere[[#This Row],[Gruppenschlüssel]]=select!$A$44,Scharniere[[#This Row],[Scharnierart]]=1)=TRUE,1,0)</f>
        <v>0</v>
      </c>
      <c r="E8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7" s="35">
        <f>IF(select!$F$57=IF(Scharniere[[#This Row],[mit Dämpfung]]=1,1,IF(Scharniere[[#This Row],[ohne Dämpfung]]=1,2,IF(Scharniere[[#This Row],[ohne Feder]]=1,3,0))),1,0)</f>
        <v>1</v>
      </c>
      <c r="G877" s="35">
        <f>IF(Scharniere[[#This Row],[Bohrbild]]=select!$V$43,1,0)</f>
        <v>0</v>
      </c>
      <c r="H877" s="35">
        <f>IF(IF(Scharniere[[#This Row],[Anschrauben]]=1,1,IF(Scharniere[[#This Row],[Einpressen]]=1,2,IF(Scharniere[[#This Row],[Quick]]=1,3,IF(Scharniere[[#This Row],[Werkzeuglos]]=1,4,0))))=select!$F$48,1,0)</f>
        <v>0</v>
      </c>
      <c r="I8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7" s="149">
        <f>IF(AND(Scharniere[[#This Row],[Scharnierart]]=2,Scharniere[[#This Row],[Gruppenschlüssel]]=select!$A$318)=TRUE,1,0)</f>
        <v>0</v>
      </c>
      <c r="K877" s="221">
        <f ca="1">IF(select!$O$424&lt;6,1,0)</f>
        <v>1</v>
      </c>
      <c r="L877" s="221">
        <f>IF(select!$A$362=IF(Scharniere[[#This Row],[mit Dämpfung]]=1,1,IF(Scharniere[[#This Row],[ohne Dämpfung]]=1,2,IF(Scharniere[[#This Row],[ohne Feder]]=1,3,0))),1,0)</f>
        <v>0</v>
      </c>
      <c r="M877" s="135">
        <f>IF(Scharniere[[#This Row],[Bohrbild]]=select!$O$334,1,0)</f>
        <v>0</v>
      </c>
      <c r="N877" s="135">
        <f>IF(IF(Scharniere[[#This Row],[Anschrauben]]=1,1,IF(Scharniere[[#This Row],[Einpressen]]=1,2,IF(Scharniere[[#This Row],[Quick]]=1,3,IF(Scharniere[[#This Row],[Werkzeuglos]]=1,4,0))))=select!$E$362,1,0)</f>
        <v>1</v>
      </c>
      <c r="O8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7" s="298">
        <f>IF(AND(Scharniere[[#This Row],[Scharnierart]]=3,Scharniere[[#This Row],[Gruppenschlüssel]]=select!$A$747)=TRUE,1,0)</f>
        <v>0</v>
      </c>
      <c r="Q877" s="298">
        <f ca="1">IF(select!$O$945&lt;6,1,0)</f>
        <v>1</v>
      </c>
      <c r="R877" s="298">
        <f>IF(select!$A$778=IF(Scharniere[[#This Row],[mit Dämpfung]]=1,1,IF(Scharniere[[#This Row],[ohne Dämpfung]]=1,2,IF(Scharniere[[#This Row],[ohne Feder]]=1,3,0))),1,0)</f>
        <v>0</v>
      </c>
      <c r="S877" s="298">
        <f>IF(Scharniere[[#This Row],[Bohrbild]]=select!$A$755,1,0)</f>
        <v>0</v>
      </c>
      <c r="T877" s="298">
        <f>IF(IF(Scharniere[[#This Row],[Anschrauben]]=1,1,IF(Scharniere[[#This Row],[Einpressen]]=1,2,IF(Scharniere[[#This Row],[Quick]]=1,3,IF(Scharniere[[#This Row],[Werkzeuglos]]=1,4,0))))=select!$A$769,1,0)</f>
        <v>1</v>
      </c>
      <c r="U8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7" s="359">
        <f>IF(AND(Scharniere[[#This Row],[Scharnierart]]=4,Scharniere[[#This Row],[Gruppenschlüssel]]=select!$A$981)=TRUE,1,0)</f>
        <v>0</v>
      </c>
      <c r="W877" s="359">
        <f ca="1">IF(select!$O$1185&lt;6,1,0)</f>
        <v>1</v>
      </c>
      <c r="X877" s="359">
        <f>IF(select!$A$1012=IF(Scharniere[[#This Row],[mit Dämpfung]]=1,1,IF(Scharniere[[#This Row],[ohne Dämpfung]]=1,2,IF(Scharniere[[#This Row],[ohne Feder]]=1,3,0))),1,0)</f>
        <v>0</v>
      </c>
      <c r="Y877" s="359">
        <f>IF(Scharniere[[#This Row],[Bohrbild]]=select!$A$989,1,0)</f>
        <v>0</v>
      </c>
      <c r="Z877" s="359">
        <f>IF(IF(Scharniere[[#This Row],[Anschrauben]]=1,1,IF(Scharniere[[#This Row],[Einpressen]]=1,2,IF(Scharniere[[#This Row],[Quick]]=1,3,IF(Scharniere[[#This Row],[Werkzeuglos]]=1,4,0))))=select!$A$1003,1,0)</f>
        <v>1</v>
      </c>
      <c r="AA8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7" s="359">
        <f ca="1">IF(select!$K$980="*",Scharniere[[#This Row],[AG Ges2]],Scharniere[[#This Row],[AG Ges1]])</f>
        <v>0</v>
      </c>
      <c r="AE877" s="451">
        <f ca="1">IF(AND(Scharniere[[#This Row],[Scharnierart]]=select!$A$1485,Scharniere[[#This Row],[Gruppenschlüssel]]=select!$B$1485)=TRUE,1,0)</f>
        <v>0</v>
      </c>
      <c r="AF877" s="451">
        <f ca="1">IF(AND(Scharniere[[#This Row],[Scharnierart]]=select!$A$1486,Scharniere[[#This Row],[Gruppenschlüssel]]=select!$B$1486)=TRUE,1,0)</f>
        <v>0</v>
      </c>
      <c r="AG877" s="451">
        <f ca="1">IF(AND(Scharniere[[#This Row],[Scharnierart]]=select!$A$1487,Scharniere[[#This Row],[Gruppenschlüssel]]=select!$B$1487)=TRUE,1,0)</f>
        <v>0</v>
      </c>
      <c r="AH877" s="451">
        <f ca="1">IF(AND(Scharniere[[#This Row],[Scharnierart]]=select!$A$1488,Scharniere[[#This Row],[Gruppenschlüssel]]=select!$B$1488)=TRUE,1,0)</f>
        <v>0</v>
      </c>
      <c r="AI877" s="451">
        <f ca="1">IF(SUM(Scharniere[[#This Row],[konf Scharnier 1]:[konf Scharnier 4]])&gt;0,1,0)</f>
        <v>0</v>
      </c>
      <c r="AJ877" s="451"/>
      <c r="AK877" s="451"/>
      <c r="AL877" s="451"/>
      <c r="AM877" s="451"/>
      <c r="AN877" s="451"/>
      <c r="AO877" s="146">
        <v>2</v>
      </c>
      <c r="AP877" s="146">
        <v>5</v>
      </c>
      <c r="AQ877" s="71" t="str">
        <f ca="1">Sprache!$A$114</f>
        <v>Tiomos Scharnier TT Click-on</v>
      </c>
      <c r="AR877" t="str">
        <f ca="1">"110/37°, S-BB, "&amp;Sprache!$A$58&amp;" ni"</f>
        <v>110/37°, S-BB, aufl. ni</v>
      </c>
      <c r="AS877" t="str">
        <f ca="1">Sprache!$A$103</f>
        <v>Tiomos Click-On Scharniere</v>
      </c>
      <c r="AT877" t="s">
        <v>1264</v>
      </c>
      <c r="AU877" t="s">
        <v>11</v>
      </c>
      <c r="AV877" t="s">
        <v>1489</v>
      </c>
      <c r="AW877" s="71">
        <v>0</v>
      </c>
      <c r="AX877">
        <v>0</v>
      </c>
      <c r="AY877">
        <v>1</v>
      </c>
      <c r="AZ877" s="71">
        <v>1</v>
      </c>
      <c r="BA877">
        <v>0</v>
      </c>
      <c r="BB877">
        <v>0</v>
      </c>
      <c r="BC877">
        <v>0</v>
      </c>
      <c r="BD877" s="144" t="s">
        <v>1734</v>
      </c>
      <c r="BF877" s="10"/>
      <c r="BG877"/>
    </row>
    <row r="878" spans="1:59" ht="14.25" customHeight="1" x14ac:dyDescent="0.25">
      <c r="A878" s="37" t="str">
        <f>LEFT(Scharniere[[#This Row],[ArtikelNR]],4)</f>
        <v>F028</v>
      </c>
      <c r="B878" s="35" t="str">
        <f>MID(Scharniere[[#This Row],[ArtikelNR]],5,3)</f>
        <v>138</v>
      </c>
      <c r="C878" s="37" t="str">
        <f>RIGHT(Scharniere[[#This Row],[ArtikelNR]],3)</f>
        <v>532</v>
      </c>
      <c r="D878" s="35">
        <f>IF(AND(Scharniere[[#This Row],[Gruppenschlüssel]]=select!$A$44,Scharniere[[#This Row],[Scharnierart]]=1)=TRUE,1,0)</f>
        <v>0</v>
      </c>
      <c r="E8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8" s="35">
        <f>IF(select!$F$57=IF(Scharniere[[#This Row],[mit Dämpfung]]=1,1,IF(Scharniere[[#This Row],[ohne Dämpfung]]=1,2,IF(Scharniere[[#This Row],[ohne Feder]]=1,3,0))),1,0)</f>
        <v>0</v>
      </c>
      <c r="G878" s="35">
        <f>IF(Scharniere[[#This Row],[Bohrbild]]=select!$V$43,1,0)</f>
        <v>0</v>
      </c>
      <c r="H878" s="35">
        <f>IF(IF(Scharniere[[#This Row],[Anschrauben]]=1,1,IF(Scharniere[[#This Row],[Einpressen]]=1,2,IF(Scharniere[[#This Row],[Quick]]=1,3,IF(Scharniere[[#This Row],[Werkzeuglos]]=1,4,0))))=select!$F$48,1,0)</f>
        <v>0</v>
      </c>
      <c r="I8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8" s="149">
        <f>IF(AND(Scharniere[[#This Row],[Scharnierart]]=2,Scharniere[[#This Row],[Gruppenschlüssel]]=select!$A$318)=TRUE,1,0)</f>
        <v>0</v>
      </c>
      <c r="K878" s="221">
        <f ca="1">IF(select!$O$424&lt;6,1,0)</f>
        <v>1</v>
      </c>
      <c r="L878" s="221">
        <f>IF(select!$A$362=IF(Scharniere[[#This Row],[mit Dämpfung]]=1,1,IF(Scharniere[[#This Row],[ohne Dämpfung]]=1,2,IF(Scharniere[[#This Row],[ohne Feder]]=1,3,0))),1,0)</f>
        <v>1</v>
      </c>
      <c r="M878" s="135">
        <f>IF(Scharniere[[#This Row],[Bohrbild]]=select!$O$334,1,0)</f>
        <v>0</v>
      </c>
      <c r="N878" s="135">
        <f>IF(IF(Scharniere[[#This Row],[Anschrauben]]=1,1,IF(Scharniere[[#This Row],[Einpressen]]=1,2,IF(Scharniere[[#This Row],[Quick]]=1,3,IF(Scharniere[[#This Row],[Werkzeuglos]]=1,4,0))))=select!$E$362,1,0)</f>
        <v>1</v>
      </c>
      <c r="O8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8" s="298">
        <f>IF(AND(Scharniere[[#This Row],[Scharnierart]]=3,Scharniere[[#This Row],[Gruppenschlüssel]]=select!$A$747)=TRUE,1,0)</f>
        <v>0</v>
      </c>
      <c r="Q878" s="298">
        <f ca="1">IF(select!$O$945&lt;6,1,0)</f>
        <v>1</v>
      </c>
      <c r="R878" s="298">
        <f>IF(select!$A$778=IF(Scharniere[[#This Row],[mit Dämpfung]]=1,1,IF(Scharniere[[#This Row],[ohne Dämpfung]]=1,2,IF(Scharniere[[#This Row],[ohne Feder]]=1,3,0))),1,0)</f>
        <v>0</v>
      </c>
      <c r="S878" s="298">
        <f>IF(Scharniere[[#This Row],[Bohrbild]]=select!$A$755,1,0)</f>
        <v>0</v>
      </c>
      <c r="T878" s="298">
        <f>IF(IF(Scharniere[[#This Row],[Anschrauben]]=1,1,IF(Scharniere[[#This Row],[Einpressen]]=1,2,IF(Scharniere[[#This Row],[Quick]]=1,3,IF(Scharniere[[#This Row],[Werkzeuglos]]=1,4,0))))=select!$A$769,1,0)</f>
        <v>1</v>
      </c>
      <c r="U8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8" s="359">
        <f>IF(AND(Scharniere[[#This Row],[Scharnierart]]=4,Scharniere[[#This Row],[Gruppenschlüssel]]=select!$A$981)=TRUE,1,0)</f>
        <v>0</v>
      </c>
      <c r="W878" s="359">
        <f ca="1">IF(select!$O$1185&lt;6,1,0)</f>
        <v>1</v>
      </c>
      <c r="X878" s="359">
        <f>IF(select!$A$1012=IF(Scharniere[[#This Row],[mit Dämpfung]]=1,1,IF(Scharniere[[#This Row],[ohne Dämpfung]]=1,2,IF(Scharniere[[#This Row],[ohne Feder]]=1,3,0))),1,0)</f>
        <v>0</v>
      </c>
      <c r="Y878" s="359">
        <f>IF(Scharniere[[#This Row],[Bohrbild]]=select!$A$989,1,0)</f>
        <v>0</v>
      </c>
      <c r="Z878" s="359">
        <f>IF(IF(Scharniere[[#This Row],[Anschrauben]]=1,1,IF(Scharniere[[#This Row],[Einpressen]]=1,2,IF(Scharniere[[#This Row],[Quick]]=1,3,IF(Scharniere[[#This Row],[Werkzeuglos]]=1,4,0))))=select!$A$1003,1,0)</f>
        <v>1</v>
      </c>
      <c r="AA8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8" s="359">
        <f ca="1">IF(select!$K$980="*",Scharniere[[#This Row],[AG Ges2]],Scharniere[[#This Row],[AG Ges1]])</f>
        <v>0</v>
      </c>
      <c r="AE878" s="451">
        <f ca="1">IF(AND(Scharniere[[#This Row],[Scharnierart]]=select!$A$1485,Scharniere[[#This Row],[Gruppenschlüssel]]=select!$B$1485)=TRUE,1,0)</f>
        <v>0</v>
      </c>
      <c r="AF878" s="451">
        <f ca="1">IF(AND(Scharniere[[#This Row],[Scharnierart]]=select!$A$1486,Scharniere[[#This Row],[Gruppenschlüssel]]=select!$B$1486)=TRUE,1,0)</f>
        <v>0</v>
      </c>
      <c r="AG878" s="451">
        <f ca="1">IF(AND(Scharniere[[#This Row],[Scharnierart]]=select!$A$1487,Scharniere[[#This Row],[Gruppenschlüssel]]=select!$B$1487)=TRUE,1,0)</f>
        <v>0</v>
      </c>
      <c r="AH878" s="451">
        <f ca="1">IF(AND(Scharniere[[#This Row],[Scharnierart]]=select!$A$1488,Scharniere[[#This Row],[Gruppenschlüssel]]=select!$B$1488)=TRUE,1,0)</f>
        <v>0</v>
      </c>
      <c r="AI878" s="451">
        <f ca="1">IF(SUM(Scharniere[[#This Row],[konf Scharnier 1]:[konf Scharnier 4]])&gt;0,1,0)</f>
        <v>0</v>
      </c>
      <c r="AJ878" s="451"/>
      <c r="AK878" s="451"/>
      <c r="AL878" s="451"/>
      <c r="AM878" s="451"/>
      <c r="AN878" s="451"/>
      <c r="AO878" s="146">
        <v>2</v>
      </c>
      <c r="AP878" s="146">
        <v>6</v>
      </c>
      <c r="AQ878" s="71" t="str">
        <f ca="1">Sprache!$A$112</f>
        <v>Tiomos Scharnier TS Click-on</v>
      </c>
      <c r="AR878" t="str">
        <f ca="1">"110/37°, B-BB, "&amp;Sprache!$A$62&amp;" ni"</f>
        <v>110/37°, B-BB, einl. ni</v>
      </c>
      <c r="AS878" t="str">
        <f ca="1">Sprache!$A$103</f>
        <v>Tiomos Click-On Scharniere</v>
      </c>
      <c r="AT878" t="s">
        <v>1264</v>
      </c>
      <c r="AU878" t="s">
        <v>3</v>
      </c>
      <c r="AV878" t="s">
        <v>1489</v>
      </c>
      <c r="AW878" s="71">
        <v>1</v>
      </c>
      <c r="AX878">
        <v>0</v>
      </c>
      <c r="AY878">
        <v>0</v>
      </c>
      <c r="AZ878" s="71">
        <v>1</v>
      </c>
      <c r="BA878">
        <v>0</v>
      </c>
      <c r="BB878">
        <v>0</v>
      </c>
      <c r="BC878">
        <v>0</v>
      </c>
      <c r="BD878" s="144" t="s">
        <v>1548</v>
      </c>
      <c r="BF878" s="10"/>
      <c r="BG878"/>
    </row>
    <row r="879" spans="1:59" ht="14.25" customHeight="1" x14ac:dyDescent="0.25">
      <c r="A879" s="37" t="str">
        <f>LEFT(Scharniere[[#This Row],[ArtikelNR]],4)</f>
        <v>F045</v>
      </c>
      <c r="B879" s="35" t="str">
        <f>MID(Scharniere[[#This Row],[ArtikelNR]],5,3)</f>
        <v>138</v>
      </c>
      <c r="C879" s="37" t="str">
        <f>RIGHT(Scharniere[[#This Row],[ArtikelNR]],3)</f>
        <v>470</v>
      </c>
      <c r="D879" s="35">
        <f>IF(AND(Scharniere[[#This Row],[Gruppenschlüssel]]=select!$A$44,Scharniere[[#This Row],[Scharnierart]]=1)=TRUE,1,0)</f>
        <v>0</v>
      </c>
      <c r="E8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79" s="35">
        <f>IF(select!$F$57=IF(Scharniere[[#This Row],[mit Dämpfung]]=1,1,IF(Scharniere[[#This Row],[ohne Dämpfung]]=1,2,IF(Scharniere[[#This Row],[ohne Feder]]=1,3,0))),1,0)</f>
        <v>0</v>
      </c>
      <c r="G879" s="35">
        <f>IF(Scharniere[[#This Row],[Bohrbild]]=select!$V$43,1,0)</f>
        <v>0</v>
      </c>
      <c r="H879" s="35">
        <f>IF(IF(Scharniere[[#This Row],[Anschrauben]]=1,1,IF(Scharniere[[#This Row],[Einpressen]]=1,2,IF(Scharniere[[#This Row],[Quick]]=1,3,IF(Scharniere[[#This Row],[Werkzeuglos]]=1,4,0))))=select!$F$48,1,0)</f>
        <v>0</v>
      </c>
      <c r="I8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79" s="149">
        <f>IF(AND(Scharniere[[#This Row],[Scharnierart]]=2,Scharniere[[#This Row],[Gruppenschlüssel]]=select!$A$318)=TRUE,1,0)</f>
        <v>0</v>
      </c>
      <c r="K879" s="221">
        <f ca="1">IF(select!$O$424&lt;6,1,0)</f>
        <v>1</v>
      </c>
      <c r="L879" s="221">
        <f>IF(select!$A$362=IF(Scharniere[[#This Row],[mit Dämpfung]]=1,1,IF(Scharniere[[#This Row],[ohne Dämpfung]]=1,2,IF(Scharniere[[#This Row],[ohne Feder]]=1,3,0))),1,0)</f>
        <v>0</v>
      </c>
      <c r="M879" s="135">
        <f>IF(Scharniere[[#This Row],[Bohrbild]]=select!$O$334,1,0)</f>
        <v>0</v>
      </c>
      <c r="N879" s="135">
        <f>IF(IF(Scharniere[[#This Row],[Anschrauben]]=1,1,IF(Scharniere[[#This Row],[Einpressen]]=1,2,IF(Scharniere[[#This Row],[Quick]]=1,3,IF(Scharniere[[#This Row],[Werkzeuglos]]=1,4,0))))=select!$E$362,1,0)</f>
        <v>1</v>
      </c>
      <c r="O8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79" s="298">
        <f>IF(AND(Scharniere[[#This Row],[Scharnierart]]=3,Scharniere[[#This Row],[Gruppenschlüssel]]=select!$A$747)=TRUE,1,0)</f>
        <v>0</v>
      </c>
      <c r="Q879" s="298">
        <f ca="1">IF(select!$O$945&lt;6,1,0)</f>
        <v>1</v>
      </c>
      <c r="R879" s="298">
        <f>IF(select!$A$778=IF(Scharniere[[#This Row],[mit Dämpfung]]=1,1,IF(Scharniere[[#This Row],[ohne Dämpfung]]=1,2,IF(Scharniere[[#This Row],[ohne Feder]]=1,3,0))),1,0)</f>
        <v>1</v>
      </c>
      <c r="S879" s="298">
        <f>IF(Scharniere[[#This Row],[Bohrbild]]=select!$A$755,1,0)</f>
        <v>0</v>
      </c>
      <c r="T879" s="298">
        <f>IF(IF(Scharniere[[#This Row],[Anschrauben]]=1,1,IF(Scharniere[[#This Row],[Einpressen]]=1,2,IF(Scharniere[[#This Row],[Quick]]=1,3,IF(Scharniere[[#This Row],[Werkzeuglos]]=1,4,0))))=select!$A$769,1,0)</f>
        <v>1</v>
      </c>
      <c r="U8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79" s="359">
        <f>IF(AND(Scharniere[[#This Row],[Scharnierart]]=4,Scharniere[[#This Row],[Gruppenschlüssel]]=select!$A$981)=TRUE,1,0)</f>
        <v>0</v>
      </c>
      <c r="W879" s="359">
        <f ca="1">IF(select!$O$1185&lt;6,1,0)</f>
        <v>1</v>
      </c>
      <c r="X879" s="359">
        <f>IF(select!$A$1012=IF(Scharniere[[#This Row],[mit Dämpfung]]=1,1,IF(Scharniere[[#This Row],[ohne Dämpfung]]=1,2,IF(Scharniere[[#This Row],[ohne Feder]]=1,3,0))),1,0)</f>
        <v>1</v>
      </c>
      <c r="Y879" s="359">
        <f>IF(Scharniere[[#This Row],[Bohrbild]]=select!$A$989,1,0)</f>
        <v>0</v>
      </c>
      <c r="Z879" s="359">
        <f>IF(IF(Scharniere[[#This Row],[Anschrauben]]=1,1,IF(Scharniere[[#This Row],[Einpressen]]=1,2,IF(Scharniere[[#This Row],[Quick]]=1,3,IF(Scharniere[[#This Row],[Werkzeuglos]]=1,4,0))))=select!$A$1003,1,0)</f>
        <v>1</v>
      </c>
      <c r="AA8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79" s="359">
        <f ca="1">IF(select!$K$980="*",Scharniere[[#This Row],[AG Ges2]],Scharniere[[#This Row],[AG Ges1]])</f>
        <v>0</v>
      </c>
      <c r="AE879" s="451">
        <f ca="1">IF(AND(Scharniere[[#This Row],[Scharnierart]]=select!$A$1485,Scharniere[[#This Row],[Gruppenschlüssel]]=select!$B$1485)=TRUE,1,0)</f>
        <v>0</v>
      </c>
      <c r="AF879" s="451">
        <f ca="1">IF(AND(Scharniere[[#This Row],[Scharnierart]]=select!$A$1486,Scharniere[[#This Row],[Gruppenschlüssel]]=select!$B$1486)=TRUE,1,0)</f>
        <v>0</v>
      </c>
      <c r="AG879" s="451">
        <f ca="1">IF(AND(Scharniere[[#This Row],[Scharnierart]]=select!$A$1487,Scharniere[[#This Row],[Gruppenschlüssel]]=select!$B$1487)=TRUE,1,0)</f>
        <v>0</v>
      </c>
      <c r="AH879" s="451">
        <f ca="1">IF(AND(Scharniere[[#This Row],[Scharnierart]]=select!$A$1488,Scharniere[[#This Row],[Gruppenschlüssel]]=select!$B$1488)=TRUE,1,0)</f>
        <v>0</v>
      </c>
      <c r="AI879" s="451">
        <f ca="1">IF(SUM(Scharniere[[#This Row],[konf Scharnier 1]:[konf Scharnier 4]])&gt;0,1,0)</f>
        <v>0</v>
      </c>
      <c r="AJ879" s="451"/>
      <c r="AK879" s="451"/>
      <c r="AL879" s="451"/>
      <c r="AM879" s="451"/>
      <c r="AN879" s="451"/>
      <c r="AO879" s="146">
        <v>2</v>
      </c>
      <c r="AP879" s="146">
        <v>6</v>
      </c>
      <c r="AQ879" s="71" t="str">
        <f ca="1">Sprache!$A$118</f>
        <v>Tiomos Scharnier T Click-on</v>
      </c>
      <c r="AR879" t="str">
        <f ca="1">"110/37°, B-BB, "&amp;Sprache!$A$62&amp;" ni"</f>
        <v>110/37°, B-BB, einl. ni</v>
      </c>
      <c r="AS879" t="str">
        <f ca="1">Sprache!$A$103</f>
        <v>Tiomos Click-On Scharniere</v>
      </c>
      <c r="AT879" t="s">
        <v>1264</v>
      </c>
      <c r="AU879" t="s">
        <v>3</v>
      </c>
      <c r="AV879" t="s">
        <v>1489</v>
      </c>
      <c r="AW879" s="71">
        <v>0</v>
      </c>
      <c r="AX879">
        <v>1</v>
      </c>
      <c r="AY879">
        <v>0</v>
      </c>
      <c r="AZ879" s="71">
        <v>1</v>
      </c>
      <c r="BA879">
        <v>0</v>
      </c>
      <c r="BB879">
        <v>0</v>
      </c>
      <c r="BC879">
        <v>0</v>
      </c>
      <c r="BD879" s="144" t="s">
        <v>1652</v>
      </c>
      <c r="BF879" s="10"/>
      <c r="BG879"/>
    </row>
    <row r="880" spans="1:59" ht="14.25" customHeight="1" x14ac:dyDescent="0.25">
      <c r="A880" s="37" t="str">
        <f>LEFT(Scharniere[[#This Row],[ArtikelNR]],4)</f>
        <v>F046</v>
      </c>
      <c r="B880" s="35" t="str">
        <f>MID(Scharniere[[#This Row],[ArtikelNR]],5,3)</f>
        <v>138</v>
      </c>
      <c r="C880" s="37" t="str">
        <f>RIGHT(Scharniere[[#This Row],[ArtikelNR]],3)</f>
        <v>592</v>
      </c>
      <c r="D880" s="35">
        <f>IF(AND(Scharniere[[#This Row],[Gruppenschlüssel]]=select!$A$44,Scharniere[[#This Row],[Scharnierart]]=1)=TRUE,1,0)</f>
        <v>0</v>
      </c>
      <c r="E8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0" s="35">
        <f>IF(select!$F$57=IF(Scharniere[[#This Row],[mit Dämpfung]]=1,1,IF(Scharniere[[#This Row],[ohne Dämpfung]]=1,2,IF(Scharniere[[#This Row],[ohne Feder]]=1,3,0))),1,0)</f>
        <v>1</v>
      </c>
      <c r="G880" s="35">
        <f>IF(Scharniere[[#This Row],[Bohrbild]]=select!$V$43,1,0)</f>
        <v>0</v>
      </c>
      <c r="H880" s="35">
        <f>IF(IF(Scharniere[[#This Row],[Anschrauben]]=1,1,IF(Scharniere[[#This Row],[Einpressen]]=1,2,IF(Scharniere[[#This Row],[Quick]]=1,3,IF(Scharniere[[#This Row],[Werkzeuglos]]=1,4,0))))=select!$F$48,1,0)</f>
        <v>0</v>
      </c>
      <c r="I8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0" s="149">
        <f>IF(AND(Scharniere[[#This Row],[Scharnierart]]=2,Scharniere[[#This Row],[Gruppenschlüssel]]=select!$A$318)=TRUE,1,0)</f>
        <v>0</v>
      </c>
      <c r="K880" s="221">
        <f ca="1">IF(select!$O$424&lt;6,1,0)</f>
        <v>1</v>
      </c>
      <c r="L880" s="221">
        <f>IF(select!$A$362=IF(Scharniere[[#This Row],[mit Dämpfung]]=1,1,IF(Scharniere[[#This Row],[ohne Dämpfung]]=1,2,IF(Scharniere[[#This Row],[ohne Feder]]=1,3,0))),1,0)</f>
        <v>0</v>
      </c>
      <c r="M880" s="135">
        <f>IF(Scharniere[[#This Row],[Bohrbild]]=select!$O$334,1,0)</f>
        <v>0</v>
      </c>
      <c r="N880" s="135">
        <f>IF(IF(Scharniere[[#This Row],[Anschrauben]]=1,1,IF(Scharniere[[#This Row],[Einpressen]]=1,2,IF(Scharniere[[#This Row],[Quick]]=1,3,IF(Scharniere[[#This Row],[Werkzeuglos]]=1,4,0))))=select!$E$362,1,0)</f>
        <v>1</v>
      </c>
      <c r="O8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0" s="298">
        <f>IF(AND(Scharniere[[#This Row],[Scharnierart]]=3,Scharniere[[#This Row],[Gruppenschlüssel]]=select!$A$747)=TRUE,1,0)</f>
        <v>0</v>
      </c>
      <c r="Q880" s="298">
        <f ca="1">IF(select!$O$945&lt;6,1,0)</f>
        <v>1</v>
      </c>
      <c r="R880" s="298">
        <f>IF(select!$A$778=IF(Scharniere[[#This Row],[mit Dämpfung]]=1,1,IF(Scharniere[[#This Row],[ohne Dämpfung]]=1,2,IF(Scharniere[[#This Row],[ohne Feder]]=1,3,0))),1,0)</f>
        <v>0</v>
      </c>
      <c r="S880" s="298">
        <f>IF(Scharniere[[#This Row],[Bohrbild]]=select!$A$755,1,0)</f>
        <v>0</v>
      </c>
      <c r="T880" s="298">
        <f>IF(IF(Scharniere[[#This Row],[Anschrauben]]=1,1,IF(Scharniere[[#This Row],[Einpressen]]=1,2,IF(Scharniere[[#This Row],[Quick]]=1,3,IF(Scharniere[[#This Row],[Werkzeuglos]]=1,4,0))))=select!$A$769,1,0)</f>
        <v>1</v>
      </c>
      <c r="U8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0" s="359">
        <f>IF(AND(Scharniere[[#This Row],[Scharnierart]]=4,Scharniere[[#This Row],[Gruppenschlüssel]]=select!$A$981)=TRUE,1,0)</f>
        <v>0</v>
      </c>
      <c r="W880" s="359">
        <f ca="1">IF(select!$O$1185&lt;6,1,0)</f>
        <v>1</v>
      </c>
      <c r="X880" s="359">
        <f>IF(select!$A$1012=IF(Scharniere[[#This Row],[mit Dämpfung]]=1,1,IF(Scharniere[[#This Row],[ohne Dämpfung]]=1,2,IF(Scharniere[[#This Row],[ohne Feder]]=1,3,0))),1,0)</f>
        <v>0</v>
      </c>
      <c r="Y880" s="359">
        <f>IF(Scharniere[[#This Row],[Bohrbild]]=select!$A$989,1,0)</f>
        <v>0</v>
      </c>
      <c r="Z880" s="359">
        <f>IF(IF(Scharniere[[#This Row],[Anschrauben]]=1,1,IF(Scharniere[[#This Row],[Einpressen]]=1,2,IF(Scharniere[[#This Row],[Quick]]=1,3,IF(Scharniere[[#This Row],[Werkzeuglos]]=1,4,0))))=select!$A$1003,1,0)</f>
        <v>1</v>
      </c>
      <c r="AA8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0" s="359">
        <f ca="1">IF(select!$K$980="*",Scharniere[[#This Row],[AG Ges2]],Scharniere[[#This Row],[AG Ges1]])</f>
        <v>0</v>
      </c>
      <c r="AE880" s="451">
        <f ca="1">IF(AND(Scharniere[[#This Row],[Scharnierart]]=select!$A$1485,Scharniere[[#This Row],[Gruppenschlüssel]]=select!$B$1485)=TRUE,1,0)</f>
        <v>0</v>
      </c>
      <c r="AF880" s="451">
        <f ca="1">IF(AND(Scharniere[[#This Row],[Scharnierart]]=select!$A$1486,Scharniere[[#This Row],[Gruppenschlüssel]]=select!$B$1486)=TRUE,1,0)</f>
        <v>0</v>
      </c>
      <c r="AG880" s="451">
        <f ca="1">IF(AND(Scharniere[[#This Row],[Scharnierart]]=select!$A$1487,Scharniere[[#This Row],[Gruppenschlüssel]]=select!$B$1487)=TRUE,1,0)</f>
        <v>0</v>
      </c>
      <c r="AH880" s="451">
        <f ca="1">IF(AND(Scharniere[[#This Row],[Scharnierart]]=select!$A$1488,Scharniere[[#This Row],[Gruppenschlüssel]]=select!$B$1488)=TRUE,1,0)</f>
        <v>0</v>
      </c>
      <c r="AI880" s="451">
        <f ca="1">IF(SUM(Scharniere[[#This Row],[konf Scharnier 1]:[konf Scharnier 4]])&gt;0,1,0)</f>
        <v>0</v>
      </c>
      <c r="AJ880" s="451"/>
      <c r="AK880" s="451"/>
      <c r="AL880" s="451"/>
      <c r="AM880" s="451"/>
      <c r="AN880" s="451"/>
      <c r="AO880" s="146">
        <v>2</v>
      </c>
      <c r="AP880" s="146">
        <v>6</v>
      </c>
      <c r="AQ880" s="71" t="str">
        <f ca="1">Sprache!$A$114</f>
        <v>Tiomos Scharnier TT Click-on</v>
      </c>
      <c r="AR880" t="str">
        <f ca="1">"110/37°, B-BB, "&amp;Sprache!$A$62&amp;" ni"</f>
        <v>110/37°, B-BB, einl. ni</v>
      </c>
      <c r="AS880" t="str">
        <f ca="1">Sprache!$A$103</f>
        <v>Tiomos Click-On Scharniere</v>
      </c>
      <c r="AT880" t="s">
        <v>1264</v>
      </c>
      <c r="AU880" t="s">
        <v>3</v>
      </c>
      <c r="AV880" t="s">
        <v>1489</v>
      </c>
      <c r="AW880" s="71">
        <v>0</v>
      </c>
      <c r="AX880">
        <v>0</v>
      </c>
      <c r="AY880">
        <v>1</v>
      </c>
      <c r="AZ880" s="71">
        <v>1</v>
      </c>
      <c r="BA880">
        <v>0</v>
      </c>
      <c r="BB880">
        <v>0</v>
      </c>
      <c r="BC880">
        <v>0</v>
      </c>
      <c r="BD880" s="144" t="s">
        <v>1721</v>
      </c>
      <c r="BF880" s="10"/>
      <c r="BG880"/>
    </row>
    <row r="881" spans="1:59" ht="14.25" customHeight="1" x14ac:dyDescent="0.25">
      <c r="A881" s="37" t="str">
        <f>LEFT(Scharniere[[#This Row],[ArtikelNR]],4)</f>
        <v>F028</v>
      </c>
      <c r="B881" s="35" t="str">
        <f>MID(Scharniere[[#This Row],[ArtikelNR]],5,3)</f>
        <v>138</v>
      </c>
      <c r="C881" s="37" t="str">
        <f>RIGHT(Scharniere[[#This Row],[ArtikelNR]],3)</f>
        <v>350</v>
      </c>
      <c r="D881" s="35">
        <f>IF(AND(Scharniere[[#This Row],[Gruppenschlüssel]]=select!$A$44,Scharniere[[#This Row],[Scharnierart]]=1)=TRUE,1,0)</f>
        <v>0</v>
      </c>
      <c r="E8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1" s="35">
        <f>IF(select!$F$57=IF(Scharniere[[#This Row],[mit Dämpfung]]=1,1,IF(Scharniere[[#This Row],[ohne Dämpfung]]=1,2,IF(Scharniere[[#This Row],[ohne Feder]]=1,3,0))),1,0)</f>
        <v>0</v>
      </c>
      <c r="G881" s="35">
        <f>IF(Scharniere[[#This Row],[Bohrbild]]=select!$V$43,1,0)</f>
        <v>0</v>
      </c>
      <c r="H881" s="35">
        <f>IF(IF(Scharniere[[#This Row],[Anschrauben]]=1,1,IF(Scharniere[[#This Row],[Einpressen]]=1,2,IF(Scharniere[[#This Row],[Quick]]=1,3,IF(Scharniere[[#This Row],[Werkzeuglos]]=1,4,0))))=select!$F$48,1,0)</f>
        <v>0</v>
      </c>
      <c r="I8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1" s="149">
        <f>IF(AND(Scharniere[[#This Row],[Scharnierart]]=2,Scharniere[[#This Row],[Gruppenschlüssel]]=select!$A$318)=TRUE,1,0)</f>
        <v>0</v>
      </c>
      <c r="K881" s="221">
        <f ca="1">IF(select!$O$424&lt;6,1,0)</f>
        <v>1</v>
      </c>
      <c r="L881" s="221">
        <f>IF(select!$A$362=IF(Scharniere[[#This Row],[mit Dämpfung]]=1,1,IF(Scharniere[[#This Row],[ohne Dämpfung]]=1,2,IF(Scharniere[[#This Row],[ohne Feder]]=1,3,0))),1,0)</f>
        <v>1</v>
      </c>
      <c r="M881" s="135">
        <f>IF(Scharniere[[#This Row],[Bohrbild]]=select!$O$334,1,0)</f>
        <v>0</v>
      </c>
      <c r="N881" s="135">
        <f>IF(IF(Scharniere[[#This Row],[Anschrauben]]=1,1,IF(Scharniere[[#This Row],[Einpressen]]=1,2,IF(Scharniere[[#This Row],[Quick]]=1,3,IF(Scharniere[[#This Row],[Werkzeuglos]]=1,4,0))))=select!$E$362,1,0)</f>
        <v>1</v>
      </c>
      <c r="O8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1" s="298">
        <f>IF(AND(Scharniere[[#This Row],[Scharnierart]]=3,Scharniere[[#This Row],[Gruppenschlüssel]]=select!$A$747)=TRUE,1,0)</f>
        <v>0</v>
      </c>
      <c r="Q881" s="298">
        <f ca="1">IF(select!$O$945&lt;6,1,0)</f>
        <v>1</v>
      </c>
      <c r="R881" s="298">
        <f>IF(select!$A$778=IF(Scharniere[[#This Row],[mit Dämpfung]]=1,1,IF(Scharniere[[#This Row],[ohne Dämpfung]]=1,2,IF(Scharniere[[#This Row],[ohne Feder]]=1,3,0))),1,0)</f>
        <v>0</v>
      </c>
      <c r="S881" s="298">
        <f>IF(Scharniere[[#This Row],[Bohrbild]]=select!$A$755,1,0)</f>
        <v>0</v>
      </c>
      <c r="T881" s="298">
        <f>IF(IF(Scharniere[[#This Row],[Anschrauben]]=1,1,IF(Scharniere[[#This Row],[Einpressen]]=1,2,IF(Scharniere[[#This Row],[Quick]]=1,3,IF(Scharniere[[#This Row],[Werkzeuglos]]=1,4,0))))=select!$A$769,1,0)</f>
        <v>1</v>
      </c>
      <c r="U8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1" s="359">
        <f>IF(AND(Scharniere[[#This Row],[Scharnierart]]=4,Scharniere[[#This Row],[Gruppenschlüssel]]=select!$A$981)=TRUE,1,0)</f>
        <v>0</v>
      </c>
      <c r="W881" s="359">
        <f ca="1">IF(select!$O$1185&lt;6,1,0)</f>
        <v>1</v>
      </c>
      <c r="X881" s="359">
        <f>IF(select!$A$1012=IF(Scharniere[[#This Row],[mit Dämpfung]]=1,1,IF(Scharniere[[#This Row],[ohne Dämpfung]]=1,2,IF(Scharniere[[#This Row],[ohne Feder]]=1,3,0))),1,0)</f>
        <v>0</v>
      </c>
      <c r="Y881" s="359">
        <f>IF(Scharniere[[#This Row],[Bohrbild]]=select!$A$989,1,0)</f>
        <v>0</v>
      </c>
      <c r="Z881" s="359">
        <f>IF(IF(Scharniere[[#This Row],[Anschrauben]]=1,1,IF(Scharniere[[#This Row],[Einpressen]]=1,2,IF(Scharniere[[#This Row],[Quick]]=1,3,IF(Scharniere[[#This Row],[Werkzeuglos]]=1,4,0))))=select!$A$1003,1,0)</f>
        <v>1</v>
      </c>
      <c r="AA8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1" s="359">
        <f ca="1">IF(select!$K$980="*",Scharniere[[#This Row],[AG Ges2]],Scharniere[[#This Row],[AG Ges1]])</f>
        <v>0</v>
      </c>
      <c r="AE881" s="451">
        <f ca="1">IF(AND(Scharniere[[#This Row],[Scharnierart]]=select!$A$1485,Scharniere[[#This Row],[Gruppenschlüssel]]=select!$B$1485)=TRUE,1,0)</f>
        <v>0</v>
      </c>
      <c r="AF881" s="451">
        <f ca="1">IF(AND(Scharniere[[#This Row],[Scharnierart]]=select!$A$1486,Scharniere[[#This Row],[Gruppenschlüssel]]=select!$B$1486)=TRUE,1,0)</f>
        <v>0</v>
      </c>
      <c r="AG881" s="451">
        <f ca="1">IF(AND(Scharniere[[#This Row],[Scharnierart]]=select!$A$1487,Scharniere[[#This Row],[Gruppenschlüssel]]=select!$B$1487)=TRUE,1,0)</f>
        <v>0</v>
      </c>
      <c r="AH881" s="451">
        <f ca="1">IF(AND(Scharniere[[#This Row],[Scharnierart]]=select!$A$1488,Scharniere[[#This Row],[Gruppenschlüssel]]=select!$B$1488)=TRUE,1,0)</f>
        <v>0</v>
      </c>
      <c r="AI881" s="451">
        <f ca="1">IF(SUM(Scharniere[[#This Row],[konf Scharnier 1]:[konf Scharnier 4]])&gt;0,1,0)</f>
        <v>0</v>
      </c>
      <c r="AJ881" s="451"/>
      <c r="AK881" s="451"/>
      <c r="AL881" s="451"/>
      <c r="AM881" s="451"/>
      <c r="AN881" s="451"/>
      <c r="AO881" s="146">
        <v>2</v>
      </c>
      <c r="AP881" s="146">
        <v>6</v>
      </c>
      <c r="AQ881" s="71" t="str">
        <f ca="1">Sprache!$A$112</f>
        <v>Tiomos Scharnier TS Click-on</v>
      </c>
      <c r="AR881" t="str">
        <f ca="1">"110/37°, G-BB, "&amp;Sprache!$A$62&amp;" ni"</f>
        <v>110/37°, G-BB, einl. ni</v>
      </c>
      <c r="AS881" t="str">
        <f ca="1">Sprache!$A$103</f>
        <v>Tiomos Click-On Scharniere</v>
      </c>
      <c r="AT881" t="s">
        <v>1264</v>
      </c>
      <c r="AU881" t="s">
        <v>9</v>
      </c>
      <c r="AV881" t="s">
        <v>1489</v>
      </c>
      <c r="AW881" s="71">
        <v>1</v>
      </c>
      <c r="AX881">
        <v>0</v>
      </c>
      <c r="AY881">
        <v>0</v>
      </c>
      <c r="AZ881" s="71">
        <v>1</v>
      </c>
      <c r="BA881">
        <v>0</v>
      </c>
      <c r="BB881">
        <v>0</v>
      </c>
      <c r="BC881">
        <v>0</v>
      </c>
      <c r="BD881" s="144" t="s">
        <v>1536</v>
      </c>
      <c r="BF881" s="10"/>
      <c r="BG881"/>
    </row>
    <row r="882" spans="1:59" ht="14.25" customHeight="1" x14ac:dyDescent="0.25">
      <c r="A882" s="37" t="str">
        <f>LEFT(Scharniere[[#This Row],[ArtikelNR]],4)</f>
        <v>F045</v>
      </c>
      <c r="B882" s="35" t="str">
        <f>MID(Scharniere[[#This Row],[ArtikelNR]],5,3)</f>
        <v>138</v>
      </c>
      <c r="C882" s="37" t="str">
        <f>RIGHT(Scharniere[[#This Row],[ArtikelNR]],3)</f>
        <v>288</v>
      </c>
      <c r="D882" s="35">
        <f>IF(AND(Scharniere[[#This Row],[Gruppenschlüssel]]=select!$A$44,Scharniere[[#This Row],[Scharnierart]]=1)=TRUE,1,0)</f>
        <v>0</v>
      </c>
      <c r="E8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2" s="35">
        <f>IF(select!$F$57=IF(Scharniere[[#This Row],[mit Dämpfung]]=1,1,IF(Scharniere[[#This Row],[ohne Dämpfung]]=1,2,IF(Scharniere[[#This Row],[ohne Feder]]=1,3,0))),1,0)</f>
        <v>0</v>
      </c>
      <c r="G882" s="35">
        <f>IF(Scharniere[[#This Row],[Bohrbild]]=select!$V$43,1,0)</f>
        <v>0</v>
      </c>
      <c r="H882" s="35">
        <f>IF(IF(Scharniere[[#This Row],[Anschrauben]]=1,1,IF(Scharniere[[#This Row],[Einpressen]]=1,2,IF(Scharniere[[#This Row],[Quick]]=1,3,IF(Scharniere[[#This Row],[Werkzeuglos]]=1,4,0))))=select!$F$48,1,0)</f>
        <v>0</v>
      </c>
      <c r="I8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2" s="149">
        <f>IF(AND(Scharniere[[#This Row],[Scharnierart]]=2,Scharniere[[#This Row],[Gruppenschlüssel]]=select!$A$318)=TRUE,1,0)</f>
        <v>0</v>
      </c>
      <c r="K882" s="221">
        <f ca="1">IF(select!$O$424&lt;6,1,0)</f>
        <v>1</v>
      </c>
      <c r="L882" s="221">
        <f>IF(select!$A$362=IF(Scharniere[[#This Row],[mit Dämpfung]]=1,1,IF(Scharniere[[#This Row],[ohne Dämpfung]]=1,2,IF(Scharniere[[#This Row],[ohne Feder]]=1,3,0))),1,0)</f>
        <v>0</v>
      </c>
      <c r="M882" s="135">
        <f>IF(Scharniere[[#This Row],[Bohrbild]]=select!$O$334,1,0)</f>
        <v>0</v>
      </c>
      <c r="N882" s="135">
        <f>IF(IF(Scharniere[[#This Row],[Anschrauben]]=1,1,IF(Scharniere[[#This Row],[Einpressen]]=1,2,IF(Scharniere[[#This Row],[Quick]]=1,3,IF(Scharniere[[#This Row],[Werkzeuglos]]=1,4,0))))=select!$E$362,1,0)</f>
        <v>1</v>
      </c>
      <c r="O8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2" s="298">
        <f>IF(AND(Scharniere[[#This Row],[Scharnierart]]=3,Scharniere[[#This Row],[Gruppenschlüssel]]=select!$A$747)=TRUE,1,0)</f>
        <v>0</v>
      </c>
      <c r="Q882" s="298">
        <f ca="1">IF(select!$O$945&lt;6,1,0)</f>
        <v>1</v>
      </c>
      <c r="R882" s="298">
        <f>IF(select!$A$778=IF(Scharniere[[#This Row],[mit Dämpfung]]=1,1,IF(Scharniere[[#This Row],[ohne Dämpfung]]=1,2,IF(Scharniere[[#This Row],[ohne Feder]]=1,3,0))),1,0)</f>
        <v>1</v>
      </c>
      <c r="S882" s="298">
        <f>IF(Scharniere[[#This Row],[Bohrbild]]=select!$A$755,1,0)</f>
        <v>0</v>
      </c>
      <c r="T882" s="298">
        <f>IF(IF(Scharniere[[#This Row],[Anschrauben]]=1,1,IF(Scharniere[[#This Row],[Einpressen]]=1,2,IF(Scharniere[[#This Row],[Quick]]=1,3,IF(Scharniere[[#This Row],[Werkzeuglos]]=1,4,0))))=select!$A$769,1,0)</f>
        <v>1</v>
      </c>
      <c r="U8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2" s="359">
        <f>IF(AND(Scharniere[[#This Row],[Scharnierart]]=4,Scharniere[[#This Row],[Gruppenschlüssel]]=select!$A$981)=TRUE,1,0)</f>
        <v>0</v>
      </c>
      <c r="W882" s="359">
        <f ca="1">IF(select!$O$1185&lt;6,1,0)</f>
        <v>1</v>
      </c>
      <c r="X882" s="359">
        <f>IF(select!$A$1012=IF(Scharniere[[#This Row],[mit Dämpfung]]=1,1,IF(Scharniere[[#This Row],[ohne Dämpfung]]=1,2,IF(Scharniere[[#This Row],[ohne Feder]]=1,3,0))),1,0)</f>
        <v>1</v>
      </c>
      <c r="Y882" s="359">
        <f>IF(Scharniere[[#This Row],[Bohrbild]]=select!$A$989,1,0)</f>
        <v>0</v>
      </c>
      <c r="Z882" s="359">
        <f>IF(IF(Scharniere[[#This Row],[Anschrauben]]=1,1,IF(Scharniere[[#This Row],[Einpressen]]=1,2,IF(Scharniere[[#This Row],[Quick]]=1,3,IF(Scharniere[[#This Row],[Werkzeuglos]]=1,4,0))))=select!$A$1003,1,0)</f>
        <v>1</v>
      </c>
      <c r="AA8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2" s="359">
        <f ca="1">IF(select!$K$980="*",Scharniere[[#This Row],[AG Ges2]],Scharniere[[#This Row],[AG Ges1]])</f>
        <v>0</v>
      </c>
      <c r="AE882" s="451">
        <f ca="1">IF(AND(Scharniere[[#This Row],[Scharnierart]]=select!$A$1485,Scharniere[[#This Row],[Gruppenschlüssel]]=select!$B$1485)=TRUE,1,0)</f>
        <v>0</v>
      </c>
      <c r="AF882" s="451">
        <f ca="1">IF(AND(Scharniere[[#This Row],[Scharnierart]]=select!$A$1486,Scharniere[[#This Row],[Gruppenschlüssel]]=select!$B$1486)=TRUE,1,0)</f>
        <v>0</v>
      </c>
      <c r="AG882" s="451">
        <f ca="1">IF(AND(Scharniere[[#This Row],[Scharnierart]]=select!$A$1487,Scharniere[[#This Row],[Gruppenschlüssel]]=select!$B$1487)=TRUE,1,0)</f>
        <v>0</v>
      </c>
      <c r="AH882" s="451">
        <f ca="1">IF(AND(Scharniere[[#This Row],[Scharnierart]]=select!$A$1488,Scharniere[[#This Row],[Gruppenschlüssel]]=select!$B$1488)=TRUE,1,0)</f>
        <v>0</v>
      </c>
      <c r="AI882" s="451">
        <f ca="1">IF(SUM(Scharniere[[#This Row],[konf Scharnier 1]:[konf Scharnier 4]])&gt;0,1,0)</f>
        <v>0</v>
      </c>
      <c r="AJ882" s="451"/>
      <c r="AK882" s="451"/>
      <c r="AL882" s="451"/>
      <c r="AM882" s="451"/>
      <c r="AN882" s="451"/>
      <c r="AO882" s="146">
        <v>2</v>
      </c>
      <c r="AP882" s="146">
        <v>6</v>
      </c>
      <c r="AQ882" s="71" t="str">
        <f ca="1">Sprache!$A$118</f>
        <v>Tiomos Scharnier T Click-on</v>
      </c>
      <c r="AR882" t="str">
        <f ca="1">"110/37°, G-BB, "&amp;Sprache!$A$62&amp;" ni"</f>
        <v>110/37°, G-BB, einl. ni</v>
      </c>
      <c r="AS882" t="str">
        <f ca="1">Sprache!$A$103</f>
        <v>Tiomos Click-On Scharniere</v>
      </c>
      <c r="AT882" t="s">
        <v>1264</v>
      </c>
      <c r="AU882" t="s">
        <v>9</v>
      </c>
      <c r="AV882" t="s">
        <v>1489</v>
      </c>
      <c r="AW882" s="71">
        <v>0</v>
      </c>
      <c r="AX882">
        <v>1</v>
      </c>
      <c r="AY882">
        <v>0</v>
      </c>
      <c r="AZ882" s="71">
        <v>1</v>
      </c>
      <c r="BA882">
        <v>0</v>
      </c>
      <c r="BB882">
        <v>0</v>
      </c>
      <c r="BC882">
        <v>0</v>
      </c>
      <c r="BD882" s="144" t="s">
        <v>1637</v>
      </c>
      <c r="BF882" s="10"/>
      <c r="BG882"/>
    </row>
    <row r="883" spans="1:59" ht="14.25" customHeight="1" x14ac:dyDescent="0.25">
      <c r="A883" s="37" t="str">
        <f>LEFT(Scharniere[[#This Row],[ArtikelNR]],4)</f>
        <v>F046</v>
      </c>
      <c r="B883" s="35" t="str">
        <f>MID(Scharniere[[#This Row],[ArtikelNR]],5,3)</f>
        <v>138</v>
      </c>
      <c r="C883" s="37" t="str">
        <f>RIGHT(Scharniere[[#This Row],[ArtikelNR]],3)</f>
        <v>410</v>
      </c>
      <c r="D883" s="35">
        <f>IF(AND(Scharniere[[#This Row],[Gruppenschlüssel]]=select!$A$44,Scharniere[[#This Row],[Scharnierart]]=1)=TRUE,1,0)</f>
        <v>0</v>
      </c>
      <c r="E8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3" s="35">
        <f>IF(select!$F$57=IF(Scharniere[[#This Row],[mit Dämpfung]]=1,1,IF(Scharniere[[#This Row],[ohne Dämpfung]]=1,2,IF(Scharniere[[#This Row],[ohne Feder]]=1,3,0))),1,0)</f>
        <v>1</v>
      </c>
      <c r="G883" s="35">
        <f>IF(Scharniere[[#This Row],[Bohrbild]]=select!$V$43,1,0)</f>
        <v>0</v>
      </c>
      <c r="H883" s="35">
        <f>IF(IF(Scharniere[[#This Row],[Anschrauben]]=1,1,IF(Scharniere[[#This Row],[Einpressen]]=1,2,IF(Scharniere[[#This Row],[Quick]]=1,3,IF(Scharniere[[#This Row],[Werkzeuglos]]=1,4,0))))=select!$F$48,1,0)</f>
        <v>0</v>
      </c>
      <c r="I8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3" s="149">
        <f>IF(AND(Scharniere[[#This Row],[Scharnierart]]=2,Scharniere[[#This Row],[Gruppenschlüssel]]=select!$A$318)=TRUE,1,0)</f>
        <v>0</v>
      </c>
      <c r="K883" s="221">
        <f ca="1">IF(select!$O$424&lt;6,1,0)</f>
        <v>1</v>
      </c>
      <c r="L883" s="221">
        <f>IF(select!$A$362=IF(Scharniere[[#This Row],[mit Dämpfung]]=1,1,IF(Scharniere[[#This Row],[ohne Dämpfung]]=1,2,IF(Scharniere[[#This Row],[ohne Feder]]=1,3,0))),1,0)</f>
        <v>0</v>
      </c>
      <c r="M883" s="135">
        <f>IF(Scharniere[[#This Row],[Bohrbild]]=select!$O$334,1,0)</f>
        <v>0</v>
      </c>
      <c r="N883" s="135">
        <f>IF(IF(Scharniere[[#This Row],[Anschrauben]]=1,1,IF(Scharniere[[#This Row],[Einpressen]]=1,2,IF(Scharniere[[#This Row],[Quick]]=1,3,IF(Scharniere[[#This Row],[Werkzeuglos]]=1,4,0))))=select!$E$362,1,0)</f>
        <v>1</v>
      </c>
      <c r="O8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3" s="298">
        <f>IF(AND(Scharniere[[#This Row],[Scharnierart]]=3,Scharniere[[#This Row],[Gruppenschlüssel]]=select!$A$747)=TRUE,1,0)</f>
        <v>0</v>
      </c>
      <c r="Q883" s="298">
        <f ca="1">IF(select!$O$945&lt;6,1,0)</f>
        <v>1</v>
      </c>
      <c r="R883" s="298">
        <f>IF(select!$A$778=IF(Scharniere[[#This Row],[mit Dämpfung]]=1,1,IF(Scharniere[[#This Row],[ohne Dämpfung]]=1,2,IF(Scharniere[[#This Row],[ohne Feder]]=1,3,0))),1,0)</f>
        <v>0</v>
      </c>
      <c r="S883" s="298">
        <f>IF(Scharniere[[#This Row],[Bohrbild]]=select!$A$755,1,0)</f>
        <v>0</v>
      </c>
      <c r="T883" s="298">
        <f>IF(IF(Scharniere[[#This Row],[Anschrauben]]=1,1,IF(Scharniere[[#This Row],[Einpressen]]=1,2,IF(Scharniere[[#This Row],[Quick]]=1,3,IF(Scharniere[[#This Row],[Werkzeuglos]]=1,4,0))))=select!$A$769,1,0)</f>
        <v>1</v>
      </c>
      <c r="U8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3" s="359">
        <f>IF(AND(Scharniere[[#This Row],[Scharnierart]]=4,Scharniere[[#This Row],[Gruppenschlüssel]]=select!$A$981)=TRUE,1,0)</f>
        <v>0</v>
      </c>
      <c r="W883" s="359">
        <f ca="1">IF(select!$O$1185&lt;6,1,0)</f>
        <v>1</v>
      </c>
      <c r="X883" s="359">
        <f>IF(select!$A$1012=IF(Scharniere[[#This Row],[mit Dämpfung]]=1,1,IF(Scharniere[[#This Row],[ohne Dämpfung]]=1,2,IF(Scharniere[[#This Row],[ohne Feder]]=1,3,0))),1,0)</f>
        <v>0</v>
      </c>
      <c r="Y883" s="359">
        <f>IF(Scharniere[[#This Row],[Bohrbild]]=select!$A$989,1,0)</f>
        <v>0</v>
      </c>
      <c r="Z883" s="359">
        <f>IF(IF(Scharniere[[#This Row],[Anschrauben]]=1,1,IF(Scharniere[[#This Row],[Einpressen]]=1,2,IF(Scharniere[[#This Row],[Quick]]=1,3,IF(Scharniere[[#This Row],[Werkzeuglos]]=1,4,0))))=select!$A$1003,1,0)</f>
        <v>1</v>
      </c>
      <c r="AA8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3" s="359">
        <f ca="1">IF(select!$K$980="*",Scharniere[[#This Row],[AG Ges2]],Scharniere[[#This Row],[AG Ges1]])</f>
        <v>0</v>
      </c>
      <c r="AE883" s="451">
        <f ca="1">IF(AND(Scharniere[[#This Row],[Scharnierart]]=select!$A$1485,Scharniere[[#This Row],[Gruppenschlüssel]]=select!$B$1485)=TRUE,1,0)</f>
        <v>0</v>
      </c>
      <c r="AF883" s="451">
        <f ca="1">IF(AND(Scharniere[[#This Row],[Scharnierart]]=select!$A$1486,Scharniere[[#This Row],[Gruppenschlüssel]]=select!$B$1486)=TRUE,1,0)</f>
        <v>0</v>
      </c>
      <c r="AG883" s="451">
        <f ca="1">IF(AND(Scharniere[[#This Row],[Scharnierart]]=select!$A$1487,Scharniere[[#This Row],[Gruppenschlüssel]]=select!$B$1487)=TRUE,1,0)</f>
        <v>0</v>
      </c>
      <c r="AH883" s="451">
        <f ca="1">IF(AND(Scharniere[[#This Row],[Scharnierart]]=select!$A$1488,Scharniere[[#This Row],[Gruppenschlüssel]]=select!$B$1488)=TRUE,1,0)</f>
        <v>0</v>
      </c>
      <c r="AI883" s="451">
        <f ca="1">IF(SUM(Scharniere[[#This Row],[konf Scharnier 1]:[konf Scharnier 4]])&gt;0,1,0)</f>
        <v>0</v>
      </c>
      <c r="AJ883" s="451"/>
      <c r="AK883" s="451"/>
      <c r="AL883" s="451"/>
      <c r="AM883" s="451"/>
      <c r="AN883" s="451"/>
      <c r="AO883" s="146">
        <v>2</v>
      </c>
      <c r="AP883" s="146">
        <v>6</v>
      </c>
      <c r="AQ883" s="71" t="str">
        <f ca="1">Sprache!$A$114</f>
        <v>Tiomos Scharnier TT Click-on</v>
      </c>
      <c r="AR883" t="str">
        <f ca="1">"110/37°, G-BB, "&amp;Sprache!$A$62&amp;" ni"</f>
        <v>110/37°, G-BB, einl. ni</v>
      </c>
      <c r="AS883" t="str">
        <f ca="1">Sprache!$A$103</f>
        <v>Tiomos Click-On Scharniere</v>
      </c>
      <c r="AT883" t="s">
        <v>1264</v>
      </c>
      <c r="AU883" t="s">
        <v>9</v>
      </c>
      <c r="AV883" t="s">
        <v>1489</v>
      </c>
      <c r="AW883" s="71">
        <v>0</v>
      </c>
      <c r="AX883">
        <v>0</v>
      </c>
      <c r="AY883">
        <v>1</v>
      </c>
      <c r="AZ883" s="71">
        <v>1</v>
      </c>
      <c r="BA883">
        <v>0</v>
      </c>
      <c r="BB883">
        <v>0</v>
      </c>
      <c r="BC883">
        <v>0</v>
      </c>
      <c r="BD883" s="144" t="s">
        <v>1714</v>
      </c>
      <c r="BF883" s="10"/>
      <c r="BG883"/>
    </row>
    <row r="884" spans="1:59" ht="14.25" customHeight="1" x14ac:dyDescent="0.25">
      <c r="A884" s="37" t="str">
        <f>LEFT(Scharniere[[#This Row],[ArtikelNR]],4)</f>
        <v>F017</v>
      </c>
      <c r="B884" s="35" t="str">
        <f>MID(Scharniere[[#This Row],[ArtikelNR]],5,3)</f>
        <v>139</v>
      </c>
      <c r="C884" s="37" t="str">
        <f>RIGHT(Scharniere[[#This Row],[ArtikelNR]],3)</f>
        <v>423</v>
      </c>
      <c r="D884" s="35">
        <f>IF(AND(Scharniere[[#This Row],[Gruppenschlüssel]]=select!$A$44,Scharniere[[#This Row],[Scharnierart]]=1)=TRUE,1,0)</f>
        <v>0</v>
      </c>
      <c r="E8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4" s="35">
        <f>IF(select!$F$57=IF(Scharniere[[#This Row],[mit Dämpfung]]=1,1,IF(Scharniere[[#This Row],[ohne Dämpfung]]=1,2,IF(Scharniere[[#This Row],[ohne Feder]]=1,3,0))),1,0)</f>
        <v>0</v>
      </c>
      <c r="G884" s="35">
        <f>IF(Scharniere[[#This Row],[Bohrbild]]=select!$V$43,1,0)</f>
        <v>0</v>
      </c>
      <c r="H884" s="35">
        <f>IF(IF(Scharniere[[#This Row],[Anschrauben]]=1,1,IF(Scharniere[[#This Row],[Einpressen]]=1,2,IF(Scharniere[[#This Row],[Quick]]=1,3,IF(Scharniere[[#This Row],[Werkzeuglos]]=1,4,0))))=select!$F$48,1,0)</f>
        <v>0</v>
      </c>
      <c r="I8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4" s="149">
        <f>IF(AND(Scharniere[[#This Row],[Scharnierart]]=2,Scharniere[[#This Row],[Gruppenschlüssel]]=select!$A$318)=TRUE,1,0)</f>
        <v>0</v>
      </c>
      <c r="K884" s="221">
        <f ca="1">IF(select!$O$424&lt;6,1,0)</f>
        <v>1</v>
      </c>
      <c r="L884" s="221">
        <f>IF(select!$A$362=IF(Scharniere[[#This Row],[mit Dämpfung]]=1,1,IF(Scharniere[[#This Row],[ohne Dämpfung]]=1,2,IF(Scharniere[[#This Row],[ohne Feder]]=1,3,0))),1,0)</f>
        <v>1</v>
      </c>
      <c r="M884" s="135">
        <f>IF(Scharniere[[#This Row],[Bohrbild]]=select!$O$334,1,0)</f>
        <v>0</v>
      </c>
      <c r="N884" s="135">
        <f>IF(IF(Scharniere[[#This Row],[Anschrauben]]=1,1,IF(Scharniere[[#This Row],[Einpressen]]=1,2,IF(Scharniere[[#This Row],[Quick]]=1,3,IF(Scharniere[[#This Row],[Werkzeuglos]]=1,4,0))))=select!$E$362,1,0)</f>
        <v>0</v>
      </c>
      <c r="O8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4" s="298">
        <f>IF(AND(Scharniere[[#This Row],[Scharnierart]]=3,Scharniere[[#This Row],[Gruppenschlüssel]]=select!$A$747)=TRUE,1,0)</f>
        <v>0</v>
      </c>
      <c r="Q884" s="298">
        <f ca="1">IF(select!$O$945&lt;6,1,0)</f>
        <v>1</v>
      </c>
      <c r="R884" s="298">
        <f>IF(select!$A$778=IF(Scharniere[[#This Row],[mit Dämpfung]]=1,1,IF(Scharniere[[#This Row],[ohne Dämpfung]]=1,2,IF(Scharniere[[#This Row],[ohne Feder]]=1,3,0))),1,0)</f>
        <v>0</v>
      </c>
      <c r="S884" s="298">
        <f>IF(Scharniere[[#This Row],[Bohrbild]]=select!$A$755,1,0)</f>
        <v>0</v>
      </c>
      <c r="T884" s="298">
        <f>IF(IF(Scharniere[[#This Row],[Anschrauben]]=1,1,IF(Scharniere[[#This Row],[Einpressen]]=1,2,IF(Scharniere[[#This Row],[Quick]]=1,3,IF(Scharniere[[#This Row],[Werkzeuglos]]=1,4,0))))=select!$A$769,1,0)</f>
        <v>0</v>
      </c>
      <c r="U8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4" s="359">
        <f>IF(AND(Scharniere[[#This Row],[Scharnierart]]=4,Scharniere[[#This Row],[Gruppenschlüssel]]=select!$A$981)=TRUE,1,0)</f>
        <v>0</v>
      </c>
      <c r="W884" s="359">
        <f ca="1">IF(select!$O$1185&lt;6,1,0)</f>
        <v>1</v>
      </c>
      <c r="X884" s="359">
        <f>IF(select!$A$1012=IF(Scharniere[[#This Row],[mit Dämpfung]]=1,1,IF(Scharniere[[#This Row],[ohne Dämpfung]]=1,2,IF(Scharniere[[#This Row],[ohne Feder]]=1,3,0))),1,0)</f>
        <v>0</v>
      </c>
      <c r="Y884" s="359">
        <f>IF(Scharniere[[#This Row],[Bohrbild]]=select!$A$989,1,0)</f>
        <v>0</v>
      </c>
      <c r="Z884" s="359">
        <f>IF(IF(Scharniere[[#This Row],[Anschrauben]]=1,1,IF(Scharniere[[#This Row],[Einpressen]]=1,2,IF(Scharniere[[#This Row],[Quick]]=1,3,IF(Scharniere[[#This Row],[Werkzeuglos]]=1,4,0))))=select!$A$1003,1,0)</f>
        <v>0</v>
      </c>
      <c r="AA8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4" s="359">
        <f ca="1">IF(select!$K$980="*",Scharniere[[#This Row],[AG Ges2]],Scharniere[[#This Row],[AG Ges1]])</f>
        <v>0</v>
      </c>
      <c r="AE884" s="451">
        <f ca="1">IF(AND(Scharniere[[#This Row],[Scharnierart]]=select!$A$1485,Scharniere[[#This Row],[Gruppenschlüssel]]=select!$B$1485)=TRUE,1,0)</f>
        <v>0</v>
      </c>
      <c r="AF884" s="451">
        <f ca="1">IF(AND(Scharniere[[#This Row],[Scharnierart]]=select!$A$1486,Scharniere[[#This Row],[Gruppenschlüssel]]=select!$B$1486)=TRUE,1,0)</f>
        <v>0</v>
      </c>
      <c r="AG884" s="451">
        <f ca="1">IF(AND(Scharniere[[#This Row],[Scharnierart]]=select!$A$1487,Scharniere[[#This Row],[Gruppenschlüssel]]=select!$B$1487)=TRUE,1,0)</f>
        <v>0</v>
      </c>
      <c r="AH884" s="451">
        <f ca="1">IF(AND(Scharniere[[#This Row],[Scharnierart]]=select!$A$1488,Scharniere[[#This Row],[Gruppenschlüssel]]=select!$B$1488)=TRUE,1,0)</f>
        <v>0</v>
      </c>
      <c r="AI884" s="451">
        <f ca="1">IF(SUM(Scharniere[[#This Row],[konf Scharnier 1]:[konf Scharnier 4]])&gt;0,1,0)</f>
        <v>0</v>
      </c>
      <c r="AJ884" s="451"/>
      <c r="AK884" s="451"/>
      <c r="AL884" s="451"/>
      <c r="AM884" s="451"/>
      <c r="AN884" s="451"/>
      <c r="AO884" s="146">
        <v>2</v>
      </c>
      <c r="AP884" s="146">
        <v>6</v>
      </c>
      <c r="AQ884" s="71" t="str">
        <f ca="1">Sprache!$A$113</f>
        <v>Tiomos Scharnier TS Impresso</v>
      </c>
      <c r="AR884" t="str">
        <f ca="1">"110/37°, GB-BB, "&amp;Sprache!$A$62&amp;" ni"</f>
        <v>110/37°, GB-BB, einl. ni</v>
      </c>
      <c r="AS884" t="str">
        <f ca="1">Sprache!$A$116</f>
        <v>Tiomos Impresso Scharniere</v>
      </c>
      <c r="AT884" t="s">
        <v>1264</v>
      </c>
      <c r="AU884" t="s">
        <v>9</v>
      </c>
      <c r="AV884" t="s">
        <v>1489</v>
      </c>
      <c r="AW884" s="71">
        <v>1</v>
      </c>
      <c r="AX884">
        <v>0</v>
      </c>
      <c r="AY884">
        <v>0</v>
      </c>
      <c r="AZ884" s="71">
        <v>0</v>
      </c>
      <c r="BA884">
        <v>0</v>
      </c>
      <c r="BB884">
        <v>0</v>
      </c>
      <c r="BC884">
        <v>1</v>
      </c>
      <c r="BD884" s="144" t="s">
        <v>1503</v>
      </c>
      <c r="BF884" s="10"/>
      <c r="BG884"/>
    </row>
    <row r="885" spans="1:59" ht="14.25" customHeight="1" x14ac:dyDescent="0.25">
      <c r="A885" s="37" t="str">
        <f>LEFT(Scharniere[[#This Row],[ArtikelNR]],4)</f>
        <v>F017</v>
      </c>
      <c r="B885" s="35" t="str">
        <f>MID(Scharniere[[#This Row],[ArtikelNR]],5,3)</f>
        <v>139</v>
      </c>
      <c r="C885" s="37" t="str">
        <f>RIGHT(Scharniere[[#This Row],[ArtikelNR]],3)</f>
        <v>423</v>
      </c>
      <c r="D885" s="35">
        <f>IF(AND(Scharniere[[#This Row],[Gruppenschlüssel]]=select!$A$44,Scharniere[[#This Row],[Scharnierart]]=1)=TRUE,1,0)</f>
        <v>0</v>
      </c>
      <c r="E8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5" s="35">
        <f>IF(select!$F$57=IF(Scharniere[[#This Row],[mit Dämpfung]]=1,1,IF(Scharniere[[#This Row],[ohne Dämpfung]]=1,2,IF(Scharniere[[#This Row],[ohne Feder]]=1,3,0))),1,0)</f>
        <v>0</v>
      </c>
      <c r="G885" s="35">
        <f>IF(Scharniere[[#This Row],[Bohrbild]]=select!$V$43,1,0)</f>
        <v>0</v>
      </c>
      <c r="H885" s="35">
        <f>IF(IF(Scharniere[[#This Row],[Anschrauben]]=1,1,IF(Scharniere[[#This Row],[Einpressen]]=1,2,IF(Scharniere[[#This Row],[Quick]]=1,3,IF(Scharniere[[#This Row],[Werkzeuglos]]=1,4,0))))=select!$F$48,1,0)</f>
        <v>0</v>
      </c>
      <c r="I8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5" s="149">
        <f>IF(AND(Scharniere[[#This Row],[Scharnierart]]=2,Scharniere[[#This Row],[Gruppenschlüssel]]=select!$A$318)=TRUE,1,0)</f>
        <v>0</v>
      </c>
      <c r="K885" s="221">
        <f ca="1">IF(select!$O$424&lt;6,1,0)</f>
        <v>1</v>
      </c>
      <c r="L885" s="221">
        <f>IF(select!$A$362=IF(Scharniere[[#This Row],[mit Dämpfung]]=1,1,IF(Scharniere[[#This Row],[ohne Dämpfung]]=1,2,IF(Scharniere[[#This Row],[ohne Feder]]=1,3,0))),1,0)</f>
        <v>1</v>
      </c>
      <c r="M885" s="135">
        <f>IF(Scharniere[[#This Row],[Bohrbild]]=select!$O$334,1,0)</f>
        <v>0</v>
      </c>
      <c r="N885" s="135">
        <f>IF(IF(Scharniere[[#This Row],[Anschrauben]]=1,1,IF(Scharniere[[#This Row],[Einpressen]]=1,2,IF(Scharniere[[#This Row],[Quick]]=1,3,IF(Scharniere[[#This Row],[Werkzeuglos]]=1,4,0))))=select!$E$362,1,0)</f>
        <v>0</v>
      </c>
      <c r="O8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5" s="298">
        <f>IF(AND(Scharniere[[#This Row],[Scharnierart]]=3,Scharniere[[#This Row],[Gruppenschlüssel]]=select!$A$747)=TRUE,1,0)</f>
        <v>0</v>
      </c>
      <c r="Q885" s="298">
        <f ca="1">IF(select!$O$945&lt;6,1,0)</f>
        <v>1</v>
      </c>
      <c r="R885" s="298">
        <f>IF(select!$A$778=IF(Scharniere[[#This Row],[mit Dämpfung]]=1,1,IF(Scharniere[[#This Row],[ohne Dämpfung]]=1,2,IF(Scharniere[[#This Row],[ohne Feder]]=1,3,0))),1,0)</f>
        <v>0</v>
      </c>
      <c r="S885" s="298">
        <f>IF(Scharniere[[#This Row],[Bohrbild]]=select!$A$755,1,0)</f>
        <v>0</v>
      </c>
      <c r="T885" s="298">
        <f>IF(IF(Scharniere[[#This Row],[Anschrauben]]=1,1,IF(Scharniere[[#This Row],[Einpressen]]=1,2,IF(Scharniere[[#This Row],[Quick]]=1,3,IF(Scharniere[[#This Row],[Werkzeuglos]]=1,4,0))))=select!$A$769,1,0)</f>
        <v>0</v>
      </c>
      <c r="U8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5" s="359">
        <f>IF(AND(Scharniere[[#This Row],[Scharnierart]]=4,Scharniere[[#This Row],[Gruppenschlüssel]]=select!$A$981)=TRUE,1,0)</f>
        <v>0</v>
      </c>
      <c r="W885" s="359">
        <f ca="1">IF(select!$O$1185&lt;6,1,0)</f>
        <v>1</v>
      </c>
      <c r="X885" s="359">
        <f>IF(select!$A$1012=IF(Scharniere[[#This Row],[mit Dämpfung]]=1,1,IF(Scharniere[[#This Row],[ohne Dämpfung]]=1,2,IF(Scharniere[[#This Row],[ohne Feder]]=1,3,0))),1,0)</f>
        <v>0</v>
      </c>
      <c r="Y885" s="359">
        <f>IF(Scharniere[[#This Row],[Bohrbild]]=select!$A$989,1,0)</f>
        <v>0</v>
      </c>
      <c r="Z885" s="359">
        <f>IF(IF(Scharniere[[#This Row],[Anschrauben]]=1,1,IF(Scharniere[[#This Row],[Einpressen]]=1,2,IF(Scharniere[[#This Row],[Quick]]=1,3,IF(Scharniere[[#This Row],[Werkzeuglos]]=1,4,0))))=select!$A$1003,1,0)</f>
        <v>0</v>
      </c>
      <c r="AA8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5" s="359">
        <f ca="1">IF(select!$K$980="*",Scharniere[[#This Row],[AG Ges2]],Scharniere[[#This Row],[AG Ges1]])</f>
        <v>0</v>
      </c>
      <c r="AE885" s="451">
        <f ca="1">IF(AND(Scharniere[[#This Row],[Scharnierart]]=select!$A$1485,Scharniere[[#This Row],[Gruppenschlüssel]]=select!$B$1485)=TRUE,1,0)</f>
        <v>0</v>
      </c>
      <c r="AF885" s="451">
        <f ca="1">IF(AND(Scharniere[[#This Row],[Scharnierart]]=select!$A$1486,Scharniere[[#This Row],[Gruppenschlüssel]]=select!$B$1486)=TRUE,1,0)</f>
        <v>0</v>
      </c>
      <c r="AG885" s="451">
        <f ca="1">IF(AND(Scharniere[[#This Row],[Scharnierart]]=select!$A$1487,Scharniere[[#This Row],[Gruppenschlüssel]]=select!$B$1487)=TRUE,1,0)</f>
        <v>0</v>
      </c>
      <c r="AH885" s="451">
        <f ca="1">IF(AND(Scharniere[[#This Row],[Scharnierart]]=select!$A$1488,Scharniere[[#This Row],[Gruppenschlüssel]]=select!$B$1488)=TRUE,1,0)</f>
        <v>0</v>
      </c>
      <c r="AI885" s="451">
        <f ca="1">IF(SUM(Scharniere[[#This Row],[konf Scharnier 1]:[konf Scharnier 4]])&gt;0,1,0)</f>
        <v>0</v>
      </c>
      <c r="AJ885" s="451"/>
      <c r="AK885" s="451"/>
      <c r="AL885" s="451"/>
      <c r="AM885" s="451"/>
      <c r="AN885" s="451"/>
      <c r="AO885" s="146">
        <v>2</v>
      </c>
      <c r="AP885" s="146">
        <v>6</v>
      </c>
      <c r="AQ885" s="71" t="str">
        <f ca="1">Sprache!$A$113</f>
        <v>Tiomos Scharnier TS Impresso</v>
      </c>
      <c r="AR885" t="str">
        <f ca="1">"110/37°, GB-BB, "&amp;Sprache!$A$62&amp;" ni"</f>
        <v>110/37°, GB-BB, einl. ni</v>
      </c>
      <c r="AS885" t="str">
        <f ca="1">Sprache!$A$116</f>
        <v>Tiomos Impresso Scharniere</v>
      </c>
      <c r="AT885" t="s">
        <v>1264</v>
      </c>
      <c r="AU885" t="s">
        <v>3</v>
      </c>
      <c r="AV885" t="s">
        <v>1489</v>
      </c>
      <c r="AW885" s="71">
        <v>1</v>
      </c>
      <c r="AX885">
        <v>0</v>
      </c>
      <c r="AY885">
        <v>0</v>
      </c>
      <c r="AZ885" s="71">
        <v>0</v>
      </c>
      <c r="BA885">
        <v>0</v>
      </c>
      <c r="BB885">
        <v>0</v>
      </c>
      <c r="BC885">
        <v>1</v>
      </c>
      <c r="BD885" s="144" t="s">
        <v>1503</v>
      </c>
      <c r="BF885" s="10"/>
      <c r="BG885"/>
    </row>
    <row r="886" spans="1:59" ht="14.25" customHeight="1" x14ac:dyDescent="0.25">
      <c r="A886" s="37" t="str">
        <f>LEFT(Scharniere[[#This Row],[ArtikelNR]],4)</f>
        <v>F034</v>
      </c>
      <c r="B886" s="35" t="str">
        <f>MID(Scharniere[[#This Row],[ArtikelNR]],5,3)</f>
        <v>139</v>
      </c>
      <c r="C886" s="37" t="str">
        <f>RIGHT(Scharniere[[#This Row],[ArtikelNR]],3)</f>
        <v>394</v>
      </c>
      <c r="D886" s="35">
        <f>IF(AND(Scharniere[[#This Row],[Gruppenschlüssel]]=select!$A$44,Scharniere[[#This Row],[Scharnierart]]=1)=TRUE,1,0)</f>
        <v>0</v>
      </c>
      <c r="E8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6" s="35">
        <f>IF(select!$F$57=IF(Scharniere[[#This Row],[mit Dämpfung]]=1,1,IF(Scharniere[[#This Row],[ohne Dämpfung]]=1,2,IF(Scharniere[[#This Row],[ohne Feder]]=1,3,0))),1,0)</f>
        <v>0</v>
      </c>
      <c r="G886" s="35">
        <f>IF(Scharniere[[#This Row],[Bohrbild]]=select!$V$43,1,0)</f>
        <v>0</v>
      </c>
      <c r="H886" s="35">
        <f>IF(IF(Scharniere[[#This Row],[Anschrauben]]=1,1,IF(Scharniere[[#This Row],[Einpressen]]=1,2,IF(Scharniere[[#This Row],[Quick]]=1,3,IF(Scharniere[[#This Row],[Werkzeuglos]]=1,4,0))))=select!$F$48,1,0)</f>
        <v>0</v>
      </c>
      <c r="I8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6" s="149">
        <f>IF(AND(Scharniere[[#This Row],[Scharnierart]]=2,Scharniere[[#This Row],[Gruppenschlüssel]]=select!$A$318)=TRUE,1,0)</f>
        <v>0</v>
      </c>
      <c r="K886" s="221">
        <f ca="1">IF(select!$O$424&lt;6,1,0)</f>
        <v>1</v>
      </c>
      <c r="L886" s="221">
        <f>IF(select!$A$362=IF(Scharniere[[#This Row],[mit Dämpfung]]=1,1,IF(Scharniere[[#This Row],[ohne Dämpfung]]=1,2,IF(Scharniere[[#This Row],[ohne Feder]]=1,3,0))),1,0)</f>
        <v>0</v>
      </c>
      <c r="M886" s="135">
        <f>IF(Scharniere[[#This Row],[Bohrbild]]=select!$O$334,1,0)</f>
        <v>0</v>
      </c>
      <c r="N886" s="135">
        <f>IF(IF(Scharniere[[#This Row],[Anschrauben]]=1,1,IF(Scharniere[[#This Row],[Einpressen]]=1,2,IF(Scharniere[[#This Row],[Quick]]=1,3,IF(Scharniere[[#This Row],[Werkzeuglos]]=1,4,0))))=select!$E$362,1,0)</f>
        <v>0</v>
      </c>
      <c r="O8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6" s="298">
        <f>IF(AND(Scharniere[[#This Row],[Scharnierart]]=3,Scharniere[[#This Row],[Gruppenschlüssel]]=select!$A$747)=TRUE,1,0)</f>
        <v>0</v>
      </c>
      <c r="Q886" s="298">
        <f ca="1">IF(select!$O$945&lt;6,1,0)</f>
        <v>1</v>
      </c>
      <c r="R886" s="298">
        <f>IF(select!$A$778=IF(Scharniere[[#This Row],[mit Dämpfung]]=1,1,IF(Scharniere[[#This Row],[ohne Dämpfung]]=1,2,IF(Scharniere[[#This Row],[ohne Feder]]=1,3,0))),1,0)</f>
        <v>1</v>
      </c>
      <c r="S886" s="298">
        <f>IF(Scharniere[[#This Row],[Bohrbild]]=select!$A$755,1,0)</f>
        <v>0</v>
      </c>
      <c r="T886" s="298">
        <f>IF(IF(Scharniere[[#This Row],[Anschrauben]]=1,1,IF(Scharniere[[#This Row],[Einpressen]]=1,2,IF(Scharniere[[#This Row],[Quick]]=1,3,IF(Scharniere[[#This Row],[Werkzeuglos]]=1,4,0))))=select!$A$769,1,0)</f>
        <v>0</v>
      </c>
      <c r="U8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6" s="359">
        <f>IF(AND(Scharniere[[#This Row],[Scharnierart]]=4,Scharniere[[#This Row],[Gruppenschlüssel]]=select!$A$981)=TRUE,1,0)</f>
        <v>0</v>
      </c>
      <c r="W886" s="359">
        <f ca="1">IF(select!$O$1185&lt;6,1,0)</f>
        <v>1</v>
      </c>
      <c r="X886" s="359">
        <f>IF(select!$A$1012=IF(Scharniere[[#This Row],[mit Dämpfung]]=1,1,IF(Scharniere[[#This Row],[ohne Dämpfung]]=1,2,IF(Scharniere[[#This Row],[ohne Feder]]=1,3,0))),1,0)</f>
        <v>1</v>
      </c>
      <c r="Y886" s="359">
        <f>IF(Scharniere[[#This Row],[Bohrbild]]=select!$A$989,1,0)</f>
        <v>0</v>
      </c>
      <c r="Z886" s="359">
        <f>IF(IF(Scharniere[[#This Row],[Anschrauben]]=1,1,IF(Scharniere[[#This Row],[Einpressen]]=1,2,IF(Scharniere[[#This Row],[Quick]]=1,3,IF(Scharniere[[#This Row],[Werkzeuglos]]=1,4,0))))=select!$A$1003,1,0)</f>
        <v>0</v>
      </c>
      <c r="AA8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6" s="359">
        <f ca="1">IF(select!$K$980="*",Scharniere[[#This Row],[AG Ges2]],Scharniere[[#This Row],[AG Ges1]])</f>
        <v>0</v>
      </c>
      <c r="AE886" s="451">
        <f ca="1">IF(AND(Scharniere[[#This Row],[Scharnierart]]=select!$A$1485,Scharniere[[#This Row],[Gruppenschlüssel]]=select!$B$1485)=TRUE,1,0)</f>
        <v>0</v>
      </c>
      <c r="AF886" s="451">
        <f ca="1">IF(AND(Scharniere[[#This Row],[Scharnierart]]=select!$A$1486,Scharniere[[#This Row],[Gruppenschlüssel]]=select!$B$1486)=TRUE,1,0)</f>
        <v>0</v>
      </c>
      <c r="AG886" s="451">
        <f ca="1">IF(AND(Scharniere[[#This Row],[Scharnierart]]=select!$A$1487,Scharniere[[#This Row],[Gruppenschlüssel]]=select!$B$1487)=TRUE,1,0)</f>
        <v>0</v>
      </c>
      <c r="AH886" s="451">
        <f ca="1">IF(AND(Scharniere[[#This Row],[Scharnierart]]=select!$A$1488,Scharniere[[#This Row],[Gruppenschlüssel]]=select!$B$1488)=TRUE,1,0)</f>
        <v>0</v>
      </c>
      <c r="AI886" s="451">
        <f ca="1">IF(SUM(Scharniere[[#This Row],[konf Scharnier 1]:[konf Scharnier 4]])&gt;0,1,0)</f>
        <v>0</v>
      </c>
      <c r="AJ886" s="451"/>
      <c r="AK886" s="451"/>
      <c r="AL886" s="451"/>
      <c r="AM886" s="451"/>
      <c r="AN886" s="451"/>
      <c r="AO886" s="146">
        <v>2</v>
      </c>
      <c r="AP886" s="146">
        <v>6</v>
      </c>
      <c r="AQ886" s="71" t="str">
        <f ca="1">Sprache!$A$119</f>
        <v>Tiomos Scharnier T Impresso</v>
      </c>
      <c r="AR886" t="str">
        <f ca="1">"110/37°, GB-BB, "&amp;Sprache!$A$62&amp;" ni"</f>
        <v>110/37°, GB-BB, einl. ni</v>
      </c>
      <c r="AS886" t="str">
        <f ca="1">Sprache!$A$103</f>
        <v>Tiomos Click-On Scharniere</v>
      </c>
      <c r="AT886" t="s">
        <v>1264</v>
      </c>
      <c r="AU886" t="s">
        <v>9</v>
      </c>
      <c r="AV886" t="s">
        <v>1489</v>
      </c>
      <c r="AW886" s="71">
        <v>0</v>
      </c>
      <c r="AX886">
        <v>1</v>
      </c>
      <c r="AY886">
        <v>0</v>
      </c>
      <c r="AZ886" s="71">
        <v>0</v>
      </c>
      <c r="BA886">
        <v>0</v>
      </c>
      <c r="BB886">
        <v>0</v>
      </c>
      <c r="BC886">
        <v>1</v>
      </c>
      <c r="BD886" s="144" t="s">
        <v>1759</v>
      </c>
      <c r="BF886" s="10"/>
      <c r="BG886"/>
    </row>
    <row r="887" spans="1:59" ht="14.25" customHeight="1" x14ac:dyDescent="0.25">
      <c r="A887" s="37" t="str">
        <f>LEFT(Scharniere[[#This Row],[ArtikelNR]],4)</f>
        <v>F034</v>
      </c>
      <c r="B887" s="35" t="str">
        <f>MID(Scharniere[[#This Row],[ArtikelNR]],5,3)</f>
        <v>139</v>
      </c>
      <c r="C887" s="37" t="str">
        <f>RIGHT(Scharniere[[#This Row],[ArtikelNR]],3)</f>
        <v>394</v>
      </c>
      <c r="D887" s="35">
        <f>IF(AND(Scharniere[[#This Row],[Gruppenschlüssel]]=select!$A$44,Scharniere[[#This Row],[Scharnierart]]=1)=TRUE,1,0)</f>
        <v>0</v>
      </c>
      <c r="E8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7" s="35">
        <f>IF(select!$F$57=IF(Scharniere[[#This Row],[mit Dämpfung]]=1,1,IF(Scharniere[[#This Row],[ohne Dämpfung]]=1,2,IF(Scharniere[[#This Row],[ohne Feder]]=1,3,0))),1,0)</f>
        <v>0</v>
      </c>
      <c r="G887" s="35">
        <f>IF(Scharniere[[#This Row],[Bohrbild]]=select!$V$43,1,0)</f>
        <v>0</v>
      </c>
      <c r="H887" s="35">
        <f>IF(IF(Scharniere[[#This Row],[Anschrauben]]=1,1,IF(Scharniere[[#This Row],[Einpressen]]=1,2,IF(Scharniere[[#This Row],[Quick]]=1,3,IF(Scharniere[[#This Row],[Werkzeuglos]]=1,4,0))))=select!$F$48,1,0)</f>
        <v>0</v>
      </c>
      <c r="I8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7" s="149">
        <f>IF(AND(Scharniere[[#This Row],[Scharnierart]]=2,Scharniere[[#This Row],[Gruppenschlüssel]]=select!$A$318)=TRUE,1,0)</f>
        <v>0</v>
      </c>
      <c r="K887" s="221">
        <f ca="1">IF(select!$O$424&lt;6,1,0)</f>
        <v>1</v>
      </c>
      <c r="L887" s="221">
        <f>IF(select!$A$362=IF(Scharniere[[#This Row],[mit Dämpfung]]=1,1,IF(Scharniere[[#This Row],[ohne Dämpfung]]=1,2,IF(Scharniere[[#This Row],[ohne Feder]]=1,3,0))),1,0)</f>
        <v>0</v>
      </c>
      <c r="M887" s="135">
        <f>IF(Scharniere[[#This Row],[Bohrbild]]=select!$O$334,1,0)</f>
        <v>0</v>
      </c>
      <c r="N887" s="135">
        <f>IF(IF(Scharniere[[#This Row],[Anschrauben]]=1,1,IF(Scharniere[[#This Row],[Einpressen]]=1,2,IF(Scharniere[[#This Row],[Quick]]=1,3,IF(Scharniere[[#This Row],[Werkzeuglos]]=1,4,0))))=select!$E$362,1,0)</f>
        <v>0</v>
      </c>
      <c r="O8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7" s="298">
        <f>IF(AND(Scharniere[[#This Row],[Scharnierart]]=3,Scharniere[[#This Row],[Gruppenschlüssel]]=select!$A$747)=TRUE,1,0)</f>
        <v>0</v>
      </c>
      <c r="Q887" s="298">
        <f ca="1">IF(select!$O$945&lt;6,1,0)</f>
        <v>1</v>
      </c>
      <c r="R887" s="298">
        <f>IF(select!$A$778=IF(Scharniere[[#This Row],[mit Dämpfung]]=1,1,IF(Scharniere[[#This Row],[ohne Dämpfung]]=1,2,IF(Scharniere[[#This Row],[ohne Feder]]=1,3,0))),1,0)</f>
        <v>1</v>
      </c>
      <c r="S887" s="298">
        <f>IF(Scharniere[[#This Row],[Bohrbild]]=select!$A$755,1,0)</f>
        <v>0</v>
      </c>
      <c r="T887" s="298">
        <f>IF(IF(Scharniere[[#This Row],[Anschrauben]]=1,1,IF(Scharniere[[#This Row],[Einpressen]]=1,2,IF(Scharniere[[#This Row],[Quick]]=1,3,IF(Scharniere[[#This Row],[Werkzeuglos]]=1,4,0))))=select!$A$769,1,0)</f>
        <v>0</v>
      </c>
      <c r="U8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7" s="359">
        <f>IF(AND(Scharniere[[#This Row],[Scharnierart]]=4,Scharniere[[#This Row],[Gruppenschlüssel]]=select!$A$981)=TRUE,1,0)</f>
        <v>0</v>
      </c>
      <c r="W887" s="359">
        <f ca="1">IF(select!$O$1185&lt;6,1,0)</f>
        <v>1</v>
      </c>
      <c r="X887" s="359">
        <f>IF(select!$A$1012=IF(Scharniere[[#This Row],[mit Dämpfung]]=1,1,IF(Scharniere[[#This Row],[ohne Dämpfung]]=1,2,IF(Scharniere[[#This Row],[ohne Feder]]=1,3,0))),1,0)</f>
        <v>1</v>
      </c>
      <c r="Y887" s="359">
        <f>IF(Scharniere[[#This Row],[Bohrbild]]=select!$A$989,1,0)</f>
        <v>0</v>
      </c>
      <c r="Z887" s="359">
        <f>IF(IF(Scharniere[[#This Row],[Anschrauben]]=1,1,IF(Scharniere[[#This Row],[Einpressen]]=1,2,IF(Scharniere[[#This Row],[Quick]]=1,3,IF(Scharniere[[#This Row],[Werkzeuglos]]=1,4,0))))=select!$A$1003,1,0)</f>
        <v>0</v>
      </c>
      <c r="AA8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7" s="359">
        <f ca="1">IF(select!$K$980="*",Scharniere[[#This Row],[AG Ges2]],Scharniere[[#This Row],[AG Ges1]])</f>
        <v>0</v>
      </c>
      <c r="AE887" s="451">
        <f ca="1">IF(AND(Scharniere[[#This Row],[Scharnierart]]=select!$A$1485,Scharniere[[#This Row],[Gruppenschlüssel]]=select!$B$1485)=TRUE,1,0)</f>
        <v>0</v>
      </c>
      <c r="AF887" s="451">
        <f ca="1">IF(AND(Scharniere[[#This Row],[Scharnierart]]=select!$A$1486,Scharniere[[#This Row],[Gruppenschlüssel]]=select!$B$1486)=TRUE,1,0)</f>
        <v>0</v>
      </c>
      <c r="AG887" s="451">
        <f ca="1">IF(AND(Scharniere[[#This Row],[Scharnierart]]=select!$A$1487,Scharniere[[#This Row],[Gruppenschlüssel]]=select!$B$1487)=TRUE,1,0)</f>
        <v>0</v>
      </c>
      <c r="AH887" s="451">
        <f ca="1">IF(AND(Scharniere[[#This Row],[Scharnierart]]=select!$A$1488,Scharniere[[#This Row],[Gruppenschlüssel]]=select!$B$1488)=TRUE,1,0)</f>
        <v>0</v>
      </c>
      <c r="AI887" s="451">
        <f ca="1">IF(SUM(Scharniere[[#This Row],[konf Scharnier 1]:[konf Scharnier 4]])&gt;0,1,0)</f>
        <v>0</v>
      </c>
      <c r="AJ887" s="451"/>
      <c r="AK887" s="451"/>
      <c r="AL887" s="451"/>
      <c r="AM887" s="451"/>
      <c r="AN887" s="451"/>
      <c r="AO887" s="146">
        <v>2</v>
      </c>
      <c r="AP887" s="146">
        <v>6</v>
      </c>
      <c r="AQ887" s="71" t="str">
        <f ca="1">Sprache!$A$119</f>
        <v>Tiomos Scharnier T Impresso</v>
      </c>
      <c r="AR887" t="str">
        <f ca="1">"110/37°, GB-BB, "&amp;Sprache!$A$62&amp;" ni"</f>
        <v>110/37°, GB-BB, einl. ni</v>
      </c>
      <c r="AS887" t="str">
        <f ca="1">Sprache!$A$103</f>
        <v>Tiomos Click-On Scharniere</v>
      </c>
      <c r="AT887" t="s">
        <v>1264</v>
      </c>
      <c r="AU887" t="s">
        <v>3</v>
      </c>
      <c r="AV887" t="s">
        <v>1489</v>
      </c>
      <c r="AW887" s="71">
        <v>0</v>
      </c>
      <c r="AX887">
        <v>1</v>
      </c>
      <c r="AY887">
        <v>0</v>
      </c>
      <c r="AZ887" s="71">
        <v>0</v>
      </c>
      <c r="BA887">
        <v>0</v>
      </c>
      <c r="BB887">
        <v>0</v>
      </c>
      <c r="BC887">
        <v>1</v>
      </c>
      <c r="BD887" s="144" t="s">
        <v>1759</v>
      </c>
      <c r="BF887" s="10"/>
      <c r="BG887"/>
    </row>
    <row r="888" spans="1:59" ht="14.25" customHeight="1" x14ac:dyDescent="0.25">
      <c r="A888" s="37" t="str">
        <f>LEFT(Scharniere[[#This Row],[ArtikelNR]],4)</f>
        <v>F028</v>
      </c>
      <c r="B888" s="35" t="str">
        <f>MID(Scharniere[[#This Row],[ArtikelNR]],5,3)</f>
        <v>138</v>
      </c>
      <c r="C888" s="37" t="str">
        <f>RIGHT(Scharniere[[#This Row],[ArtikelNR]],3)</f>
        <v>714</v>
      </c>
      <c r="D888" s="35">
        <f>IF(AND(Scharniere[[#This Row],[Gruppenschlüssel]]=select!$A$44,Scharniere[[#This Row],[Scharnierart]]=1)=TRUE,1,0)</f>
        <v>0</v>
      </c>
      <c r="E8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8" s="35">
        <f>IF(select!$F$57=IF(Scharniere[[#This Row],[mit Dämpfung]]=1,1,IF(Scharniere[[#This Row],[ohne Dämpfung]]=1,2,IF(Scharniere[[#This Row],[ohne Feder]]=1,3,0))),1,0)</f>
        <v>0</v>
      </c>
      <c r="G888" s="35">
        <f>IF(Scharniere[[#This Row],[Bohrbild]]=select!$V$43,1,0)</f>
        <v>0</v>
      </c>
      <c r="H888" s="35">
        <f>IF(IF(Scharniere[[#This Row],[Anschrauben]]=1,1,IF(Scharniere[[#This Row],[Einpressen]]=1,2,IF(Scharniere[[#This Row],[Quick]]=1,3,IF(Scharniere[[#This Row],[Werkzeuglos]]=1,4,0))))=select!$F$48,1,0)</f>
        <v>0</v>
      </c>
      <c r="I8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8" s="149">
        <f>IF(AND(Scharniere[[#This Row],[Scharnierart]]=2,Scharniere[[#This Row],[Gruppenschlüssel]]=select!$A$318)=TRUE,1,0)</f>
        <v>0</v>
      </c>
      <c r="K888" s="221">
        <f ca="1">IF(select!$O$424&lt;6,1,0)</f>
        <v>1</v>
      </c>
      <c r="L888" s="221">
        <f>IF(select!$A$362=IF(Scharniere[[#This Row],[mit Dämpfung]]=1,1,IF(Scharniere[[#This Row],[ohne Dämpfung]]=1,2,IF(Scharniere[[#This Row],[ohne Feder]]=1,3,0))),1,0)</f>
        <v>1</v>
      </c>
      <c r="M888" s="135">
        <f>IF(Scharniere[[#This Row],[Bohrbild]]=select!$O$334,1,0)</f>
        <v>0</v>
      </c>
      <c r="N888" s="135">
        <f>IF(IF(Scharniere[[#This Row],[Anschrauben]]=1,1,IF(Scharniere[[#This Row],[Einpressen]]=1,2,IF(Scharniere[[#This Row],[Quick]]=1,3,IF(Scharniere[[#This Row],[Werkzeuglos]]=1,4,0))))=select!$E$362,1,0)</f>
        <v>1</v>
      </c>
      <c r="O8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8" s="298">
        <f>IF(AND(Scharniere[[#This Row],[Scharnierart]]=3,Scharniere[[#This Row],[Gruppenschlüssel]]=select!$A$747)=TRUE,1,0)</f>
        <v>0</v>
      </c>
      <c r="Q888" s="298">
        <f ca="1">IF(select!$O$945&lt;6,1,0)</f>
        <v>1</v>
      </c>
      <c r="R888" s="298">
        <f>IF(select!$A$778=IF(Scharniere[[#This Row],[mit Dämpfung]]=1,1,IF(Scharniere[[#This Row],[ohne Dämpfung]]=1,2,IF(Scharniere[[#This Row],[ohne Feder]]=1,3,0))),1,0)</f>
        <v>0</v>
      </c>
      <c r="S888" s="298">
        <f>IF(Scharniere[[#This Row],[Bohrbild]]=select!$A$755,1,0)</f>
        <v>0</v>
      </c>
      <c r="T888" s="298">
        <f>IF(IF(Scharniere[[#This Row],[Anschrauben]]=1,1,IF(Scharniere[[#This Row],[Einpressen]]=1,2,IF(Scharniere[[#This Row],[Quick]]=1,3,IF(Scharniere[[#This Row],[Werkzeuglos]]=1,4,0))))=select!$A$769,1,0)</f>
        <v>1</v>
      </c>
      <c r="U8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8" s="359">
        <f>IF(AND(Scharniere[[#This Row],[Scharnierart]]=4,Scharniere[[#This Row],[Gruppenschlüssel]]=select!$A$981)=TRUE,1,0)</f>
        <v>0</v>
      </c>
      <c r="W888" s="359">
        <f ca="1">IF(select!$O$1185&lt;6,1,0)</f>
        <v>1</v>
      </c>
      <c r="X888" s="359">
        <f>IF(select!$A$1012=IF(Scharniere[[#This Row],[mit Dämpfung]]=1,1,IF(Scharniere[[#This Row],[ohne Dämpfung]]=1,2,IF(Scharniere[[#This Row],[ohne Feder]]=1,3,0))),1,0)</f>
        <v>0</v>
      </c>
      <c r="Y888" s="359">
        <f>IF(Scharniere[[#This Row],[Bohrbild]]=select!$A$989,1,0)</f>
        <v>0</v>
      </c>
      <c r="Z888" s="359">
        <f>IF(IF(Scharniere[[#This Row],[Anschrauben]]=1,1,IF(Scharniere[[#This Row],[Einpressen]]=1,2,IF(Scharniere[[#This Row],[Quick]]=1,3,IF(Scharniere[[#This Row],[Werkzeuglos]]=1,4,0))))=select!$A$1003,1,0)</f>
        <v>1</v>
      </c>
      <c r="AA8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8" s="359">
        <f ca="1">IF(select!$K$980="*",Scharniere[[#This Row],[AG Ges2]],Scharniere[[#This Row],[AG Ges1]])</f>
        <v>0</v>
      </c>
      <c r="AE888" s="451">
        <f ca="1">IF(AND(Scharniere[[#This Row],[Scharnierart]]=select!$A$1485,Scharniere[[#This Row],[Gruppenschlüssel]]=select!$B$1485)=TRUE,1,0)</f>
        <v>0</v>
      </c>
      <c r="AF888" s="451">
        <f ca="1">IF(AND(Scharniere[[#This Row],[Scharnierart]]=select!$A$1486,Scharniere[[#This Row],[Gruppenschlüssel]]=select!$B$1486)=TRUE,1,0)</f>
        <v>0</v>
      </c>
      <c r="AG888" s="451">
        <f ca="1">IF(AND(Scharniere[[#This Row],[Scharnierart]]=select!$A$1487,Scharniere[[#This Row],[Gruppenschlüssel]]=select!$B$1487)=TRUE,1,0)</f>
        <v>0</v>
      </c>
      <c r="AH888" s="451">
        <f ca="1">IF(AND(Scharniere[[#This Row],[Scharnierart]]=select!$A$1488,Scharniere[[#This Row],[Gruppenschlüssel]]=select!$B$1488)=TRUE,1,0)</f>
        <v>0</v>
      </c>
      <c r="AI888" s="451">
        <f ca="1">IF(SUM(Scharniere[[#This Row],[konf Scharnier 1]:[konf Scharnier 4]])&gt;0,1,0)</f>
        <v>0</v>
      </c>
      <c r="AJ888" s="451"/>
      <c r="AK888" s="451"/>
      <c r="AL888" s="451"/>
      <c r="AM888" s="451"/>
      <c r="AN888" s="451"/>
      <c r="AO888" s="146">
        <v>2</v>
      </c>
      <c r="AP888" s="146">
        <v>6</v>
      </c>
      <c r="AQ888" s="71" t="str">
        <f ca="1">Sprache!$A$112</f>
        <v>Tiomos Scharnier TS Click-on</v>
      </c>
      <c r="AR888" t="str">
        <f ca="1">"110/37°, H-BB, "&amp;Sprache!$A$62&amp;" ni"</f>
        <v>110/37°, H-BB, einl. ni</v>
      </c>
      <c r="AS888" t="str">
        <f ca="1">Sprache!$A$103</f>
        <v>Tiomos Click-On Scharniere</v>
      </c>
      <c r="AT888" t="s">
        <v>1264</v>
      </c>
      <c r="AU888" s="34" t="s">
        <v>10</v>
      </c>
      <c r="AV888" t="s">
        <v>1489</v>
      </c>
      <c r="AW888" s="71">
        <v>1</v>
      </c>
      <c r="AX888">
        <v>0</v>
      </c>
      <c r="AY888">
        <v>0</v>
      </c>
      <c r="AZ888" s="71">
        <v>1</v>
      </c>
      <c r="BA888">
        <v>0</v>
      </c>
      <c r="BB888">
        <v>0</v>
      </c>
      <c r="BC888">
        <v>0</v>
      </c>
      <c r="BD888" s="144" t="s">
        <v>1557</v>
      </c>
      <c r="BF888" s="10"/>
      <c r="BG888"/>
    </row>
    <row r="889" spans="1:59" ht="14.25" customHeight="1" x14ac:dyDescent="0.25">
      <c r="A889" s="37" t="str">
        <f>LEFT(Scharniere[[#This Row],[ArtikelNR]],4)</f>
        <v>F045</v>
      </c>
      <c r="B889" s="35" t="str">
        <f>MID(Scharniere[[#This Row],[ArtikelNR]],5,3)</f>
        <v>138</v>
      </c>
      <c r="C889" s="37" t="str">
        <f>RIGHT(Scharniere[[#This Row],[ArtikelNR]],3)</f>
        <v>652</v>
      </c>
      <c r="D889" s="35">
        <f>IF(AND(Scharniere[[#This Row],[Gruppenschlüssel]]=select!$A$44,Scharniere[[#This Row],[Scharnierart]]=1)=TRUE,1,0)</f>
        <v>0</v>
      </c>
      <c r="E8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89" s="35">
        <f>IF(select!$F$57=IF(Scharniere[[#This Row],[mit Dämpfung]]=1,1,IF(Scharniere[[#This Row],[ohne Dämpfung]]=1,2,IF(Scharniere[[#This Row],[ohne Feder]]=1,3,0))),1,0)</f>
        <v>0</v>
      </c>
      <c r="G889" s="35">
        <f>IF(Scharniere[[#This Row],[Bohrbild]]=select!$V$43,1,0)</f>
        <v>0</v>
      </c>
      <c r="H889" s="35">
        <f>IF(IF(Scharniere[[#This Row],[Anschrauben]]=1,1,IF(Scharniere[[#This Row],[Einpressen]]=1,2,IF(Scharniere[[#This Row],[Quick]]=1,3,IF(Scharniere[[#This Row],[Werkzeuglos]]=1,4,0))))=select!$F$48,1,0)</f>
        <v>0</v>
      </c>
      <c r="I8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89" s="149">
        <f>IF(AND(Scharniere[[#This Row],[Scharnierart]]=2,Scharniere[[#This Row],[Gruppenschlüssel]]=select!$A$318)=TRUE,1,0)</f>
        <v>0</v>
      </c>
      <c r="K889" s="221">
        <f ca="1">IF(select!$O$424&lt;6,1,0)</f>
        <v>1</v>
      </c>
      <c r="L889" s="221">
        <f>IF(select!$A$362=IF(Scharniere[[#This Row],[mit Dämpfung]]=1,1,IF(Scharniere[[#This Row],[ohne Dämpfung]]=1,2,IF(Scharniere[[#This Row],[ohne Feder]]=1,3,0))),1,0)</f>
        <v>0</v>
      </c>
      <c r="M889" s="135">
        <f>IF(Scharniere[[#This Row],[Bohrbild]]=select!$O$334,1,0)</f>
        <v>0</v>
      </c>
      <c r="N889" s="135">
        <f>IF(IF(Scharniere[[#This Row],[Anschrauben]]=1,1,IF(Scharniere[[#This Row],[Einpressen]]=1,2,IF(Scharniere[[#This Row],[Quick]]=1,3,IF(Scharniere[[#This Row],[Werkzeuglos]]=1,4,0))))=select!$E$362,1,0)</f>
        <v>1</v>
      </c>
      <c r="O8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89" s="298">
        <f>IF(AND(Scharniere[[#This Row],[Scharnierart]]=3,Scharniere[[#This Row],[Gruppenschlüssel]]=select!$A$747)=TRUE,1,0)</f>
        <v>0</v>
      </c>
      <c r="Q889" s="298">
        <f ca="1">IF(select!$O$945&lt;6,1,0)</f>
        <v>1</v>
      </c>
      <c r="R889" s="298">
        <f>IF(select!$A$778=IF(Scharniere[[#This Row],[mit Dämpfung]]=1,1,IF(Scharniere[[#This Row],[ohne Dämpfung]]=1,2,IF(Scharniere[[#This Row],[ohne Feder]]=1,3,0))),1,0)</f>
        <v>1</v>
      </c>
      <c r="S889" s="298">
        <f>IF(Scharniere[[#This Row],[Bohrbild]]=select!$A$755,1,0)</f>
        <v>0</v>
      </c>
      <c r="T889" s="298">
        <f>IF(IF(Scharniere[[#This Row],[Anschrauben]]=1,1,IF(Scharniere[[#This Row],[Einpressen]]=1,2,IF(Scharniere[[#This Row],[Quick]]=1,3,IF(Scharniere[[#This Row],[Werkzeuglos]]=1,4,0))))=select!$A$769,1,0)</f>
        <v>1</v>
      </c>
      <c r="U8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89" s="359">
        <f>IF(AND(Scharniere[[#This Row],[Scharnierart]]=4,Scharniere[[#This Row],[Gruppenschlüssel]]=select!$A$981)=TRUE,1,0)</f>
        <v>0</v>
      </c>
      <c r="W889" s="359">
        <f ca="1">IF(select!$O$1185&lt;6,1,0)</f>
        <v>1</v>
      </c>
      <c r="X889" s="359">
        <f>IF(select!$A$1012=IF(Scharniere[[#This Row],[mit Dämpfung]]=1,1,IF(Scharniere[[#This Row],[ohne Dämpfung]]=1,2,IF(Scharniere[[#This Row],[ohne Feder]]=1,3,0))),1,0)</f>
        <v>1</v>
      </c>
      <c r="Y889" s="359">
        <f>IF(Scharniere[[#This Row],[Bohrbild]]=select!$A$989,1,0)</f>
        <v>0</v>
      </c>
      <c r="Z889" s="359">
        <f>IF(IF(Scharniere[[#This Row],[Anschrauben]]=1,1,IF(Scharniere[[#This Row],[Einpressen]]=1,2,IF(Scharniere[[#This Row],[Quick]]=1,3,IF(Scharniere[[#This Row],[Werkzeuglos]]=1,4,0))))=select!$A$1003,1,0)</f>
        <v>1</v>
      </c>
      <c r="AA8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89" s="359">
        <f ca="1">IF(select!$K$980="*",Scharniere[[#This Row],[AG Ges2]],Scharniere[[#This Row],[AG Ges1]])</f>
        <v>0</v>
      </c>
      <c r="AE889" s="451">
        <f ca="1">IF(AND(Scharniere[[#This Row],[Scharnierart]]=select!$A$1485,Scharniere[[#This Row],[Gruppenschlüssel]]=select!$B$1485)=TRUE,1,0)</f>
        <v>0</v>
      </c>
      <c r="AF889" s="451">
        <f ca="1">IF(AND(Scharniere[[#This Row],[Scharnierart]]=select!$A$1486,Scharniere[[#This Row],[Gruppenschlüssel]]=select!$B$1486)=TRUE,1,0)</f>
        <v>0</v>
      </c>
      <c r="AG889" s="451">
        <f ca="1">IF(AND(Scharniere[[#This Row],[Scharnierart]]=select!$A$1487,Scharniere[[#This Row],[Gruppenschlüssel]]=select!$B$1487)=TRUE,1,0)</f>
        <v>0</v>
      </c>
      <c r="AH889" s="451">
        <f ca="1">IF(AND(Scharniere[[#This Row],[Scharnierart]]=select!$A$1488,Scharniere[[#This Row],[Gruppenschlüssel]]=select!$B$1488)=TRUE,1,0)</f>
        <v>0</v>
      </c>
      <c r="AI889" s="451">
        <f ca="1">IF(SUM(Scharniere[[#This Row],[konf Scharnier 1]:[konf Scharnier 4]])&gt;0,1,0)</f>
        <v>0</v>
      </c>
      <c r="AJ889" s="451"/>
      <c r="AK889" s="451"/>
      <c r="AL889" s="451"/>
      <c r="AM889" s="451"/>
      <c r="AN889" s="451"/>
      <c r="AO889" s="146">
        <v>2</v>
      </c>
      <c r="AP889" s="146">
        <v>6</v>
      </c>
      <c r="AQ889" s="71" t="str">
        <f ca="1">Sprache!$A$118</f>
        <v>Tiomos Scharnier T Click-on</v>
      </c>
      <c r="AR889" t="str">
        <f ca="1">"110/37°, H-BB, "&amp;Sprache!$A$62&amp;" ni"</f>
        <v>110/37°, H-BB, einl. ni</v>
      </c>
      <c r="AS889" t="str">
        <f ca="1">Sprache!$A$103</f>
        <v>Tiomos Click-On Scharniere</v>
      </c>
      <c r="AT889" t="s">
        <v>1264</v>
      </c>
      <c r="AU889" t="s">
        <v>10</v>
      </c>
      <c r="AV889" t="s">
        <v>1489</v>
      </c>
      <c r="AW889" s="71">
        <v>0</v>
      </c>
      <c r="AX889">
        <v>1</v>
      </c>
      <c r="AY889">
        <v>0</v>
      </c>
      <c r="AZ889" s="71">
        <v>1</v>
      </c>
      <c r="BA889">
        <v>0</v>
      </c>
      <c r="BB889">
        <v>0</v>
      </c>
      <c r="BC889">
        <v>0</v>
      </c>
      <c r="BD889" s="144" t="s">
        <v>1666</v>
      </c>
      <c r="BF889" s="10"/>
      <c r="BG889"/>
    </row>
    <row r="890" spans="1:59" ht="14.25" customHeight="1" x14ac:dyDescent="0.25">
      <c r="A890" s="37" t="str">
        <f>LEFT(Scharniere[[#This Row],[ArtikelNR]],4)</f>
        <v>F046</v>
      </c>
      <c r="B890" s="35" t="str">
        <f>MID(Scharniere[[#This Row],[ArtikelNR]],5,3)</f>
        <v>138</v>
      </c>
      <c r="C890" s="37" t="str">
        <f>RIGHT(Scharniere[[#This Row],[ArtikelNR]],3)</f>
        <v>774</v>
      </c>
      <c r="D890" s="35">
        <f>IF(AND(Scharniere[[#This Row],[Gruppenschlüssel]]=select!$A$44,Scharniere[[#This Row],[Scharnierart]]=1)=TRUE,1,0)</f>
        <v>0</v>
      </c>
      <c r="E8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0" s="35">
        <f>IF(select!$F$57=IF(Scharniere[[#This Row],[mit Dämpfung]]=1,1,IF(Scharniere[[#This Row],[ohne Dämpfung]]=1,2,IF(Scharniere[[#This Row],[ohne Feder]]=1,3,0))),1,0)</f>
        <v>1</v>
      </c>
      <c r="G890" s="35">
        <f>IF(Scharniere[[#This Row],[Bohrbild]]=select!$V$43,1,0)</f>
        <v>0</v>
      </c>
      <c r="H890" s="35">
        <f>IF(IF(Scharniere[[#This Row],[Anschrauben]]=1,1,IF(Scharniere[[#This Row],[Einpressen]]=1,2,IF(Scharniere[[#This Row],[Quick]]=1,3,IF(Scharniere[[#This Row],[Werkzeuglos]]=1,4,0))))=select!$F$48,1,0)</f>
        <v>0</v>
      </c>
      <c r="I8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0" s="149">
        <f>IF(AND(Scharniere[[#This Row],[Scharnierart]]=2,Scharniere[[#This Row],[Gruppenschlüssel]]=select!$A$318)=TRUE,1,0)</f>
        <v>0</v>
      </c>
      <c r="K890" s="221">
        <f ca="1">IF(select!$O$424&lt;6,1,0)</f>
        <v>1</v>
      </c>
      <c r="L890" s="221">
        <f>IF(select!$A$362=IF(Scharniere[[#This Row],[mit Dämpfung]]=1,1,IF(Scharniere[[#This Row],[ohne Dämpfung]]=1,2,IF(Scharniere[[#This Row],[ohne Feder]]=1,3,0))),1,0)</f>
        <v>0</v>
      </c>
      <c r="M890" s="135">
        <f>IF(Scharniere[[#This Row],[Bohrbild]]=select!$O$334,1,0)</f>
        <v>0</v>
      </c>
      <c r="N890" s="135">
        <f>IF(IF(Scharniere[[#This Row],[Anschrauben]]=1,1,IF(Scharniere[[#This Row],[Einpressen]]=1,2,IF(Scharniere[[#This Row],[Quick]]=1,3,IF(Scharniere[[#This Row],[Werkzeuglos]]=1,4,0))))=select!$E$362,1,0)</f>
        <v>1</v>
      </c>
      <c r="O8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0" s="298">
        <f>IF(AND(Scharniere[[#This Row],[Scharnierart]]=3,Scharniere[[#This Row],[Gruppenschlüssel]]=select!$A$747)=TRUE,1,0)</f>
        <v>0</v>
      </c>
      <c r="Q890" s="298">
        <f ca="1">IF(select!$O$945&lt;6,1,0)</f>
        <v>1</v>
      </c>
      <c r="R890" s="298">
        <f>IF(select!$A$778=IF(Scharniere[[#This Row],[mit Dämpfung]]=1,1,IF(Scharniere[[#This Row],[ohne Dämpfung]]=1,2,IF(Scharniere[[#This Row],[ohne Feder]]=1,3,0))),1,0)</f>
        <v>0</v>
      </c>
      <c r="S890" s="298">
        <f>IF(Scharniere[[#This Row],[Bohrbild]]=select!$A$755,1,0)</f>
        <v>0</v>
      </c>
      <c r="T890" s="298">
        <f>IF(IF(Scharniere[[#This Row],[Anschrauben]]=1,1,IF(Scharniere[[#This Row],[Einpressen]]=1,2,IF(Scharniere[[#This Row],[Quick]]=1,3,IF(Scharniere[[#This Row],[Werkzeuglos]]=1,4,0))))=select!$A$769,1,0)</f>
        <v>1</v>
      </c>
      <c r="U8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0" s="359">
        <f>IF(AND(Scharniere[[#This Row],[Scharnierart]]=4,Scharniere[[#This Row],[Gruppenschlüssel]]=select!$A$981)=TRUE,1,0)</f>
        <v>0</v>
      </c>
      <c r="W890" s="359">
        <f ca="1">IF(select!$O$1185&lt;6,1,0)</f>
        <v>1</v>
      </c>
      <c r="X890" s="359">
        <f>IF(select!$A$1012=IF(Scharniere[[#This Row],[mit Dämpfung]]=1,1,IF(Scharniere[[#This Row],[ohne Dämpfung]]=1,2,IF(Scharniere[[#This Row],[ohne Feder]]=1,3,0))),1,0)</f>
        <v>0</v>
      </c>
      <c r="Y890" s="359">
        <f>IF(Scharniere[[#This Row],[Bohrbild]]=select!$A$989,1,0)</f>
        <v>0</v>
      </c>
      <c r="Z890" s="359">
        <f>IF(IF(Scharniere[[#This Row],[Anschrauben]]=1,1,IF(Scharniere[[#This Row],[Einpressen]]=1,2,IF(Scharniere[[#This Row],[Quick]]=1,3,IF(Scharniere[[#This Row],[Werkzeuglos]]=1,4,0))))=select!$A$1003,1,0)</f>
        <v>1</v>
      </c>
      <c r="AA8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0" s="359">
        <f ca="1">IF(select!$K$980="*",Scharniere[[#This Row],[AG Ges2]],Scharniere[[#This Row],[AG Ges1]])</f>
        <v>0</v>
      </c>
      <c r="AE890" s="451">
        <f ca="1">IF(AND(Scharniere[[#This Row],[Scharnierart]]=select!$A$1485,Scharniere[[#This Row],[Gruppenschlüssel]]=select!$B$1485)=TRUE,1,0)</f>
        <v>0</v>
      </c>
      <c r="AF890" s="451">
        <f ca="1">IF(AND(Scharniere[[#This Row],[Scharnierart]]=select!$A$1486,Scharniere[[#This Row],[Gruppenschlüssel]]=select!$B$1486)=TRUE,1,0)</f>
        <v>0</v>
      </c>
      <c r="AG890" s="451">
        <f ca="1">IF(AND(Scharniere[[#This Row],[Scharnierart]]=select!$A$1487,Scharniere[[#This Row],[Gruppenschlüssel]]=select!$B$1487)=TRUE,1,0)</f>
        <v>0</v>
      </c>
      <c r="AH890" s="451">
        <f ca="1">IF(AND(Scharniere[[#This Row],[Scharnierart]]=select!$A$1488,Scharniere[[#This Row],[Gruppenschlüssel]]=select!$B$1488)=TRUE,1,0)</f>
        <v>0</v>
      </c>
      <c r="AI890" s="451">
        <f ca="1">IF(SUM(Scharniere[[#This Row],[konf Scharnier 1]:[konf Scharnier 4]])&gt;0,1,0)</f>
        <v>0</v>
      </c>
      <c r="AJ890" s="451"/>
      <c r="AK890" s="451"/>
      <c r="AL890" s="451"/>
      <c r="AM890" s="451"/>
      <c r="AN890" s="451"/>
      <c r="AO890" s="146">
        <v>2</v>
      </c>
      <c r="AP890" s="146">
        <v>6</v>
      </c>
      <c r="AQ890" s="71" t="str">
        <f ca="1">Sprache!$A$114</f>
        <v>Tiomos Scharnier TT Click-on</v>
      </c>
      <c r="AR890" t="str">
        <f ca="1">"110/37°, H-BB, "&amp;Sprache!$A$62&amp;" ni"</f>
        <v>110/37°, H-BB, einl. ni</v>
      </c>
      <c r="AS890" t="str">
        <f ca="1">Sprache!$A$103</f>
        <v>Tiomos Click-On Scharniere</v>
      </c>
      <c r="AT890" t="s">
        <v>1264</v>
      </c>
      <c r="AU890" t="s">
        <v>10</v>
      </c>
      <c r="AV890" t="s">
        <v>1489</v>
      </c>
      <c r="AW890" s="71">
        <v>0</v>
      </c>
      <c r="AX890">
        <v>0</v>
      </c>
      <c r="AY890">
        <v>1</v>
      </c>
      <c r="AZ890" s="71">
        <v>1</v>
      </c>
      <c r="BA890">
        <v>0</v>
      </c>
      <c r="BB890">
        <v>0</v>
      </c>
      <c r="BC890">
        <v>0</v>
      </c>
      <c r="BD890" s="144" t="s">
        <v>1728</v>
      </c>
      <c r="BF890" s="10"/>
      <c r="BG890"/>
    </row>
    <row r="891" spans="1:59" ht="14.25" customHeight="1" x14ac:dyDescent="0.25">
      <c r="A891" s="37" t="str">
        <f>LEFT(Scharniere[[#This Row],[ArtikelNR]],4)</f>
        <v>F017</v>
      </c>
      <c r="B891" s="35" t="str">
        <f>MID(Scharniere[[#This Row],[ArtikelNR]],5,3)</f>
        <v>139</v>
      </c>
      <c r="C891" s="37" t="str">
        <f>RIGHT(Scharniere[[#This Row],[ArtikelNR]],3)</f>
        <v>508</v>
      </c>
      <c r="D891" s="35">
        <f>IF(AND(Scharniere[[#This Row],[Gruppenschlüssel]]=select!$A$44,Scharniere[[#This Row],[Scharnierart]]=1)=TRUE,1,0)</f>
        <v>0</v>
      </c>
      <c r="E8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1" s="35">
        <f>IF(select!$F$57=IF(Scharniere[[#This Row],[mit Dämpfung]]=1,1,IF(Scharniere[[#This Row],[ohne Dämpfung]]=1,2,IF(Scharniere[[#This Row],[ohne Feder]]=1,3,0))),1,0)</f>
        <v>0</v>
      </c>
      <c r="G891" s="35">
        <f>IF(Scharniere[[#This Row],[Bohrbild]]=select!$V$43,1,0)</f>
        <v>0</v>
      </c>
      <c r="H891" s="35">
        <f>IF(IF(Scharniere[[#This Row],[Anschrauben]]=1,1,IF(Scharniere[[#This Row],[Einpressen]]=1,2,IF(Scharniere[[#This Row],[Quick]]=1,3,IF(Scharniere[[#This Row],[Werkzeuglos]]=1,4,0))))=select!$F$48,1,0)</f>
        <v>0</v>
      </c>
      <c r="I8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1" s="149">
        <f>IF(AND(Scharniere[[#This Row],[Scharnierart]]=2,Scharniere[[#This Row],[Gruppenschlüssel]]=select!$A$318)=TRUE,1,0)</f>
        <v>0</v>
      </c>
      <c r="K891" s="221">
        <f ca="1">IF(select!$O$424&lt;6,1,0)</f>
        <v>1</v>
      </c>
      <c r="L891" s="221">
        <f>IF(select!$A$362=IF(Scharniere[[#This Row],[mit Dämpfung]]=1,1,IF(Scharniere[[#This Row],[ohne Dämpfung]]=1,2,IF(Scharniere[[#This Row],[ohne Feder]]=1,3,0))),1,0)</f>
        <v>1</v>
      </c>
      <c r="M891" s="135">
        <f>IF(Scharniere[[#This Row],[Bohrbild]]=select!$O$334,1,0)</f>
        <v>0</v>
      </c>
      <c r="N891" s="135">
        <f>IF(IF(Scharniere[[#This Row],[Anschrauben]]=1,1,IF(Scharniere[[#This Row],[Einpressen]]=1,2,IF(Scharniere[[#This Row],[Quick]]=1,3,IF(Scharniere[[#This Row],[Werkzeuglos]]=1,4,0))))=select!$E$362,1,0)</f>
        <v>0</v>
      </c>
      <c r="O8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1" s="298">
        <f>IF(AND(Scharniere[[#This Row],[Scharnierart]]=3,Scharniere[[#This Row],[Gruppenschlüssel]]=select!$A$747)=TRUE,1,0)</f>
        <v>0</v>
      </c>
      <c r="Q891" s="298">
        <f ca="1">IF(select!$O$945&lt;6,1,0)</f>
        <v>1</v>
      </c>
      <c r="R891" s="298">
        <f>IF(select!$A$778=IF(Scharniere[[#This Row],[mit Dämpfung]]=1,1,IF(Scharniere[[#This Row],[ohne Dämpfung]]=1,2,IF(Scharniere[[#This Row],[ohne Feder]]=1,3,0))),1,0)</f>
        <v>0</v>
      </c>
      <c r="S891" s="298">
        <f>IF(Scharniere[[#This Row],[Bohrbild]]=select!$A$755,1,0)</f>
        <v>0</v>
      </c>
      <c r="T891" s="298">
        <f>IF(IF(Scharniere[[#This Row],[Anschrauben]]=1,1,IF(Scharniere[[#This Row],[Einpressen]]=1,2,IF(Scharniere[[#This Row],[Quick]]=1,3,IF(Scharniere[[#This Row],[Werkzeuglos]]=1,4,0))))=select!$A$769,1,0)</f>
        <v>0</v>
      </c>
      <c r="U8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1" s="359">
        <f>IF(AND(Scharniere[[#This Row],[Scharnierart]]=4,Scharniere[[#This Row],[Gruppenschlüssel]]=select!$A$981)=TRUE,1,0)</f>
        <v>0</v>
      </c>
      <c r="W891" s="359">
        <f ca="1">IF(select!$O$1185&lt;6,1,0)</f>
        <v>1</v>
      </c>
      <c r="X891" s="359">
        <f>IF(select!$A$1012=IF(Scharniere[[#This Row],[mit Dämpfung]]=1,1,IF(Scharniere[[#This Row],[ohne Dämpfung]]=1,2,IF(Scharniere[[#This Row],[ohne Feder]]=1,3,0))),1,0)</f>
        <v>0</v>
      </c>
      <c r="Y891" s="359">
        <f>IF(Scharniere[[#This Row],[Bohrbild]]=select!$A$989,1,0)</f>
        <v>0</v>
      </c>
      <c r="Z891" s="359">
        <f>IF(IF(Scharniere[[#This Row],[Anschrauben]]=1,1,IF(Scharniere[[#This Row],[Einpressen]]=1,2,IF(Scharniere[[#This Row],[Quick]]=1,3,IF(Scharniere[[#This Row],[Werkzeuglos]]=1,4,0))))=select!$A$1003,1,0)</f>
        <v>0</v>
      </c>
      <c r="AA8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1" s="359">
        <f ca="1">IF(select!$K$980="*",Scharniere[[#This Row],[AG Ges2]],Scharniere[[#This Row],[AG Ges1]])</f>
        <v>0</v>
      </c>
      <c r="AE891" s="451">
        <f ca="1">IF(AND(Scharniere[[#This Row],[Scharnierart]]=select!$A$1485,Scharniere[[#This Row],[Gruppenschlüssel]]=select!$B$1485)=TRUE,1,0)</f>
        <v>0</v>
      </c>
      <c r="AF891" s="451">
        <f ca="1">IF(AND(Scharniere[[#This Row],[Scharnierart]]=select!$A$1486,Scharniere[[#This Row],[Gruppenschlüssel]]=select!$B$1486)=TRUE,1,0)</f>
        <v>0</v>
      </c>
      <c r="AG891" s="451">
        <f ca="1">IF(AND(Scharniere[[#This Row],[Scharnierart]]=select!$A$1487,Scharniere[[#This Row],[Gruppenschlüssel]]=select!$B$1487)=TRUE,1,0)</f>
        <v>0</v>
      </c>
      <c r="AH891" s="451">
        <f ca="1">IF(AND(Scharniere[[#This Row],[Scharnierart]]=select!$A$1488,Scharniere[[#This Row],[Gruppenschlüssel]]=select!$B$1488)=TRUE,1,0)</f>
        <v>0</v>
      </c>
      <c r="AI891" s="451">
        <f ca="1">IF(SUM(Scharniere[[#This Row],[konf Scharnier 1]:[konf Scharnier 4]])&gt;0,1,0)</f>
        <v>0</v>
      </c>
      <c r="AJ891" s="451"/>
      <c r="AK891" s="451"/>
      <c r="AL891" s="451"/>
      <c r="AM891" s="451"/>
      <c r="AN891" s="451"/>
      <c r="AO891" s="146">
        <v>2</v>
      </c>
      <c r="AP891" s="146">
        <v>6</v>
      </c>
      <c r="AQ891" s="71" t="str">
        <f ca="1">Sprache!$A$113</f>
        <v>Tiomos Scharnier TS Impresso</v>
      </c>
      <c r="AR891" t="str">
        <f ca="1">"110/37°, HS-BB, "&amp;Sprache!$A$62&amp;" ni"</f>
        <v>110/37°, HS-BB, einl. ni</v>
      </c>
      <c r="AS891" t="str">
        <f ca="1">Sprache!$A$116</f>
        <v>Tiomos Impresso Scharniere</v>
      </c>
      <c r="AT891" t="s">
        <v>1264</v>
      </c>
      <c r="AU891" t="s">
        <v>10</v>
      </c>
      <c r="AV891" t="s">
        <v>1489</v>
      </c>
      <c r="AW891" s="71">
        <v>1</v>
      </c>
      <c r="AX891">
        <v>0</v>
      </c>
      <c r="AY891">
        <v>0</v>
      </c>
      <c r="AZ891" s="71">
        <v>0</v>
      </c>
      <c r="BA891">
        <v>0</v>
      </c>
      <c r="BB891">
        <v>0</v>
      </c>
      <c r="BC891">
        <v>1</v>
      </c>
      <c r="BD891" s="144" t="s">
        <v>1592</v>
      </c>
      <c r="BF891" s="10"/>
      <c r="BG891"/>
    </row>
    <row r="892" spans="1:59" ht="14.25" customHeight="1" x14ac:dyDescent="0.25">
      <c r="A892" s="37" t="str">
        <f>LEFT(Scharniere[[#This Row],[ArtikelNR]],4)</f>
        <v>F017</v>
      </c>
      <c r="B892" s="35" t="str">
        <f>MID(Scharniere[[#This Row],[ArtikelNR]],5,3)</f>
        <v>139</v>
      </c>
      <c r="C892" s="37" t="str">
        <f>RIGHT(Scharniere[[#This Row],[ArtikelNR]],3)</f>
        <v>508</v>
      </c>
      <c r="D892" s="35">
        <f>IF(AND(Scharniere[[#This Row],[Gruppenschlüssel]]=select!$A$44,Scharniere[[#This Row],[Scharnierart]]=1)=TRUE,1,0)</f>
        <v>0</v>
      </c>
      <c r="E8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2" s="35">
        <f>IF(select!$F$57=IF(Scharniere[[#This Row],[mit Dämpfung]]=1,1,IF(Scharniere[[#This Row],[ohne Dämpfung]]=1,2,IF(Scharniere[[#This Row],[ohne Feder]]=1,3,0))),1,0)</f>
        <v>0</v>
      </c>
      <c r="G892" s="35">
        <f>IF(Scharniere[[#This Row],[Bohrbild]]=select!$V$43,1,0)</f>
        <v>0</v>
      </c>
      <c r="H892" s="35">
        <f>IF(IF(Scharniere[[#This Row],[Anschrauben]]=1,1,IF(Scharniere[[#This Row],[Einpressen]]=1,2,IF(Scharniere[[#This Row],[Quick]]=1,3,IF(Scharniere[[#This Row],[Werkzeuglos]]=1,4,0))))=select!$F$48,1,0)</f>
        <v>0</v>
      </c>
      <c r="I8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2" s="149">
        <f>IF(AND(Scharniere[[#This Row],[Scharnierart]]=2,Scharniere[[#This Row],[Gruppenschlüssel]]=select!$A$318)=TRUE,1,0)</f>
        <v>0</v>
      </c>
      <c r="K892" s="221">
        <f ca="1">IF(select!$O$424&lt;6,1,0)</f>
        <v>1</v>
      </c>
      <c r="L892" s="221">
        <f>IF(select!$A$362=IF(Scharniere[[#This Row],[mit Dämpfung]]=1,1,IF(Scharniere[[#This Row],[ohne Dämpfung]]=1,2,IF(Scharniere[[#This Row],[ohne Feder]]=1,3,0))),1,0)</f>
        <v>1</v>
      </c>
      <c r="M892" s="135">
        <f>IF(Scharniere[[#This Row],[Bohrbild]]=select!$O$334,1,0)</f>
        <v>0</v>
      </c>
      <c r="N892" s="135">
        <f>IF(IF(Scharniere[[#This Row],[Anschrauben]]=1,1,IF(Scharniere[[#This Row],[Einpressen]]=1,2,IF(Scharniere[[#This Row],[Quick]]=1,3,IF(Scharniere[[#This Row],[Werkzeuglos]]=1,4,0))))=select!$E$362,1,0)</f>
        <v>0</v>
      </c>
      <c r="O8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2" s="298">
        <f>IF(AND(Scharniere[[#This Row],[Scharnierart]]=3,Scharniere[[#This Row],[Gruppenschlüssel]]=select!$A$747)=TRUE,1,0)</f>
        <v>0</v>
      </c>
      <c r="Q892" s="298">
        <f ca="1">IF(select!$O$945&lt;6,1,0)</f>
        <v>1</v>
      </c>
      <c r="R892" s="298">
        <f>IF(select!$A$778=IF(Scharniere[[#This Row],[mit Dämpfung]]=1,1,IF(Scharniere[[#This Row],[ohne Dämpfung]]=1,2,IF(Scharniere[[#This Row],[ohne Feder]]=1,3,0))),1,0)</f>
        <v>0</v>
      </c>
      <c r="S892" s="298">
        <f>IF(Scharniere[[#This Row],[Bohrbild]]=select!$A$755,1,0)</f>
        <v>0</v>
      </c>
      <c r="T892" s="298">
        <f>IF(IF(Scharniere[[#This Row],[Anschrauben]]=1,1,IF(Scharniere[[#This Row],[Einpressen]]=1,2,IF(Scharniere[[#This Row],[Quick]]=1,3,IF(Scharniere[[#This Row],[Werkzeuglos]]=1,4,0))))=select!$A$769,1,0)</f>
        <v>0</v>
      </c>
      <c r="U8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2" s="359">
        <f>IF(AND(Scharniere[[#This Row],[Scharnierart]]=4,Scharniere[[#This Row],[Gruppenschlüssel]]=select!$A$981)=TRUE,1,0)</f>
        <v>0</v>
      </c>
      <c r="W892" s="359">
        <f ca="1">IF(select!$O$1185&lt;6,1,0)</f>
        <v>1</v>
      </c>
      <c r="X892" s="359">
        <f>IF(select!$A$1012=IF(Scharniere[[#This Row],[mit Dämpfung]]=1,1,IF(Scharniere[[#This Row],[ohne Dämpfung]]=1,2,IF(Scharniere[[#This Row],[ohne Feder]]=1,3,0))),1,0)</f>
        <v>0</v>
      </c>
      <c r="Y892" s="359">
        <f>IF(Scharniere[[#This Row],[Bohrbild]]=select!$A$989,1,0)</f>
        <v>0</v>
      </c>
      <c r="Z892" s="359">
        <f>IF(IF(Scharniere[[#This Row],[Anschrauben]]=1,1,IF(Scharniere[[#This Row],[Einpressen]]=1,2,IF(Scharniere[[#This Row],[Quick]]=1,3,IF(Scharniere[[#This Row],[Werkzeuglos]]=1,4,0))))=select!$A$1003,1,0)</f>
        <v>0</v>
      </c>
      <c r="AA8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2" s="359">
        <f ca="1">IF(select!$K$980="*",Scharniere[[#This Row],[AG Ges2]],Scharniere[[#This Row],[AG Ges1]])</f>
        <v>0</v>
      </c>
      <c r="AE892" s="451">
        <f ca="1">IF(AND(Scharniere[[#This Row],[Scharnierart]]=select!$A$1485,Scharniere[[#This Row],[Gruppenschlüssel]]=select!$B$1485)=TRUE,1,0)</f>
        <v>0</v>
      </c>
      <c r="AF892" s="451">
        <f ca="1">IF(AND(Scharniere[[#This Row],[Scharnierart]]=select!$A$1486,Scharniere[[#This Row],[Gruppenschlüssel]]=select!$B$1486)=TRUE,1,0)</f>
        <v>0</v>
      </c>
      <c r="AG892" s="451">
        <f ca="1">IF(AND(Scharniere[[#This Row],[Scharnierart]]=select!$A$1487,Scharniere[[#This Row],[Gruppenschlüssel]]=select!$B$1487)=TRUE,1,0)</f>
        <v>0</v>
      </c>
      <c r="AH892" s="451">
        <f ca="1">IF(AND(Scharniere[[#This Row],[Scharnierart]]=select!$A$1488,Scharniere[[#This Row],[Gruppenschlüssel]]=select!$B$1488)=TRUE,1,0)</f>
        <v>0</v>
      </c>
      <c r="AI892" s="451">
        <f ca="1">IF(SUM(Scharniere[[#This Row],[konf Scharnier 1]:[konf Scharnier 4]])&gt;0,1,0)</f>
        <v>0</v>
      </c>
      <c r="AJ892" s="451"/>
      <c r="AK892" s="451"/>
      <c r="AL892" s="451"/>
      <c r="AM892" s="451"/>
      <c r="AN892" s="451"/>
      <c r="AO892" s="146">
        <v>2</v>
      </c>
      <c r="AP892" s="146">
        <v>6</v>
      </c>
      <c r="AQ892" s="71" t="str">
        <f ca="1">Sprache!$A$113</f>
        <v>Tiomos Scharnier TS Impresso</v>
      </c>
      <c r="AR892" t="str">
        <f ca="1">"110/37°, HS-BB, "&amp;Sprache!$A$62&amp;" ni"</f>
        <v>110/37°, HS-BB, einl. ni</v>
      </c>
      <c r="AS892" t="str">
        <f ca="1">Sprache!$A$116</f>
        <v>Tiomos Impresso Scharniere</v>
      </c>
      <c r="AT892" t="s">
        <v>1264</v>
      </c>
      <c r="AU892" t="s">
        <v>11</v>
      </c>
      <c r="AV892" t="s">
        <v>1489</v>
      </c>
      <c r="AW892" s="71">
        <v>1</v>
      </c>
      <c r="AX892">
        <v>0</v>
      </c>
      <c r="AY892">
        <v>0</v>
      </c>
      <c r="AZ892" s="71">
        <v>0</v>
      </c>
      <c r="BA892">
        <v>0</v>
      </c>
      <c r="BB892">
        <v>0</v>
      </c>
      <c r="BC892">
        <v>1</v>
      </c>
      <c r="BD892" s="144" t="s">
        <v>1592</v>
      </c>
      <c r="BF892" s="10"/>
      <c r="BG892"/>
    </row>
    <row r="893" spans="1:59" ht="14.25" customHeight="1" x14ac:dyDescent="0.25">
      <c r="A893" s="37" t="str">
        <f>LEFT(Scharniere[[#This Row],[ArtikelNR]],4)</f>
        <v>F034</v>
      </c>
      <c r="B893" s="35" t="str">
        <f>MID(Scharniere[[#This Row],[ArtikelNR]],5,3)</f>
        <v>139</v>
      </c>
      <c r="C893" s="37" t="str">
        <f>RIGHT(Scharniere[[#This Row],[ArtikelNR]],3)</f>
        <v>479</v>
      </c>
      <c r="D893" s="35">
        <f>IF(AND(Scharniere[[#This Row],[Gruppenschlüssel]]=select!$A$44,Scharniere[[#This Row],[Scharnierart]]=1)=TRUE,1,0)</f>
        <v>0</v>
      </c>
      <c r="E8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3" s="35">
        <f>IF(select!$F$57=IF(Scharniere[[#This Row],[mit Dämpfung]]=1,1,IF(Scharniere[[#This Row],[ohne Dämpfung]]=1,2,IF(Scharniere[[#This Row],[ohne Feder]]=1,3,0))),1,0)</f>
        <v>0</v>
      </c>
      <c r="G893" s="35">
        <f>IF(Scharniere[[#This Row],[Bohrbild]]=select!$V$43,1,0)</f>
        <v>0</v>
      </c>
      <c r="H893" s="35">
        <f>IF(IF(Scharniere[[#This Row],[Anschrauben]]=1,1,IF(Scharniere[[#This Row],[Einpressen]]=1,2,IF(Scharniere[[#This Row],[Quick]]=1,3,IF(Scharniere[[#This Row],[Werkzeuglos]]=1,4,0))))=select!$F$48,1,0)</f>
        <v>0</v>
      </c>
      <c r="I8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3" s="149">
        <f>IF(AND(Scharniere[[#This Row],[Scharnierart]]=2,Scharniere[[#This Row],[Gruppenschlüssel]]=select!$A$318)=TRUE,1,0)</f>
        <v>0</v>
      </c>
      <c r="K893" s="221">
        <f ca="1">IF(select!$O$424&lt;6,1,0)</f>
        <v>1</v>
      </c>
      <c r="L893" s="221">
        <f>IF(select!$A$362=IF(Scharniere[[#This Row],[mit Dämpfung]]=1,1,IF(Scharniere[[#This Row],[ohne Dämpfung]]=1,2,IF(Scharniere[[#This Row],[ohne Feder]]=1,3,0))),1,0)</f>
        <v>0</v>
      </c>
      <c r="M893" s="135">
        <f>IF(Scharniere[[#This Row],[Bohrbild]]=select!$O$334,1,0)</f>
        <v>0</v>
      </c>
      <c r="N893" s="135">
        <f>IF(IF(Scharniere[[#This Row],[Anschrauben]]=1,1,IF(Scharniere[[#This Row],[Einpressen]]=1,2,IF(Scharniere[[#This Row],[Quick]]=1,3,IF(Scharniere[[#This Row],[Werkzeuglos]]=1,4,0))))=select!$E$362,1,0)</f>
        <v>0</v>
      </c>
      <c r="O8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3" s="298">
        <f>IF(AND(Scharniere[[#This Row],[Scharnierart]]=3,Scharniere[[#This Row],[Gruppenschlüssel]]=select!$A$747)=TRUE,1,0)</f>
        <v>0</v>
      </c>
      <c r="Q893" s="298">
        <f ca="1">IF(select!$O$945&lt;6,1,0)</f>
        <v>1</v>
      </c>
      <c r="R893" s="298">
        <f>IF(select!$A$778=IF(Scharniere[[#This Row],[mit Dämpfung]]=1,1,IF(Scharniere[[#This Row],[ohne Dämpfung]]=1,2,IF(Scharniere[[#This Row],[ohne Feder]]=1,3,0))),1,0)</f>
        <v>1</v>
      </c>
      <c r="S893" s="298">
        <f>IF(Scharniere[[#This Row],[Bohrbild]]=select!$A$755,1,0)</f>
        <v>0</v>
      </c>
      <c r="T893" s="298">
        <f>IF(IF(Scharniere[[#This Row],[Anschrauben]]=1,1,IF(Scharniere[[#This Row],[Einpressen]]=1,2,IF(Scharniere[[#This Row],[Quick]]=1,3,IF(Scharniere[[#This Row],[Werkzeuglos]]=1,4,0))))=select!$A$769,1,0)</f>
        <v>0</v>
      </c>
      <c r="U8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3" s="359">
        <f>IF(AND(Scharniere[[#This Row],[Scharnierart]]=4,Scharniere[[#This Row],[Gruppenschlüssel]]=select!$A$981)=TRUE,1,0)</f>
        <v>0</v>
      </c>
      <c r="W893" s="359">
        <f ca="1">IF(select!$O$1185&lt;6,1,0)</f>
        <v>1</v>
      </c>
      <c r="X893" s="359">
        <f>IF(select!$A$1012=IF(Scharniere[[#This Row],[mit Dämpfung]]=1,1,IF(Scharniere[[#This Row],[ohne Dämpfung]]=1,2,IF(Scharniere[[#This Row],[ohne Feder]]=1,3,0))),1,0)</f>
        <v>1</v>
      </c>
      <c r="Y893" s="359">
        <f>IF(Scharniere[[#This Row],[Bohrbild]]=select!$A$989,1,0)</f>
        <v>0</v>
      </c>
      <c r="Z893" s="359">
        <f>IF(IF(Scharniere[[#This Row],[Anschrauben]]=1,1,IF(Scharniere[[#This Row],[Einpressen]]=1,2,IF(Scharniere[[#This Row],[Quick]]=1,3,IF(Scharniere[[#This Row],[Werkzeuglos]]=1,4,0))))=select!$A$1003,1,0)</f>
        <v>0</v>
      </c>
      <c r="AA8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3" s="359">
        <f ca="1">IF(select!$K$980="*",Scharniere[[#This Row],[AG Ges2]],Scharniere[[#This Row],[AG Ges1]])</f>
        <v>0</v>
      </c>
      <c r="AE893" s="451">
        <f ca="1">IF(AND(Scharniere[[#This Row],[Scharnierart]]=select!$A$1485,Scharniere[[#This Row],[Gruppenschlüssel]]=select!$B$1485)=TRUE,1,0)</f>
        <v>0</v>
      </c>
      <c r="AF893" s="451">
        <f ca="1">IF(AND(Scharniere[[#This Row],[Scharnierart]]=select!$A$1486,Scharniere[[#This Row],[Gruppenschlüssel]]=select!$B$1486)=TRUE,1,0)</f>
        <v>0</v>
      </c>
      <c r="AG893" s="451">
        <f ca="1">IF(AND(Scharniere[[#This Row],[Scharnierart]]=select!$A$1487,Scharniere[[#This Row],[Gruppenschlüssel]]=select!$B$1487)=TRUE,1,0)</f>
        <v>0</v>
      </c>
      <c r="AH893" s="451">
        <f ca="1">IF(AND(Scharniere[[#This Row],[Scharnierart]]=select!$A$1488,Scharniere[[#This Row],[Gruppenschlüssel]]=select!$B$1488)=TRUE,1,0)</f>
        <v>0</v>
      </c>
      <c r="AI893" s="451">
        <f ca="1">IF(SUM(Scharniere[[#This Row],[konf Scharnier 1]:[konf Scharnier 4]])&gt;0,1,0)</f>
        <v>0</v>
      </c>
      <c r="AJ893" s="451"/>
      <c r="AK893" s="451"/>
      <c r="AL893" s="451"/>
      <c r="AM893" s="451"/>
      <c r="AN893" s="451"/>
      <c r="AO893" s="146">
        <v>2</v>
      </c>
      <c r="AP893" s="146">
        <v>6</v>
      </c>
      <c r="AQ893" s="71" t="str">
        <f ca="1">Sprache!$A$119</f>
        <v>Tiomos Scharnier T Impresso</v>
      </c>
      <c r="AR893" t="str">
        <f ca="1">"110/37°, HS-BB, "&amp;Sprache!$A$62&amp;" ni"</f>
        <v>110/37°, HS-BB, einl. ni</v>
      </c>
      <c r="AS893" t="str">
        <f ca="1">Sprache!$A$103</f>
        <v>Tiomos Click-On Scharniere</v>
      </c>
      <c r="AT893" t="s">
        <v>1264</v>
      </c>
      <c r="AU893" t="s">
        <v>10</v>
      </c>
      <c r="AV893" t="s">
        <v>1489</v>
      </c>
      <c r="AW893" s="71">
        <v>0</v>
      </c>
      <c r="AX893">
        <v>1</v>
      </c>
      <c r="AY893">
        <v>0</v>
      </c>
      <c r="AZ893" s="71">
        <v>0</v>
      </c>
      <c r="BA893">
        <v>0</v>
      </c>
      <c r="BB893">
        <v>0</v>
      </c>
      <c r="BC893">
        <v>1</v>
      </c>
      <c r="BD893" s="144" t="s">
        <v>1770</v>
      </c>
      <c r="BF893" s="10"/>
      <c r="BG893"/>
    </row>
    <row r="894" spans="1:59" ht="14.25" customHeight="1" x14ac:dyDescent="0.25">
      <c r="A894" s="37" t="str">
        <f>LEFT(Scharniere[[#This Row],[ArtikelNR]],4)</f>
        <v>F034</v>
      </c>
      <c r="B894" s="35" t="str">
        <f>MID(Scharniere[[#This Row],[ArtikelNR]],5,3)</f>
        <v>139</v>
      </c>
      <c r="C894" s="37" t="str">
        <f>RIGHT(Scharniere[[#This Row],[ArtikelNR]],3)</f>
        <v>479</v>
      </c>
      <c r="D894" s="35">
        <f>IF(AND(Scharniere[[#This Row],[Gruppenschlüssel]]=select!$A$44,Scharniere[[#This Row],[Scharnierart]]=1)=TRUE,1,0)</f>
        <v>0</v>
      </c>
      <c r="E8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4" s="35">
        <f>IF(select!$F$57=IF(Scharniere[[#This Row],[mit Dämpfung]]=1,1,IF(Scharniere[[#This Row],[ohne Dämpfung]]=1,2,IF(Scharniere[[#This Row],[ohne Feder]]=1,3,0))),1,0)</f>
        <v>0</v>
      </c>
      <c r="G894" s="35">
        <f>IF(Scharniere[[#This Row],[Bohrbild]]=select!$V$43,1,0)</f>
        <v>0</v>
      </c>
      <c r="H894" s="35">
        <f>IF(IF(Scharniere[[#This Row],[Anschrauben]]=1,1,IF(Scharniere[[#This Row],[Einpressen]]=1,2,IF(Scharniere[[#This Row],[Quick]]=1,3,IF(Scharniere[[#This Row],[Werkzeuglos]]=1,4,0))))=select!$F$48,1,0)</f>
        <v>0</v>
      </c>
      <c r="I8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4" s="149">
        <f>IF(AND(Scharniere[[#This Row],[Scharnierart]]=2,Scharniere[[#This Row],[Gruppenschlüssel]]=select!$A$318)=TRUE,1,0)</f>
        <v>0</v>
      </c>
      <c r="K894" s="221">
        <f ca="1">IF(select!$O$424&lt;6,1,0)</f>
        <v>1</v>
      </c>
      <c r="L894" s="221">
        <f>IF(select!$A$362=IF(Scharniere[[#This Row],[mit Dämpfung]]=1,1,IF(Scharniere[[#This Row],[ohne Dämpfung]]=1,2,IF(Scharniere[[#This Row],[ohne Feder]]=1,3,0))),1,0)</f>
        <v>0</v>
      </c>
      <c r="M894" s="135">
        <f>IF(Scharniere[[#This Row],[Bohrbild]]=select!$O$334,1,0)</f>
        <v>0</v>
      </c>
      <c r="N894" s="135">
        <f>IF(IF(Scharniere[[#This Row],[Anschrauben]]=1,1,IF(Scharniere[[#This Row],[Einpressen]]=1,2,IF(Scharniere[[#This Row],[Quick]]=1,3,IF(Scharniere[[#This Row],[Werkzeuglos]]=1,4,0))))=select!$E$362,1,0)</f>
        <v>0</v>
      </c>
      <c r="O8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4" s="298">
        <f>IF(AND(Scharniere[[#This Row],[Scharnierart]]=3,Scharniere[[#This Row],[Gruppenschlüssel]]=select!$A$747)=TRUE,1,0)</f>
        <v>0</v>
      </c>
      <c r="Q894" s="298">
        <f ca="1">IF(select!$O$945&lt;6,1,0)</f>
        <v>1</v>
      </c>
      <c r="R894" s="298">
        <f>IF(select!$A$778=IF(Scharniere[[#This Row],[mit Dämpfung]]=1,1,IF(Scharniere[[#This Row],[ohne Dämpfung]]=1,2,IF(Scharniere[[#This Row],[ohne Feder]]=1,3,0))),1,0)</f>
        <v>1</v>
      </c>
      <c r="S894" s="298">
        <f>IF(Scharniere[[#This Row],[Bohrbild]]=select!$A$755,1,0)</f>
        <v>0</v>
      </c>
      <c r="T894" s="298">
        <f>IF(IF(Scharniere[[#This Row],[Anschrauben]]=1,1,IF(Scharniere[[#This Row],[Einpressen]]=1,2,IF(Scharniere[[#This Row],[Quick]]=1,3,IF(Scharniere[[#This Row],[Werkzeuglos]]=1,4,0))))=select!$A$769,1,0)</f>
        <v>0</v>
      </c>
      <c r="U8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4" s="359">
        <f>IF(AND(Scharniere[[#This Row],[Scharnierart]]=4,Scharniere[[#This Row],[Gruppenschlüssel]]=select!$A$981)=TRUE,1,0)</f>
        <v>0</v>
      </c>
      <c r="W894" s="359">
        <f ca="1">IF(select!$O$1185&lt;6,1,0)</f>
        <v>1</v>
      </c>
      <c r="X894" s="359">
        <f>IF(select!$A$1012=IF(Scharniere[[#This Row],[mit Dämpfung]]=1,1,IF(Scharniere[[#This Row],[ohne Dämpfung]]=1,2,IF(Scharniere[[#This Row],[ohne Feder]]=1,3,0))),1,0)</f>
        <v>1</v>
      </c>
      <c r="Y894" s="359">
        <f>IF(Scharniere[[#This Row],[Bohrbild]]=select!$A$989,1,0)</f>
        <v>0</v>
      </c>
      <c r="Z894" s="359">
        <f>IF(IF(Scharniere[[#This Row],[Anschrauben]]=1,1,IF(Scharniere[[#This Row],[Einpressen]]=1,2,IF(Scharniere[[#This Row],[Quick]]=1,3,IF(Scharniere[[#This Row],[Werkzeuglos]]=1,4,0))))=select!$A$1003,1,0)</f>
        <v>0</v>
      </c>
      <c r="AA8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4" s="359">
        <f ca="1">IF(select!$K$980="*",Scharniere[[#This Row],[AG Ges2]],Scharniere[[#This Row],[AG Ges1]])</f>
        <v>0</v>
      </c>
      <c r="AE894" s="451">
        <f ca="1">IF(AND(Scharniere[[#This Row],[Scharnierart]]=select!$A$1485,Scharniere[[#This Row],[Gruppenschlüssel]]=select!$B$1485)=TRUE,1,0)</f>
        <v>0</v>
      </c>
      <c r="AF894" s="451">
        <f ca="1">IF(AND(Scharniere[[#This Row],[Scharnierart]]=select!$A$1486,Scharniere[[#This Row],[Gruppenschlüssel]]=select!$B$1486)=TRUE,1,0)</f>
        <v>0</v>
      </c>
      <c r="AG894" s="451">
        <f ca="1">IF(AND(Scharniere[[#This Row],[Scharnierart]]=select!$A$1487,Scharniere[[#This Row],[Gruppenschlüssel]]=select!$B$1487)=TRUE,1,0)</f>
        <v>0</v>
      </c>
      <c r="AH894" s="451">
        <f ca="1">IF(AND(Scharniere[[#This Row],[Scharnierart]]=select!$A$1488,Scharniere[[#This Row],[Gruppenschlüssel]]=select!$B$1488)=TRUE,1,0)</f>
        <v>0</v>
      </c>
      <c r="AI894" s="451">
        <f ca="1">IF(SUM(Scharniere[[#This Row],[konf Scharnier 1]:[konf Scharnier 4]])&gt;0,1,0)</f>
        <v>0</v>
      </c>
      <c r="AJ894" s="451"/>
      <c r="AK894" s="451"/>
      <c r="AL894" s="451"/>
      <c r="AM894" s="451"/>
      <c r="AN894" s="451"/>
      <c r="AO894" s="146">
        <v>2</v>
      </c>
      <c r="AP894" s="146">
        <v>6</v>
      </c>
      <c r="AQ894" s="71" t="str">
        <f ca="1">Sprache!$A$119</f>
        <v>Tiomos Scharnier T Impresso</v>
      </c>
      <c r="AR894" t="str">
        <f ca="1">"110/37°, HS-BB, "&amp;Sprache!$A$62&amp;" ni"</f>
        <v>110/37°, HS-BB, einl. ni</v>
      </c>
      <c r="AS894" t="str">
        <f ca="1">Sprache!$A$103</f>
        <v>Tiomos Click-On Scharniere</v>
      </c>
      <c r="AT894" t="s">
        <v>1264</v>
      </c>
      <c r="AU894" t="s">
        <v>11</v>
      </c>
      <c r="AV894" t="s">
        <v>1489</v>
      </c>
      <c r="AW894" s="71">
        <v>0</v>
      </c>
      <c r="AX894">
        <v>1</v>
      </c>
      <c r="AY894">
        <v>0</v>
      </c>
      <c r="AZ894" s="71">
        <v>0</v>
      </c>
      <c r="BA894">
        <v>0</v>
      </c>
      <c r="BB894">
        <v>0</v>
      </c>
      <c r="BC894">
        <v>1</v>
      </c>
      <c r="BD894" s="144" t="s">
        <v>1770</v>
      </c>
      <c r="BF894" s="10"/>
      <c r="BG894"/>
    </row>
    <row r="895" spans="1:59" ht="14.25" customHeight="1" x14ac:dyDescent="0.25">
      <c r="A895" s="37" t="str">
        <f>LEFT(Scharniere[[#This Row],[ArtikelNR]],4)</f>
        <v>F028</v>
      </c>
      <c r="B895" s="35" t="str">
        <f>MID(Scharniere[[#This Row],[ArtikelNR]],5,3)</f>
        <v>138</v>
      </c>
      <c r="C895" s="37" t="str">
        <f>RIGHT(Scharniere[[#This Row],[ArtikelNR]],3)</f>
        <v>106</v>
      </c>
      <c r="D895" s="35">
        <f>IF(AND(Scharniere[[#This Row],[Gruppenschlüssel]]=select!$A$44,Scharniere[[#This Row],[Scharnierart]]=1)=TRUE,1,0)</f>
        <v>0</v>
      </c>
      <c r="E8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5" s="35">
        <f>IF(select!$F$57=IF(Scharniere[[#This Row],[mit Dämpfung]]=1,1,IF(Scharniere[[#This Row],[ohne Dämpfung]]=1,2,IF(Scharniere[[#This Row],[ohne Feder]]=1,3,0))),1,0)</f>
        <v>0</v>
      </c>
      <c r="G895" s="35">
        <f>IF(Scharniere[[#This Row],[Bohrbild]]=select!$V$43,1,0)</f>
        <v>1</v>
      </c>
      <c r="H895" s="35">
        <f>IF(IF(Scharniere[[#This Row],[Anschrauben]]=1,1,IF(Scharniere[[#This Row],[Einpressen]]=1,2,IF(Scharniere[[#This Row],[Quick]]=1,3,IF(Scharniere[[#This Row],[Werkzeuglos]]=1,4,0))))=select!$F$48,1,0)</f>
        <v>0</v>
      </c>
      <c r="I8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5" s="149">
        <f>IF(AND(Scharniere[[#This Row],[Scharnierart]]=2,Scharniere[[#This Row],[Gruppenschlüssel]]=select!$A$318)=TRUE,1,0)</f>
        <v>0</v>
      </c>
      <c r="K895" s="221">
        <f ca="1">IF(select!$O$424&lt;6,1,0)</f>
        <v>1</v>
      </c>
      <c r="L895" s="221">
        <f>IF(select!$A$362=IF(Scharniere[[#This Row],[mit Dämpfung]]=1,1,IF(Scharniere[[#This Row],[ohne Dämpfung]]=1,2,IF(Scharniere[[#This Row],[ohne Feder]]=1,3,0))),1,0)</f>
        <v>1</v>
      </c>
      <c r="M895" s="135">
        <f>IF(Scharniere[[#This Row],[Bohrbild]]=select!$O$334,1,0)</f>
        <v>1</v>
      </c>
      <c r="N895" s="135">
        <f>IF(IF(Scharniere[[#This Row],[Anschrauben]]=1,1,IF(Scharniere[[#This Row],[Einpressen]]=1,2,IF(Scharniere[[#This Row],[Quick]]=1,3,IF(Scharniere[[#This Row],[Werkzeuglos]]=1,4,0))))=select!$E$362,1,0)</f>
        <v>1</v>
      </c>
      <c r="O8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5" s="298">
        <f>IF(AND(Scharniere[[#This Row],[Scharnierart]]=3,Scharniere[[#This Row],[Gruppenschlüssel]]=select!$A$747)=TRUE,1,0)</f>
        <v>0</v>
      </c>
      <c r="Q895" s="298">
        <f ca="1">IF(select!$O$945&lt;6,1,0)</f>
        <v>1</v>
      </c>
      <c r="R895" s="298">
        <f>IF(select!$A$778=IF(Scharniere[[#This Row],[mit Dämpfung]]=1,1,IF(Scharniere[[#This Row],[ohne Dämpfung]]=1,2,IF(Scharniere[[#This Row],[ohne Feder]]=1,3,0))),1,0)</f>
        <v>0</v>
      </c>
      <c r="S895" s="298">
        <f>IF(Scharniere[[#This Row],[Bohrbild]]=select!$A$755,1,0)</f>
        <v>0</v>
      </c>
      <c r="T895" s="298">
        <f>IF(IF(Scharniere[[#This Row],[Anschrauben]]=1,1,IF(Scharniere[[#This Row],[Einpressen]]=1,2,IF(Scharniere[[#This Row],[Quick]]=1,3,IF(Scharniere[[#This Row],[Werkzeuglos]]=1,4,0))))=select!$A$769,1,0)</f>
        <v>1</v>
      </c>
      <c r="U8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5" s="359">
        <f>IF(AND(Scharniere[[#This Row],[Scharnierart]]=4,Scharniere[[#This Row],[Gruppenschlüssel]]=select!$A$981)=TRUE,1,0)</f>
        <v>0</v>
      </c>
      <c r="W895" s="359">
        <f ca="1">IF(select!$O$1185&lt;6,1,0)</f>
        <v>1</v>
      </c>
      <c r="X895" s="359">
        <f>IF(select!$A$1012=IF(Scharniere[[#This Row],[mit Dämpfung]]=1,1,IF(Scharniere[[#This Row],[ohne Dämpfung]]=1,2,IF(Scharniere[[#This Row],[ohne Feder]]=1,3,0))),1,0)</f>
        <v>0</v>
      </c>
      <c r="Y895" s="359">
        <f>IF(Scharniere[[#This Row],[Bohrbild]]=select!$A$989,1,0)</f>
        <v>0</v>
      </c>
      <c r="Z895" s="359">
        <f>IF(IF(Scharniere[[#This Row],[Anschrauben]]=1,1,IF(Scharniere[[#This Row],[Einpressen]]=1,2,IF(Scharniere[[#This Row],[Quick]]=1,3,IF(Scharniere[[#This Row],[Werkzeuglos]]=1,4,0))))=select!$A$1003,1,0)</f>
        <v>1</v>
      </c>
      <c r="AA8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5" s="359">
        <f ca="1">IF(select!$K$980="*",Scharniere[[#This Row],[AG Ges2]],Scharniere[[#This Row],[AG Ges1]])</f>
        <v>0</v>
      </c>
      <c r="AE895" s="451">
        <f ca="1">IF(AND(Scharniere[[#This Row],[Scharnierart]]=select!$A$1485,Scharniere[[#This Row],[Gruppenschlüssel]]=select!$B$1485)=TRUE,1,0)</f>
        <v>0</v>
      </c>
      <c r="AF895" s="451">
        <f ca="1">IF(AND(Scharniere[[#This Row],[Scharnierart]]=select!$A$1486,Scharniere[[#This Row],[Gruppenschlüssel]]=select!$B$1486)=TRUE,1,0)</f>
        <v>0</v>
      </c>
      <c r="AG895" s="451">
        <f ca="1">IF(AND(Scharniere[[#This Row],[Scharnierart]]=select!$A$1487,Scharniere[[#This Row],[Gruppenschlüssel]]=select!$B$1487)=TRUE,1,0)</f>
        <v>0</v>
      </c>
      <c r="AH895" s="451">
        <f ca="1">IF(AND(Scharniere[[#This Row],[Scharnierart]]=select!$A$1488,Scharniere[[#This Row],[Gruppenschlüssel]]=select!$B$1488)=TRUE,1,0)</f>
        <v>0</v>
      </c>
      <c r="AI895" s="451">
        <f ca="1">IF(SUM(Scharniere[[#This Row],[konf Scharnier 1]:[konf Scharnier 4]])&gt;0,1,0)</f>
        <v>0</v>
      </c>
      <c r="AJ895" s="451"/>
      <c r="AK895" s="451"/>
      <c r="AL895" s="451"/>
      <c r="AM895" s="451"/>
      <c r="AN895" s="451"/>
      <c r="AO895" s="146">
        <v>2</v>
      </c>
      <c r="AP895" s="146">
        <v>6</v>
      </c>
      <c r="AQ895" s="71" t="str">
        <f ca="1">Sprache!$A$112</f>
        <v>Tiomos Scharnier TS Click-on</v>
      </c>
      <c r="AR895" t="str">
        <f ca="1">"110/37°, M-BB, "&amp;Sprache!$A$62&amp;" ni"</f>
        <v>110/37°, M-BB, einl. ni</v>
      </c>
      <c r="AS895" t="str">
        <f ca="1">Sprache!$A$103</f>
        <v>Tiomos Click-On Scharniere</v>
      </c>
      <c r="AT895" t="s">
        <v>1264</v>
      </c>
      <c r="AU895" t="s">
        <v>8</v>
      </c>
      <c r="AV895" t="s">
        <v>1489</v>
      </c>
      <c r="AW895" s="71">
        <v>1</v>
      </c>
      <c r="AX895">
        <v>0</v>
      </c>
      <c r="AY895">
        <v>0</v>
      </c>
      <c r="AZ895" s="71">
        <v>1</v>
      </c>
      <c r="BA895">
        <v>0</v>
      </c>
      <c r="BB895">
        <v>0</v>
      </c>
      <c r="BC895">
        <v>0</v>
      </c>
      <c r="BD895" s="144" t="s">
        <v>1516</v>
      </c>
      <c r="BF895" s="10"/>
      <c r="BG895"/>
    </row>
    <row r="896" spans="1:59" ht="14.25" customHeight="1" x14ac:dyDescent="0.25">
      <c r="A896" s="37" t="str">
        <f>LEFT(Scharniere[[#This Row],[ArtikelNR]],4)</f>
        <v>F045</v>
      </c>
      <c r="B896" s="35" t="str">
        <f>MID(Scharniere[[#This Row],[ArtikelNR]],5,3)</f>
        <v>138</v>
      </c>
      <c r="C896" s="37" t="str">
        <f>RIGHT(Scharniere[[#This Row],[ArtikelNR]],3)</f>
        <v>013</v>
      </c>
      <c r="D896" s="35">
        <f>IF(AND(Scharniere[[#This Row],[Gruppenschlüssel]]=select!$A$44,Scharniere[[#This Row],[Scharnierart]]=1)=TRUE,1,0)</f>
        <v>0</v>
      </c>
      <c r="E8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6" s="35">
        <f>IF(select!$F$57=IF(Scharniere[[#This Row],[mit Dämpfung]]=1,1,IF(Scharniere[[#This Row],[ohne Dämpfung]]=1,2,IF(Scharniere[[#This Row],[ohne Feder]]=1,3,0))),1,0)</f>
        <v>0</v>
      </c>
      <c r="G896" s="35">
        <f>IF(Scharniere[[#This Row],[Bohrbild]]=select!$V$43,1,0)</f>
        <v>1</v>
      </c>
      <c r="H896" s="35">
        <f>IF(IF(Scharniere[[#This Row],[Anschrauben]]=1,1,IF(Scharniere[[#This Row],[Einpressen]]=1,2,IF(Scharniere[[#This Row],[Quick]]=1,3,IF(Scharniere[[#This Row],[Werkzeuglos]]=1,4,0))))=select!$F$48,1,0)</f>
        <v>0</v>
      </c>
      <c r="I8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6" s="149">
        <f>IF(AND(Scharniere[[#This Row],[Scharnierart]]=2,Scharniere[[#This Row],[Gruppenschlüssel]]=select!$A$318)=TRUE,1,0)</f>
        <v>0</v>
      </c>
      <c r="K896" s="221">
        <f ca="1">IF(select!$O$424&lt;6,1,0)</f>
        <v>1</v>
      </c>
      <c r="L896" s="221">
        <f>IF(select!$A$362=IF(Scharniere[[#This Row],[mit Dämpfung]]=1,1,IF(Scharniere[[#This Row],[ohne Dämpfung]]=1,2,IF(Scharniere[[#This Row],[ohne Feder]]=1,3,0))),1,0)</f>
        <v>0</v>
      </c>
      <c r="M896" s="135">
        <f>IF(Scharniere[[#This Row],[Bohrbild]]=select!$O$334,1,0)</f>
        <v>1</v>
      </c>
      <c r="N896" s="135">
        <f>IF(IF(Scharniere[[#This Row],[Anschrauben]]=1,1,IF(Scharniere[[#This Row],[Einpressen]]=1,2,IF(Scharniere[[#This Row],[Quick]]=1,3,IF(Scharniere[[#This Row],[Werkzeuglos]]=1,4,0))))=select!$E$362,1,0)</f>
        <v>1</v>
      </c>
      <c r="O8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6" s="298">
        <f>IF(AND(Scharniere[[#This Row],[Scharnierart]]=3,Scharniere[[#This Row],[Gruppenschlüssel]]=select!$A$747)=TRUE,1,0)</f>
        <v>0</v>
      </c>
      <c r="Q896" s="298">
        <f ca="1">IF(select!$O$945&lt;6,1,0)</f>
        <v>1</v>
      </c>
      <c r="R896" s="298">
        <f>IF(select!$A$778=IF(Scharniere[[#This Row],[mit Dämpfung]]=1,1,IF(Scharniere[[#This Row],[ohne Dämpfung]]=1,2,IF(Scharniere[[#This Row],[ohne Feder]]=1,3,0))),1,0)</f>
        <v>1</v>
      </c>
      <c r="S896" s="298">
        <f>IF(Scharniere[[#This Row],[Bohrbild]]=select!$A$755,1,0)</f>
        <v>0</v>
      </c>
      <c r="T896" s="298">
        <f>IF(IF(Scharniere[[#This Row],[Anschrauben]]=1,1,IF(Scharniere[[#This Row],[Einpressen]]=1,2,IF(Scharniere[[#This Row],[Quick]]=1,3,IF(Scharniere[[#This Row],[Werkzeuglos]]=1,4,0))))=select!$A$769,1,0)</f>
        <v>1</v>
      </c>
      <c r="U8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6" s="359">
        <f>IF(AND(Scharniere[[#This Row],[Scharnierart]]=4,Scharniere[[#This Row],[Gruppenschlüssel]]=select!$A$981)=TRUE,1,0)</f>
        <v>0</v>
      </c>
      <c r="W896" s="359">
        <f ca="1">IF(select!$O$1185&lt;6,1,0)</f>
        <v>1</v>
      </c>
      <c r="X896" s="359">
        <f>IF(select!$A$1012=IF(Scharniere[[#This Row],[mit Dämpfung]]=1,1,IF(Scharniere[[#This Row],[ohne Dämpfung]]=1,2,IF(Scharniere[[#This Row],[ohne Feder]]=1,3,0))),1,0)</f>
        <v>1</v>
      </c>
      <c r="Y896" s="359">
        <f>IF(Scharniere[[#This Row],[Bohrbild]]=select!$A$989,1,0)</f>
        <v>0</v>
      </c>
      <c r="Z896" s="359">
        <f>IF(IF(Scharniere[[#This Row],[Anschrauben]]=1,1,IF(Scharniere[[#This Row],[Einpressen]]=1,2,IF(Scharniere[[#This Row],[Quick]]=1,3,IF(Scharniere[[#This Row],[Werkzeuglos]]=1,4,0))))=select!$A$1003,1,0)</f>
        <v>1</v>
      </c>
      <c r="AA8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6" s="359">
        <f ca="1">IF(select!$K$980="*",Scharniere[[#This Row],[AG Ges2]],Scharniere[[#This Row],[AG Ges1]])</f>
        <v>0</v>
      </c>
      <c r="AE896" s="451">
        <f ca="1">IF(AND(Scharniere[[#This Row],[Scharnierart]]=select!$A$1485,Scharniere[[#This Row],[Gruppenschlüssel]]=select!$B$1485)=TRUE,1,0)</f>
        <v>0</v>
      </c>
      <c r="AF896" s="451">
        <f ca="1">IF(AND(Scharniere[[#This Row],[Scharnierart]]=select!$A$1486,Scharniere[[#This Row],[Gruppenschlüssel]]=select!$B$1486)=TRUE,1,0)</f>
        <v>0</v>
      </c>
      <c r="AG896" s="451">
        <f ca="1">IF(AND(Scharniere[[#This Row],[Scharnierart]]=select!$A$1487,Scharniere[[#This Row],[Gruppenschlüssel]]=select!$B$1487)=TRUE,1,0)</f>
        <v>0</v>
      </c>
      <c r="AH896" s="451">
        <f ca="1">IF(AND(Scharniere[[#This Row],[Scharnierart]]=select!$A$1488,Scharniere[[#This Row],[Gruppenschlüssel]]=select!$B$1488)=TRUE,1,0)</f>
        <v>0</v>
      </c>
      <c r="AI896" s="451">
        <f ca="1">IF(SUM(Scharniere[[#This Row],[konf Scharnier 1]:[konf Scharnier 4]])&gt;0,1,0)</f>
        <v>0</v>
      </c>
      <c r="AJ896" s="451"/>
      <c r="AK896" s="451"/>
      <c r="AL896" s="451"/>
      <c r="AM896" s="451"/>
      <c r="AN896" s="451"/>
      <c r="AO896" s="146">
        <v>2</v>
      </c>
      <c r="AP896" s="146">
        <v>6</v>
      </c>
      <c r="AQ896" s="71" t="str">
        <f ca="1">Sprache!$A$118</f>
        <v>Tiomos Scharnier T Click-on</v>
      </c>
      <c r="AR896" t="str">
        <f ca="1">"110/37°, M-BB, "&amp;Sprache!$A$62&amp;" ni"</f>
        <v>110/37°, M-BB, einl. ni</v>
      </c>
      <c r="AS896" t="str">
        <f ca="1">Sprache!$A$103</f>
        <v>Tiomos Click-On Scharniere</v>
      </c>
      <c r="AT896" t="s">
        <v>1264</v>
      </c>
      <c r="AU896" t="s">
        <v>8</v>
      </c>
      <c r="AV896" t="s">
        <v>1489</v>
      </c>
      <c r="AW896" s="71">
        <v>0</v>
      </c>
      <c r="AX896">
        <v>1</v>
      </c>
      <c r="AY896">
        <v>0</v>
      </c>
      <c r="AZ896" s="71">
        <v>1</v>
      </c>
      <c r="BA896">
        <v>0</v>
      </c>
      <c r="BB896">
        <v>0</v>
      </c>
      <c r="BC896">
        <v>0</v>
      </c>
      <c r="BD896" s="144" t="s">
        <v>1618</v>
      </c>
      <c r="BF896" s="10"/>
      <c r="BG896"/>
    </row>
    <row r="897" spans="1:59" ht="14.25" customHeight="1" x14ac:dyDescent="0.25">
      <c r="A897" s="37" t="str">
        <f>LEFT(Scharniere[[#This Row],[ArtikelNR]],4)</f>
        <v>F046</v>
      </c>
      <c r="B897" s="35" t="str">
        <f>MID(Scharniere[[#This Row],[ArtikelNR]],5,3)</f>
        <v>138</v>
      </c>
      <c r="C897" s="37" t="str">
        <f>RIGHT(Scharniere[[#This Row],[ArtikelNR]],3)</f>
        <v>197</v>
      </c>
      <c r="D897" s="35">
        <f>IF(AND(Scharniere[[#This Row],[Gruppenschlüssel]]=select!$A$44,Scharniere[[#This Row],[Scharnierart]]=1)=TRUE,1,0)</f>
        <v>0</v>
      </c>
      <c r="E8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7" s="35">
        <f>IF(select!$F$57=IF(Scharniere[[#This Row],[mit Dämpfung]]=1,1,IF(Scharniere[[#This Row],[ohne Dämpfung]]=1,2,IF(Scharniere[[#This Row],[ohne Feder]]=1,3,0))),1,0)</f>
        <v>1</v>
      </c>
      <c r="G897" s="35">
        <f>IF(Scharniere[[#This Row],[Bohrbild]]=select!$V$43,1,0)</f>
        <v>1</v>
      </c>
      <c r="H897" s="35">
        <f>IF(IF(Scharniere[[#This Row],[Anschrauben]]=1,1,IF(Scharniere[[#This Row],[Einpressen]]=1,2,IF(Scharniere[[#This Row],[Quick]]=1,3,IF(Scharniere[[#This Row],[Werkzeuglos]]=1,4,0))))=select!$F$48,1,0)</f>
        <v>0</v>
      </c>
      <c r="I8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7" s="149">
        <f>IF(AND(Scharniere[[#This Row],[Scharnierart]]=2,Scharniere[[#This Row],[Gruppenschlüssel]]=select!$A$318)=TRUE,1,0)</f>
        <v>0</v>
      </c>
      <c r="K897" s="221">
        <f ca="1">IF(select!$O$424&lt;6,1,0)</f>
        <v>1</v>
      </c>
      <c r="L897" s="221">
        <f>IF(select!$A$362=IF(Scharniere[[#This Row],[mit Dämpfung]]=1,1,IF(Scharniere[[#This Row],[ohne Dämpfung]]=1,2,IF(Scharniere[[#This Row],[ohne Feder]]=1,3,0))),1,0)</f>
        <v>0</v>
      </c>
      <c r="M897" s="135">
        <f>IF(Scharniere[[#This Row],[Bohrbild]]=select!$O$334,1,0)</f>
        <v>1</v>
      </c>
      <c r="N897" s="135">
        <f>IF(IF(Scharniere[[#This Row],[Anschrauben]]=1,1,IF(Scharniere[[#This Row],[Einpressen]]=1,2,IF(Scharniere[[#This Row],[Quick]]=1,3,IF(Scharniere[[#This Row],[Werkzeuglos]]=1,4,0))))=select!$E$362,1,0)</f>
        <v>1</v>
      </c>
      <c r="O8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7" s="298">
        <f>IF(AND(Scharniere[[#This Row],[Scharnierart]]=3,Scharniere[[#This Row],[Gruppenschlüssel]]=select!$A$747)=TRUE,1,0)</f>
        <v>0</v>
      </c>
      <c r="Q897" s="298">
        <f ca="1">IF(select!$O$945&lt;6,1,0)</f>
        <v>1</v>
      </c>
      <c r="R897" s="298">
        <f>IF(select!$A$778=IF(Scharniere[[#This Row],[mit Dämpfung]]=1,1,IF(Scharniere[[#This Row],[ohne Dämpfung]]=1,2,IF(Scharniere[[#This Row],[ohne Feder]]=1,3,0))),1,0)</f>
        <v>0</v>
      </c>
      <c r="S897" s="298">
        <f>IF(Scharniere[[#This Row],[Bohrbild]]=select!$A$755,1,0)</f>
        <v>0</v>
      </c>
      <c r="T897" s="298">
        <f>IF(IF(Scharniere[[#This Row],[Anschrauben]]=1,1,IF(Scharniere[[#This Row],[Einpressen]]=1,2,IF(Scharniere[[#This Row],[Quick]]=1,3,IF(Scharniere[[#This Row],[Werkzeuglos]]=1,4,0))))=select!$A$769,1,0)</f>
        <v>1</v>
      </c>
      <c r="U8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7" s="359">
        <f>IF(AND(Scharniere[[#This Row],[Scharnierart]]=4,Scharniere[[#This Row],[Gruppenschlüssel]]=select!$A$981)=TRUE,1,0)</f>
        <v>0</v>
      </c>
      <c r="W897" s="359">
        <f ca="1">IF(select!$O$1185&lt;6,1,0)</f>
        <v>1</v>
      </c>
      <c r="X897" s="359">
        <f>IF(select!$A$1012=IF(Scharniere[[#This Row],[mit Dämpfung]]=1,1,IF(Scharniere[[#This Row],[ohne Dämpfung]]=1,2,IF(Scharniere[[#This Row],[ohne Feder]]=1,3,0))),1,0)</f>
        <v>0</v>
      </c>
      <c r="Y897" s="359">
        <f>IF(Scharniere[[#This Row],[Bohrbild]]=select!$A$989,1,0)</f>
        <v>0</v>
      </c>
      <c r="Z897" s="359">
        <f>IF(IF(Scharniere[[#This Row],[Anschrauben]]=1,1,IF(Scharniere[[#This Row],[Einpressen]]=1,2,IF(Scharniere[[#This Row],[Quick]]=1,3,IF(Scharniere[[#This Row],[Werkzeuglos]]=1,4,0))))=select!$A$1003,1,0)</f>
        <v>1</v>
      </c>
      <c r="AA8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7" s="359">
        <f ca="1">IF(select!$K$980="*",Scharniere[[#This Row],[AG Ges2]],Scharniere[[#This Row],[AG Ges1]])</f>
        <v>0</v>
      </c>
      <c r="AE897" s="451">
        <f ca="1">IF(AND(Scharniere[[#This Row],[Scharnierart]]=select!$A$1485,Scharniere[[#This Row],[Gruppenschlüssel]]=select!$B$1485)=TRUE,1,0)</f>
        <v>0</v>
      </c>
      <c r="AF897" s="451">
        <f ca="1">IF(AND(Scharniere[[#This Row],[Scharnierart]]=select!$A$1486,Scharniere[[#This Row],[Gruppenschlüssel]]=select!$B$1486)=TRUE,1,0)</f>
        <v>0</v>
      </c>
      <c r="AG897" s="451">
        <f ca="1">IF(AND(Scharniere[[#This Row],[Scharnierart]]=select!$A$1487,Scharniere[[#This Row],[Gruppenschlüssel]]=select!$B$1487)=TRUE,1,0)</f>
        <v>0</v>
      </c>
      <c r="AH897" s="451">
        <f ca="1">IF(AND(Scharniere[[#This Row],[Scharnierart]]=select!$A$1488,Scharniere[[#This Row],[Gruppenschlüssel]]=select!$B$1488)=TRUE,1,0)</f>
        <v>0</v>
      </c>
      <c r="AI897" s="451">
        <f ca="1">IF(SUM(Scharniere[[#This Row],[konf Scharnier 1]:[konf Scharnier 4]])&gt;0,1,0)</f>
        <v>0</v>
      </c>
      <c r="AJ897" s="451"/>
      <c r="AK897" s="451"/>
      <c r="AL897" s="451"/>
      <c r="AM897" s="451"/>
      <c r="AN897" s="451"/>
      <c r="AO897" s="146">
        <v>2</v>
      </c>
      <c r="AP897" s="146">
        <v>6</v>
      </c>
      <c r="AQ897" s="71" t="str">
        <f ca="1">Sprache!$A$114</f>
        <v>Tiomos Scharnier TT Click-on</v>
      </c>
      <c r="AR897" t="str">
        <f ca="1">"110/37°, M-BB, "&amp;Sprache!$A$62&amp;" ni"</f>
        <v>110/37°, M-BB, einl. ni</v>
      </c>
      <c r="AS897" t="str">
        <f ca="1">Sprache!$A$103</f>
        <v>Tiomos Click-On Scharniere</v>
      </c>
      <c r="AT897" t="s">
        <v>1264</v>
      </c>
      <c r="AU897" t="s">
        <v>8</v>
      </c>
      <c r="AV897" t="s">
        <v>1489</v>
      </c>
      <c r="AW897" s="71">
        <v>0</v>
      </c>
      <c r="AX897">
        <v>0</v>
      </c>
      <c r="AY897">
        <v>1</v>
      </c>
      <c r="AZ897" s="71">
        <v>1</v>
      </c>
      <c r="BA897">
        <v>0</v>
      </c>
      <c r="BB897">
        <v>0</v>
      </c>
      <c r="BC897">
        <v>0</v>
      </c>
      <c r="BD897" s="144" t="s">
        <v>1703</v>
      </c>
      <c r="BF897" s="10"/>
      <c r="BG897"/>
    </row>
    <row r="898" spans="1:59" ht="14.25" customHeight="1" x14ac:dyDescent="0.25">
      <c r="A898" s="37" t="str">
        <f>LEFT(Scharniere[[#This Row],[ArtikelNR]],4)</f>
        <v>F017</v>
      </c>
      <c r="B898" s="35" t="str">
        <f>MID(Scharniere[[#This Row],[ArtikelNR]],5,3)</f>
        <v>139</v>
      </c>
      <c r="C898" s="37" t="str">
        <f>RIGHT(Scharniere[[#This Row],[ArtikelNR]],3)</f>
        <v>338</v>
      </c>
      <c r="D898" s="35">
        <f>IF(AND(Scharniere[[#This Row],[Gruppenschlüssel]]=select!$A$44,Scharniere[[#This Row],[Scharnierart]]=1)=TRUE,1,0)</f>
        <v>0</v>
      </c>
      <c r="E8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8" s="35">
        <f>IF(select!$F$57=IF(Scharniere[[#This Row],[mit Dämpfung]]=1,1,IF(Scharniere[[#This Row],[ohne Dämpfung]]=1,2,IF(Scharniere[[#This Row],[ohne Feder]]=1,3,0))),1,0)</f>
        <v>0</v>
      </c>
      <c r="G898" s="35">
        <f>IF(Scharniere[[#This Row],[Bohrbild]]=select!$V$43,1,0)</f>
        <v>1</v>
      </c>
      <c r="H898" s="35">
        <f>IF(IF(Scharniere[[#This Row],[Anschrauben]]=1,1,IF(Scharniere[[#This Row],[Einpressen]]=1,2,IF(Scharniere[[#This Row],[Quick]]=1,3,IF(Scharniere[[#This Row],[Werkzeuglos]]=1,4,0))))=select!$F$48,1,0)</f>
        <v>0</v>
      </c>
      <c r="I8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8" s="149">
        <f>IF(AND(Scharniere[[#This Row],[Scharnierart]]=2,Scharniere[[#This Row],[Gruppenschlüssel]]=select!$A$318)=TRUE,1,0)</f>
        <v>0</v>
      </c>
      <c r="K898" s="221">
        <f ca="1">IF(select!$O$424&lt;6,1,0)</f>
        <v>1</v>
      </c>
      <c r="L898" s="221">
        <f>IF(select!$A$362=IF(Scharniere[[#This Row],[mit Dämpfung]]=1,1,IF(Scharniere[[#This Row],[ohne Dämpfung]]=1,2,IF(Scharniere[[#This Row],[ohne Feder]]=1,3,0))),1,0)</f>
        <v>1</v>
      </c>
      <c r="M898" s="135">
        <f>IF(Scharniere[[#This Row],[Bohrbild]]=select!$O$334,1,0)</f>
        <v>1</v>
      </c>
      <c r="N898" s="135">
        <f>IF(IF(Scharniere[[#This Row],[Anschrauben]]=1,1,IF(Scharniere[[#This Row],[Einpressen]]=1,2,IF(Scharniere[[#This Row],[Quick]]=1,3,IF(Scharniere[[#This Row],[Werkzeuglos]]=1,4,0))))=select!$E$362,1,0)</f>
        <v>0</v>
      </c>
      <c r="O8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8" s="298">
        <f>IF(AND(Scharniere[[#This Row],[Scharnierart]]=3,Scharniere[[#This Row],[Gruppenschlüssel]]=select!$A$747)=TRUE,1,0)</f>
        <v>0</v>
      </c>
      <c r="Q898" s="298">
        <f ca="1">IF(select!$O$945&lt;6,1,0)</f>
        <v>1</v>
      </c>
      <c r="R898" s="298">
        <f>IF(select!$A$778=IF(Scharniere[[#This Row],[mit Dämpfung]]=1,1,IF(Scharniere[[#This Row],[ohne Dämpfung]]=1,2,IF(Scharniere[[#This Row],[ohne Feder]]=1,3,0))),1,0)</f>
        <v>0</v>
      </c>
      <c r="S898" s="298">
        <f>IF(Scharniere[[#This Row],[Bohrbild]]=select!$A$755,1,0)</f>
        <v>0</v>
      </c>
      <c r="T898" s="298">
        <f>IF(IF(Scharniere[[#This Row],[Anschrauben]]=1,1,IF(Scharniere[[#This Row],[Einpressen]]=1,2,IF(Scharniere[[#This Row],[Quick]]=1,3,IF(Scharniere[[#This Row],[Werkzeuglos]]=1,4,0))))=select!$A$769,1,0)</f>
        <v>0</v>
      </c>
      <c r="U8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8" s="359">
        <f>IF(AND(Scharniere[[#This Row],[Scharnierart]]=4,Scharniere[[#This Row],[Gruppenschlüssel]]=select!$A$981)=TRUE,1,0)</f>
        <v>0</v>
      </c>
      <c r="W898" s="359">
        <f ca="1">IF(select!$O$1185&lt;6,1,0)</f>
        <v>1</v>
      </c>
      <c r="X898" s="359">
        <f>IF(select!$A$1012=IF(Scharniere[[#This Row],[mit Dämpfung]]=1,1,IF(Scharniere[[#This Row],[ohne Dämpfung]]=1,2,IF(Scharniere[[#This Row],[ohne Feder]]=1,3,0))),1,0)</f>
        <v>0</v>
      </c>
      <c r="Y898" s="359">
        <f>IF(Scharniere[[#This Row],[Bohrbild]]=select!$A$989,1,0)</f>
        <v>0</v>
      </c>
      <c r="Z898" s="359">
        <f>IF(IF(Scharniere[[#This Row],[Anschrauben]]=1,1,IF(Scharniere[[#This Row],[Einpressen]]=1,2,IF(Scharniere[[#This Row],[Quick]]=1,3,IF(Scharniere[[#This Row],[Werkzeuglos]]=1,4,0))))=select!$A$1003,1,0)</f>
        <v>0</v>
      </c>
      <c r="AA8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8" s="359">
        <f ca="1">IF(select!$K$980="*",Scharniere[[#This Row],[AG Ges2]],Scharniere[[#This Row],[AG Ges1]])</f>
        <v>0</v>
      </c>
      <c r="AE898" s="451">
        <f ca="1">IF(AND(Scharniere[[#This Row],[Scharnierart]]=select!$A$1485,Scharniere[[#This Row],[Gruppenschlüssel]]=select!$B$1485)=TRUE,1,0)</f>
        <v>0</v>
      </c>
      <c r="AF898" s="451">
        <f ca="1">IF(AND(Scharniere[[#This Row],[Scharnierart]]=select!$A$1486,Scharniere[[#This Row],[Gruppenschlüssel]]=select!$B$1486)=TRUE,1,0)</f>
        <v>0</v>
      </c>
      <c r="AG898" s="451">
        <f ca="1">IF(AND(Scharniere[[#This Row],[Scharnierart]]=select!$A$1487,Scharniere[[#This Row],[Gruppenschlüssel]]=select!$B$1487)=TRUE,1,0)</f>
        <v>0</v>
      </c>
      <c r="AH898" s="451">
        <f ca="1">IF(AND(Scharniere[[#This Row],[Scharnierart]]=select!$A$1488,Scharniere[[#This Row],[Gruppenschlüssel]]=select!$B$1488)=TRUE,1,0)</f>
        <v>0</v>
      </c>
      <c r="AI898" s="451">
        <f ca="1">IF(SUM(Scharniere[[#This Row],[konf Scharnier 1]:[konf Scharnier 4]])&gt;0,1,0)</f>
        <v>0</v>
      </c>
      <c r="AJ898" s="451"/>
      <c r="AK898" s="451"/>
      <c r="AL898" s="451"/>
      <c r="AM898" s="451"/>
      <c r="AN898" s="451"/>
      <c r="AO898" s="146">
        <v>2</v>
      </c>
      <c r="AP898" s="146">
        <v>6</v>
      </c>
      <c r="AQ898" s="71" t="str">
        <f ca="1">Sprache!$A$113</f>
        <v>Tiomos Scharnier TS Impresso</v>
      </c>
      <c r="AR898" t="str">
        <f ca="1">"110/37°, MB-BB, "&amp;Sprache!$A$62&amp;" ni"</f>
        <v>110/37°, MB-BB, einl. ni</v>
      </c>
      <c r="AS898" t="str">
        <f ca="1">Sprache!$A$116</f>
        <v>Tiomos Impresso Scharniere</v>
      </c>
      <c r="AT898" t="s">
        <v>1264</v>
      </c>
      <c r="AU898" t="s">
        <v>8</v>
      </c>
      <c r="AV898" t="s">
        <v>1489</v>
      </c>
      <c r="AW898" s="71">
        <v>1</v>
      </c>
      <c r="AX898">
        <v>0</v>
      </c>
      <c r="AY898">
        <v>0</v>
      </c>
      <c r="AZ898" s="71">
        <v>0</v>
      </c>
      <c r="BA898">
        <v>0</v>
      </c>
      <c r="BB898">
        <v>0</v>
      </c>
      <c r="BC898">
        <v>1</v>
      </c>
      <c r="BD898" s="144" t="s">
        <v>1493</v>
      </c>
      <c r="BF898" s="10"/>
      <c r="BG898"/>
    </row>
    <row r="899" spans="1:59" ht="14.25" customHeight="1" x14ac:dyDescent="0.25">
      <c r="A899" s="37" t="str">
        <f>LEFT(Scharniere[[#This Row],[ArtikelNR]],4)</f>
        <v>F017</v>
      </c>
      <c r="B899" s="35" t="str">
        <f>MID(Scharniere[[#This Row],[ArtikelNR]],5,3)</f>
        <v>139</v>
      </c>
      <c r="C899" s="37" t="str">
        <f>RIGHT(Scharniere[[#This Row],[ArtikelNR]],3)</f>
        <v>338</v>
      </c>
      <c r="D899" s="35">
        <f>IF(AND(Scharniere[[#This Row],[Gruppenschlüssel]]=select!$A$44,Scharniere[[#This Row],[Scharnierart]]=1)=TRUE,1,0)</f>
        <v>0</v>
      </c>
      <c r="E8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899" s="35">
        <f>IF(select!$F$57=IF(Scharniere[[#This Row],[mit Dämpfung]]=1,1,IF(Scharniere[[#This Row],[ohne Dämpfung]]=1,2,IF(Scharniere[[#This Row],[ohne Feder]]=1,3,0))),1,0)</f>
        <v>0</v>
      </c>
      <c r="G899" s="35">
        <f>IF(Scharniere[[#This Row],[Bohrbild]]=select!$V$43,1,0)</f>
        <v>0</v>
      </c>
      <c r="H899" s="35">
        <f>IF(IF(Scharniere[[#This Row],[Anschrauben]]=1,1,IF(Scharniere[[#This Row],[Einpressen]]=1,2,IF(Scharniere[[#This Row],[Quick]]=1,3,IF(Scharniere[[#This Row],[Werkzeuglos]]=1,4,0))))=select!$F$48,1,0)</f>
        <v>0</v>
      </c>
      <c r="I8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899" s="149">
        <f>IF(AND(Scharniere[[#This Row],[Scharnierart]]=2,Scharniere[[#This Row],[Gruppenschlüssel]]=select!$A$318)=TRUE,1,0)</f>
        <v>0</v>
      </c>
      <c r="K899" s="221">
        <f ca="1">IF(select!$O$424&lt;6,1,0)</f>
        <v>1</v>
      </c>
      <c r="L899" s="221">
        <f>IF(select!$A$362=IF(Scharniere[[#This Row],[mit Dämpfung]]=1,1,IF(Scharniere[[#This Row],[ohne Dämpfung]]=1,2,IF(Scharniere[[#This Row],[ohne Feder]]=1,3,0))),1,0)</f>
        <v>1</v>
      </c>
      <c r="M899" s="135">
        <f>IF(Scharniere[[#This Row],[Bohrbild]]=select!$O$334,1,0)</f>
        <v>0</v>
      </c>
      <c r="N899" s="135">
        <f>IF(IF(Scharniere[[#This Row],[Anschrauben]]=1,1,IF(Scharniere[[#This Row],[Einpressen]]=1,2,IF(Scharniere[[#This Row],[Quick]]=1,3,IF(Scharniere[[#This Row],[Werkzeuglos]]=1,4,0))))=select!$E$362,1,0)</f>
        <v>0</v>
      </c>
      <c r="O8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899" s="298">
        <f>IF(AND(Scharniere[[#This Row],[Scharnierart]]=3,Scharniere[[#This Row],[Gruppenschlüssel]]=select!$A$747)=TRUE,1,0)</f>
        <v>0</v>
      </c>
      <c r="Q899" s="298">
        <f ca="1">IF(select!$O$945&lt;6,1,0)</f>
        <v>1</v>
      </c>
      <c r="R899" s="298">
        <f>IF(select!$A$778=IF(Scharniere[[#This Row],[mit Dämpfung]]=1,1,IF(Scharniere[[#This Row],[ohne Dämpfung]]=1,2,IF(Scharniere[[#This Row],[ohne Feder]]=1,3,0))),1,0)</f>
        <v>0</v>
      </c>
      <c r="S899" s="298">
        <f>IF(Scharniere[[#This Row],[Bohrbild]]=select!$A$755,1,0)</f>
        <v>0</v>
      </c>
      <c r="T899" s="298">
        <f>IF(IF(Scharniere[[#This Row],[Anschrauben]]=1,1,IF(Scharniere[[#This Row],[Einpressen]]=1,2,IF(Scharniere[[#This Row],[Quick]]=1,3,IF(Scharniere[[#This Row],[Werkzeuglos]]=1,4,0))))=select!$A$769,1,0)</f>
        <v>0</v>
      </c>
      <c r="U8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899" s="359">
        <f>IF(AND(Scharniere[[#This Row],[Scharnierart]]=4,Scharniere[[#This Row],[Gruppenschlüssel]]=select!$A$981)=TRUE,1,0)</f>
        <v>0</v>
      </c>
      <c r="W899" s="359">
        <f ca="1">IF(select!$O$1185&lt;6,1,0)</f>
        <v>1</v>
      </c>
      <c r="X899" s="359">
        <f>IF(select!$A$1012=IF(Scharniere[[#This Row],[mit Dämpfung]]=1,1,IF(Scharniere[[#This Row],[ohne Dämpfung]]=1,2,IF(Scharniere[[#This Row],[ohne Feder]]=1,3,0))),1,0)</f>
        <v>0</v>
      </c>
      <c r="Y899" s="359">
        <f>IF(Scharniere[[#This Row],[Bohrbild]]=select!$A$989,1,0)</f>
        <v>0</v>
      </c>
      <c r="Z899" s="359">
        <f>IF(IF(Scharniere[[#This Row],[Anschrauben]]=1,1,IF(Scharniere[[#This Row],[Einpressen]]=1,2,IF(Scharniere[[#This Row],[Quick]]=1,3,IF(Scharniere[[#This Row],[Werkzeuglos]]=1,4,0))))=select!$A$1003,1,0)</f>
        <v>0</v>
      </c>
      <c r="AA8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8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8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899" s="359">
        <f ca="1">IF(select!$K$980="*",Scharniere[[#This Row],[AG Ges2]],Scharniere[[#This Row],[AG Ges1]])</f>
        <v>0</v>
      </c>
      <c r="AE899" s="451">
        <f ca="1">IF(AND(Scharniere[[#This Row],[Scharnierart]]=select!$A$1485,Scharniere[[#This Row],[Gruppenschlüssel]]=select!$B$1485)=TRUE,1,0)</f>
        <v>0</v>
      </c>
      <c r="AF899" s="451">
        <f ca="1">IF(AND(Scharniere[[#This Row],[Scharnierart]]=select!$A$1486,Scharniere[[#This Row],[Gruppenschlüssel]]=select!$B$1486)=TRUE,1,0)</f>
        <v>0</v>
      </c>
      <c r="AG899" s="451">
        <f ca="1">IF(AND(Scharniere[[#This Row],[Scharnierart]]=select!$A$1487,Scharniere[[#This Row],[Gruppenschlüssel]]=select!$B$1487)=TRUE,1,0)</f>
        <v>0</v>
      </c>
      <c r="AH899" s="451">
        <f ca="1">IF(AND(Scharniere[[#This Row],[Scharnierart]]=select!$A$1488,Scharniere[[#This Row],[Gruppenschlüssel]]=select!$B$1488)=TRUE,1,0)</f>
        <v>0</v>
      </c>
      <c r="AI899" s="451">
        <f ca="1">IF(SUM(Scharniere[[#This Row],[konf Scharnier 1]:[konf Scharnier 4]])&gt;0,1,0)</f>
        <v>0</v>
      </c>
      <c r="AJ899" s="451"/>
      <c r="AK899" s="451"/>
      <c r="AL899" s="451"/>
      <c r="AM899" s="451"/>
      <c r="AN899" s="451"/>
      <c r="AO899" s="146">
        <v>2</v>
      </c>
      <c r="AP899" s="146">
        <v>6</v>
      </c>
      <c r="AQ899" s="71" t="str">
        <f ca="1">Sprache!$A$113</f>
        <v>Tiomos Scharnier TS Impresso</v>
      </c>
      <c r="AR899" t="str">
        <f ca="1">"110/37°, MB-BB, "&amp;Sprache!$A$62&amp;" ni"</f>
        <v>110/37°, MB-BB, einl. ni</v>
      </c>
      <c r="AS899" t="str">
        <f ca="1">Sprache!$A$116</f>
        <v>Tiomos Impresso Scharniere</v>
      </c>
      <c r="AT899" t="s">
        <v>1264</v>
      </c>
      <c r="AU899" s="34" t="s">
        <v>3</v>
      </c>
      <c r="AV899" t="s">
        <v>1489</v>
      </c>
      <c r="AW899" s="71">
        <v>1</v>
      </c>
      <c r="AX899">
        <v>0</v>
      </c>
      <c r="AY899">
        <v>0</v>
      </c>
      <c r="AZ899" s="71">
        <v>0</v>
      </c>
      <c r="BA899">
        <v>0</v>
      </c>
      <c r="BB899">
        <v>0</v>
      </c>
      <c r="BC899">
        <v>1</v>
      </c>
      <c r="BD899" s="144" t="s">
        <v>1493</v>
      </c>
      <c r="BF899" s="10"/>
      <c r="BG899"/>
    </row>
    <row r="900" spans="1:59" ht="14.25" customHeight="1" x14ac:dyDescent="0.25">
      <c r="A900" s="37" t="str">
        <f>LEFT(Scharniere[[#This Row],[ArtikelNR]],4)</f>
        <v>F034</v>
      </c>
      <c r="B900" s="35" t="str">
        <f>MID(Scharniere[[#This Row],[ArtikelNR]],5,3)</f>
        <v>139</v>
      </c>
      <c r="C900" s="37" t="str">
        <f>RIGHT(Scharniere[[#This Row],[ArtikelNR]],3)</f>
        <v>309</v>
      </c>
      <c r="D900" s="35">
        <f>IF(AND(Scharniere[[#This Row],[Gruppenschlüssel]]=select!$A$44,Scharniere[[#This Row],[Scharnierart]]=1)=TRUE,1,0)</f>
        <v>0</v>
      </c>
      <c r="E9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0" s="35">
        <f>IF(select!$F$57=IF(Scharniere[[#This Row],[mit Dämpfung]]=1,1,IF(Scharniere[[#This Row],[ohne Dämpfung]]=1,2,IF(Scharniere[[#This Row],[ohne Feder]]=1,3,0))),1,0)</f>
        <v>0</v>
      </c>
      <c r="G900" s="35">
        <f>IF(Scharniere[[#This Row],[Bohrbild]]=select!$V$43,1,0)</f>
        <v>1</v>
      </c>
      <c r="H900" s="35">
        <f>IF(IF(Scharniere[[#This Row],[Anschrauben]]=1,1,IF(Scharniere[[#This Row],[Einpressen]]=1,2,IF(Scharniere[[#This Row],[Quick]]=1,3,IF(Scharniere[[#This Row],[Werkzeuglos]]=1,4,0))))=select!$F$48,1,0)</f>
        <v>0</v>
      </c>
      <c r="I9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0" s="149">
        <f>IF(AND(Scharniere[[#This Row],[Scharnierart]]=2,Scharniere[[#This Row],[Gruppenschlüssel]]=select!$A$318)=TRUE,1,0)</f>
        <v>0</v>
      </c>
      <c r="K900" s="221">
        <f ca="1">IF(select!$O$424&lt;6,1,0)</f>
        <v>1</v>
      </c>
      <c r="L900" s="221">
        <f>IF(select!$A$362=IF(Scharniere[[#This Row],[mit Dämpfung]]=1,1,IF(Scharniere[[#This Row],[ohne Dämpfung]]=1,2,IF(Scharniere[[#This Row],[ohne Feder]]=1,3,0))),1,0)</f>
        <v>0</v>
      </c>
      <c r="M900" s="135">
        <f>IF(Scharniere[[#This Row],[Bohrbild]]=select!$O$334,1,0)</f>
        <v>1</v>
      </c>
      <c r="N900" s="135">
        <f>IF(IF(Scharniere[[#This Row],[Anschrauben]]=1,1,IF(Scharniere[[#This Row],[Einpressen]]=1,2,IF(Scharniere[[#This Row],[Quick]]=1,3,IF(Scharniere[[#This Row],[Werkzeuglos]]=1,4,0))))=select!$E$362,1,0)</f>
        <v>0</v>
      </c>
      <c r="O9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0" s="298">
        <f>IF(AND(Scharniere[[#This Row],[Scharnierart]]=3,Scharniere[[#This Row],[Gruppenschlüssel]]=select!$A$747)=TRUE,1,0)</f>
        <v>0</v>
      </c>
      <c r="Q900" s="298">
        <f ca="1">IF(select!$O$945&lt;6,1,0)</f>
        <v>1</v>
      </c>
      <c r="R900" s="298">
        <f>IF(select!$A$778=IF(Scharniere[[#This Row],[mit Dämpfung]]=1,1,IF(Scharniere[[#This Row],[ohne Dämpfung]]=1,2,IF(Scharniere[[#This Row],[ohne Feder]]=1,3,0))),1,0)</f>
        <v>1</v>
      </c>
      <c r="S900" s="298">
        <f>IF(Scharniere[[#This Row],[Bohrbild]]=select!$A$755,1,0)</f>
        <v>0</v>
      </c>
      <c r="T900" s="298">
        <f>IF(IF(Scharniere[[#This Row],[Anschrauben]]=1,1,IF(Scharniere[[#This Row],[Einpressen]]=1,2,IF(Scharniere[[#This Row],[Quick]]=1,3,IF(Scharniere[[#This Row],[Werkzeuglos]]=1,4,0))))=select!$A$769,1,0)</f>
        <v>0</v>
      </c>
      <c r="U9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0" s="359">
        <f>IF(AND(Scharniere[[#This Row],[Scharnierart]]=4,Scharniere[[#This Row],[Gruppenschlüssel]]=select!$A$981)=TRUE,1,0)</f>
        <v>0</v>
      </c>
      <c r="W900" s="359">
        <f ca="1">IF(select!$O$1185&lt;6,1,0)</f>
        <v>1</v>
      </c>
      <c r="X900" s="359">
        <f>IF(select!$A$1012=IF(Scharniere[[#This Row],[mit Dämpfung]]=1,1,IF(Scharniere[[#This Row],[ohne Dämpfung]]=1,2,IF(Scharniere[[#This Row],[ohne Feder]]=1,3,0))),1,0)</f>
        <v>1</v>
      </c>
      <c r="Y900" s="359">
        <f>IF(Scharniere[[#This Row],[Bohrbild]]=select!$A$989,1,0)</f>
        <v>0</v>
      </c>
      <c r="Z900" s="359">
        <f>IF(IF(Scharniere[[#This Row],[Anschrauben]]=1,1,IF(Scharniere[[#This Row],[Einpressen]]=1,2,IF(Scharniere[[#This Row],[Quick]]=1,3,IF(Scharniere[[#This Row],[Werkzeuglos]]=1,4,0))))=select!$A$1003,1,0)</f>
        <v>0</v>
      </c>
      <c r="AA9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0" s="359">
        <f ca="1">IF(select!$K$980="*",Scharniere[[#This Row],[AG Ges2]],Scharniere[[#This Row],[AG Ges1]])</f>
        <v>0</v>
      </c>
      <c r="AE900" s="451">
        <f ca="1">IF(AND(Scharniere[[#This Row],[Scharnierart]]=select!$A$1485,Scharniere[[#This Row],[Gruppenschlüssel]]=select!$B$1485)=TRUE,1,0)</f>
        <v>0</v>
      </c>
      <c r="AF900" s="451">
        <f ca="1">IF(AND(Scharniere[[#This Row],[Scharnierart]]=select!$A$1486,Scharniere[[#This Row],[Gruppenschlüssel]]=select!$B$1486)=TRUE,1,0)</f>
        <v>0</v>
      </c>
      <c r="AG900" s="451">
        <f ca="1">IF(AND(Scharniere[[#This Row],[Scharnierart]]=select!$A$1487,Scharniere[[#This Row],[Gruppenschlüssel]]=select!$B$1487)=TRUE,1,0)</f>
        <v>0</v>
      </c>
      <c r="AH900" s="451">
        <f ca="1">IF(AND(Scharniere[[#This Row],[Scharnierart]]=select!$A$1488,Scharniere[[#This Row],[Gruppenschlüssel]]=select!$B$1488)=TRUE,1,0)</f>
        <v>0</v>
      </c>
      <c r="AI900" s="451">
        <f ca="1">IF(SUM(Scharniere[[#This Row],[konf Scharnier 1]:[konf Scharnier 4]])&gt;0,1,0)</f>
        <v>0</v>
      </c>
      <c r="AJ900" s="451"/>
      <c r="AK900" s="451"/>
      <c r="AL900" s="451"/>
      <c r="AM900" s="451"/>
      <c r="AN900" s="451"/>
      <c r="AO900" s="146">
        <v>2</v>
      </c>
      <c r="AP900" s="146">
        <v>6</v>
      </c>
      <c r="AQ900" s="71" t="str">
        <f ca="1">Sprache!$A$119</f>
        <v>Tiomos Scharnier T Impresso</v>
      </c>
      <c r="AR900" t="str">
        <f ca="1">"110/37°, MB-BB, "&amp;Sprache!$A$62&amp;" ni"</f>
        <v>110/37°, MB-BB, einl. ni</v>
      </c>
      <c r="AS900" t="str">
        <f ca="1">Sprache!$A$103</f>
        <v>Tiomos Click-On Scharniere</v>
      </c>
      <c r="AT900" t="s">
        <v>1264</v>
      </c>
      <c r="AU900" s="34" t="s">
        <v>8</v>
      </c>
      <c r="AV900" t="s">
        <v>1489</v>
      </c>
      <c r="AW900" s="71">
        <v>0</v>
      </c>
      <c r="AX900">
        <v>1</v>
      </c>
      <c r="AY900">
        <v>0</v>
      </c>
      <c r="AZ900" s="71">
        <v>0</v>
      </c>
      <c r="BA900">
        <v>0</v>
      </c>
      <c r="BB900">
        <v>0</v>
      </c>
      <c r="BC900">
        <v>1</v>
      </c>
      <c r="BD900" s="144" t="s">
        <v>1603</v>
      </c>
      <c r="BF900" s="10"/>
      <c r="BG900"/>
    </row>
    <row r="901" spans="1:59" ht="14.25" customHeight="1" x14ac:dyDescent="0.25">
      <c r="A901" s="37" t="str">
        <f>LEFT(Scharniere[[#This Row],[ArtikelNR]],4)</f>
        <v>F034</v>
      </c>
      <c r="B901" s="35" t="str">
        <f>MID(Scharniere[[#This Row],[ArtikelNR]],5,3)</f>
        <v>139</v>
      </c>
      <c r="C901" s="37" t="str">
        <f>RIGHT(Scharniere[[#This Row],[ArtikelNR]],3)</f>
        <v>309</v>
      </c>
      <c r="D901" s="35">
        <f>IF(AND(Scharniere[[#This Row],[Gruppenschlüssel]]=select!$A$44,Scharniere[[#This Row],[Scharnierart]]=1)=TRUE,1,0)</f>
        <v>0</v>
      </c>
      <c r="E9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1" s="35">
        <f>IF(select!$F$57=IF(Scharniere[[#This Row],[mit Dämpfung]]=1,1,IF(Scharniere[[#This Row],[ohne Dämpfung]]=1,2,IF(Scharniere[[#This Row],[ohne Feder]]=1,3,0))),1,0)</f>
        <v>0</v>
      </c>
      <c r="G901" s="35">
        <f>IF(Scharniere[[#This Row],[Bohrbild]]=select!$V$43,1,0)</f>
        <v>0</v>
      </c>
      <c r="H901" s="35">
        <f>IF(IF(Scharniere[[#This Row],[Anschrauben]]=1,1,IF(Scharniere[[#This Row],[Einpressen]]=1,2,IF(Scharniere[[#This Row],[Quick]]=1,3,IF(Scharniere[[#This Row],[Werkzeuglos]]=1,4,0))))=select!$F$48,1,0)</f>
        <v>0</v>
      </c>
      <c r="I9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1" s="149">
        <f>IF(AND(Scharniere[[#This Row],[Scharnierart]]=2,Scharniere[[#This Row],[Gruppenschlüssel]]=select!$A$318)=TRUE,1,0)</f>
        <v>0</v>
      </c>
      <c r="K901" s="221">
        <f ca="1">IF(select!$O$424&lt;6,1,0)</f>
        <v>1</v>
      </c>
      <c r="L901" s="221">
        <f>IF(select!$A$362=IF(Scharniere[[#This Row],[mit Dämpfung]]=1,1,IF(Scharniere[[#This Row],[ohne Dämpfung]]=1,2,IF(Scharniere[[#This Row],[ohne Feder]]=1,3,0))),1,0)</f>
        <v>0</v>
      </c>
      <c r="M901" s="135">
        <f>IF(Scharniere[[#This Row],[Bohrbild]]=select!$O$334,1,0)</f>
        <v>0</v>
      </c>
      <c r="N901" s="135">
        <f>IF(IF(Scharniere[[#This Row],[Anschrauben]]=1,1,IF(Scharniere[[#This Row],[Einpressen]]=1,2,IF(Scharniere[[#This Row],[Quick]]=1,3,IF(Scharniere[[#This Row],[Werkzeuglos]]=1,4,0))))=select!$E$362,1,0)</f>
        <v>0</v>
      </c>
      <c r="O9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1" s="298">
        <f>IF(AND(Scharniere[[#This Row],[Scharnierart]]=3,Scharniere[[#This Row],[Gruppenschlüssel]]=select!$A$747)=TRUE,1,0)</f>
        <v>0</v>
      </c>
      <c r="Q901" s="298">
        <f ca="1">IF(select!$O$945&lt;6,1,0)</f>
        <v>1</v>
      </c>
      <c r="R901" s="298">
        <f>IF(select!$A$778=IF(Scharniere[[#This Row],[mit Dämpfung]]=1,1,IF(Scharniere[[#This Row],[ohne Dämpfung]]=1,2,IF(Scharniere[[#This Row],[ohne Feder]]=1,3,0))),1,0)</f>
        <v>1</v>
      </c>
      <c r="S901" s="298">
        <f>IF(Scharniere[[#This Row],[Bohrbild]]=select!$A$755,1,0)</f>
        <v>0</v>
      </c>
      <c r="T901" s="298">
        <f>IF(IF(Scharniere[[#This Row],[Anschrauben]]=1,1,IF(Scharniere[[#This Row],[Einpressen]]=1,2,IF(Scharniere[[#This Row],[Quick]]=1,3,IF(Scharniere[[#This Row],[Werkzeuglos]]=1,4,0))))=select!$A$769,1,0)</f>
        <v>0</v>
      </c>
      <c r="U9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1" s="359">
        <f>IF(AND(Scharniere[[#This Row],[Scharnierart]]=4,Scharniere[[#This Row],[Gruppenschlüssel]]=select!$A$981)=TRUE,1,0)</f>
        <v>0</v>
      </c>
      <c r="W901" s="359">
        <f ca="1">IF(select!$O$1185&lt;6,1,0)</f>
        <v>1</v>
      </c>
      <c r="X901" s="359">
        <f>IF(select!$A$1012=IF(Scharniere[[#This Row],[mit Dämpfung]]=1,1,IF(Scharniere[[#This Row],[ohne Dämpfung]]=1,2,IF(Scharniere[[#This Row],[ohne Feder]]=1,3,0))),1,0)</f>
        <v>1</v>
      </c>
      <c r="Y901" s="359">
        <f>IF(Scharniere[[#This Row],[Bohrbild]]=select!$A$989,1,0)</f>
        <v>0</v>
      </c>
      <c r="Z901" s="359">
        <f>IF(IF(Scharniere[[#This Row],[Anschrauben]]=1,1,IF(Scharniere[[#This Row],[Einpressen]]=1,2,IF(Scharniere[[#This Row],[Quick]]=1,3,IF(Scharniere[[#This Row],[Werkzeuglos]]=1,4,0))))=select!$A$1003,1,0)</f>
        <v>0</v>
      </c>
      <c r="AA9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1" s="359">
        <f ca="1">IF(select!$K$980="*",Scharniere[[#This Row],[AG Ges2]],Scharniere[[#This Row],[AG Ges1]])</f>
        <v>0</v>
      </c>
      <c r="AE901" s="451">
        <f ca="1">IF(AND(Scharniere[[#This Row],[Scharnierart]]=select!$A$1485,Scharniere[[#This Row],[Gruppenschlüssel]]=select!$B$1485)=TRUE,1,0)</f>
        <v>0</v>
      </c>
      <c r="AF901" s="451">
        <f ca="1">IF(AND(Scharniere[[#This Row],[Scharnierart]]=select!$A$1486,Scharniere[[#This Row],[Gruppenschlüssel]]=select!$B$1486)=TRUE,1,0)</f>
        <v>0</v>
      </c>
      <c r="AG901" s="451">
        <f ca="1">IF(AND(Scharniere[[#This Row],[Scharnierart]]=select!$A$1487,Scharniere[[#This Row],[Gruppenschlüssel]]=select!$B$1487)=TRUE,1,0)</f>
        <v>0</v>
      </c>
      <c r="AH901" s="451">
        <f ca="1">IF(AND(Scharniere[[#This Row],[Scharnierart]]=select!$A$1488,Scharniere[[#This Row],[Gruppenschlüssel]]=select!$B$1488)=TRUE,1,0)</f>
        <v>0</v>
      </c>
      <c r="AI901" s="451">
        <f ca="1">IF(SUM(Scharniere[[#This Row],[konf Scharnier 1]:[konf Scharnier 4]])&gt;0,1,0)</f>
        <v>0</v>
      </c>
      <c r="AJ901" s="451"/>
      <c r="AK901" s="451"/>
      <c r="AL901" s="451"/>
      <c r="AM901" s="451"/>
      <c r="AN901" s="451"/>
      <c r="AO901" s="146">
        <v>2</v>
      </c>
      <c r="AP901" s="146">
        <v>6</v>
      </c>
      <c r="AQ901" s="71" t="str">
        <f ca="1">Sprache!$A$119</f>
        <v>Tiomos Scharnier T Impresso</v>
      </c>
      <c r="AR901" t="str">
        <f ca="1">"110/37°, MB-BB, "&amp;Sprache!$A$62&amp;" ni"</f>
        <v>110/37°, MB-BB, einl. ni</v>
      </c>
      <c r="AS901" t="str">
        <f ca="1">Sprache!$A$103</f>
        <v>Tiomos Click-On Scharniere</v>
      </c>
      <c r="AT901" t="s">
        <v>1264</v>
      </c>
      <c r="AU901" t="s">
        <v>3</v>
      </c>
      <c r="AV901" t="s">
        <v>1489</v>
      </c>
      <c r="AW901" s="71">
        <v>0</v>
      </c>
      <c r="AX901">
        <v>1</v>
      </c>
      <c r="AY901">
        <v>0</v>
      </c>
      <c r="AZ901" s="71">
        <v>0</v>
      </c>
      <c r="BA901">
        <v>0</v>
      </c>
      <c r="BB901">
        <v>0</v>
      </c>
      <c r="BC901">
        <v>1</v>
      </c>
      <c r="BD901" s="144" t="s">
        <v>1603</v>
      </c>
      <c r="BF901" s="10"/>
      <c r="BG901"/>
    </row>
    <row r="902" spans="1:59" ht="14.25" customHeight="1" x14ac:dyDescent="0.25">
      <c r="A902" s="37" t="str">
        <f>LEFT(Scharniere[[#This Row],[ArtikelNR]],4)</f>
        <v>F028</v>
      </c>
      <c r="B902" s="35" t="str">
        <f>MID(Scharniere[[#This Row],[ArtikelNR]],5,3)</f>
        <v>138</v>
      </c>
      <c r="C902" s="37" t="str">
        <f>RIGHT(Scharniere[[#This Row],[ArtikelNR]],3)</f>
        <v>896</v>
      </c>
      <c r="D902" s="35">
        <f>IF(AND(Scharniere[[#This Row],[Gruppenschlüssel]]=select!$A$44,Scharniere[[#This Row],[Scharnierart]]=1)=TRUE,1,0)</f>
        <v>0</v>
      </c>
      <c r="E9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2" s="35">
        <f>IF(select!$F$57=IF(Scharniere[[#This Row],[mit Dämpfung]]=1,1,IF(Scharniere[[#This Row],[ohne Dämpfung]]=1,2,IF(Scharniere[[#This Row],[ohne Feder]]=1,3,0))),1,0)</f>
        <v>0</v>
      </c>
      <c r="G902" s="35">
        <f>IF(Scharniere[[#This Row],[Bohrbild]]=select!$V$43,1,0)</f>
        <v>0</v>
      </c>
      <c r="H902" s="35">
        <f>IF(IF(Scharniere[[#This Row],[Anschrauben]]=1,1,IF(Scharniere[[#This Row],[Einpressen]]=1,2,IF(Scharniere[[#This Row],[Quick]]=1,3,IF(Scharniere[[#This Row],[Werkzeuglos]]=1,4,0))))=select!$F$48,1,0)</f>
        <v>0</v>
      </c>
      <c r="I9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2" s="149">
        <f>IF(AND(Scharniere[[#This Row],[Scharnierart]]=2,Scharniere[[#This Row],[Gruppenschlüssel]]=select!$A$318)=TRUE,1,0)</f>
        <v>0</v>
      </c>
      <c r="K902" s="221">
        <f ca="1">IF(select!$O$424&lt;6,1,0)</f>
        <v>1</v>
      </c>
      <c r="L902" s="221">
        <f>IF(select!$A$362=IF(Scharniere[[#This Row],[mit Dämpfung]]=1,1,IF(Scharniere[[#This Row],[ohne Dämpfung]]=1,2,IF(Scharniere[[#This Row],[ohne Feder]]=1,3,0))),1,0)</f>
        <v>1</v>
      </c>
      <c r="M902" s="135">
        <f>IF(Scharniere[[#This Row],[Bohrbild]]=select!$O$334,1,0)</f>
        <v>0</v>
      </c>
      <c r="N902" s="135">
        <f>IF(IF(Scharniere[[#This Row],[Anschrauben]]=1,1,IF(Scharniere[[#This Row],[Einpressen]]=1,2,IF(Scharniere[[#This Row],[Quick]]=1,3,IF(Scharniere[[#This Row],[Werkzeuglos]]=1,4,0))))=select!$E$362,1,0)</f>
        <v>1</v>
      </c>
      <c r="O9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2" s="298">
        <f>IF(AND(Scharniere[[#This Row],[Scharnierart]]=3,Scharniere[[#This Row],[Gruppenschlüssel]]=select!$A$747)=TRUE,1,0)</f>
        <v>0</v>
      </c>
      <c r="Q902" s="298">
        <f ca="1">IF(select!$O$945&lt;6,1,0)</f>
        <v>1</v>
      </c>
      <c r="R902" s="298">
        <f>IF(select!$A$778=IF(Scharniere[[#This Row],[mit Dämpfung]]=1,1,IF(Scharniere[[#This Row],[ohne Dämpfung]]=1,2,IF(Scharniere[[#This Row],[ohne Feder]]=1,3,0))),1,0)</f>
        <v>0</v>
      </c>
      <c r="S902" s="298">
        <f>IF(Scharniere[[#This Row],[Bohrbild]]=select!$A$755,1,0)</f>
        <v>0</v>
      </c>
      <c r="T902" s="298">
        <f>IF(IF(Scharniere[[#This Row],[Anschrauben]]=1,1,IF(Scharniere[[#This Row],[Einpressen]]=1,2,IF(Scharniere[[#This Row],[Quick]]=1,3,IF(Scharniere[[#This Row],[Werkzeuglos]]=1,4,0))))=select!$A$769,1,0)</f>
        <v>1</v>
      </c>
      <c r="U9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2" s="359">
        <f>IF(AND(Scharniere[[#This Row],[Scharnierart]]=4,Scharniere[[#This Row],[Gruppenschlüssel]]=select!$A$981)=TRUE,1,0)</f>
        <v>0</v>
      </c>
      <c r="W902" s="359">
        <f ca="1">IF(select!$O$1185&lt;6,1,0)</f>
        <v>1</v>
      </c>
      <c r="X902" s="359">
        <f>IF(select!$A$1012=IF(Scharniere[[#This Row],[mit Dämpfung]]=1,1,IF(Scharniere[[#This Row],[ohne Dämpfung]]=1,2,IF(Scharniere[[#This Row],[ohne Feder]]=1,3,0))),1,0)</f>
        <v>0</v>
      </c>
      <c r="Y902" s="359">
        <f>IF(Scharniere[[#This Row],[Bohrbild]]=select!$A$989,1,0)</f>
        <v>0</v>
      </c>
      <c r="Z902" s="359">
        <f>IF(IF(Scharniere[[#This Row],[Anschrauben]]=1,1,IF(Scharniere[[#This Row],[Einpressen]]=1,2,IF(Scharniere[[#This Row],[Quick]]=1,3,IF(Scharniere[[#This Row],[Werkzeuglos]]=1,4,0))))=select!$A$1003,1,0)</f>
        <v>1</v>
      </c>
      <c r="AA9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2" s="359">
        <f ca="1">IF(select!$K$980="*",Scharniere[[#This Row],[AG Ges2]],Scharniere[[#This Row],[AG Ges1]])</f>
        <v>0</v>
      </c>
      <c r="AE902" s="451">
        <f ca="1">IF(AND(Scharniere[[#This Row],[Scharnierart]]=select!$A$1485,Scharniere[[#This Row],[Gruppenschlüssel]]=select!$B$1485)=TRUE,1,0)</f>
        <v>0</v>
      </c>
      <c r="AF902" s="451">
        <f ca="1">IF(AND(Scharniere[[#This Row],[Scharnierart]]=select!$A$1486,Scharniere[[#This Row],[Gruppenschlüssel]]=select!$B$1486)=TRUE,1,0)</f>
        <v>0</v>
      </c>
      <c r="AG902" s="451">
        <f ca="1">IF(AND(Scharniere[[#This Row],[Scharnierart]]=select!$A$1487,Scharniere[[#This Row],[Gruppenschlüssel]]=select!$B$1487)=TRUE,1,0)</f>
        <v>0</v>
      </c>
      <c r="AH902" s="451">
        <f ca="1">IF(AND(Scharniere[[#This Row],[Scharnierart]]=select!$A$1488,Scharniere[[#This Row],[Gruppenschlüssel]]=select!$B$1488)=TRUE,1,0)</f>
        <v>0</v>
      </c>
      <c r="AI902" s="451">
        <f ca="1">IF(SUM(Scharniere[[#This Row],[konf Scharnier 1]:[konf Scharnier 4]])&gt;0,1,0)</f>
        <v>0</v>
      </c>
      <c r="AJ902" s="451"/>
      <c r="AK902" s="451"/>
      <c r="AL902" s="451"/>
      <c r="AM902" s="451"/>
      <c r="AN902" s="451"/>
      <c r="AO902" s="146">
        <v>2</v>
      </c>
      <c r="AP902" s="146">
        <v>6</v>
      </c>
      <c r="AQ902" s="71" t="str">
        <f ca="1">Sprache!$A$112</f>
        <v>Tiomos Scharnier TS Click-on</v>
      </c>
      <c r="AR902" t="str">
        <f ca="1">"110/37°, S-BB, "&amp;Sprache!$A$62&amp;" ni"</f>
        <v>110/37°, S-BB, einl. ni</v>
      </c>
      <c r="AS902" t="str">
        <f ca="1">Sprache!$A$103</f>
        <v>Tiomos Click-On Scharniere</v>
      </c>
      <c r="AT902" t="s">
        <v>1264</v>
      </c>
      <c r="AU902" t="s">
        <v>11</v>
      </c>
      <c r="AV902" t="s">
        <v>1489</v>
      </c>
      <c r="AW902" s="71">
        <v>1</v>
      </c>
      <c r="AX902">
        <v>0</v>
      </c>
      <c r="AY902">
        <v>0</v>
      </c>
      <c r="AZ902" s="71">
        <v>1</v>
      </c>
      <c r="BA902">
        <v>0</v>
      </c>
      <c r="BB902">
        <v>0</v>
      </c>
      <c r="BC902">
        <v>0</v>
      </c>
      <c r="BD902" s="144" t="s">
        <v>1570</v>
      </c>
      <c r="BF902" s="10"/>
      <c r="BG902"/>
    </row>
    <row r="903" spans="1:59" ht="14.25" customHeight="1" x14ac:dyDescent="0.25">
      <c r="A903" s="37" t="str">
        <f>LEFT(Scharniere[[#This Row],[ArtikelNR]],4)</f>
        <v>F045</v>
      </c>
      <c r="B903" s="35" t="str">
        <f>MID(Scharniere[[#This Row],[ArtikelNR]],5,3)</f>
        <v>138</v>
      </c>
      <c r="C903" s="37" t="str">
        <f>RIGHT(Scharniere[[#This Row],[ArtikelNR]],3)</f>
        <v>834</v>
      </c>
      <c r="D903" s="35">
        <f>IF(AND(Scharniere[[#This Row],[Gruppenschlüssel]]=select!$A$44,Scharniere[[#This Row],[Scharnierart]]=1)=TRUE,1,0)</f>
        <v>0</v>
      </c>
      <c r="E9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3" s="35">
        <f>IF(select!$F$57=IF(Scharniere[[#This Row],[mit Dämpfung]]=1,1,IF(Scharniere[[#This Row],[ohne Dämpfung]]=1,2,IF(Scharniere[[#This Row],[ohne Feder]]=1,3,0))),1,0)</f>
        <v>0</v>
      </c>
      <c r="G903" s="35">
        <f>IF(Scharniere[[#This Row],[Bohrbild]]=select!$V$43,1,0)</f>
        <v>0</v>
      </c>
      <c r="H903" s="35">
        <f>IF(IF(Scharniere[[#This Row],[Anschrauben]]=1,1,IF(Scharniere[[#This Row],[Einpressen]]=1,2,IF(Scharniere[[#This Row],[Quick]]=1,3,IF(Scharniere[[#This Row],[Werkzeuglos]]=1,4,0))))=select!$F$48,1,0)</f>
        <v>0</v>
      </c>
      <c r="I9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3" s="149">
        <f>IF(AND(Scharniere[[#This Row],[Scharnierart]]=2,Scharniere[[#This Row],[Gruppenschlüssel]]=select!$A$318)=TRUE,1,0)</f>
        <v>0</v>
      </c>
      <c r="K903" s="221">
        <f ca="1">IF(select!$O$424&lt;6,1,0)</f>
        <v>1</v>
      </c>
      <c r="L903" s="221">
        <f>IF(select!$A$362=IF(Scharniere[[#This Row],[mit Dämpfung]]=1,1,IF(Scharniere[[#This Row],[ohne Dämpfung]]=1,2,IF(Scharniere[[#This Row],[ohne Feder]]=1,3,0))),1,0)</f>
        <v>0</v>
      </c>
      <c r="M903" s="135">
        <f>IF(Scharniere[[#This Row],[Bohrbild]]=select!$O$334,1,0)</f>
        <v>0</v>
      </c>
      <c r="N903" s="135">
        <f>IF(IF(Scharniere[[#This Row],[Anschrauben]]=1,1,IF(Scharniere[[#This Row],[Einpressen]]=1,2,IF(Scharniere[[#This Row],[Quick]]=1,3,IF(Scharniere[[#This Row],[Werkzeuglos]]=1,4,0))))=select!$E$362,1,0)</f>
        <v>1</v>
      </c>
      <c r="O9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3" s="298">
        <f>IF(AND(Scharniere[[#This Row],[Scharnierart]]=3,Scharniere[[#This Row],[Gruppenschlüssel]]=select!$A$747)=TRUE,1,0)</f>
        <v>0</v>
      </c>
      <c r="Q903" s="298">
        <f ca="1">IF(select!$O$945&lt;6,1,0)</f>
        <v>1</v>
      </c>
      <c r="R903" s="298">
        <f>IF(select!$A$778=IF(Scharniere[[#This Row],[mit Dämpfung]]=1,1,IF(Scharniere[[#This Row],[ohne Dämpfung]]=1,2,IF(Scharniere[[#This Row],[ohne Feder]]=1,3,0))),1,0)</f>
        <v>1</v>
      </c>
      <c r="S903" s="298">
        <f>IF(Scharniere[[#This Row],[Bohrbild]]=select!$A$755,1,0)</f>
        <v>0</v>
      </c>
      <c r="T903" s="298">
        <f>IF(IF(Scharniere[[#This Row],[Anschrauben]]=1,1,IF(Scharniere[[#This Row],[Einpressen]]=1,2,IF(Scharniere[[#This Row],[Quick]]=1,3,IF(Scharniere[[#This Row],[Werkzeuglos]]=1,4,0))))=select!$A$769,1,0)</f>
        <v>1</v>
      </c>
      <c r="U9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3" s="359">
        <f>IF(AND(Scharniere[[#This Row],[Scharnierart]]=4,Scharniere[[#This Row],[Gruppenschlüssel]]=select!$A$981)=TRUE,1,0)</f>
        <v>0</v>
      </c>
      <c r="W903" s="359">
        <f ca="1">IF(select!$O$1185&lt;6,1,0)</f>
        <v>1</v>
      </c>
      <c r="X903" s="359">
        <f>IF(select!$A$1012=IF(Scharniere[[#This Row],[mit Dämpfung]]=1,1,IF(Scharniere[[#This Row],[ohne Dämpfung]]=1,2,IF(Scharniere[[#This Row],[ohne Feder]]=1,3,0))),1,0)</f>
        <v>1</v>
      </c>
      <c r="Y903" s="359">
        <f>IF(Scharniere[[#This Row],[Bohrbild]]=select!$A$989,1,0)</f>
        <v>0</v>
      </c>
      <c r="Z903" s="359">
        <f>IF(IF(Scharniere[[#This Row],[Anschrauben]]=1,1,IF(Scharniere[[#This Row],[Einpressen]]=1,2,IF(Scharniere[[#This Row],[Quick]]=1,3,IF(Scharniere[[#This Row],[Werkzeuglos]]=1,4,0))))=select!$A$1003,1,0)</f>
        <v>1</v>
      </c>
      <c r="AA9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3" s="359">
        <f ca="1">IF(select!$K$980="*",Scharniere[[#This Row],[AG Ges2]],Scharniere[[#This Row],[AG Ges1]])</f>
        <v>0</v>
      </c>
      <c r="AE903" s="451">
        <f ca="1">IF(AND(Scharniere[[#This Row],[Scharnierart]]=select!$A$1485,Scharniere[[#This Row],[Gruppenschlüssel]]=select!$B$1485)=TRUE,1,0)</f>
        <v>0</v>
      </c>
      <c r="AF903" s="451">
        <f ca="1">IF(AND(Scharniere[[#This Row],[Scharnierart]]=select!$A$1486,Scharniere[[#This Row],[Gruppenschlüssel]]=select!$B$1486)=TRUE,1,0)</f>
        <v>0</v>
      </c>
      <c r="AG903" s="451">
        <f ca="1">IF(AND(Scharniere[[#This Row],[Scharnierart]]=select!$A$1487,Scharniere[[#This Row],[Gruppenschlüssel]]=select!$B$1487)=TRUE,1,0)</f>
        <v>0</v>
      </c>
      <c r="AH903" s="451">
        <f ca="1">IF(AND(Scharniere[[#This Row],[Scharnierart]]=select!$A$1488,Scharniere[[#This Row],[Gruppenschlüssel]]=select!$B$1488)=TRUE,1,0)</f>
        <v>0</v>
      </c>
      <c r="AI903" s="451">
        <f ca="1">IF(SUM(Scharniere[[#This Row],[konf Scharnier 1]:[konf Scharnier 4]])&gt;0,1,0)</f>
        <v>0</v>
      </c>
      <c r="AJ903" s="451"/>
      <c r="AK903" s="451"/>
      <c r="AL903" s="451"/>
      <c r="AM903" s="451"/>
      <c r="AN903" s="451"/>
      <c r="AO903" s="146">
        <v>2</v>
      </c>
      <c r="AP903" s="146">
        <v>6</v>
      </c>
      <c r="AQ903" s="71" t="str">
        <f ca="1">Sprache!$A$118</f>
        <v>Tiomos Scharnier T Click-on</v>
      </c>
      <c r="AR903" t="str">
        <f ca="1">"110/37°, S-BB, "&amp;Sprache!$A$62&amp;" ni"</f>
        <v>110/37°, S-BB, einl. ni</v>
      </c>
      <c r="AS903" t="str">
        <f ca="1">Sprache!$A$103</f>
        <v>Tiomos Click-On Scharniere</v>
      </c>
      <c r="AT903" t="s">
        <v>1264</v>
      </c>
      <c r="AU903" t="s">
        <v>11</v>
      </c>
      <c r="AV903" t="s">
        <v>1489</v>
      </c>
      <c r="AW903" s="71">
        <v>0</v>
      </c>
      <c r="AX903">
        <v>1</v>
      </c>
      <c r="AY903">
        <v>0</v>
      </c>
      <c r="AZ903" s="71">
        <v>1</v>
      </c>
      <c r="BA903">
        <v>0</v>
      </c>
      <c r="BB903">
        <v>0</v>
      </c>
      <c r="BC903">
        <v>0</v>
      </c>
      <c r="BD903" s="144" t="s">
        <v>1681</v>
      </c>
      <c r="BF903" s="10"/>
      <c r="BG903"/>
    </row>
    <row r="904" spans="1:59" ht="14.25" customHeight="1" x14ac:dyDescent="0.25">
      <c r="A904" s="37" t="str">
        <f>LEFT(Scharniere[[#This Row],[ArtikelNR]],4)</f>
        <v>F046</v>
      </c>
      <c r="B904" s="35" t="str">
        <f>MID(Scharniere[[#This Row],[ArtikelNR]],5,3)</f>
        <v>138</v>
      </c>
      <c r="C904" s="37" t="str">
        <f>RIGHT(Scharniere[[#This Row],[ArtikelNR]],3)</f>
        <v>956</v>
      </c>
      <c r="D904" s="35">
        <f>IF(AND(Scharniere[[#This Row],[Gruppenschlüssel]]=select!$A$44,Scharniere[[#This Row],[Scharnierart]]=1)=TRUE,1,0)</f>
        <v>0</v>
      </c>
      <c r="E9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4" s="35">
        <f>IF(select!$F$57=IF(Scharniere[[#This Row],[mit Dämpfung]]=1,1,IF(Scharniere[[#This Row],[ohne Dämpfung]]=1,2,IF(Scharniere[[#This Row],[ohne Feder]]=1,3,0))),1,0)</f>
        <v>1</v>
      </c>
      <c r="G904" s="35">
        <f>IF(Scharniere[[#This Row],[Bohrbild]]=select!$V$43,1,0)</f>
        <v>0</v>
      </c>
      <c r="H904" s="35">
        <f>IF(IF(Scharniere[[#This Row],[Anschrauben]]=1,1,IF(Scharniere[[#This Row],[Einpressen]]=1,2,IF(Scharniere[[#This Row],[Quick]]=1,3,IF(Scharniere[[#This Row],[Werkzeuglos]]=1,4,0))))=select!$F$48,1,0)</f>
        <v>0</v>
      </c>
      <c r="I9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4" s="149">
        <f>IF(AND(Scharniere[[#This Row],[Scharnierart]]=2,Scharniere[[#This Row],[Gruppenschlüssel]]=select!$A$318)=TRUE,1,0)</f>
        <v>0</v>
      </c>
      <c r="K904" s="221">
        <f ca="1">IF(select!$O$424&lt;6,1,0)</f>
        <v>1</v>
      </c>
      <c r="L904" s="221">
        <f>IF(select!$A$362=IF(Scharniere[[#This Row],[mit Dämpfung]]=1,1,IF(Scharniere[[#This Row],[ohne Dämpfung]]=1,2,IF(Scharniere[[#This Row],[ohne Feder]]=1,3,0))),1,0)</f>
        <v>0</v>
      </c>
      <c r="M904" s="135">
        <f>IF(Scharniere[[#This Row],[Bohrbild]]=select!$O$334,1,0)</f>
        <v>0</v>
      </c>
      <c r="N904" s="135">
        <f>IF(IF(Scharniere[[#This Row],[Anschrauben]]=1,1,IF(Scharniere[[#This Row],[Einpressen]]=1,2,IF(Scharniere[[#This Row],[Quick]]=1,3,IF(Scharniere[[#This Row],[Werkzeuglos]]=1,4,0))))=select!$E$362,1,0)</f>
        <v>1</v>
      </c>
      <c r="O9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4" s="298">
        <f>IF(AND(Scharniere[[#This Row],[Scharnierart]]=3,Scharniere[[#This Row],[Gruppenschlüssel]]=select!$A$747)=TRUE,1,0)</f>
        <v>0</v>
      </c>
      <c r="Q904" s="298">
        <f ca="1">IF(select!$O$945&lt;6,1,0)</f>
        <v>1</v>
      </c>
      <c r="R904" s="298">
        <f>IF(select!$A$778=IF(Scharniere[[#This Row],[mit Dämpfung]]=1,1,IF(Scharniere[[#This Row],[ohne Dämpfung]]=1,2,IF(Scharniere[[#This Row],[ohne Feder]]=1,3,0))),1,0)</f>
        <v>0</v>
      </c>
      <c r="S904" s="298">
        <f>IF(Scharniere[[#This Row],[Bohrbild]]=select!$A$755,1,0)</f>
        <v>0</v>
      </c>
      <c r="T904" s="298">
        <f>IF(IF(Scharniere[[#This Row],[Anschrauben]]=1,1,IF(Scharniere[[#This Row],[Einpressen]]=1,2,IF(Scharniere[[#This Row],[Quick]]=1,3,IF(Scharniere[[#This Row],[Werkzeuglos]]=1,4,0))))=select!$A$769,1,0)</f>
        <v>1</v>
      </c>
      <c r="U9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4" s="359">
        <f>IF(AND(Scharniere[[#This Row],[Scharnierart]]=4,Scharniere[[#This Row],[Gruppenschlüssel]]=select!$A$981)=TRUE,1,0)</f>
        <v>0</v>
      </c>
      <c r="W904" s="359">
        <f ca="1">IF(select!$O$1185&lt;6,1,0)</f>
        <v>1</v>
      </c>
      <c r="X904" s="359">
        <f>IF(select!$A$1012=IF(Scharniere[[#This Row],[mit Dämpfung]]=1,1,IF(Scharniere[[#This Row],[ohne Dämpfung]]=1,2,IF(Scharniere[[#This Row],[ohne Feder]]=1,3,0))),1,0)</f>
        <v>0</v>
      </c>
      <c r="Y904" s="359">
        <f>IF(Scharniere[[#This Row],[Bohrbild]]=select!$A$989,1,0)</f>
        <v>0</v>
      </c>
      <c r="Z904" s="359">
        <f>IF(IF(Scharniere[[#This Row],[Anschrauben]]=1,1,IF(Scharniere[[#This Row],[Einpressen]]=1,2,IF(Scharniere[[#This Row],[Quick]]=1,3,IF(Scharniere[[#This Row],[Werkzeuglos]]=1,4,0))))=select!$A$1003,1,0)</f>
        <v>1</v>
      </c>
      <c r="AA9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4" s="359">
        <f ca="1">IF(select!$K$980="*",Scharniere[[#This Row],[AG Ges2]],Scharniere[[#This Row],[AG Ges1]])</f>
        <v>0</v>
      </c>
      <c r="AE904" s="451">
        <f ca="1">IF(AND(Scharniere[[#This Row],[Scharnierart]]=select!$A$1485,Scharniere[[#This Row],[Gruppenschlüssel]]=select!$B$1485)=TRUE,1,0)</f>
        <v>0</v>
      </c>
      <c r="AF904" s="451">
        <f ca="1">IF(AND(Scharniere[[#This Row],[Scharnierart]]=select!$A$1486,Scharniere[[#This Row],[Gruppenschlüssel]]=select!$B$1486)=TRUE,1,0)</f>
        <v>0</v>
      </c>
      <c r="AG904" s="451">
        <f ca="1">IF(AND(Scharniere[[#This Row],[Scharnierart]]=select!$A$1487,Scharniere[[#This Row],[Gruppenschlüssel]]=select!$B$1487)=TRUE,1,0)</f>
        <v>0</v>
      </c>
      <c r="AH904" s="451">
        <f ca="1">IF(AND(Scharniere[[#This Row],[Scharnierart]]=select!$A$1488,Scharniere[[#This Row],[Gruppenschlüssel]]=select!$B$1488)=TRUE,1,0)</f>
        <v>0</v>
      </c>
      <c r="AI904" s="451">
        <f ca="1">IF(SUM(Scharniere[[#This Row],[konf Scharnier 1]:[konf Scharnier 4]])&gt;0,1,0)</f>
        <v>0</v>
      </c>
      <c r="AJ904" s="451"/>
      <c r="AK904" s="451"/>
      <c r="AL904" s="451"/>
      <c r="AM904" s="451"/>
      <c r="AN904" s="451"/>
      <c r="AO904" s="146">
        <v>2</v>
      </c>
      <c r="AP904" s="146">
        <v>6</v>
      </c>
      <c r="AQ904" s="71" t="str">
        <f ca="1">Sprache!$A$114</f>
        <v>Tiomos Scharnier TT Click-on</v>
      </c>
      <c r="AR904" t="str">
        <f ca="1">"110/37°, S-BB, "&amp;Sprache!$A$62&amp;" ni"</f>
        <v>110/37°, S-BB, einl. ni</v>
      </c>
      <c r="AS904" t="str">
        <f ca="1">Sprache!$A$103</f>
        <v>Tiomos Click-On Scharniere</v>
      </c>
      <c r="AT904" t="s">
        <v>1264</v>
      </c>
      <c r="AU904" t="s">
        <v>11</v>
      </c>
      <c r="AV904" t="s">
        <v>1489</v>
      </c>
      <c r="AW904" s="71">
        <v>0</v>
      </c>
      <c r="AX904">
        <v>0</v>
      </c>
      <c r="AY904">
        <v>1</v>
      </c>
      <c r="AZ904" s="71">
        <v>1</v>
      </c>
      <c r="BA904">
        <v>0</v>
      </c>
      <c r="BB904">
        <v>0</v>
      </c>
      <c r="BC904">
        <v>0</v>
      </c>
      <c r="BD904" s="144" t="s">
        <v>1735</v>
      </c>
      <c r="BF904" s="10"/>
      <c r="BG904"/>
    </row>
    <row r="905" spans="1:59" ht="14.25" customHeight="1" x14ac:dyDescent="0.25">
      <c r="A905" s="37" t="str">
        <f>LEFT(Scharniere[[#This Row],[ArtikelNR]],4)</f>
        <v>F028</v>
      </c>
      <c r="B905" s="35" t="str">
        <f>MID(Scharniere[[#This Row],[ArtikelNR]],5,3)</f>
        <v>138</v>
      </c>
      <c r="C905" s="37" t="str">
        <f>RIGHT(Scharniere[[#This Row],[ArtikelNR]],3)</f>
        <v>533</v>
      </c>
      <c r="D905" s="35">
        <f>IF(AND(Scharniere[[#This Row],[Gruppenschlüssel]]=select!$A$44,Scharniere[[#This Row],[Scharnierart]]=1)=TRUE,1,0)</f>
        <v>0</v>
      </c>
      <c r="E9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5" s="35">
        <f>IF(select!$F$57=IF(Scharniere[[#This Row],[mit Dämpfung]]=1,1,IF(Scharniere[[#This Row],[ohne Dämpfung]]=1,2,IF(Scharniere[[#This Row],[ohne Feder]]=1,3,0))),1,0)</f>
        <v>0</v>
      </c>
      <c r="G905" s="35">
        <f>IF(Scharniere[[#This Row],[Bohrbild]]=select!$V$43,1,0)</f>
        <v>0</v>
      </c>
      <c r="H905" s="35">
        <f>IF(IF(Scharniere[[#This Row],[Anschrauben]]=1,1,IF(Scharniere[[#This Row],[Einpressen]]=1,2,IF(Scharniere[[#This Row],[Quick]]=1,3,IF(Scharniere[[#This Row],[Werkzeuglos]]=1,4,0))))=select!$F$48,1,0)</f>
        <v>0</v>
      </c>
      <c r="I9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5" s="149">
        <f>IF(AND(Scharniere[[#This Row],[Scharnierart]]=2,Scharniere[[#This Row],[Gruppenschlüssel]]=select!$A$318)=TRUE,1,0)</f>
        <v>0</v>
      </c>
      <c r="K905" s="221">
        <f ca="1">IF(select!$O$424&lt;6,1,0)</f>
        <v>1</v>
      </c>
      <c r="L905" s="221">
        <f>IF(select!$A$362=IF(Scharniere[[#This Row],[mit Dämpfung]]=1,1,IF(Scharniere[[#This Row],[ohne Dämpfung]]=1,2,IF(Scharniere[[#This Row],[ohne Feder]]=1,3,0))),1,0)</f>
        <v>1</v>
      </c>
      <c r="M905" s="135">
        <f>IF(Scharniere[[#This Row],[Bohrbild]]=select!$O$334,1,0)</f>
        <v>0</v>
      </c>
      <c r="N905" s="135">
        <f>IF(IF(Scharniere[[#This Row],[Anschrauben]]=1,1,IF(Scharniere[[#This Row],[Einpressen]]=1,2,IF(Scharniere[[#This Row],[Quick]]=1,3,IF(Scharniere[[#This Row],[Werkzeuglos]]=1,4,0))))=select!$E$362,1,0)</f>
        <v>1</v>
      </c>
      <c r="O9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5" s="298">
        <f>IF(AND(Scharniere[[#This Row],[Scharnierart]]=3,Scharniere[[#This Row],[Gruppenschlüssel]]=select!$A$747)=TRUE,1,0)</f>
        <v>0</v>
      </c>
      <c r="Q905" s="298">
        <f ca="1">IF(select!$O$945&lt;6,1,0)</f>
        <v>1</v>
      </c>
      <c r="R905" s="298">
        <f>IF(select!$A$778=IF(Scharniere[[#This Row],[mit Dämpfung]]=1,1,IF(Scharniere[[#This Row],[ohne Dämpfung]]=1,2,IF(Scharniere[[#This Row],[ohne Feder]]=1,3,0))),1,0)</f>
        <v>0</v>
      </c>
      <c r="S905" s="298">
        <f>IF(Scharniere[[#This Row],[Bohrbild]]=select!$A$755,1,0)</f>
        <v>0</v>
      </c>
      <c r="T905" s="298">
        <f>IF(IF(Scharniere[[#This Row],[Anschrauben]]=1,1,IF(Scharniere[[#This Row],[Einpressen]]=1,2,IF(Scharniere[[#This Row],[Quick]]=1,3,IF(Scharniere[[#This Row],[Werkzeuglos]]=1,4,0))))=select!$A$769,1,0)</f>
        <v>1</v>
      </c>
      <c r="U9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5" s="359">
        <f>IF(AND(Scharniere[[#This Row],[Scharnierart]]=4,Scharniere[[#This Row],[Gruppenschlüssel]]=select!$A$981)=TRUE,1,0)</f>
        <v>0</v>
      </c>
      <c r="W905" s="359">
        <f ca="1">IF(select!$O$1185&lt;6,1,0)</f>
        <v>1</v>
      </c>
      <c r="X905" s="359">
        <f>IF(select!$A$1012=IF(Scharniere[[#This Row],[mit Dämpfung]]=1,1,IF(Scharniere[[#This Row],[ohne Dämpfung]]=1,2,IF(Scharniere[[#This Row],[ohne Feder]]=1,3,0))),1,0)</f>
        <v>0</v>
      </c>
      <c r="Y905" s="359">
        <f>IF(Scharniere[[#This Row],[Bohrbild]]=select!$A$989,1,0)</f>
        <v>0</v>
      </c>
      <c r="Z905" s="359">
        <f>IF(IF(Scharniere[[#This Row],[Anschrauben]]=1,1,IF(Scharniere[[#This Row],[Einpressen]]=1,2,IF(Scharniere[[#This Row],[Quick]]=1,3,IF(Scharniere[[#This Row],[Werkzeuglos]]=1,4,0))))=select!$A$1003,1,0)</f>
        <v>1</v>
      </c>
      <c r="AA9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5" s="359">
        <f ca="1">IF(select!$K$980="*",Scharniere[[#This Row],[AG Ges2]],Scharniere[[#This Row],[AG Ges1]])</f>
        <v>0</v>
      </c>
      <c r="AE905" s="451">
        <f ca="1">IF(AND(Scharniere[[#This Row],[Scharnierart]]=select!$A$1485,Scharniere[[#This Row],[Gruppenschlüssel]]=select!$B$1485)=TRUE,1,0)</f>
        <v>0</v>
      </c>
      <c r="AF905" s="451">
        <f ca="1">IF(AND(Scharniere[[#This Row],[Scharnierart]]=select!$A$1486,Scharniere[[#This Row],[Gruppenschlüssel]]=select!$B$1486)=TRUE,1,0)</f>
        <v>0</v>
      </c>
      <c r="AG905" s="451">
        <f ca="1">IF(AND(Scharniere[[#This Row],[Scharnierart]]=select!$A$1487,Scharniere[[#This Row],[Gruppenschlüssel]]=select!$B$1487)=TRUE,1,0)</f>
        <v>0</v>
      </c>
      <c r="AH905" s="451">
        <f ca="1">IF(AND(Scharniere[[#This Row],[Scharnierart]]=select!$A$1488,Scharniere[[#This Row],[Gruppenschlüssel]]=select!$B$1488)=TRUE,1,0)</f>
        <v>0</v>
      </c>
      <c r="AI905" s="451">
        <f ca="1">IF(SUM(Scharniere[[#This Row],[konf Scharnier 1]:[konf Scharnier 4]])&gt;0,1,0)</f>
        <v>0</v>
      </c>
      <c r="AJ905" s="451"/>
      <c r="AK905" s="451"/>
      <c r="AL905" s="451"/>
      <c r="AM905" s="451"/>
      <c r="AN905" s="451"/>
      <c r="AO905" s="146">
        <v>2</v>
      </c>
      <c r="AP905" s="146">
        <v>7</v>
      </c>
      <c r="AQ905" s="71" t="str">
        <f ca="1">Sprache!$A$112</f>
        <v>Tiomos Scharnier TS Click-on</v>
      </c>
      <c r="AR905" t="str">
        <f ca="1">"110/45°, B-BB, "&amp;Sprache!$A$58&amp;" ni"</f>
        <v>110/45°, B-BB, aufl. ni</v>
      </c>
      <c r="AS905" t="str">
        <f ca="1">Sprache!$A$103</f>
        <v>Tiomos Click-On Scharniere</v>
      </c>
      <c r="AT905" t="s">
        <v>1264</v>
      </c>
      <c r="AU905" t="s">
        <v>3</v>
      </c>
      <c r="AV905" t="s">
        <v>1489</v>
      </c>
      <c r="AW905" s="71">
        <v>1</v>
      </c>
      <c r="AX905">
        <v>0</v>
      </c>
      <c r="AY905">
        <v>0</v>
      </c>
      <c r="AZ905" s="71">
        <v>1</v>
      </c>
      <c r="BA905">
        <v>0</v>
      </c>
      <c r="BB905">
        <v>0</v>
      </c>
      <c r="BC905">
        <v>0</v>
      </c>
      <c r="BD905" s="144" t="s">
        <v>1549</v>
      </c>
      <c r="BF905" s="10"/>
      <c r="BG905"/>
    </row>
    <row r="906" spans="1:59" ht="14.25" customHeight="1" x14ac:dyDescent="0.25">
      <c r="A906" s="37" t="str">
        <f>LEFT(Scharniere[[#This Row],[ArtikelNR]],4)</f>
        <v>F045</v>
      </c>
      <c r="B906" s="35" t="str">
        <f>MID(Scharniere[[#This Row],[ArtikelNR]],5,3)</f>
        <v>138</v>
      </c>
      <c r="C906" s="37" t="str">
        <f>RIGHT(Scharniere[[#This Row],[ArtikelNR]],3)</f>
        <v>471</v>
      </c>
      <c r="D906" s="35">
        <f>IF(AND(Scharniere[[#This Row],[Gruppenschlüssel]]=select!$A$44,Scharniere[[#This Row],[Scharnierart]]=1)=TRUE,1,0)</f>
        <v>0</v>
      </c>
      <c r="E9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6" s="35">
        <f>IF(select!$F$57=IF(Scharniere[[#This Row],[mit Dämpfung]]=1,1,IF(Scharniere[[#This Row],[ohne Dämpfung]]=1,2,IF(Scharniere[[#This Row],[ohne Feder]]=1,3,0))),1,0)</f>
        <v>0</v>
      </c>
      <c r="G906" s="35">
        <f>IF(Scharniere[[#This Row],[Bohrbild]]=select!$V$43,1,0)</f>
        <v>0</v>
      </c>
      <c r="H906" s="35">
        <f>IF(IF(Scharniere[[#This Row],[Anschrauben]]=1,1,IF(Scharniere[[#This Row],[Einpressen]]=1,2,IF(Scharniere[[#This Row],[Quick]]=1,3,IF(Scharniere[[#This Row],[Werkzeuglos]]=1,4,0))))=select!$F$48,1,0)</f>
        <v>0</v>
      </c>
      <c r="I9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6" s="149">
        <f>IF(AND(Scharniere[[#This Row],[Scharnierart]]=2,Scharniere[[#This Row],[Gruppenschlüssel]]=select!$A$318)=TRUE,1,0)</f>
        <v>0</v>
      </c>
      <c r="K906" s="221">
        <f ca="1">IF(select!$O$424&lt;6,1,0)</f>
        <v>1</v>
      </c>
      <c r="L906" s="221">
        <f>IF(select!$A$362=IF(Scharniere[[#This Row],[mit Dämpfung]]=1,1,IF(Scharniere[[#This Row],[ohne Dämpfung]]=1,2,IF(Scharniere[[#This Row],[ohne Feder]]=1,3,0))),1,0)</f>
        <v>0</v>
      </c>
      <c r="M906" s="135">
        <f>IF(Scharniere[[#This Row],[Bohrbild]]=select!$O$334,1,0)</f>
        <v>0</v>
      </c>
      <c r="N906" s="135">
        <f>IF(IF(Scharniere[[#This Row],[Anschrauben]]=1,1,IF(Scharniere[[#This Row],[Einpressen]]=1,2,IF(Scharniere[[#This Row],[Quick]]=1,3,IF(Scharniere[[#This Row],[Werkzeuglos]]=1,4,0))))=select!$E$362,1,0)</f>
        <v>1</v>
      </c>
      <c r="O9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6" s="298">
        <f>IF(AND(Scharniere[[#This Row],[Scharnierart]]=3,Scharniere[[#This Row],[Gruppenschlüssel]]=select!$A$747)=TRUE,1,0)</f>
        <v>0</v>
      </c>
      <c r="Q906" s="298">
        <f ca="1">IF(select!$O$945&lt;6,1,0)</f>
        <v>1</v>
      </c>
      <c r="R906" s="298">
        <f>IF(select!$A$778=IF(Scharniere[[#This Row],[mit Dämpfung]]=1,1,IF(Scharniere[[#This Row],[ohne Dämpfung]]=1,2,IF(Scharniere[[#This Row],[ohne Feder]]=1,3,0))),1,0)</f>
        <v>1</v>
      </c>
      <c r="S906" s="298">
        <f>IF(Scharniere[[#This Row],[Bohrbild]]=select!$A$755,1,0)</f>
        <v>0</v>
      </c>
      <c r="T906" s="298">
        <f>IF(IF(Scharniere[[#This Row],[Anschrauben]]=1,1,IF(Scharniere[[#This Row],[Einpressen]]=1,2,IF(Scharniere[[#This Row],[Quick]]=1,3,IF(Scharniere[[#This Row],[Werkzeuglos]]=1,4,0))))=select!$A$769,1,0)</f>
        <v>1</v>
      </c>
      <c r="U9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6" s="359">
        <f>IF(AND(Scharniere[[#This Row],[Scharnierart]]=4,Scharniere[[#This Row],[Gruppenschlüssel]]=select!$A$981)=TRUE,1,0)</f>
        <v>0</v>
      </c>
      <c r="W906" s="359">
        <f ca="1">IF(select!$O$1185&lt;6,1,0)</f>
        <v>1</v>
      </c>
      <c r="X906" s="359">
        <f>IF(select!$A$1012=IF(Scharniere[[#This Row],[mit Dämpfung]]=1,1,IF(Scharniere[[#This Row],[ohne Dämpfung]]=1,2,IF(Scharniere[[#This Row],[ohne Feder]]=1,3,0))),1,0)</f>
        <v>1</v>
      </c>
      <c r="Y906" s="359">
        <f>IF(Scharniere[[#This Row],[Bohrbild]]=select!$A$989,1,0)</f>
        <v>0</v>
      </c>
      <c r="Z906" s="359">
        <f>IF(IF(Scharniere[[#This Row],[Anschrauben]]=1,1,IF(Scharniere[[#This Row],[Einpressen]]=1,2,IF(Scharniere[[#This Row],[Quick]]=1,3,IF(Scharniere[[#This Row],[Werkzeuglos]]=1,4,0))))=select!$A$1003,1,0)</f>
        <v>1</v>
      </c>
      <c r="AA9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6" s="359">
        <f ca="1">IF(select!$K$980="*",Scharniere[[#This Row],[AG Ges2]],Scharniere[[#This Row],[AG Ges1]])</f>
        <v>0</v>
      </c>
      <c r="AE906" s="451">
        <f ca="1">IF(AND(Scharniere[[#This Row],[Scharnierart]]=select!$A$1485,Scharniere[[#This Row],[Gruppenschlüssel]]=select!$B$1485)=TRUE,1,0)</f>
        <v>0</v>
      </c>
      <c r="AF906" s="451">
        <f ca="1">IF(AND(Scharniere[[#This Row],[Scharnierart]]=select!$A$1486,Scharniere[[#This Row],[Gruppenschlüssel]]=select!$B$1486)=TRUE,1,0)</f>
        <v>0</v>
      </c>
      <c r="AG906" s="451">
        <f ca="1">IF(AND(Scharniere[[#This Row],[Scharnierart]]=select!$A$1487,Scharniere[[#This Row],[Gruppenschlüssel]]=select!$B$1487)=TRUE,1,0)</f>
        <v>0</v>
      </c>
      <c r="AH906" s="451">
        <f ca="1">IF(AND(Scharniere[[#This Row],[Scharnierart]]=select!$A$1488,Scharniere[[#This Row],[Gruppenschlüssel]]=select!$B$1488)=TRUE,1,0)</f>
        <v>0</v>
      </c>
      <c r="AI906" s="451">
        <f ca="1">IF(SUM(Scharniere[[#This Row],[konf Scharnier 1]:[konf Scharnier 4]])&gt;0,1,0)</f>
        <v>0</v>
      </c>
      <c r="AJ906" s="451"/>
      <c r="AK906" s="451"/>
      <c r="AL906" s="451"/>
      <c r="AM906" s="451"/>
      <c r="AN906" s="451"/>
      <c r="AO906" s="146">
        <v>2</v>
      </c>
      <c r="AP906" s="146">
        <v>7</v>
      </c>
      <c r="AQ906" s="71" t="str">
        <f ca="1">Sprache!$A$118</f>
        <v>Tiomos Scharnier T Click-on</v>
      </c>
      <c r="AR906" t="str">
        <f ca="1">"110/45°, B-BB, "&amp;Sprache!$A$58&amp;" ni"</f>
        <v>110/45°, B-BB, aufl. ni</v>
      </c>
      <c r="AS906" t="str">
        <f ca="1">Sprache!$A$103</f>
        <v>Tiomos Click-On Scharniere</v>
      </c>
      <c r="AT906" t="s">
        <v>1264</v>
      </c>
      <c r="AU906" t="s">
        <v>3</v>
      </c>
      <c r="AV906" t="s">
        <v>1489</v>
      </c>
      <c r="AW906" s="71">
        <v>0</v>
      </c>
      <c r="AX906">
        <v>1</v>
      </c>
      <c r="AY906">
        <v>0</v>
      </c>
      <c r="AZ906" s="71">
        <v>1</v>
      </c>
      <c r="BA906">
        <v>0</v>
      </c>
      <c r="BB906">
        <v>0</v>
      </c>
      <c r="BC906">
        <v>0</v>
      </c>
      <c r="BD906" s="144" t="s">
        <v>1653</v>
      </c>
      <c r="BF906" s="10"/>
      <c r="BG906"/>
    </row>
    <row r="907" spans="1:59" ht="14.25" customHeight="1" x14ac:dyDescent="0.25">
      <c r="A907" s="37" t="str">
        <f>LEFT(Scharniere[[#This Row],[ArtikelNR]],4)</f>
        <v>F046</v>
      </c>
      <c r="B907" s="35" t="str">
        <f>MID(Scharniere[[#This Row],[ArtikelNR]],5,3)</f>
        <v>138</v>
      </c>
      <c r="C907" s="37" t="str">
        <f>RIGHT(Scharniere[[#This Row],[ArtikelNR]],3)</f>
        <v>593</v>
      </c>
      <c r="D907" s="35">
        <f>IF(AND(Scharniere[[#This Row],[Gruppenschlüssel]]=select!$A$44,Scharniere[[#This Row],[Scharnierart]]=1)=TRUE,1,0)</f>
        <v>0</v>
      </c>
      <c r="E9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7" s="35">
        <f>IF(select!$F$57=IF(Scharniere[[#This Row],[mit Dämpfung]]=1,1,IF(Scharniere[[#This Row],[ohne Dämpfung]]=1,2,IF(Scharniere[[#This Row],[ohne Feder]]=1,3,0))),1,0)</f>
        <v>1</v>
      </c>
      <c r="G907" s="35">
        <f>IF(Scharniere[[#This Row],[Bohrbild]]=select!$V$43,1,0)</f>
        <v>0</v>
      </c>
      <c r="H907" s="35">
        <f>IF(IF(Scharniere[[#This Row],[Anschrauben]]=1,1,IF(Scharniere[[#This Row],[Einpressen]]=1,2,IF(Scharniere[[#This Row],[Quick]]=1,3,IF(Scharniere[[#This Row],[Werkzeuglos]]=1,4,0))))=select!$F$48,1,0)</f>
        <v>0</v>
      </c>
      <c r="I9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7" s="149">
        <f>IF(AND(Scharniere[[#This Row],[Scharnierart]]=2,Scharniere[[#This Row],[Gruppenschlüssel]]=select!$A$318)=TRUE,1,0)</f>
        <v>0</v>
      </c>
      <c r="K907" s="221">
        <f ca="1">IF(select!$O$424&lt;6,1,0)</f>
        <v>1</v>
      </c>
      <c r="L907" s="221">
        <f>IF(select!$A$362=IF(Scharniere[[#This Row],[mit Dämpfung]]=1,1,IF(Scharniere[[#This Row],[ohne Dämpfung]]=1,2,IF(Scharniere[[#This Row],[ohne Feder]]=1,3,0))),1,0)</f>
        <v>0</v>
      </c>
      <c r="M907" s="135">
        <f>IF(Scharniere[[#This Row],[Bohrbild]]=select!$O$334,1,0)</f>
        <v>0</v>
      </c>
      <c r="N907" s="135">
        <f>IF(IF(Scharniere[[#This Row],[Anschrauben]]=1,1,IF(Scharniere[[#This Row],[Einpressen]]=1,2,IF(Scharniere[[#This Row],[Quick]]=1,3,IF(Scharniere[[#This Row],[Werkzeuglos]]=1,4,0))))=select!$E$362,1,0)</f>
        <v>1</v>
      </c>
      <c r="O9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7" s="298">
        <f>IF(AND(Scharniere[[#This Row],[Scharnierart]]=3,Scharniere[[#This Row],[Gruppenschlüssel]]=select!$A$747)=TRUE,1,0)</f>
        <v>0</v>
      </c>
      <c r="Q907" s="298">
        <f ca="1">IF(select!$O$945&lt;6,1,0)</f>
        <v>1</v>
      </c>
      <c r="R907" s="298">
        <f>IF(select!$A$778=IF(Scharniere[[#This Row],[mit Dämpfung]]=1,1,IF(Scharniere[[#This Row],[ohne Dämpfung]]=1,2,IF(Scharniere[[#This Row],[ohne Feder]]=1,3,0))),1,0)</f>
        <v>0</v>
      </c>
      <c r="S907" s="298">
        <f>IF(Scharniere[[#This Row],[Bohrbild]]=select!$A$755,1,0)</f>
        <v>0</v>
      </c>
      <c r="T907" s="298">
        <f>IF(IF(Scharniere[[#This Row],[Anschrauben]]=1,1,IF(Scharniere[[#This Row],[Einpressen]]=1,2,IF(Scharniere[[#This Row],[Quick]]=1,3,IF(Scharniere[[#This Row],[Werkzeuglos]]=1,4,0))))=select!$A$769,1,0)</f>
        <v>1</v>
      </c>
      <c r="U9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7" s="359">
        <f>IF(AND(Scharniere[[#This Row],[Scharnierart]]=4,Scharniere[[#This Row],[Gruppenschlüssel]]=select!$A$981)=TRUE,1,0)</f>
        <v>0</v>
      </c>
      <c r="W907" s="359">
        <f ca="1">IF(select!$O$1185&lt;6,1,0)</f>
        <v>1</v>
      </c>
      <c r="X907" s="359">
        <f>IF(select!$A$1012=IF(Scharniere[[#This Row],[mit Dämpfung]]=1,1,IF(Scharniere[[#This Row],[ohne Dämpfung]]=1,2,IF(Scharniere[[#This Row],[ohne Feder]]=1,3,0))),1,0)</f>
        <v>0</v>
      </c>
      <c r="Y907" s="359">
        <f>IF(Scharniere[[#This Row],[Bohrbild]]=select!$A$989,1,0)</f>
        <v>0</v>
      </c>
      <c r="Z907" s="359">
        <f>IF(IF(Scharniere[[#This Row],[Anschrauben]]=1,1,IF(Scharniere[[#This Row],[Einpressen]]=1,2,IF(Scharniere[[#This Row],[Quick]]=1,3,IF(Scharniere[[#This Row],[Werkzeuglos]]=1,4,0))))=select!$A$1003,1,0)</f>
        <v>1</v>
      </c>
      <c r="AA9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7" s="359">
        <f ca="1">IF(select!$K$980="*",Scharniere[[#This Row],[AG Ges2]],Scharniere[[#This Row],[AG Ges1]])</f>
        <v>0</v>
      </c>
      <c r="AE907" s="451">
        <f ca="1">IF(AND(Scharniere[[#This Row],[Scharnierart]]=select!$A$1485,Scharniere[[#This Row],[Gruppenschlüssel]]=select!$B$1485)=TRUE,1,0)</f>
        <v>0</v>
      </c>
      <c r="AF907" s="451">
        <f ca="1">IF(AND(Scharniere[[#This Row],[Scharnierart]]=select!$A$1486,Scharniere[[#This Row],[Gruppenschlüssel]]=select!$B$1486)=TRUE,1,0)</f>
        <v>0</v>
      </c>
      <c r="AG907" s="451">
        <f ca="1">IF(AND(Scharniere[[#This Row],[Scharnierart]]=select!$A$1487,Scharniere[[#This Row],[Gruppenschlüssel]]=select!$B$1487)=TRUE,1,0)</f>
        <v>0</v>
      </c>
      <c r="AH907" s="451">
        <f ca="1">IF(AND(Scharniere[[#This Row],[Scharnierart]]=select!$A$1488,Scharniere[[#This Row],[Gruppenschlüssel]]=select!$B$1488)=TRUE,1,0)</f>
        <v>0</v>
      </c>
      <c r="AI907" s="451">
        <f ca="1">IF(SUM(Scharniere[[#This Row],[konf Scharnier 1]:[konf Scharnier 4]])&gt;0,1,0)</f>
        <v>0</v>
      </c>
      <c r="AJ907" s="451"/>
      <c r="AK907" s="451"/>
      <c r="AL907" s="451"/>
      <c r="AM907" s="451"/>
      <c r="AN907" s="451"/>
      <c r="AO907" s="146">
        <v>2</v>
      </c>
      <c r="AP907" s="146">
        <v>7</v>
      </c>
      <c r="AQ907" s="71" t="str">
        <f ca="1">Sprache!$A$114</f>
        <v>Tiomos Scharnier TT Click-on</v>
      </c>
      <c r="AR907" t="str">
        <f ca="1">"110/45°, B-BB, "&amp;Sprache!$A$58&amp;" ni"</f>
        <v>110/45°, B-BB, aufl. ni</v>
      </c>
      <c r="AS907" t="str">
        <f ca="1">Sprache!$A$103</f>
        <v>Tiomos Click-On Scharniere</v>
      </c>
      <c r="AT907" t="s">
        <v>1264</v>
      </c>
      <c r="AU907" s="34" t="s">
        <v>3</v>
      </c>
      <c r="AV907" t="s">
        <v>1489</v>
      </c>
      <c r="AW907" s="71">
        <v>0</v>
      </c>
      <c r="AX907">
        <v>0</v>
      </c>
      <c r="AY907">
        <v>1</v>
      </c>
      <c r="AZ907" s="71">
        <v>1</v>
      </c>
      <c r="BA907">
        <v>0</v>
      </c>
      <c r="BB907">
        <v>0</v>
      </c>
      <c r="BC907">
        <v>0</v>
      </c>
      <c r="BD907" s="144" t="s">
        <v>1722</v>
      </c>
      <c r="BF907" s="10"/>
      <c r="BG907"/>
    </row>
    <row r="908" spans="1:59" ht="14.25" customHeight="1" x14ac:dyDescent="0.25">
      <c r="A908" s="37" t="str">
        <f>LEFT(Scharniere[[#This Row],[ArtikelNR]],4)</f>
        <v>F028</v>
      </c>
      <c r="B908" s="35" t="str">
        <f>MID(Scharniere[[#This Row],[ArtikelNR]],5,3)</f>
        <v>138</v>
      </c>
      <c r="C908" s="37" t="str">
        <f>RIGHT(Scharniere[[#This Row],[ArtikelNR]],3)</f>
        <v>351</v>
      </c>
      <c r="D908" s="35">
        <f>IF(AND(Scharniere[[#This Row],[Gruppenschlüssel]]=select!$A$44,Scharniere[[#This Row],[Scharnierart]]=1)=TRUE,1,0)</f>
        <v>0</v>
      </c>
      <c r="E9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8" s="35">
        <f>IF(select!$F$57=IF(Scharniere[[#This Row],[mit Dämpfung]]=1,1,IF(Scharniere[[#This Row],[ohne Dämpfung]]=1,2,IF(Scharniere[[#This Row],[ohne Feder]]=1,3,0))),1,0)</f>
        <v>0</v>
      </c>
      <c r="G908" s="35">
        <f>IF(Scharniere[[#This Row],[Bohrbild]]=select!$V$43,1,0)</f>
        <v>0</v>
      </c>
      <c r="H908" s="35">
        <f>IF(IF(Scharniere[[#This Row],[Anschrauben]]=1,1,IF(Scharniere[[#This Row],[Einpressen]]=1,2,IF(Scharniere[[#This Row],[Quick]]=1,3,IF(Scharniere[[#This Row],[Werkzeuglos]]=1,4,0))))=select!$F$48,1,0)</f>
        <v>0</v>
      </c>
      <c r="I9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8" s="149">
        <f>IF(AND(Scharniere[[#This Row],[Scharnierart]]=2,Scharniere[[#This Row],[Gruppenschlüssel]]=select!$A$318)=TRUE,1,0)</f>
        <v>0</v>
      </c>
      <c r="K908" s="221">
        <f ca="1">IF(select!$O$424&lt;6,1,0)</f>
        <v>1</v>
      </c>
      <c r="L908" s="221">
        <f>IF(select!$A$362=IF(Scharniere[[#This Row],[mit Dämpfung]]=1,1,IF(Scharniere[[#This Row],[ohne Dämpfung]]=1,2,IF(Scharniere[[#This Row],[ohne Feder]]=1,3,0))),1,0)</f>
        <v>1</v>
      </c>
      <c r="M908" s="135">
        <f>IF(Scharniere[[#This Row],[Bohrbild]]=select!$O$334,1,0)</f>
        <v>0</v>
      </c>
      <c r="N908" s="135">
        <f>IF(IF(Scharniere[[#This Row],[Anschrauben]]=1,1,IF(Scharniere[[#This Row],[Einpressen]]=1,2,IF(Scharniere[[#This Row],[Quick]]=1,3,IF(Scharniere[[#This Row],[Werkzeuglos]]=1,4,0))))=select!$E$362,1,0)</f>
        <v>1</v>
      </c>
      <c r="O9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8" s="298">
        <f>IF(AND(Scharniere[[#This Row],[Scharnierart]]=3,Scharniere[[#This Row],[Gruppenschlüssel]]=select!$A$747)=TRUE,1,0)</f>
        <v>0</v>
      </c>
      <c r="Q908" s="298">
        <f ca="1">IF(select!$O$945&lt;6,1,0)</f>
        <v>1</v>
      </c>
      <c r="R908" s="298">
        <f>IF(select!$A$778=IF(Scharniere[[#This Row],[mit Dämpfung]]=1,1,IF(Scharniere[[#This Row],[ohne Dämpfung]]=1,2,IF(Scharniere[[#This Row],[ohne Feder]]=1,3,0))),1,0)</f>
        <v>0</v>
      </c>
      <c r="S908" s="298">
        <f>IF(Scharniere[[#This Row],[Bohrbild]]=select!$A$755,1,0)</f>
        <v>0</v>
      </c>
      <c r="T908" s="298">
        <f>IF(IF(Scharniere[[#This Row],[Anschrauben]]=1,1,IF(Scharniere[[#This Row],[Einpressen]]=1,2,IF(Scharniere[[#This Row],[Quick]]=1,3,IF(Scharniere[[#This Row],[Werkzeuglos]]=1,4,0))))=select!$A$769,1,0)</f>
        <v>1</v>
      </c>
      <c r="U9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8" s="359">
        <f>IF(AND(Scharniere[[#This Row],[Scharnierart]]=4,Scharniere[[#This Row],[Gruppenschlüssel]]=select!$A$981)=TRUE,1,0)</f>
        <v>0</v>
      </c>
      <c r="W908" s="359">
        <f ca="1">IF(select!$O$1185&lt;6,1,0)</f>
        <v>1</v>
      </c>
      <c r="X908" s="359">
        <f>IF(select!$A$1012=IF(Scharniere[[#This Row],[mit Dämpfung]]=1,1,IF(Scharniere[[#This Row],[ohne Dämpfung]]=1,2,IF(Scharniere[[#This Row],[ohne Feder]]=1,3,0))),1,0)</f>
        <v>0</v>
      </c>
      <c r="Y908" s="359">
        <f>IF(Scharniere[[#This Row],[Bohrbild]]=select!$A$989,1,0)</f>
        <v>0</v>
      </c>
      <c r="Z908" s="359">
        <f>IF(IF(Scharniere[[#This Row],[Anschrauben]]=1,1,IF(Scharniere[[#This Row],[Einpressen]]=1,2,IF(Scharniere[[#This Row],[Quick]]=1,3,IF(Scharniere[[#This Row],[Werkzeuglos]]=1,4,0))))=select!$A$1003,1,0)</f>
        <v>1</v>
      </c>
      <c r="AA9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8" s="359">
        <f ca="1">IF(select!$K$980="*",Scharniere[[#This Row],[AG Ges2]],Scharniere[[#This Row],[AG Ges1]])</f>
        <v>0</v>
      </c>
      <c r="AE908" s="451">
        <f ca="1">IF(AND(Scharniere[[#This Row],[Scharnierart]]=select!$A$1485,Scharniere[[#This Row],[Gruppenschlüssel]]=select!$B$1485)=TRUE,1,0)</f>
        <v>0</v>
      </c>
      <c r="AF908" s="451">
        <f ca="1">IF(AND(Scharniere[[#This Row],[Scharnierart]]=select!$A$1486,Scharniere[[#This Row],[Gruppenschlüssel]]=select!$B$1486)=TRUE,1,0)</f>
        <v>0</v>
      </c>
      <c r="AG908" s="451">
        <f ca="1">IF(AND(Scharniere[[#This Row],[Scharnierart]]=select!$A$1487,Scharniere[[#This Row],[Gruppenschlüssel]]=select!$B$1487)=TRUE,1,0)</f>
        <v>0</v>
      </c>
      <c r="AH908" s="451">
        <f ca="1">IF(AND(Scharniere[[#This Row],[Scharnierart]]=select!$A$1488,Scharniere[[#This Row],[Gruppenschlüssel]]=select!$B$1488)=TRUE,1,0)</f>
        <v>0</v>
      </c>
      <c r="AI908" s="451">
        <f ca="1">IF(SUM(Scharniere[[#This Row],[konf Scharnier 1]:[konf Scharnier 4]])&gt;0,1,0)</f>
        <v>0</v>
      </c>
      <c r="AJ908" s="451"/>
      <c r="AK908" s="451"/>
      <c r="AL908" s="451"/>
      <c r="AM908" s="451"/>
      <c r="AN908" s="451"/>
      <c r="AO908" s="146">
        <v>2</v>
      </c>
      <c r="AP908" s="146">
        <v>7</v>
      </c>
      <c r="AQ908" s="71" t="str">
        <f ca="1">Sprache!$A$112</f>
        <v>Tiomos Scharnier TS Click-on</v>
      </c>
      <c r="AR908" t="str">
        <f ca="1">"110/45°, G-BB, "&amp;Sprache!$A$58&amp;" ni"</f>
        <v>110/45°, G-BB, aufl. ni</v>
      </c>
      <c r="AS908" t="str">
        <f ca="1">Sprache!$A$103</f>
        <v>Tiomos Click-On Scharniere</v>
      </c>
      <c r="AT908" t="s">
        <v>1264</v>
      </c>
      <c r="AU908" t="s">
        <v>9</v>
      </c>
      <c r="AV908" t="s">
        <v>1489</v>
      </c>
      <c r="AW908" s="71">
        <v>1</v>
      </c>
      <c r="AX908">
        <v>0</v>
      </c>
      <c r="AY908">
        <v>0</v>
      </c>
      <c r="AZ908" s="71">
        <v>1</v>
      </c>
      <c r="BA908">
        <v>0</v>
      </c>
      <c r="BB908">
        <v>0</v>
      </c>
      <c r="BC908">
        <v>0</v>
      </c>
      <c r="BD908" s="144" t="s">
        <v>1537</v>
      </c>
      <c r="BF908" s="10"/>
      <c r="BG908"/>
    </row>
    <row r="909" spans="1:59" ht="14.25" customHeight="1" x14ac:dyDescent="0.25">
      <c r="A909" s="37" t="str">
        <f>LEFT(Scharniere[[#This Row],[ArtikelNR]],4)</f>
        <v>F045</v>
      </c>
      <c r="B909" s="35" t="str">
        <f>MID(Scharniere[[#This Row],[ArtikelNR]],5,3)</f>
        <v>138</v>
      </c>
      <c r="C909" s="37" t="str">
        <f>RIGHT(Scharniere[[#This Row],[ArtikelNR]],3)</f>
        <v>289</v>
      </c>
      <c r="D909" s="35">
        <f>IF(AND(Scharniere[[#This Row],[Gruppenschlüssel]]=select!$A$44,Scharniere[[#This Row],[Scharnierart]]=1)=TRUE,1,0)</f>
        <v>0</v>
      </c>
      <c r="E9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09" s="35">
        <f>IF(select!$F$57=IF(Scharniere[[#This Row],[mit Dämpfung]]=1,1,IF(Scharniere[[#This Row],[ohne Dämpfung]]=1,2,IF(Scharniere[[#This Row],[ohne Feder]]=1,3,0))),1,0)</f>
        <v>0</v>
      </c>
      <c r="G909" s="35">
        <f>IF(Scharniere[[#This Row],[Bohrbild]]=select!$V$43,1,0)</f>
        <v>0</v>
      </c>
      <c r="H909" s="35">
        <f>IF(IF(Scharniere[[#This Row],[Anschrauben]]=1,1,IF(Scharniere[[#This Row],[Einpressen]]=1,2,IF(Scharniere[[#This Row],[Quick]]=1,3,IF(Scharniere[[#This Row],[Werkzeuglos]]=1,4,0))))=select!$F$48,1,0)</f>
        <v>0</v>
      </c>
      <c r="I9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09" s="149">
        <f>IF(AND(Scharniere[[#This Row],[Scharnierart]]=2,Scharniere[[#This Row],[Gruppenschlüssel]]=select!$A$318)=TRUE,1,0)</f>
        <v>0</v>
      </c>
      <c r="K909" s="221">
        <f ca="1">IF(select!$O$424&lt;6,1,0)</f>
        <v>1</v>
      </c>
      <c r="L909" s="221">
        <f>IF(select!$A$362=IF(Scharniere[[#This Row],[mit Dämpfung]]=1,1,IF(Scharniere[[#This Row],[ohne Dämpfung]]=1,2,IF(Scharniere[[#This Row],[ohne Feder]]=1,3,0))),1,0)</f>
        <v>0</v>
      </c>
      <c r="M909" s="135">
        <f>IF(Scharniere[[#This Row],[Bohrbild]]=select!$O$334,1,0)</f>
        <v>0</v>
      </c>
      <c r="N909" s="135">
        <f>IF(IF(Scharniere[[#This Row],[Anschrauben]]=1,1,IF(Scharniere[[#This Row],[Einpressen]]=1,2,IF(Scharniere[[#This Row],[Quick]]=1,3,IF(Scharniere[[#This Row],[Werkzeuglos]]=1,4,0))))=select!$E$362,1,0)</f>
        <v>1</v>
      </c>
      <c r="O9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09" s="298">
        <f>IF(AND(Scharniere[[#This Row],[Scharnierart]]=3,Scharniere[[#This Row],[Gruppenschlüssel]]=select!$A$747)=TRUE,1,0)</f>
        <v>0</v>
      </c>
      <c r="Q909" s="298">
        <f ca="1">IF(select!$O$945&lt;6,1,0)</f>
        <v>1</v>
      </c>
      <c r="R909" s="298">
        <f>IF(select!$A$778=IF(Scharniere[[#This Row],[mit Dämpfung]]=1,1,IF(Scharniere[[#This Row],[ohne Dämpfung]]=1,2,IF(Scharniere[[#This Row],[ohne Feder]]=1,3,0))),1,0)</f>
        <v>1</v>
      </c>
      <c r="S909" s="298">
        <f>IF(Scharniere[[#This Row],[Bohrbild]]=select!$A$755,1,0)</f>
        <v>0</v>
      </c>
      <c r="T909" s="298">
        <f>IF(IF(Scharniere[[#This Row],[Anschrauben]]=1,1,IF(Scharniere[[#This Row],[Einpressen]]=1,2,IF(Scharniere[[#This Row],[Quick]]=1,3,IF(Scharniere[[#This Row],[Werkzeuglos]]=1,4,0))))=select!$A$769,1,0)</f>
        <v>1</v>
      </c>
      <c r="U9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09" s="359">
        <f>IF(AND(Scharniere[[#This Row],[Scharnierart]]=4,Scharniere[[#This Row],[Gruppenschlüssel]]=select!$A$981)=TRUE,1,0)</f>
        <v>0</v>
      </c>
      <c r="W909" s="359">
        <f ca="1">IF(select!$O$1185&lt;6,1,0)</f>
        <v>1</v>
      </c>
      <c r="X909" s="359">
        <f>IF(select!$A$1012=IF(Scharniere[[#This Row],[mit Dämpfung]]=1,1,IF(Scharniere[[#This Row],[ohne Dämpfung]]=1,2,IF(Scharniere[[#This Row],[ohne Feder]]=1,3,0))),1,0)</f>
        <v>1</v>
      </c>
      <c r="Y909" s="359">
        <f>IF(Scharniere[[#This Row],[Bohrbild]]=select!$A$989,1,0)</f>
        <v>0</v>
      </c>
      <c r="Z909" s="359">
        <f>IF(IF(Scharniere[[#This Row],[Anschrauben]]=1,1,IF(Scharniere[[#This Row],[Einpressen]]=1,2,IF(Scharniere[[#This Row],[Quick]]=1,3,IF(Scharniere[[#This Row],[Werkzeuglos]]=1,4,0))))=select!$A$1003,1,0)</f>
        <v>1</v>
      </c>
      <c r="AA9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09" s="359">
        <f ca="1">IF(select!$K$980="*",Scharniere[[#This Row],[AG Ges2]],Scharniere[[#This Row],[AG Ges1]])</f>
        <v>0</v>
      </c>
      <c r="AE909" s="451">
        <f ca="1">IF(AND(Scharniere[[#This Row],[Scharnierart]]=select!$A$1485,Scharniere[[#This Row],[Gruppenschlüssel]]=select!$B$1485)=TRUE,1,0)</f>
        <v>0</v>
      </c>
      <c r="AF909" s="451">
        <f ca="1">IF(AND(Scharniere[[#This Row],[Scharnierart]]=select!$A$1486,Scharniere[[#This Row],[Gruppenschlüssel]]=select!$B$1486)=TRUE,1,0)</f>
        <v>0</v>
      </c>
      <c r="AG909" s="451">
        <f ca="1">IF(AND(Scharniere[[#This Row],[Scharnierart]]=select!$A$1487,Scharniere[[#This Row],[Gruppenschlüssel]]=select!$B$1487)=TRUE,1,0)</f>
        <v>0</v>
      </c>
      <c r="AH909" s="451">
        <f ca="1">IF(AND(Scharniere[[#This Row],[Scharnierart]]=select!$A$1488,Scharniere[[#This Row],[Gruppenschlüssel]]=select!$B$1488)=TRUE,1,0)</f>
        <v>0</v>
      </c>
      <c r="AI909" s="451">
        <f ca="1">IF(SUM(Scharniere[[#This Row],[konf Scharnier 1]:[konf Scharnier 4]])&gt;0,1,0)</f>
        <v>0</v>
      </c>
      <c r="AJ909" s="451"/>
      <c r="AK909" s="451"/>
      <c r="AL909" s="451"/>
      <c r="AM909" s="451"/>
      <c r="AN909" s="451"/>
      <c r="AO909" s="146">
        <v>2</v>
      </c>
      <c r="AP909" s="146">
        <v>7</v>
      </c>
      <c r="AQ909" s="71" t="str">
        <f ca="1">Sprache!$A$118</f>
        <v>Tiomos Scharnier T Click-on</v>
      </c>
      <c r="AR909" t="str">
        <f ca="1">"110/45°, G-BB, "&amp;Sprache!$A$58&amp;" ni"</f>
        <v>110/45°, G-BB, aufl. ni</v>
      </c>
      <c r="AS909" t="str">
        <f ca="1">Sprache!$A$103</f>
        <v>Tiomos Click-On Scharniere</v>
      </c>
      <c r="AT909" t="s">
        <v>1264</v>
      </c>
      <c r="AU909" t="s">
        <v>9</v>
      </c>
      <c r="AV909" t="s">
        <v>1489</v>
      </c>
      <c r="AW909" s="71">
        <v>0</v>
      </c>
      <c r="AX909">
        <v>1</v>
      </c>
      <c r="AY909">
        <v>0</v>
      </c>
      <c r="AZ909" s="71">
        <v>1</v>
      </c>
      <c r="BA909">
        <v>0</v>
      </c>
      <c r="BB909">
        <v>0</v>
      </c>
      <c r="BC909">
        <v>0</v>
      </c>
      <c r="BD909" s="144" t="s">
        <v>1638</v>
      </c>
      <c r="BF909" s="10"/>
      <c r="BG909"/>
    </row>
    <row r="910" spans="1:59" ht="14.25" customHeight="1" x14ac:dyDescent="0.25">
      <c r="A910" s="37" t="str">
        <f>LEFT(Scharniere[[#This Row],[ArtikelNR]],4)</f>
        <v>F046</v>
      </c>
      <c r="B910" s="35" t="str">
        <f>MID(Scharniere[[#This Row],[ArtikelNR]],5,3)</f>
        <v>138</v>
      </c>
      <c r="C910" s="37" t="str">
        <f>RIGHT(Scharniere[[#This Row],[ArtikelNR]],3)</f>
        <v>411</v>
      </c>
      <c r="D910" s="35">
        <f>IF(AND(Scharniere[[#This Row],[Gruppenschlüssel]]=select!$A$44,Scharniere[[#This Row],[Scharnierart]]=1)=TRUE,1,0)</f>
        <v>0</v>
      </c>
      <c r="E9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0" s="35">
        <f>IF(select!$F$57=IF(Scharniere[[#This Row],[mit Dämpfung]]=1,1,IF(Scharniere[[#This Row],[ohne Dämpfung]]=1,2,IF(Scharniere[[#This Row],[ohne Feder]]=1,3,0))),1,0)</f>
        <v>1</v>
      </c>
      <c r="G910" s="35">
        <f>IF(Scharniere[[#This Row],[Bohrbild]]=select!$V$43,1,0)</f>
        <v>0</v>
      </c>
      <c r="H910" s="35">
        <f>IF(IF(Scharniere[[#This Row],[Anschrauben]]=1,1,IF(Scharniere[[#This Row],[Einpressen]]=1,2,IF(Scharniere[[#This Row],[Quick]]=1,3,IF(Scharniere[[#This Row],[Werkzeuglos]]=1,4,0))))=select!$F$48,1,0)</f>
        <v>0</v>
      </c>
      <c r="I9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0" s="149">
        <f>IF(AND(Scharniere[[#This Row],[Scharnierart]]=2,Scharniere[[#This Row],[Gruppenschlüssel]]=select!$A$318)=TRUE,1,0)</f>
        <v>0</v>
      </c>
      <c r="K910" s="221">
        <f ca="1">IF(select!$O$424&lt;6,1,0)</f>
        <v>1</v>
      </c>
      <c r="L910" s="221">
        <f>IF(select!$A$362=IF(Scharniere[[#This Row],[mit Dämpfung]]=1,1,IF(Scharniere[[#This Row],[ohne Dämpfung]]=1,2,IF(Scharniere[[#This Row],[ohne Feder]]=1,3,0))),1,0)</f>
        <v>0</v>
      </c>
      <c r="M910" s="135">
        <f>IF(Scharniere[[#This Row],[Bohrbild]]=select!$O$334,1,0)</f>
        <v>0</v>
      </c>
      <c r="N910" s="135">
        <f>IF(IF(Scharniere[[#This Row],[Anschrauben]]=1,1,IF(Scharniere[[#This Row],[Einpressen]]=1,2,IF(Scharniere[[#This Row],[Quick]]=1,3,IF(Scharniere[[#This Row],[Werkzeuglos]]=1,4,0))))=select!$E$362,1,0)</f>
        <v>1</v>
      </c>
      <c r="O9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0" s="298">
        <f>IF(AND(Scharniere[[#This Row],[Scharnierart]]=3,Scharniere[[#This Row],[Gruppenschlüssel]]=select!$A$747)=TRUE,1,0)</f>
        <v>0</v>
      </c>
      <c r="Q910" s="298">
        <f ca="1">IF(select!$O$945&lt;6,1,0)</f>
        <v>1</v>
      </c>
      <c r="R910" s="298">
        <f>IF(select!$A$778=IF(Scharniere[[#This Row],[mit Dämpfung]]=1,1,IF(Scharniere[[#This Row],[ohne Dämpfung]]=1,2,IF(Scharniere[[#This Row],[ohne Feder]]=1,3,0))),1,0)</f>
        <v>0</v>
      </c>
      <c r="S910" s="298">
        <f>IF(Scharniere[[#This Row],[Bohrbild]]=select!$A$755,1,0)</f>
        <v>0</v>
      </c>
      <c r="T910" s="298">
        <f>IF(IF(Scharniere[[#This Row],[Anschrauben]]=1,1,IF(Scharniere[[#This Row],[Einpressen]]=1,2,IF(Scharniere[[#This Row],[Quick]]=1,3,IF(Scharniere[[#This Row],[Werkzeuglos]]=1,4,0))))=select!$A$769,1,0)</f>
        <v>1</v>
      </c>
      <c r="U9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0" s="359">
        <f>IF(AND(Scharniere[[#This Row],[Scharnierart]]=4,Scharniere[[#This Row],[Gruppenschlüssel]]=select!$A$981)=TRUE,1,0)</f>
        <v>0</v>
      </c>
      <c r="W910" s="359">
        <f ca="1">IF(select!$O$1185&lt;6,1,0)</f>
        <v>1</v>
      </c>
      <c r="X910" s="359">
        <f>IF(select!$A$1012=IF(Scharniere[[#This Row],[mit Dämpfung]]=1,1,IF(Scharniere[[#This Row],[ohne Dämpfung]]=1,2,IF(Scharniere[[#This Row],[ohne Feder]]=1,3,0))),1,0)</f>
        <v>0</v>
      </c>
      <c r="Y910" s="359">
        <f>IF(Scharniere[[#This Row],[Bohrbild]]=select!$A$989,1,0)</f>
        <v>0</v>
      </c>
      <c r="Z910" s="359">
        <f>IF(IF(Scharniere[[#This Row],[Anschrauben]]=1,1,IF(Scharniere[[#This Row],[Einpressen]]=1,2,IF(Scharniere[[#This Row],[Quick]]=1,3,IF(Scharniere[[#This Row],[Werkzeuglos]]=1,4,0))))=select!$A$1003,1,0)</f>
        <v>1</v>
      </c>
      <c r="AA9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0" s="359">
        <f ca="1">IF(select!$K$980="*",Scharniere[[#This Row],[AG Ges2]],Scharniere[[#This Row],[AG Ges1]])</f>
        <v>0</v>
      </c>
      <c r="AE910" s="451">
        <f ca="1">IF(AND(Scharniere[[#This Row],[Scharnierart]]=select!$A$1485,Scharniere[[#This Row],[Gruppenschlüssel]]=select!$B$1485)=TRUE,1,0)</f>
        <v>0</v>
      </c>
      <c r="AF910" s="451">
        <f ca="1">IF(AND(Scharniere[[#This Row],[Scharnierart]]=select!$A$1486,Scharniere[[#This Row],[Gruppenschlüssel]]=select!$B$1486)=TRUE,1,0)</f>
        <v>0</v>
      </c>
      <c r="AG910" s="451">
        <f ca="1">IF(AND(Scharniere[[#This Row],[Scharnierart]]=select!$A$1487,Scharniere[[#This Row],[Gruppenschlüssel]]=select!$B$1487)=TRUE,1,0)</f>
        <v>0</v>
      </c>
      <c r="AH910" s="451">
        <f ca="1">IF(AND(Scharniere[[#This Row],[Scharnierart]]=select!$A$1488,Scharniere[[#This Row],[Gruppenschlüssel]]=select!$B$1488)=TRUE,1,0)</f>
        <v>0</v>
      </c>
      <c r="AI910" s="451">
        <f ca="1">IF(SUM(Scharniere[[#This Row],[konf Scharnier 1]:[konf Scharnier 4]])&gt;0,1,0)</f>
        <v>0</v>
      </c>
      <c r="AJ910" s="451"/>
      <c r="AK910" s="451"/>
      <c r="AL910" s="451"/>
      <c r="AM910" s="451"/>
      <c r="AN910" s="451"/>
      <c r="AO910" s="146">
        <v>2</v>
      </c>
      <c r="AP910" s="146">
        <v>7</v>
      </c>
      <c r="AQ910" s="71" t="str">
        <f ca="1">Sprache!$A$114</f>
        <v>Tiomos Scharnier TT Click-on</v>
      </c>
      <c r="AR910" t="str">
        <f ca="1">"110/45°, G-BB, "&amp;Sprache!$A$58&amp;" ni"</f>
        <v>110/45°, G-BB, aufl. ni</v>
      </c>
      <c r="AS910" t="str">
        <f ca="1">Sprache!$A$103</f>
        <v>Tiomos Click-On Scharniere</v>
      </c>
      <c r="AT910" t="s">
        <v>1264</v>
      </c>
      <c r="AU910" t="s">
        <v>9</v>
      </c>
      <c r="AV910" t="s">
        <v>1489</v>
      </c>
      <c r="AW910" s="71">
        <v>0</v>
      </c>
      <c r="AX910">
        <v>0</v>
      </c>
      <c r="AY910">
        <v>1</v>
      </c>
      <c r="AZ910" s="71">
        <v>1</v>
      </c>
      <c r="BA910">
        <v>0</v>
      </c>
      <c r="BB910">
        <v>0</v>
      </c>
      <c r="BC910">
        <v>0</v>
      </c>
      <c r="BD910" s="144" t="s">
        <v>1715</v>
      </c>
      <c r="BF910" s="10"/>
      <c r="BG910"/>
    </row>
    <row r="911" spans="1:59" ht="14.25" customHeight="1" x14ac:dyDescent="0.25">
      <c r="A911" s="37" t="str">
        <f>LEFT(Scharniere[[#This Row],[ArtikelNR]],4)</f>
        <v>F017</v>
      </c>
      <c r="B911" s="35" t="str">
        <f>MID(Scharniere[[#This Row],[ArtikelNR]],5,3)</f>
        <v>139</v>
      </c>
      <c r="C911" s="37" t="str">
        <f>RIGHT(Scharniere[[#This Row],[ArtikelNR]],3)</f>
        <v>424</v>
      </c>
      <c r="D911" s="35">
        <f>IF(AND(Scharniere[[#This Row],[Gruppenschlüssel]]=select!$A$44,Scharniere[[#This Row],[Scharnierart]]=1)=TRUE,1,0)</f>
        <v>0</v>
      </c>
      <c r="E9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1" s="35">
        <f>IF(select!$F$57=IF(Scharniere[[#This Row],[mit Dämpfung]]=1,1,IF(Scharniere[[#This Row],[ohne Dämpfung]]=1,2,IF(Scharniere[[#This Row],[ohne Feder]]=1,3,0))),1,0)</f>
        <v>0</v>
      </c>
      <c r="G911" s="35">
        <f>IF(Scharniere[[#This Row],[Bohrbild]]=select!$V$43,1,0)</f>
        <v>0</v>
      </c>
      <c r="H911" s="35">
        <f>IF(IF(Scharniere[[#This Row],[Anschrauben]]=1,1,IF(Scharniere[[#This Row],[Einpressen]]=1,2,IF(Scharniere[[#This Row],[Quick]]=1,3,IF(Scharniere[[#This Row],[Werkzeuglos]]=1,4,0))))=select!$F$48,1,0)</f>
        <v>0</v>
      </c>
      <c r="I9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1" s="149">
        <f>IF(AND(Scharniere[[#This Row],[Scharnierart]]=2,Scharniere[[#This Row],[Gruppenschlüssel]]=select!$A$318)=TRUE,1,0)</f>
        <v>0</v>
      </c>
      <c r="K911" s="221">
        <f ca="1">IF(select!$O$424&lt;6,1,0)</f>
        <v>1</v>
      </c>
      <c r="L911" s="221">
        <f>IF(select!$A$362=IF(Scharniere[[#This Row],[mit Dämpfung]]=1,1,IF(Scharniere[[#This Row],[ohne Dämpfung]]=1,2,IF(Scharniere[[#This Row],[ohne Feder]]=1,3,0))),1,0)</f>
        <v>1</v>
      </c>
      <c r="M911" s="135">
        <f>IF(Scharniere[[#This Row],[Bohrbild]]=select!$O$334,1,0)</f>
        <v>0</v>
      </c>
      <c r="N911" s="135">
        <f>IF(IF(Scharniere[[#This Row],[Anschrauben]]=1,1,IF(Scharniere[[#This Row],[Einpressen]]=1,2,IF(Scharniere[[#This Row],[Quick]]=1,3,IF(Scharniere[[#This Row],[Werkzeuglos]]=1,4,0))))=select!$E$362,1,0)</f>
        <v>0</v>
      </c>
      <c r="O9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1" s="298">
        <f>IF(AND(Scharniere[[#This Row],[Scharnierart]]=3,Scharniere[[#This Row],[Gruppenschlüssel]]=select!$A$747)=TRUE,1,0)</f>
        <v>0</v>
      </c>
      <c r="Q911" s="298">
        <f ca="1">IF(select!$O$945&lt;6,1,0)</f>
        <v>1</v>
      </c>
      <c r="R911" s="298">
        <f>IF(select!$A$778=IF(Scharniere[[#This Row],[mit Dämpfung]]=1,1,IF(Scharniere[[#This Row],[ohne Dämpfung]]=1,2,IF(Scharniere[[#This Row],[ohne Feder]]=1,3,0))),1,0)</f>
        <v>0</v>
      </c>
      <c r="S911" s="298">
        <f>IF(Scharniere[[#This Row],[Bohrbild]]=select!$A$755,1,0)</f>
        <v>0</v>
      </c>
      <c r="T911" s="298">
        <f>IF(IF(Scharniere[[#This Row],[Anschrauben]]=1,1,IF(Scharniere[[#This Row],[Einpressen]]=1,2,IF(Scharniere[[#This Row],[Quick]]=1,3,IF(Scharniere[[#This Row],[Werkzeuglos]]=1,4,0))))=select!$A$769,1,0)</f>
        <v>0</v>
      </c>
      <c r="U9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1" s="359">
        <f>IF(AND(Scharniere[[#This Row],[Scharnierart]]=4,Scharniere[[#This Row],[Gruppenschlüssel]]=select!$A$981)=TRUE,1,0)</f>
        <v>0</v>
      </c>
      <c r="W911" s="359">
        <f ca="1">IF(select!$O$1185&lt;6,1,0)</f>
        <v>1</v>
      </c>
      <c r="X911" s="359">
        <f>IF(select!$A$1012=IF(Scharniere[[#This Row],[mit Dämpfung]]=1,1,IF(Scharniere[[#This Row],[ohne Dämpfung]]=1,2,IF(Scharniere[[#This Row],[ohne Feder]]=1,3,0))),1,0)</f>
        <v>0</v>
      </c>
      <c r="Y911" s="359">
        <f>IF(Scharniere[[#This Row],[Bohrbild]]=select!$A$989,1,0)</f>
        <v>0</v>
      </c>
      <c r="Z911" s="359">
        <f>IF(IF(Scharniere[[#This Row],[Anschrauben]]=1,1,IF(Scharniere[[#This Row],[Einpressen]]=1,2,IF(Scharniere[[#This Row],[Quick]]=1,3,IF(Scharniere[[#This Row],[Werkzeuglos]]=1,4,0))))=select!$A$1003,1,0)</f>
        <v>0</v>
      </c>
      <c r="AA9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1" s="359">
        <f ca="1">IF(select!$K$980="*",Scharniere[[#This Row],[AG Ges2]],Scharniere[[#This Row],[AG Ges1]])</f>
        <v>0</v>
      </c>
      <c r="AE911" s="451">
        <f ca="1">IF(AND(Scharniere[[#This Row],[Scharnierart]]=select!$A$1485,Scharniere[[#This Row],[Gruppenschlüssel]]=select!$B$1485)=TRUE,1,0)</f>
        <v>0</v>
      </c>
      <c r="AF911" s="451">
        <f ca="1">IF(AND(Scharniere[[#This Row],[Scharnierart]]=select!$A$1486,Scharniere[[#This Row],[Gruppenschlüssel]]=select!$B$1486)=TRUE,1,0)</f>
        <v>0</v>
      </c>
      <c r="AG911" s="451">
        <f ca="1">IF(AND(Scharniere[[#This Row],[Scharnierart]]=select!$A$1487,Scharniere[[#This Row],[Gruppenschlüssel]]=select!$B$1487)=TRUE,1,0)</f>
        <v>0</v>
      </c>
      <c r="AH911" s="451">
        <f ca="1">IF(AND(Scharniere[[#This Row],[Scharnierart]]=select!$A$1488,Scharniere[[#This Row],[Gruppenschlüssel]]=select!$B$1488)=TRUE,1,0)</f>
        <v>0</v>
      </c>
      <c r="AI911" s="451">
        <f ca="1">IF(SUM(Scharniere[[#This Row],[konf Scharnier 1]:[konf Scharnier 4]])&gt;0,1,0)</f>
        <v>0</v>
      </c>
      <c r="AJ911" s="451"/>
      <c r="AK911" s="451"/>
      <c r="AL911" s="451"/>
      <c r="AM911" s="451"/>
      <c r="AN911" s="451"/>
      <c r="AO911" s="146">
        <v>2</v>
      </c>
      <c r="AP911" s="146">
        <v>7</v>
      </c>
      <c r="AQ911" s="71" t="str">
        <f ca="1">Sprache!$A$113</f>
        <v>Tiomos Scharnier TS Impresso</v>
      </c>
      <c r="AR911" t="str">
        <f ca="1">"110/45°, GB-BB, "&amp;Sprache!$A$58&amp;" ni"</f>
        <v>110/45°, GB-BB, aufl. ni</v>
      </c>
      <c r="AS911" t="str">
        <f ca="1">Sprache!$A$116</f>
        <v>Tiomos Impresso Scharniere</v>
      </c>
      <c r="AT911" t="s">
        <v>1264</v>
      </c>
      <c r="AU911" t="s">
        <v>9</v>
      </c>
      <c r="AV911" t="s">
        <v>1489</v>
      </c>
      <c r="AW911" s="71">
        <v>1</v>
      </c>
      <c r="AX911">
        <v>0</v>
      </c>
      <c r="AY911">
        <v>0</v>
      </c>
      <c r="AZ911" s="71">
        <v>0</v>
      </c>
      <c r="BA911">
        <v>0</v>
      </c>
      <c r="BB911">
        <v>0</v>
      </c>
      <c r="BC911">
        <v>1</v>
      </c>
      <c r="BD911" s="144" t="s">
        <v>1504</v>
      </c>
      <c r="BF911" s="10"/>
      <c r="BG911"/>
    </row>
    <row r="912" spans="1:59" ht="14.25" customHeight="1" x14ac:dyDescent="0.25">
      <c r="A912" s="37" t="str">
        <f>LEFT(Scharniere[[#This Row],[ArtikelNR]],4)</f>
        <v>F017</v>
      </c>
      <c r="B912" s="35" t="str">
        <f>MID(Scharniere[[#This Row],[ArtikelNR]],5,3)</f>
        <v>139</v>
      </c>
      <c r="C912" s="37" t="str">
        <f>RIGHT(Scharniere[[#This Row],[ArtikelNR]],3)</f>
        <v>424</v>
      </c>
      <c r="D912" s="35">
        <f>IF(AND(Scharniere[[#This Row],[Gruppenschlüssel]]=select!$A$44,Scharniere[[#This Row],[Scharnierart]]=1)=TRUE,1,0)</f>
        <v>0</v>
      </c>
      <c r="E9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2" s="35">
        <f>IF(select!$F$57=IF(Scharniere[[#This Row],[mit Dämpfung]]=1,1,IF(Scharniere[[#This Row],[ohne Dämpfung]]=1,2,IF(Scharniere[[#This Row],[ohne Feder]]=1,3,0))),1,0)</f>
        <v>0</v>
      </c>
      <c r="G912" s="35">
        <f>IF(Scharniere[[#This Row],[Bohrbild]]=select!$V$43,1,0)</f>
        <v>0</v>
      </c>
      <c r="H912" s="35">
        <f>IF(IF(Scharniere[[#This Row],[Anschrauben]]=1,1,IF(Scharniere[[#This Row],[Einpressen]]=1,2,IF(Scharniere[[#This Row],[Quick]]=1,3,IF(Scharniere[[#This Row],[Werkzeuglos]]=1,4,0))))=select!$F$48,1,0)</f>
        <v>0</v>
      </c>
      <c r="I9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2" s="149">
        <f>IF(AND(Scharniere[[#This Row],[Scharnierart]]=2,Scharniere[[#This Row],[Gruppenschlüssel]]=select!$A$318)=TRUE,1,0)</f>
        <v>0</v>
      </c>
      <c r="K912" s="221">
        <f ca="1">IF(select!$O$424&lt;6,1,0)</f>
        <v>1</v>
      </c>
      <c r="L912" s="221">
        <f>IF(select!$A$362=IF(Scharniere[[#This Row],[mit Dämpfung]]=1,1,IF(Scharniere[[#This Row],[ohne Dämpfung]]=1,2,IF(Scharniere[[#This Row],[ohne Feder]]=1,3,0))),1,0)</f>
        <v>1</v>
      </c>
      <c r="M912" s="135">
        <f>IF(Scharniere[[#This Row],[Bohrbild]]=select!$O$334,1,0)</f>
        <v>0</v>
      </c>
      <c r="N912" s="135">
        <f>IF(IF(Scharniere[[#This Row],[Anschrauben]]=1,1,IF(Scharniere[[#This Row],[Einpressen]]=1,2,IF(Scharniere[[#This Row],[Quick]]=1,3,IF(Scharniere[[#This Row],[Werkzeuglos]]=1,4,0))))=select!$E$362,1,0)</f>
        <v>0</v>
      </c>
      <c r="O9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2" s="298">
        <f>IF(AND(Scharniere[[#This Row],[Scharnierart]]=3,Scharniere[[#This Row],[Gruppenschlüssel]]=select!$A$747)=TRUE,1,0)</f>
        <v>0</v>
      </c>
      <c r="Q912" s="298">
        <f ca="1">IF(select!$O$945&lt;6,1,0)</f>
        <v>1</v>
      </c>
      <c r="R912" s="298">
        <f>IF(select!$A$778=IF(Scharniere[[#This Row],[mit Dämpfung]]=1,1,IF(Scharniere[[#This Row],[ohne Dämpfung]]=1,2,IF(Scharniere[[#This Row],[ohne Feder]]=1,3,0))),1,0)</f>
        <v>0</v>
      </c>
      <c r="S912" s="298">
        <f>IF(Scharniere[[#This Row],[Bohrbild]]=select!$A$755,1,0)</f>
        <v>0</v>
      </c>
      <c r="T912" s="298">
        <f>IF(IF(Scharniere[[#This Row],[Anschrauben]]=1,1,IF(Scharniere[[#This Row],[Einpressen]]=1,2,IF(Scharniere[[#This Row],[Quick]]=1,3,IF(Scharniere[[#This Row],[Werkzeuglos]]=1,4,0))))=select!$A$769,1,0)</f>
        <v>0</v>
      </c>
      <c r="U9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2" s="359">
        <f>IF(AND(Scharniere[[#This Row],[Scharnierart]]=4,Scharniere[[#This Row],[Gruppenschlüssel]]=select!$A$981)=TRUE,1,0)</f>
        <v>0</v>
      </c>
      <c r="W912" s="359">
        <f ca="1">IF(select!$O$1185&lt;6,1,0)</f>
        <v>1</v>
      </c>
      <c r="X912" s="359">
        <f>IF(select!$A$1012=IF(Scharniere[[#This Row],[mit Dämpfung]]=1,1,IF(Scharniere[[#This Row],[ohne Dämpfung]]=1,2,IF(Scharniere[[#This Row],[ohne Feder]]=1,3,0))),1,0)</f>
        <v>0</v>
      </c>
      <c r="Y912" s="359">
        <f>IF(Scharniere[[#This Row],[Bohrbild]]=select!$A$989,1,0)</f>
        <v>0</v>
      </c>
      <c r="Z912" s="359">
        <f>IF(IF(Scharniere[[#This Row],[Anschrauben]]=1,1,IF(Scharniere[[#This Row],[Einpressen]]=1,2,IF(Scharniere[[#This Row],[Quick]]=1,3,IF(Scharniere[[#This Row],[Werkzeuglos]]=1,4,0))))=select!$A$1003,1,0)</f>
        <v>0</v>
      </c>
      <c r="AA9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2" s="359">
        <f ca="1">IF(select!$K$980="*",Scharniere[[#This Row],[AG Ges2]],Scharniere[[#This Row],[AG Ges1]])</f>
        <v>0</v>
      </c>
      <c r="AE912" s="451">
        <f ca="1">IF(AND(Scharniere[[#This Row],[Scharnierart]]=select!$A$1485,Scharniere[[#This Row],[Gruppenschlüssel]]=select!$B$1485)=TRUE,1,0)</f>
        <v>0</v>
      </c>
      <c r="AF912" s="451">
        <f ca="1">IF(AND(Scharniere[[#This Row],[Scharnierart]]=select!$A$1486,Scharniere[[#This Row],[Gruppenschlüssel]]=select!$B$1486)=TRUE,1,0)</f>
        <v>0</v>
      </c>
      <c r="AG912" s="451">
        <f ca="1">IF(AND(Scharniere[[#This Row],[Scharnierart]]=select!$A$1487,Scharniere[[#This Row],[Gruppenschlüssel]]=select!$B$1487)=TRUE,1,0)</f>
        <v>0</v>
      </c>
      <c r="AH912" s="451">
        <f ca="1">IF(AND(Scharniere[[#This Row],[Scharnierart]]=select!$A$1488,Scharniere[[#This Row],[Gruppenschlüssel]]=select!$B$1488)=TRUE,1,0)</f>
        <v>0</v>
      </c>
      <c r="AI912" s="451">
        <f ca="1">IF(SUM(Scharniere[[#This Row],[konf Scharnier 1]:[konf Scharnier 4]])&gt;0,1,0)</f>
        <v>0</v>
      </c>
      <c r="AJ912" s="451"/>
      <c r="AK912" s="451"/>
      <c r="AL912" s="451"/>
      <c r="AM912" s="451"/>
      <c r="AN912" s="451"/>
      <c r="AO912" s="146">
        <v>2</v>
      </c>
      <c r="AP912" s="146">
        <v>7</v>
      </c>
      <c r="AQ912" s="71" t="str">
        <f ca="1">Sprache!$A$113</f>
        <v>Tiomos Scharnier TS Impresso</v>
      </c>
      <c r="AR912" t="str">
        <f ca="1">"110/45°, GB-BB, "&amp;Sprache!$A$58&amp;" ni"</f>
        <v>110/45°, GB-BB, aufl. ni</v>
      </c>
      <c r="AS912" t="str">
        <f ca="1">Sprache!$A$116</f>
        <v>Tiomos Impresso Scharniere</v>
      </c>
      <c r="AT912" t="s">
        <v>1264</v>
      </c>
      <c r="AU912" t="s">
        <v>3</v>
      </c>
      <c r="AV912" t="s">
        <v>1489</v>
      </c>
      <c r="AW912" s="71">
        <v>1</v>
      </c>
      <c r="AX912">
        <v>0</v>
      </c>
      <c r="AY912">
        <v>0</v>
      </c>
      <c r="AZ912" s="71">
        <v>0</v>
      </c>
      <c r="BA912">
        <v>0</v>
      </c>
      <c r="BB912">
        <v>0</v>
      </c>
      <c r="BC912">
        <v>1</v>
      </c>
      <c r="BD912" s="144" t="s">
        <v>1504</v>
      </c>
      <c r="BF912" s="10"/>
      <c r="BG912"/>
    </row>
    <row r="913" spans="1:59" ht="14.25" customHeight="1" x14ac:dyDescent="0.25">
      <c r="A913" s="37" t="str">
        <f>LEFT(Scharniere[[#This Row],[ArtikelNR]],4)</f>
        <v>F034</v>
      </c>
      <c r="B913" s="35" t="str">
        <f>MID(Scharniere[[#This Row],[ArtikelNR]],5,3)</f>
        <v>139</v>
      </c>
      <c r="C913" s="37" t="str">
        <f>RIGHT(Scharniere[[#This Row],[ArtikelNR]],3)</f>
        <v>395</v>
      </c>
      <c r="D913" s="35">
        <f>IF(AND(Scharniere[[#This Row],[Gruppenschlüssel]]=select!$A$44,Scharniere[[#This Row],[Scharnierart]]=1)=TRUE,1,0)</f>
        <v>0</v>
      </c>
      <c r="E9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3" s="35">
        <f>IF(select!$F$57=IF(Scharniere[[#This Row],[mit Dämpfung]]=1,1,IF(Scharniere[[#This Row],[ohne Dämpfung]]=1,2,IF(Scharniere[[#This Row],[ohne Feder]]=1,3,0))),1,0)</f>
        <v>0</v>
      </c>
      <c r="G913" s="35">
        <f>IF(Scharniere[[#This Row],[Bohrbild]]=select!$V$43,1,0)</f>
        <v>0</v>
      </c>
      <c r="H913" s="35">
        <f>IF(IF(Scharniere[[#This Row],[Anschrauben]]=1,1,IF(Scharniere[[#This Row],[Einpressen]]=1,2,IF(Scharniere[[#This Row],[Quick]]=1,3,IF(Scharniere[[#This Row],[Werkzeuglos]]=1,4,0))))=select!$F$48,1,0)</f>
        <v>0</v>
      </c>
      <c r="I9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3" s="149">
        <f>IF(AND(Scharniere[[#This Row],[Scharnierart]]=2,Scharniere[[#This Row],[Gruppenschlüssel]]=select!$A$318)=TRUE,1,0)</f>
        <v>0</v>
      </c>
      <c r="K913" s="221">
        <f ca="1">IF(select!$O$424&lt;6,1,0)</f>
        <v>1</v>
      </c>
      <c r="L913" s="221">
        <f>IF(select!$A$362=IF(Scharniere[[#This Row],[mit Dämpfung]]=1,1,IF(Scharniere[[#This Row],[ohne Dämpfung]]=1,2,IF(Scharniere[[#This Row],[ohne Feder]]=1,3,0))),1,0)</f>
        <v>0</v>
      </c>
      <c r="M913" s="135">
        <f>IF(Scharniere[[#This Row],[Bohrbild]]=select!$O$334,1,0)</f>
        <v>0</v>
      </c>
      <c r="N913" s="135">
        <f>IF(IF(Scharniere[[#This Row],[Anschrauben]]=1,1,IF(Scharniere[[#This Row],[Einpressen]]=1,2,IF(Scharniere[[#This Row],[Quick]]=1,3,IF(Scharniere[[#This Row],[Werkzeuglos]]=1,4,0))))=select!$E$362,1,0)</f>
        <v>0</v>
      </c>
      <c r="O9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3" s="298">
        <f>IF(AND(Scharniere[[#This Row],[Scharnierart]]=3,Scharniere[[#This Row],[Gruppenschlüssel]]=select!$A$747)=TRUE,1,0)</f>
        <v>0</v>
      </c>
      <c r="Q913" s="298">
        <f ca="1">IF(select!$O$945&lt;6,1,0)</f>
        <v>1</v>
      </c>
      <c r="R913" s="298">
        <f>IF(select!$A$778=IF(Scharniere[[#This Row],[mit Dämpfung]]=1,1,IF(Scharniere[[#This Row],[ohne Dämpfung]]=1,2,IF(Scharniere[[#This Row],[ohne Feder]]=1,3,0))),1,0)</f>
        <v>1</v>
      </c>
      <c r="S913" s="298">
        <f>IF(Scharniere[[#This Row],[Bohrbild]]=select!$A$755,1,0)</f>
        <v>0</v>
      </c>
      <c r="T913" s="298">
        <f>IF(IF(Scharniere[[#This Row],[Anschrauben]]=1,1,IF(Scharniere[[#This Row],[Einpressen]]=1,2,IF(Scharniere[[#This Row],[Quick]]=1,3,IF(Scharniere[[#This Row],[Werkzeuglos]]=1,4,0))))=select!$A$769,1,0)</f>
        <v>0</v>
      </c>
      <c r="U9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3" s="359">
        <f>IF(AND(Scharniere[[#This Row],[Scharnierart]]=4,Scharniere[[#This Row],[Gruppenschlüssel]]=select!$A$981)=TRUE,1,0)</f>
        <v>0</v>
      </c>
      <c r="W913" s="359">
        <f ca="1">IF(select!$O$1185&lt;6,1,0)</f>
        <v>1</v>
      </c>
      <c r="X913" s="359">
        <f>IF(select!$A$1012=IF(Scharniere[[#This Row],[mit Dämpfung]]=1,1,IF(Scharniere[[#This Row],[ohne Dämpfung]]=1,2,IF(Scharniere[[#This Row],[ohne Feder]]=1,3,0))),1,0)</f>
        <v>1</v>
      </c>
      <c r="Y913" s="359">
        <f>IF(Scharniere[[#This Row],[Bohrbild]]=select!$A$989,1,0)</f>
        <v>0</v>
      </c>
      <c r="Z913" s="359">
        <f>IF(IF(Scharniere[[#This Row],[Anschrauben]]=1,1,IF(Scharniere[[#This Row],[Einpressen]]=1,2,IF(Scharniere[[#This Row],[Quick]]=1,3,IF(Scharniere[[#This Row],[Werkzeuglos]]=1,4,0))))=select!$A$1003,1,0)</f>
        <v>0</v>
      </c>
      <c r="AA9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3" s="359">
        <f ca="1">IF(select!$K$980="*",Scharniere[[#This Row],[AG Ges2]],Scharniere[[#This Row],[AG Ges1]])</f>
        <v>0</v>
      </c>
      <c r="AE913" s="451">
        <f ca="1">IF(AND(Scharniere[[#This Row],[Scharnierart]]=select!$A$1485,Scharniere[[#This Row],[Gruppenschlüssel]]=select!$B$1485)=TRUE,1,0)</f>
        <v>0</v>
      </c>
      <c r="AF913" s="451">
        <f ca="1">IF(AND(Scharniere[[#This Row],[Scharnierart]]=select!$A$1486,Scharniere[[#This Row],[Gruppenschlüssel]]=select!$B$1486)=TRUE,1,0)</f>
        <v>0</v>
      </c>
      <c r="AG913" s="451">
        <f ca="1">IF(AND(Scharniere[[#This Row],[Scharnierart]]=select!$A$1487,Scharniere[[#This Row],[Gruppenschlüssel]]=select!$B$1487)=TRUE,1,0)</f>
        <v>0</v>
      </c>
      <c r="AH913" s="451">
        <f ca="1">IF(AND(Scharniere[[#This Row],[Scharnierart]]=select!$A$1488,Scharniere[[#This Row],[Gruppenschlüssel]]=select!$B$1488)=TRUE,1,0)</f>
        <v>0</v>
      </c>
      <c r="AI913" s="451">
        <f ca="1">IF(SUM(Scharniere[[#This Row],[konf Scharnier 1]:[konf Scharnier 4]])&gt;0,1,0)</f>
        <v>0</v>
      </c>
      <c r="AJ913" s="451"/>
      <c r="AK913" s="451"/>
      <c r="AL913" s="451"/>
      <c r="AM913" s="451"/>
      <c r="AN913" s="451"/>
      <c r="AO913" s="146">
        <v>2</v>
      </c>
      <c r="AP913" s="146">
        <v>7</v>
      </c>
      <c r="AQ913" s="71" t="str">
        <f ca="1">Sprache!$A$119</f>
        <v>Tiomos Scharnier T Impresso</v>
      </c>
      <c r="AR913" t="str">
        <f ca="1">"110/45°, GB-BB, "&amp;Sprache!$A$58&amp;" ni"</f>
        <v>110/45°, GB-BB, aufl. ni</v>
      </c>
      <c r="AS913" t="str">
        <f ca="1">Sprache!$A$103</f>
        <v>Tiomos Click-On Scharniere</v>
      </c>
      <c r="AT913" t="s">
        <v>1264</v>
      </c>
      <c r="AU913" t="s">
        <v>9</v>
      </c>
      <c r="AV913" t="s">
        <v>1489</v>
      </c>
      <c r="AW913" s="71">
        <v>0</v>
      </c>
      <c r="AX913">
        <v>1</v>
      </c>
      <c r="AY913">
        <v>0</v>
      </c>
      <c r="AZ913" s="71">
        <v>0</v>
      </c>
      <c r="BA913">
        <v>0</v>
      </c>
      <c r="BB913">
        <v>0</v>
      </c>
      <c r="BC913">
        <v>1</v>
      </c>
      <c r="BD913" s="144" t="s">
        <v>1760</v>
      </c>
      <c r="BF913" s="10"/>
      <c r="BG913"/>
    </row>
    <row r="914" spans="1:59" ht="14.25" customHeight="1" x14ac:dyDescent="0.25">
      <c r="A914" s="37" t="str">
        <f>LEFT(Scharniere[[#This Row],[ArtikelNR]],4)</f>
        <v>F034</v>
      </c>
      <c r="B914" s="35" t="str">
        <f>MID(Scharniere[[#This Row],[ArtikelNR]],5,3)</f>
        <v>139</v>
      </c>
      <c r="C914" s="37" t="str">
        <f>RIGHT(Scharniere[[#This Row],[ArtikelNR]],3)</f>
        <v>395</v>
      </c>
      <c r="D914" s="35">
        <f>IF(AND(Scharniere[[#This Row],[Gruppenschlüssel]]=select!$A$44,Scharniere[[#This Row],[Scharnierart]]=1)=TRUE,1,0)</f>
        <v>0</v>
      </c>
      <c r="E9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4" s="35">
        <f>IF(select!$F$57=IF(Scharniere[[#This Row],[mit Dämpfung]]=1,1,IF(Scharniere[[#This Row],[ohne Dämpfung]]=1,2,IF(Scharniere[[#This Row],[ohne Feder]]=1,3,0))),1,0)</f>
        <v>0</v>
      </c>
      <c r="G914" s="35">
        <f>IF(Scharniere[[#This Row],[Bohrbild]]=select!$V$43,1,0)</f>
        <v>0</v>
      </c>
      <c r="H914" s="35">
        <f>IF(IF(Scharniere[[#This Row],[Anschrauben]]=1,1,IF(Scharniere[[#This Row],[Einpressen]]=1,2,IF(Scharniere[[#This Row],[Quick]]=1,3,IF(Scharniere[[#This Row],[Werkzeuglos]]=1,4,0))))=select!$F$48,1,0)</f>
        <v>0</v>
      </c>
      <c r="I9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4" s="149">
        <f>IF(AND(Scharniere[[#This Row],[Scharnierart]]=2,Scharniere[[#This Row],[Gruppenschlüssel]]=select!$A$318)=TRUE,1,0)</f>
        <v>0</v>
      </c>
      <c r="K914" s="221">
        <f ca="1">IF(select!$O$424&lt;6,1,0)</f>
        <v>1</v>
      </c>
      <c r="L914" s="221">
        <f>IF(select!$A$362=IF(Scharniere[[#This Row],[mit Dämpfung]]=1,1,IF(Scharniere[[#This Row],[ohne Dämpfung]]=1,2,IF(Scharniere[[#This Row],[ohne Feder]]=1,3,0))),1,0)</f>
        <v>0</v>
      </c>
      <c r="M914" s="135">
        <f>IF(Scharniere[[#This Row],[Bohrbild]]=select!$O$334,1,0)</f>
        <v>0</v>
      </c>
      <c r="N914" s="135">
        <f>IF(IF(Scharniere[[#This Row],[Anschrauben]]=1,1,IF(Scharniere[[#This Row],[Einpressen]]=1,2,IF(Scharniere[[#This Row],[Quick]]=1,3,IF(Scharniere[[#This Row],[Werkzeuglos]]=1,4,0))))=select!$E$362,1,0)</f>
        <v>0</v>
      </c>
      <c r="O9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4" s="298">
        <f>IF(AND(Scharniere[[#This Row],[Scharnierart]]=3,Scharniere[[#This Row],[Gruppenschlüssel]]=select!$A$747)=TRUE,1,0)</f>
        <v>0</v>
      </c>
      <c r="Q914" s="298">
        <f ca="1">IF(select!$O$945&lt;6,1,0)</f>
        <v>1</v>
      </c>
      <c r="R914" s="298">
        <f>IF(select!$A$778=IF(Scharniere[[#This Row],[mit Dämpfung]]=1,1,IF(Scharniere[[#This Row],[ohne Dämpfung]]=1,2,IF(Scharniere[[#This Row],[ohne Feder]]=1,3,0))),1,0)</f>
        <v>1</v>
      </c>
      <c r="S914" s="298">
        <f>IF(Scharniere[[#This Row],[Bohrbild]]=select!$A$755,1,0)</f>
        <v>0</v>
      </c>
      <c r="T914" s="298">
        <f>IF(IF(Scharniere[[#This Row],[Anschrauben]]=1,1,IF(Scharniere[[#This Row],[Einpressen]]=1,2,IF(Scharniere[[#This Row],[Quick]]=1,3,IF(Scharniere[[#This Row],[Werkzeuglos]]=1,4,0))))=select!$A$769,1,0)</f>
        <v>0</v>
      </c>
      <c r="U9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4" s="359">
        <f>IF(AND(Scharniere[[#This Row],[Scharnierart]]=4,Scharniere[[#This Row],[Gruppenschlüssel]]=select!$A$981)=TRUE,1,0)</f>
        <v>0</v>
      </c>
      <c r="W914" s="359">
        <f ca="1">IF(select!$O$1185&lt;6,1,0)</f>
        <v>1</v>
      </c>
      <c r="X914" s="359">
        <f>IF(select!$A$1012=IF(Scharniere[[#This Row],[mit Dämpfung]]=1,1,IF(Scharniere[[#This Row],[ohne Dämpfung]]=1,2,IF(Scharniere[[#This Row],[ohne Feder]]=1,3,0))),1,0)</f>
        <v>1</v>
      </c>
      <c r="Y914" s="359">
        <f>IF(Scharniere[[#This Row],[Bohrbild]]=select!$A$989,1,0)</f>
        <v>0</v>
      </c>
      <c r="Z914" s="359">
        <f>IF(IF(Scharniere[[#This Row],[Anschrauben]]=1,1,IF(Scharniere[[#This Row],[Einpressen]]=1,2,IF(Scharniere[[#This Row],[Quick]]=1,3,IF(Scharniere[[#This Row],[Werkzeuglos]]=1,4,0))))=select!$A$1003,1,0)</f>
        <v>0</v>
      </c>
      <c r="AA9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4" s="359">
        <f ca="1">IF(select!$K$980="*",Scharniere[[#This Row],[AG Ges2]],Scharniere[[#This Row],[AG Ges1]])</f>
        <v>0</v>
      </c>
      <c r="AE914" s="451">
        <f ca="1">IF(AND(Scharniere[[#This Row],[Scharnierart]]=select!$A$1485,Scharniere[[#This Row],[Gruppenschlüssel]]=select!$B$1485)=TRUE,1,0)</f>
        <v>0</v>
      </c>
      <c r="AF914" s="451">
        <f ca="1">IF(AND(Scharniere[[#This Row],[Scharnierart]]=select!$A$1486,Scharniere[[#This Row],[Gruppenschlüssel]]=select!$B$1486)=TRUE,1,0)</f>
        <v>0</v>
      </c>
      <c r="AG914" s="451">
        <f ca="1">IF(AND(Scharniere[[#This Row],[Scharnierart]]=select!$A$1487,Scharniere[[#This Row],[Gruppenschlüssel]]=select!$B$1487)=TRUE,1,0)</f>
        <v>0</v>
      </c>
      <c r="AH914" s="451">
        <f ca="1">IF(AND(Scharniere[[#This Row],[Scharnierart]]=select!$A$1488,Scharniere[[#This Row],[Gruppenschlüssel]]=select!$B$1488)=TRUE,1,0)</f>
        <v>0</v>
      </c>
      <c r="AI914" s="451">
        <f ca="1">IF(SUM(Scharniere[[#This Row],[konf Scharnier 1]:[konf Scharnier 4]])&gt;0,1,0)</f>
        <v>0</v>
      </c>
      <c r="AJ914" s="451"/>
      <c r="AK914" s="451"/>
      <c r="AL914" s="451"/>
      <c r="AM914" s="451"/>
      <c r="AN914" s="451"/>
      <c r="AO914" s="146">
        <v>2</v>
      </c>
      <c r="AP914" s="146">
        <v>7</v>
      </c>
      <c r="AQ914" s="71" t="str">
        <f ca="1">Sprache!$A$119</f>
        <v>Tiomos Scharnier T Impresso</v>
      </c>
      <c r="AR914" t="str">
        <f ca="1">"110/45°, GB-BB, "&amp;Sprache!$A$58&amp;" ni"</f>
        <v>110/45°, GB-BB, aufl. ni</v>
      </c>
      <c r="AS914" t="str">
        <f ca="1">Sprache!$A$103</f>
        <v>Tiomos Click-On Scharniere</v>
      </c>
      <c r="AT914" t="s">
        <v>1264</v>
      </c>
      <c r="AU914" t="s">
        <v>3</v>
      </c>
      <c r="AV914" t="s">
        <v>1489</v>
      </c>
      <c r="AW914" s="71">
        <v>0</v>
      </c>
      <c r="AX914">
        <v>1</v>
      </c>
      <c r="AY914">
        <v>0</v>
      </c>
      <c r="AZ914" s="71">
        <v>0</v>
      </c>
      <c r="BA914">
        <v>0</v>
      </c>
      <c r="BB914">
        <v>0</v>
      </c>
      <c r="BC914">
        <v>1</v>
      </c>
      <c r="BD914" s="144" t="s">
        <v>1760</v>
      </c>
      <c r="BF914" s="10"/>
      <c r="BG914"/>
    </row>
    <row r="915" spans="1:59" ht="14.25" customHeight="1" x14ac:dyDescent="0.25">
      <c r="A915" s="37" t="str">
        <f>LEFT(Scharniere[[#This Row],[ArtikelNR]],4)</f>
        <v>F028</v>
      </c>
      <c r="B915" s="35" t="str">
        <f>MID(Scharniere[[#This Row],[ArtikelNR]],5,3)</f>
        <v>138</v>
      </c>
      <c r="C915" s="37" t="str">
        <f>RIGHT(Scharniere[[#This Row],[ArtikelNR]],3)</f>
        <v>715</v>
      </c>
      <c r="D915" s="35">
        <f>IF(AND(Scharniere[[#This Row],[Gruppenschlüssel]]=select!$A$44,Scharniere[[#This Row],[Scharnierart]]=1)=TRUE,1,0)</f>
        <v>0</v>
      </c>
      <c r="E9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5" s="35">
        <f>IF(select!$F$57=IF(Scharniere[[#This Row],[mit Dämpfung]]=1,1,IF(Scharniere[[#This Row],[ohne Dämpfung]]=1,2,IF(Scharniere[[#This Row],[ohne Feder]]=1,3,0))),1,0)</f>
        <v>0</v>
      </c>
      <c r="G915" s="35">
        <f>IF(Scharniere[[#This Row],[Bohrbild]]=select!$V$43,1,0)</f>
        <v>0</v>
      </c>
      <c r="H915" s="35">
        <f>IF(IF(Scharniere[[#This Row],[Anschrauben]]=1,1,IF(Scharniere[[#This Row],[Einpressen]]=1,2,IF(Scharniere[[#This Row],[Quick]]=1,3,IF(Scharniere[[#This Row],[Werkzeuglos]]=1,4,0))))=select!$F$48,1,0)</f>
        <v>0</v>
      </c>
      <c r="I9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5" s="149">
        <f>IF(AND(Scharniere[[#This Row],[Scharnierart]]=2,Scharniere[[#This Row],[Gruppenschlüssel]]=select!$A$318)=TRUE,1,0)</f>
        <v>0</v>
      </c>
      <c r="K915" s="221">
        <f ca="1">IF(select!$O$424&lt;6,1,0)</f>
        <v>1</v>
      </c>
      <c r="L915" s="221">
        <f>IF(select!$A$362=IF(Scharniere[[#This Row],[mit Dämpfung]]=1,1,IF(Scharniere[[#This Row],[ohne Dämpfung]]=1,2,IF(Scharniere[[#This Row],[ohne Feder]]=1,3,0))),1,0)</f>
        <v>1</v>
      </c>
      <c r="M915" s="135">
        <f>IF(Scharniere[[#This Row],[Bohrbild]]=select!$O$334,1,0)</f>
        <v>0</v>
      </c>
      <c r="N915" s="135">
        <f>IF(IF(Scharniere[[#This Row],[Anschrauben]]=1,1,IF(Scharniere[[#This Row],[Einpressen]]=1,2,IF(Scharniere[[#This Row],[Quick]]=1,3,IF(Scharniere[[#This Row],[Werkzeuglos]]=1,4,0))))=select!$E$362,1,0)</f>
        <v>1</v>
      </c>
      <c r="O9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5" s="298">
        <f>IF(AND(Scharniere[[#This Row],[Scharnierart]]=3,Scharniere[[#This Row],[Gruppenschlüssel]]=select!$A$747)=TRUE,1,0)</f>
        <v>0</v>
      </c>
      <c r="Q915" s="298">
        <f ca="1">IF(select!$O$945&lt;6,1,0)</f>
        <v>1</v>
      </c>
      <c r="R915" s="298">
        <f>IF(select!$A$778=IF(Scharniere[[#This Row],[mit Dämpfung]]=1,1,IF(Scharniere[[#This Row],[ohne Dämpfung]]=1,2,IF(Scharniere[[#This Row],[ohne Feder]]=1,3,0))),1,0)</f>
        <v>0</v>
      </c>
      <c r="S915" s="298">
        <f>IF(Scharniere[[#This Row],[Bohrbild]]=select!$A$755,1,0)</f>
        <v>0</v>
      </c>
      <c r="T915" s="298">
        <f>IF(IF(Scharniere[[#This Row],[Anschrauben]]=1,1,IF(Scharniere[[#This Row],[Einpressen]]=1,2,IF(Scharniere[[#This Row],[Quick]]=1,3,IF(Scharniere[[#This Row],[Werkzeuglos]]=1,4,0))))=select!$A$769,1,0)</f>
        <v>1</v>
      </c>
      <c r="U9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5" s="359">
        <f>IF(AND(Scharniere[[#This Row],[Scharnierart]]=4,Scharniere[[#This Row],[Gruppenschlüssel]]=select!$A$981)=TRUE,1,0)</f>
        <v>0</v>
      </c>
      <c r="W915" s="359">
        <f ca="1">IF(select!$O$1185&lt;6,1,0)</f>
        <v>1</v>
      </c>
      <c r="X915" s="359">
        <f>IF(select!$A$1012=IF(Scharniere[[#This Row],[mit Dämpfung]]=1,1,IF(Scharniere[[#This Row],[ohne Dämpfung]]=1,2,IF(Scharniere[[#This Row],[ohne Feder]]=1,3,0))),1,0)</f>
        <v>0</v>
      </c>
      <c r="Y915" s="359">
        <f>IF(Scharniere[[#This Row],[Bohrbild]]=select!$A$989,1,0)</f>
        <v>0</v>
      </c>
      <c r="Z915" s="359">
        <f>IF(IF(Scharniere[[#This Row],[Anschrauben]]=1,1,IF(Scharniere[[#This Row],[Einpressen]]=1,2,IF(Scharniere[[#This Row],[Quick]]=1,3,IF(Scharniere[[#This Row],[Werkzeuglos]]=1,4,0))))=select!$A$1003,1,0)</f>
        <v>1</v>
      </c>
      <c r="AA9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5" s="359">
        <f ca="1">IF(select!$K$980="*",Scharniere[[#This Row],[AG Ges2]],Scharniere[[#This Row],[AG Ges1]])</f>
        <v>0</v>
      </c>
      <c r="AE915" s="451">
        <f ca="1">IF(AND(Scharniere[[#This Row],[Scharnierart]]=select!$A$1485,Scharniere[[#This Row],[Gruppenschlüssel]]=select!$B$1485)=TRUE,1,0)</f>
        <v>0</v>
      </c>
      <c r="AF915" s="451">
        <f ca="1">IF(AND(Scharniere[[#This Row],[Scharnierart]]=select!$A$1486,Scharniere[[#This Row],[Gruppenschlüssel]]=select!$B$1486)=TRUE,1,0)</f>
        <v>0</v>
      </c>
      <c r="AG915" s="451">
        <f ca="1">IF(AND(Scharniere[[#This Row],[Scharnierart]]=select!$A$1487,Scharniere[[#This Row],[Gruppenschlüssel]]=select!$B$1487)=TRUE,1,0)</f>
        <v>0</v>
      </c>
      <c r="AH915" s="451">
        <f ca="1">IF(AND(Scharniere[[#This Row],[Scharnierart]]=select!$A$1488,Scharniere[[#This Row],[Gruppenschlüssel]]=select!$B$1488)=TRUE,1,0)</f>
        <v>0</v>
      </c>
      <c r="AI915" s="451">
        <f ca="1">IF(SUM(Scharniere[[#This Row],[konf Scharnier 1]:[konf Scharnier 4]])&gt;0,1,0)</f>
        <v>0</v>
      </c>
      <c r="AJ915" s="451"/>
      <c r="AK915" s="451"/>
      <c r="AL915" s="451"/>
      <c r="AM915" s="451"/>
      <c r="AN915" s="451"/>
      <c r="AO915" s="146">
        <v>2</v>
      </c>
      <c r="AP915" s="146">
        <v>7</v>
      </c>
      <c r="AQ915" s="71" t="str">
        <f ca="1">Sprache!$A$112</f>
        <v>Tiomos Scharnier TS Click-on</v>
      </c>
      <c r="AR915" t="str">
        <f ca="1">"110/45°, H-BB, "&amp;Sprache!$A$58&amp;" ni"</f>
        <v>110/45°, H-BB, aufl. ni</v>
      </c>
      <c r="AS915" t="str">
        <f ca="1">Sprache!$A$103</f>
        <v>Tiomos Click-On Scharniere</v>
      </c>
      <c r="AT915" t="s">
        <v>1264</v>
      </c>
      <c r="AU915" t="s">
        <v>10</v>
      </c>
      <c r="AV915" t="s">
        <v>1489</v>
      </c>
      <c r="AW915" s="71">
        <v>1</v>
      </c>
      <c r="AX915">
        <v>0</v>
      </c>
      <c r="AY915">
        <v>0</v>
      </c>
      <c r="AZ915" s="71">
        <v>1</v>
      </c>
      <c r="BA915">
        <v>0</v>
      </c>
      <c r="BB915">
        <v>0</v>
      </c>
      <c r="BC915">
        <v>0</v>
      </c>
      <c r="BD915" s="144" t="s">
        <v>1558</v>
      </c>
      <c r="BF915" s="10"/>
      <c r="BG915"/>
    </row>
    <row r="916" spans="1:59" ht="14.25" customHeight="1" x14ac:dyDescent="0.25">
      <c r="A916" s="37" t="str">
        <f>LEFT(Scharniere[[#This Row],[ArtikelNR]],4)</f>
        <v>F045</v>
      </c>
      <c r="B916" s="35" t="str">
        <f>MID(Scharniere[[#This Row],[ArtikelNR]],5,3)</f>
        <v>138</v>
      </c>
      <c r="C916" s="37" t="str">
        <f>RIGHT(Scharniere[[#This Row],[ArtikelNR]],3)</f>
        <v>653</v>
      </c>
      <c r="D916" s="35">
        <f>IF(AND(Scharniere[[#This Row],[Gruppenschlüssel]]=select!$A$44,Scharniere[[#This Row],[Scharnierart]]=1)=TRUE,1,0)</f>
        <v>0</v>
      </c>
      <c r="E9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6" s="35">
        <f>IF(select!$F$57=IF(Scharniere[[#This Row],[mit Dämpfung]]=1,1,IF(Scharniere[[#This Row],[ohne Dämpfung]]=1,2,IF(Scharniere[[#This Row],[ohne Feder]]=1,3,0))),1,0)</f>
        <v>0</v>
      </c>
      <c r="G916" s="35">
        <f>IF(Scharniere[[#This Row],[Bohrbild]]=select!$V$43,1,0)</f>
        <v>0</v>
      </c>
      <c r="H916" s="35">
        <f>IF(IF(Scharniere[[#This Row],[Anschrauben]]=1,1,IF(Scharniere[[#This Row],[Einpressen]]=1,2,IF(Scharniere[[#This Row],[Quick]]=1,3,IF(Scharniere[[#This Row],[Werkzeuglos]]=1,4,0))))=select!$F$48,1,0)</f>
        <v>0</v>
      </c>
      <c r="I9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6" s="149">
        <f>IF(AND(Scharniere[[#This Row],[Scharnierart]]=2,Scharniere[[#This Row],[Gruppenschlüssel]]=select!$A$318)=TRUE,1,0)</f>
        <v>0</v>
      </c>
      <c r="K916" s="221">
        <f ca="1">IF(select!$O$424&lt;6,1,0)</f>
        <v>1</v>
      </c>
      <c r="L916" s="221">
        <f>IF(select!$A$362=IF(Scharniere[[#This Row],[mit Dämpfung]]=1,1,IF(Scharniere[[#This Row],[ohne Dämpfung]]=1,2,IF(Scharniere[[#This Row],[ohne Feder]]=1,3,0))),1,0)</f>
        <v>0</v>
      </c>
      <c r="M916" s="135">
        <f>IF(Scharniere[[#This Row],[Bohrbild]]=select!$O$334,1,0)</f>
        <v>0</v>
      </c>
      <c r="N916" s="135">
        <f>IF(IF(Scharniere[[#This Row],[Anschrauben]]=1,1,IF(Scharniere[[#This Row],[Einpressen]]=1,2,IF(Scharniere[[#This Row],[Quick]]=1,3,IF(Scharniere[[#This Row],[Werkzeuglos]]=1,4,0))))=select!$E$362,1,0)</f>
        <v>1</v>
      </c>
      <c r="O9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6" s="298">
        <f>IF(AND(Scharniere[[#This Row],[Scharnierart]]=3,Scharniere[[#This Row],[Gruppenschlüssel]]=select!$A$747)=TRUE,1,0)</f>
        <v>0</v>
      </c>
      <c r="Q916" s="298">
        <f ca="1">IF(select!$O$945&lt;6,1,0)</f>
        <v>1</v>
      </c>
      <c r="R916" s="298">
        <f>IF(select!$A$778=IF(Scharniere[[#This Row],[mit Dämpfung]]=1,1,IF(Scharniere[[#This Row],[ohne Dämpfung]]=1,2,IF(Scharniere[[#This Row],[ohne Feder]]=1,3,0))),1,0)</f>
        <v>1</v>
      </c>
      <c r="S916" s="298">
        <f>IF(Scharniere[[#This Row],[Bohrbild]]=select!$A$755,1,0)</f>
        <v>0</v>
      </c>
      <c r="T916" s="298">
        <f>IF(IF(Scharniere[[#This Row],[Anschrauben]]=1,1,IF(Scharniere[[#This Row],[Einpressen]]=1,2,IF(Scharniere[[#This Row],[Quick]]=1,3,IF(Scharniere[[#This Row],[Werkzeuglos]]=1,4,0))))=select!$A$769,1,0)</f>
        <v>1</v>
      </c>
      <c r="U9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6" s="359">
        <f>IF(AND(Scharniere[[#This Row],[Scharnierart]]=4,Scharniere[[#This Row],[Gruppenschlüssel]]=select!$A$981)=TRUE,1,0)</f>
        <v>0</v>
      </c>
      <c r="W916" s="359">
        <f ca="1">IF(select!$O$1185&lt;6,1,0)</f>
        <v>1</v>
      </c>
      <c r="X916" s="359">
        <f>IF(select!$A$1012=IF(Scharniere[[#This Row],[mit Dämpfung]]=1,1,IF(Scharniere[[#This Row],[ohne Dämpfung]]=1,2,IF(Scharniere[[#This Row],[ohne Feder]]=1,3,0))),1,0)</f>
        <v>1</v>
      </c>
      <c r="Y916" s="359">
        <f>IF(Scharniere[[#This Row],[Bohrbild]]=select!$A$989,1,0)</f>
        <v>0</v>
      </c>
      <c r="Z916" s="359">
        <f>IF(IF(Scharniere[[#This Row],[Anschrauben]]=1,1,IF(Scharniere[[#This Row],[Einpressen]]=1,2,IF(Scharniere[[#This Row],[Quick]]=1,3,IF(Scharniere[[#This Row],[Werkzeuglos]]=1,4,0))))=select!$A$1003,1,0)</f>
        <v>1</v>
      </c>
      <c r="AA9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6" s="359">
        <f ca="1">IF(select!$K$980="*",Scharniere[[#This Row],[AG Ges2]],Scharniere[[#This Row],[AG Ges1]])</f>
        <v>0</v>
      </c>
      <c r="AE916" s="451">
        <f ca="1">IF(AND(Scharniere[[#This Row],[Scharnierart]]=select!$A$1485,Scharniere[[#This Row],[Gruppenschlüssel]]=select!$B$1485)=TRUE,1,0)</f>
        <v>0</v>
      </c>
      <c r="AF916" s="451">
        <f ca="1">IF(AND(Scharniere[[#This Row],[Scharnierart]]=select!$A$1486,Scharniere[[#This Row],[Gruppenschlüssel]]=select!$B$1486)=TRUE,1,0)</f>
        <v>0</v>
      </c>
      <c r="AG916" s="451">
        <f ca="1">IF(AND(Scharniere[[#This Row],[Scharnierart]]=select!$A$1487,Scharniere[[#This Row],[Gruppenschlüssel]]=select!$B$1487)=TRUE,1,0)</f>
        <v>0</v>
      </c>
      <c r="AH916" s="451">
        <f ca="1">IF(AND(Scharniere[[#This Row],[Scharnierart]]=select!$A$1488,Scharniere[[#This Row],[Gruppenschlüssel]]=select!$B$1488)=TRUE,1,0)</f>
        <v>0</v>
      </c>
      <c r="AI916" s="451">
        <f ca="1">IF(SUM(Scharniere[[#This Row],[konf Scharnier 1]:[konf Scharnier 4]])&gt;0,1,0)</f>
        <v>0</v>
      </c>
      <c r="AJ916" s="451"/>
      <c r="AK916" s="451"/>
      <c r="AL916" s="451"/>
      <c r="AM916" s="451"/>
      <c r="AN916" s="451"/>
      <c r="AO916" s="146">
        <v>2</v>
      </c>
      <c r="AP916" s="146">
        <v>7</v>
      </c>
      <c r="AQ916" s="71" t="str">
        <f ca="1">Sprache!$A$118</f>
        <v>Tiomos Scharnier T Click-on</v>
      </c>
      <c r="AR916" t="str">
        <f ca="1">"110/45°, H-BB, "&amp;Sprache!$A$58&amp;" ni"</f>
        <v>110/45°, H-BB, aufl. ni</v>
      </c>
      <c r="AS916" t="str">
        <f ca="1">Sprache!$A$103</f>
        <v>Tiomos Click-On Scharniere</v>
      </c>
      <c r="AT916" t="s">
        <v>1264</v>
      </c>
      <c r="AU916" t="s">
        <v>10</v>
      </c>
      <c r="AV916" t="s">
        <v>1489</v>
      </c>
      <c r="AW916" s="71">
        <v>0</v>
      </c>
      <c r="AX916">
        <v>1</v>
      </c>
      <c r="AY916">
        <v>0</v>
      </c>
      <c r="AZ916" s="71">
        <v>1</v>
      </c>
      <c r="BA916">
        <v>0</v>
      </c>
      <c r="BB916">
        <v>0</v>
      </c>
      <c r="BC916">
        <v>0</v>
      </c>
      <c r="BD916" s="144" t="s">
        <v>1667</v>
      </c>
      <c r="BF916" s="10"/>
      <c r="BG916"/>
    </row>
    <row r="917" spans="1:59" ht="14.25" customHeight="1" x14ac:dyDescent="0.25">
      <c r="A917" s="37" t="str">
        <f>LEFT(Scharniere[[#This Row],[ArtikelNR]],4)</f>
        <v>F046</v>
      </c>
      <c r="B917" s="35" t="str">
        <f>MID(Scharniere[[#This Row],[ArtikelNR]],5,3)</f>
        <v>138</v>
      </c>
      <c r="C917" s="37" t="str">
        <f>RIGHT(Scharniere[[#This Row],[ArtikelNR]],3)</f>
        <v>775</v>
      </c>
      <c r="D917" s="35">
        <f>IF(AND(Scharniere[[#This Row],[Gruppenschlüssel]]=select!$A$44,Scharniere[[#This Row],[Scharnierart]]=1)=TRUE,1,0)</f>
        <v>0</v>
      </c>
      <c r="E9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7" s="35">
        <f>IF(select!$F$57=IF(Scharniere[[#This Row],[mit Dämpfung]]=1,1,IF(Scharniere[[#This Row],[ohne Dämpfung]]=1,2,IF(Scharniere[[#This Row],[ohne Feder]]=1,3,0))),1,0)</f>
        <v>1</v>
      </c>
      <c r="G917" s="35">
        <f>IF(Scharniere[[#This Row],[Bohrbild]]=select!$V$43,1,0)</f>
        <v>0</v>
      </c>
      <c r="H917" s="35">
        <f>IF(IF(Scharniere[[#This Row],[Anschrauben]]=1,1,IF(Scharniere[[#This Row],[Einpressen]]=1,2,IF(Scharniere[[#This Row],[Quick]]=1,3,IF(Scharniere[[#This Row],[Werkzeuglos]]=1,4,0))))=select!$F$48,1,0)</f>
        <v>0</v>
      </c>
      <c r="I9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7" s="149">
        <f>IF(AND(Scharniere[[#This Row],[Scharnierart]]=2,Scharniere[[#This Row],[Gruppenschlüssel]]=select!$A$318)=TRUE,1,0)</f>
        <v>0</v>
      </c>
      <c r="K917" s="221">
        <f ca="1">IF(select!$O$424&lt;6,1,0)</f>
        <v>1</v>
      </c>
      <c r="L917" s="221">
        <f>IF(select!$A$362=IF(Scharniere[[#This Row],[mit Dämpfung]]=1,1,IF(Scharniere[[#This Row],[ohne Dämpfung]]=1,2,IF(Scharniere[[#This Row],[ohne Feder]]=1,3,0))),1,0)</f>
        <v>0</v>
      </c>
      <c r="M917" s="135">
        <f>IF(Scharniere[[#This Row],[Bohrbild]]=select!$O$334,1,0)</f>
        <v>0</v>
      </c>
      <c r="N917" s="135">
        <f>IF(IF(Scharniere[[#This Row],[Anschrauben]]=1,1,IF(Scharniere[[#This Row],[Einpressen]]=1,2,IF(Scharniere[[#This Row],[Quick]]=1,3,IF(Scharniere[[#This Row],[Werkzeuglos]]=1,4,0))))=select!$E$362,1,0)</f>
        <v>1</v>
      </c>
      <c r="O9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7" s="298">
        <f>IF(AND(Scharniere[[#This Row],[Scharnierart]]=3,Scharniere[[#This Row],[Gruppenschlüssel]]=select!$A$747)=TRUE,1,0)</f>
        <v>0</v>
      </c>
      <c r="Q917" s="298">
        <f ca="1">IF(select!$O$945&lt;6,1,0)</f>
        <v>1</v>
      </c>
      <c r="R917" s="298">
        <f>IF(select!$A$778=IF(Scharniere[[#This Row],[mit Dämpfung]]=1,1,IF(Scharniere[[#This Row],[ohne Dämpfung]]=1,2,IF(Scharniere[[#This Row],[ohne Feder]]=1,3,0))),1,0)</f>
        <v>0</v>
      </c>
      <c r="S917" s="298">
        <f>IF(Scharniere[[#This Row],[Bohrbild]]=select!$A$755,1,0)</f>
        <v>0</v>
      </c>
      <c r="T917" s="298">
        <f>IF(IF(Scharniere[[#This Row],[Anschrauben]]=1,1,IF(Scharniere[[#This Row],[Einpressen]]=1,2,IF(Scharniere[[#This Row],[Quick]]=1,3,IF(Scharniere[[#This Row],[Werkzeuglos]]=1,4,0))))=select!$A$769,1,0)</f>
        <v>1</v>
      </c>
      <c r="U9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7" s="359">
        <f>IF(AND(Scharniere[[#This Row],[Scharnierart]]=4,Scharniere[[#This Row],[Gruppenschlüssel]]=select!$A$981)=TRUE,1,0)</f>
        <v>0</v>
      </c>
      <c r="W917" s="359">
        <f ca="1">IF(select!$O$1185&lt;6,1,0)</f>
        <v>1</v>
      </c>
      <c r="X917" s="359">
        <f>IF(select!$A$1012=IF(Scharniere[[#This Row],[mit Dämpfung]]=1,1,IF(Scharniere[[#This Row],[ohne Dämpfung]]=1,2,IF(Scharniere[[#This Row],[ohne Feder]]=1,3,0))),1,0)</f>
        <v>0</v>
      </c>
      <c r="Y917" s="359">
        <f>IF(Scharniere[[#This Row],[Bohrbild]]=select!$A$989,1,0)</f>
        <v>0</v>
      </c>
      <c r="Z917" s="359">
        <f>IF(IF(Scharniere[[#This Row],[Anschrauben]]=1,1,IF(Scharniere[[#This Row],[Einpressen]]=1,2,IF(Scharniere[[#This Row],[Quick]]=1,3,IF(Scharniere[[#This Row],[Werkzeuglos]]=1,4,0))))=select!$A$1003,1,0)</f>
        <v>1</v>
      </c>
      <c r="AA9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7" s="359">
        <f ca="1">IF(select!$K$980="*",Scharniere[[#This Row],[AG Ges2]],Scharniere[[#This Row],[AG Ges1]])</f>
        <v>0</v>
      </c>
      <c r="AE917" s="451">
        <f ca="1">IF(AND(Scharniere[[#This Row],[Scharnierart]]=select!$A$1485,Scharniere[[#This Row],[Gruppenschlüssel]]=select!$B$1485)=TRUE,1,0)</f>
        <v>0</v>
      </c>
      <c r="AF917" s="451">
        <f ca="1">IF(AND(Scharniere[[#This Row],[Scharnierart]]=select!$A$1486,Scharniere[[#This Row],[Gruppenschlüssel]]=select!$B$1486)=TRUE,1,0)</f>
        <v>0</v>
      </c>
      <c r="AG917" s="451">
        <f ca="1">IF(AND(Scharniere[[#This Row],[Scharnierart]]=select!$A$1487,Scharniere[[#This Row],[Gruppenschlüssel]]=select!$B$1487)=TRUE,1,0)</f>
        <v>0</v>
      </c>
      <c r="AH917" s="451">
        <f ca="1">IF(AND(Scharniere[[#This Row],[Scharnierart]]=select!$A$1488,Scharniere[[#This Row],[Gruppenschlüssel]]=select!$B$1488)=TRUE,1,0)</f>
        <v>0</v>
      </c>
      <c r="AI917" s="451">
        <f ca="1">IF(SUM(Scharniere[[#This Row],[konf Scharnier 1]:[konf Scharnier 4]])&gt;0,1,0)</f>
        <v>0</v>
      </c>
      <c r="AJ917" s="451"/>
      <c r="AK917" s="451"/>
      <c r="AL917" s="451"/>
      <c r="AM917" s="451"/>
      <c r="AN917" s="451"/>
      <c r="AO917" s="146">
        <v>2</v>
      </c>
      <c r="AP917" s="146">
        <v>7</v>
      </c>
      <c r="AQ917" s="71" t="str">
        <f ca="1">Sprache!$A$114</f>
        <v>Tiomos Scharnier TT Click-on</v>
      </c>
      <c r="AR917" t="str">
        <f ca="1">"110/45°, H-BB, "&amp;Sprache!$A$58&amp;" ni"</f>
        <v>110/45°, H-BB, aufl. ni</v>
      </c>
      <c r="AS917" t="str">
        <f ca="1">Sprache!$A$103</f>
        <v>Tiomos Click-On Scharniere</v>
      </c>
      <c r="AT917" t="s">
        <v>1264</v>
      </c>
      <c r="AU917" t="s">
        <v>10</v>
      </c>
      <c r="AV917" t="s">
        <v>1489</v>
      </c>
      <c r="AW917" s="71">
        <v>0</v>
      </c>
      <c r="AX917">
        <v>0</v>
      </c>
      <c r="AY917">
        <v>1</v>
      </c>
      <c r="AZ917" s="71">
        <v>1</v>
      </c>
      <c r="BA917">
        <v>0</v>
      </c>
      <c r="BB917">
        <v>0</v>
      </c>
      <c r="BC917">
        <v>0</v>
      </c>
      <c r="BD917" s="144" t="s">
        <v>1729</v>
      </c>
      <c r="BF917" s="10"/>
      <c r="BG917"/>
    </row>
    <row r="918" spans="1:59" ht="14.25" customHeight="1" x14ac:dyDescent="0.25">
      <c r="A918" s="37" t="str">
        <f>LEFT(Scharniere[[#This Row],[ArtikelNR]],4)</f>
        <v>F017</v>
      </c>
      <c r="B918" s="35" t="str">
        <f>MID(Scharniere[[#This Row],[ArtikelNR]],5,3)</f>
        <v>139</v>
      </c>
      <c r="C918" s="37" t="str">
        <f>RIGHT(Scharniere[[#This Row],[ArtikelNR]],3)</f>
        <v>509</v>
      </c>
      <c r="D918" s="35">
        <f>IF(AND(Scharniere[[#This Row],[Gruppenschlüssel]]=select!$A$44,Scharniere[[#This Row],[Scharnierart]]=1)=TRUE,1,0)</f>
        <v>0</v>
      </c>
      <c r="E9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8" s="35">
        <f>IF(select!$F$57=IF(Scharniere[[#This Row],[mit Dämpfung]]=1,1,IF(Scharniere[[#This Row],[ohne Dämpfung]]=1,2,IF(Scharniere[[#This Row],[ohne Feder]]=1,3,0))),1,0)</f>
        <v>0</v>
      </c>
      <c r="G918" s="35">
        <f>IF(Scharniere[[#This Row],[Bohrbild]]=select!$V$43,1,0)</f>
        <v>0</v>
      </c>
      <c r="H918" s="35">
        <f>IF(IF(Scharniere[[#This Row],[Anschrauben]]=1,1,IF(Scharniere[[#This Row],[Einpressen]]=1,2,IF(Scharniere[[#This Row],[Quick]]=1,3,IF(Scharniere[[#This Row],[Werkzeuglos]]=1,4,0))))=select!$F$48,1,0)</f>
        <v>0</v>
      </c>
      <c r="I9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8" s="149">
        <f>IF(AND(Scharniere[[#This Row],[Scharnierart]]=2,Scharniere[[#This Row],[Gruppenschlüssel]]=select!$A$318)=TRUE,1,0)</f>
        <v>0</v>
      </c>
      <c r="K918" s="221">
        <f ca="1">IF(select!$O$424&lt;6,1,0)</f>
        <v>1</v>
      </c>
      <c r="L918" s="221">
        <f>IF(select!$A$362=IF(Scharniere[[#This Row],[mit Dämpfung]]=1,1,IF(Scharniere[[#This Row],[ohne Dämpfung]]=1,2,IF(Scharniere[[#This Row],[ohne Feder]]=1,3,0))),1,0)</f>
        <v>1</v>
      </c>
      <c r="M918" s="135">
        <f>IF(Scharniere[[#This Row],[Bohrbild]]=select!$O$334,1,0)</f>
        <v>0</v>
      </c>
      <c r="N918" s="135">
        <f>IF(IF(Scharniere[[#This Row],[Anschrauben]]=1,1,IF(Scharniere[[#This Row],[Einpressen]]=1,2,IF(Scharniere[[#This Row],[Quick]]=1,3,IF(Scharniere[[#This Row],[Werkzeuglos]]=1,4,0))))=select!$E$362,1,0)</f>
        <v>0</v>
      </c>
      <c r="O9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8" s="298">
        <f>IF(AND(Scharniere[[#This Row],[Scharnierart]]=3,Scharniere[[#This Row],[Gruppenschlüssel]]=select!$A$747)=TRUE,1,0)</f>
        <v>0</v>
      </c>
      <c r="Q918" s="298">
        <f ca="1">IF(select!$O$945&lt;6,1,0)</f>
        <v>1</v>
      </c>
      <c r="R918" s="298">
        <f>IF(select!$A$778=IF(Scharniere[[#This Row],[mit Dämpfung]]=1,1,IF(Scharniere[[#This Row],[ohne Dämpfung]]=1,2,IF(Scharniere[[#This Row],[ohne Feder]]=1,3,0))),1,0)</f>
        <v>0</v>
      </c>
      <c r="S918" s="298">
        <f>IF(Scharniere[[#This Row],[Bohrbild]]=select!$A$755,1,0)</f>
        <v>0</v>
      </c>
      <c r="T918" s="298">
        <f>IF(IF(Scharniere[[#This Row],[Anschrauben]]=1,1,IF(Scharniere[[#This Row],[Einpressen]]=1,2,IF(Scharniere[[#This Row],[Quick]]=1,3,IF(Scharniere[[#This Row],[Werkzeuglos]]=1,4,0))))=select!$A$769,1,0)</f>
        <v>0</v>
      </c>
      <c r="U9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8" s="359">
        <f>IF(AND(Scharniere[[#This Row],[Scharnierart]]=4,Scharniere[[#This Row],[Gruppenschlüssel]]=select!$A$981)=TRUE,1,0)</f>
        <v>0</v>
      </c>
      <c r="W918" s="359">
        <f ca="1">IF(select!$O$1185&lt;6,1,0)</f>
        <v>1</v>
      </c>
      <c r="X918" s="359">
        <f>IF(select!$A$1012=IF(Scharniere[[#This Row],[mit Dämpfung]]=1,1,IF(Scharniere[[#This Row],[ohne Dämpfung]]=1,2,IF(Scharniere[[#This Row],[ohne Feder]]=1,3,0))),1,0)</f>
        <v>0</v>
      </c>
      <c r="Y918" s="359">
        <f>IF(Scharniere[[#This Row],[Bohrbild]]=select!$A$989,1,0)</f>
        <v>0</v>
      </c>
      <c r="Z918" s="359">
        <f>IF(IF(Scharniere[[#This Row],[Anschrauben]]=1,1,IF(Scharniere[[#This Row],[Einpressen]]=1,2,IF(Scharniere[[#This Row],[Quick]]=1,3,IF(Scharniere[[#This Row],[Werkzeuglos]]=1,4,0))))=select!$A$1003,1,0)</f>
        <v>0</v>
      </c>
      <c r="AA9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8" s="359">
        <f ca="1">IF(select!$K$980="*",Scharniere[[#This Row],[AG Ges2]],Scharniere[[#This Row],[AG Ges1]])</f>
        <v>0</v>
      </c>
      <c r="AE918" s="451">
        <f ca="1">IF(AND(Scharniere[[#This Row],[Scharnierart]]=select!$A$1485,Scharniere[[#This Row],[Gruppenschlüssel]]=select!$B$1485)=TRUE,1,0)</f>
        <v>0</v>
      </c>
      <c r="AF918" s="451">
        <f ca="1">IF(AND(Scharniere[[#This Row],[Scharnierart]]=select!$A$1486,Scharniere[[#This Row],[Gruppenschlüssel]]=select!$B$1486)=TRUE,1,0)</f>
        <v>0</v>
      </c>
      <c r="AG918" s="451">
        <f ca="1">IF(AND(Scharniere[[#This Row],[Scharnierart]]=select!$A$1487,Scharniere[[#This Row],[Gruppenschlüssel]]=select!$B$1487)=TRUE,1,0)</f>
        <v>0</v>
      </c>
      <c r="AH918" s="451">
        <f ca="1">IF(AND(Scharniere[[#This Row],[Scharnierart]]=select!$A$1488,Scharniere[[#This Row],[Gruppenschlüssel]]=select!$B$1488)=TRUE,1,0)</f>
        <v>0</v>
      </c>
      <c r="AI918" s="451">
        <f ca="1">IF(SUM(Scharniere[[#This Row],[konf Scharnier 1]:[konf Scharnier 4]])&gt;0,1,0)</f>
        <v>0</v>
      </c>
      <c r="AJ918" s="451"/>
      <c r="AK918" s="451"/>
      <c r="AL918" s="451"/>
      <c r="AM918" s="451"/>
      <c r="AN918" s="451"/>
      <c r="AO918" s="146">
        <v>2</v>
      </c>
      <c r="AP918" s="146">
        <v>7</v>
      </c>
      <c r="AQ918" s="71" t="str">
        <f ca="1">Sprache!$A$113</f>
        <v>Tiomos Scharnier TS Impresso</v>
      </c>
      <c r="AR918" t="str">
        <f ca="1">"110/45°, HS-BB, "&amp;Sprache!$A$58&amp;" ni"</f>
        <v>110/45°, HS-BB, aufl. ni</v>
      </c>
      <c r="AS918" t="str">
        <f ca="1">Sprache!$A$116</f>
        <v>Tiomos Impresso Scharniere</v>
      </c>
      <c r="AT918" t="s">
        <v>1264</v>
      </c>
      <c r="AU918" t="s">
        <v>10</v>
      </c>
      <c r="AV918" t="s">
        <v>1489</v>
      </c>
      <c r="AW918" s="71">
        <v>1</v>
      </c>
      <c r="AX918">
        <v>0</v>
      </c>
      <c r="AY918">
        <v>0</v>
      </c>
      <c r="AZ918" s="71">
        <v>0</v>
      </c>
      <c r="BA918">
        <v>0</v>
      </c>
      <c r="BB918">
        <v>0</v>
      </c>
      <c r="BC918">
        <v>1</v>
      </c>
      <c r="BD918" s="144" t="s">
        <v>1593</v>
      </c>
      <c r="BF918" s="10"/>
      <c r="BG918"/>
    </row>
    <row r="919" spans="1:59" ht="14.25" customHeight="1" x14ac:dyDescent="0.25">
      <c r="A919" s="37" t="str">
        <f>LEFT(Scharniere[[#This Row],[ArtikelNR]],4)</f>
        <v>F017</v>
      </c>
      <c r="B919" s="35" t="str">
        <f>MID(Scharniere[[#This Row],[ArtikelNR]],5,3)</f>
        <v>139</v>
      </c>
      <c r="C919" s="37" t="str">
        <f>RIGHT(Scharniere[[#This Row],[ArtikelNR]],3)</f>
        <v>509</v>
      </c>
      <c r="D919" s="35">
        <f>IF(AND(Scharniere[[#This Row],[Gruppenschlüssel]]=select!$A$44,Scharniere[[#This Row],[Scharnierart]]=1)=TRUE,1,0)</f>
        <v>0</v>
      </c>
      <c r="E9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19" s="35">
        <f>IF(select!$F$57=IF(Scharniere[[#This Row],[mit Dämpfung]]=1,1,IF(Scharniere[[#This Row],[ohne Dämpfung]]=1,2,IF(Scharniere[[#This Row],[ohne Feder]]=1,3,0))),1,0)</f>
        <v>0</v>
      </c>
      <c r="G919" s="35">
        <f>IF(Scharniere[[#This Row],[Bohrbild]]=select!$V$43,1,0)</f>
        <v>0</v>
      </c>
      <c r="H919" s="35">
        <f>IF(IF(Scharniere[[#This Row],[Anschrauben]]=1,1,IF(Scharniere[[#This Row],[Einpressen]]=1,2,IF(Scharniere[[#This Row],[Quick]]=1,3,IF(Scharniere[[#This Row],[Werkzeuglos]]=1,4,0))))=select!$F$48,1,0)</f>
        <v>0</v>
      </c>
      <c r="I9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19" s="149">
        <f>IF(AND(Scharniere[[#This Row],[Scharnierart]]=2,Scharniere[[#This Row],[Gruppenschlüssel]]=select!$A$318)=TRUE,1,0)</f>
        <v>0</v>
      </c>
      <c r="K919" s="221">
        <f ca="1">IF(select!$O$424&lt;6,1,0)</f>
        <v>1</v>
      </c>
      <c r="L919" s="221">
        <f>IF(select!$A$362=IF(Scharniere[[#This Row],[mit Dämpfung]]=1,1,IF(Scharniere[[#This Row],[ohne Dämpfung]]=1,2,IF(Scharniere[[#This Row],[ohne Feder]]=1,3,0))),1,0)</f>
        <v>1</v>
      </c>
      <c r="M919" s="135">
        <f>IF(Scharniere[[#This Row],[Bohrbild]]=select!$O$334,1,0)</f>
        <v>0</v>
      </c>
      <c r="N919" s="135">
        <f>IF(IF(Scharniere[[#This Row],[Anschrauben]]=1,1,IF(Scharniere[[#This Row],[Einpressen]]=1,2,IF(Scharniere[[#This Row],[Quick]]=1,3,IF(Scharniere[[#This Row],[Werkzeuglos]]=1,4,0))))=select!$E$362,1,0)</f>
        <v>0</v>
      </c>
      <c r="O9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19" s="298">
        <f>IF(AND(Scharniere[[#This Row],[Scharnierart]]=3,Scharniere[[#This Row],[Gruppenschlüssel]]=select!$A$747)=TRUE,1,0)</f>
        <v>0</v>
      </c>
      <c r="Q919" s="298">
        <f ca="1">IF(select!$O$945&lt;6,1,0)</f>
        <v>1</v>
      </c>
      <c r="R919" s="298">
        <f>IF(select!$A$778=IF(Scharniere[[#This Row],[mit Dämpfung]]=1,1,IF(Scharniere[[#This Row],[ohne Dämpfung]]=1,2,IF(Scharniere[[#This Row],[ohne Feder]]=1,3,0))),1,0)</f>
        <v>0</v>
      </c>
      <c r="S919" s="298">
        <f>IF(Scharniere[[#This Row],[Bohrbild]]=select!$A$755,1,0)</f>
        <v>0</v>
      </c>
      <c r="T919" s="298">
        <f>IF(IF(Scharniere[[#This Row],[Anschrauben]]=1,1,IF(Scharniere[[#This Row],[Einpressen]]=1,2,IF(Scharniere[[#This Row],[Quick]]=1,3,IF(Scharniere[[#This Row],[Werkzeuglos]]=1,4,0))))=select!$A$769,1,0)</f>
        <v>0</v>
      </c>
      <c r="U9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19" s="359">
        <f>IF(AND(Scharniere[[#This Row],[Scharnierart]]=4,Scharniere[[#This Row],[Gruppenschlüssel]]=select!$A$981)=TRUE,1,0)</f>
        <v>0</v>
      </c>
      <c r="W919" s="359">
        <f ca="1">IF(select!$O$1185&lt;6,1,0)</f>
        <v>1</v>
      </c>
      <c r="X919" s="359">
        <f>IF(select!$A$1012=IF(Scharniere[[#This Row],[mit Dämpfung]]=1,1,IF(Scharniere[[#This Row],[ohne Dämpfung]]=1,2,IF(Scharniere[[#This Row],[ohne Feder]]=1,3,0))),1,0)</f>
        <v>0</v>
      </c>
      <c r="Y919" s="359">
        <f>IF(Scharniere[[#This Row],[Bohrbild]]=select!$A$989,1,0)</f>
        <v>0</v>
      </c>
      <c r="Z919" s="359">
        <f>IF(IF(Scharniere[[#This Row],[Anschrauben]]=1,1,IF(Scharniere[[#This Row],[Einpressen]]=1,2,IF(Scharniere[[#This Row],[Quick]]=1,3,IF(Scharniere[[#This Row],[Werkzeuglos]]=1,4,0))))=select!$A$1003,1,0)</f>
        <v>0</v>
      </c>
      <c r="AA9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19" s="359">
        <f ca="1">IF(select!$K$980="*",Scharniere[[#This Row],[AG Ges2]],Scharniere[[#This Row],[AG Ges1]])</f>
        <v>0</v>
      </c>
      <c r="AE919" s="451">
        <f ca="1">IF(AND(Scharniere[[#This Row],[Scharnierart]]=select!$A$1485,Scharniere[[#This Row],[Gruppenschlüssel]]=select!$B$1485)=TRUE,1,0)</f>
        <v>0</v>
      </c>
      <c r="AF919" s="451">
        <f ca="1">IF(AND(Scharniere[[#This Row],[Scharnierart]]=select!$A$1486,Scharniere[[#This Row],[Gruppenschlüssel]]=select!$B$1486)=TRUE,1,0)</f>
        <v>0</v>
      </c>
      <c r="AG919" s="451">
        <f ca="1">IF(AND(Scharniere[[#This Row],[Scharnierart]]=select!$A$1487,Scharniere[[#This Row],[Gruppenschlüssel]]=select!$B$1487)=TRUE,1,0)</f>
        <v>0</v>
      </c>
      <c r="AH919" s="451">
        <f ca="1">IF(AND(Scharniere[[#This Row],[Scharnierart]]=select!$A$1488,Scharniere[[#This Row],[Gruppenschlüssel]]=select!$B$1488)=TRUE,1,0)</f>
        <v>0</v>
      </c>
      <c r="AI919" s="451">
        <f ca="1">IF(SUM(Scharniere[[#This Row],[konf Scharnier 1]:[konf Scharnier 4]])&gt;0,1,0)</f>
        <v>0</v>
      </c>
      <c r="AJ919" s="451"/>
      <c r="AK919" s="451"/>
      <c r="AL919" s="451"/>
      <c r="AM919" s="451"/>
      <c r="AN919" s="451"/>
      <c r="AO919" s="146">
        <v>2</v>
      </c>
      <c r="AP919" s="146">
        <v>7</v>
      </c>
      <c r="AQ919" s="71" t="str">
        <f ca="1">Sprache!$A$113</f>
        <v>Tiomos Scharnier TS Impresso</v>
      </c>
      <c r="AR919" t="str">
        <f ca="1">"110/45°, HS-BB, "&amp;Sprache!$A$58&amp;" ni"</f>
        <v>110/45°, HS-BB, aufl. ni</v>
      </c>
      <c r="AS919" t="str">
        <f ca="1">Sprache!$A$116</f>
        <v>Tiomos Impresso Scharniere</v>
      </c>
      <c r="AT919" t="s">
        <v>1264</v>
      </c>
      <c r="AU919" t="s">
        <v>11</v>
      </c>
      <c r="AV919" t="s">
        <v>1489</v>
      </c>
      <c r="AW919" s="71">
        <v>1</v>
      </c>
      <c r="AX919">
        <v>0</v>
      </c>
      <c r="AY919">
        <v>0</v>
      </c>
      <c r="AZ919" s="71">
        <v>0</v>
      </c>
      <c r="BA919">
        <v>0</v>
      </c>
      <c r="BB919">
        <v>0</v>
      </c>
      <c r="BC919">
        <v>1</v>
      </c>
      <c r="BD919" s="144" t="s">
        <v>1593</v>
      </c>
      <c r="BF919" s="10"/>
      <c r="BG919"/>
    </row>
    <row r="920" spans="1:59" ht="14.25" customHeight="1" x14ac:dyDescent="0.25">
      <c r="A920" s="37" t="str">
        <f>LEFT(Scharniere[[#This Row],[ArtikelNR]],4)</f>
        <v>F034</v>
      </c>
      <c r="B920" s="35" t="str">
        <f>MID(Scharniere[[#This Row],[ArtikelNR]],5,3)</f>
        <v>139</v>
      </c>
      <c r="C920" s="37" t="str">
        <f>RIGHT(Scharniere[[#This Row],[ArtikelNR]],3)</f>
        <v>480</v>
      </c>
      <c r="D920" s="35">
        <f>IF(AND(Scharniere[[#This Row],[Gruppenschlüssel]]=select!$A$44,Scharniere[[#This Row],[Scharnierart]]=1)=TRUE,1,0)</f>
        <v>0</v>
      </c>
      <c r="E9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0" s="35">
        <f>IF(select!$F$57=IF(Scharniere[[#This Row],[mit Dämpfung]]=1,1,IF(Scharniere[[#This Row],[ohne Dämpfung]]=1,2,IF(Scharniere[[#This Row],[ohne Feder]]=1,3,0))),1,0)</f>
        <v>0</v>
      </c>
      <c r="G920" s="35">
        <f>IF(Scharniere[[#This Row],[Bohrbild]]=select!$V$43,1,0)</f>
        <v>0</v>
      </c>
      <c r="H920" s="35">
        <f>IF(IF(Scharniere[[#This Row],[Anschrauben]]=1,1,IF(Scharniere[[#This Row],[Einpressen]]=1,2,IF(Scharniere[[#This Row],[Quick]]=1,3,IF(Scharniere[[#This Row],[Werkzeuglos]]=1,4,0))))=select!$F$48,1,0)</f>
        <v>0</v>
      </c>
      <c r="I9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0" s="149">
        <f>IF(AND(Scharniere[[#This Row],[Scharnierart]]=2,Scharniere[[#This Row],[Gruppenschlüssel]]=select!$A$318)=TRUE,1,0)</f>
        <v>0</v>
      </c>
      <c r="K920" s="221">
        <f ca="1">IF(select!$O$424&lt;6,1,0)</f>
        <v>1</v>
      </c>
      <c r="L920" s="221">
        <f>IF(select!$A$362=IF(Scharniere[[#This Row],[mit Dämpfung]]=1,1,IF(Scharniere[[#This Row],[ohne Dämpfung]]=1,2,IF(Scharniere[[#This Row],[ohne Feder]]=1,3,0))),1,0)</f>
        <v>0</v>
      </c>
      <c r="M920" s="135">
        <f>IF(Scharniere[[#This Row],[Bohrbild]]=select!$O$334,1,0)</f>
        <v>0</v>
      </c>
      <c r="N920" s="135">
        <f>IF(IF(Scharniere[[#This Row],[Anschrauben]]=1,1,IF(Scharniere[[#This Row],[Einpressen]]=1,2,IF(Scharniere[[#This Row],[Quick]]=1,3,IF(Scharniere[[#This Row],[Werkzeuglos]]=1,4,0))))=select!$E$362,1,0)</f>
        <v>0</v>
      </c>
      <c r="O9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0" s="298">
        <f>IF(AND(Scharniere[[#This Row],[Scharnierart]]=3,Scharniere[[#This Row],[Gruppenschlüssel]]=select!$A$747)=TRUE,1,0)</f>
        <v>0</v>
      </c>
      <c r="Q920" s="298">
        <f ca="1">IF(select!$O$945&lt;6,1,0)</f>
        <v>1</v>
      </c>
      <c r="R920" s="298">
        <f>IF(select!$A$778=IF(Scharniere[[#This Row],[mit Dämpfung]]=1,1,IF(Scharniere[[#This Row],[ohne Dämpfung]]=1,2,IF(Scharniere[[#This Row],[ohne Feder]]=1,3,0))),1,0)</f>
        <v>1</v>
      </c>
      <c r="S920" s="298">
        <f>IF(Scharniere[[#This Row],[Bohrbild]]=select!$A$755,1,0)</f>
        <v>0</v>
      </c>
      <c r="T920" s="298">
        <f>IF(IF(Scharniere[[#This Row],[Anschrauben]]=1,1,IF(Scharniere[[#This Row],[Einpressen]]=1,2,IF(Scharniere[[#This Row],[Quick]]=1,3,IF(Scharniere[[#This Row],[Werkzeuglos]]=1,4,0))))=select!$A$769,1,0)</f>
        <v>0</v>
      </c>
      <c r="U9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0" s="359">
        <f>IF(AND(Scharniere[[#This Row],[Scharnierart]]=4,Scharniere[[#This Row],[Gruppenschlüssel]]=select!$A$981)=TRUE,1,0)</f>
        <v>0</v>
      </c>
      <c r="W920" s="359">
        <f ca="1">IF(select!$O$1185&lt;6,1,0)</f>
        <v>1</v>
      </c>
      <c r="X920" s="359">
        <f>IF(select!$A$1012=IF(Scharniere[[#This Row],[mit Dämpfung]]=1,1,IF(Scharniere[[#This Row],[ohne Dämpfung]]=1,2,IF(Scharniere[[#This Row],[ohne Feder]]=1,3,0))),1,0)</f>
        <v>1</v>
      </c>
      <c r="Y920" s="359">
        <f>IF(Scharniere[[#This Row],[Bohrbild]]=select!$A$989,1,0)</f>
        <v>0</v>
      </c>
      <c r="Z920" s="359">
        <f>IF(IF(Scharniere[[#This Row],[Anschrauben]]=1,1,IF(Scharniere[[#This Row],[Einpressen]]=1,2,IF(Scharniere[[#This Row],[Quick]]=1,3,IF(Scharniere[[#This Row],[Werkzeuglos]]=1,4,0))))=select!$A$1003,1,0)</f>
        <v>0</v>
      </c>
      <c r="AA9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0" s="359">
        <f ca="1">IF(select!$K$980="*",Scharniere[[#This Row],[AG Ges2]],Scharniere[[#This Row],[AG Ges1]])</f>
        <v>0</v>
      </c>
      <c r="AE920" s="451">
        <f ca="1">IF(AND(Scharniere[[#This Row],[Scharnierart]]=select!$A$1485,Scharniere[[#This Row],[Gruppenschlüssel]]=select!$B$1485)=TRUE,1,0)</f>
        <v>0</v>
      </c>
      <c r="AF920" s="451">
        <f ca="1">IF(AND(Scharniere[[#This Row],[Scharnierart]]=select!$A$1486,Scharniere[[#This Row],[Gruppenschlüssel]]=select!$B$1486)=TRUE,1,0)</f>
        <v>0</v>
      </c>
      <c r="AG920" s="451">
        <f ca="1">IF(AND(Scharniere[[#This Row],[Scharnierart]]=select!$A$1487,Scharniere[[#This Row],[Gruppenschlüssel]]=select!$B$1487)=TRUE,1,0)</f>
        <v>0</v>
      </c>
      <c r="AH920" s="451">
        <f ca="1">IF(AND(Scharniere[[#This Row],[Scharnierart]]=select!$A$1488,Scharniere[[#This Row],[Gruppenschlüssel]]=select!$B$1488)=TRUE,1,0)</f>
        <v>0</v>
      </c>
      <c r="AI920" s="451">
        <f ca="1">IF(SUM(Scharniere[[#This Row],[konf Scharnier 1]:[konf Scharnier 4]])&gt;0,1,0)</f>
        <v>0</v>
      </c>
      <c r="AJ920" s="451"/>
      <c r="AK920" s="451"/>
      <c r="AL920" s="451"/>
      <c r="AM920" s="451"/>
      <c r="AN920" s="451"/>
      <c r="AO920" s="146">
        <v>2</v>
      </c>
      <c r="AP920" s="146">
        <v>7</v>
      </c>
      <c r="AQ920" s="71" t="str">
        <f ca="1">Sprache!$A$119</f>
        <v>Tiomos Scharnier T Impresso</v>
      </c>
      <c r="AR920" t="str">
        <f ca="1">"110/45°, HS-BB, "&amp;Sprache!$A$58&amp;" ni"</f>
        <v>110/45°, HS-BB, aufl. ni</v>
      </c>
      <c r="AS920" t="str">
        <f ca="1">Sprache!$A$103</f>
        <v>Tiomos Click-On Scharniere</v>
      </c>
      <c r="AT920" t="s">
        <v>1264</v>
      </c>
      <c r="AU920" t="s">
        <v>10</v>
      </c>
      <c r="AV920" t="s">
        <v>1489</v>
      </c>
      <c r="AW920" s="71">
        <v>0</v>
      </c>
      <c r="AX920">
        <v>1</v>
      </c>
      <c r="AY920">
        <v>0</v>
      </c>
      <c r="AZ920" s="71">
        <v>0</v>
      </c>
      <c r="BA920">
        <v>0</v>
      </c>
      <c r="BB920">
        <v>0</v>
      </c>
      <c r="BC920">
        <v>1</v>
      </c>
      <c r="BD920" s="144" t="s">
        <v>1771</v>
      </c>
      <c r="BF920" s="10"/>
      <c r="BG920"/>
    </row>
    <row r="921" spans="1:59" ht="14.25" customHeight="1" x14ac:dyDescent="0.25">
      <c r="A921" s="37" t="str">
        <f>LEFT(Scharniere[[#This Row],[ArtikelNR]],4)</f>
        <v>F034</v>
      </c>
      <c r="B921" s="35" t="str">
        <f>MID(Scharniere[[#This Row],[ArtikelNR]],5,3)</f>
        <v>139</v>
      </c>
      <c r="C921" s="37" t="str">
        <f>RIGHT(Scharniere[[#This Row],[ArtikelNR]],3)</f>
        <v>480</v>
      </c>
      <c r="D921" s="35">
        <f>IF(AND(Scharniere[[#This Row],[Gruppenschlüssel]]=select!$A$44,Scharniere[[#This Row],[Scharnierart]]=1)=TRUE,1,0)</f>
        <v>0</v>
      </c>
      <c r="E9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1" s="35">
        <f>IF(select!$F$57=IF(Scharniere[[#This Row],[mit Dämpfung]]=1,1,IF(Scharniere[[#This Row],[ohne Dämpfung]]=1,2,IF(Scharniere[[#This Row],[ohne Feder]]=1,3,0))),1,0)</f>
        <v>0</v>
      </c>
      <c r="G921" s="35">
        <f>IF(Scharniere[[#This Row],[Bohrbild]]=select!$V$43,1,0)</f>
        <v>0</v>
      </c>
      <c r="H921" s="35">
        <f>IF(IF(Scharniere[[#This Row],[Anschrauben]]=1,1,IF(Scharniere[[#This Row],[Einpressen]]=1,2,IF(Scharniere[[#This Row],[Quick]]=1,3,IF(Scharniere[[#This Row],[Werkzeuglos]]=1,4,0))))=select!$F$48,1,0)</f>
        <v>0</v>
      </c>
      <c r="I9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1" s="149">
        <f>IF(AND(Scharniere[[#This Row],[Scharnierart]]=2,Scharniere[[#This Row],[Gruppenschlüssel]]=select!$A$318)=TRUE,1,0)</f>
        <v>0</v>
      </c>
      <c r="K921" s="221">
        <f ca="1">IF(select!$O$424&lt;6,1,0)</f>
        <v>1</v>
      </c>
      <c r="L921" s="221">
        <f>IF(select!$A$362=IF(Scharniere[[#This Row],[mit Dämpfung]]=1,1,IF(Scharniere[[#This Row],[ohne Dämpfung]]=1,2,IF(Scharniere[[#This Row],[ohne Feder]]=1,3,0))),1,0)</f>
        <v>0</v>
      </c>
      <c r="M921" s="135">
        <f>IF(Scharniere[[#This Row],[Bohrbild]]=select!$O$334,1,0)</f>
        <v>0</v>
      </c>
      <c r="N921" s="135">
        <f>IF(IF(Scharniere[[#This Row],[Anschrauben]]=1,1,IF(Scharniere[[#This Row],[Einpressen]]=1,2,IF(Scharniere[[#This Row],[Quick]]=1,3,IF(Scharniere[[#This Row],[Werkzeuglos]]=1,4,0))))=select!$E$362,1,0)</f>
        <v>0</v>
      </c>
      <c r="O9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1" s="298">
        <f>IF(AND(Scharniere[[#This Row],[Scharnierart]]=3,Scharniere[[#This Row],[Gruppenschlüssel]]=select!$A$747)=TRUE,1,0)</f>
        <v>0</v>
      </c>
      <c r="Q921" s="298">
        <f ca="1">IF(select!$O$945&lt;6,1,0)</f>
        <v>1</v>
      </c>
      <c r="R921" s="298">
        <f>IF(select!$A$778=IF(Scharniere[[#This Row],[mit Dämpfung]]=1,1,IF(Scharniere[[#This Row],[ohne Dämpfung]]=1,2,IF(Scharniere[[#This Row],[ohne Feder]]=1,3,0))),1,0)</f>
        <v>1</v>
      </c>
      <c r="S921" s="298">
        <f>IF(Scharniere[[#This Row],[Bohrbild]]=select!$A$755,1,0)</f>
        <v>0</v>
      </c>
      <c r="T921" s="298">
        <f>IF(IF(Scharniere[[#This Row],[Anschrauben]]=1,1,IF(Scharniere[[#This Row],[Einpressen]]=1,2,IF(Scharniere[[#This Row],[Quick]]=1,3,IF(Scharniere[[#This Row],[Werkzeuglos]]=1,4,0))))=select!$A$769,1,0)</f>
        <v>0</v>
      </c>
      <c r="U9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1" s="359">
        <f>IF(AND(Scharniere[[#This Row],[Scharnierart]]=4,Scharniere[[#This Row],[Gruppenschlüssel]]=select!$A$981)=TRUE,1,0)</f>
        <v>0</v>
      </c>
      <c r="W921" s="359">
        <f ca="1">IF(select!$O$1185&lt;6,1,0)</f>
        <v>1</v>
      </c>
      <c r="X921" s="359">
        <f>IF(select!$A$1012=IF(Scharniere[[#This Row],[mit Dämpfung]]=1,1,IF(Scharniere[[#This Row],[ohne Dämpfung]]=1,2,IF(Scharniere[[#This Row],[ohne Feder]]=1,3,0))),1,0)</f>
        <v>1</v>
      </c>
      <c r="Y921" s="359">
        <f>IF(Scharniere[[#This Row],[Bohrbild]]=select!$A$989,1,0)</f>
        <v>0</v>
      </c>
      <c r="Z921" s="359">
        <f>IF(IF(Scharniere[[#This Row],[Anschrauben]]=1,1,IF(Scharniere[[#This Row],[Einpressen]]=1,2,IF(Scharniere[[#This Row],[Quick]]=1,3,IF(Scharniere[[#This Row],[Werkzeuglos]]=1,4,0))))=select!$A$1003,1,0)</f>
        <v>0</v>
      </c>
      <c r="AA9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1" s="359">
        <f ca="1">IF(select!$K$980="*",Scharniere[[#This Row],[AG Ges2]],Scharniere[[#This Row],[AG Ges1]])</f>
        <v>0</v>
      </c>
      <c r="AE921" s="451">
        <f ca="1">IF(AND(Scharniere[[#This Row],[Scharnierart]]=select!$A$1485,Scharniere[[#This Row],[Gruppenschlüssel]]=select!$B$1485)=TRUE,1,0)</f>
        <v>0</v>
      </c>
      <c r="AF921" s="451">
        <f ca="1">IF(AND(Scharniere[[#This Row],[Scharnierart]]=select!$A$1486,Scharniere[[#This Row],[Gruppenschlüssel]]=select!$B$1486)=TRUE,1,0)</f>
        <v>0</v>
      </c>
      <c r="AG921" s="451">
        <f ca="1">IF(AND(Scharniere[[#This Row],[Scharnierart]]=select!$A$1487,Scharniere[[#This Row],[Gruppenschlüssel]]=select!$B$1487)=TRUE,1,0)</f>
        <v>0</v>
      </c>
      <c r="AH921" s="451">
        <f ca="1">IF(AND(Scharniere[[#This Row],[Scharnierart]]=select!$A$1488,Scharniere[[#This Row],[Gruppenschlüssel]]=select!$B$1488)=TRUE,1,0)</f>
        <v>0</v>
      </c>
      <c r="AI921" s="451">
        <f ca="1">IF(SUM(Scharniere[[#This Row],[konf Scharnier 1]:[konf Scharnier 4]])&gt;0,1,0)</f>
        <v>0</v>
      </c>
      <c r="AJ921" s="451"/>
      <c r="AK921" s="451"/>
      <c r="AL921" s="451"/>
      <c r="AM921" s="451"/>
      <c r="AN921" s="451"/>
      <c r="AO921" s="146">
        <v>2</v>
      </c>
      <c r="AP921" s="146">
        <v>7</v>
      </c>
      <c r="AQ921" s="71" t="str">
        <f ca="1">Sprache!$A$119</f>
        <v>Tiomos Scharnier T Impresso</v>
      </c>
      <c r="AR921" t="str">
        <f ca="1">"110/45°, HS-BB, "&amp;Sprache!$A$58&amp;" ni"</f>
        <v>110/45°, HS-BB, aufl. ni</v>
      </c>
      <c r="AS921" t="str">
        <f ca="1">Sprache!$A$103</f>
        <v>Tiomos Click-On Scharniere</v>
      </c>
      <c r="AT921" t="s">
        <v>1264</v>
      </c>
      <c r="AU921" t="s">
        <v>11</v>
      </c>
      <c r="AV921" t="s">
        <v>1489</v>
      </c>
      <c r="AW921" s="71">
        <v>0</v>
      </c>
      <c r="AX921">
        <v>1</v>
      </c>
      <c r="AY921">
        <v>0</v>
      </c>
      <c r="AZ921" s="71">
        <v>0</v>
      </c>
      <c r="BA921">
        <v>0</v>
      </c>
      <c r="BB921">
        <v>0</v>
      </c>
      <c r="BC921">
        <v>1</v>
      </c>
      <c r="BD921" s="144" t="s">
        <v>1771</v>
      </c>
      <c r="BF921" s="10"/>
      <c r="BG921"/>
    </row>
    <row r="922" spans="1:59" ht="14.25" customHeight="1" x14ac:dyDescent="0.25">
      <c r="A922" s="37" t="str">
        <f>LEFT(Scharniere[[#This Row],[ArtikelNR]],4)</f>
        <v>F028</v>
      </c>
      <c r="B922" s="35" t="str">
        <f>MID(Scharniere[[#This Row],[ArtikelNR]],5,3)</f>
        <v>138</v>
      </c>
      <c r="C922" s="37" t="str">
        <f>RIGHT(Scharniere[[#This Row],[ArtikelNR]],3)</f>
        <v>107</v>
      </c>
      <c r="D922" s="35">
        <f>IF(AND(Scharniere[[#This Row],[Gruppenschlüssel]]=select!$A$44,Scharniere[[#This Row],[Scharnierart]]=1)=TRUE,1,0)</f>
        <v>0</v>
      </c>
      <c r="E9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2" s="35">
        <f>IF(select!$F$57=IF(Scharniere[[#This Row],[mit Dämpfung]]=1,1,IF(Scharniere[[#This Row],[ohne Dämpfung]]=1,2,IF(Scharniere[[#This Row],[ohne Feder]]=1,3,0))),1,0)</f>
        <v>0</v>
      </c>
      <c r="G922" s="35">
        <f>IF(Scharniere[[#This Row],[Bohrbild]]=select!$V$43,1,0)</f>
        <v>1</v>
      </c>
      <c r="H922" s="35">
        <f>IF(IF(Scharniere[[#This Row],[Anschrauben]]=1,1,IF(Scharniere[[#This Row],[Einpressen]]=1,2,IF(Scharniere[[#This Row],[Quick]]=1,3,IF(Scharniere[[#This Row],[Werkzeuglos]]=1,4,0))))=select!$F$48,1,0)</f>
        <v>0</v>
      </c>
      <c r="I9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2" s="149">
        <f>IF(AND(Scharniere[[#This Row],[Scharnierart]]=2,Scharniere[[#This Row],[Gruppenschlüssel]]=select!$A$318)=TRUE,1,0)</f>
        <v>0</v>
      </c>
      <c r="K922" s="221">
        <f ca="1">IF(select!$O$424&lt;6,1,0)</f>
        <v>1</v>
      </c>
      <c r="L922" s="221">
        <f>IF(select!$A$362=IF(Scharniere[[#This Row],[mit Dämpfung]]=1,1,IF(Scharniere[[#This Row],[ohne Dämpfung]]=1,2,IF(Scharniere[[#This Row],[ohne Feder]]=1,3,0))),1,0)</f>
        <v>1</v>
      </c>
      <c r="M922" s="135">
        <f>IF(Scharniere[[#This Row],[Bohrbild]]=select!$O$334,1,0)</f>
        <v>1</v>
      </c>
      <c r="N922" s="135">
        <f>IF(IF(Scharniere[[#This Row],[Anschrauben]]=1,1,IF(Scharniere[[#This Row],[Einpressen]]=1,2,IF(Scharniere[[#This Row],[Quick]]=1,3,IF(Scharniere[[#This Row],[Werkzeuglos]]=1,4,0))))=select!$E$362,1,0)</f>
        <v>1</v>
      </c>
      <c r="O9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2" s="298">
        <f>IF(AND(Scharniere[[#This Row],[Scharnierart]]=3,Scharniere[[#This Row],[Gruppenschlüssel]]=select!$A$747)=TRUE,1,0)</f>
        <v>0</v>
      </c>
      <c r="Q922" s="298">
        <f ca="1">IF(select!$O$945&lt;6,1,0)</f>
        <v>1</v>
      </c>
      <c r="R922" s="298">
        <f>IF(select!$A$778=IF(Scharniere[[#This Row],[mit Dämpfung]]=1,1,IF(Scharniere[[#This Row],[ohne Dämpfung]]=1,2,IF(Scharniere[[#This Row],[ohne Feder]]=1,3,0))),1,0)</f>
        <v>0</v>
      </c>
      <c r="S922" s="298">
        <f>IF(Scharniere[[#This Row],[Bohrbild]]=select!$A$755,1,0)</f>
        <v>0</v>
      </c>
      <c r="T922" s="298">
        <f>IF(IF(Scharniere[[#This Row],[Anschrauben]]=1,1,IF(Scharniere[[#This Row],[Einpressen]]=1,2,IF(Scharniere[[#This Row],[Quick]]=1,3,IF(Scharniere[[#This Row],[Werkzeuglos]]=1,4,0))))=select!$A$769,1,0)</f>
        <v>1</v>
      </c>
      <c r="U9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2" s="359">
        <f>IF(AND(Scharniere[[#This Row],[Scharnierart]]=4,Scharniere[[#This Row],[Gruppenschlüssel]]=select!$A$981)=TRUE,1,0)</f>
        <v>0</v>
      </c>
      <c r="W922" s="359">
        <f ca="1">IF(select!$O$1185&lt;6,1,0)</f>
        <v>1</v>
      </c>
      <c r="X922" s="359">
        <f>IF(select!$A$1012=IF(Scharniere[[#This Row],[mit Dämpfung]]=1,1,IF(Scharniere[[#This Row],[ohne Dämpfung]]=1,2,IF(Scharniere[[#This Row],[ohne Feder]]=1,3,0))),1,0)</f>
        <v>0</v>
      </c>
      <c r="Y922" s="359">
        <f>IF(Scharniere[[#This Row],[Bohrbild]]=select!$A$989,1,0)</f>
        <v>0</v>
      </c>
      <c r="Z922" s="359">
        <f>IF(IF(Scharniere[[#This Row],[Anschrauben]]=1,1,IF(Scharniere[[#This Row],[Einpressen]]=1,2,IF(Scharniere[[#This Row],[Quick]]=1,3,IF(Scharniere[[#This Row],[Werkzeuglos]]=1,4,0))))=select!$A$1003,1,0)</f>
        <v>1</v>
      </c>
      <c r="AA9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2" s="359">
        <f ca="1">IF(select!$K$980="*",Scharniere[[#This Row],[AG Ges2]],Scharniere[[#This Row],[AG Ges1]])</f>
        <v>0</v>
      </c>
      <c r="AE922" s="451">
        <f ca="1">IF(AND(Scharniere[[#This Row],[Scharnierart]]=select!$A$1485,Scharniere[[#This Row],[Gruppenschlüssel]]=select!$B$1485)=TRUE,1,0)</f>
        <v>0</v>
      </c>
      <c r="AF922" s="451">
        <f ca="1">IF(AND(Scharniere[[#This Row],[Scharnierart]]=select!$A$1486,Scharniere[[#This Row],[Gruppenschlüssel]]=select!$B$1486)=TRUE,1,0)</f>
        <v>0</v>
      </c>
      <c r="AG922" s="451">
        <f ca="1">IF(AND(Scharniere[[#This Row],[Scharnierart]]=select!$A$1487,Scharniere[[#This Row],[Gruppenschlüssel]]=select!$B$1487)=TRUE,1,0)</f>
        <v>0</v>
      </c>
      <c r="AH922" s="451">
        <f ca="1">IF(AND(Scharniere[[#This Row],[Scharnierart]]=select!$A$1488,Scharniere[[#This Row],[Gruppenschlüssel]]=select!$B$1488)=TRUE,1,0)</f>
        <v>0</v>
      </c>
      <c r="AI922" s="451">
        <f ca="1">IF(SUM(Scharniere[[#This Row],[konf Scharnier 1]:[konf Scharnier 4]])&gt;0,1,0)</f>
        <v>0</v>
      </c>
      <c r="AJ922" s="451"/>
      <c r="AK922" s="451"/>
      <c r="AL922" s="451"/>
      <c r="AM922" s="451"/>
      <c r="AN922" s="451"/>
      <c r="AO922" s="146">
        <v>2</v>
      </c>
      <c r="AP922" s="146">
        <v>7</v>
      </c>
      <c r="AQ922" s="71" t="str">
        <f ca="1">Sprache!$A$112</f>
        <v>Tiomos Scharnier TS Click-on</v>
      </c>
      <c r="AR922" t="str">
        <f ca="1">"110/45°, M-BB, "&amp;Sprache!$A$58&amp;" ni"</f>
        <v>110/45°, M-BB, aufl. ni</v>
      </c>
      <c r="AS922" t="str">
        <f ca="1">Sprache!$A$103</f>
        <v>Tiomos Click-On Scharniere</v>
      </c>
      <c r="AT922" t="s">
        <v>1264</v>
      </c>
      <c r="AU922" t="s">
        <v>8</v>
      </c>
      <c r="AV922" t="s">
        <v>1489</v>
      </c>
      <c r="AW922" s="71">
        <v>1</v>
      </c>
      <c r="AX922">
        <v>0</v>
      </c>
      <c r="AY922">
        <v>0</v>
      </c>
      <c r="AZ922" s="71">
        <v>1</v>
      </c>
      <c r="BA922">
        <v>0</v>
      </c>
      <c r="BB922">
        <v>0</v>
      </c>
      <c r="BC922">
        <v>0</v>
      </c>
      <c r="BD922" s="144" t="s">
        <v>1517</v>
      </c>
      <c r="BF922" s="10"/>
      <c r="BG922"/>
    </row>
    <row r="923" spans="1:59" ht="14.25" customHeight="1" x14ac:dyDescent="0.25">
      <c r="A923" s="37" t="str">
        <f>LEFT(Scharniere[[#This Row],[ArtikelNR]],4)</f>
        <v>F045</v>
      </c>
      <c r="B923" s="35" t="str">
        <f>MID(Scharniere[[#This Row],[ArtikelNR]],5,3)</f>
        <v>138</v>
      </c>
      <c r="C923" s="37" t="str">
        <f>RIGHT(Scharniere[[#This Row],[ArtikelNR]],3)</f>
        <v>014</v>
      </c>
      <c r="D923" s="35">
        <f>IF(AND(Scharniere[[#This Row],[Gruppenschlüssel]]=select!$A$44,Scharniere[[#This Row],[Scharnierart]]=1)=TRUE,1,0)</f>
        <v>0</v>
      </c>
      <c r="E9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3" s="35">
        <f>IF(select!$F$57=IF(Scharniere[[#This Row],[mit Dämpfung]]=1,1,IF(Scharniere[[#This Row],[ohne Dämpfung]]=1,2,IF(Scharniere[[#This Row],[ohne Feder]]=1,3,0))),1,0)</f>
        <v>0</v>
      </c>
      <c r="G923" s="35">
        <f>IF(Scharniere[[#This Row],[Bohrbild]]=select!$V$43,1,0)</f>
        <v>1</v>
      </c>
      <c r="H923" s="35">
        <f>IF(IF(Scharniere[[#This Row],[Anschrauben]]=1,1,IF(Scharniere[[#This Row],[Einpressen]]=1,2,IF(Scharniere[[#This Row],[Quick]]=1,3,IF(Scharniere[[#This Row],[Werkzeuglos]]=1,4,0))))=select!$F$48,1,0)</f>
        <v>0</v>
      </c>
      <c r="I9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3" s="149">
        <f>IF(AND(Scharniere[[#This Row],[Scharnierart]]=2,Scharniere[[#This Row],[Gruppenschlüssel]]=select!$A$318)=TRUE,1,0)</f>
        <v>0</v>
      </c>
      <c r="K923" s="221">
        <f ca="1">IF(select!$O$424&lt;6,1,0)</f>
        <v>1</v>
      </c>
      <c r="L923" s="221">
        <f>IF(select!$A$362=IF(Scharniere[[#This Row],[mit Dämpfung]]=1,1,IF(Scharniere[[#This Row],[ohne Dämpfung]]=1,2,IF(Scharniere[[#This Row],[ohne Feder]]=1,3,0))),1,0)</f>
        <v>0</v>
      </c>
      <c r="M923" s="135">
        <f>IF(Scharniere[[#This Row],[Bohrbild]]=select!$O$334,1,0)</f>
        <v>1</v>
      </c>
      <c r="N923" s="135">
        <f>IF(IF(Scharniere[[#This Row],[Anschrauben]]=1,1,IF(Scharniere[[#This Row],[Einpressen]]=1,2,IF(Scharniere[[#This Row],[Quick]]=1,3,IF(Scharniere[[#This Row],[Werkzeuglos]]=1,4,0))))=select!$E$362,1,0)</f>
        <v>1</v>
      </c>
      <c r="O9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3" s="298">
        <f>IF(AND(Scharniere[[#This Row],[Scharnierart]]=3,Scharniere[[#This Row],[Gruppenschlüssel]]=select!$A$747)=TRUE,1,0)</f>
        <v>0</v>
      </c>
      <c r="Q923" s="298">
        <f ca="1">IF(select!$O$945&lt;6,1,0)</f>
        <v>1</v>
      </c>
      <c r="R923" s="298">
        <f>IF(select!$A$778=IF(Scharniere[[#This Row],[mit Dämpfung]]=1,1,IF(Scharniere[[#This Row],[ohne Dämpfung]]=1,2,IF(Scharniere[[#This Row],[ohne Feder]]=1,3,0))),1,0)</f>
        <v>1</v>
      </c>
      <c r="S923" s="298">
        <f>IF(Scharniere[[#This Row],[Bohrbild]]=select!$A$755,1,0)</f>
        <v>0</v>
      </c>
      <c r="T923" s="298">
        <f>IF(IF(Scharniere[[#This Row],[Anschrauben]]=1,1,IF(Scharniere[[#This Row],[Einpressen]]=1,2,IF(Scharniere[[#This Row],[Quick]]=1,3,IF(Scharniere[[#This Row],[Werkzeuglos]]=1,4,0))))=select!$A$769,1,0)</f>
        <v>1</v>
      </c>
      <c r="U9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3" s="359">
        <f>IF(AND(Scharniere[[#This Row],[Scharnierart]]=4,Scharniere[[#This Row],[Gruppenschlüssel]]=select!$A$981)=TRUE,1,0)</f>
        <v>0</v>
      </c>
      <c r="W923" s="359">
        <f ca="1">IF(select!$O$1185&lt;6,1,0)</f>
        <v>1</v>
      </c>
      <c r="X923" s="359">
        <f>IF(select!$A$1012=IF(Scharniere[[#This Row],[mit Dämpfung]]=1,1,IF(Scharniere[[#This Row],[ohne Dämpfung]]=1,2,IF(Scharniere[[#This Row],[ohne Feder]]=1,3,0))),1,0)</f>
        <v>1</v>
      </c>
      <c r="Y923" s="359">
        <f>IF(Scharniere[[#This Row],[Bohrbild]]=select!$A$989,1,0)</f>
        <v>0</v>
      </c>
      <c r="Z923" s="359">
        <f>IF(IF(Scharniere[[#This Row],[Anschrauben]]=1,1,IF(Scharniere[[#This Row],[Einpressen]]=1,2,IF(Scharniere[[#This Row],[Quick]]=1,3,IF(Scharniere[[#This Row],[Werkzeuglos]]=1,4,0))))=select!$A$1003,1,0)</f>
        <v>1</v>
      </c>
      <c r="AA9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3" s="359">
        <f ca="1">IF(select!$K$980="*",Scharniere[[#This Row],[AG Ges2]],Scharniere[[#This Row],[AG Ges1]])</f>
        <v>0</v>
      </c>
      <c r="AE923" s="451">
        <f ca="1">IF(AND(Scharniere[[#This Row],[Scharnierart]]=select!$A$1485,Scharniere[[#This Row],[Gruppenschlüssel]]=select!$B$1485)=TRUE,1,0)</f>
        <v>0</v>
      </c>
      <c r="AF923" s="451">
        <f ca="1">IF(AND(Scharniere[[#This Row],[Scharnierart]]=select!$A$1486,Scharniere[[#This Row],[Gruppenschlüssel]]=select!$B$1486)=TRUE,1,0)</f>
        <v>0</v>
      </c>
      <c r="AG923" s="451">
        <f ca="1">IF(AND(Scharniere[[#This Row],[Scharnierart]]=select!$A$1487,Scharniere[[#This Row],[Gruppenschlüssel]]=select!$B$1487)=TRUE,1,0)</f>
        <v>0</v>
      </c>
      <c r="AH923" s="451">
        <f ca="1">IF(AND(Scharniere[[#This Row],[Scharnierart]]=select!$A$1488,Scharniere[[#This Row],[Gruppenschlüssel]]=select!$B$1488)=TRUE,1,0)</f>
        <v>0</v>
      </c>
      <c r="AI923" s="451">
        <f ca="1">IF(SUM(Scharniere[[#This Row],[konf Scharnier 1]:[konf Scharnier 4]])&gt;0,1,0)</f>
        <v>0</v>
      </c>
      <c r="AJ923" s="451"/>
      <c r="AK923" s="451"/>
      <c r="AL923" s="451"/>
      <c r="AM923" s="451"/>
      <c r="AN923" s="451"/>
      <c r="AO923" s="146">
        <v>2</v>
      </c>
      <c r="AP923" s="146">
        <v>7</v>
      </c>
      <c r="AQ923" s="71" t="str">
        <f ca="1">Sprache!$A$118</f>
        <v>Tiomos Scharnier T Click-on</v>
      </c>
      <c r="AR923" t="str">
        <f ca="1">"110/45°, M-BB, "&amp;Sprache!$A$58&amp;" ni"</f>
        <v>110/45°, M-BB, aufl. ni</v>
      </c>
      <c r="AS923" t="str">
        <f ca="1">Sprache!$A$103</f>
        <v>Tiomos Click-On Scharniere</v>
      </c>
      <c r="AT923" t="s">
        <v>1264</v>
      </c>
      <c r="AU923" t="s">
        <v>8</v>
      </c>
      <c r="AV923" t="s">
        <v>1489</v>
      </c>
      <c r="AW923" s="71">
        <v>0</v>
      </c>
      <c r="AX923">
        <v>1</v>
      </c>
      <c r="AY923">
        <v>0</v>
      </c>
      <c r="AZ923" s="71">
        <v>1</v>
      </c>
      <c r="BA923">
        <v>0</v>
      </c>
      <c r="BB923">
        <v>0</v>
      </c>
      <c r="BC923">
        <v>0</v>
      </c>
      <c r="BD923" s="144" t="s">
        <v>1619</v>
      </c>
      <c r="BF923" s="10"/>
      <c r="BG923"/>
    </row>
    <row r="924" spans="1:59" ht="14.25" customHeight="1" x14ac:dyDescent="0.25">
      <c r="A924" s="37" t="str">
        <f>LEFT(Scharniere[[#This Row],[ArtikelNR]],4)</f>
        <v>F046</v>
      </c>
      <c r="B924" s="35" t="str">
        <f>MID(Scharniere[[#This Row],[ArtikelNR]],5,3)</f>
        <v>138</v>
      </c>
      <c r="C924" s="37" t="str">
        <f>RIGHT(Scharniere[[#This Row],[ArtikelNR]],3)</f>
        <v>198</v>
      </c>
      <c r="D924" s="35">
        <f>IF(AND(Scharniere[[#This Row],[Gruppenschlüssel]]=select!$A$44,Scharniere[[#This Row],[Scharnierart]]=1)=TRUE,1,0)</f>
        <v>0</v>
      </c>
      <c r="E9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4" s="35">
        <f>IF(select!$F$57=IF(Scharniere[[#This Row],[mit Dämpfung]]=1,1,IF(Scharniere[[#This Row],[ohne Dämpfung]]=1,2,IF(Scharniere[[#This Row],[ohne Feder]]=1,3,0))),1,0)</f>
        <v>1</v>
      </c>
      <c r="G924" s="35">
        <f>IF(Scharniere[[#This Row],[Bohrbild]]=select!$V$43,1,0)</f>
        <v>1</v>
      </c>
      <c r="H924" s="35">
        <f>IF(IF(Scharniere[[#This Row],[Anschrauben]]=1,1,IF(Scharniere[[#This Row],[Einpressen]]=1,2,IF(Scharniere[[#This Row],[Quick]]=1,3,IF(Scharniere[[#This Row],[Werkzeuglos]]=1,4,0))))=select!$F$48,1,0)</f>
        <v>0</v>
      </c>
      <c r="I9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4" s="149">
        <f>IF(AND(Scharniere[[#This Row],[Scharnierart]]=2,Scharniere[[#This Row],[Gruppenschlüssel]]=select!$A$318)=TRUE,1,0)</f>
        <v>0</v>
      </c>
      <c r="K924" s="221">
        <f ca="1">IF(select!$O$424&lt;6,1,0)</f>
        <v>1</v>
      </c>
      <c r="L924" s="221">
        <f>IF(select!$A$362=IF(Scharniere[[#This Row],[mit Dämpfung]]=1,1,IF(Scharniere[[#This Row],[ohne Dämpfung]]=1,2,IF(Scharniere[[#This Row],[ohne Feder]]=1,3,0))),1,0)</f>
        <v>0</v>
      </c>
      <c r="M924" s="135">
        <f>IF(Scharniere[[#This Row],[Bohrbild]]=select!$O$334,1,0)</f>
        <v>1</v>
      </c>
      <c r="N924" s="135">
        <f>IF(IF(Scharniere[[#This Row],[Anschrauben]]=1,1,IF(Scharniere[[#This Row],[Einpressen]]=1,2,IF(Scharniere[[#This Row],[Quick]]=1,3,IF(Scharniere[[#This Row],[Werkzeuglos]]=1,4,0))))=select!$E$362,1,0)</f>
        <v>1</v>
      </c>
      <c r="O9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4" s="298">
        <f>IF(AND(Scharniere[[#This Row],[Scharnierart]]=3,Scharniere[[#This Row],[Gruppenschlüssel]]=select!$A$747)=TRUE,1,0)</f>
        <v>0</v>
      </c>
      <c r="Q924" s="298">
        <f ca="1">IF(select!$O$945&lt;6,1,0)</f>
        <v>1</v>
      </c>
      <c r="R924" s="298">
        <f>IF(select!$A$778=IF(Scharniere[[#This Row],[mit Dämpfung]]=1,1,IF(Scharniere[[#This Row],[ohne Dämpfung]]=1,2,IF(Scharniere[[#This Row],[ohne Feder]]=1,3,0))),1,0)</f>
        <v>0</v>
      </c>
      <c r="S924" s="298">
        <f>IF(Scharniere[[#This Row],[Bohrbild]]=select!$A$755,1,0)</f>
        <v>0</v>
      </c>
      <c r="T924" s="298">
        <f>IF(IF(Scharniere[[#This Row],[Anschrauben]]=1,1,IF(Scharniere[[#This Row],[Einpressen]]=1,2,IF(Scharniere[[#This Row],[Quick]]=1,3,IF(Scharniere[[#This Row],[Werkzeuglos]]=1,4,0))))=select!$A$769,1,0)</f>
        <v>1</v>
      </c>
      <c r="U9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4" s="359">
        <f>IF(AND(Scharniere[[#This Row],[Scharnierart]]=4,Scharniere[[#This Row],[Gruppenschlüssel]]=select!$A$981)=TRUE,1,0)</f>
        <v>0</v>
      </c>
      <c r="W924" s="359">
        <f ca="1">IF(select!$O$1185&lt;6,1,0)</f>
        <v>1</v>
      </c>
      <c r="X924" s="359">
        <f>IF(select!$A$1012=IF(Scharniere[[#This Row],[mit Dämpfung]]=1,1,IF(Scharniere[[#This Row],[ohne Dämpfung]]=1,2,IF(Scharniere[[#This Row],[ohne Feder]]=1,3,0))),1,0)</f>
        <v>0</v>
      </c>
      <c r="Y924" s="359">
        <f>IF(Scharniere[[#This Row],[Bohrbild]]=select!$A$989,1,0)</f>
        <v>0</v>
      </c>
      <c r="Z924" s="359">
        <f>IF(IF(Scharniere[[#This Row],[Anschrauben]]=1,1,IF(Scharniere[[#This Row],[Einpressen]]=1,2,IF(Scharniere[[#This Row],[Quick]]=1,3,IF(Scharniere[[#This Row],[Werkzeuglos]]=1,4,0))))=select!$A$1003,1,0)</f>
        <v>1</v>
      </c>
      <c r="AA9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4" s="359">
        <f ca="1">IF(select!$K$980="*",Scharniere[[#This Row],[AG Ges2]],Scharniere[[#This Row],[AG Ges1]])</f>
        <v>0</v>
      </c>
      <c r="AE924" s="451">
        <f ca="1">IF(AND(Scharniere[[#This Row],[Scharnierart]]=select!$A$1485,Scharniere[[#This Row],[Gruppenschlüssel]]=select!$B$1485)=TRUE,1,0)</f>
        <v>0</v>
      </c>
      <c r="AF924" s="451">
        <f ca="1">IF(AND(Scharniere[[#This Row],[Scharnierart]]=select!$A$1486,Scharniere[[#This Row],[Gruppenschlüssel]]=select!$B$1486)=TRUE,1,0)</f>
        <v>0</v>
      </c>
      <c r="AG924" s="451">
        <f ca="1">IF(AND(Scharniere[[#This Row],[Scharnierart]]=select!$A$1487,Scharniere[[#This Row],[Gruppenschlüssel]]=select!$B$1487)=TRUE,1,0)</f>
        <v>0</v>
      </c>
      <c r="AH924" s="451">
        <f ca="1">IF(AND(Scharniere[[#This Row],[Scharnierart]]=select!$A$1488,Scharniere[[#This Row],[Gruppenschlüssel]]=select!$B$1488)=TRUE,1,0)</f>
        <v>0</v>
      </c>
      <c r="AI924" s="451">
        <f ca="1">IF(SUM(Scharniere[[#This Row],[konf Scharnier 1]:[konf Scharnier 4]])&gt;0,1,0)</f>
        <v>0</v>
      </c>
      <c r="AJ924" s="451"/>
      <c r="AK924" s="451"/>
      <c r="AL924" s="451"/>
      <c r="AM924" s="451"/>
      <c r="AN924" s="451"/>
      <c r="AO924" s="146">
        <v>2</v>
      </c>
      <c r="AP924" s="146">
        <v>7</v>
      </c>
      <c r="AQ924" s="71" t="str">
        <f ca="1">Sprache!$A$114</f>
        <v>Tiomos Scharnier TT Click-on</v>
      </c>
      <c r="AR924" t="str">
        <f ca="1">"110/45°, M-BB, "&amp;Sprache!$A$58&amp;" ni"</f>
        <v>110/45°, M-BB, aufl. ni</v>
      </c>
      <c r="AS924" t="str">
        <f ca="1">Sprache!$A$103</f>
        <v>Tiomos Click-On Scharniere</v>
      </c>
      <c r="AT924" t="s">
        <v>1264</v>
      </c>
      <c r="AU924" t="s">
        <v>8</v>
      </c>
      <c r="AV924" t="s">
        <v>1489</v>
      </c>
      <c r="AW924" s="71">
        <v>0</v>
      </c>
      <c r="AX924">
        <v>0</v>
      </c>
      <c r="AY924">
        <v>1</v>
      </c>
      <c r="AZ924" s="71">
        <v>1</v>
      </c>
      <c r="BA924">
        <v>0</v>
      </c>
      <c r="BB924">
        <v>0</v>
      </c>
      <c r="BC924">
        <v>0</v>
      </c>
      <c r="BD924" s="144" t="s">
        <v>1704</v>
      </c>
      <c r="BF924" s="10"/>
      <c r="BG924"/>
    </row>
    <row r="925" spans="1:59" ht="14.25" customHeight="1" x14ac:dyDescent="0.25">
      <c r="A925" s="37" t="str">
        <f>LEFT(Scharniere[[#This Row],[ArtikelNR]],4)</f>
        <v>F017</v>
      </c>
      <c r="B925" s="35" t="str">
        <f>MID(Scharniere[[#This Row],[ArtikelNR]],5,3)</f>
        <v>139</v>
      </c>
      <c r="C925" s="37" t="str">
        <f>RIGHT(Scharniere[[#This Row],[ArtikelNR]],3)</f>
        <v>339</v>
      </c>
      <c r="D925" s="35">
        <f>IF(AND(Scharniere[[#This Row],[Gruppenschlüssel]]=select!$A$44,Scharniere[[#This Row],[Scharnierart]]=1)=TRUE,1,0)</f>
        <v>0</v>
      </c>
      <c r="E9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5" s="35">
        <f>IF(select!$F$57=IF(Scharniere[[#This Row],[mit Dämpfung]]=1,1,IF(Scharniere[[#This Row],[ohne Dämpfung]]=1,2,IF(Scharniere[[#This Row],[ohne Feder]]=1,3,0))),1,0)</f>
        <v>0</v>
      </c>
      <c r="G925" s="35">
        <f>IF(Scharniere[[#This Row],[Bohrbild]]=select!$V$43,1,0)</f>
        <v>1</v>
      </c>
      <c r="H925" s="35">
        <f>IF(IF(Scharniere[[#This Row],[Anschrauben]]=1,1,IF(Scharniere[[#This Row],[Einpressen]]=1,2,IF(Scharniere[[#This Row],[Quick]]=1,3,IF(Scharniere[[#This Row],[Werkzeuglos]]=1,4,0))))=select!$F$48,1,0)</f>
        <v>0</v>
      </c>
      <c r="I9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5" s="149">
        <f>IF(AND(Scharniere[[#This Row],[Scharnierart]]=2,Scharniere[[#This Row],[Gruppenschlüssel]]=select!$A$318)=TRUE,1,0)</f>
        <v>0</v>
      </c>
      <c r="K925" s="221">
        <f ca="1">IF(select!$O$424&lt;6,1,0)</f>
        <v>1</v>
      </c>
      <c r="L925" s="221">
        <f>IF(select!$A$362=IF(Scharniere[[#This Row],[mit Dämpfung]]=1,1,IF(Scharniere[[#This Row],[ohne Dämpfung]]=1,2,IF(Scharniere[[#This Row],[ohne Feder]]=1,3,0))),1,0)</f>
        <v>1</v>
      </c>
      <c r="M925" s="135">
        <f>IF(Scharniere[[#This Row],[Bohrbild]]=select!$O$334,1,0)</f>
        <v>1</v>
      </c>
      <c r="N925" s="135">
        <f>IF(IF(Scharniere[[#This Row],[Anschrauben]]=1,1,IF(Scharniere[[#This Row],[Einpressen]]=1,2,IF(Scharniere[[#This Row],[Quick]]=1,3,IF(Scharniere[[#This Row],[Werkzeuglos]]=1,4,0))))=select!$E$362,1,0)</f>
        <v>0</v>
      </c>
      <c r="O9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5" s="298">
        <f>IF(AND(Scharniere[[#This Row],[Scharnierart]]=3,Scharniere[[#This Row],[Gruppenschlüssel]]=select!$A$747)=TRUE,1,0)</f>
        <v>0</v>
      </c>
      <c r="Q925" s="298">
        <f ca="1">IF(select!$O$945&lt;6,1,0)</f>
        <v>1</v>
      </c>
      <c r="R925" s="298">
        <f>IF(select!$A$778=IF(Scharniere[[#This Row],[mit Dämpfung]]=1,1,IF(Scharniere[[#This Row],[ohne Dämpfung]]=1,2,IF(Scharniere[[#This Row],[ohne Feder]]=1,3,0))),1,0)</f>
        <v>0</v>
      </c>
      <c r="S925" s="298">
        <f>IF(Scharniere[[#This Row],[Bohrbild]]=select!$A$755,1,0)</f>
        <v>0</v>
      </c>
      <c r="T925" s="298">
        <f>IF(IF(Scharniere[[#This Row],[Anschrauben]]=1,1,IF(Scharniere[[#This Row],[Einpressen]]=1,2,IF(Scharniere[[#This Row],[Quick]]=1,3,IF(Scharniere[[#This Row],[Werkzeuglos]]=1,4,0))))=select!$A$769,1,0)</f>
        <v>0</v>
      </c>
      <c r="U9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5" s="359">
        <f>IF(AND(Scharniere[[#This Row],[Scharnierart]]=4,Scharniere[[#This Row],[Gruppenschlüssel]]=select!$A$981)=TRUE,1,0)</f>
        <v>0</v>
      </c>
      <c r="W925" s="359">
        <f ca="1">IF(select!$O$1185&lt;6,1,0)</f>
        <v>1</v>
      </c>
      <c r="X925" s="359">
        <f>IF(select!$A$1012=IF(Scharniere[[#This Row],[mit Dämpfung]]=1,1,IF(Scharniere[[#This Row],[ohne Dämpfung]]=1,2,IF(Scharniere[[#This Row],[ohne Feder]]=1,3,0))),1,0)</f>
        <v>0</v>
      </c>
      <c r="Y925" s="359">
        <f>IF(Scharniere[[#This Row],[Bohrbild]]=select!$A$989,1,0)</f>
        <v>0</v>
      </c>
      <c r="Z925" s="359">
        <f>IF(IF(Scharniere[[#This Row],[Anschrauben]]=1,1,IF(Scharniere[[#This Row],[Einpressen]]=1,2,IF(Scharniere[[#This Row],[Quick]]=1,3,IF(Scharniere[[#This Row],[Werkzeuglos]]=1,4,0))))=select!$A$1003,1,0)</f>
        <v>0</v>
      </c>
      <c r="AA9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5" s="359">
        <f ca="1">IF(select!$K$980="*",Scharniere[[#This Row],[AG Ges2]],Scharniere[[#This Row],[AG Ges1]])</f>
        <v>0</v>
      </c>
      <c r="AE925" s="451">
        <f ca="1">IF(AND(Scharniere[[#This Row],[Scharnierart]]=select!$A$1485,Scharniere[[#This Row],[Gruppenschlüssel]]=select!$B$1485)=TRUE,1,0)</f>
        <v>0</v>
      </c>
      <c r="AF925" s="451">
        <f ca="1">IF(AND(Scharniere[[#This Row],[Scharnierart]]=select!$A$1486,Scharniere[[#This Row],[Gruppenschlüssel]]=select!$B$1486)=TRUE,1,0)</f>
        <v>0</v>
      </c>
      <c r="AG925" s="451">
        <f ca="1">IF(AND(Scharniere[[#This Row],[Scharnierart]]=select!$A$1487,Scharniere[[#This Row],[Gruppenschlüssel]]=select!$B$1487)=TRUE,1,0)</f>
        <v>0</v>
      </c>
      <c r="AH925" s="451">
        <f ca="1">IF(AND(Scharniere[[#This Row],[Scharnierart]]=select!$A$1488,Scharniere[[#This Row],[Gruppenschlüssel]]=select!$B$1488)=TRUE,1,0)</f>
        <v>0</v>
      </c>
      <c r="AI925" s="451">
        <f ca="1">IF(SUM(Scharniere[[#This Row],[konf Scharnier 1]:[konf Scharnier 4]])&gt;0,1,0)</f>
        <v>0</v>
      </c>
      <c r="AJ925" s="451"/>
      <c r="AK925" s="451"/>
      <c r="AL925" s="451"/>
      <c r="AM925" s="451"/>
      <c r="AN925" s="451"/>
      <c r="AO925" s="146">
        <v>2</v>
      </c>
      <c r="AP925" s="146">
        <v>7</v>
      </c>
      <c r="AQ925" s="71" t="str">
        <f ca="1">Sprache!$A$113</f>
        <v>Tiomos Scharnier TS Impresso</v>
      </c>
      <c r="AR925" t="str">
        <f ca="1">"110/45°, MB-BB, "&amp;Sprache!$A$58&amp;" ni"</f>
        <v>110/45°, MB-BB, aufl. ni</v>
      </c>
      <c r="AS925" t="str">
        <f ca="1">Sprache!$A$116</f>
        <v>Tiomos Impresso Scharniere</v>
      </c>
      <c r="AT925" t="s">
        <v>1264</v>
      </c>
      <c r="AU925" t="s">
        <v>8</v>
      </c>
      <c r="AV925" t="s">
        <v>1489</v>
      </c>
      <c r="AW925" s="71">
        <v>1</v>
      </c>
      <c r="AX925">
        <v>0</v>
      </c>
      <c r="AY925">
        <v>0</v>
      </c>
      <c r="AZ925" s="71">
        <v>0</v>
      </c>
      <c r="BA925">
        <v>0</v>
      </c>
      <c r="BB925">
        <v>0</v>
      </c>
      <c r="BC925">
        <v>1</v>
      </c>
      <c r="BD925" s="144" t="s">
        <v>1494</v>
      </c>
      <c r="BF925" s="10"/>
      <c r="BG925"/>
    </row>
    <row r="926" spans="1:59" ht="14.25" customHeight="1" x14ac:dyDescent="0.25">
      <c r="A926" s="37" t="str">
        <f>LEFT(Scharniere[[#This Row],[ArtikelNR]],4)</f>
        <v>F017</v>
      </c>
      <c r="B926" s="35" t="str">
        <f>MID(Scharniere[[#This Row],[ArtikelNR]],5,3)</f>
        <v>139</v>
      </c>
      <c r="C926" s="37" t="str">
        <f>RIGHT(Scharniere[[#This Row],[ArtikelNR]],3)</f>
        <v>339</v>
      </c>
      <c r="D926" s="35">
        <f>IF(AND(Scharniere[[#This Row],[Gruppenschlüssel]]=select!$A$44,Scharniere[[#This Row],[Scharnierart]]=1)=TRUE,1,0)</f>
        <v>0</v>
      </c>
      <c r="E9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6" s="35">
        <f>IF(select!$F$57=IF(Scharniere[[#This Row],[mit Dämpfung]]=1,1,IF(Scharniere[[#This Row],[ohne Dämpfung]]=1,2,IF(Scharniere[[#This Row],[ohne Feder]]=1,3,0))),1,0)</f>
        <v>0</v>
      </c>
      <c r="G926" s="35">
        <f>IF(Scharniere[[#This Row],[Bohrbild]]=select!$V$43,1,0)</f>
        <v>0</v>
      </c>
      <c r="H926" s="35">
        <f>IF(IF(Scharniere[[#This Row],[Anschrauben]]=1,1,IF(Scharniere[[#This Row],[Einpressen]]=1,2,IF(Scharniere[[#This Row],[Quick]]=1,3,IF(Scharniere[[#This Row],[Werkzeuglos]]=1,4,0))))=select!$F$48,1,0)</f>
        <v>0</v>
      </c>
      <c r="I9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6" s="149">
        <f>IF(AND(Scharniere[[#This Row],[Scharnierart]]=2,Scharniere[[#This Row],[Gruppenschlüssel]]=select!$A$318)=TRUE,1,0)</f>
        <v>0</v>
      </c>
      <c r="K926" s="221">
        <f ca="1">IF(select!$O$424&lt;6,1,0)</f>
        <v>1</v>
      </c>
      <c r="L926" s="221">
        <f>IF(select!$A$362=IF(Scharniere[[#This Row],[mit Dämpfung]]=1,1,IF(Scharniere[[#This Row],[ohne Dämpfung]]=1,2,IF(Scharniere[[#This Row],[ohne Feder]]=1,3,0))),1,0)</f>
        <v>1</v>
      </c>
      <c r="M926" s="135">
        <f>IF(Scharniere[[#This Row],[Bohrbild]]=select!$O$334,1,0)</f>
        <v>0</v>
      </c>
      <c r="N926" s="135">
        <f>IF(IF(Scharniere[[#This Row],[Anschrauben]]=1,1,IF(Scharniere[[#This Row],[Einpressen]]=1,2,IF(Scharniere[[#This Row],[Quick]]=1,3,IF(Scharniere[[#This Row],[Werkzeuglos]]=1,4,0))))=select!$E$362,1,0)</f>
        <v>0</v>
      </c>
      <c r="O9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6" s="298">
        <f>IF(AND(Scharniere[[#This Row],[Scharnierart]]=3,Scharniere[[#This Row],[Gruppenschlüssel]]=select!$A$747)=TRUE,1,0)</f>
        <v>0</v>
      </c>
      <c r="Q926" s="298">
        <f ca="1">IF(select!$O$945&lt;6,1,0)</f>
        <v>1</v>
      </c>
      <c r="R926" s="298">
        <f>IF(select!$A$778=IF(Scharniere[[#This Row],[mit Dämpfung]]=1,1,IF(Scharniere[[#This Row],[ohne Dämpfung]]=1,2,IF(Scharniere[[#This Row],[ohne Feder]]=1,3,0))),1,0)</f>
        <v>0</v>
      </c>
      <c r="S926" s="298">
        <f>IF(Scharniere[[#This Row],[Bohrbild]]=select!$A$755,1,0)</f>
        <v>0</v>
      </c>
      <c r="T926" s="298">
        <f>IF(IF(Scharniere[[#This Row],[Anschrauben]]=1,1,IF(Scharniere[[#This Row],[Einpressen]]=1,2,IF(Scharniere[[#This Row],[Quick]]=1,3,IF(Scharniere[[#This Row],[Werkzeuglos]]=1,4,0))))=select!$A$769,1,0)</f>
        <v>0</v>
      </c>
      <c r="U9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6" s="359">
        <f>IF(AND(Scharniere[[#This Row],[Scharnierart]]=4,Scharniere[[#This Row],[Gruppenschlüssel]]=select!$A$981)=TRUE,1,0)</f>
        <v>0</v>
      </c>
      <c r="W926" s="359">
        <f ca="1">IF(select!$O$1185&lt;6,1,0)</f>
        <v>1</v>
      </c>
      <c r="X926" s="359">
        <f>IF(select!$A$1012=IF(Scharniere[[#This Row],[mit Dämpfung]]=1,1,IF(Scharniere[[#This Row],[ohne Dämpfung]]=1,2,IF(Scharniere[[#This Row],[ohne Feder]]=1,3,0))),1,0)</f>
        <v>0</v>
      </c>
      <c r="Y926" s="359">
        <f>IF(Scharniere[[#This Row],[Bohrbild]]=select!$A$989,1,0)</f>
        <v>0</v>
      </c>
      <c r="Z926" s="359">
        <f>IF(IF(Scharniere[[#This Row],[Anschrauben]]=1,1,IF(Scharniere[[#This Row],[Einpressen]]=1,2,IF(Scharniere[[#This Row],[Quick]]=1,3,IF(Scharniere[[#This Row],[Werkzeuglos]]=1,4,0))))=select!$A$1003,1,0)</f>
        <v>0</v>
      </c>
      <c r="AA9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6" s="359">
        <f ca="1">IF(select!$K$980="*",Scharniere[[#This Row],[AG Ges2]],Scharniere[[#This Row],[AG Ges1]])</f>
        <v>0</v>
      </c>
      <c r="AE926" s="451">
        <f ca="1">IF(AND(Scharniere[[#This Row],[Scharnierart]]=select!$A$1485,Scharniere[[#This Row],[Gruppenschlüssel]]=select!$B$1485)=TRUE,1,0)</f>
        <v>0</v>
      </c>
      <c r="AF926" s="451">
        <f ca="1">IF(AND(Scharniere[[#This Row],[Scharnierart]]=select!$A$1486,Scharniere[[#This Row],[Gruppenschlüssel]]=select!$B$1486)=TRUE,1,0)</f>
        <v>0</v>
      </c>
      <c r="AG926" s="451">
        <f ca="1">IF(AND(Scharniere[[#This Row],[Scharnierart]]=select!$A$1487,Scharniere[[#This Row],[Gruppenschlüssel]]=select!$B$1487)=TRUE,1,0)</f>
        <v>0</v>
      </c>
      <c r="AH926" s="451">
        <f ca="1">IF(AND(Scharniere[[#This Row],[Scharnierart]]=select!$A$1488,Scharniere[[#This Row],[Gruppenschlüssel]]=select!$B$1488)=TRUE,1,0)</f>
        <v>0</v>
      </c>
      <c r="AI926" s="451">
        <f ca="1">IF(SUM(Scharniere[[#This Row],[konf Scharnier 1]:[konf Scharnier 4]])&gt;0,1,0)</f>
        <v>0</v>
      </c>
      <c r="AJ926" s="451"/>
      <c r="AK926" s="451"/>
      <c r="AL926" s="451"/>
      <c r="AM926" s="451"/>
      <c r="AN926" s="451"/>
      <c r="AO926" s="146">
        <v>2</v>
      </c>
      <c r="AP926" s="146">
        <v>7</v>
      </c>
      <c r="AQ926" s="71" t="str">
        <f ca="1">Sprache!$A$113</f>
        <v>Tiomos Scharnier TS Impresso</v>
      </c>
      <c r="AR926" t="str">
        <f ca="1">"110/45°, MB-BB, "&amp;Sprache!$A$58&amp;" ni"</f>
        <v>110/45°, MB-BB, aufl. ni</v>
      </c>
      <c r="AS926" t="str">
        <f ca="1">Sprache!$A$116</f>
        <v>Tiomos Impresso Scharniere</v>
      </c>
      <c r="AT926" t="s">
        <v>1264</v>
      </c>
      <c r="AU926" t="s">
        <v>3</v>
      </c>
      <c r="AV926" t="s">
        <v>1489</v>
      </c>
      <c r="AW926" s="71">
        <v>1</v>
      </c>
      <c r="AX926">
        <v>0</v>
      </c>
      <c r="AY926">
        <v>0</v>
      </c>
      <c r="AZ926" s="71">
        <v>0</v>
      </c>
      <c r="BA926">
        <v>0</v>
      </c>
      <c r="BB926">
        <v>0</v>
      </c>
      <c r="BC926">
        <v>1</v>
      </c>
      <c r="BD926" s="144" t="s">
        <v>1494</v>
      </c>
      <c r="BF926" s="10"/>
      <c r="BG926"/>
    </row>
    <row r="927" spans="1:59" ht="14.25" customHeight="1" x14ac:dyDescent="0.25">
      <c r="A927" s="37" t="str">
        <f>LEFT(Scharniere[[#This Row],[ArtikelNR]],4)</f>
        <v>F034</v>
      </c>
      <c r="B927" s="35" t="str">
        <f>MID(Scharniere[[#This Row],[ArtikelNR]],5,3)</f>
        <v>139</v>
      </c>
      <c r="C927" s="37" t="str">
        <f>RIGHT(Scharniere[[#This Row],[ArtikelNR]],3)</f>
        <v>310</v>
      </c>
      <c r="D927" s="35">
        <f>IF(AND(Scharniere[[#This Row],[Gruppenschlüssel]]=select!$A$44,Scharniere[[#This Row],[Scharnierart]]=1)=TRUE,1,0)</f>
        <v>0</v>
      </c>
      <c r="E9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7" s="35">
        <f>IF(select!$F$57=IF(Scharniere[[#This Row],[mit Dämpfung]]=1,1,IF(Scharniere[[#This Row],[ohne Dämpfung]]=1,2,IF(Scharniere[[#This Row],[ohne Feder]]=1,3,0))),1,0)</f>
        <v>0</v>
      </c>
      <c r="G927" s="35">
        <f>IF(Scharniere[[#This Row],[Bohrbild]]=select!$V$43,1,0)</f>
        <v>1</v>
      </c>
      <c r="H927" s="35">
        <f>IF(IF(Scharniere[[#This Row],[Anschrauben]]=1,1,IF(Scharniere[[#This Row],[Einpressen]]=1,2,IF(Scharniere[[#This Row],[Quick]]=1,3,IF(Scharniere[[#This Row],[Werkzeuglos]]=1,4,0))))=select!$F$48,1,0)</f>
        <v>0</v>
      </c>
      <c r="I9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7" s="149">
        <f>IF(AND(Scharniere[[#This Row],[Scharnierart]]=2,Scharniere[[#This Row],[Gruppenschlüssel]]=select!$A$318)=TRUE,1,0)</f>
        <v>0</v>
      </c>
      <c r="K927" s="221">
        <f ca="1">IF(select!$O$424&lt;6,1,0)</f>
        <v>1</v>
      </c>
      <c r="L927" s="221">
        <f>IF(select!$A$362=IF(Scharniere[[#This Row],[mit Dämpfung]]=1,1,IF(Scharniere[[#This Row],[ohne Dämpfung]]=1,2,IF(Scharniere[[#This Row],[ohne Feder]]=1,3,0))),1,0)</f>
        <v>0</v>
      </c>
      <c r="M927" s="135">
        <f>IF(Scharniere[[#This Row],[Bohrbild]]=select!$O$334,1,0)</f>
        <v>1</v>
      </c>
      <c r="N927" s="135">
        <f>IF(IF(Scharniere[[#This Row],[Anschrauben]]=1,1,IF(Scharniere[[#This Row],[Einpressen]]=1,2,IF(Scharniere[[#This Row],[Quick]]=1,3,IF(Scharniere[[#This Row],[Werkzeuglos]]=1,4,0))))=select!$E$362,1,0)</f>
        <v>0</v>
      </c>
      <c r="O9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7" s="298">
        <f>IF(AND(Scharniere[[#This Row],[Scharnierart]]=3,Scharniere[[#This Row],[Gruppenschlüssel]]=select!$A$747)=TRUE,1,0)</f>
        <v>0</v>
      </c>
      <c r="Q927" s="298">
        <f ca="1">IF(select!$O$945&lt;6,1,0)</f>
        <v>1</v>
      </c>
      <c r="R927" s="298">
        <f>IF(select!$A$778=IF(Scharniere[[#This Row],[mit Dämpfung]]=1,1,IF(Scharniere[[#This Row],[ohne Dämpfung]]=1,2,IF(Scharniere[[#This Row],[ohne Feder]]=1,3,0))),1,0)</f>
        <v>1</v>
      </c>
      <c r="S927" s="298">
        <f>IF(Scharniere[[#This Row],[Bohrbild]]=select!$A$755,1,0)</f>
        <v>0</v>
      </c>
      <c r="T927" s="298">
        <f>IF(IF(Scharniere[[#This Row],[Anschrauben]]=1,1,IF(Scharniere[[#This Row],[Einpressen]]=1,2,IF(Scharniere[[#This Row],[Quick]]=1,3,IF(Scharniere[[#This Row],[Werkzeuglos]]=1,4,0))))=select!$A$769,1,0)</f>
        <v>0</v>
      </c>
      <c r="U9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7" s="359">
        <f>IF(AND(Scharniere[[#This Row],[Scharnierart]]=4,Scharniere[[#This Row],[Gruppenschlüssel]]=select!$A$981)=TRUE,1,0)</f>
        <v>0</v>
      </c>
      <c r="W927" s="359">
        <f ca="1">IF(select!$O$1185&lt;6,1,0)</f>
        <v>1</v>
      </c>
      <c r="X927" s="359">
        <f>IF(select!$A$1012=IF(Scharniere[[#This Row],[mit Dämpfung]]=1,1,IF(Scharniere[[#This Row],[ohne Dämpfung]]=1,2,IF(Scharniere[[#This Row],[ohne Feder]]=1,3,0))),1,0)</f>
        <v>1</v>
      </c>
      <c r="Y927" s="359">
        <f>IF(Scharniere[[#This Row],[Bohrbild]]=select!$A$989,1,0)</f>
        <v>0</v>
      </c>
      <c r="Z927" s="359">
        <f>IF(IF(Scharniere[[#This Row],[Anschrauben]]=1,1,IF(Scharniere[[#This Row],[Einpressen]]=1,2,IF(Scharniere[[#This Row],[Quick]]=1,3,IF(Scharniere[[#This Row],[Werkzeuglos]]=1,4,0))))=select!$A$1003,1,0)</f>
        <v>0</v>
      </c>
      <c r="AA9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7" s="359">
        <f ca="1">IF(select!$K$980="*",Scharniere[[#This Row],[AG Ges2]],Scharniere[[#This Row],[AG Ges1]])</f>
        <v>0</v>
      </c>
      <c r="AE927" s="451">
        <f ca="1">IF(AND(Scharniere[[#This Row],[Scharnierart]]=select!$A$1485,Scharniere[[#This Row],[Gruppenschlüssel]]=select!$B$1485)=TRUE,1,0)</f>
        <v>0</v>
      </c>
      <c r="AF927" s="451">
        <f ca="1">IF(AND(Scharniere[[#This Row],[Scharnierart]]=select!$A$1486,Scharniere[[#This Row],[Gruppenschlüssel]]=select!$B$1486)=TRUE,1,0)</f>
        <v>0</v>
      </c>
      <c r="AG927" s="451">
        <f ca="1">IF(AND(Scharniere[[#This Row],[Scharnierart]]=select!$A$1487,Scharniere[[#This Row],[Gruppenschlüssel]]=select!$B$1487)=TRUE,1,0)</f>
        <v>0</v>
      </c>
      <c r="AH927" s="451">
        <f ca="1">IF(AND(Scharniere[[#This Row],[Scharnierart]]=select!$A$1488,Scharniere[[#This Row],[Gruppenschlüssel]]=select!$B$1488)=TRUE,1,0)</f>
        <v>0</v>
      </c>
      <c r="AI927" s="451">
        <f ca="1">IF(SUM(Scharniere[[#This Row],[konf Scharnier 1]:[konf Scharnier 4]])&gt;0,1,0)</f>
        <v>0</v>
      </c>
      <c r="AJ927" s="451"/>
      <c r="AK927" s="451"/>
      <c r="AL927" s="451"/>
      <c r="AM927" s="451"/>
      <c r="AN927" s="451"/>
      <c r="AO927" s="146">
        <v>2</v>
      </c>
      <c r="AP927" s="146">
        <v>7</v>
      </c>
      <c r="AQ927" s="71" t="str">
        <f ca="1">Sprache!$A$119</f>
        <v>Tiomos Scharnier T Impresso</v>
      </c>
      <c r="AR927" t="str">
        <f ca="1">"110/45°, MB-BB, "&amp;Sprache!$A$58&amp;" ni"</f>
        <v>110/45°, MB-BB, aufl. ni</v>
      </c>
      <c r="AS927" t="str">
        <f ca="1">Sprache!$A$103</f>
        <v>Tiomos Click-On Scharniere</v>
      </c>
      <c r="AT927" t="s">
        <v>1264</v>
      </c>
      <c r="AU927" t="s">
        <v>8</v>
      </c>
      <c r="AV927" t="s">
        <v>1489</v>
      </c>
      <c r="AW927" s="71">
        <v>0</v>
      </c>
      <c r="AX927">
        <v>1</v>
      </c>
      <c r="AY927">
        <v>0</v>
      </c>
      <c r="AZ927" s="71">
        <v>0</v>
      </c>
      <c r="BA927">
        <v>0</v>
      </c>
      <c r="BB927">
        <v>0</v>
      </c>
      <c r="BC927">
        <v>1</v>
      </c>
      <c r="BD927" s="144" t="s">
        <v>1604</v>
      </c>
      <c r="BF927" s="10"/>
      <c r="BG927"/>
    </row>
    <row r="928" spans="1:59" ht="14.25" customHeight="1" x14ac:dyDescent="0.25">
      <c r="A928" s="37" t="str">
        <f>LEFT(Scharniere[[#This Row],[ArtikelNR]],4)</f>
        <v>F034</v>
      </c>
      <c r="B928" s="35" t="str">
        <f>MID(Scharniere[[#This Row],[ArtikelNR]],5,3)</f>
        <v>139</v>
      </c>
      <c r="C928" s="37" t="str">
        <f>RIGHT(Scharniere[[#This Row],[ArtikelNR]],3)</f>
        <v>310</v>
      </c>
      <c r="D928" s="35">
        <f>IF(AND(Scharniere[[#This Row],[Gruppenschlüssel]]=select!$A$44,Scharniere[[#This Row],[Scharnierart]]=1)=TRUE,1,0)</f>
        <v>0</v>
      </c>
      <c r="E9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8" s="35">
        <f>IF(select!$F$57=IF(Scharniere[[#This Row],[mit Dämpfung]]=1,1,IF(Scharniere[[#This Row],[ohne Dämpfung]]=1,2,IF(Scharniere[[#This Row],[ohne Feder]]=1,3,0))),1,0)</f>
        <v>0</v>
      </c>
      <c r="G928" s="35">
        <f>IF(Scharniere[[#This Row],[Bohrbild]]=select!$V$43,1,0)</f>
        <v>0</v>
      </c>
      <c r="H928" s="35">
        <f>IF(IF(Scharniere[[#This Row],[Anschrauben]]=1,1,IF(Scharniere[[#This Row],[Einpressen]]=1,2,IF(Scharniere[[#This Row],[Quick]]=1,3,IF(Scharniere[[#This Row],[Werkzeuglos]]=1,4,0))))=select!$F$48,1,0)</f>
        <v>0</v>
      </c>
      <c r="I9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8" s="149">
        <f>IF(AND(Scharniere[[#This Row],[Scharnierart]]=2,Scharniere[[#This Row],[Gruppenschlüssel]]=select!$A$318)=TRUE,1,0)</f>
        <v>0</v>
      </c>
      <c r="K928" s="221">
        <f ca="1">IF(select!$O$424&lt;6,1,0)</f>
        <v>1</v>
      </c>
      <c r="L928" s="221">
        <f>IF(select!$A$362=IF(Scharniere[[#This Row],[mit Dämpfung]]=1,1,IF(Scharniere[[#This Row],[ohne Dämpfung]]=1,2,IF(Scharniere[[#This Row],[ohne Feder]]=1,3,0))),1,0)</f>
        <v>0</v>
      </c>
      <c r="M928" s="135">
        <f>IF(Scharniere[[#This Row],[Bohrbild]]=select!$O$334,1,0)</f>
        <v>0</v>
      </c>
      <c r="N928" s="135">
        <f>IF(IF(Scharniere[[#This Row],[Anschrauben]]=1,1,IF(Scharniere[[#This Row],[Einpressen]]=1,2,IF(Scharniere[[#This Row],[Quick]]=1,3,IF(Scharniere[[#This Row],[Werkzeuglos]]=1,4,0))))=select!$E$362,1,0)</f>
        <v>0</v>
      </c>
      <c r="O9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8" s="298">
        <f>IF(AND(Scharniere[[#This Row],[Scharnierart]]=3,Scharniere[[#This Row],[Gruppenschlüssel]]=select!$A$747)=TRUE,1,0)</f>
        <v>0</v>
      </c>
      <c r="Q928" s="298">
        <f ca="1">IF(select!$O$945&lt;6,1,0)</f>
        <v>1</v>
      </c>
      <c r="R928" s="298">
        <f>IF(select!$A$778=IF(Scharniere[[#This Row],[mit Dämpfung]]=1,1,IF(Scharniere[[#This Row],[ohne Dämpfung]]=1,2,IF(Scharniere[[#This Row],[ohne Feder]]=1,3,0))),1,0)</f>
        <v>1</v>
      </c>
      <c r="S928" s="298">
        <f>IF(Scharniere[[#This Row],[Bohrbild]]=select!$A$755,1,0)</f>
        <v>0</v>
      </c>
      <c r="T928" s="298">
        <f>IF(IF(Scharniere[[#This Row],[Anschrauben]]=1,1,IF(Scharniere[[#This Row],[Einpressen]]=1,2,IF(Scharniere[[#This Row],[Quick]]=1,3,IF(Scharniere[[#This Row],[Werkzeuglos]]=1,4,0))))=select!$A$769,1,0)</f>
        <v>0</v>
      </c>
      <c r="U9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8" s="359">
        <f>IF(AND(Scharniere[[#This Row],[Scharnierart]]=4,Scharniere[[#This Row],[Gruppenschlüssel]]=select!$A$981)=TRUE,1,0)</f>
        <v>0</v>
      </c>
      <c r="W928" s="359">
        <f ca="1">IF(select!$O$1185&lt;6,1,0)</f>
        <v>1</v>
      </c>
      <c r="X928" s="359">
        <f>IF(select!$A$1012=IF(Scharniere[[#This Row],[mit Dämpfung]]=1,1,IF(Scharniere[[#This Row],[ohne Dämpfung]]=1,2,IF(Scharniere[[#This Row],[ohne Feder]]=1,3,0))),1,0)</f>
        <v>1</v>
      </c>
      <c r="Y928" s="359">
        <f>IF(Scharniere[[#This Row],[Bohrbild]]=select!$A$989,1,0)</f>
        <v>0</v>
      </c>
      <c r="Z928" s="359">
        <f>IF(IF(Scharniere[[#This Row],[Anschrauben]]=1,1,IF(Scharniere[[#This Row],[Einpressen]]=1,2,IF(Scharniere[[#This Row],[Quick]]=1,3,IF(Scharniere[[#This Row],[Werkzeuglos]]=1,4,0))))=select!$A$1003,1,0)</f>
        <v>0</v>
      </c>
      <c r="AA9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8" s="359">
        <f ca="1">IF(select!$K$980="*",Scharniere[[#This Row],[AG Ges2]],Scharniere[[#This Row],[AG Ges1]])</f>
        <v>0</v>
      </c>
      <c r="AE928" s="451">
        <f ca="1">IF(AND(Scharniere[[#This Row],[Scharnierart]]=select!$A$1485,Scharniere[[#This Row],[Gruppenschlüssel]]=select!$B$1485)=TRUE,1,0)</f>
        <v>0</v>
      </c>
      <c r="AF928" s="451">
        <f ca="1">IF(AND(Scharniere[[#This Row],[Scharnierart]]=select!$A$1486,Scharniere[[#This Row],[Gruppenschlüssel]]=select!$B$1486)=TRUE,1,0)</f>
        <v>0</v>
      </c>
      <c r="AG928" s="451">
        <f ca="1">IF(AND(Scharniere[[#This Row],[Scharnierart]]=select!$A$1487,Scharniere[[#This Row],[Gruppenschlüssel]]=select!$B$1487)=TRUE,1,0)</f>
        <v>0</v>
      </c>
      <c r="AH928" s="451">
        <f ca="1">IF(AND(Scharniere[[#This Row],[Scharnierart]]=select!$A$1488,Scharniere[[#This Row],[Gruppenschlüssel]]=select!$B$1488)=TRUE,1,0)</f>
        <v>0</v>
      </c>
      <c r="AI928" s="451">
        <f ca="1">IF(SUM(Scharniere[[#This Row],[konf Scharnier 1]:[konf Scharnier 4]])&gt;0,1,0)</f>
        <v>0</v>
      </c>
      <c r="AJ928" s="451"/>
      <c r="AK928" s="451"/>
      <c r="AL928" s="451"/>
      <c r="AM928" s="451"/>
      <c r="AN928" s="451"/>
      <c r="AO928" s="146">
        <v>2</v>
      </c>
      <c r="AP928" s="146">
        <v>7</v>
      </c>
      <c r="AQ928" s="71" t="str">
        <f ca="1">Sprache!$A$119</f>
        <v>Tiomos Scharnier T Impresso</v>
      </c>
      <c r="AR928" t="str">
        <f ca="1">"110/45°, MB-BB, "&amp;Sprache!$A$58&amp;" ni"</f>
        <v>110/45°, MB-BB, aufl. ni</v>
      </c>
      <c r="AS928" t="str">
        <f ca="1">Sprache!$A$103</f>
        <v>Tiomos Click-On Scharniere</v>
      </c>
      <c r="AT928" t="s">
        <v>1264</v>
      </c>
      <c r="AU928" t="s">
        <v>3</v>
      </c>
      <c r="AV928" t="s">
        <v>1489</v>
      </c>
      <c r="AW928" s="71">
        <v>0</v>
      </c>
      <c r="AX928">
        <v>1</v>
      </c>
      <c r="AY928">
        <v>0</v>
      </c>
      <c r="AZ928" s="71">
        <v>0</v>
      </c>
      <c r="BA928">
        <v>0</v>
      </c>
      <c r="BB928">
        <v>0</v>
      </c>
      <c r="BC928">
        <v>1</v>
      </c>
      <c r="BD928" s="144" t="s">
        <v>1604</v>
      </c>
      <c r="BF928" s="10"/>
      <c r="BG928"/>
    </row>
    <row r="929" spans="1:59" ht="14.25" customHeight="1" x14ac:dyDescent="0.25">
      <c r="A929" s="37" t="str">
        <f>LEFT(Scharniere[[#This Row],[ArtikelNR]],4)</f>
        <v>F028</v>
      </c>
      <c r="B929" s="35" t="str">
        <f>MID(Scharniere[[#This Row],[ArtikelNR]],5,3)</f>
        <v>138</v>
      </c>
      <c r="C929" s="37" t="str">
        <f>RIGHT(Scharniere[[#This Row],[ArtikelNR]],3)</f>
        <v>897</v>
      </c>
      <c r="D929" s="35">
        <f>IF(AND(Scharniere[[#This Row],[Gruppenschlüssel]]=select!$A$44,Scharniere[[#This Row],[Scharnierart]]=1)=TRUE,1,0)</f>
        <v>0</v>
      </c>
      <c r="E9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29" s="35">
        <f>IF(select!$F$57=IF(Scharniere[[#This Row],[mit Dämpfung]]=1,1,IF(Scharniere[[#This Row],[ohne Dämpfung]]=1,2,IF(Scharniere[[#This Row],[ohne Feder]]=1,3,0))),1,0)</f>
        <v>0</v>
      </c>
      <c r="G929" s="35">
        <f>IF(Scharniere[[#This Row],[Bohrbild]]=select!$V$43,1,0)</f>
        <v>0</v>
      </c>
      <c r="H929" s="35">
        <f>IF(IF(Scharniere[[#This Row],[Anschrauben]]=1,1,IF(Scharniere[[#This Row],[Einpressen]]=1,2,IF(Scharniere[[#This Row],[Quick]]=1,3,IF(Scharniere[[#This Row],[Werkzeuglos]]=1,4,0))))=select!$F$48,1,0)</f>
        <v>0</v>
      </c>
      <c r="I9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29" s="149">
        <f>IF(AND(Scharniere[[#This Row],[Scharnierart]]=2,Scharniere[[#This Row],[Gruppenschlüssel]]=select!$A$318)=TRUE,1,0)</f>
        <v>0</v>
      </c>
      <c r="K929" s="221">
        <f ca="1">IF(select!$O$424&lt;6,1,0)</f>
        <v>1</v>
      </c>
      <c r="L929" s="221">
        <f>IF(select!$A$362=IF(Scharniere[[#This Row],[mit Dämpfung]]=1,1,IF(Scharniere[[#This Row],[ohne Dämpfung]]=1,2,IF(Scharniere[[#This Row],[ohne Feder]]=1,3,0))),1,0)</f>
        <v>1</v>
      </c>
      <c r="M929" s="135">
        <f>IF(Scharniere[[#This Row],[Bohrbild]]=select!$O$334,1,0)</f>
        <v>0</v>
      </c>
      <c r="N929" s="135">
        <f>IF(IF(Scharniere[[#This Row],[Anschrauben]]=1,1,IF(Scharniere[[#This Row],[Einpressen]]=1,2,IF(Scharniere[[#This Row],[Quick]]=1,3,IF(Scharniere[[#This Row],[Werkzeuglos]]=1,4,0))))=select!$E$362,1,0)</f>
        <v>1</v>
      </c>
      <c r="O9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29" s="298">
        <f>IF(AND(Scharniere[[#This Row],[Scharnierart]]=3,Scharniere[[#This Row],[Gruppenschlüssel]]=select!$A$747)=TRUE,1,0)</f>
        <v>0</v>
      </c>
      <c r="Q929" s="298">
        <f ca="1">IF(select!$O$945&lt;6,1,0)</f>
        <v>1</v>
      </c>
      <c r="R929" s="298">
        <f>IF(select!$A$778=IF(Scharniere[[#This Row],[mit Dämpfung]]=1,1,IF(Scharniere[[#This Row],[ohne Dämpfung]]=1,2,IF(Scharniere[[#This Row],[ohne Feder]]=1,3,0))),1,0)</f>
        <v>0</v>
      </c>
      <c r="S929" s="298">
        <f>IF(Scharniere[[#This Row],[Bohrbild]]=select!$A$755,1,0)</f>
        <v>0</v>
      </c>
      <c r="T929" s="298">
        <f>IF(IF(Scharniere[[#This Row],[Anschrauben]]=1,1,IF(Scharniere[[#This Row],[Einpressen]]=1,2,IF(Scharniere[[#This Row],[Quick]]=1,3,IF(Scharniere[[#This Row],[Werkzeuglos]]=1,4,0))))=select!$A$769,1,0)</f>
        <v>1</v>
      </c>
      <c r="U9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29" s="359">
        <f>IF(AND(Scharniere[[#This Row],[Scharnierart]]=4,Scharniere[[#This Row],[Gruppenschlüssel]]=select!$A$981)=TRUE,1,0)</f>
        <v>0</v>
      </c>
      <c r="W929" s="359">
        <f ca="1">IF(select!$O$1185&lt;6,1,0)</f>
        <v>1</v>
      </c>
      <c r="X929" s="359">
        <f>IF(select!$A$1012=IF(Scharniere[[#This Row],[mit Dämpfung]]=1,1,IF(Scharniere[[#This Row],[ohne Dämpfung]]=1,2,IF(Scharniere[[#This Row],[ohne Feder]]=1,3,0))),1,0)</f>
        <v>0</v>
      </c>
      <c r="Y929" s="359">
        <f>IF(Scharniere[[#This Row],[Bohrbild]]=select!$A$989,1,0)</f>
        <v>0</v>
      </c>
      <c r="Z929" s="359">
        <f>IF(IF(Scharniere[[#This Row],[Anschrauben]]=1,1,IF(Scharniere[[#This Row],[Einpressen]]=1,2,IF(Scharniere[[#This Row],[Quick]]=1,3,IF(Scharniere[[#This Row],[Werkzeuglos]]=1,4,0))))=select!$A$1003,1,0)</f>
        <v>1</v>
      </c>
      <c r="AA9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29" s="359">
        <f ca="1">IF(select!$K$980="*",Scharniere[[#This Row],[AG Ges2]],Scharniere[[#This Row],[AG Ges1]])</f>
        <v>0</v>
      </c>
      <c r="AE929" s="451">
        <f ca="1">IF(AND(Scharniere[[#This Row],[Scharnierart]]=select!$A$1485,Scharniere[[#This Row],[Gruppenschlüssel]]=select!$B$1485)=TRUE,1,0)</f>
        <v>0</v>
      </c>
      <c r="AF929" s="451">
        <f ca="1">IF(AND(Scharniere[[#This Row],[Scharnierart]]=select!$A$1486,Scharniere[[#This Row],[Gruppenschlüssel]]=select!$B$1486)=TRUE,1,0)</f>
        <v>0</v>
      </c>
      <c r="AG929" s="451">
        <f ca="1">IF(AND(Scharniere[[#This Row],[Scharnierart]]=select!$A$1487,Scharniere[[#This Row],[Gruppenschlüssel]]=select!$B$1487)=TRUE,1,0)</f>
        <v>0</v>
      </c>
      <c r="AH929" s="451">
        <f ca="1">IF(AND(Scharniere[[#This Row],[Scharnierart]]=select!$A$1488,Scharniere[[#This Row],[Gruppenschlüssel]]=select!$B$1488)=TRUE,1,0)</f>
        <v>0</v>
      </c>
      <c r="AI929" s="451">
        <f ca="1">IF(SUM(Scharniere[[#This Row],[konf Scharnier 1]:[konf Scharnier 4]])&gt;0,1,0)</f>
        <v>0</v>
      </c>
      <c r="AJ929" s="451"/>
      <c r="AK929" s="451"/>
      <c r="AL929" s="451"/>
      <c r="AM929" s="451"/>
      <c r="AN929" s="451"/>
      <c r="AO929" s="146">
        <v>2</v>
      </c>
      <c r="AP929" s="146">
        <v>7</v>
      </c>
      <c r="AQ929" s="71" t="str">
        <f ca="1">Sprache!$A$112</f>
        <v>Tiomos Scharnier TS Click-on</v>
      </c>
      <c r="AR929" t="str">
        <f ca="1">"110/45°, S-BB, "&amp;Sprache!$A$58&amp;" ni"</f>
        <v>110/45°, S-BB, aufl. ni</v>
      </c>
      <c r="AS929" t="str">
        <f ca="1">Sprache!$A$103</f>
        <v>Tiomos Click-On Scharniere</v>
      </c>
      <c r="AT929" t="s">
        <v>1264</v>
      </c>
      <c r="AU929" t="s">
        <v>11</v>
      </c>
      <c r="AV929" t="s">
        <v>1489</v>
      </c>
      <c r="AW929" s="71">
        <v>1</v>
      </c>
      <c r="AX929">
        <v>0</v>
      </c>
      <c r="AY929">
        <v>0</v>
      </c>
      <c r="AZ929" s="71">
        <v>1</v>
      </c>
      <c r="BA929">
        <v>0</v>
      </c>
      <c r="BB929">
        <v>0</v>
      </c>
      <c r="BC929">
        <v>0</v>
      </c>
      <c r="BD929" s="144" t="s">
        <v>1571</v>
      </c>
      <c r="BF929" s="10"/>
      <c r="BG929"/>
    </row>
    <row r="930" spans="1:59" ht="14.25" customHeight="1" x14ac:dyDescent="0.25">
      <c r="A930" s="37" t="str">
        <f>LEFT(Scharniere[[#This Row],[ArtikelNR]],4)</f>
        <v>F045</v>
      </c>
      <c r="B930" s="35" t="str">
        <f>MID(Scharniere[[#This Row],[ArtikelNR]],5,3)</f>
        <v>138</v>
      </c>
      <c r="C930" s="37" t="str">
        <f>RIGHT(Scharniere[[#This Row],[ArtikelNR]],3)</f>
        <v>835</v>
      </c>
      <c r="D930" s="35">
        <f>IF(AND(Scharniere[[#This Row],[Gruppenschlüssel]]=select!$A$44,Scharniere[[#This Row],[Scharnierart]]=1)=TRUE,1,0)</f>
        <v>0</v>
      </c>
      <c r="E9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0" s="35">
        <f>IF(select!$F$57=IF(Scharniere[[#This Row],[mit Dämpfung]]=1,1,IF(Scharniere[[#This Row],[ohne Dämpfung]]=1,2,IF(Scharniere[[#This Row],[ohne Feder]]=1,3,0))),1,0)</f>
        <v>0</v>
      </c>
      <c r="G930" s="35">
        <f>IF(Scharniere[[#This Row],[Bohrbild]]=select!$V$43,1,0)</f>
        <v>0</v>
      </c>
      <c r="H930" s="35">
        <f>IF(IF(Scharniere[[#This Row],[Anschrauben]]=1,1,IF(Scharniere[[#This Row],[Einpressen]]=1,2,IF(Scharniere[[#This Row],[Quick]]=1,3,IF(Scharniere[[#This Row],[Werkzeuglos]]=1,4,0))))=select!$F$48,1,0)</f>
        <v>0</v>
      </c>
      <c r="I9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0" s="149">
        <f>IF(AND(Scharniere[[#This Row],[Scharnierart]]=2,Scharniere[[#This Row],[Gruppenschlüssel]]=select!$A$318)=TRUE,1,0)</f>
        <v>0</v>
      </c>
      <c r="K930" s="221">
        <f ca="1">IF(select!$O$424&lt;6,1,0)</f>
        <v>1</v>
      </c>
      <c r="L930" s="221">
        <f>IF(select!$A$362=IF(Scharniere[[#This Row],[mit Dämpfung]]=1,1,IF(Scharniere[[#This Row],[ohne Dämpfung]]=1,2,IF(Scharniere[[#This Row],[ohne Feder]]=1,3,0))),1,0)</f>
        <v>0</v>
      </c>
      <c r="M930" s="135">
        <f>IF(Scharniere[[#This Row],[Bohrbild]]=select!$O$334,1,0)</f>
        <v>0</v>
      </c>
      <c r="N930" s="135">
        <f>IF(IF(Scharniere[[#This Row],[Anschrauben]]=1,1,IF(Scharniere[[#This Row],[Einpressen]]=1,2,IF(Scharniere[[#This Row],[Quick]]=1,3,IF(Scharniere[[#This Row],[Werkzeuglos]]=1,4,0))))=select!$E$362,1,0)</f>
        <v>1</v>
      </c>
      <c r="O9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0" s="298">
        <f>IF(AND(Scharniere[[#This Row],[Scharnierart]]=3,Scharniere[[#This Row],[Gruppenschlüssel]]=select!$A$747)=TRUE,1,0)</f>
        <v>0</v>
      </c>
      <c r="Q930" s="298">
        <f ca="1">IF(select!$O$945&lt;6,1,0)</f>
        <v>1</v>
      </c>
      <c r="R930" s="298">
        <f>IF(select!$A$778=IF(Scharniere[[#This Row],[mit Dämpfung]]=1,1,IF(Scharniere[[#This Row],[ohne Dämpfung]]=1,2,IF(Scharniere[[#This Row],[ohne Feder]]=1,3,0))),1,0)</f>
        <v>1</v>
      </c>
      <c r="S930" s="298">
        <f>IF(Scharniere[[#This Row],[Bohrbild]]=select!$A$755,1,0)</f>
        <v>0</v>
      </c>
      <c r="T930" s="298">
        <f>IF(IF(Scharniere[[#This Row],[Anschrauben]]=1,1,IF(Scharniere[[#This Row],[Einpressen]]=1,2,IF(Scharniere[[#This Row],[Quick]]=1,3,IF(Scharniere[[#This Row],[Werkzeuglos]]=1,4,0))))=select!$A$769,1,0)</f>
        <v>1</v>
      </c>
      <c r="U9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0" s="359">
        <f>IF(AND(Scharniere[[#This Row],[Scharnierart]]=4,Scharniere[[#This Row],[Gruppenschlüssel]]=select!$A$981)=TRUE,1,0)</f>
        <v>0</v>
      </c>
      <c r="W930" s="359">
        <f ca="1">IF(select!$O$1185&lt;6,1,0)</f>
        <v>1</v>
      </c>
      <c r="X930" s="359">
        <f>IF(select!$A$1012=IF(Scharniere[[#This Row],[mit Dämpfung]]=1,1,IF(Scharniere[[#This Row],[ohne Dämpfung]]=1,2,IF(Scharniere[[#This Row],[ohne Feder]]=1,3,0))),1,0)</f>
        <v>1</v>
      </c>
      <c r="Y930" s="359">
        <f>IF(Scharniere[[#This Row],[Bohrbild]]=select!$A$989,1,0)</f>
        <v>0</v>
      </c>
      <c r="Z930" s="359">
        <f>IF(IF(Scharniere[[#This Row],[Anschrauben]]=1,1,IF(Scharniere[[#This Row],[Einpressen]]=1,2,IF(Scharniere[[#This Row],[Quick]]=1,3,IF(Scharniere[[#This Row],[Werkzeuglos]]=1,4,0))))=select!$A$1003,1,0)</f>
        <v>1</v>
      </c>
      <c r="AA9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0" s="359">
        <f ca="1">IF(select!$K$980="*",Scharniere[[#This Row],[AG Ges2]],Scharniere[[#This Row],[AG Ges1]])</f>
        <v>0</v>
      </c>
      <c r="AE930" s="451">
        <f ca="1">IF(AND(Scharniere[[#This Row],[Scharnierart]]=select!$A$1485,Scharniere[[#This Row],[Gruppenschlüssel]]=select!$B$1485)=TRUE,1,0)</f>
        <v>0</v>
      </c>
      <c r="AF930" s="451">
        <f ca="1">IF(AND(Scharniere[[#This Row],[Scharnierart]]=select!$A$1486,Scharniere[[#This Row],[Gruppenschlüssel]]=select!$B$1486)=TRUE,1,0)</f>
        <v>0</v>
      </c>
      <c r="AG930" s="451">
        <f ca="1">IF(AND(Scharniere[[#This Row],[Scharnierart]]=select!$A$1487,Scharniere[[#This Row],[Gruppenschlüssel]]=select!$B$1487)=TRUE,1,0)</f>
        <v>0</v>
      </c>
      <c r="AH930" s="451">
        <f ca="1">IF(AND(Scharniere[[#This Row],[Scharnierart]]=select!$A$1488,Scharniere[[#This Row],[Gruppenschlüssel]]=select!$B$1488)=TRUE,1,0)</f>
        <v>0</v>
      </c>
      <c r="AI930" s="451">
        <f ca="1">IF(SUM(Scharniere[[#This Row],[konf Scharnier 1]:[konf Scharnier 4]])&gt;0,1,0)</f>
        <v>0</v>
      </c>
      <c r="AJ930" s="451"/>
      <c r="AK930" s="451"/>
      <c r="AL930" s="451"/>
      <c r="AM930" s="451"/>
      <c r="AN930" s="451"/>
      <c r="AO930" s="146">
        <v>2</v>
      </c>
      <c r="AP930" s="146">
        <v>7</v>
      </c>
      <c r="AQ930" s="71" t="str">
        <f ca="1">Sprache!$A$118</f>
        <v>Tiomos Scharnier T Click-on</v>
      </c>
      <c r="AR930" t="str">
        <f ca="1">"110/45°, S-BB, "&amp;Sprache!$A$58&amp;" ni"</f>
        <v>110/45°, S-BB, aufl. ni</v>
      </c>
      <c r="AS930" t="str">
        <f ca="1">Sprache!$A$103</f>
        <v>Tiomos Click-On Scharniere</v>
      </c>
      <c r="AT930" t="s">
        <v>1264</v>
      </c>
      <c r="AU930" t="s">
        <v>11</v>
      </c>
      <c r="AV930" t="s">
        <v>1489</v>
      </c>
      <c r="AW930" s="71">
        <v>0</v>
      </c>
      <c r="AX930">
        <v>1</v>
      </c>
      <c r="AY930">
        <v>0</v>
      </c>
      <c r="AZ930" s="71">
        <v>1</v>
      </c>
      <c r="BA930">
        <v>0</v>
      </c>
      <c r="BB930">
        <v>0</v>
      </c>
      <c r="BC930">
        <v>0</v>
      </c>
      <c r="BD930" s="144" t="s">
        <v>1682</v>
      </c>
      <c r="BF930" s="10"/>
      <c r="BG930"/>
    </row>
    <row r="931" spans="1:59" ht="14.25" customHeight="1" x14ac:dyDescent="0.25">
      <c r="A931" s="37" t="str">
        <f>LEFT(Scharniere[[#This Row],[ArtikelNR]],4)</f>
        <v>F046</v>
      </c>
      <c r="B931" s="35" t="str">
        <f>MID(Scharniere[[#This Row],[ArtikelNR]],5,3)</f>
        <v>138</v>
      </c>
      <c r="C931" s="37" t="str">
        <f>RIGHT(Scharniere[[#This Row],[ArtikelNR]],3)</f>
        <v>957</v>
      </c>
      <c r="D931" s="35">
        <f>IF(AND(Scharniere[[#This Row],[Gruppenschlüssel]]=select!$A$44,Scharniere[[#This Row],[Scharnierart]]=1)=TRUE,1,0)</f>
        <v>0</v>
      </c>
      <c r="E9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1" s="35">
        <f>IF(select!$F$57=IF(Scharniere[[#This Row],[mit Dämpfung]]=1,1,IF(Scharniere[[#This Row],[ohne Dämpfung]]=1,2,IF(Scharniere[[#This Row],[ohne Feder]]=1,3,0))),1,0)</f>
        <v>1</v>
      </c>
      <c r="G931" s="35">
        <f>IF(Scharniere[[#This Row],[Bohrbild]]=select!$V$43,1,0)</f>
        <v>0</v>
      </c>
      <c r="H931" s="35">
        <f>IF(IF(Scharniere[[#This Row],[Anschrauben]]=1,1,IF(Scharniere[[#This Row],[Einpressen]]=1,2,IF(Scharniere[[#This Row],[Quick]]=1,3,IF(Scharniere[[#This Row],[Werkzeuglos]]=1,4,0))))=select!$F$48,1,0)</f>
        <v>0</v>
      </c>
      <c r="I9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1" s="149">
        <f>IF(AND(Scharniere[[#This Row],[Scharnierart]]=2,Scharniere[[#This Row],[Gruppenschlüssel]]=select!$A$318)=TRUE,1,0)</f>
        <v>0</v>
      </c>
      <c r="K931" s="221">
        <f ca="1">IF(select!$O$424&lt;6,1,0)</f>
        <v>1</v>
      </c>
      <c r="L931" s="221">
        <f>IF(select!$A$362=IF(Scharniere[[#This Row],[mit Dämpfung]]=1,1,IF(Scharniere[[#This Row],[ohne Dämpfung]]=1,2,IF(Scharniere[[#This Row],[ohne Feder]]=1,3,0))),1,0)</f>
        <v>0</v>
      </c>
      <c r="M931" s="135">
        <f>IF(Scharniere[[#This Row],[Bohrbild]]=select!$O$334,1,0)</f>
        <v>0</v>
      </c>
      <c r="N931" s="135">
        <f>IF(IF(Scharniere[[#This Row],[Anschrauben]]=1,1,IF(Scharniere[[#This Row],[Einpressen]]=1,2,IF(Scharniere[[#This Row],[Quick]]=1,3,IF(Scharniere[[#This Row],[Werkzeuglos]]=1,4,0))))=select!$E$362,1,0)</f>
        <v>1</v>
      </c>
      <c r="O9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1" s="298">
        <f>IF(AND(Scharniere[[#This Row],[Scharnierart]]=3,Scharniere[[#This Row],[Gruppenschlüssel]]=select!$A$747)=TRUE,1,0)</f>
        <v>0</v>
      </c>
      <c r="Q931" s="298">
        <f ca="1">IF(select!$O$945&lt;6,1,0)</f>
        <v>1</v>
      </c>
      <c r="R931" s="298">
        <f>IF(select!$A$778=IF(Scharniere[[#This Row],[mit Dämpfung]]=1,1,IF(Scharniere[[#This Row],[ohne Dämpfung]]=1,2,IF(Scharniere[[#This Row],[ohne Feder]]=1,3,0))),1,0)</f>
        <v>0</v>
      </c>
      <c r="S931" s="298">
        <f>IF(Scharniere[[#This Row],[Bohrbild]]=select!$A$755,1,0)</f>
        <v>0</v>
      </c>
      <c r="T931" s="298">
        <f>IF(IF(Scharniere[[#This Row],[Anschrauben]]=1,1,IF(Scharniere[[#This Row],[Einpressen]]=1,2,IF(Scharniere[[#This Row],[Quick]]=1,3,IF(Scharniere[[#This Row],[Werkzeuglos]]=1,4,0))))=select!$A$769,1,0)</f>
        <v>1</v>
      </c>
      <c r="U9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1" s="359">
        <f>IF(AND(Scharniere[[#This Row],[Scharnierart]]=4,Scharniere[[#This Row],[Gruppenschlüssel]]=select!$A$981)=TRUE,1,0)</f>
        <v>0</v>
      </c>
      <c r="W931" s="359">
        <f ca="1">IF(select!$O$1185&lt;6,1,0)</f>
        <v>1</v>
      </c>
      <c r="X931" s="359">
        <f>IF(select!$A$1012=IF(Scharniere[[#This Row],[mit Dämpfung]]=1,1,IF(Scharniere[[#This Row],[ohne Dämpfung]]=1,2,IF(Scharniere[[#This Row],[ohne Feder]]=1,3,0))),1,0)</f>
        <v>0</v>
      </c>
      <c r="Y931" s="359">
        <f>IF(Scharniere[[#This Row],[Bohrbild]]=select!$A$989,1,0)</f>
        <v>0</v>
      </c>
      <c r="Z931" s="359">
        <f>IF(IF(Scharniere[[#This Row],[Anschrauben]]=1,1,IF(Scharniere[[#This Row],[Einpressen]]=1,2,IF(Scharniere[[#This Row],[Quick]]=1,3,IF(Scharniere[[#This Row],[Werkzeuglos]]=1,4,0))))=select!$A$1003,1,0)</f>
        <v>1</v>
      </c>
      <c r="AA9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1" s="359">
        <f ca="1">IF(select!$K$980="*",Scharniere[[#This Row],[AG Ges2]],Scharniere[[#This Row],[AG Ges1]])</f>
        <v>0</v>
      </c>
      <c r="AE931" s="451">
        <f ca="1">IF(AND(Scharniere[[#This Row],[Scharnierart]]=select!$A$1485,Scharniere[[#This Row],[Gruppenschlüssel]]=select!$B$1485)=TRUE,1,0)</f>
        <v>0</v>
      </c>
      <c r="AF931" s="451">
        <f ca="1">IF(AND(Scharniere[[#This Row],[Scharnierart]]=select!$A$1486,Scharniere[[#This Row],[Gruppenschlüssel]]=select!$B$1486)=TRUE,1,0)</f>
        <v>0</v>
      </c>
      <c r="AG931" s="451">
        <f ca="1">IF(AND(Scharniere[[#This Row],[Scharnierart]]=select!$A$1487,Scharniere[[#This Row],[Gruppenschlüssel]]=select!$B$1487)=TRUE,1,0)</f>
        <v>0</v>
      </c>
      <c r="AH931" s="451">
        <f ca="1">IF(AND(Scharniere[[#This Row],[Scharnierart]]=select!$A$1488,Scharniere[[#This Row],[Gruppenschlüssel]]=select!$B$1488)=TRUE,1,0)</f>
        <v>0</v>
      </c>
      <c r="AI931" s="451">
        <f ca="1">IF(SUM(Scharniere[[#This Row],[konf Scharnier 1]:[konf Scharnier 4]])&gt;0,1,0)</f>
        <v>0</v>
      </c>
      <c r="AJ931" s="451"/>
      <c r="AK931" s="451"/>
      <c r="AL931" s="451"/>
      <c r="AM931" s="451"/>
      <c r="AN931" s="451"/>
      <c r="AO931" s="146">
        <v>2</v>
      </c>
      <c r="AP931" s="146">
        <v>7</v>
      </c>
      <c r="AQ931" s="71" t="str">
        <f ca="1">Sprache!$A$114</f>
        <v>Tiomos Scharnier TT Click-on</v>
      </c>
      <c r="AR931" t="str">
        <f ca="1">"110/45°, S-BB, "&amp;Sprache!$A$58&amp;" ni"</f>
        <v>110/45°, S-BB, aufl. ni</v>
      </c>
      <c r="AS931" t="str">
        <f ca="1">Sprache!$A$103</f>
        <v>Tiomos Click-On Scharniere</v>
      </c>
      <c r="AT931" t="s">
        <v>1264</v>
      </c>
      <c r="AU931" t="s">
        <v>11</v>
      </c>
      <c r="AV931" t="s">
        <v>1489</v>
      </c>
      <c r="AW931" s="71">
        <v>0</v>
      </c>
      <c r="AX931">
        <v>0</v>
      </c>
      <c r="AY931">
        <v>1</v>
      </c>
      <c r="AZ931" s="71">
        <v>1</v>
      </c>
      <c r="BA931">
        <v>0</v>
      </c>
      <c r="BB931">
        <v>0</v>
      </c>
      <c r="BC931">
        <v>0</v>
      </c>
      <c r="BD931" s="144" t="s">
        <v>1736</v>
      </c>
      <c r="BF931" s="10"/>
      <c r="BG931"/>
    </row>
    <row r="932" spans="1:59" ht="14.25" customHeight="1" x14ac:dyDescent="0.25">
      <c r="A932" s="37" t="str">
        <f>LEFT(Scharniere[[#This Row],[ArtikelNR]],4)</f>
        <v>F028</v>
      </c>
      <c r="B932" s="35" t="str">
        <f>MID(Scharniere[[#This Row],[ArtikelNR]],5,3)</f>
        <v>138</v>
      </c>
      <c r="C932" s="37" t="str">
        <f>RIGHT(Scharniere[[#This Row],[ArtikelNR]],3)</f>
        <v>534</v>
      </c>
      <c r="D932" s="35">
        <f>IF(AND(Scharniere[[#This Row],[Gruppenschlüssel]]=select!$A$44,Scharniere[[#This Row],[Scharnierart]]=1)=TRUE,1,0)</f>
        <v>0</v>
      </c>
      <c r="E9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2" s="35">
        <f>IF(select!$F$57=IF(Scharniere[[#This Row],[mit Dämpfung]]=1,1,IF(Scharniere[[#This Row],[ohne Dämpfung]]=1,2,IF(Scharniere[[#This Row],[ohne Feder]]=1,3,0))),1,0)</f>
        <v>0</v>
      </c>
      <c r="G932" s="35">
        <f>IF(Scharniere[[#This Row],[Bohrbild]]=select!$V$43,1,0)</f>
        <v>0</v>
      </c>
      <c r="H932" s="35">
        <f>IF(IF(Scharniere[[#This Row],[Anschrauben]]=1,1,IF(Scharniere[[#This Row],[Einpressen]]=1,2,IF(Scharniere[[#This Row],[Quick]]=1,3,IF(Scharniere[[#This Row],[Werkzeuglos]]=1,4,0))))=select!$F$48,1,0)</f>
        <v>0</v>
      </c>
      <c r="I9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2" s="149">
        <f>IF(AND(Scharniere[[#This Row],[Scharnierart]]=2,Scharniere[[#This Row],[Gruppenschlüssel]]=select!$A$318)=TRUE,1,0)</f>
        <v>0</v>
      </c>
      <c r="K932" s="221">
        <f ca="1">IF(select!$O$424&lt;6,1,0)</f>
        <v>1</v>
      </c>
      <c r="L932" s="221">
        <f>IF(select!$A$362=IF(Scharniere[[#This Row],[mit Dämpfung]]=1,1,IF(Scharniere[[#This Row],[ohne Dämpfung]]=1,2,IF(Scharniere[[#This Row],[ohne Feder]]=1,3,0))),1,0)</f>
        <v>1</v>
      </c>
      <c r="M932" s="135">
        <f>IF(Scharniere[[#This Row],[Bohrbild]]=select!$O$334,1,0)</f>
        <v>0</v>
      </c>
      <c r="N932" s="135">
        <f>IF(IF(Scharniere[[#This Row],[Anschrauben]]=1,1,IF(Scharniere[[#This Row],[Einpressen]]=1,2,IF(Scharniere[[#This Row],[Quick]]=1,3,IF(Scharniere[[#This Row],[Werkzeuglos]]=1,4,0))))=select!$E$362,1,0)</f>
        <v>1</v>
      </c>
      <c r="O9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2" s="298">
        <f>IF(AND(Scharniere[[#This Row],[Scharnierart]]=3,Scharniere[[#This Row],[Gruppenschlüssel]]=select!$A$747)=TRUE,1,0)</f>
        <v>0</v>
      </c>
      <c r="Q932" s="298">
        <f ca="1">IF(select!$O$945&lt;6,1,0)</f>
        <v>1</v>
      </c>
      <c r="R932" s="298">
        <f>IF(select!$A$778=IF(Scharniere[[#This Row],[mit Dämpfung]]=1,1,IF(Scharniere[[#This Row],[ohne Dämpfung]]=1,2,IF(Scharniere[[#This Row],[ohne Feder]]=1,3,0))),1,0)</f>
        <v>0</v>
      </c>
      <c r="S932" s="298">
        <f>IF(Scharniere[[#This Row],[Bohrbild]]=select!$A$755,1,0)</f>
        <v>0</v>
      </c>
      <c r="T932" s="298">
        <f>IF(IF(Scharniere[[#This Row],[Anschrauben]]=1,1,IF(Scharniere[[#This Row],[Einpressen]]=1,2,IF(Scharniere[[#This Row],[Quick]]=1,3,IF(Scharniere[[#This Row],[Werkzeuglos]]=1,4,0))))=select!$A$769,1,0)</f>
        <v>1</v>
      </c>
      <c r="U9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2" s="359">
        <f>IF(AND(Scharniere[[#This Row],[Scharnierart]]=4,Scharniere[[#This Row],[Gruppenschlüssel]]=select!$A$981)=TRUE,1,0)</f>
        <v>0</v>
      </c>
      <c r="W932" s="359">
        <f ca="1">IF(select!$O$1185&lt;6,1,0)</f>
        <v>1</v>
      </c>
      <c r="X932" s="359">
        <f>IF(select!$A$1012=IF(Scharniere[[#This Row],[mit Dämpfung]]=1,1,IF(Scharniere[[#This Row],[ohne Dämpfung]]=1,2,IF(Scharniere[[#This Row],[ohne Feder]]=1,3,0))),1,0)</f>
        <v>0</v>
      </c>
      <c r="Y932" s="359">
        <f>IF(Scharniere[[#This Row],[Bohrbild]]=select!$A$989,1,0)</f>
        <v>0</v>
      </c>
      <c r="Z932" s="359">
        <f>IF(IF(Scharniere[[#This Row],[Anschrauben]]=1,1,IF(Scharniere[[#This Row],[Einpressen]]=1,2,IF(Scharniere[[#This Row],[Quick]]=1,3,IF(Scharniere[[#This Row],[Werkzeuglos]]=1,4,0))))=select!$A$1003,1,0)</f>
        <v>1</v>
      </c>
      <c r="AA9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2" s="359">
        <f ca="1">IF(select!$K$980="*",Scharniere[[#This Row],[AG Ges2]],Scharniere[[#This Row],[AG Ges1]])</f>
        <v>0</v>
      </c>
      <c r="AE932" s="451">
        <f ca="1">IF(AND(Scharniere[[#This Row],[Scharnierart]]=select!$A$1485,Scharniere[[#This Row],[Gruppenschlüssel]]=select!$B$1485)=TRUE,1,0)</f>
        <v>0</v>
      </c>
      <c r="AF932" s="451">
        <f ca="1">IF(AND(Scharniere[[#This Row],[Scharnierart]]=select!$A$1486,Scharniere[[#This Row],[Gruppenschlüssel]]=select!$B$1486)=TRUE,1,0)</f>
        <v>0</v>
      </c>
      <c r="AG932" s="451">
        <f ca="1">IF(AND(Scharniere[[#This Row],[Scharnierart]]=select!$A$1487,Scharniere[[#This Row],[Gruppenschlüssel]]=select!$B$1487)=TRUE,1,0)</f>
        <v>0</v>
      </c>
      <c r="AH932" s="451">
        <f ca="1">IF(AND(Scharniere[[#This Row],[Scharnierart]]=select!$A$1488,Scharniere[[#This Row],[Gruppenschlüssel]]=select!$B$1488)=TRUE,1,0)</f>
        <v>0</v>
      </c>
      <c r="AI932" s="451">
        <f ca="1">IF(SUM(Scharniere[[#This Row],[konf Scharnier 1]:[konf Scharnier 4]])&gt;0,1,0)</f>
        <v>0</v>
      </c>
      <c r="AJ932" s="451"/>
      <c r="AK932" s="451"/>
      <c r="AL932" s="451"/>
      <c r="AM932" s="451"/>
      <c r="AN932" s="451"/>
      <c r="AO932" s="146">
        <v>2</v>
      </c>
      <c r="AP932" s="146">
        <v>8</v>
      </c>
      <c r="AQ932" s="71" t="str">
        <f ca="1">Sprache!$A$112</f>
        <v>Tiomos Scharnier TS Click-on</v>
      </c>
      <c r="AR932" t="str">
        <f ca="1">"110/45°, B-BB, "&amp;Sprache!$A$62&amp;" ni"</f>
        <v>110/45°, B-BB, einl. ni</v>
      </c>
      <c r="AS932" t="str">
        <f ca="1">Sprache!$A$103</f>
        <v>Tiomos Click-On Scharniere</v>
      </c>
      <c r="AT932" t="s">
        <v>1264</v>
      </c>
      <c r="AU932" s="34" t="s">
        <v>3</v>
      </c>
      <c r="AV932" t="s">
        <v>1489</v>
      </c>
      <c r="AW932" s="71">
        <v>1</v>
      </c>
      <c r="AX932">
        <v>0</v>
      </c>
      <c r="AY932">
        <v>0</v>
      </c>
      <c r="AZ932" s="71">
        <v>1</v>
      </c>
      <c r="BA932">
        <v>0</v>
      </c>
      <c r="BB932">
        <v>0</v>
      </c>
      <c r="BC932">
        <v>0</v>
      </c>
      <c r="BD932" s="144" t="s">
        <v>1550</v>
      </c>
      <c r="BF932" s="10"/>
      <c r="BG932"/>
    </row>
    <row r="933" spans="1:59" ht="14.25" customHeight="1" x14ac:dyDescent="0.25">
      <c r="A933" s="37" t="str">
        <f>LEFT(Scharniere[[#This Row],[ArtikelNR]],4)</f>
        <v>F045</v>
      </c>
      <c r="B933" s="35" t="str">
        <f>MID(Scharniere[[#This Row],[ArtikelNR]],5,3)</f>
        <v>138</v>
      </c>
      <c r="C933" s="37" t="str">
        <f>RIGHT(Scharniere[[#This Row],[ArtikelNR]],3)</f>
        <v>472</v>
      </c>
      <c r="D933" s="35">
        <f>IF(AND(Scharniere[[#This Row],[Gruppenschlüssel]]=select!$A$44,Scharniere[[#This Row],[Scharnierart]]=1)=TRUE,1,0)</f>
        <v>0</v>
      </c>
      <c r="E9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3" s="35">
        <f>IF(select!$F$57=IF(Scharniere[[#This Row],[mit Dämpfung]]=1,1,IF(Scharniere[[#This Row],[ohne Dämpfung]]=1,2,IF(Scharniere[[#This Row],[ohne Feder]]=1,3,0))),1,0)</f>
        <v>0</v>
      </c>
      <c r="G933" s="35">
        <f>IF(Scharniere[[#This Row],[Bohrbild]]=select!$V$43,1,0)</f>
        <v>0</v>
      </c>
      <c r="H933" s="35">
        <f>IF(IF(Scharniere[[#This Row],[Anschrauben]]=1,1,IF(Scharniere[[#This Row],[Einpressen]]=1,2,IF(Scharniere[[#This Row],[Quick]]=1,3,IF(Scharniere[[#This Row],[Werkzeuglos]]=1,4,0))))=select!$F$48,1,0)</f>
        <v>0</v>
      </c>
      <c r="I9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3" s="149">
        <f>IF(AND(Scharniere[[#This Row],[Scharnierart]]=2,Scharniere[[#This Row],[Gruppenschlüssel]]=select!$A$318)=TRUE,1,0)</f>
        <v>0</v>
      </c>
      <c r="K933" s="221">
        <f ca="1">IF(select!$O$424&lt;6,1,0)</f>
        <v>1</v>
      </c>
      <c r="L933" s="221">
        <f>IF(select!$A$362=IF(Scharniere[[#This Row],[mit Dämpfung]]=1,1,IF(Scharniere[[#This Row],[ohne Dämpfung]]=1,2,IF(Scharniere[[#This Row],[ohne Feder]]=1,3,0))),1,0)</f>
        <v>0</v>
      </c>
      <c r="M933" s="135">
        <f>IF(Scharniere[[#This Row],[Bohrbild]]=select!$O$334,1,0)</f>
        <v>0</v>
      </c>
      <c r="N933" s="135">
        <f>IF(IF(Scharniere[[#This Row],[Anschrauben]]=1,1,IF(Scharniere[[#This Row],[Einpressen]]=1,2,IF(Scharniere[[#This Row],[Quick]]=1,3,IF(Scharniere[[#This Row],[Werkzeuglos]]=1,4,0))))=select!$E$362,1,0)</f>
        <v>1</v>
      </c>
      <c r="O9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3" s="298">
        <f>IF(AND(Scharniere[[#This Row],[Scharnierart]]=3,Scharniere[[#This Row],[Gruppenschlüssel]]=select!$A$747)=TRUE,1,0)</f>
        <v>0</v>
      </c>
      <c r="Q933" s="298">
        <f ca="1">IF(select!$O$945&lt;6,1,0)</f>
        <v>1</v>
      </c>
      <c r="R933" s="298">
        <f>IF(select!$A$778=IF(Scharniere[[#This Row],[mit Dämpfung]]=1,1,IF(Scharniere[[#This Row],[ohne Dämpfung]]=1,2,IF(Scharniere[[#This Row],[ohne Feder]]=1,3,0))),1,0)</f>
        <v>1</v>
      </c>
      <c r="S933" s="298">
        <f>IF(Scharniere[[#This Row],[Bohrbild]]=select!$A$755,1,0)</f>
        <v>0</v>
      </c>
      <c r="T933" s="298">
        <f>IF(IF(Scharniere[[#This Row],[Anschrauben]]=1,1,IF(Scharniere[[#This Row],[Einpressen]]=1,2,IF(Scharniere[[#This Row],[Quick]]=1,3,IF(Scharniere[[#This Row],[Werkzeuglos]]=1,4,0))))=select!$A$769,1,0)</f>
        <v>1</v>
      </c>
      <c r="U9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3" s="359">
        <f>IF(AND(Scharniere[[#This Row],[Scharnierart]]=4,Scharniere[[#This Row],[Gruppenschlüssel]]=select!$A$981)=TRUE,1,0)</f>
        <v>0</v>
      </c>
      <c r="W933" s="359">
        <f ca="1">IF(select!$O$1185&lt;6,1,0)</f>
        <v>1</v>
      </c>
      <c r="X933" s="359">
        <f>IF(select!$A$1012=IF(Scharniere[[#This Row],[mit Dämpfung]]=1,1,IF(Scharniere[[#This Row],[ohne Dämpfung]]=1,2,IF(Scharniere[[#This Row],[ohne Feder]]=1,3,0))),1,0)</f>
        <v>1</v>
      </c>
      <c r="Y933" s="359">
        <f>IF(Scharniere[[#This Row],[Bohrbild]]=select!$A$989,1,0)</f>
        <v>0</v>
      </c>
      <c r="Z933" s="359">
        <f>IF(IF(Scharniere[[#This Row],[Anschrauben]]=1,1,IF(Scharniere[[#This Row],[Einpressen]]=1,2,IF(Scharniere[[#This Row],[Quick]]=1,3,IF(Scharniere[[#This Row],[Werkzeuglos]]=1,4,0))))=select!$A$1003,1,0)</f>
        <v>1</v>
      </c>
      <c r="AA9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3" s="359">
        <f ca="1">IF(select!$K$980="*",Scharniere[[#This Row],[AG Ges2]],Scharniere[[#This Row],[AG Ges1]])</f>
        <v>0</v>
      </c>
      <c r="AE933" s="451">
        <f ca="1">IF(AND(Scharniere[[#This Row],[Scharnierart]]=select!$A$1485,Scharniere[[#This Row],[Gruppenschlüssel]]=select!$B$1485)=TRUE,1,0)</f>
        <v>0</v>
      </c>
      <c r="AF933" s="451">
        <f ca="1">IF(AND(Scharniere[[#This Row],[Scharnierart]]=select!$A$1486,Scharniere[[#This Row],[Gruppenschlüssel]]=select!$B$1486)=TRUE,1,0)</f>
        <v>0</v>
      </c>
      <c r="AG933" s="451">
        <f ca="1">IF(AND(Scharniere[[#This Row],[Scharnierart]]=select!$A$1487,Scharniere[[#This Row],[Gruppenschlüssel]]=select!$B$1487)=TRUE,1,0)</f>
        <v>0</v>
      </c>
      <c r="AH933" s="451">
        <f ca="1">IF(AND(Scharniere[[#This Row],[Scharnierart]]=select!$A$1488,Scharniere[[#This Row],[Gruppenschlüssel]]=select!$B$1488)=TRUE,1,0)</f>
        <v>0</v>
      </c>
      <c r="AI933" s="451">
        <f ca="1">IF(SUM(Scharniere[[#This Row],[konf Scharnier 1]:[konf Scharnier 4]])&gt;0,1,0)</f>
        <v>0</v>
      </c>
      <c r="AJ933" s="451"/>
      <c r="AK933" s="451"/>
      <c r="AL933" s="451"/>
      <c r="AM933" s="451"/>
      <c r="AN933" s="451"/>
      <c r="AO933" s="146">
        <v>2</v>
      </c>
      <c r="AP933" s="146">
        <v>8</v>
      </c>
      <c r="AQ933" s="71" t="str">
        <f ca="1">Sprache!$A$118</f>
        <v>Tiomos Scharnier T Click-on</v>
      </c>
      <c r="AR933" t="str">
        <f ca="1">"110/45°, B-BB, "&amp;Sprache!$A$62&amp;" ni"</f>
        <v>110/45°, B-BB, einl. ni</v>
      </c>
      <c r="AS933" t="str">
        <f ca="1">Sprache!$A$103</f>
        <v>Tiomos Click-On Scharniere</v>
      </c>
      <c r="AT933" t="s">
        <v>1264</v>
      </c>
      <c r="AU933" s="34" t="s">
        <v>3</v>
      </c>
      <c r="AV933" t="s">
        <v>1489</v>
      </c>
      <c r="AW933" s="71">
        <v>0</v>
      </c>
      <c r="AX933">
        <v>1</v>
      </c>
      <c r="AY933">
        <v>0</v>
      </c>
      <c r="AZ933" s="71">
        <v>1</v>
      </c>
      <c r="BA933">
        <v>0</v>
      </c>
      <c r="BB933">
        <v>0</v>
      </c>
      <c r="BC933">
        <v>0</v>
      </c>
      <c r="BD933" s="144" t="s">
        <v>1654</v>
      </c>
      <c r="BF933" s="10"/>
      <c r="BG933"/>
    </row>
    <row r="934" spans="1:59" ht="14.25" customHeight="1" x14ac:dyDescent="0.25">
      <c r="A934" s="37" t="str">
        <f>LEFT(Scharniere[[#This Row],[ArtikelNR]],4)</f>
        <v>F046</v>
      </c>
      <c r="B934" s="35" t="str">
        <f>MID(Scharniere[[#This Row],[ArtikelNR]],5,3)</f>
        <v>138</v>
      </c>
      <c r="C934" s="37" t="str">
        <f>RIGHT(Scharniere[[#This Row],[ArtikelNR]],3)</f>
        <v>594</v>
      </c>
      <c r="D934" s="35">
        <f>IF(AND(Scharniere[[#This Row],[Gruppenschlüssel]]=select!$A$44,Scharniere[[#This Row],[Scharnierart]]=1)=TRUE,1,0)</f>
        <v>0</v>
      </c>
      <c r="E9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4" s="35">
        <f>IF(select!$F$57=IF(Scharniere[[#This Row],[mit Dämpfung]]=1,1,IF(Scharniere[[#This Row],[ohne Dämpfung]]=1,2,IF(Scharniere[[#This Row],[ohne Feder]]=1,3,0))),1,0)</f>
        <v>1</v>
      </c>
      <c r="G934" s="35">
        <f>IF(Scharniere[[#This Row],[Bohrbild]]=select!$V$43,1,0)</f>
        <v>0</v>
      </c>
      <c r="H934" s="35">
        <f>IF(IF(Scharniere[[#This Row],[Anschrauben]]=1,1,IF(Scharniere[[#This Row],[Einpressen]]=1,2,IF(Scharniere[[#This Row],[Quick]]=1,3,IF(Scharniere[[#This Row],[Werkzeuglos]]=1,4,0))))=select!$F$48,1,0)</f>
        <v>0</v>
      </c>
      <c r="I9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4" s="149">
        <f>IF(AND(Scharniere[[#This Row],[Scharnierart]]=2,Scharniere[[#This Row],[Gruppenschlüssel]]=select!$A$318)=TRUE,1,0)</f>
        <v>0</v>
      </c>
      <c r="K934" s="221">
        <f ca="1">IF(select!$O$424&lt;6,1,0)</f>
        <v>1</v>
      </c>
      <c r="L934" s="221">
        <f>IF(select!$A$362=IF(Scharniere[[#This Row],[mit Dämpfung]]=1,1,IF(Scharniere[[#This Row],[ohne Dämpfung]]=1,2,IF(Scharniere[[#This Row],[ohne Feder]]=1,3,0))),1,0)</f>
        <v>0</v>
      </c>
      <c r="M934" s="135">
        <f>IF(Scharniere[[#This Row],[Bohrbild]]=select!$O$334,1,0)</f>
        <v>0</v>
      </c>
      <c r="N934" s="135">
        <f>IF(IF(Scharniere[[#This Row],[Anschrauben]]=1,1,IF(Scharniere[[#This Row],[Einpressen]]=1,2,IF(Scharniere[[#This Row],[Quick]]=1,3,IF(Scharniere[[#This Row],[Werkzeuglos]]=1,4,0))))=select!$E$362,1,0)</f>
        <v>1</v>
      </c>
      <c r="O9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4" s="298">
        <f>IF(AND(Scharniere[[#This Row],[Scharnierart]]=3,Scharniere[[#This Row],[Gruppenschlüssel]]=select!$A$747)=TRUE,1,0)</f>
        <v>0</v>
      </c>
      <c r="Q934" s="298">
        <f ca="1">IF(select!$O$945&lt;6,1,0)</f>
        <v>1</v>
      </c>
      <c r="R934" s="298">
        <f>IF(select!$A$778=IF(Scharniere[[#This Row],[mit Dämpfung]]=1,1,IF(Scharniere[[#This Row],[ohne Dämpfung]]=1,2,IF(Scharniere[[#This Row],[ohne Feder]]=1,3,0))),1,0)</f>
        <v>0</v>
      </c>
      <c r="S934" s="298">
        <f>IF(Scharniere[[#This Row],[Bohrbild]]=select!$A$755,1,0)</f>
        <v>0</v>
      </c>
      <c r="T934" s="298">
        <f>IF(IF(Scharniere[[#This Row],[Anschrauben]]=1,1,IF(Scharniere[[#This Row],[Einpressen]]=1,2,IF(Scharniere[[#This Row],[Quick]]=1,3,IF(Scharniere[[#This Row],[Werkzeuglos]]=1,4,0))))=select!$A$769,1,0)</f>
        <v>1</v>
      </c>
      <c r="U9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4" s="359">
        <f>IF(AND(Scharniere[[#This Row],[Scharnierart]]=4,Scharniere[[#This Row],[Gruppenschlüssel]]=select!$A$981)=TRUE,1,0)</f>
        <v>0</v>
      </c>
      <c r="W934" s="359">
        <f ca="1">IF(select!$O$1185&lt;6,1,0)</f>
        <v>1</v>
      </c>
      <c r="X934" s="359">
        <f>IF(select!$A$1012=IF(Scharniere[[#This Row],[mit Dämpfung]]=1,1,IF(Scharniere[[#This Row],[ohne Dämpfung]]=1,2,IF(Scharniere[[#This Row],[ohne Feder]]=1,3,0))),1,0)</f>
        <v>0</v>
      </c>
      <c r="Y934" s="359">
        <f>IF(Scharniere[[#This Row],[Bohrbild]]=select!$A$989,1,0)</f>
        <v>0</v>
      </c>
      <c r="Z934" s="359">
        <f>IF(IF(Scharniere[[#This Row],[Anschrauben]]=1,1,IF(Scharniere[[#This Row],[Einpressen]]=1,2,IF(Scharniere[[#This Row],[Quick]]=1,3,IF(Scharniere[[#This Row],[Werkzeuglos]]=1,4,0))))=select!$A$1003,1,0)</f>
        <v>1</v>
      </c>
      <c r="AA9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4" s="359">
        <f ca="1">IF(select!$K$980="*",Scharniere[[#This Row],[AG Ges2]],Scharniere[[#This Row],[AG Ges1]])</f>
        <v>0</v>
      </c>
      <c r="AE934" s="451">
        <f ca="1">IF(AND(Scharniere[[#This Row],[Scharnierart]]=select!$A$1485,Scharniere[[#This Row],[Gruppenschlüssel]]=select!$B$1485)=TRUE,1,0)</f>
        <v>0</v>
      </c>
      <c r="AF934" s="451">
        <f ca="1">IF(AND(Scharniere[[#This Row],[Scharnierart]]=select!$A$1486,Scharniere[[#This Row],[Gruppenschlüssel]]=select!$B$1486)=TRUE,1,0)</f>
        <v>0</v>
      </c>
      <c r="AG934" s="451">
        <f ca="1">IF(AND(Scharniere[[#This Row],[Scharnierart]]=select!$A$1487,Scharniere[[#This Row],[Gruppenschlüssel]]=select!$B$1487)=TRUE,1,0)</f>
        <v>0</v>
      </c>
      <c r="AH934" s="451">
        <f ca="1">IF(AND(Scharniere[[#This Row],[Scharnierart]]=select!$A$1488,Scharniere[[#This Row],[Gruppenschlüssel]]=select!$B$1488)=TRUE,1,0)</f>
        <v>0</v>
      </c>
      <c r="AI934" s="451">
        <f ca="1">IF(SUM(Scharniere[[#This Row],[konf Scharnier 1]:[konf Scharnier 4]])&gt;0,1,0)</f>
        <v>0</v>
      </c>
      <c r="AJ934" s="451"/>
      <c r="AK934" s="451"/>
      <c r="AL934" s="451"/>
      <c r="AM934" s="451"/>
      <c r="AN934" s="451"/>
      <c r="AO934" s="146">
        <v>2</v>
      </c>
      <c r="AP934" s="146">
        <v>8</v>
      </c>
      <c r="AQ934" s="71" t="str">
        <f ca="1">Sprache!$A$114</f>
        <v>Tiomos Scharnier TT Click-on</v>
      </c>
      <c r="AR934" t="str">
        <f ca="1">"110/45°, B-BB, "&amp;Sprache!$A$62&amp;" ni"</f>
        <v>110/45°, B-BB, einl. ni</v>
      </c>
      <c r="AS934" t="str">
        <f ca="1">Sprache!$A$103</f>
        <v>Tiomos Click-On Scharniere</v>
      </c>
      <c r="AT934" t="s">
        <v>1264</v>
      </c>
      <c r="AU934" s="34" t="s">
        <v>3</v>
      </c>
      <c r="AV934" t="s">
        <v>1489</v>
      </c>
      <c r="AW934" s="71">
        <v>0</v>
      </c>
      <c r="AX934">
        <v>0</v>
      </c>
      <c r="AY934">
        <v>1</v>
      </c>
      <c r="AZ934" s="71">
        <v>1</v>
      </c>
      <c r="BA934">
        <v>0</v>
      </c>
      <c r="BB934">
        <v>0</v>
      </c>
      <c r="BC934">
        <v>0</v>
      </c>
      <c r="BD934" s="144" t="s">
        <v>1723</v>
      </c>
      <c r="BF934" s="10"/>
      <c r="BG934"/>
    </row>
    <row r="935" spans="1:59" ht="14.25" customHeight="1" x14ac:dyDescent="0.25">
      <c r="A935" s="37" t="str">
        <f>LEFT(Scharniere[[#This Row],[ArtikelNR]],4)</f>
        <v>F028</v>
      </c>
      <c r="B935" s="35" t="str">
        <f>MID(Scharniere[[#This Row],[ArtikelNR]],5,3)</f>
        <v>138</v>
      </c>
      <c r="C935" s="37" t="str">
        <f>RIGHT(Scharniere[[#This Row],[ArtikelNR]],3)</f>
        <v>352</v>
      </c>
      <c r="D935" s="35">
        <f>IF(AND(Scharniere[[#This Row],[Gruppenschlüssel]]=select!$A$44,Scharniere[[#This Row],[Scharnierart]]=1)=TRUE,1,0)</f>
        <v>0</v>
      </c>
      <c r="E9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5" s="35">
        <f>IF(select!$F$57=IF(Scharniere[[#This Row],[mit Dämpfung]]=1,1,IF(Scharniere[[#This Row],[ohne Dämpfung]]=1,2,IF(Scharniere[[#This Row],[ohne Feder]]=1,3,0))),1,0)</f>
        <v>0</v>
      </c>
      <c r="G935" s="35">
        <f>IF(Scharniere[[#This Row],[Bohrbild]]=select!$V$43,1,0)</f>
        <v>0</v>
      </c>
      <c r="H935" s="35">
        <f>IF(IF(Scharniere[[#This Row],[Anschrauben]]=1,1,IF(Scharniere[[#This Row],[Einpressen]]=1,2,IF(Scharniere[[#This Row],[Quick]]=1,3,IF(Scharniere[[#This Row],[Werkzeuglos]]=1,4,0))))=select!$F$48,1,0)</f>
        <v>0</v>
      </c>
      <c r="I9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5" s="149">
        <f>IF(AND(Scharniere[[#This Row],[Scharnierart]]=2,Scharniere[[#This Row],[Gruppenschlüssel]]=select!$A$318)=TRUE,1,0)</f>
        <v>0</v>
      </c>
      <c r="K935" s="221">
        <f ca="1">IF(select!$O$424&lt;6,1,0)</f>
        <v>1</v>
      </c>
      <c r="L935" s="221">
        <f>IF(select!$A$362=IF(Scharniere[[#This Row],[mit Dämpfung]]=1,1,IF(Scharniere[[#This Row],[ohne Dämpfung]]=1,2,IF(Scharniere[[#This Row],[ohne Feder]]=1,3,0))),1,0)</f>
        <v>1</v>
      </c>
      <c r="M935" s="135">
        <f>IF(Scharniere[[#This Row],[Bohrbild]]=select!$O$334,1,0)</f>
        <v>0</v>
      </c>
      <c r="N935" s="135">
        <f>IF(IF(Scharniere[[#This Row],[Anschrauben]]=1,1,IF(Scharniere[[#This Row],[Einpressen]]=1,2,IF(Scharniere[[#This Row],[Quick]]=1,3,IF(Scharniere[[#This Row],[Werkzeuglos]]=1,4,0))))=select!$E$362,1,0)</f>
        <v>1</v>
      </c>
      <c r="O9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5" s="298">
        <f>IF(AND(Scharniere[[#This Row],[Scharnierart]]=3,Scharniere[[#This Row],[Gruppenschlüssel]]=select!$A$747)=TRUE,1,0)</f>
        <v>0</v>
      </c>
      <c r="Q935" s="298">
        <f ca="1">IF(select!$O$945&lt;6,1,0)</f>
        <v>1</v>
      </c>
      <c r="R935" s="298">
        <f>IF(select!$A$778=IF(Scharniere[[#This Row],[mit Dämpfung]]=1,1,IF(Scharniere[[#This Row],[ohne Dämpfung]]=1,2,IF(Scharniere[[#This Row],[ohne Feder]]=1,3,0))),1,0)</f>
        <v>0</v>
      </c>
      <c r="S935" s="298">
        <f>IF(Scharniere[[#This Row],[Bohrbild]]=select!$A$755,1,0)</f>
        <v>0</v>
      </c>
      <c r="T935" s="298">
        <f>IF(IF(Scharniere[[#This Row],[Anschrauben]]=1,1,IF(Scharniere[[#This Row],[Einpressen]]=1,2,IF(Scharniere[[#This Row],[Quick]]=1,3,IF(Scharniere[[#This Row],[Werkzeuglos]]=1,4,0))))=select!$A$769,1,0)</f>
        <v>1</v>
      </c>
      <c r="U9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5" s="359">
        <f>IF(AND(Scharniere[[#This Row],[Scharnierart]]=4,Scharniere[[#This Row],[Gruppenschlüssel]]=select!$A$981)=TRUE,1,0)</f>
        <v>0</v>
      </c>
      <c r="W935" s="359">
        <f ca="1">IF(select!$O$1185&lt;6,1,0)</f>
        <v>1</v>
      </c>
      <c r="X935" s="359">
        <f>IF(select!$A$1012=IF(Scharniere[[#This Row],[mit Dämpfung]]=1,1,IF(Scharniere[[#This Row],[ohne Dämpfung]]=1,2,IF(Scharniere[[#This Row],[ohne Feder]]=1,3,0))),1,0)</f>
        <v>0</v>
      </c>
      <c r="Y935" s="359">
        <f>IF(Scharniere[[#This Row],[Bohrbild]]=select!$A$989,1,0)</f>
        <v>0</v>
      </c>
      <c r="Z935" s="359">
        <f>IF(IF(Scharniere[[#This Row],[Anschrauben]]=1,1,IF(Scharniere[[#This Row],[Einpressen]]=1,2,IF(Scharniere[[#This Row],[Quick]]=1,3,IF(Scharniere[[#This Row],[Werkzeuglos]]=1,4,0))))=select!$A$1003,1,0)</f>
        <v>1</v>
      </c>
      <c r="AA9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5" s="359">
        <f ca="1">IF(select!$K$980="*",Scharniere[[#This Row],[AG Ges2]],Scharniere[[#This Row],[AG Ges1]])</f>
        <v>0</v>
      </c>
      <c r="AE935" s="451">
        <f ca="1">IF(AND(Scharniere[[#This Row],[Scharnierart]]=select!$A$1485,Scharniere[[#This Row],[Gruppenschlüssel]]=select!$B$1485)=TRUE,1,0)</f>
        <v>0</v>
      </c>
      <c r="AF935" s="451">
        <f ca="1">IF(AND(Scharniere[[#This Row],[Scharnierart]]=select!$A$1486,Scharniere[[#This Row],[Gruppenschlüssel]]=select!$B$1486)=TRUE,1,0)</f>
        <v>0</v>
      </c>
      <c r="AG935" s="451">
        <f ca="1">IF(AND(Scharniere[[#This Row],[Scharnierart]]=select!$A$1487,Scharniere[[#This Row],[Gruppenschlüssel]]=select!$B$1487)=TRUE,1,0)</f>
        <v>0</v>
      </c>
      <c r="AH935" s="451">
        <f ca="1">IF(AND(Scharniere[[#This Row],[Scharnierart]]=select!$A$1488,Scharniere[[#This Row],[Gruppenschlüssel]]=select!$B$1488)=TRUE,1,0)</f>
        <v>0</v>
      </c>
      <c r="AI935" s="451">
        <f ca="1">IF(SUM(Scharniere[[#This Row],[konf Scharnier 1]:[konf Scharnier 4]])&gt;0,1,0)</f>
        <v>0</v>
      </c>
      <c r="AJ935" s="451"/>
      <c r="AK935" s="451"/>
      <c r="AL935" s="451"/>
      <c r="AM935" s="451"/>
      <c r="AN935" s="451"/>
      <c r="AO935" s="146">
        <v>2</v>
      </c>
      <c r="AP935" s="146">
        <v>8</v>
      </c>
      <c r="AQ935" s="71" t="str">
        <f ca="1">Sprache!$A$112</f>
        <v>Tiomos Scharnier TS Click-on</v>
      </c>
      <c r="AR935" s="3" t="str">
        <f ca="1">"110/45°, G-BB, "&amp;Sprache!$A$62&amp;" ni"</f>
        <v>110/45°, G-BB, einl. ni</v>
      </c>
      <c r="AS935" t="str">
        <f ca="1">Sprache!$A$103</f>
        <v>Tiomos Click-On Scharniere</v>
      </c>
      <c r="AT935" t="s">
        <v>1264</v>
      </c>
      <c r="AU935" t="s">
        <v>9</v>
      </c>
      <c r="AV935" t="s">
        <v>1489</v>
      </c>
      <c r="AW935" s="71">
        <v>1</v>
      </c>
      <c r="AX935">
        <v>0</v>
      </c>
      <c r="AY935">
        <v>0</v>
      </c>
      <c r="AZ935" s="71">
        <v>1</v>
      </c>
      <c r="BA935">
        <v>0</v>
      </c>
      <c r="BB935">
        <v>0</v>
      </c>
      <c r="BC935">
        <v>0</v>
      </c>
      <c r="BD935" s="144" t="s">
        <v>1538</v>
      </c>
      <c r="BF935" s="10"/>
      <c r="BG935"/>
    </row>
    <row r="936" spans="1:59" ht="14.25" customHeight="1" x14ac:dyDescent="0.25">
      <c r="A936" s="37" t="str">
        <f>LEFT(Scharniere[[#This Row],[ArtikelNR]],4)</f>
        <v>F045</v>
      </c>
      <c r="B936" s="35" t="str">
        <f>MID(Scharniere[[#This Row],[ArtikelNR]],5,3)</f>
        <v>138</v>
      </c>
      <c r="C936" s="37" t="str">
        <f>RIGHT(Scharniere[[#This Row],[ArtikelNR]],3)</f>
        <v>290</v>
      </c>
      <c r="D936" s="35">
        <f>IF(AND(Scharniere[[#This Row],[Gruppenschlüssel]]=select!$A$44,Scharniere[[#This Row],[Scharnierart]]=1)=TRUE,1,0)</f>
        <v>0</v>
      </c>
      <c r="E9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6" s="35">
        <f>IF(select!$F$57=IF(Scharniere[[#This Row],[mit Dämpfung]]=1,1,IF(Scharniere[[#This Row],[ohne Dämpfung]]=1,2,IF(Scharniere[[#This Row],[ohne Feder]]=1,3,0))),1,0)</f>
        <v>0</v>
      </c>
      <c r="G936" s="35">
        <f>IF(Scharniere[[#This Row],[Bohrbild]]=select!$V$43,1,0)</f>
        <v>0</v>
      </c>
      <c r="H936" s="35">
        <f>IF(IF(Scharniere[[#This Row],[Anschrauben]]=1,1,IF(Scharniere[[#This Row],[Einpressen]]=1,2,IF(Scharniere[[#This Row],[Quick]]=1,3,IF(Scharniere[[#This Row],[Werkzeuglos]]=1,4,0))))=select!$F$48,1,0)</f>
        <v>0</v>
      </c>
      <c r="I9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6" s="149">
        <f>IF(AND(Scharniere[[#This Row],[Scharnierart]]=2,Scharniere[[#This Row],[Gruppenschlüssel]]=select!$A$318)=TRUE,1,0)</f>
        <v>0</v>
      </c>
      <c r="K936" s="221">
        <f ca="1">IF(select!$O$424&lt;6,1,0)</f>
        <v>1</v>
      </c>
      <c r="L936" s="221">
        <f>IF(select!$A$362=IF(Scharniere[[#This Row],[mit Dämpfung]]=1,1,IF(Scharniere[[#This Row],[ohne Dämpfung]]=1,2,IF(Scharniere[[#This Row],[ohne Feder]]=1,3,0))),1,0)</f>
        <v>0</v>
      </c>
      <c r="M936" s="135">
        <f>IF(Scharniere[[#This Row],[Bohrbild]]=select!$O$334,1,0)</f>
        <v>0</v>
      </c>
      <c r="N936" s="135">
        <f>IF(IF(Scharniere[[#This Row],[Anschrauben]]=1,1,IF(Scharniere[[#This Row],[Einpressen]]=1,2,IF(Scharniere[[#This Row],[Quick]]=1,3,IF(Scharniere[[#This Row],[Werkzeuglos]]=1,4,0))))=select!$E$362,1,0)</f>
        <v>1</v>
      </c>
      <c r="O9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6" s="298">
        <f>IF(AND(Scharniere[[#This Row],[Scharnierart]]=3,Scharniere[[#This Row],[Gruppenschlüssel]]=select!$A$747)=TRUE,1,0)</f>
        <v>0</v>
      </c>
      <c r="Q936" s="298">
        <f ca="1">IF(select!$O$945&lt;6,1,0)</f>
        <v>1</v>
      </c>
      <c r="R936" s="298">
        <f>IF(select!$A$778=IF(Scharniere[[#This Row],[mit Dämpfung]]=1,1,IF(Scharniere[[#This Row],[ohne Dämpfung]]=1,2,IF(Scharniere[[#This Row],[ohne Feder]]=1,3,0))),1,0)</f>
        <v>1</v>
      </c>
      <c r="S936" s="298">
        <f>IF(Scharniere[[#This Row],[Bohrbild]]=select!$A$755,1,0)</f>
        <v>0</v>
      </c>
      <c r="T936" s="298">
        <f>IF(IF(Scharniere[[#This Row],[Anschrauben]]=1,1,IF(Scharniere[[#This Row],[Einpressen]]=1,2,IF(Scharniere[[#This Row],[Quick]]=1,3,IF(Scharniere[[#This Row],[Werkzeuglos]]=1,4,0))))=select!$A$769,1,0)</f>
        <v>1</v>
      </c>
      <c r="U9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6" s="359">
        <f>IF(AND(Scharniere[[#This Row],[Scharnierart]]=4,Scharniere[[#This Row],[Gruppenschlüssel]]=select!$A$981)=TRUE,1,0)</f>
        <v>0</v>
      </c>
      <c r="W936" s="359">
        <f ca="1">IF(select!$O$1185&lt;6,1,0)</f>
        <v>1</v>
      </c>
      <c r="X936" s="359">
        <f>IF(select!$A$1012=IF(Scharniere[[#This Row],[mit Dämpfung]]=1,1,IF(Scharniere[[#This Row],[ohne Dämpfung]]=1,2,IF(Scharniere[[#This Row],[ohne Feder]]=1,3,0))),1,0)</f>
        <v>1</v>
      </c>
      <c r="Y936" s="359">
        <f>IF(Scharniere[[#This Row],[Bohrbild]]=select!$A$989,1,0)</f>
        <v>0</v>
      </c>
      <c r="Z936" s="359">
        <f>IF(IF(Scharniere[[#This Row],[Anschrauben]]=1,1,IF(Scharniere[[#This Row],[Einpressen]]=1,2,IF(Scharniere[[#This Row],[Quick]]=1,3,IF(Scharniere[[#This Row],[Werkzeuglos]]=1,4,0))))=select!$A$1003,1,0)</f>
        <v>1</v>
      </c>
      <c r="AA9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6" s="359">
        <f ca="1">IF(select!$K$980="*",Scharniere[[#This Row],[AG Ges2]],Scharniere[[#This Row],[AG Ges1]])</f>
        <v>0</v>
      </c>
      <c r="AE936" s="451">
        <f ca="1">IF(AND(Scharniere[[#This Row],[Scharnierart]]=select!$A$1485,Scharniere[[#This Row],[Gruppenschlüssel]]=select!$B$1485)=TRUE,1,0)</f>
        <v>0</v>
      </c>
      <c r="AF936" s="451">
        <f ca="1">IF(AND(Scharniere[[#This Row],[Scharnierart]]=select!$A$1486,Scharniere[[#This Row],[Gruppenschlüssel]]=select!$B$1486)=TRUE,1,0)</f>
        <v>0</v>
      </c>
      <c r="AG936" s="451">
        <f ca="1">IF(AND(Scharniere[[#This Row],[Scharnierart]]=select!$A$1487,Scharniere[[#This Row],[Gruppenschlüssel]]=select!$B$1487)=TRUE,1,0)</f>
        <v>0</v>
      </c>
      <c r="AH936" s="451">
        <f ca="1">IF(AND(Scharniere[[#This Row],[Scharnierart]]=select!$A$1488,Scharniere[[#This Row],[Gruppenschlüssel]]=select!$B$1488)=TRUE,1,0)</f>
        <v>0</v>
      </c>
      <c r="AI936" s="451">
        <f ca="1">IF(SUM(Scharniere[[#This Row],[konf Scharnier 1]:[konf Scharnier 4]])&gt;0,1,0)</f>
        <v>0</v>
      </c>
      <c r="AJ936" s="451"/>
      <c r="AK936" s="451"/>
      <c r="AL936" s="451"/>
      <c r="AM936" s="451"/>
      <c r="AN936" s="451"/>
      <c r="AO936" s="146">
        <v>2</v>
      </c>
      <c r="AP936" s="146">
        <v>8</v>
      </c>
      <c r="AQ936" s="71" t="str">
        <f ca="1">Sprache!$A$118</f>
        <v>Tiomos Scharnier T Click-on</v>
      </c>
      <c r="AR936" t="str">
        <f ca="1">"110/45°, G-BB, "&amp;Sprache!$A$62&amp;" ni"</f>
        <v>110/45°, G-BB, einl. ni</v>
      </c>
      <c r="AS936" t="str">
        <f ca="1">Sprache!$A$103</f>
        <v>Tiomos Click-On Scharniere</v>
      </c>
      <c r="AT936" t="s">
        <v>1264</v>
      </c>
      <c r="AU936" t="s">
        <v>9</v>
      </c>
      <c r="AV936" t="s">
        <v>1489</v>
      </c>
      <c r="AW936" s="71">
        <v>0</v>
      </c>
      <c r="AX936">
        <v>1</v>
      </c>
      <c r="AY936">
        <v>0</v>
      </c>
      <c r="AZ936" s="71">
        <v>1</v>
      </c>
      <c r="BA936">
        <v>0</v>
      </c>
      <c r="BB936">
        <v>0</v>
      </c>
      <c r="BC936">
        <v>0</v>
      </c>
      <c r="BD936" s="144" t="s">
        <v>1639</v>
      </c>
      <c r="BF936" s="10"/>
      <c r="BG936"/>
    </row>
    <row r="937" spans="1:59" ht="14.25" customHeight="1" x14ac:dyDescent="0.25">
      <c r="A937" s="37" t="str">
        <f>LEFT(Scharniere[[#This Row],[ArtikelNR]],4)</f>
        <v>F046</v>
      </c>
      <c r="B937" s="35" t="str">
        <f>MID(Scharniere[[#This Row],[ArtikelNR]],5,3)</f>
        <v>138</v>
      </c>
      <c r="C937" s="37" t="str">
        <f>RIGHT(Scharniere[[#This Row],[ArtikelNR]],3)</f>
        <v>412</v>
      </c>
      <c r="D937" s="35">
        <f>IF(AND(Scharniere[[#This Row],[Gruppenschlüssel]]=select!$A$44,Scharniere[[#This Row],[Scharnierart]]=1)=TRUE,1,0)</f>
        <v>0</v>
      </c>
      <c r="E9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7" s="35">
        <f>IF(select!$F$57=IF(Scharniere[[#This Row],[mit Dämpfung]]=1,1,IF(Scharniere[[#This Row],[ohne Dämpfung]]=1,2,IF(Scharniere[[#This Row],[ohne Feder]]=1,3,0))),1,0)</f>
        <v>1</v>
      </c>
      <c r="G937" s="35">
        <f>IF(Scharniere[[#This Row],[Bohrbild]]=select!$V$43,1,0)</f>
        <v>0</v>
      </c>
      <c r="H937" s="35">
        <f>IF(IF(Scharniere[[#This Row],[Anschrauben]]=1,1,IF(Scharniere[[#This Row],[Einpressen]]=1,2,IF(Scharniere[[#This Row],[Quick]]=1,3,IF(Scharniere[[#This Row],[Werkzeuglos]]=1,4,0))))=select!$F$48,1,0)</f>
        <v>0</v>
      </c>
      <c r="I9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7" s="149">
        <f>IF(AND(Scharniere[[#This Row],[Scharnierart]]=2,Scharniere[[#This Row],[Gruppenschlüssel]]=select!$A$318)=TRUE,1,0)</f>
        <v>0</v>
      </c>
      <c r="K937" s="221">
        <f ca="1">IF(select!$O$424&lt;6,1,0)</f>
        <v>1</v>
      </c>
      <c r="L937" s="221">
        <f>IF(select!$A$362=IF(Scharniere[[#This Row],[mit Dämpfung]]=1,1,IF(Scharniere[[#This Row],[ohne Dämpfung]]=1,2,IF(Scharniere[[#This Row],[ohne Feder]]=1,3,0))),1,0)</f>
        <v>0</v>
      </c>
      <c r="M937" s="135">
        <f>IF(Scharniere[[#This Row],[Bohrbild]]=select!$O$334,1,0)</f>
        <v>0</v>
      </c>
      <c r="N937" s="135">
        <f>IF(IF(Scharniere[[#This Row],[Anschrauben]]=1,1,IF(Scharniere[[#This Row],[Einpressen]]=1,2,IF(Scharniere[[#This Row],[Quick]]=1,3,IF(Scharniere[[#This Row],[Werkzeuglos]]=1,4,0))))=select!$E$362,1,0)</f>
        <v>1</v>
      </c>
      <c r="O9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7" s="298">
        <f>IF(AND(Scharniere[[#This Row],[Scharnierart]]=3,Scharniere[[#This Row],[Gruppenschlüssel]]=select!$A$747)=TRUE,1,0)</f>
        <v>0</v>
      </c>
      <c r="Q937" s="298">
        <f ca="1">IF(select!$O$945&lt;6,1,0)</f>
        <v>1</v>
      </c>
      <c r="R937" s="298">
        <f>IF(select!$A$778=IF(Scharniere[[#This Row],[mit Dämpfung]]=1,1,IF(Scharniere[[#This Row],[ohne Dämpfung]]=1,2,IF(Scharniere[[#This Row],[ohne Feder]]=1,3,0))),1,0)</f>
        <v>0</v>
      </c>
      <c r="S937" s="298">
        <f>IF(Scharniere[[#This Row],[Bohrbild]]=select!$A$755,1,0)</f>
        <v>0</v>
      </c>
      <c r="T937" s="298">
        <f>IF(IF(Scharniere[[#This Row],[Anschrauben]]=1,1,IF(Scharniere[[#This Row],[Einpressen]]=1,2,IF(Scharniere[[#This Row],[Quick]]=1,3,IF(Scharniere[[#This Row],[Werkzeuglos]]=1,4,0))))=select!$A$769,1,0)</f>
        <v>1</v>
      </c>
      <c r="U9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7" s="359">
        <f>IF(AND(Scharniere[[#This Row],[Scharnierart]]=4,Scharniere[[#This Row],[Gruppenschlüssel]]=select!$A$981)=TRUE,1,0)</f>
        <v>0</v>
      </c>
      <c r="W937" s="359">
        <f ca="1">IF(select!$O$1185&lt;6,1,0)</f>
        <v>1</v>
      </c>
      <c r="X937" s="359">
        <f>IF(select!$A$1012=IF(Scharniere[[#This Row],[mit Dämpfung]]=1,1,IF(Scharniere[[#This Row],[ohne Dämpfung]]=1,2,IF(Scharniere[[#This Row],[ohne Feder]]=1,3,0))),1,0)</f>
        <v>0</v>
      </c>
      <c r="Y937" s="359">
        <f>IF(Scharniere[[#This Row],[Bohrbild]]=select!$A$989,1,0)</f>
        <v>0</v>
      </c>
      <c r="Z937" s="359">
        <f>IF(IF(Scharniere[[#This Row],[Anschrauben]]=1,1,IF(Scharniere[[#This Row],[Einpressen]]=1,2,IF(Scharniere[[#This Row],[Quick]]=1,3,IF(Scharniere[[#This Row],[Werkzeuglos]]=1,4,0))))=select!$A$1003,1,0)</f>
        <v>1</v>
      </c>
      <c r="AA9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7" s="359">
        <f ca="1">IF(select!$K$980="*",Scharniere[[#This Row],[AG Ges2]],Scharniere[[#This Row],[AG Ges1]])</f>
        <v>0</v>
      </c>
      <c r="AE937" s="451">
        <f ca="1">IF(AND(Scharniere[[#This Row],[Scharnierart]]=select!$A$1485,Scharniere[[#This Row],[Gruppenschlüssel]]=select!$B$1485)=TRUE,1,0)</f>
        <v>0</v>
      </c>
      <c r="AF937" s="451">
        <f ca="1">IF(AND(Scharniere[[#This Row],[Scharnierart]]=select!$A$1486,Scharniere[[#This Row],[Gruppenschlüssel]]=select!$B$1486)=TRUE,1,0)</f>
        <v>0</v>
      </c>
      <c r="AG937" s="451">
        <f ca="1">IF(AND(Scharniere[[#This Row],[Scharnierart]]=select!$A$1487,Scharniere[[#This Row],[Gruppenschlüssel]]=select!$B$1487)=TRUE,1,0)</f>
        <v>0</v>
      </c>
      <c r="AH937" s="451">
        <f ca="1">IF(AND(Scharniere[[#This Row],[Scharnierart]]=select!$A$1488,Scharniere[[#This Row],[Gruppenschlüssel]]=select!$B$1488)=TRUE,1,0)</f>
        <v>0</v>
      </c>
      <c r="AI937" s="451">
        <f ca="1">IF(SUM(Scharniere[[#This Row],[konf Scharnier 1]:[konf Scharnier 4]])&gt;0,1,0)</f>
        <v>0</v>
      </c>
      <c r="AJ937" s="451"/>
      <c r="AK937" s="451"/>
      <c r="AL937" s="451"/>
      <c r="AM937" s="451"/>
      <c r="AN937" s="451"/>
      <c r="AO937" s="146">
        <v>2</v>
      </c>
      <c r="AP937" s="146">
        <v>8</v>
      </c>
      <c r="AQ937" s="71" t="str">
        <f ca="1">Sprache!$A$114</f>
        <v>Tiomos Scharnier TT Click-on</v>
      </c>
      <c r="AR937" t="str">
        <f ca="1">"110/45°, G-BB, "&amp;Sprache!$A$62&amp;" ni"</f>
        <v>110/45°, G-BB, einl. ni</v>
      </c>
      <c r="AS937" t="str">
        <f ca="1">Sprache!$A$103</f>
        <v>Tiomos Click-On Scharniere</v>
      </c>
      <c r="AT937" t="s">
        <v>1264</v>
      </c>
      <c r="AU937" t="s">
        <v>9</v>
      </c>
      <c r="AV937" t="s">
        <v>1489</v>
      </c>
      <c r="AW937" s="71">
        <v>0</v>
      </c>
      <c r="AX937">
        <v>0</v>
      </c>
      <c r="AY937">
        <v>1</v>
      </c>
      <c r="AZ937" s="71">
        <v>1</v>
      </c>
      <c r="BA937">
        <v>0</v>
      </c>
      <c r="BB937">
        <v>0</v>
      </c>
      <c r="BC937">
        <v>0</v>
      </c>
      <c r="BD937" s="144" t="s">
        <v>1716</v>
      </c>
      <c r="BF937" s="10"/>
      <c r="BG937"/>
    </row>
    <row r="938" spans="1:59" ht="14.25" customHeight="1" x14ac:dyDescent="0.25">
      <c r="A938" s="37" t="str">
        <f>LEFT(Scharniere[[#This Row],[ArtikelNR]],4)</f>
        <v>F017</v>
      </c>
      <c r="B938" s="35" t="str">
        <f>MID(Scharniere[[#This Row],[ArtikelNR]],5,3)</f>
        <v>139</v>
      </c>
      <c r="C938" s="37" t="str">
        <f>RIGHT(Scharniere[[#This Row],[ArtikelNR]],3)</f>
        <v>425</v>
      </c>
      <c r="D938" s="35">
        <f>IF(AND(Scharniere[[#This Row],[Gruppenschlüssel]]=select!$A$44,Scharniere[[#This Row],[Scharnierart]]=1)=TRUE,1,0)</f>
        <v>0</v>
      </c>
      <c r="E9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8" s="35">
        <f>IF(select!$F$57=IF(Scharniere[[#This Row],[mit Dämpfung]]=1,1,IF(Scharniere[[#This Row],[ohne Dämpfung]]=1,2,IF(Scharniere[[#This Row],[ohne Feder]]=1,3,0))),1,0)</f>
        <v>0</v>
      </c>
      <c r="G938" s="35">
        <f>IF(Scharniere[[#This Row],[Bohrbild]]=select!$V$43,1,0)</f>
        <v>0</v>
      </c>
      <c r="H938" s="35">
        <f>IF(IF(Scharniere[[#This Row],[Anschrauben]]=1,1,IF(Scharniere[[#This Row],[Einpressen]]=1,2,IF(Scharniere[[#This Row],[Quick]]=1,3,IF(Scharniere[[#This Row],[Werkzeuglos]]=1,4,0))))=select!$F$48,1,0)</f>
        <v>0</v>
      </c>
      <c r="I9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8" s="149">
        <f>IF(AND(Scharniere[[#This Row],[Scharnierart]]=2,Scharniere[[#This Row],[Gruppenschlüssel]]=select!$A$318)=TRUE,1,0)</f>
        <v>0</v>
      </c>
      <c r="K938" s="221">
        <f ca="1">IF(select!$O$424&lt;6,1,0)</f>
        <v>1</v>
      </c>
      <c r="L938" s="221">
        <f>IF(select!$A$362=IF(Scharniere[[#This Row],[mit Dämpfung]]=1,1,IF(Scharniere[[#This Row],[ohne Dämpfung]]=1,2,IF(Scharniere[[#This Row],[ohne Feder]]=1,3,0))),1,0)</f>
        <v>1</v>
      </c>
      <c r="M938" s="135">
        <f>IF(Scharniere[[#This Row],[Bohrbild]]=select!$O$334,1,0)</f>
        <v>0</v>
      </c>
      <c r="N938" s="135">
        <f>IF(IF(Scharniere[[#This Row],[Anschrauben]]=1,1,IF(Scharniere[[#This Row],[Einpressen]]=1,2,IF(Scharniere[[#This Row],[Quick]]=1,3,IF(Scharniere[[#This Row],[Werkzeuglos]]=1,4,0))))=select!$E$362,1,0)</f>
        <v>0</v>
      </c>
      <c r="O9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8" s="298">
        <f>IF(AND(Scharniere[[#This Row],[Scharnierart]]=3,Scharniere[[#This Row],[Gruppenschlüssel]]=select!$A$747)=TRUE,1,0)</f>
        <v>0</v>
      </c>
      <c r="Q938" s="298">
        <f ca="1">IF(select!$O$945&lt;6,1,0)</f>
        <v>1</v>
      </c>
      <c r="R938" s="298">
        <f>IF(select!$A$778=IF(Scharniere[[#This Row],[mit Dämpfung]]=1,1,IF(Scharniere[[#This Row],[ohne Dämpfung]]=1,2,IF(Scharniere[[#This Row],[ohne Feder]]=1,3,0))),1,0)</f>
        <v>0</v>
      </c>
      <c r="S938" s="298">
        <f>IF(Scharniere[[#This Row],[Bohrbild]]=select!$A$755,1,0)</f>
        <v>0</v>
      </c>
      <c r="T938" s="298">
        <f>IF(IF(Scharniere[[#This Row],[Anschrauben]]=1,1,IF(Scharniere[[#This Row],[Einpressen]]=1,2,IF(Scharniere[[#This Row],[Quick]]=1,3,IF(Scharniere[[#This Row],[Werkzeuglos]]=1,4,0))))=select!$A$769,1,0)</f>
        <v>0</v>
      </c>
      <c r="U9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8" s="359">
        <f>IF(AND(Scharniere[[#This Row],[Scharnierart]]=4,Scharniere[[#This Row],[Gruppenschlüssel]]=select!$A$981)=TRUE,1,0)</f>
        <v>0</v>
      </c>
      <c r="W938" s="359">
        <f ca="1">IF(select!$O$1185&lt;6,1,0)</f>
        <v>1</v>
      </c>
      <c r="X938" s="359">
        <f>IF(select!$A$1012=IF(Scharniere[[#This Row],[mit Dämpfung]]=1,1,IF(Scharniere[[#This Row],[ohne Dämpfung]]=1,2,IF(Scharniere[[#This Row],[ohne Feder]]=1,3,0))),1,0)</f>
        <v>0</v>
      </c>
      <c r="Y938" s="359">
        <f>IF(Scharniere[[#This Row],[Bohrbild]]=select!$A$989,1,0)</f>
        <v>0</v>
      </c>
      <c r="Z938" s="359">
        <f>IF(IF(Scharniere[[#This Row],[Anschrauben]]=1,1,IF(Scharniere[[#This Row],[Einpressen]]=1,2,IF(Scharniere[[#This Row],[Quick]]=1,3,IF(Scharniere[[#This Row],[Werkzeuglos]]=1,4,0))))=select!$A$1003,1,0)</f>
        <v>0</v>
      </c>
      <c r="AA9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8" s="359">
        <f ca="1">IF(select!$K$980="*",Scharniere[[#This Row],[AG Ges2]],Scharniere[[#This Row],[AG Ges1]])</f>
        <v>0</v>
      </c>
      <c r="AE938" s="451">
        <f ca="1">IF(AND(Scharniere[[#This Row],[Scharnierart]]=select!$A$1485,Scharniere[[#This Row],[Gruppenschlüssel]]=select!$B$1485)=TRUE,1,0)</f>
        <v>0</v>
      </c>
      <c r="AF938" s="451">
        <f ca="1">IF(AND(Scharniere[[#This Row],[Scharnierart]]=select!$A$1486,Scharniere[[#This Row],[Gruppenschlüssel]]=select!$B$1486)=TRUE,1,0)</f>
        <v>0</v>
      </c>
      <c r="AG938" s="451">
        <f ca="1">IF(AND(Scharniere[[#This Row],[Scharnierart]]=select!$A$1487,Scharniere[[#This Row],[Gruppenschlüssel]]=select!$B$1487)=TRUE,1,0)</f>
        <v>0</v>
      </c>
      <c r="AH938" s="451">
        <f ca="1">IF(AND(Scharniere[[#This Row],[Scharnierart]]=select!$A$1488,Scharniere[[#This Row],[Gruppenschlüssel]]=select!$B$1488)=TRUE,1,0)</f>
        <v>0</v>
      </c>
      <c r="AI938" s="451">
        <f ca="1">IF(SUM(Scharniere[[#This Row],[konf Scharnier 1]:[konf Scharnier 4]])&gt;0,1,0)</f>
        <v>0</v>
      </c>
      <c r="AJ938" s="451"/>
      <c r="AK938" s="451"/>
      <c r="AL938" s="451"/>
      <c r="AM938" s="451"/>
      <c r="AN938" s="451"/>
      <c r="AO938" s="146">
        <v>2</v>
      </c>
      <c r="AP938" s="146">
        <v>8</v>
      </c>
      <c r="AQ938" s="71" t="str">
        <f ca="1">Sprache!$A$113</f>
        <v>Tiomos Scharnier TS Impresso</v>
      </c>
      <c r="AR938" t="str">
        <f ca="1">"110/45°, GB-BB, "&amp;Sprache!$A$62&amp;" ni"</f>
        <v>110/45°, GB-BB, einl. ni</v>
      </c>
      <c r="AS938" t="str">
        <f ca="1">Sprache!$A$116</f>
        <v>Tiomos Impresso Scharniere</v>
      </c>
      <c r="AT938" t="s">
        <v>1264</v>
      </c>
      <c r="AU938" t="s">
        <v>9</v>
      </c>
      <c r="AV938" t="s">
        <v>1489</v>
      </c>
      <c r="AW938" s="71">
        <v>1</v>
      </c>
      <c r="AX938">
        <v>0</v>
      </c>
      <c r="AY938">
        <v>0</v>
      </c>
      <c r="AZ938" s="71">
        <v>0</v>
      </c>
      <c r="BA938">
        <v>0</v>
      </c>
      <c r="BB938">
        <v>0</v>
      </c>
      <c r="BC938">
        <v>1</v>
      </c>
      <c r="BD938" s="144" t="s">
        <v>1505</v>
      </c>
      <c r="BF938" s="10"/>
      <c r="BG938"/>
    </row>
    <row r="939" spans="1:59" ht="14.25" customHeight="1" x14ac:dyDescent="0.25">
      <c r="A939" s="37" t="str">
        <f>LEFT(Scharniere[[#This Row],[ArtikelNR]],4)</f>
        <v>F017</v>
      </c>
      <c r="B939" s="35" t="str">
        <f>MID(Scharniere[[#This Row],[ArtikelNR]],5,3)</f>
        <v>139</v>
      </c>
      <c r="C939" s="37" t="str">
        <f>RIGHT(Scharniere[[#This Row],[ArtikelNR]],3)</f>
        <v>425</v>
      </c>
      <c r="D939" s="35">
        <f>IF(AND(Scharniere[[#This Row],[Gruppenschlüssel]]=select!$A$44,Scharniere[[#This Row],[Scharnierart]]=1)=TRUE,1,0)</f>
        <v>0</v>
      </c>
      <c r="E9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39" s="35">
        <f>IF(select!$F$57=IF(Scharniere[[#This Row],[mit Dämpfung]]=1,1,IF(Scharniere[[#This Row],[ohne Dämpfung]]=1,2,IF(Scharniere[[#This Row],[ohne Feder]]=1,3,0))),1,0)</f>
        <v>0</v>
      </c>
      <c r="G939" s="35">
        <f>IF(Scharniere[[#This Row],[Bohrbild]]=select!$V$43,1,0)</f>
        <v>0</v>
      </c>
      <c r="H939" s="35">
        <f>IF(IF(Scharniere[[#This Row],[Anschrauben]]=1,1,IF(Scharniere[[#This Row],[Einpressen]]=1,2,IF(Scharniere[[#This Row],[Quick]]=1,3,IF(Scharniere[[#This Row],[Werkzeuglos]]=1,4,0))))=select!$F$48,1,0)</f>
        <v>0</v>
      </c>
      <c r="I9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39" s="149">
        <f>IF(AND(Scharniere[[#This Row],[Scharnierart]]=2,Scharniere[[#This Row],[Gruppenschlüssel]]=select!$A$318)=TRUE,1,0)</f>
        <v>0</v>
      </c>
      <c r="K939" s="221">
        <f ca="1">IF(select!$O$424&lt;6,1,0)</f>
        <v>1</v>
      </c>
      <c r="L939" s="221">
        <f>IF(select!$A$362=IF(Scharniere[[#This Row],[mit Dämpfung]]=1,1,IF(Scharniere[[#This Row],[ohne Dämpfung]]=1,2,IF(Scharniere[[#This Row],[ohne Feder]]=1,3,0))),1,0)</f>
        <v>1</v>
      </c>
      <c r="M939" s="135">
        <f>IF(Scharniere[[#This Row],[Bohrbild]]=select!$O$334,1,0)</f>
        <v>0</v>
      </c>
      <c r="N939" s="135">
        <f>IF(IF(Scharniere[[#This Row],[Anschrauben]]=1,1,IF(Scharniere[[#This Row],[Einpressen]]=1,2,IF(Scharniere[[#This Row],[Quick]]=1,3,IF(Scharniere[[#This Row],[Werkzeuglos]]=1,4,0))))=select!$E$362,1,0)</f>
        <v>0</v>
      </c>
      <c r="O9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39" s="298">
        <f>IF(AND(Scharniere[[#This Row],[Scharnierart]]=3,Scharniere[[#This Row],[Gruppenschlüssel]]=select!$A$747)=TRUE,1,0)</f>
        <v>0</v>
      </c>
      <c r="Q939" s="298">
        <f ca="1">IF(select!$O$945&lt;6,1,0)</f>
        <v>1</v>
      </c>
      <c r="R939" s="298">
        <f>IF(select!$A$778=IF(Scharniere[[#This Row],[mit Dämpfung]]=1,1,IF(Scharniere[[#This Row],[ohne Dämpfung]]=1,2,IF(Scharniere[[#This Row],[ohne Feder]]=1,3,0))),1,0)</f>
        <v>0</v>
      </c>
      <c r="S939" s="298">
        <f>IF(Scharniere[[#This Row],[Bohrbild]]=select!$A$755,1,0)</f>
        <v>0</v>
      </c>
      <c r="T939" s="298">
        <f>IF(IF(Scharniere[[#This Row],[Anschrauben]]=1,1,IF(Scharniere[[#This Row],[Einpressen]]=1,2,IF(Scharniere[[#This Row],[Quick]]=1,3,IF(Scharniere[[#This Row],[Werkzeuglos]]=1,4,0))))=select!$A$769,1,0)</f>
        <v>0</v>
      </c>
      <c r="U9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39" s="359">
        <f>IF(AND(Scharniere[[#This Row],[Scharnierart]]=4,Scharniere[[#This Row],[Gruppenschlüssel]]=select!$A$981)=TRUE,1,0)</f>
        <v>0</v>
      </c>
      <c r="W939" s="359">
        <f ca="1">IF(select!$O$1185&lt;6,1,0)</f>
        <v>1</v>
      </c>
      <c r="X939" s="359">
        <f>IF(select!$A$1012=IF(Scharniere[[#This Row],[mit Dämpfung]]=1,1,IF(Scharniere[[#This Row],[ohne Dämpfung]]=1,2,IF(Scharniere[[#This Row],[ohne Feder]]=1,3,0))),1,0)</f>
        <v>0</v>
      </c>
      <c r="Y939" s="359">
        <f>IF(Scharniere[[#This Row],[Bohrbild]]=select!$A$989,1,0)</f>
        <v>0</v>
      </c>
      <c r="Z939" s="359">
        <f>IF(IF(Scharniere[[#This Row],[Anschrauben]]=1,1,IF(Scharniere[[#This Row],[Einpressen]]=1,2,IF(Scharniere[[#This Row],[Quick]]=1,3,IF(Scharniere[[#This Row],[Werkzeuglos]]=1,4,0))))=select!$A$1003,1,0)</f>
        <v>0</v>
      </c>
      <c r="AA9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39" s="359">
        <f ca="1">IF(select!$K$980="*",Scharniere[[#This Row],[AG Ges2]],Scharniere[[#This Row],[AG Ges1]])</f>
        <v>0</v>
      </c>
      <c r="AE939" s="451">
        <f ca="1">IF(AND(Scharniere[[#This Row],[Scharnierart]]=select!$A$1485,Scharniere[[#This Row],[Gruppenschlüssel]]=select!$B$1485)=TRUE,1,0)</f>
        <v>0</v>
      </c>
      <c r="AF939" s="451">
        <f ca="1">IF(AND(Scharniere[[#This Row],[Scharnierart]]=select!$A$1486,Scharniere[[#This Row],[Gruppenschlüssel]]=select!$B$1486)=TRUE,1,0)</f>
        <v>0</v>
      </c>
      <c r="AG939" s="451">
        <f ca="1">IF(AND(Scharniere[[#This Row],[Scharnierart]]=select!$A$1487,Scharniere[[#This Row],[Gruppenschlüssel]]=select!$B$1487)=TRUE,1,0)</f>
        <v>0</v>
      </c>
      <c r="AH939" s="451">
        <f ca="1">IF(AND(Scharniere[[#This Row],[Scharnierart]]=select!$A$1488,Scharniere[[#This Row],[Gruppenschlüssel]]=select!$B$1488)=TRUE,1,0)</f>
        <v>0</v>
      </c>
      <c r="AI939" s="451">
        <f ca="1">IF(SUM(Scharniere[[#This Row],[konf Scharnier 1]:[konf Scharnier 4]])&gt;0,1,0)</f>
        <v>0</v>
      </c>
      <c r="AJ939" s="451"/>
      <c r="AK939" s="451"/>
      <c r="AL939" s="451"/>
      <c r="AM939" s="451"/>
      <c r="AN939" s="451"/>
      <c r="AO939" s="146">
        <v>2</v>
      </c>
      <c r="AP939" s="146">
        <v>8</v>
      </c>
      <c r="AQ939" s="71" t="str">
        <f ca="1">Sprache!$A$113</f>
        <v>Tiomos Scharnier TS Impresso</v>
      </c>
      <c r="AR939" t="str">
        <f ca="1">"110/45°, GB-BB, "&amp;Sprache!$A$62&amp;" ni"</f>
        <v>110/45°, GB-BB, einl. ni</v>
      </c>
      <c r="AS939" t="str">
        <f ca="1">Sprache!$A$116</f>
        <v>Tiomos Impresso Scharniere</v>
      </c>
      <c r="AT939" t="s">
        <v>1264</v>
      </c>
      <c r="AU939" t="s">
        <v>3</v>
      </c>
      <c r="AV939" t="s">
        <v>1489</v>
      </c>
      <c r="AW939" s="71">
        <v>1</v>
      </c>
      <c r="AX939">
        <v>0</v>
      </c>
      <c r="AY939">
        <v>0</v>
      </c>
      <c r="AZ939" s="71">
        <v>0</v>
      </c>
      <c r="BA939">
        <v>0</v>
      </c>
      <c r="BB939">
        <v>0</v>
      </c>
      <c r="BC939">
        <v>1</v>
      </c>
      <c r="BD939" s="144" t="s">
        <v>1505</v>
      </c>
      <c r="BF939" s="10"/>
      <c r="BG939"/>
    </row>
    <row r="940" spans="1:59" ht="14.25" customHeight="1" x14ac:dyDescent="0.25">
      <c r="A940" s="37" t="str">
        <f>LEFT(Scharniere[[#This Row],[ArtikelNR]],4)</f>
        <v>F034</v>
      </c>
      <c r="B940" s="35" t="str">
        <f>MID(Scharniere[[#This Row],[ArtikelNR]],5,3)</f>
        <v>139</v>
      </c>
      <c r="C940" s="37" t="str">
        <f>RIGHT(Scharniere[[#This Row],[ArtikelNR]],3)</f>
        <v>396</v>
      </c>
      <c r="D940" s="35">
        <f>IF(AND(Scharniere[[#This Row],[Gruppenschlüssel]]=select!$A$44,Scharniere[[#This Row],[Scharnierart]]=1)=TRUE,1,0)</f>
        <v>0</v>
      </c>
      <c r="E9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0" s="35">
        <f>IF(select!$F$57=IF(Scharniere[[#This Row],[mit Dämpfung]]=1,1,IF(Scharniere[[#This Row],[ohne Dämpfung]]=1,2,IF(Scharniere[[#This Row],[ohne Feder]]=1,3,0))),1,0)</f>
        <v>0</v>
      </c>
      <c r="G940" s="35">
        <f>IF(Scharniere[[#This Row],[Bohrbild]]=select!$V$43,1,0)</f>
        <v>0</v>
      </c>
      <c r="H940" s="35">
        <f>IF(IF(Scharniere[[#This Row],[Anschrauben]]=1,1,IF(Scharniere[[#This Row],[Einpressen]]=1,2,IF(Scharniere[[#This Row],[Quick]]=1,3,IF(Scharniere[[#This Row],[Werkzeuglos]]=1,4,0))))=select!$F$48,1,0)</f>
        <v>0</v>
      </c>
      <c r="I9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0" s="149">
        <f>IF(AND(Scharniere[[#This Row],[Scharnierart]]=2,Scharniere[[#This Row],[Gruppenschlüssel]]=select!$A$318)=TRUE,1,0)</f>
        <v>0</v>
      </c>
      <c r="K940" s="221">
        <f ca="1">IF(select!$O$424&lt;6,1,0)</f>
        <v>1</v>
      </c>
      <c r="L940" s="221">
        <f>IF(select!$A$362=IF(Scharniere[[#This Row],[mit Dämpfung]]=1,1,IF(Scharniere[[#This Row],[ohne Dämpfung]]=1,2,IF(Scharniere[[#This Row],[ohne Feder]]=1,3,0))),1,0)</f>
        <v>0</v>
      </c>
      <c r="M940" s="135">
        <f>IF(Scharniere[[#This Row],[Bohrbild]]=select!$O$334,1,0)</f>
        <v>0</v>
      </c>
      <c r="N940" s="135">
        <f>IF(IF(Scharniere[[#This Row],[Anschrauben]]=1,1,IF(Scharniere[[#This Row],[Einpressen]]=1,2,IF(Scharniere[[#This Row],[Quick]]=1,3,IF(Scharniere[[#This Row],[Werkzeuglos]]=1,4,0))))=select!$E$362,1,0)</f>
        <v>0</v>
      </c>
      <c r="O9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0" s="298">
        <f>IF(AND(Scharniere[[#This Row],[Scharnierart]]=3,Scharniere[[#This Row],[Gruppenschlüssel]]=select!$A$747)=TRUE,1,0)</f>
        <v>0</v>
      </c>
      <c r="Q940" s="298">
        <f ca="1">IF(select!$O$945&lt;6,1,0)</f>
        <v>1</v>
      </c>
      <c r="R940" s="298">
        <f>IF(select!$A$778=IF(Scharniere[[#This Row],[mit Dämpfung]]=1,1,IF(Scharniere[[#This Row],[ohne Dämpfung]]=1,2,IF(Scharniere[[#This Row],[ohne Feder]]=1,3,0))),1,0)</f>
        <v>1</v>
      </c>
      <c r="S940" s="298">
        <f>IF(Scharniere[[#This Row],[Bohrbild]]=select!$A$755,1,0)</f>
        <v>0</v>
      </c>
      <c r="T940" s="298">
        <f>IF(IF(Scharniere[[#This Row],[Anschrauben]]=1,1,IF(Scharniere[[#This Row],[Einpressen]]=1,2,IF(Scharniere[[#This Row],[Quick]]=1,3,IF(Scharniere[[#This Row],[Werkzeuglos]]=1,4,0))))=select!$A$769,1,0)</f>
        <v>0</v>
      </c>
      <c r="U9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0" s="359">
        <f>IF(AND(Scharniere[[#This Row],[Scharnierart]]=4,Scharniere[[#This Row],[Gruppenschlüssel]]=select!$A$981)=TRUE,1,0)</f>
        <v>0</v>
      </c>
      <c r="W940" s="359">
        <f ca="1">IF(select!$O$1185&lt;6,1,0)</f>
        <v>1</v>
      </c>
      <c r="X940" s="359">
        <f>IF(select!$A$1012=IF(Scharniere[[#This Row],[mit Dämpfung]]=1,1,IF(Scharniere[[#This Row],[ohne Dämpfung]]=1,2,IF(Scharniere[[#This Row],[ohne Feder]]=1,3,0))),1,0)</f>
        <v>1</v>
      </c>
      <c r="Y940" s="359">
        <f>IF(Scharniere[[#This Row],[Bohrbild]]=select!$A$989,1,0)</f>
        <v>0</v>
      </c>
      <c r="Z940" s="359">
        <f>IF(IF(Scharniere[[#This Row],[Anschrauben]]=1,1,IF(Scharniere[[#This Row],[Einpressen]]=1,2,IF(Scharniere[[#This Row],[Quick]]=1,3,IF(Scharniere[[#This Row],[Werkzeuglos]]=1,4,0))))=select!$A$1003,1,0)</f>
        <v>0</v>
      </c>
      <c r="AA9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0" s="359">
        <f ca="1">IF(select!$K$980="*",Scharniere[[#This Row],[AG Ges2]],Scharniere[[#This Row],[AG Ges1]])</f>
        <v>0</v>
      </c>
      <c r="AE940" s="451">
        <f ca="1">IF(AND(Scharniere[[#This Row],[Scharnierart]]=select!$A$1485,Scharniere[[#This Row],[Gruppenschlüssel]]=select!$B$1485)=TRUE,1,0)</f>
        <v>0</v>
      </c>
      <c r="AF940" s="451">
        <f ca="1">IF(AND(Scharniere[[#This Row],[Scharnierart]]=select!$A$1486,Scharniere[[#This Row],[Gruppenschlüssel]]=select!$B$1486)=TRUE,1,0)</f>
        <v>0</v>
      </c>
      <c r="AG940" s="451">
        <f ca="1">IF(AND(Scharniere[[#This Row],[Scharnierart]]=select!$A$1487,Scharniere[[#This Row],[Gruppenschlüssel]]=select!$B$1487)=TRUE,1,0)</f>
        <v>0</v>
      </c>
      <c r="AH940" s="451">
        <f ca="1">IF(AND(Scharniere[[#This Row],[Scharnierart]]=select!$A$1488,Scharniere[[#This Row],[Gruppenschlüssel]]=select!$B$1488)=TRUE,1,0)</f>
        <v>0</v>
      </c>
      <c r="AI940" s="451">
        <f ca="1">IF(SUM(Scharniere[[#This Row],[konf Scharnier 1]:[konf Scharnier 4]])&gt;0,1,0)</f>
        <v>0</v>
      </c>
      <c r="AJ940" s="451"/>
      <c r="AK940" s="451"/>
      <c r="AL940" s="451"/>
      <c r="AM940" s="451"/>
      <c r="AN940" s="451"/>
      <c r="AO940" s="146">
        <v>2</v>
      </c>
      <c r="AP940" s="146">
        <v>8</v>
      </c>
      <c r="AQ940" s="71" t="str">
        <f ca="1">Sprache!$A$119</f>
        <v>Tiomos Scharnier T Impresso</v>
      </c>
      <c r="AR940" t="str">
        <f ca="1">"110/45°, GB-BB, "&amp;Sprache!$A$62&amp;" ni"</f>
        <v>110/45°, GB-BB, einl. ni</v>
      </c>
      <c r="AS940" t="str">
        <f ca="1">Sprache!$A$103</f>
        <v>Tiomos Click-On Scharniere</v>
      </c>
      <c r="AT940" t="s">
        <v>1264</v>
      </c>
      <c r="AU940" t="s">
        <v>9</v>
      </c>
      <c r="AV940" t="s">
        <v>1489</v>
      </c>
      <c r="AW940" s="71">
        <v>0</v>
      </c>
      <c r="AX940">
        <v>1</v>
      </c>
      <c r="AY940">
        <v>0</v>
      </c>
      <c r="AZ940" s="71">
        <v>0</v>
      </c>
      <c r="BA940">
        <v>0</v>
      </c>
      <c r="BB940">
        <v>0</v>
      </c>
      <c r="BC940">
        <v>1</v>
      </c>
      <c r="BD940" s="144" t="s">
        <v>1761</v>
      </c>
      <c r="BF940" s="10"/>
      <c r="BG940"/>
    </row>
    <row r="941" spans="1:59" ht="14.25" customHeight="1" x14ac:dyDescent="0.25">
      <c r="A941" s="37" t="str">
        <f>LEFT(Scharniere[[#This Row],[ArtikelNR]],4)</f>
        <v>F034</v>
      </c>
      <c r="B941" s="35" t="str">
        <f>MID(Scharniere[[#This Row],[ArtikelNR]],5,3)</f>
        <v>139</v>
      </c>
      <c r="C941" s="37" t="str">
        <f>RIGHT(Scharniere[[#This Row],[ArtikelNR]],3)</f>
        <v>396</v>
      </c>
      <c r="D941" s="35">
        <f>IF(AND(Scharniere[[#This Row],[Gruppenschlüssel]]=select!$A$44,Scharniere[[#This Row],[Scharnierart]]=1)=TRUE,1,0)</f>
        <v>0</v>
      </c>
      <c r="E9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1" s="35">
        <f>IF(select!$F$57=IF(Scharniere[[#This Row],[mit Dämpfung]]=1,1,IF(Scharniere[[#This Row],[ohne Dämpfung]]=1,2,IF(Scharniere[[#This Row],[ohne Feder]]=1,3,0))),1,0)</f>
        <v>0</v>
      </c>
      <c r="G941" s="35">
        <f>IF(Scharniere[[#This Row],[Bohrbild]]=select!$V$43,1,0)</f>
        <v>0</v>
      </c>
      <c r="H941" s="35">
        <f>IF(IF(Scharniere[[#This Row],[Anschrauben]]=1,1,IF(Scharniere[[#This Row],[Einpressen]]=1,2,IF(Scharniere[[#This Row],[Quick]]=1,3,IF(Scharniere[[#This Row],[Werkzeuglos]]=1,4,0))))=select!$F$48,1,0)</f>
        <v>0</v>
      </c>
      <c r="I9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1" s="149">
        <f>IF(AND(Scharniere[[#This Row],[Scharnierart]]=2,Scharniere[[#This Row],[Gruppenschlüssel]]=select!$A$318)=TRUE,1,0)</f>
        <v>0</v>
      </c>
      <c r="K941" s="221">
        <f ca="1">IF(select!$O$424&lt;6,1,0)</f>
        <v>1</v>
      </c>
      <c r="L941" s="221">
        <f>IF(select!$A$362=IF(Scharniere[[#This Row],[mit Dämpfung]]=1,1,IF(Scharniere[[#This Row],[ohne Dämpfung]]=1,2,IF(Scharniere[[#This Row],[ohne Feder]]=1,3,0))),1,0)</f>
        <v>0</v>
      </c>
      <c r="M941" s="135">
        <f>IF(Scharniere[[#This Row],[Bohrbild]]=select!$O$334,1,0)</f>
        <v>0</v>
      </c>
      <c r="N941" s="135">
        <f>IF(IF(Scharniere[[#This Row],[Anschrauben]]=1,1,IF(Scharniere[[#This Row],[Einpressen]]=1,2,IF(Scharniere[[#This Row],[Quick]]=1,3,IF(Scharniere[[#This Row],[Werkzeuglos]]=1,4,0))))=select!$E$362,1,0)</f>
        <v>0</v>
      </c>
      <c r="O9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1" s="298">
        <f>IF(AND(Scharniere[[#This Row],[Scharnierart]]=3,Scharniere[[#This Row],[Gruppenschlüssel]]=select!$A$747)=TRUE,1,0)</f>
        <v>0</v>
      </c>
      <c r="Q941" s="298">
        <f ca="1">IF(select!$O$945&lt;6,1,0)</f>
        <v>1</v>
      </c>
      <c r="R941" s="298">
        <f>IF(select!$A$778=IF(Scharniere[[#This Row],[mit Dämpfung]]=1,1,IF(Scharniere[[#This Row],[ohne Dämpfung]]=1,2,IF(Scharniere[[#This Row],[ohne Feder]]=1,3,0))),1,0)</f>
        <v>1</v>
      </c>
      <c r="S941" s="298">
        <f>IF(Scharniere[[#This Row],[Bohrbild]]=select!$A$755,1,0)</f>
        <v>0</v>
      </c>
      <c r="T941" s="298">
        <f>IF(IF(Scharniere[[#This Row],[Anschrauben]]=1,1,IF(Scharniere[[#This Row],[Einpressen]]=1,2,IF(Scharniere[[#This Row],[Quick]]=1,3,IF(Scharniere[[#This Row],[Werkzeuglos]]=1,4,0))))=select!$A$769,1,0)</f>
        <v>0</v>
      </c>
      <c r="U9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1" s="359">
        <f>IF(AND(Scharniere[[#This Row],[Scharnierart]]=4,Scharniere[[#This Row],[Gruppenschlüssel]]=select!$A$981)=TRUE,1,0)</f>
        <v>0</v>
      </c>
      <c r="W941" s="359">
        <f ca="1">IF(select!$O$1185&lt;6,1,0)</f>
        <v>1</v>
      </c>
      <c r="X941" s="359">
        <f>IF(select!$A$1012=IF(Scharniere[[#This Row],[mit Dämpfung]]=1,1,IF(Scharniere[[#This Row],[ohne Dämpfung]]=1,2,IF(Scharniere[[#This Row],[ohne Feder]]=1,3,0))),1,0)</f>
        <v>1</v>
      </c>
      <c r="Y941" s="359">
        <f>IF(Scharniere[[#This Row],[Bohrbild]]=select!$A$989,1,0)</f>
        <v>0</v>
      </c>
      <c r="Z941" s="359">
        <f>IF(IF(Scharniere[[#This Row],[Anschrauben]]=1,1,IF(Scharniere[[#This Row],[Einpressen]]=1,2,IF(Scharniere[[#This Row],[Quick]]=1,3,IF(Scharniere[[#This Row],[Werkzeuglos]]=1,4,0))))=select!$A$1003,1,0)</f>
        <v>0</v>
      </c>
      <c r="AA9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1" s="359">
        <f ca="1">IF(select!$K$980="*",Scharniere[[#This Row],[AG Ges2]],Scharniere[[#This Row],[AG Ges1]])</f>
        <v>0</v>
      </c>
      <c r="AE941" s="451">
        <f ca="1">IF(AND(Scharniere[[#This Row],[Scharnierart]]=select!$A$1485,Scharniere[[#This Row],[Gruppenschlüssel]]=select!$B$1485)=TRUE,1,0)</f>
        <v>0</v>
      </c>
      <c r="AF941" s="451">
        <f ca="1">IF(AND(Scharniere[[#This Row],[Scharnierart]]=select!$A$1486,Scharniere[[#This Row],[Gruppenschlüssel]]=select!$B$1486)=TRUE,1,0)</f>
        <v>0</v>
      </c>
      <c r="AG941" s="451">
        <f ca="1">IF(AND(Scharniere[[#This Row],[Scharnierart]]=select!$A$1487,Scharniere[[#This Row],[Gruppenschlüssel]]=select!$B$1487)=TRUE,1,0)</f>
        <v>0</v>
      </c>
      <c r="AH941" s="451">
        <f ca="1">IF(AND(Scharniere[[#This Row],[Scharnierart]]=select!$A$1488,Scharniere[[#This Row],[Gruppenschlüssel]]=select!$B$1488)=TRUE,1,0)</f>
        <v>0</v>
      </c>
      <c r="AI941" s="451">
        <f ca="1">IF(SUM(Scharniere[[#This Row],[konf Scharnier 1]:[konf Scharnier 4]])&gt;0,1,0)</f>
        <v>0</v>
      </c>
      <c r="AJ941" s="451"/>
      <c r="AK941" s="451"/>
      <c r="AL941" s="451"/>
      <c r="AM941" s="451"/>
      <c r="AN941" s="451"/>
      <c r="AO941" s="146">
        <v>2</v>
      </c>
      <c r="AP941" s="146">
        <v>8</v>
      </c>
      <c r="AQ941" s="71" t="str">
        <f ca="1">Sprache!$A$119</f>
        <v>Tiomos Scharnier T Impresso</v>
      </c>
      <c r="AR941" t="str">
        <f ca="1">"110/45°, GB-BB, "&amp;Sprache!$A$62&amp;" ni"</f>
        <v>110/45°, GB-BB, einl. ni</v>
      </c>
      <c r="AS941" t="str">
        <f ca="1">Sprache!$A$103</f>
        <v>Tiomos Click-On Scharniere</v>
      </c>
      <c r="AT941" t="s">
        <v>1264</v>
      </c>
      <c r="AU941" t="s">
        <v>3</v>
      </c>
      <c r="AV941" t="s">
        <v>1489</v>
      </c>
      <c r="AW941" s="71">
        <v>0</v>
      </c>
      <c r="AX941">
        <v>1</v>
      </c>
      <c r="AY941">
        <v>0</v>
      </c>
      <c r="AZ941" s="71">
        <v>0</v>
      </c>
      <c r="BA941">
        <v>0</v>
      </c>
      <c r="BB941">
        <v>0</v>
      </c>
      <c r="BC941">
        <v>1</v>
      </c>
      <c r="BD941" s="144" t="s">
        <v>1761</v>
      </c>
      <c r="BF941" s="10"/>
      <c r="BG941"/>
    </row>
    <row r="942" spans="1:59" ht="14.25" customHeight="1" x14ac:dyDescent="0.25">
      <c r="A942" s="37" t="str">
        <f>LEFT(Scharniere[[#This Row],[ArtikelNR]],4)</f>
        <v>F028</v>
      </c>
      <c r="B942" s="35" t="str">
        <f>MID(Scharniere[[#This Row],[ArtikelNR]],5,3)</f>
        <v>138</v>
      </c>
      <c r="C942" s="37" t="str">
        <f>RIGHT(Scharniere[[#This Row],[ArtikelNR]],3)</f>
        <v>716</v>
      </c>
      <c r="D942" s="35">
        <f>IF(AND(Scharniere[[#This Row],[Gruppenschlüssel]]=select!$A$44,Scharniere[[#This Row],[Scharnierart]]=1)=TRUE,1,0)</f>
        <v>0</v>
      </c>
      <c r="E9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2" s="35">
        <f>IF(select!$F$57=IF(Scharniere[[#This Row],[mit Dämpfung]]=1,1,IF(Scharniere[[#This Row],[ohne Dämpfung]]=1,2,IF(Scharniere[[#This Row],[ohne Feder]]=1,3,0))),1,0)</f>
        <v>0</v>
      </c>
      <c r="G942" s="35">
        <f>IF(Scharniere[[#This Row],[Bohrbild]]=select!$V$43,1,0)</f>
        <v>0</v>
      </c>
      <c r="H942" s="35">
        <f>IF(IF(Scharniere[[#This Row],[Anschrauben]]=1,1,IF(Scharniere[[#This Row],[Einpressen]]=1,2,IF(Scharniere[[#This Row],[Quick]]=1,3,IF(Scharniere[[#This Row],[Werkzeuglos]]=1,4,0))))=select!$F$48,1,0)</f>
        <v>0</v>
      </c>
      <c r="I9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2" s="149">
        <f>IF(AND(Scharniere[[#This Row],[Scharnierart]]=2,Scharniere[[#This Row],[Gruppenschlüssel]]=select!$A$318)=TRUE,1,0)</f>
        <v>0</v>
      </c>
      <c r="K942" s="221">
        <f ca="1">IF(select!$O$424&lt;6,1,0)</f>
        <v>1</v>
      </c>
      <c r="L942" s="221">
        <f>IF(select!$A$362=IF(Scharniere[[#This Row],[mit Dämpfung]]=1,1,IF(Scharniere[[#This Row],[ohne Dämpfung]]=1,2,IF(Scharniere[[#This Row],[ohne Feder]]=1,3,0))),1,0)</f>
        <v>1</v>
      </c>
      <c r="M942" s="135">
        <f>IF(Scharniere[[#This Row],[Bohrbild]]=select!$O$334,1,0)</f>
        <v>0</v>
      </c>
      <c r="N942" s="135">
        <f>IF(IF(Scharniere[[#This Row],[Anschrauben]]=1,1,IF(Scharniere[[#This Row],[Einpressen]]=1,2,IF(Scharniere[[#This Row],[Quick]]=1,3,IF(Scharniere[[#This Row],[Werkzeuglos]]=1,4,0))))=select!$E$362,1,0)</f>
        <v>1</v>
      </c>
      <c r="O9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2" s="298">
        <f>IF(AND(Scharniere[[#This Row],[Scharnierart]]=3,Scharniere[[#This Row],[Gruppenschlüssel]]=select!$A$747)=TRUE,1,0)</f>
        <v>0</v>
      </c>
      <c r="Q942" s="298">
        <f ca="1">IF(select!$O$945&lt;6,1,0)</f>
        <v>1</v>
      </c>
      <c r="R942" s="298">
        <f>IF(select!$A$778=IF(Scharniere[[#This Row],[mit Dämpfung]]=1,1,IF(Scharniere[[#This Row],[ohne Dämpfung]]=1,2,IF(Scharniere[[#This Row],[ohne Feder]]=1,3,0))),1,0)</f>
        <v>0</v>
      </c>
      <c r="S942" s="298">
        <f>IF(Scharniere[[#This Row],[Bohrbild]]=select!$A$755,1,0)</f>
        <v>0</v>
      </c>
      <c r="T942" s="298">
        <f>IF(IF(Scharniere[[#This Row],[Anschrauben]]=1,1,IF(Scharniere[[#This Row],[Einpressen]]=1,2,IF(Scharniere[[#This Row],[Quick]]=1,3,IF(Scharniere[[#This Row],[Werkzeuglos]]=1,4,0))))=select!$A$769,1,0)</f>
        <v>1</v>
      </c>
      <c r="U9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2" s="359">
        <f>IF(AND(Scharniere[[#This Row],[Scharnierart]]=4,Scharniere[[#This Row],[Gruppenschlüssel]]=select!$A$981)=TRUE,1,0)</f>
        <v>0</v>
      </c>
      <c r="W942" s="359">
        <f ca="1">IF(select!$O$1185&lt;6,1,0)</f>
        <v>1</v>
      </c>
      <c r="X942" s="359">
        <f>IF(select!$A$1012=IF(Scharniere[[#This Row],[mit Dämpfung]]=1,1,IF(Scharniere[[#This Row],[ohne Dämpfung]]=1,2,IF(Scharniere[[#This Row],[ohne Feder]]=1,3,0))),1,0)</f>
        <v>0</v>
      </c>
      <c r="Y942" s="359">
        <f>IF(Scharniere[[#This Row],[Bohrbild]]=select!$A$989,1,0)</f>
        <v>0</v>
      </c>
      <c r="Z942" s="359">
        <f>IF(IF(Scharniere[[#This Row],[Anschrauben]]=1,1,IF(Scharniere[[#This Row],[Einpressen]]=1,2,IF(Scharniere[[#This Row],[Quick]]=1,3,IF(Scharniere[[#This Row],[Werkzeuglos]]=1,4,0))))=select!$A$1003,1,0)</f>
        <v>1</v>
      </c>
      <c r="AA9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2" s="359">
        <f ca="1">IF(select!$K$980="*",Scharniere[[#This Row],[AG Ges2]],Scharniere[[#This Row],[AG Ges1]])</f>
        <v>0</v>
      </c>
      <c r="AE942" s="451">
        <f ca="1">IF(AND(Scharniere[[#This Row],[Scharnierart]]=select!$A$1485,Scharniere[[#This Row],[Gruppenschlüssel]]=select!$B$1485)=TRUE,1,0)</f>
        <v>0</v>
      </c>
      <c r="AF942" s="451">
        <f ca="1">IF(AND(Scharniere[[#This Row],[Scharnierart]]=select!$A$1486,Scharniere[[#This Row],[Gruppenschlüssel]]=select!$B$1486)=TRUE,1,0)</f>
        <v>0</v>
      </c>
      <c r="AG942" s="451">
        <f ca="1">IF(AND(Scharniere[[#This Row],[Scharnierart]]=select!$A$1487,Scharniere[[#This Row],[Gruppenschlüssel]]=select!$B$1487)=TRUE,1,0)</f>
        <v>0</v>
      </c>
      <c r="AH942" s="451">
        <f ca="1">IF(AND(Scharniere[[#This Row],[Scharnierart]]=select!$A$1488,Scharniere[[#This Row],[Gruppenschlüssel]]=select!$B$1488)=TRUE,1,0)</f>
        <v>0</v>
      </c>
      <c r="AI942" s="451">
        <f ca="1">IF(SUM(Scharniere[[#This Row],[konf Scharnier 1]:[konf Scharnier 4]])&gt;0,1,0)</f>
        <v>0</v>
      </c>
      <c r="AJ942" s="451"/>
      <c r="AK942" s="451"/>
      <c r="AL942" s="451"/>
      <c r="AM942" s="451"/>
      <c r="AN942" s="451"/>
      <c r="AO942" s="146">
        <v>2</v>
      </c>
      <c r="AP942" s="146">
        <v>8</v>
      </c>
      <c r="AQ942" s="71" t="str">
        <f ca="1">Sprache!$A$112</f>
        <v>Tiomos Scharnier TS Click-on</v>
      </c>
      <c r="AR942" t="str">
        <f ca="1">"110/45°, H-BB, "&amp;Sprache!$A$62&amp;" ni"</f>
        <v>110/45°, H-BB, einl. ni</v>
      </c>
      <c r="AS942" t="str">
        <f ca="1">Sprache!$A$103</f>
        <v>Tiomos Click-On Scharniere</v>
      </c>
      <c r="AT942" t="s">
        <v>1264</v>
      </c>
      <c r="AU942" t="s">
        <v>10</v>
      </c>
      <c r="AV942" t="s">
        <v>1489</v>
      </c>
      <c r="AW942" s="71">
        <v>1</v>
      </c>
      <c r="AX942">
        <v>0</v>
      </c>
      <c r="AY942">
        <v>0</v>
      </c>
      <c r="AZ942" s="71">
        <v>1</v>
      </c>
      <c r="BA942">
        <v>0</v>
      </c>
      <c r="BB942">
        <v>0</v>
      </c>
      <c r="BC942">
        <v>0</v>
      </c>
      <c r="BD942" s="144" t="s">
        <v>1559</v>
      </c>
      <c r="BF942" s="10"/>
      <c r="BG942"/>
    </row>
    <row r="943" spans="1:59" ht="14.25" customHeight="1" x14ac:dyDescent="0.25">
      <c r="A943" s="37" t="str">
        <f>LEFT(Scharniere[[#This Row],[ArtikelNR]],4)</f>
        <v>F045</v>
      </c>
      <c r="B943" s="35" t="str">
        <f>MID(Scharniere[[#This Row],[ArtikelNR]],5,3)</f>
        <v>138</v>
      </c>
      <c r="C943" s="37" t="str">
        <f>RIGHT(Scharniere[[#This Row],[ArtikelNR]],3)</f>
        <v>654</v>
      </c>
      <c r="D943" s="35">
        <f>IF(AND(Scharniere[[#This Row],[Gruppenschlüssel]]=select!$A$44,Scharniere[[#This Row],[Scharnierart]]=1)=TRUE,1,0)</f>
        <v>0</v>
      </c>
      <c r="E9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3" s="35">
        <f>IF(select!$F$57=IF(Scharniere[[#This Row],[mit Dämpfung]]=1,1,IF(Scharniere[[#This Row],[ohne Dämpfung]]=1,2,IF(Scharniere[[#This Row],[ohne Feder]]=1,3,0))),1,0)</f>
        <v>0</v>
      </c>
      <c r="G943" s="35">
        <f>IF(Scharniere[[#This Row],[Bohrbild]]=select!$V$43,1,0)</f>
        <v>0</v>
      </c>
      <c r="H943" s="35">
        <f>IF(IF(Scharniere[[#This Row],[Anschrauben]]=1,1,IF(Scharniere[[#This Row],[Einpressen]]=1,2,IF(Scharniere[[#This Row],[Quick]]=1,3,IF(Scharniere[[#This Row],[Werkzeuglos]]=1,4,0))))=select!$F$48,1,0)</f>
        <v>0</v>
      </c>
      <c r="I9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3" s="149">
        <f>IF(AND(Scharniere[[#This Row],[Scharnierart]]=2,Scharniere[[#This Row],[Gruppenschlüssel]]=select!$A$318)=TRUE,1,0)</f>
        <v>0</v>
      </c>
      <c r="K943" s="221">
        <f ca="1">IF(select!$O$424&lt;6,1,0)</f>
        <v>1</v>
      </c>
      <c r="L943" s="221">
        <f>IF(select!$A$362=IF(Scharniere[[#This Row],[mit Dämpfung]]=1,1,IF(Scharniere[[#This Row],[ohne Dämpfung]]=1,2,IF(Scharniere[[#This Row],[ohne Feder]]=1,3,0))),1,0)</f>
        <v>0</v>
      </c>
      <c r="M943" s="135">
        <f>IF(Scharniere[[#This Row],[Bohrbild]]=select!$O$334,1,0)</f>
        <v>0</v>
      </c>
      <c r="N943" s="135">
        <f>IF(IF(Scharniere[[#This Row],[Anschrauben]]=1,1,IF(Scharniere[[#This Row],[Einpressen]]=1,2,IF(Scharniere[[#This Row],[Quick]]=1,3,IF(Scharniere[[#This Row],[Werkzeuglos]]=1,4,0))))=select!$E$362,1,0)</f>
        <v>1</v>
      </c>
      <c r="O9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3" s="298">
        <f>IF(AND(Scharniere[[#This Row],[Scharnierart]]=3,Scharniere[[#This Row],[Gruppenschlüssel]]=select!$A$747)=TRUE,1,0)</f>
        <v>0</v>
      </c>
      <c r="Q943" s="298">
        <f ca="1">IF(select!$O$945&lt;6,1,0)</f>
        <v>1</v>
      </c>
      <c r="R943" s="298">
        <f>IF(select!$A$778=IF(Scharniere[[#This Row],[mit Dämpfung]]=1,1,IF(Scharniere[[#This Row],[ohne Dämpfung]]=1,2,IF(Scharniere[[#This Row],[ohne Feder]]=1,3,0))),1,0)</f>
        <v>1</v>
      </c>
      <c r="S943" s="298">
        <f>IF(Scharniere[[#This Row],[Bohrbild]]=select!$A$755,1,0)</f>
        <v>0</v>
      </c>
      <c r="T943" s="298">
        <f>IF(IF(Scharniere[[#This Row],[Anschrauben]]=1,1,IF(Scharniere[[#This Row],[Einpressen]]=1,2,IF(Scharniere[[#This Row],[Quick]]=1,3,IF(Scharniere[[#This Row],[Werkzeuglos]]=1,4,0))))=select!$A$769,1,0)</f>
        <v>1</v>
      </c>
      <c r="U9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3" s="359">
        <f>IF(AND(Scharniere[[#This Row],[Scharnierart]]=4,Scharniere[[#This Row],[Gruppenschlüssel]]=select!$A$981)=TRUE,1,0)</f>
        <v>0</v>
      </c>
      <c r="W943" s="359">
        <f ca="1">IF(select!$O$1185&lt;6,1,0)</f>
        <v>1</v>
      </c>
      <c r="X943" s="359">
        <f>IF(select!$A$1012=IF(Scharniere[[#This Row],[mit Dämpfung]]=1,1,IF(Scharniere[[#This Row],[ohne Dämpfung]]=1,2,IF(Scharniere[[#This Row],[ohne Feder]]=1,3,0))),1,0)</f>
        <v>1</v>
      </c>
      <c r="Y943" s="359">
        <f>IF(Scharniere[[#This Row],[Bohrbild]]=select!$A$989,1,0)</f>
        <v>0</v>
      </c>
      <c r="Z943" s="359">
        <f>IF(IF(Scharniere[[#This Row],[Anschrauben]]=1,1,IF(Scharniere[[#This Row],[Einpressen]]=1,2,IF(Scharniere[[#This Row],[Quick]]=1,3,IF(Scharniere[[#This Row],[Werkzeuglos]]=1,4,0))))=select!$A$1003,1,0)</f>
        <v>1</v>
      </c>
      <c r="AA9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3" s="359">
        <f ca="1">IF(select!$K$980="*",Scharniere[[#This Row],[AG Ges2]],Scharniere[[#This Row],[AG Ges1]])</f>
        <v>0</v>
      </c>
      <c r="AE943" s="451">
        <f ca="1">IF(AND(Scharniere[[#This Row],[Scharnierart]]=select!$A$1485,Scharniere[[#This Row],[Gruppenschlüssel]]=select!$B$1485)=TRUE,1,0)</f>
        <v>0</v>
      </c>
      <c r="AF943" s="451">
        <f ca="1">IF(AND(Scharniere[[#This Row],[Scharnierart]]=select!$A$1486,Scharniere[[#This Row],[Gruppenschlüssel]]=select!$B$1486)=TRUE,1,0)</f>
        <v>0</v>
      </c>
      <c r="AG943" s="451">
        <f ca="1">IF(AND(Scharniere[[#This Row],[Scharnierart]]=select!$A$1487,Scharniere[[#This Row],[Gruppenschlüssel]]=select!$B$1487)=TRUE,1,0)</f>
        <v>0</v>
      </c>
      <c r="AH943" s="451">
        <f ca="1">IF(AND(Scharniere[[#This Row],[Scharnierart]]=select!$A$1488,Scharniere[[#This Row],[Gruppenschlüssel]]=select!$B$1488)=TRUE,1,0)</f>
        <v>0</v>
      </c>
      <c r="AI943" s="451">
        <f ca="1">IF(SUM(Scharniere[[#This Row],[konf Scharnier 1]:[konf Scharnier 4]])&gt;0,1,0)</f>
        <v>0</v>
      </c>
      <c r="AJ943" s="451"/>
      <c r="AK943" s="451"/>
      <c r="AL943" s="451"/>
      <c r="AM943" s="451"/>
      <c r="AN943" s="451"/>
      <c r="AO943" s="146">
        <v>2</v>
      </c>
      <c r="AP943" s="146">
        <v>8</v>
      </c>
      <c r="AQ943" s="71" t="str">
        <f ca="1">Sprache!$A$118</f>
        <v>Tiomos Scharnier T Click-on</v>
      </c>
      <c r="AR943" t="str">
        <f ca="1">"110/45°, H-BB, "&amp;Sprache!$A$62&amp;" ni"</f>
        <v>110/45°, H-BB, einl. ni</v>
      </c>
      <c r="AS943" t="str">
        <f ca="1">Sprache!$A$103</f>
        <v>Tiomos Click-On Scharniere</v>
      </c>
      <c r="AT943" t="s">
        <v>1264</v>
      </c>
      <c r="AU943" t="s">
        <v>10</v>
      </c>
      <c r="AV943" t="s">
        <v>1489</v>
      </c>
      <c r="AW943" s="71">
        <v>0</v>
      </c>
      <c r="AX943">
        <v>1</v>
      </c>
      <c r="AY943">
        <v>0</v>
      </c>
      <c r="AZ943" s="71">
        <v>1</v>
      </c>
      <c r="BA943">
        <v>0</v>
      </c>
      <c r="BB943">
        <v>0</v>
      </c>
      <c r="BC943">
        <v>0</v>
      </c>
      <c r="BD943" s="144" t="s">
        <v>1668</v>
      </c>
      <c r="BF943" s="10"/>
      <c r="BG943"/>
    </row>
    <row r="944" spans="1:59" ht="14.25" customHeight="1" x14ac:dyDescent="0.25">
      <c r="A944" s="37" t="str">
        <f>LEFT(Scharniere[[#This Row],[ArtikelNR]],4)</f>
        <v>F046</v>
      </c>
      <c r="B944" s="35" t="str">
        <f>MID(Scharniere[[#This Row],[ArtikelNR]],5,3)</f>
        <v>138</v>
      </c>
      <c r="C944" s="37" t="str">
        <f>RIGHT(Scharniere[[#This Row],[ArtikelNR]],3)</f>
        <v>776</v>
      </c>
      <c r="D944" s="35">
        <f>IF(AND(Scharniere[[#This Row],[Gruppenschlüssel]]=select!$A$44,Scharniere[[#This Row],[Scharnierart]]=1)=TRUE,1,0)</f>
        <v>0</v>
      </c>
      <c r="E9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4" s="35">
        <f>IF(select!$F$57=IF(Scharniere[[#This Row],[mit Dämpfung]]=1,1,IF(Scharniere[[#This Row],[ohne Dämpfung]]=1,2,IF(Scharniere[[#This Row],[ohne Feder]]=1,3,0))),1,0)</f>
        <v>1</v>
      </c>
      <c r="G944" s="35">
        <f>IF(Scharniere[[#This Row],[Bohrbild]]=select!$V$43,1,0)</f>
        <v>0</v>
      </c>
      <c r="H944" s="35">
        <f>IF(IF(Scharniere[[#This Row],[Anschrauben]]=1,1,IF(Scharniere[[#This Row],[Einpressen]]=1,2,IF(Scharniere[[#This Row],[Quick]]=1,3,IF(Scharniere[[#This Row],[Werkzeuglos]]=1,4,0))))=select!$F$48,1,0)</f>
        <v>0</v>
      </c>
      <c r="I9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4" s="149">
        <f>IF(AND(Scharniere[[#This Row],[Scharnierart]]=2,Scharniere[[#This Row],[Gruppenschlüssel]]=select!$A$318)=TRUE,1,0)</f>
        <v>0</v>
      </c>
      <c r="K944" s="221">
        <f ca="1">IF(select!$O$424&lt;6,1,0)</f>
        <v>1</v>
      </c>
      <c r="L944" s="221">
        <f>IF(select!$A$362=IF(Scharniere[[#This Row],[mit Dämpfung]]=1,1,IF(Scharniere[[#This Row],[ohne Dämpfung]]=1,2,IF(Scharniere[[#This Row],[ohne Feder]]=1,3,0))),1,0)</f>
        <v>0</v>
      </c>
      <c r="M944" s="135">
        <f>IF(Scharniere[[#This Row],[Bohrbild]]=select!$O$334,1,0)</f>
        <v>0</v>
      </c>
      <c r="N944" s="135">
        <f>IF(IF(Scharniere[[#This Row],[Anschrauben]]=1,1,IF(Scharniere[[#This Row],[Einpressen]]=1,2,IF(Scharniere[[#This Row],[Quick]]=1,3,IF(Scharniere[[#This Row],[Werkzeuglos]]=1,4,0))))=select!$E$362,1,0)</f>
        <v>1</v>
      </c>
      <c r="O9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4" s="298">
        <f>IF(AND(Scharniere[[#This Row],[Scharnierart]]=3,Scharniere[[#This Row],[Gruppenschlüssel]]=select!$A$747)=TRUE,1,0)</f>
        <v>0</v>
      </c>
      <c r="Q944" s="298">
        <f ca="1">IF(select!$O$945&lt;6,1,0)</f>
        <v>1</v>
      </c>
      <c r="R944" s="298">
        <f>IF(select!$A$778=IF(Scharniere[[#This Row],[mit Dämpfung]]=1,1,IF(Scharniere[[#This Row],[ohne Dämpfung]]=1,2,IF(Scharniere[[#This Row],[ohne Feder]]=1,3,0))),1,0)</f>
        <v>0</v>
      </c>
      <c r="S944" s="298">
        <f>IF(Scharniere[[#This Row],[Bohrbild]]=select!$A$755,1,0)</f>
        <v>0</v>
      </c>
      <c r="T944" s="298">
        <f>IF(IF(Scharniere[[#This Row],[Anschrauben]]=1,1,IF(Scharniere[[#This Row],[Einpressen]]=1,2,IF(Scharniere[[#This Row],[Quick]]=1,3,IF(Scharniere[[#This Row],[Werkzeuglos]]=1,4,0))))=select!$A$769,1,0)</f>
        <v>1</v>
      </c>
      <c r="U9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4" s="359">
        <f>IF(AND(Scharniere[[#This Row],[Scharnierart]]=4,Scharniere[[#This Row],[Gruppenschlüssel]]=select!$A$981)=TRUE,1,0)</f>
        <v>0</v>
      </c>
      <c r="W944" s="359">
        <f ca="1">IF(select!$O$1185&lt;6,1,0)</f>
        <v>1</v>
      </c>
      <c r="X944" s="359">
        <f>IF(select!$A$1012=IF(Scharniere[[#This Row],[mit Dämpfung]]=1,1,IF(Scharniere[[#This Row],[ohne Dämpfung]]=1,2,IF(Scharniere[[#This Row],[ohne Feder]]=1,3,0))),1,0)</f>
        <v>0</v>
      </c>
      <c r="Y944" s="359">
        <f>IF(Scharniere[[#This Row],[Bohrbild]]=select!$A$989,1,0)</f>
        <v>0</v>
      </c>
      <c r="Z944" s="359">
        <f>IF(IF(Scharniere[[#This Row],[Anschrauben]]=1,1,IF(Scharniere[[#This Row],[Einpressen]]=1,2,IF(Scharniere[[#This Row],[Quick]]=1,3,IF(Scharniere[[#This Row],[Werkzeuglos]]=1,4,0))))=select!$A$1003,1,0)</f>
        <v>1</v>
      </c>
      <c r="AA9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4" s="359">
        <f ca="1">IF(select!$K$980="*",Scharniere[[#This Row],[AG Ges2]],Scharniere[[#This Row],[AG Ges1]])</f>
        <v>0</v>
      </c>
      <c r="AE944" s="451">
        <f ca="1">IF(AND(Scharniere[[#This Row],[Scharnierart]]=select!$A$1485,Scharniere[[#This Row],[Gruppenschlüssel]]=select!$B$1485)=TRUE,1,0)</f>
        <v>0</v>
      </c>
      <c r="AF944" s="451">
        <f ca="1">IF(AND(Scharniere[[#This Row],[Scharnierart]]=select!$A$1486,Scharniere[[#This Row],[Gruppenschlüssel]]=select!$B$1486)=TRUE,1,0)</f>
        <v>0</v>
      </c>
      <c r="AG944" s="451">
        <f ca="1">IF(AND(Scharniere[[#This Row],[Scharnierart]]=select!$A$1487,Scharniere[[#This Row],[Gruppenschlüssel]]=select!$B$1487)=TRUE,1,0)</f>
        <v>0</v>
      </c>
      <c r="AH944" s="451">
        <f ca="1">IF(AND(Scharniere[[#This Row],[Scharnierart]]=select!$A$1488,Scharniere[[#This Row],[Gruppenschlüssel]]=select!$B$1488)=TRUE,1,0)</f>
        <v>0</v>
      </c>
      <c r="AI944" s="451">
        <f ca="1">IF(SUM(Scharniere[[#This Row],[konf Scharnier 1]:[konf Scharnier 4]])&gt;0,1,0)</f>
        <v>0</v>
      </c>
      <c r="AJ944" s="451"/>
      <c r="AK944" s="451"/>
      <c r="AL944" s="451"/>
      <c r="AM944" s="451"/>
      <c r="AN944" s="451"/>
      <c r="AO944" s="146">
        <v>2</v>
      </c>
      <c r="AP944" s="146">
        <v>8</v>
      </c>
      <c r="AQ944" s="71" t="str">
        <f ca="1">Sprache!$A$114</f>
        <v>Tiomos Scharnier TT Click-on</v>
      </c>
      <c r="AR944" t="str">
        <f ca="1">"110/45°, H-BB, "&amp;Sprache!$A$62&amp;" ni"</f>
        <v>110/45°, H-BB, einl. ni</v>
      </c>
      <c r="AS944" t="str">
        <f ca="1">Sprache!$A$103</f>
        <v>Tiomos Click-On Scharniere</v>
      </c>
      <c r="AT944" t="s">
        <v>1264</v>
      </c>
      <c r="AU944" t="s">
        <v>10</v>
      </c>
      <c r="AV944" t="s">
        <v>1489</v>
      </c>
      <c r="AW944" s="71">
        <v>0</v>
      </c>
      <c r="AX944">
        <v>0</v>
      </c>
      <c r="AY944">
        <v>1</v>
      </c>
      <c r="AZ944" s="71">
        <v>1</v>
      </c>
      <c r="BA944">
        <v>0</v>
      </c>
      <c r="BB944">
        <v>0</v>
      </c>
      <c r="BC944">
        <v>0</v>
      </c>
      <c r="BD944" s="144" t="s">
        <v>1730</v>
      </c>
      <c r="BF944" s="10"/>
      <c r="BG944"/>
    </row>
    <row r="945" spans="1:59" ht="14.25" customHeight="1" x14ac:dyDescent="0.25">
      <c r="A945" s="37" t="str">
        <f>LEFT(Scharniere[[#This Row],[ArtikelNR]],4)</f>
        <v>F017</v>
      </c>
      <c r="B945" s="35" t="str">
        <f>MID(Scharniere[[#This Row],[ArtikelNR]],5,3)</f>
        <v>139</v>
      </c>
      <c r="C945" s="37" t="str">
        <f>RIGHT(Scharniere[[#This Row],[ArtikelNR]],3)</f>
        <v>510</v>
      </c>
      <c r="D945" s="35">
        <f>IF(AND(Scharniere[[#This Row],[Gruppenschlüssel]]=select!$A$44,Scharniere[[#This Row],[Scharnierart]]=1)=TRUE,1,0)</f>
        <v>0</v>
      </c>
      <c r="E9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5" s="35">
        <f>IF(select!$F$57=IF(Scharniere[[#This Row],[mit Dämpfung]]=1,1,IF(Scharniere[[#This Row],[ohne Dämpfung]]=1,2,IF(Scharniere[[#This Row],[ohne Feder]]=1,3,0))),1,0)</f>
        <v>0</v>
      </c>
      <c r="G945" s="35">
        <f>IF(Scharniere[[#This Row],[Bohrbild]]=select!$V$43,1,0)</f>
        <v>0</v>
      </c>
      <c r="H945" s="35">
        <f>IF(IF(Scharniere[[#This Row],[Anschrauben]]=1,1,IF(Scharniere[[#This Row],[Einpressen]]=1,2,IF(Scharniere[[#This Row],[Quick]]=1,3,IF(Scharniere[[#This Row],[Werkzeuglos]]=1,4,0))))=select!$F$48,1,0)</f>
        <v>0</v>
      </c>
      <c r="I9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5" s="149">
        <f>IF(AND(Scharniere[[#This Row],[Scharnierart]]=2,Scharniere[[#This Row],[Gruppenschlüssel]]=select!$A$318)=TRUE,1,0)</f>
        <v>0</v>
      </c>
      <c r="K945" s="221">
        <f ca="1">IF(select!$O$424&lt;6,1,0)</f>
        <v>1</v>
      </c>
      <c r="L945" s="221">
        <f>IF(select!$A$362=IF(Scharniere[[#This Row],[mit Dämpfung]]=1,1,IF(Scharniere[[#This Row],[ohne Dämpfung]]=1,2,IF(Scharniere[[#This Row],[ohne Feder]]=1,3,0))),1,0)</f>
        <v>1</v>
      </c>
      <c r="M945" s="135">
        <f>IF(Scharniere[[#This Row],[Bohrbild]]=select!$O$334,1,0)</f>
        <v>0</v>
      </c>
      <c r="N945" s="135">
        <f>IF(IF(Scharniere[[#This Row],[Anschrauben]]=1,1,IF(Scharniere[[#This Row],[Einpressen]]=1,2,IF(Scharniere[[#This Row],[Quick]]=1,3,IF(Scharniere[[#This Row],[Werkzeuglos]]=1,4,0))))=select!$E$362,1,0)</f>
        <v>0</v>
      </c>
      <c r="O9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5" s="298">
        <f>IF(AND(Scharniere[[#This Row],[Scharnierart]]=3,Scharniere[[#This Row],[Gruppenschlüssel]]=select!$A$747)=TRUE,1,0)</f>
        <v>0</v>
      </c>
      <c r="Q945" s="298">
        <f ca="1">IF(select!$O$945&lt;6,1,0)</f>
        <v>1</v>
      </c>
      <c r="R945" s="298">
        <f>IF(select!$A$778=IF(Scharniere[[#This Row],[mit Dämpfung]]=1,1,IF(Scharniere[[#This Row],[ohne Dämpfung]]=1,2,IF(Scharniere[[#This Row],[ohne Feder]]=1,3,0))),1,0)</f>
        <v>0</v>
      </c>
      <c r="S945" s="298">
        <f>IF(Scharniere[[#This Row],[Bohrbild]]=select!$A$755,1,0)</f>
        <v>0</v>
      </c>
      <c r="T945" s="298">
        <f>IF(IF(Scharniere[[#This Row],[Anschrauben]]=1,1,IF(Scharniere[[#This Row],[Einpressen]]=1,2,IF(Scharniere[[#This Row],[Quick]]=1,3,IF(Scharniere[[#This Row],[Werkzeuglos]]=1,4,0))))=select!$A$769,1,0)</f>
        <v>0</v>
      </c>
      <c r="U9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5" s="359">
        <f>IF(AND(Scharniere[[#This Row],[Scharnierart]]=4,Scharniere[[#This Row],[Gruppenschlüssel]]=select!$A$981)=TRUE,1,0)</f>
        <v>0</v>
      </c>
      <c r="W945" s="359">
        <f ca="1">IF(select!$O$1185&lt;6,1,0)</f>
        <v>1</v>
      </c>
      <c r="X945" s="359">
        <f>IF(select!$A$1012=IF(Scharniere[[#This Row],[mit Dämpfung]]=1,1,IF(Scharniere[[#This Row],[ohne Dämpfung]]=1,2,IF(Scharniere[[#This Row],[ohne Feder]]=1,3,0))),1,0)</f>
        <v>0</v>
      </c>
      <c r="Y945" s="359">
        <f>IF(Scharniere[[#This Row],[Bohrbild]]=select!$A$989,1,0)</f>
        <v>0</v>
      </c>
      <c r="Z945" s="359">
        <f>IF(IF(Scharniere[[#This Row],[Anschrauben]]=1,1,IF(Scharniere[[#This Row],[Einpressen]]=1,2,IF(Scharniere[[#This Row],[Quick]]=1,3,IF(Scharniere[[#This Row],[Werkzeuglos]]=1,4,0))))=select!$A$1003,1,0)</f>
        <v>0</v>
      </c>
      <c r="AA9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5" s="359">
        <f ca="1">IF(select!$K$980="*",Scharniere[[#This Row],[AG Ges2]],Scharniere[[#This Row],[AG Ges1]])</f>
        <v>0</v>
      </c>
      <c r="AE945" s="451">
        <f ca="1">IF(AND(Scharniere[[#This Row],[Scharnierart]]=select!$A$1485,Scharniere[[#This Row],[Gruppenschlüssel]]=select!$B$1485)=TRUE,1,0)</f>
        <v>0</v>
      </c>
      <c r="AF945" s="451">
        <f ca="1">IF(AND(Scharniere[[#This Row],[Scharnierart]]=select!$A$1486,Scharniere[[#This Row],[Gruppenschlüssel]]=select!$B$1486)=TRUE,1,0)</f>
        <v>0</v>
      </c>
      <c r="AG945" s="451">
        <f ca="1">IF(AND(Scharniere[[#This Row],[Scharnierart]]=select!$A$1487,Scharniere[[#This Row],[Gruppenschlüssel]]=select!$B$1487)=TRUE,1,0)</f>
        <v>0</v>
      </c>
      <c r="AH945" s="451">
        <f ca="1">IF(AND(Scharniere[[#This Row],[Scharnierart]]=select!$A$1488,Scharniere[[#This Row],[Gruppenschlüssel]]=select!$B$1488)=TRUE,1,0)</f>
        <v>0</v>
      </c>
      <c r="AI945" s="451">
        <f ca="1">IF(SUM(Scharniere[[#This Row],[konf Scharnier 1]:[konf Scharnier 4]])&gt;0,1,0)</f>
        <v>0</v>
      </c>
      <c r="AJ945" s="451"/>
      <c r="AK945" s="451"/>
      <c r="AL945" s="451"/>
      <c r="AM945" s="451"/>
      <c r="AN945" s="451"/>
      <c r="AO945" s="146">
        <v>2</v>
      </c>
      <c r="AP945" s="146">
        <v>8</v>
      </c>
      <c r="AQ945" s="71" t="str">
        <f ca="1">Sprache!$A$113</f>
        <v>Tiomos Scharnier TS Impresso</v>
      </c>
      <c r="AR945" t="str">
        <f ca="1">"110/45°, HS-BB, "&amp;Sprache!$A$62&amp;" ni"</f>
        <v>110/45°, HS-BB, einl. ni</v>
      </c>
      <c r="AS945" t="str">
        <f ca="1">Sprache!$A$116</f>
        <v>Tiomos Impresso Scharniere</v>
      </c>
      <c r="AT945" t="s">
        <v>1264</v>
      </c>
      <c r="AU945" s="34" t="s">
        <v>10</v>
      </c>
      <c r="AV945" t="s">
        <v>1489</v>
      </c>
      <c r="AW945" s="71">
        <v>1</v>
      </c>
      <c r="AX945">
        <v>0</v>
      </c>
      <c r="AY945">
        <v>0</v>
      </c>
      <c r="AZ945" s="71">
        <v>0</v>
      </c>
      <c r="BA945">
        <v>0</v>
      </c>
      <c r="BB945">
        <v>0</v>
      </c>
      <c r="BC945">
        <v>1</v>
      </c>
      <c r="BD945" s="144" t="s">
        <v>1594</v>
      </c>
      <c r="BF945" s="10"/>
      <c r="BG945"/>
    </row>
    <row r="946" spans="1:59" ht="14.25" customHeight="1" x14ac:dyDescent="0.25">
      <c r="A946" s="37" t="str">
        <f>LEFT(Scharniere[[#This Row],[ArtikelNR]],4)</f>
        <v>F017</v>
      </c>
      <c r="B946" s="35" t="str">
        <f>MID(Scharniere[[#This Row],[ArtikelNR]],5,3)</f>
        <v>139</v>
      </c>
      <c r="C946" s="37" t="str">
        <f>RIGHT(Scharniere[[#This Row],[ArtikelNR]],3)</f>
        <v>510</v>
      </c>
      <c r="D946" s="35">
        <f>IF(AND(Scharniere[[#This Row],[Gruppenschlüssel]]=select!$A$44,Scharniere[[#This Row],[Scharnierart]]=1)=TRUE,1,0)</f>
        <v>0</v>
      </c>
      <c r="E9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6" s="35">
        <f>IF(select!$F$57=IF(Scharniere[[#This Row],[mit Dämpfung]]=1,1,IF(Scharniere[[#This Row],[ohne Dämpfung]]=1,2,IF(Scharniere[[#This Row],[ohne Feder]]=1,3,0))),1,0)</f>
        <v>0</v>
      </c>
      <c r="G946" s="35">
        <f>IF(Scharniere[[#This Row],[Bohrbild]]=select!$V$43,1,0)</f>
        <v>0</v>
      </c>
      <c r="H946" s="35">
        <f>IF(IF(Scharniere[[#This Row],[Anschrauben]]=1,1,IF(Scharniere[[#This Row],[Einpressen]]=1,2,IF(Scharniere[[#This Row],[Quick]]=1,3,IF(Scharniere[[#This Row],[Werkzeuglos]]=1,4,0))))=select!$F$48,1,0)</f>
        <v>0</v>
      </c>
      <c r="I9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6" s="149">
        <f>IF(AND(Scharniere[[#This Row],[Scharnierart]]=2,Scharniere[[#This Row],[Gruppenschlüssel]]=select!$A$318)=TRUE,1,0)</f>
        <v>0</v>
      </c>
      <c r="K946" s="221">
        <f ca="1">IF(select!$O$424&lt;6,1,0)</f>
        <v>1</v>
      </c>
      <c r="L946" s="221">
        <f>IF(select!$A$362=IF(Scharniere[[#This Row],[mit Dämpfung]]=1,1,IF(Scharniere[[#This Row],[ohne Dämpfung]]=1,2,IF(Scharniere[[#This Row],[ohne Feder]]=1,3,0))),1,0)</f>
        <v>1</v>
      </c>
      <c r="M946" s="135">
        <f>IF(Scharniere[[#This Row],[Bohrbild]]=select!$O$334,1,0)</f>
        <v>0</v>
      </c>
      <c r="N946" s="135">
        <f>IF(IF(Scharniere[[#This Row],[Anschrauben]]=1,1,IF(Scharniere[[#This Row],[Einpressen]]=1,2,IF(Scharniere[[#This Row],[Quick]]=1,3,IF(Scharniere[[#This Row],[Werkzeuglos]]=1,4,0))))=select!$E$362,1,0)</f>
        <v>0</v>
      </c>
      <c r="O9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6" s="298">
        <f>IF(AND(Scharniere[[#This Row],[Scharnierart]]=3,Scharniere[[#This Row],[Gruppenschlüssel]]=select!$A$747)=TRUE,1,0)</f>
        <v>0</v>
      </c>
      <c r="Q946" s="298">
        <f ca="1">IF(select!$O$945&lt;6,1,0)</f>
        <v>1</v>
      </c>
      <c r="R946" s="298">
        <f>IF(select!$A$778=IF(Scharniere[[#This Row],[mit Dämpfung]]=1,1,IF(Scharniere[[#This Row],[ohne Dämpfung]]=1,2,IF(Scharniere[[#This Row],[ohne Feder]]=1,3,0))),1,0)</f>
        <v>0</v>
      </c>
      <c r="S946" s="298">
        <f>IF(Scharniere[[#This Row],[Bohrbild]]=select!$A$755,1,0)</f>
        <v>0</v>
      </c>
      <c r="T946" s="298">
        <f>IF(IF(Scharniere[[#This Row],[Anschrauben]]=1,1,IF(Scharniere[[#This Row],[Einpressen]]=1,2,IF(Scharniere[[#This Row],[Quick]]=1,3,IF(Scharniere[[#This Row],[Werkzeuglos]]=1,4,0))))=select!$A$769,1,0)</f>
        <v>0</v>
      </c>
      <c r="U9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6" s="359">
        <f>IF(AND(Scharniere[[#This Row],[Scharnierart]]=4,Scharniere[[#This Row],[Gruppenschlüssel]]=select!$A$981)=TRUE,1,0)</f>
        <v>0</v>
      </c>
      <c r="W946" s="359">
        <f ca="1">IF(select!$O$1185&lt;6,1,0)</f>
        <v>1</v>
      </c>
      <c r="X946" s="359">
        <f>IF(select!$A$1012=IF(Scharniere[[#This Row],[mit Dämpfung]]=1,1,IF(Scharniere[[#This Row],[ohne Dämpfung]]=1,2,IF(Scharniere[[#This Row],[ohne Feder]]=1,3,0))),1,0)</f>
        <v>0</v>
      </c>
      <c r="Y946" s="359">
        <f>IF(Scharniere[[#This Row],[Bohrbild]]=select!$A$989,1,0)</f>
        <v>0</v>
      </c>
      <c r="Z946" s="359">
        <f>IF(IF(Scharniere[[#This Row],[Anschrauben]]=1,1,IF(Scharniere[[#This Row],[Einpressen]]=1,2,IF(Scharniere[[#This Row],[Quick]]=1,3,IF(Scharniere[[#This Row],[Werkzeuglos]]=1,4,0))))=select!$A$1003,1,0)</f>
        <v>0</v>
      </c>
      <c r="AA9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6" s="359">
        <f ca="1">IF(select!$K$980="*",Scharniere[[#This Row],[AG Ges2]],Scharniere[[#This Row],[AG Ges1]])</f>
        <v>0</v>
      </c>
      <c r="AE946" s="451">
        <f ca="1">IF(AND(Scharniere[[#This Row],[Scharnierart]]=select!$A$1485,Scharniere[[#This Row],[Gruppenschlüssel]]=select!$B$1485)=TRUE,1,0)</f>
        <v>0</v>
      </c>
      <c r="AF946" s="451">
        <f ca="1">IF(AND(Scharniere[[#This Row],[Scharnierart]]=select!$A$1486,Scharniere[[#This Row],[Gruppenschlüssel]]=select!$B$1486)=TRUE,1,0)</f>
        <v>0</v>
      </c>
      <c r="AG946" s="451">
        <f ca="1">IF(AND(Scharniere[[#This Row],[Scharnierart]]=select!$A$1487,Scharniere[[#This Row],[Gruppenschlüssel]]=select!$B$1487)=TRUE,1,0)</f>
        <v>0</v>
      </c>
      <c r="AH946" s="451">
        <f ca="1">IF(AND(Scharniere[[#This Row],[Scharnierart]]=select!$A$1488,Scharniere[[#This Row],[Gruppenschlüssel]]=select!$B$1488)=TRUE,1,0)</f>
        <v>0</v>
      </c>
      <c r="AI946" s="451">
        <f ca="1">IF(SUM(Scharniere[[#This Row],[konf Scharnier 1]:[konf Scharnier 4]])&gt;0,1,0)</f>
        <v>0</v>
      </c>
      <c r="AJ946" s="451"/>
      <c r="AK946" s="451"/>
      <c r="AL946" s="451"/>
      <c r="AM946" s="451"/>
      <c r="AN946" s="451"/>
      <c r="AO946" s="146">
        <v>2</v>
      </c>
      <c r="AP946" s="146">
        <v>8</v>
      </c>
      <c r="AQ946" s="71" t="str">
        <f ca="1">Sprache!$A$113</f>
        <v>Tiomos Scharnier TS Impresso</v>
      </c>
      <c r="AR946" t="str">
        <f ca="1">"110/45°, HS-BB, "&amp;Sprache!$A$62&amp;" ni"</f>
        <v>110/45°, HS-BB, einl. ni</v>
      </c>
      <c r="AS946" t="str">
        <f ca="1">Sprache!$A$116</f>
        <v>Tiomos Impresso Scharniere</v>
      </c>
      <c r="AT946" t="s">
        <v>1264</v>
      </c>
      <c r="AU946" s="34" t="s">
        <v>11</v>
      </c>
      <c r="AV946" t="s">
        <v>1489</v>
      </c>
      <c r="AW946" s="71">
        <v>1</v>
      </c>
      <c r="AX946">
        <v>0</v>
      </c>
      <c r="AY946">
        <v>0</v>
      </c>
      <c r="AZ946" s="71">
        <v>0</v>
      </c>
      <c r="BA946">
        <v>0</v>
      </c>
      <c r="BB946">
        <v>0</v>
      </c>
      <c r="BC946">
        <v>1</v>
      </c>
      <c r="BD946" s="144" t="s">
        <v>1594</v>
      </c>
      <c r="BF946" s="10"/>
      <c r="BG946"/>
    </row>
    <row r="947" spans="1:59" ht="14.25" customHeight="1" x14ac:dyDescent="0.25">
      <c r="A947" s="37" t="str">
        <f>LEFT(Scharniere[[#This Row],[ArtikelNR]],4)</f>
        <v>F034</v>
      </c>
      <c r="B947" s="35" t="str">
        <f>MID(Scharniere[[#This Row],[ArtikelNR]],5,3)</f>
        <v>139</v>
      </c>
      <c r="C947" s="37" t="str">
        <f>RIGHT(Scharniere[[#This Row],[ArtikelNR]],3)</f>
        <v>481</v>
      </c>
      <c r="D947" s="35">
        <f>IF(AND(Scharniere[[#This Row],[Gruppenschlüssel]]=select!$A$44,Scharniere[[#This Row],[Scharnierart]]=1)=TRUE,1,0)</f>
        <v>0</v>
      </c>
      <c r="E9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7" s="35">
        <f>IF(select!$F$57=IF(Scharniere[[#This Row],[mit Dämpfung]]=1,1,IF(Scharniere[[#This Row],[ohne Dämpfung]]=1,2,IF(Scharniere[[#This Row],[ohne Feder]]=1,3,0))),1,0)</f>
        <v>0</v>
      </c>
      <c r="G947" s="35">
        <f>IF(Scharniere[[#This Row],[Bohrbild]]=select!$V$43,1,0)</f>
        <v>0</v>
      </c>
      <c r="H947" s="35">
        <f>IF(IF(Scharniere[[#This Row],[Anschrauben]]=1,1,IF(Scharniere[[#This Row],[Einpressen]]=1,2,IF(Scharniere[[#This Row],[Quick]]=1,3,IF(Scharniere[[#This Row],[Werkzeuglos]]=1,4,0))))=select!$F$48,1,0)</f>
        <v>0</v>
      </c>
      <c r="I9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7" s="149">
        <f>IF(AND(Scharniere[[#This Row],[Scharnierart]]=2,Scharniere[[#This Row],[Gruppenschlüssel]]=select!$A$318)=TRUE,1,0)</f>
        <v>0</v>
      </c>
      <c r="K947" s="221">
        <f ca="1">IF(select!$O$424&lt;6,1,0)</f>
        <v>1</v>
      </c>
      <c r="L947" s="221">
        <f>IF(select!$A$362=IF(Scharniere[[#This Row],[mit Dämpfung]]=1,1,IF(Scharniere[[#This Row],[ohne Dämpfung]]=1,2,IF(Scharniere[[#This Row],[ohne Feder]]=1,3,0))),1,0)</f>
        <v>0</v>
      </c>
      <c r="M947" s="135">
        <f>IF(Scharniere[[#This Row],[Bohrbild]]=select!$O$334,1,0)</f>
        <v>0</v>
      </c>
      <c r="N947" s="135">
        <f>IF(IF(Scharniere[[#This Row],[Anschrauben]]=1,1,IF(Scharniere[[#This Row],[Einpressen]]=1,2,IF(Scharniere[[#This Row],[Quick]]=1,3,IF(Scharniere[[#This Row],[Werkzeuglos]]=1,4,0))))=select!$E$362,1,0)</f>
        <v>0</v>
      </c>
      <c r="O9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7" s="298">
        <f>IF(AND(Scharniere[[#This Row],[Scharnierart]]=3,Scharniere[[#This Row],[Gruppenschlüssel]]=select!$A$747)=TRUE,1,0)</f>
        <v>0</v>
      </c>
      <c r="Q947" s="298">
        <f ca="1">IF(select!$O$945&lt;6,1,0)</f>
        <v>1</v>
      </c>
      <c r="R947" s="298">
        <f>IF(select!$A$778=IF(Scharniere[[#This Row],[mit Dämpfung]]=1,1,IF(Scharniere[[#This Row],[ohne Dämpfung]]=1,2,IF(Scharniere[[#This Row],[ohne Feder]]=1,3,0))),1,0)</f>
        <v>1</v>
      </c>
      <c r="S947" s="298">
        <f>IF(Scharniere[[#This Row],[Bohrbild]]=select!$A$755,1,0)</f>
        <v>0</v>
      </c>
      <c r="T947" s="298">
        <f>IF(IF(Scharniere[[#This Row],[Anschrauben]]=1,1,IF(Scharniere[[#This Row],[Einpressen]]=1,2,IF(Scharniere[[#This Row],[Quick]]=1,3,IF(Scharniere[[#This Row],[Werkzeuglos]]=1,4,0))))=select!$A$769,1,0)</f>
        <v>0</v>
      </c>
      <c r="U9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7" s="359">
        <f>IF(AND(Scharniere[[#This Row],[Scharnierart]]=4,Scharniere[[#This Row],[Gruppenschlüssel]]=select!$A$981)=TRUE,1,0)</f>
        <v>0</v>
      </c>
      <c r="W947" s="359">
        <f ca="1">IF(select!$O$1185&lt;6,1,0)</f>
        <v>1</v>
      </c>
      <c r="X947" s="359">
        <f>IF(select!$A$1012=IF(Scharniere[[#This Row],[mit Dämpfung]]=1,1,IF(Scharniere[[#This Row],[ohne Dämpfung]]=1,2,IF(Scharniere[[#This Row],[ohne Feder]]=1,3,0))),1,0)</f>
        <v>1</v>
      </c>
      <c r="Y947" s="359">
        <f>IF(Scharniere[[#This Row],[Bohrbild]]=select!$A$989,1,0)</f>
        <v>0</v>
      </c>
      <c r="Z947" s="359">
        <f>IF(IF(Scharniere[[#This Row],[Anschrauben]]=1,1,IF(Scharniere[[#This Row],[Einpressen]]=1,2,IF(Scharniere[[#This Row],[Quick]]=1,3,IF(Scharniere[[#This Row],[Werkzeuglos]]=1,4,0))))=select!$A$1003,1,0)</f>
        <v>0</v>
      </c>
      <c r="AA9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7" s="359">
        <f ca="1">IF(select!$K$980="*",Scharniere[[#This Row],[AG Ges2]],Scharniere[[#This Row],[AG Ges1]])</f>
        <v>0</v>
      </c>
      <c r="AE947" s="451">
        <f ca="1">IF(AND(Scharniere[[#This Row],[Scharnierart]]=select!$A$1485,Scharniere[[#This Row],[Gruppenschlüssel]]=select!$B$1485)=TRUE,1,0)</f>
        <v>0</v>
      </c>
      <c r="AF947" s="451">
        <f ca="1">IF(AND(Scharniere[[#This Row],[Scharnierart]]=select!$A$1486,Scharniere[[#This Row],[Gruppenschlüssel]]=select!$B$1486)=TRUE,1,0)</f>
        <v>0</v>
      </c>
      <c r="AG947" s="451">
        <f ca="1">IF(AND(Scharniere[[#This Row],[Scharnierart]]=select!$A$1487,Scharniere[[#This Row],[Gruppenschlüssel]]=select!$B$1487)=TRUE,1,0)</f>
        <v>0</v>
      </c>
      <c r="AH947" s="451">
        <f ca="1">IF(AND(Scharniere[[#This Row],[Scharnierart]]=select!$A$1488,Scharniere[[#This Row],[Gruppenschlüssel]]=select!$B$1488)=TRUE,1,0)</f>
        <v>0</v>
      </c>
      <c r="AI947" s="451">
        <f ca="1">IF(SUM(Scharniere[[#This Row],[konf Scharnier 1]:[konf Scharnier 4]])&gt;0,1,0)</f>
        <v>0</v>
      </c>
      <c r="AJ947" s="451"/>
      <c r="AK947" s="451"/>
      <c r="AL947" s="451"/>
      <c r="AM947" s="451"/>
      <c r="AN947" s="451"/>
      <c r="AO947" s="146">
        <v>2</v>
      </c>
      <c r="AP947" s="146">
        <v>8</v>
      </c>
      <c r="AQ947" s="71" t="str">
        <f ca="1">Sprache!$A$119</f>
        <v>Tiomos Scharnier T Impresso</v>
      </c>
      <c r="AR947" t="str">
        <f ca="1">"110/45°, HS-BB, "&amp;Sprache!$A$62&amp;" ni"</f>
        <v>110/45°, HS-BB, einl. ni</v>
      </c>
      <c r="AS947" t="str">
        <f ca="1">Sprache!$A$103</f>
        <v>Tiomos Click-On Scharniere</v>
      </c>
      <c r="AT947" t="s">
        <v>1264</v>
      </c>
      <c r="AU947" t="s">
        <v>10</v>
      </c>
      <c r="AV947" t="s">
        <v>1489</v>
      </c>
      <c r="AW947" s="71">
        <v>0</v>
      </c>
      <c r="AX947">
        <v>1</v>
      </c>
      <c r="AY947">
        <v>0</v>
      </c>
      <c r="AZ947" s="71">
        <v>0</v>
      </c>
      <c r="BA947">
        <v>0</v>
      </c>
      <c r="BB947">
        <v>0</v>
      </c>
      <c r="BC947">
        <v>1</v>
      </c>
      <c r="BD947" s="144" t="s">
        <v>1772</v>
      </c>
      <c r="BF947" s="10"/>
      <c r="BG947"/>
    </row>
    <row r="948" spans="1:59" ht="14.25" customHeight="1" x14ac:dyDescent="0.25">
      <c r="A948" s="37" t="str">
        <f>LEFT(Scharniere[[#This Row],[ArtikelNR]],4)</f>
        <v>F034</v>
      </c>
      <c r="B948" s="35" t="str">
        <f>MID(Scharniere[[#This Row],[ArtikelNR]],5,3)</f>
        <v>139</v>
      </c>
      <c r="C948" s="37" t="str">
        <f>RIGHT(Scharniere[[#This Row],[ArtikelNR]],3)</f>
        <v>481</v>
      </c>
      <c r="D948" s="35">
        <f>IF(AND(Scharniere[[#This Row],[Gruppenschlüssel]]=select!$A$44,Scharniere[[#This Row],[Scharnierart]]=1)=TRUE,1,0)</f>
        <v>0</v>
      </c>
      <c r="E9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8" s="35">
        <f>IF(select!$F$57=IF(Scharniere[[#This Row],[mit Dämpfung]]=1,1,IF(Scharniere[[#This Row],[ohne Dämpfung]]=1,2,IF(Scharniere[[#This Row],[ohne Feder]]=1,3,0))),1,0)</f>
        <v>0</v>
      </c>
      <c r="G948" s="35">
        <f>IF(Scharniere[[#This Row],[Bohrbild]]=select!$V$43,1,0)</f>
        <v>0</v>
      </c>
      <c r="H948" s="35">
        <f>IF(IF(Scharniere[[#This Row],[Anschrauben]]=1,1,IF(Scharniere[[#This Row],[Einpressen]]=1,2,IF(Scharniere[[#This Row],[Quick]]=1,3,IF(Scharniere[[#This Row],[Werkzeuglos]]=1,4,0))))=select!$F$48,1,0)</f>
        <v>0</v>
      </c>
      <c r="I9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8" s="149">
        <f>IF(AND(Scharniere[[#This Row],[Scharnierart]]=2,Scharniere[[#This Row],[Gruppenschlüssel]]=select!$A$318)=TRUE,1,0)</f>
        <v>0</v>
      </c>
      <c r="K948" s="221">
        <f ca="1">IF(select!$O$424&lt;6,1,0)</f>
        <v>1</v>
      </c>
      <c r="L948" s="221">
        <f>IF(select!$A$362=IF(Scharniere[[#This Row],[mit Dämpfung]]=1,1,IF(Scharniere[[#This Row],[ohne Dämpfung]]=1,2,IF(Scharniere[[#This Row],[ohne Feder]]=1,3,0))),1,0)</f>
        <v>0</v>
      </c>
      <c r="M948" s="135">
        <f>IF(Scharniere[[#This Row],[Bohrbild]]=select!$O$334,1,0)</f>
        <v>0</v>
      </c>
      <c r="N948" s="135">
        <f>IF(IF(Scharniere[[#This Row],[Anschrauben]]=1,1,IF(Scharniere[[#This Row],[Einpressen]]=1,2,IF(Scharniere[[#This Row],[Quick]]=1,3,IF(Scharniere[[#This Row],[Werkzeuglos]]=1,4,0))))=select!$E$362,1,0)</f>
        <v>0</v>
      </c>
      <c r="O9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8" s="298">
        <f>IF(AND(Scharniere[[#This Row],[Scharnierart]]=3,Scharniere[[#This Row],[Gruppenschlüssel]]=select!$A$747)=TRUE,1,0)</f>
        <v>0</v>
      </c>
      <c r="Q948" s="298">
        <f ca="1">IF(select!$O$945&lt;6,1,0)</f>
        <v>1</v>
      </c>
      <c r="R948" s="298">
        <f>IF(select!$A$778=IF(Scharniere[[#This Row],[mit Dämpfung]]=1,1,IF(Scharniere[[#This Row],[ohne Dämpfung]]=1,2,IF(Scharniere[[#This Row],[ohne Feder]]=1,3,0))),1,0)</f>
        <v>1</v>
      </c>
      <c r="S948" s="298">
        <f>IF(Scharniere[[#This Row],[Bohrbild]]=select!$A$755,1,0)</f>
        <v>0</v>
      </c>
      <c r="T948" s="298">
        <f>IF(IF(Scharniere[[#This Row],[Anschrauben]]=1,1,IF(Scharniere[[#This Row],[Einpressen]]=1,2,IF(Scharniere[[#This Row],[Quick]]=1,3,IF(Scharniere[[#This Row],[Werkzeuglos]]=1,4,0))))=select!$A$769,1,0)</f>
        <v>0</v>
      </c>
      <c r="U9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8" s="359">
        <f>IF(AND(Scharniere[[#This Row],[Scharnierart]]=4,Scharniere[[#This Row],[Gruppenschlüssel]]=select!$A$981)=TRUE,1,0)</f>
        <v>0</v>
      </c>
      <c r="W948" s="359">
        <f ca="1">IF(select!$O$1185&lt;6,1,0)</f>
        <v>1</v>
      </c>
      <c r="X948" s="359">
        <f>IF(select!$A$1012=IF(Scharniere[[#This Row],[mit Dämpfung]]=1,1,IF(Scharniere[[#This Row],[ohne Dämpfung]]=1,2,IF(Scharniere[[#This Row],[ohne Feder]]=1,3,0))),1,0)</f>
        <v>1</v>
      </c>
      <c r="Y948" s="359">
        <f>IF(Scharniere[[#This Row],[Bohrbild]]=select!$A$989,1,0)</f>
        <v>0</v>
      </c>
      <c r="Z948" s="359">
        <f>IF(IF(Scharniere[[#This Row],[Anschrauben]]=1,1,IF(Scharniere[[#This Row],[Einpressen]]=1,2,IF(Scharniere[[#This Row],[Quick]]=1,3,IF(Scharniere[[#This Row],[Werkzeuglos]]=1,4,0))))=select!$A$1003,1,0)</f>
        <v>0</v>
      </c>
      <c r="AA9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8" s="359">
        <f ca="1">IF(select!$K$980="*",Scharniere[[#This Row],[AG Ges2]],Scharniere[[#This Row],[AG Ges1]])</f>
        <v>0</v>
      </c>
      <c r="AE948" s="451">
        <f ca="1">IF(AND(Scharniere[[#This Row],[Scharnierart]]=select!$A$1485,Scharniere[[#This Row],[Gruppenschlüssel]]=select!$B$1485)=TRUE,1,0)</f>
        <v>0</v>
      </c>
      <c r="AF948" s="451">
        <f ca="1">IF(AND(Scharniere[[#This Row],[Scharnierart]]=select!$A$1486,Scharniere[[#This Row],[Gruppenschlüssel]]=select!$B$1486)=TRUE,1,0)</f>
        <v>0</v>
      </c>
      <c r="AG948" s="451">
        <f ca="1">IF(AND(Scharniere[[#This Row],[Scharnierart]]=select!$A$1487,Scharniere[[#This Row],[Gruppenschlüssel]]=select!$B$1487)=TRUE,1,0)</f>
        <v>0</v>
      </c>
      <c r="AH948" s="451">
        <f ca="1">IF(AND(Scharniere[[#This Row],[Scharnierart]]=select!$A$1488,Scharniere[[#This Row],[Gruppenschlüssel]]=select!$B$1488)=TRUE,1,0)</f>
        <v>0</v>
      </c>
      <c r="AI948" s="451">
        <f ca="1">IF(SUM(Scharniere[[#This Row],[konf Scharnier 1]:[konf Scharnier 4]])&gt;0,1,0)</f>
        <v>0</v>
      </c>
      <c r="AJ948" s="451"/>
      <c r="AK948" s="451"/>
      <c r="AL948" s="451"/>
      <c r="AM948" s="451"/>
      <c r="AN948" s="451"/>
      <c r="AO948" s="146">
        <v>2</v>
      </c>
      <c r="AP948" s="146">
        <v>8</v>
      </c>
      <c r="AQ948" s="71" t="str">
        <f ca="1">Sprache!$A$119</f>
        <v>Tiomos Scharnier T Impresso</v>
      </c>
      <c r="AR948" t="str">
        <f ca="1">"110/45°, HS-BB, "&amp;Sprache!$A$62&amp;" ni"</f>
        <v>110/45°, HS-BB, einl. ni</v>
      </c>
      <c r="AS948" t="str">
        <f ca="1">Sprache!$A$103</f>
        <v>Tiomos Click-On Scharniere</v>
      </c>
      <c r="AT948" t="s">
        <v>1264</v>
      </c>
      <c r="AU948" t="s">
        <v>11</v>
      </c>
      <c r="AV948" t="s">
        <v>1489</v>
      </c>
      <c r="AW948" s="71">
        <v>0</v>
      </c>
      <c r="AX948">
        <v>1</v>
      </c>
      <c r="AY948">
        <v>0</v>
      </c>
      <c r="AZ948" s="71">
        <v>0</v>
      </c>
      <c r="BA948">
        <v>0</v>
      </c>
      <c r="BB948">
        <v>0</v>
      </c>
      <c r="BC948">
        <v>1</v>
      </c>
      <c r="BD948" s="144" t="s">
        <v>1772</v>
      </c>
      <c r="BF948" s="10"/>
      <c r="BG948"/>
    </row>
    <row r="949" spans="1:59" ht="14.25" customHeight="1" x14ac:dyDescent="0.25">
      <c r="A949" s="37" t="str">
        <f>LEFT(Scharniere[[#This Row],[ArtikelNR]],4)</f>
        <v>F028</v>
      </c>
      <c r="B949" s="35" t="str">
        <f>MID(Scharniere[[#This Row],[ArtikelNR]],5,3)</f>
        <v>138</v>
      </c>
      <c r="C949" s="37" t="str">
        <f>RIGHT(Scharniere[[#This Row],[ArtikelNR]],3)</f>
        <v>108</v>
      </c>
      <c r="D949" s="35">
        <f>IF(AND(Scharniere[[#This Row],[Gruppenschlüssel]]=select!$A$44,Scharniere[[#This Row],[Scharnierart]]=1)=TRUE,1,0)</f>
        <v>0</v>
      </c>
      <c r="E9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49" s="35">
        <f>IF(select!$F$57=IF(Scharniere[[#This Row],[mit Dämpfung]]=1,1,IF(Scharniere[[#This Row],[ohne Dämpfung]]=1,2,IF(Scharniere[[#This Row],[ohne Feder]]=1,3,0))),1,0)</f>
        <v>0</v>
      </c>
      <c r="G949" s="35">
        <f>IF(Scharniere[[#This Row],[Bohrbild]]=select!$V$43,1,0)</f>
        <v>1</v>
      </c>
      <c r="H949" s="35">
        <f>IF(IF(Scharniere[[#This Row],[Anschrauben]]=1,1,IF(Scharniere[[#This Row],[Einpressen]]=1,2,IF(Scharniere[[#This Row],[Quick]]=1,3,IF(Scharniere[[#This Row],[Werkzeuglos]]=1,4,0))))=select!$F$48,1,0)</f>
        <v>0</v>
      </c>
      <c r="I9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49" s="149">
        <f>IF(AND(Scharniere[[#This Row],[Scharnierart]]=2,Scharniere[[#This Row],[Gruppenschlüssel]]=select!$A$318)=TRUE,1,0)</f>
        <v>0</v>
      </c>
      <c r="K949" s="221">
        <f ca="1">IF(select!$O$424&lt;6,1,0)</f>
        <v>1</v>
      </c>
      <c r="L949" s="221">
        <f>IF(select!$A$362=IF(Scharniere[[#This Row],[mit Dämpfung]]=1,1,IF(Scharniere[[#This Row],[ohne Dämpfung]]=1,2,IF(Scharniere[[#This Row],[ohne Feder]]=1,3,0))),1,0)</f>
        <v>1</v>
      </c>
      <c r="M949" s="135">
        <f>IF(Scharniere[[#This Row],[Bohrbild]]=select!$O$334,1,0)</f>
        <v>1</v>
      </c>
      <c r="N949" s="135">
        <f>IF(IF(Scharniere[[#This Row],[Anschrauben]]=1,1,IF(Scharniere[[#This Row],[Einpressen]]=1,2,IF(Scharniere[[#This Row],[Quick]]=1,3,IF(Scharniere[[#This Row],[Werkzeuglos]]=1,4,0))))=select!$E$362,1,0)</f>
        <v>1</v>
      </c>
      <c r="O9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49" s="298">
        <f>IF(AND(Scharniere[[#This Row],[Scharnierart]]=3,Scharniere[[#This Row],[Gruppenschlüssel]]=select!$A$747)=TRUE,1,0)</f>
        <v>0</v>
      </c>
      <c r="Q949" s="298">
        <f ca="1">IF(select!$O$945&lt;6,1,0)</f>
        <v>1</v>
      </c>
      <c r="R949" s="298">
        <f>IF(select!$A$778=IF(Scharniere[[#This Row],[mit Dämpfung]]=1,1,IF(Scharniere[[#This Row],[ohne Dämpfung]]=1,2,IF(Scharniere[[#This Row],[ohne Feder]]=1,3,0))),1,0)</f>
        <v>0</v>
      </c>
      <c r="S949" s="298">
        <f>IF(Scharniere[[#This Row],[Bohrbild]]=select!$A$755,1,0)</f>
        <v>0</v>
      </c>
      <c r="T949" s="298">
        <f>IF(IF(Scharniere[[#This Row],[Anschrauben]]=1,1,IF(Scharniere[[#This Row],[Einpressen]]=1,2,IF(Scharniere[[#This Row],[Quick]]=1,3,IF(Scharniere[[#This Row],[Werkzeuglos]]=1,4,0))))=select!$A$769,1,0)</f>
        <v>1</v>
      </c>
      <c r="U9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49" s="359">
        <f>IF(AND(Scharniere[[#This Row],[Scharnierart]]=4,Scharniere[[#This Row],[Gruppenschlüssel]]=select!$A$981)=TRUE,1,0)</f>
        <v>0</v>
      </c>
      <c r="W949" s="359">
        <f ca="1">IF(select!$O$1185&lt;6,1,0)</f>
        <v>1</v>
      </c>
      <c r="X949" s="359">
        <f>IF(select!$A$1012=IF(Scharniere[[#This Row],[mit Dämpfung]]=1,1,IF(Scharniere[[#This Row],[ohne Dämpfung]]=1,2,IF(Scharniere[[#This Row],[ohne Feder]]=1,3,0))),1,0)</f>
        <v>0</v>
      </c>
      <c r="Y949" s="359">
        <f>IF(Scharniere[[#This Row],[Bohrbild]]=select!$A$989,1,0)</f>
        <v>0</v>
      </c>
      <c r="Z949" s="359">
        <f>IF(IF(Scharniere[[#This Row],[Anschrauben]]=1,1,IF(Scharniere[[#This Row],[Einpressen]]=1,2,IF(Scharniere[[#This Row],[Quick]]=1,3,IF(Scharniere[[#This Row],[Werkzeuglos]]=1,4,0))))=select!$A$1003,1,0)</f>
        <v>1</v>
      </c>
      <c r="AA9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49" s="359">
        <f ca="1">IF(select!$K$980="*",Scharniere[[#This Row],[AG Ges2]],Scharniere[[#This Row],[AG Ges1]])</f>
        <v>0</v>
      </c>
      <c r="AE949" s="451">
        <f ca="1">IF(AND(Scharniere[[#This Row],[Scharnierart]]=select!$A$1485,Scharniere[[#This Row],[Gruppenschlüssel]]=select!$B$1485)=TRUE,1,0)</f>
        <v>0</v>
      </c>
      <c r="AF949" s="451">
        <f ca="1">IF(AND(Scharniere[[#This Row],[Scharnierart]]=select!$A$1486,Scharniere[[#This Row],[Gruppenschlüssel]]=select!$B$1486)=TRUE,1,0)</f>
        <v>0</v>
      </c>
      <c r="AG949" s="451">
        <f ca="1">IF(AND(Scharniere[[#This Row],[Scharnierart]]=select!$A$1487,Scharniere[[#This Row],[Gruppenschlüssel]]=select!$B$1487)=TRUE,1,0)</f>
        <v>0</v>
      </c>
      <c r="AH949" s="451">
        <f ca="1">IF(AND(Scharniere[[#This Row],[Scharnierart]]=select!$A$1488,Scharniere[[#This Row],[Gruppenschlüssel]]=select!$B$1488)=TRUE,1,0)</f>
        <v>0</v>
      </c>
      <c r="AI949" s="451">
        <f ca="1">IF(SUM(Scharniere[[#This Row],[konf Scharnier 1]:[konf Scharnier 4]])&gt;0,1,0)</f>
        <v>0</v>
      </c>
      <c r="AJ949" s="451"/>
      <c r="AK949" s="451"/>
      <c r="AL949" s="451"/>
      <c r="AM949" s="451"/>
      <c r="AN949" s="451"/>
      <c r="AO949" s="146">
        <v>2</v>
      </c>
      <c r="AP949" s="146">
        <v>8</v>
      </c>
      <c r="AQ949" s="71" t="str">
        <f ca="1">Sprache!$A$112</f>
        <v>Tiomos Scharnier TS Click-on</v>
      </c>
      <c r="AR949" t="str">
        <f ca="1">"110/45°, M-BB, "&amp;Sprache!$A$62&amp;" ni"</f>
        <v>110/45°, M-BB, einl. ni</v>
      </c>
      <c r="AS949" t="str">
        <f ca="1">Sprache!$A$103</f>
        <v>Tiomos Click-On Scharniere</v>
      </c>
      <c r="AT949" t="s">
        <v>1264</v>
      </c>
      <c r="AU949" t="s">
        <v>8</v>
      </c>
      <c r="AV949" t="s">
        <v>1489</v>
      </c>
      <c r="AW949" s="71">
        <v>1</v>
      </c>
      <c r="AX949">
        <v>0</v>
      </c>
      <c r="AY949">
        <v>0</v>
      </c>
      <c r="AZ949" s="71">
        <v>1</v>
      </c>
      <c r="BA949">
        <v>0</v>
      </c>
      <c r="BB949">
        <v>0</v>
      </c>
      <c r="BC949">
        <v>0</v>
      </c>
      <c r="BD949" s="144" t="s">
        <v>1518</v>
      </c>
      <c r="BF949" s="10"/>
      <c r="BG949"/>
    </row>
    <row r="950" spans="1:59" ht="14.25" customHeight="1" x14ac:dyDescent="0.25">
      <c r="A950" s="37" t="str">
        <f>LEFT(Scharniere[[#This Row],[ArtikelNR]],4)</f>
        <v>F045</v>
      </c>
      <c r="B950" s="35" t="str">
        <f>MID(Scharniere[[#This Row],[ArtikelNR]],5,3)</f>
        <v>138</v>
      </c>
      <c r="C950" s="37" t="str">
        <f>RIGHT(Scharniere[[#This Row],[ArtikelNR]],3)</f>
        <v>015</v>
      </c>
      <c r="D950" s="35">
        <f>IF(AND(Scharniere[[#This Row],[Gruppenschlüssel]]=select!$A$44,Scharniere[[#This Row],[Scharnierart]]=1)=TRUE,1,0)</f>
        <v>0</v>
      </c>
      <c r="E9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0" s="35">
        <f>IF(select!$F$57=IF(Scharniere[[#This Row],[mit Dämpfung]]=1,1,IF(Scharniere[[#This Row],[ohne Dämpfung]]=1,2,IF(Scharniere[[#This Row],[ohne Feder]]=1,3,0))),1,0)</f>
        <v>0</v>
      </c>
      <c r="G950" s="35">
        <f>IF(Scharniere[[#This Row],[Bohrbild]]=select!$V$43,1,0)</f>
        <v>1</v>
      </c>
      <c r="H950" s="35">
        <f>IF(IF(Scharniere[[#This Row],[Anschrauben]]=1,1,IF(Scharniere[[#This Row],[Einpressen]]=1,2,IF(Scharniere[[#This Row],[Quick]]=1,3,IF(Scharniere[[#This Row],[Werkzeuglos]]=1,4,0))))=select!$F$48,1,0)</f>
        <v>0</v>
      </c>
      <c r="I9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0" s="149">
        <f>IF(AND(Scharniere[[#This Row],[Scharnierart]]=2,Scharniere[[#This Row],[Gruppenschlüssel]]=select!$A$318)=TRUE,1,0)</f>
        <v>0</v>
      </c>
      <c r="K950" s="221">
        <f ca="1">IF(select!$O$424&lt;6,1,0)</f>
        <v>1</v>
      </c>
      <c r="L950" s="221">
        <f>IF(select!$A$362=IF(Scharniere[[#This Row],[mit Dämpfung]]=1,1,IF(Scharniere[[#This Row],[ohne Dämpfung]]=1,2,IF(Scharniere[[#This Row],[ohne Feder]]=1,3,0))),1,0)</f>
        <v>0</v>
      </c>
      <c r="M950" s="135">
        <f>IF(Scharniere[[#This Row],[Bohrbild]]=select!$O$334,1,0)</f>
        <v>1</v>
      </c>
      <c r="N950" s="135">
        <f>IF(IF(Scharniere[[#This Row],[Anschrauben]]=1,1,IF(Scharniere[[#This Row],[Einpressen]]=1,2,IF(Scharniere[[#This Row],[Quick]]=1,3,IF(Scharniere[[#This Row],[Werkzeuglos]]=1,4,0))))=select!$E$362,1,0)</f>
        <v>1</v>
      </c>
      <c r="O9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0" s="298">
        <f>IF(AND(Scharniere[[#This Row],[Scharnierart]]=3,Scharniere[[#This Row],[Gruppenschlüssel]]=select!$A$747)=TRUE,1,0)</f>
        <v>0</v>
      </c>
      <c r="Q950" s="298">
        <f ca="1">IF(select!$O$945&lt;6,1,0)</f>
        <v>1</v>
      </c>
      <c r="R950" s="298">
        <f>IF(select!$A$778=IF(Scharniere[[#This Row],[mit Dämpfung]]=1,1,IF(Scharniere[[#This Row],[ohne Dämpfung]]=1,2,IF(Scharniere[[#This Row],[ohne Feder]]=1,3,0))),1,0)</f>
        <v>1</v>
      </c>
      <c r="S950" s="298">
        <f>IF(Scharniere[[#This Row],[Bohrbild]]=select!$A$755,1,0)</f>
        <v>0</v>
      </c>
      <c r="T950" s="298">
        <f>IF(IF(Scharniere[[#This Row],[Anschrauben]]=1,1,IF(Scharniere[[#This Row],[Einpressen]]=1,2,IF(Scharniere[[#This Row],[Quick]]=1,3,IF(Scharniere[[#This Row],[Werkzeuglos]]=1,4,0))))=select!$A$769,1,0)</f>
        <v>1</v>
      </c>
      <c r="U9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0" s="359">
        <f>IF(AND(Scharniere[[#This Row],[Scharnierart]]=4,Scharniere[[#This Row],[Gruppenschlüssel]]=select!$A$981)=TRUE,1,0)</f>
        <v>0</v>
      </c>
      <c r="W950" s="359">
        <f ca="1">IF(select!$O$1185&lt;6,1,0)</f>
        <v>1</v>
      </c>
      <c r="X950" s="359">
        <f>IF(select!$A$1012=IF(Scharniere[[#This Row],[mit Dämpfung]]=1,1,IF(Scharniere[[#This Row],[ohne Dämpfung]]=1,2,IF(Scharniere[[#This Row],[ohne Feder]]=1,3,0))),1,0)</f>
        <v>1</v>
      </c>
      <c r="Y950" s="359">
        <f>IF(Scharniere[[#This Row],[Bohrbild]]=select!$A$989,1,0)</f>
        <v>0</v>
      </c>
      <c r="Z950" s="359">
        <f>IF(IF(Scharniere[[#This Row],[Anschrauben]]=1,1,IF(Scharniere[[#This Row],[Einpressen]]=1,2,IF(Scharniere[[#This Row],[Quick]]=1,3,IF(Scharniere[[#This Row],[Werkzeuglos]]=1,4,0))))=select!$A$1003,1,0)</f>
        <v>1</v>
      </c>
      <c r="AA9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0" s="359">
        <f ca="1">IF(select!$K$980="*",Scharniere[[#This Row],[AG Ges2]],Scharniere[[#This Row],[AG Ges1]])</f>
        <v>0</v>
      </c>
      <c r="AE950" s="451">
        <f ca="1">IF(AND(Scharniere[[#This Row],[Scharnierart]]=select!$A$1485,Scharniere[[#This Row],[Gruppenschlüssel]]=select!$B$1485)=TRUE,1,0)</f>
        <v>0</v>
      </c>
      <c r="AF950" s="451">
        <f ca="1">IF(AND(Scharniere[[#This Row],[Scharnierart]]=select!$A$1486,Scharniere[[#This Row],[Gruppenschlüssel]]=select!$B$1486)=TRUE,1,0)</f>
        <v>0</v>
      </c>
      <c r="AG950" s="451">
        <f ca="1">IF(AND(Scharniere[[#This Row],[Scharnierart]]=select!$A$1487,Scharniere[[#This Row],[Gruppenschlüssel]]=select!$B$1487)=TRUE,1,0)</f>
        <v>0</v>
      </c>
      <c r="AH950" s="451">
        <f ca="1">IF(AND(Scharniere[[#This Row],[Scharnierart]]=select!$A$1488,Scharniere[[#This Row],[Gruppenschlüssel]]=select!$B$1488)=TRUE,1,0)</f>
        <v>0</v>
      </c>
      <c r="AI950" s="451">
        <f ca="1">IF(SUM(Scharniere[[#This Row],[konf Scharnier 1]:[konf Scharnier 4]])&gt;0,1,0)</f>
        <v>0</v>
      </c>
      <c r="AJ950" s="451"/>
      <c r="AK950" s="451"/>
      <c r="AL950" s="451"/>
      <c r="AM950" s="451"/>
      <c r="AN950" s="451"/>
      <c r="AO950" s="146">
        <v>2</v>
      </c>
      <c r="AP950" s="146">
        <v>8</v>
      </c>
      <c r="AQ950" s="71" t="str">
        <f ca="1">Sprache!$A$118</f>
        <v>Tiomos Scharnier T Click-on</v>
      </c>
      <c r="AR950" t="str">
        <f ca="1">"110/45°, M-BB, "&amp;Sprache!$A$62&amp;" ni"</f>
        <v>110/45°, M-BB, einl. ni</v>
      </c>
      <c r="AS950" t="str">
        <f ca="1">Sprache!$A$103</f>
        <v>Tiomos Click-On Scharniere</v>
      </c>
      <c r="AT950" t="s">
        <v>1264</v>
      </c>
      <c r="AU950" t="s">
        <v>8</v>
      </c>
      <c r="AV950" t="s">
        <v>1489</v>
      </c>
      <c r="AW950" s="71">
        <v>0</v>
      </c>
      <c r="AX950">
        <v>1</v>
      </c>
      <c r="AY950">
        <v>0</v>
      </c>
      <c r="AZ950" s="71">
        <v>1</v>
      </c>
      <c r="BA950">
        <v>0</v>
      </c>
      <c r="BB950">
        <v>0</v>
      </c>
      <c r="BC950">
        <v>0</v>
      </c>
      <c r="BD950" s="144" t="s">
        <v>1620</v>
      </c>
      <c r="BF950" s="10"/>
      <c r="BG950"/>
    </row>
    <row r="951" spans="1:59" ht="14.25" customHeight="1" x14ac:dyDescent="0.25">
      <c r="A951" s="37" t="str">
        <f>LEFT(Scharniere[[#This Row],[ArtikelNR]],4)</f>
        <v>F046</v>
      </c>
      <c r="B951" s="35" t="str">
        <f>MID(Scharniere[[#This Row],[ArtikelNR]],5,3)</f>
        <v>138</v>
      </c>
      <c r="C951" s="37" t="str">
        <f>RIGHT(Scharniere[[#This Row],[ArtikelNR]],3)</f>
        <v>199</v>
      </c>
      <c r="D951" s="35">
        <f>IF(AND(Scharniere[[#This Row],[Gruppenschlüssel]]=select!$A$44,Scharniere[[#This Row],[Scharnierart]]=1)=TRUE,1,0)</f>
        <v>0</v>
      </c>
      <c r="E9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1" s="35">
        <f>IF(select!$F$57=IF(Scharniere[[#This Row],[mit Dämpfung]]=1,1,IF(Scharniere[[#This Row],[ohne Dämpfung]]=1,2,IF(Scharniere[[#This Row],[ohne Feder]]=1,3,0))),1,0)</f>
        <v>1</v>
      </c>
      <c r="G951" s="35">
        <f>IF(Scharniere[[#This Row],[Bohrbild]]=select!$V$43,1,0)</f>
        <v>1</v>
      </c>
      <c r="H951" s="35">
        <f>IF(IF(Scharniere[[#This Row],[Anschrauben]]=1,1,IF(Scharniere[[#This Row],[Einpressen]]=1,2,IF(Scharniere[[#This Row],[Quick]]=1,3,IF(Scharniere[[#This Row],[Werkzeuglos]]=1,4,0))))=select!$F$48,1,0)</f>
        <v>0</v>
      </c>
      <c r="I9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1" s="149">
        <f>IF(AND(Scharniere[[#This Row],[Scharnierart]]=2,Scharniere[[#This Row],[Gruppenschlüssel]]=select!$A$318)=TRUE,1,0)</f>
        <v>0</v>
      </c>
      <c r="K951" s="221">
        <f ca="1">IF(select!$O$424&lt;6,1,0)</f>
        <v>1</v>
      </c>
      <c r="L951" s="221">
        <f>IF(select!$A$362=IF(Scharniere[[#This Row],[mit Dämpfung]]=1,1,IF(Scharniere[[#This Row],[ohne Dämpfung]]=1,2,IF(Scharniere[[#This Row],[ohne Feder]]=1,3,0))),1,0)</f>
        <v>0</v>
      </c>
      <c r="M951" s="135">
        <f>IF(Scharniere[[#This Row],[Bohrbild]]=select!$O$334,1,0)</f>
        <v>1</v>
      </c>
      <c r="N951" s="135">
        <f>IF(IF(Scharniere[[#This Row],[Anschrauben]]=1,1,IF(Scharniere[[#This Row],[Einpressen]]=1,2,IF(Scharniere[[#This Row],[Quick]]=1,3,IF(Scharniere[[#This Row],[Werkzeuglos]]=1,4,0))))=select!$E$362,1,0)</f>
        <v>1</v>
      </c>
      <c r="O9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1" s="298">
        <f>IF(AND(Scharniere[[#This Row],[Scharnierart]]=3,Scharniere[[#This Row],[Gruppenschlüssel]]=select!$A$747)=TRUE,1,0)</f>
        <v>0</v>
      </c>
      <c r="Q951" s="298">
        <f ca="1">IF(select!$O$945&lt;6,1,0)</f>
        <v>1</v>
      </c>
      <c r="R951" s="298">
        <f>IF(select!$A$778=IF(Scharniere[[#This Row],[mit Dämpfung]]=1,1,IF(Scharniere[[#This Row],[ohne Dämpfung]]=1,2,IF(Scharniere[[#This Row],[ohne Feder]]=1,3,0))),1,0)</f>
        <v>0</v>
      </c>
      <c r="S951" s="298">
        <f>IF(Scharniere[[#This Row],[Bohrbild]]=select!$A$755,1,0)</f>
        <v>0</v>
      </c>
      <c r="T951" s="298">
        <f>IF(IF(Scharniere[[#This Row],[Anschrauben]]=1,1,IF(Scharniere[[#This Row],[Einpressen]]=1,2,IF(Scharniere[[#This Row],[Quick]]=1,3,IF(Scharniere[[#This Row],[Werkzeuglos]]=1,4,0))))=select!$A$769,1,0)</f>
        <v>1</v>
      </c>
      <c r="U9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1" s="359">
        <f>IF(AND(Scharniere[[#This Row],[Scharnierart]]=4,Scharniere[[#This Row],[Gruppenschlüssel]]=select!$A$981)=TRUE,1,0)</f>
        <v>0</v>
      </c>
      <c r="W951" s="359">
        <f ca="1">IF(select!$O$1185&lt;6,1,0)</f>
        <v>1</v>
      </c>
      <c r="X951" s="359">
        <f>IF(select!$A$1012=IF(Scharniere[[#This Row],[mit Dämpfung]]=1,1,IF(Scharniere[[#This Row],[ohne Dämpfung]]=1,2,IF(Scharniere[[#This Row],[ohne Feder]]=1,3,0))),1,0)</f>
        <v>0</v>
      </c>
      <c r="Y951" s="359">
        <f>IF(Scharniere[[#This Row],[Bohrbild]]=select!$A$989,1,0)</f>
        <v>0</v>
      </c>
      <c r="Z951" s="359">
        <f>IF(IF(Scharniere[[#This Row],[Anschrauben]]=1,1,IF(Scharniere[[#This Row],[Einpressen]]=1,2,IF(Scharniere[[#This Row],[Quick]]=1,3,IF(Scharniere[[#This Row],[Werkzeuglos]]=1,4,0))))=select!$A$1003,1,0)</f>
        <v>1</v>
      </c>
      <c r="AA9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1" s="359">
        <f ca="1">IF(select!$K$980="*",Scharniere[[#This Row],[AG Ges2]],Scharniere[[#This Row],[AG Ges1]])</f>
        <v>0</v>
      </c>
      <c r="AE951" s="451">
        <f ca="1">IF(AND(Scharniere[[#This Row],[Scharnierart]]=select!$A$1485,Scharniere[[#This Row],[Gruppenschlüssel]]=select!$B$1485)=TRUE,1,0)</f>
        <v>0</v>
      </c>
      <c r="AF951" s="451">
        <f ca="1">IF(AND(Scharniere[[#This Row],[Scharnierart]]=select!$A$1486,Scharniere[[#This Row],[Gruppenschlüssel]]=select!$B$1486)=TRUE,1,0)</f>
        <v>0</v>
      </c>
      <c r="AG951" s="451">
        <f ca="1">IF(AND(Scharniere[[#This Row],[Scharnierart]]=select!$A$1487,Scharniere[[#This Row],[Gruppenschlüssel]]=select!$B$1487)=TRUE,1,0)</f>
        <v>0</v>
      </c>
      <c r="AH951" s="451">
        <f ca="1">IF(AND(Scharniere[[#This Row],[Scharnierart]]=select!$A$1488,Scharniere[[#This Row],[Gruppenschlüssel]]=select!$B$1488)=TRUE,1,0)</f>
        <v>0</v>
      </c>
      <c r="AI951" s="451">
        <f ca="1">IF(SUM(Scharniere[[#This Row],[konf Scharnier 1]:[konf Scharnier 4]])&gt;0,1,0)</f>
        <v>0</v>
      </c>
      <c r="AJ951" s="451"/>
      <c r="AK951" s="451"/>
      <c r="AL951" s="451"/>
      <c r="AM951" s="451"/>
      <c r="AN951" s="451"/>
      <c r="AO951" s="146">
        <v>2</v>
      </c>
      <c r="AP951" s="146">
        <v>8</v>
      </c>
      <c r="AQ951" s="71" t="str">
        <f ca="1">Sprache!$A$114</f>
        <v>Tiomos Scharnier TT Click-on</v>
      </c>
      <c r="AR951" t="str">
        <f ca="1">"110/45°, M-BB, "&amp;Sprache!$A$62&amp;" ni"</f>
        <v>110/45°, M-BB, einl. ni</v>
      </c>
      <c r="AS951" t="str">
        <f ca="1">Sprache!$A$103</f>
        <v>Tiomos Click-On Scharniere</v>
      </c>
      <c r="AT951" t="s">
        <v>1264</v>
      </c>
      <c r="AU951" t="s">
        <v>8</v>
      </c>
      <c r="AV951" t="s">
        <v>1489</v>
      </c>
      <c r="AW951" s="71">
        <v>0</v>
      </c>
      <c r="AX951">
        <v>0</v>
      </c>
      <c r="AY951">
        <v>1</v>
      </c>
      <c r="AZ951" s="71">
        <v>1</v>
      </c>
      <c r="BA951">
        <v>0</v>
      </c>
      <c r="BB951">
        <v>0</v>
      </c>
      <c r="BC951">
        <v>0</v>
      </c>
      <c r="BD951" s="144" t="s">
        <v>1705</v>
      </c>
      <c r="BF951" s="10"/>
      <c r="BG951"/>
    </row>
    <row r="952" spans="1:59" ht="14.25" customHeight="1" x14ac:dyDescent="0.25">
      <c r="A952" s="37" t="str">
        <f>LEFT(Scharniere[[#This Row],[ArtikelNR]],4)</f>
        <v>F017</v>
      </c>
      <c r="B952" s="35" t="str">
        <f>MID(Scharniere[[#This Row],[ArtikelNR]],5,3)</f>
        <v>139</v>
      </c>
      <c r="C952" s="37" t="str">
        <f>RIGHT(Scharniere[[#This Row],[ArtikelNR]],3)</f>
        <v>340</v>
      </c>
      <c r="D952" s="35">
        <f>IF(AND(Scharniere[[#This Row],[Gruppenschlüssel]]=select!$A$44,Scharniere[[#This Row],[Scharnierart]]=1)=TRUE,1,0)</f>
        <v>0</v>
      </c>
      <c r="E9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2" s="35">
        <f>IF(select!$F$57=IF(Scharniere[[#This Row],[mit Dämpfung]]=1,1,IF(Scharniere[[#This Row],[ohne Dämpfung]]=1,2,IF(Scharniere[[#This Row],[ohne Feder]]=1,3,0))),1,0)</f>
        <v>0</v>
      </c>
      <c r="G952" s="35">
        <f>IF(Scharniere[[#This Row],[Bohrbild]]=select!$V$43,1,0)</f>
        <v>1</v>
      </c>
      <c r="H952" s="35">
        <f>IF(IF(Scharniere[[#This Row],[Anschrauben]]=1,1,IF(Scharniere[[#This Row],[Einpressen]]=1,2,IF(Scharniere[[#This Row],[Quick]]=1,3,IF(Scharniere[[#This Row],[Werkzeuglos]]=1,4,0))))=select!$F$48,1,0)</f>
        <v>0</v>
      </c>
      <c r="I9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2" s="149">
        <f>IF(AND(Scharniere[[#This Row],[Scharnierart]]=2,Scharniere[[#This Row],[Gruppenschlüssel]]=select!$A$318)=TRUE,1,0)</f>
        <v>0</v>
      </c>
      <c r="K952" s="221">
        <f ca="1">IF(select!$O$424&lt;6,1,0)</f>
        <v>1</v>
      </c>
      <c r="L952" s="221">
        <f>IF(select!$A$362=IF(Scharniere[[#This Row],[mit Dämpfung]]=1,1,IF(Scharniere[[#This Row],[ohne Dämpfung]]=1,2,IF(Scharniere[[#This Row],[ohne Feder]]=1,3,0))),1,0)</f>
        <v>1</v>
      </c>
      <c r="M952" s="135">
        <f>IF(Scharniere[[#This Row],[Bohrbild]]=select!$O$334,1,0)</f>
        <v>1</v>
      </c>
      <c r="N952" s="135">
        <f>IF(IF(Scharniere[[#This Row],[Anschrauben]]=1,1,IF(Scharniere[[#This Row],[Einpressen]]=1,2,IF(Scharniere[[#This Row],[Quick]]=1,3,IF(Scharniere[[#This Row],[Werkzeuglos]]=1,4,0))))=select!$E$362,1,0)</f>
        <v>0</v>
      </c>
      <c r="O9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2" s="298">
        <f>IF(AND(Scharniere[[#This Row],[Scharnierart]]=3,Scharniere[[#This Row],[Gruppenschlüssel]]=select!$A$747)=TRUE,1,0)</f>
        <v>0</v>
      </c>
      <c r="Q952" s="298">
        <f ca="1">IF(select!$O$945&lt;6,1,0)</f>
        <v>1</v>
      </c>
      <c r="R952" s="298">
        <f>IF(select!$A$778=IF(Scharniere[[#This Row],[mit Dämpfung]]=1,1,IF(Scharniere[[#This Row],[ohne Dämpfung]]=1,2,IF(Scharniere[[#This Row],[ohne Feder]]=1,3,0))),1,0)</f>
        <v>0</v>
      </c>
      <c r="S952" s="298">
        <f>IF(Scharniere[[#This Row],[Bohrbild]]=select!$A$755,1,0)</f>
        <v>0</v>
      </c>
      <c r="T952" s="298">
        <f>IF(IF(Scharniere[[#This Row],[Anschrauben]]=1,1,IF(Scharniere[[#This Row],[Einpressen]]=1,2,IF(Scharniere[[#This Row],[Quick]]=1,3,IF(Scharniere[[#This Row],[Werkzeuglos]]=1,4,0))))=select!$A$769,1,0)</f>
        <v>0</v>
      </c>
      <c r="U9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2" s="359">
        <f>IF(AND(Scharniere[[#This Row],[Scharnierart]]=4,Scharniere[[#This Row],[Gruppenschlüssel]]=select!$A$981)=TRUE,1,0)</f>
        <v>0</v>
      </c>
      <c r="W952" s="359">
        <f ca="1">IF(select!$O$1185&lt;6,1,0)</f>
        <v>1</v>
      </c>
      <c r="X952" s="359">
        <f>IF(select!$A$1012=IF(Scharniere[[#This Row],[mit Dämpfung]]=1,1,IF(Scharniere[[#This Row],[ohne Dämpfung]]=1,2,IF(Scharniere[[#This Row],[ohne Feder]]=1,3,0))),1,0)</f>
        <v>0</v>
      </c>
      <c r="Y952" s="359">
        <f>IF(Scharniere[[#This Row],[Bohrbild]]=select!$A$989,1,0)</f>
        <v>0</v>
      </c>
      <c r="Z952" s="359">
        <f>IF(IF(Scharniere[[#This Row],[Anschrauben]]=1,1,IF(Scharniere[[#This Row],[Einpressen]]=1,2,IF(Scharniere[[#This Row],[Quick]]=1,3,IF(Scharniere[[#This Row],[Werkzeuglos]]=1,4,0))))=select!$A$1003,1,0)</f>
        <v>0</v>
      </c>
      <c r="AA9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2" s="359">
        <f ca="1">IF(select!$K$980="*",Scharniere[[#This Row],[AG Ges2]],Scharniere[[#This Row],[AG Ges1]])</f>
        <v>0</v>
      </c>
      <c r="AE952" s="451">
        <f ca="1">IF(AND(Scharniere[[#This Row],[Scharnierart]]=select!$A$1485,Scharniere[[#This Row],[Gruppenschlüssel]]=select!$B$1485)=TRUE,1,0)</f>
        <v>0</v>
      </c>
      <c r="AF952" s="451">
        <f ca="1">IF(AND(Scharniere[[#This Row],[Scharnierart]]=select!$A$1486,Scharniere[[#This Row],[Gruppenschlüssel]]=select!$B$1486)=TRUE,1,0)</f>
        <v>0</v>
      </c>
      <c r="AG952" s="451">
        <f ca="1">IF(AND(Scharniere[[#This Row],[Scharnierart]]=select!$A$1487,Scharniere[[#This Row],[Gruppenschlüssel]]=select!$B$1487)=TRUE,1,0)</f>
        <v>0</v>
      </c>
      <c r="AH952" s="451">
        <f ca="1">IF(AND(Scharniere[[#This Row],[Scharnierart]]=select!$A$1488,Scharniere[[#This Row],[Gruppenschlüssel]]=select!$B$1488)=TRUE,1,0)</f>
        <v>0</v>
      </c>
      <c r="AI952" s="451">
        <f ca="1">IF(SUM(Scharniere[[#This Row],[konf Scharnier 1]:[konf Scharnier 4]])&gt;0,1,0)</f>
        <v>0</v>
      </c>
      <c r="AJ952" s="451"/>
      <c r="AK952" s="451"/>
      <c r="AL952" s="451"/>
      <c r="AM952" s="451"/>
      <c r="AN952" s="451"/>
      <c r="AO952" s="146">
        <v>2</v>
      </c>
      <c r="AP952" s="146">
        <v>8</v>
      </c>
      <c r="AQ952" s="71" t="str">
        <f ca="1">Sprache!$A$113</f>
        <v>Tiomos Scharnier TS Impresso</v>
      </c>
      <c r="AR952" t="str">
        <f ca="1">"110/45°, MB-BB, "&amp;Sprache!$A$62&amp;" ni"</f>
        <v>110/45°, MB-BB, einl. ni</v>
      </c>
      <c r="AS952" t="str">
        <f ca="1">Sprache!$A$116</f>
        <v>Tiomos Impresso Scharniere</v>
      </c>
      <c r="AT952" t="s">
        <v>1264</v>
      </c>
      <c r="AU952" t="s">
        <v>8</v>
      </c>
      <c r="AV952" t="s">
        <v>1489</v>
      </c>
      <c r="AW952" s="71">
        <v>1</v>
      </c>
      <c r="AX952">
        <v>0</v>
      </c>
      <c r="AY952">
        <v>0</v>
      </c>
      <c r="AZ952" s="71">
        <v>0</v>
      </c>
      <c r="BA952">
        <v>0</v>
      </c>
      <c r="BB952">
        <v>0</v>
      </c>
      <c r="BC952">
        <v>1</v>
      </c>
      <c r="BD952" s="144" t="s">
        <v>1495</v>
      </c>
      <c r="BF952" s="10"/>
      <c r="BG952"/>
    </row>
    <row r="953" spans="1:59" ht="14.25" customHeight="1" x14ac:dyDescent="0.25">
      <c r="A953" s="37" t="str">
        <f>LEFT(Scharniere[[#This Row],[ArtikelNR]],4)</f>
        <v>F017</v>
      </c>
      <c r="B953" s="35" t="str">
        <f>MID(Scharniere[[#This Row],[ArtikelNR]],5,3)</f>
        <v>139</v>
      </c>
      <c r="C953" s="37" t="str">
        <f>RIGHT(Scharniere[[#This Row],[ArtikelNR]],3)</f>
        <v>340</v>
      </c>
      <c r="D953" s="35">
        <f>IF(AND(Scharniere[[#This Row],[Gruppenschlüssel]]=select!$A$44,Scharniere[[#This Row],[Scharnierart]]=1)=TRUE,1,0)</f>
        <v>0</v>
      </c>
      <c r="E9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3" s="35">
        <f>IF(select!$F$57=IF(Scharniere[[#This Row],[mit Dämpfung]]=1,1,IF(Scharniere[[#This Row],[ohne Dämpfung]]=1,2,IF(Scharniere[[#This Row],[ohne Feder]]=1,3,0))),1,0)</f>
        <v>0</v>
      </c>
      <c r="G953" s="35">
        <f>IF(Scharniere[[#This Row],[Bohrbild]]=select!$V$43,1,0)</f>
        <v>0</v>
      </c>
      <c r="H953" s="35">
        <f>IF(IF(Scharniere[[#This Row],[Anschrauben]]=1,1,IF(Scharniere[[#This Row],[Einpressen]]=1,2,IF(Scharniere[[#This Row],[Quick]]=1,3,IF(Scharniere[[#This Row],[Werkzeuglos]]=1,4,0))))=select!$F$48,1,0)</f>
        <v>0</v>
      </c>
      <c r="I9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3" s="149">
        <f>IF(AND(Scharniere[[#This Row],[Scharnierart]]=2,Scharniere[[#This Row],[Gruppenschlüssel]]=select!$A$318)=TRUE,1,0)</f>
        <v>0</v>
      </c>
      <c r="K953" s="221">
        <f ca="1">IF(select!$O$424&lt;6,1,0)</f>
        <v>1</v>
      </c>
      <c r="L953" s="221">
        <f>IF(select!$A$362=IF(Scharniere[[#This Row],[mit Dämpfung]]=1,1,IF(Scharniere[[#This Row],[ohne Dämpfung]]=1,2,IF(Scharniere[[#This Row],[ohne Feder]]=1,3,0))),1,0)</f>
        <v>1</v>
      </c>
      <c r="M953" s="135">
        <f>IF(Scharniere[[#This Row],[Bohrbild]]=select!$O$334,1,0)</f>
        <v>0</v>
      </c>
      <c r="N953" s="135">
        <f>IF(IF(Scharniere[[#This Row],[Anschrauben]]=1,1,IF(Scharniere[[#This Row],[Einpressen]]=1,2,IF(Scharniere[[#This Row],[Quick]]=1,3,IF(Scharniere[[#This Row],[Werkzeuglos]]=1,4,0))))=select!$E$362,1,0)</f>
        <v>0</v>
      </c>
      <c r="O9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3" s="298">
        <f>IF(AND(Scharniere[[#This Row],[Scharnierart]]=3,Scharniere[[#This Row],[Gruppenschlüssel]]=select!$A$747)=TRUE,1,0)</f>
        <v>0</v>
      </c>
      <c r="Q953" s="298">
        <f ca="1">IF(select!$O$945&lt;6,1,0)</f>
        <v>1</v>
      </c>
      <c r="R953" s="298">
        <f>IF(select!$A$778=IF(Scharniere[[#This Row],[mit Dämpfung]]=1,1,IF(Scharniere[[#This Row],[ohne Dämpfung]]=1,2,IF(Scharniere[[#This Row],[ohne Feder]]=1,3,0))),1,0)</f>
        <v>0</v>
      </c>
      <c r="S953" s="298">
        <f>IF(Scharniere[[#This Row],[Bohrbild]]=select!$A$755,1,0)</f>
        <v>0</v>
      </c>
      <c r="T953" s="298">
        <f>IF(IF(Scharniere[[#This Row],[Anschrauben]]=1,1,IF(Scharniere[[#This Row],[Einpressen]]=1,2,IF(Scharniere[[#This Row],[Quick]]=1,3,IF(Scharniere[[#This Row],[Werkzeuglos]]=1,4,0))))=select!$A$769,1,0)</f>
        <v>0</v>
      </c>
      <c r="U9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3" s="359">
        <f>IF(AND(Scharniere[[#This Row],[Scharnierart]]=4,Scharniere[[#This Row],[Gruppenschlüssel]]=select!$A$981)=TRUE,1,0)</f>
        <v>0</v>
      </c>
      <c r="W953" s="359">
        <f ca="1">IF(select!$O$1185&lt;6,1,0)</f>
        <v>1</v>
      </c>
      <c r="X953" s="359">
        <f>IF(select!$A$1012=IF(Scharniere[[#This Row],[mit Dämpfung]]=1,1,IF(Scharniere[[#This Row],[ohne Dämpfung]]=1,2,IF(Scharniere[[#This Row],[ohne Feder]]=1,3,0))),1,0)</f>
        <v>0</v>
      </c>
      <c r="Y953" s="359">
        <f>IF(Scharniere[[#This Row],[Bohrbild]]=select!$A$989,1,0)</f>
        <v>0</v>
      </c>
      <c r="Z953" s="359">
        <f>IF(IF(Scharniere[[#This Row],[Anschrauben]]=1,1,IF(Scharniere[[#This Row],[Einpressen]]=1,2,IF(Scharniere[[#This Row],[Quick]]=1,3,IF(Scharniere[[#This Row],[Werkzeuglos]]=1,4,0))))=select!$A$1003,1,0)</f>
        <v>0</v>
      </c>
      <c r="AA9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3" s="359">
        <f ca="1">IF(select!$K$980="*",Scharniere[[#This Row],[AG Ges2]],Scharniere[[#This Row],[AG Ges1]])</f>
        <v>0</v>
      </c>
      <c r="AE953" s="451">
        <f ca="1">IF(AND(Scharniere[[#This Row],[Scharnierart]]=select!$A$1485,Scharniere[[#This Row],[Gruppenschlüssel]]=select!$B$1485)=TRUE,1,0)</f>
        <v>0</v>
      </c>
      <c r="AF953" s="451">
        <f ca="1">IF(AND(Scharniere[[#This Row],[Scharnierart]]=select!$A$1486,Scharniere[[#This Row],[Gruppenschlüssel]]=select!$B$1486)=TRUE,1,0)</f>
        <v>0</v>
      </c>
      <c r="AG953" s="451">
        <f ca="1">IF(AND(Scharniere[[#This Row],[Scharnierart]]=select!$A$1487,Scharniere[[#This Row],[Gruppenschlüssel]]=select!$B$1487)=TRUE,1,0)</f>
        <v>0</v>
      </c>
      <c r="AH953" s="451">
        <f ca="1">IF(AND(Scharniere[[#This Row],[Scharnierart]]=select!$A$1488,Scharniere[[#This Row],[Gruppenschlüssel]]=select!$B$1488)=TRUE,1,0)</f>
        <v>0</v>
      </c>
      <c r="AI953" s="451">
        <f ca="1">IF(SUM(Scharniere[[#This Row],[konf Scharnier 1]:[konf Scharnier 4]])&gt;0,1,0)</f>
        <v>0</v>
      </c>
      <c r="AJ953" s="451"/>
      <c r="AK953" s="451"/>
      <c r="AL953" s="451"/>
      <c r="AM953" s="451"/>
      <c r="AN953" s="451"/>
      <c r="AO953" s="146">
        <v>2</v>
      </c>
      <c r="AP953" s="146">
        <v>8</v>
      </c>
      <c r="AQ953" s="71" t="str">
        <f ca="1">Sprache!$A$113</f>
        <v>Tiomos Scharnier TS Impresso</v>
      </c>
      <c r="AR953" t="str">
        <f ca="1">"110/45°, MB-BB, "&amp;Sprache!$A$62&amp;" ni"</f>
        <v>110/45°, MB-BB, einl. ni</v>
      </c>
      <c r="AS953" t="str">
        <f ca="1">Sprache!$A$116</f>
        <v>Tiomos Impresso Scharniere</v>
      </c>
      <c r="AT953" t="s">
        <v>1264</v>
      </c>
      <c r="AU953" t="s">
        <v>3</v>
      </c>
      <c r="AV953" t="s">
        <v>1489</v>
      </c>
      <c r="AW953" s="71">
        <v>1</v>
      </c>
      <c r="AX953">
        <v>0</v>
      </c>
      <c r="AY953">
        <v>0</v>
      </c>
      <c r="AZ953" s="71">
        <v>0</v>
      </c>
      <c r="BA953">
        <v>0</v>
      </c>
      <c r="BB953">
        <v>0</v>
      </c>
      <c r="BC953">
        <v>1</v>
      </c>
      <c r="BD953" s="144" t="s">
        <v>1495</v>
      </c>
      <c r="BF953" s="10"/>
      <c r="BG953"/>
    </row>
    <row r="954" spans="1:59" ht="14.25" customHeight="1" x14ac:dyDescent="0.25">
      <c r="A954" s="37" t="str">
        <f>LEFT(Scharniere[[#This Row],[ArtikelNR]],4)</f>
        <v>F034</v>
      </c>
      <c r="B954" s="35" t="str">
        <f>MID(Scharniere[[#This Row],[ArtikelNR]],5,3)</f>
        <v>139</v>
      </c>
      <c r="C954" s="37" t="str">
        <f>RIGHT(Scharniere[[#This Row],[ArtikelNR]],3)</f>
        <v>311</v>
      </c>
      <c r="D954" s="35">
        <f>IF(AND(Scharniere[[#This Row],[Gruppenschlüssel]]=select!$A$44,Scharniere[[#This Row],[Scharnierart]]=1)=TRUE,1,0)</f>
        <v>0</v>
      </c>
      <c r="E9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4" s="35">
        <f>IF(select!$F$57=IF(Scharniere[[#This Row],[mit Dämpfung]]=1,1,IF(Scharniere[[#This Row],[ohne Dämpfung]]=1,2,IF(Scharniere[[#This Row],[ohne Feder]]=1,3,0))),1,0)</f>
        <v>0</v>
      </c>
      <c r="G954" s="35">
        <f>IF(Scharniere[[#This Row],[Bohrbild]]=select!$V$43,1,0)</f>
        <v>1</v>
      </c>
      <c r="H954" s="35">
        <f>IF(IF(Scharniere[[#This Row],[Anschrauben]]=1,1,IF(Scharniere[[#This Row],[Einpressen]]=1,2,IF(Scharniere[[#This Row],[Quick]]=1,3,IF(Scharniere[[#This Row],[Werkzeuglos]]=1,4,0))))=select!$F$48,1,0)</f>
        <v>0</v>
      </c>
      <c r="I9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4" s="149">
        <f>IF(AND(Scharniere[[#This Row],[Scharnierart]]=2,Scharniere[[#This Row],[Gruppenschlüssel]]=select!$A$318)=TRUE,1,0)</f>
        <v>0</v>
      </c>
      <c r="K954" s="221">
        <f ca="1">IF(select!$O$424&lt;6,1,0)</f>
        <v>1</v>
      </c>
      <c r="L954" s="221">
        <f>IF(select!$A$362=IF(Scharniere[[#This Row],[mit Dämpfung]]=1,1,IF(Scharniere[[#This Row],[ohne Dämpfung]]=1,2,IF(Scharniere[[#This Row],[ohne Feder]]=1,3,0))),1,0)</f>
        <v>0</v>
      </c>
      <c r="M954" s="135">
        <f>IF(Scharniere[[#This Row],[Bohrbild]]=select!$O$334,1,0)</f>
        <v>1</v>
      </c>
      <c r="N954" s="135">
        <f>IF(IF(Scharniere[[#This Row],[Anschrauben]]=1,1,IF(Scharniere[[#This Row],[Einpressen]]=1,2,IF(Scharniere[[#This Row],[Quick]]=1,3,IF(Scharniere[[#This Row],[Werkzeuglos]]=1,4,0))))=select!$E$362,1,0)</f>
        <v>0</v>
      </c>
      <c r="O9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4" s="298">
        <f>IF(AND(Scharniere[[#This Row],[Scharnierart]]=3,Scharniere[[#This Row],[Gruppenschlüssel]]=select!$A$747)=TRUE,1,0)</f>
        <v>0</v>
      </c>
      <c r="Q954" s="298">
        <f ca="1">IF(select!$O$945&lt;6,1,0)</f>
        <v>1</v>
      </c>
      <c r="R954" s="298">
        <f>IF(select!$A$778=IF(Scharniere[[#This Row],[mit Dämpfung]]=1,1,IF(Scharniere[[#This Row],[ohne Dämpfung]]=1,2,IF(Scharniere[[#This Row],[ohne Feder]]=1,3,0))),1,0)</f>
        <v>1</v>
      </c>
      <c r="S954" s="298">
        <f>IF(Scharniere[[#This Row],[Bohrbild]]=select!$A$755,1,0)</f>
        <v>0</v>
      </c>
      <c r="T954" s="298">
        <f>IF(IF(Scharniere[[#This Row],[Anschrauben]]=1,1,IF(Scharniere[[#This Row],[Einpressen]]=1,2,IF(Scharniere[[#This Row],[Quick]]=1,3,IF(Scharniere[[#This Row],[Werkzeuglos]]=1,4,0))))=select!$A$769,1,0)</f>
        <v>0</v>
      </c>
      <c r="U9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4" s="359">
        <f>IF(AND(Scharniere[[#This Row],[Scharnierart]]=4,Scharniere[[#This Row],[Gruppenschlüssel]]=select!$A$981)=TRUE,1,0)</f>
        <v>0</v>
      </c>
      <c r="W954" s="359">
        <f ca="1">IF(select!$O$1185&lt;6,1,0)</f>
        <v>1</v>
      </c>
      <c r="X954" s="359">
        <f>IF(select!$A$1012=IF(Scharniere[[#This Row],[mit Dämpfung]]=1,1,IF(Scharniere[[#This Row],[ohne Dämpfung]]=1,2,IF(Scharniere[[#This Row],[ohne Feder]]=1,3,0))),1,0)</f>
        <v>1</v>
      </c>
      <c r="Y954" s="359">
        <f>IF(Scharniere[[#This Row],[Bohrbild]]=select!$A$989,1,0)</f>
        <v>0</v>
      </c>
      <c r="Z954" s="359">
        <f>IF(IF(Scharniere[[#This Row],[Anschrauben]]=1,1,IF(Scharniere[[#This Row],[Einpressen]]=1,2,IF(Scharniere[[#This Row],[Quick]]=1,3,IF(Scharniere[[#This Row],[Werkzeuglos]]=1,4,0))))=select!$A$1003,1,0)</f>
        <v>0</v>
      </c>
      <c r="AA9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4" s="359">
        <f ca="1">IF(select!$K$980="*",Scharniere[[#This Row],[AG Ges2]],Scharniere[[#This Row],[AG Ges1]])</f>
        <v>0</v>
      </c>
      <c r="AE954" s="451">
        <f ca="1">IF(AND(Scharniere[[#This Row],[Scharnierart]]=select!$A$1485,Scharniere[[#This Row],[Gruppenschlüssel]]=select!$B$1485)=TRUE,1,0)</f>
        <v>0</v>
      </c>
      <c r="AF954" s="451">
        <f ca="1">IF(AND(Scharniere[[#This Row],[Scharnierart]]=select!$A$1486,Scharniere[[#This Row],[Gruppenschlüssel]]=select!$B$1486)=TRUE,1,0)</f>
        <v>0</v>
      </c>
      <c r="AG954" s="451">
        <f ca="1">IF(AND(Scharniere[[#This Row],[Scharnierart]]=select!$A$1487,Scharniere[[#This Row],[Gruppenschlüssel]]=select!$B$1487)=TRUE,1,0)</f>
        <v>0</v>
      </c>
      <c r="AH954" s="451">
        <f ca="1">IF(AND(Scharniere[[#This Row],[Scharnierart]]=select!$A$1488,Scharniere[[#This Row],[Gruppenschlüssel]]=select!$B$1488)=TRUE,1,0)</f>
        <v>0</v>
      </c>
      <c r="AI954" s="451">
        <f ca="1">IF(SUM(Scharniere[[#This Row],[konf Scharnier 1]:[konf Scharnier 4]])&gt;0,1,0)</f>
        <v>0</v>
      </c>
      <c r="AJ954" s="451"/>
      <c r="AK954" s="451"/>
      <c r="AL954" s="451"/>
      <c r="AM954" s="451"/>
      <c r="AN954" s="451"/>
      <c r="AO954" s="146">
        <v>2</v>
      </c>
      <c r="AP954" s="146">
        <v>8</v>
      </c>
      <c r="AQ954" s="71" t="str">
        <f ca="1">Sprache!$A$119</f>
        <v>Tiomos Scharnier T Impresso</v>
      </c>
      <c r="AR954" t="str">
        <f ca="1">"110/45°, MB-BB, "&amp;Sprache!$A$62&amp;" ni"</f>
        <v>110/45°, MB-BB, einl. ni</v>
      </c>
      <c r="AS954" t="str">
        <f ca="1">Sprache!$A$103</f>
        <v>Tiomos Click-On Scharniere</v>
      </c>
      <c r="AT954" t="s">
        <v>1264</v>
      </c>
      <c r="AU954" t="s">
        <v>8</v>
      </c>
      <c r="AV954" t="s">
        <v>1489</v>
      </c>
      <c r="AW954" s="71">
        <v>0</v>
      </c>
      <c r="AX954">
        <v>1</v>
      </c>
      <c r="AY954">
        <v>0</v>
      </c>
      <c r="AZ954" s="71">
        <v>0</v>
      </c>
      <c r="BA954">
        <v>0</v>
      </c>
      <c r="BB954">
        <v>0</v>
      </c>
      <c r="BC954">
        <v>1</v>
      </c>
      <c r="BD954" s="144" t="s">
        <v>1605</v>
      </c>
      <c r="BF954" s="10"/>
      <c r="BG954"/>
    </row>
    <row r="955" spans="1:59" ht="14.25" customHeight="1" x14ac:dyDescent="0.25">
      <c r="A955" s="37" t="str">
        <f>LEFT(Scharniere[[#This Row],[ArtikelNR]],4)</f>
        <v>F034</v>
      </c>
      <c r="B955" s="35" t="str">
        <f>MID(Scharniere[[#This Row],[ArtikelNR]],5,3)</f>
        <v>139</v>
      </c>
      <c r="C955" s="37" t="str">
        <f>RIGHT(Scharniere[[#This Row],[ArtikelNR]],3)</f>
        <v>311</v>
      </c>
      <c r="D955" s="35">
        <f>IF(AND(Scharniere[[#This Row],[Gruppenschlüssel]]=select!$A$44,Scharniere[[#This Row],[Scharnierart]]=1)=TRUE,1,0)</f>
        <v>0</v>
      </c>
      <c r="E9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5" s="35">
        <f>IF(select!$F$57=IF(Scharniere[[#This Row],[mit Dämpfung]]=1,1,IF(Scharniere[[#This Row],[ohne Dämpfung]]=1,2,IF(Scharniere[[#This Row],[ohne Feder]]=1,3,0))),1,0)</f>
        <v>0</v>
      </c>
      <c r="G955" s="35">
        <f>IF(Scharniere[[#This Row],[Bohrbild]]=select!$V$43,1,0)</f>
        <v>0</v>
      </c>
      <c r="H955" s="35">
        <f>IF(IF(Scharniere[[#This Row],[Anschrauben]]=1,1,IF(Scharniere[[#This Row],[Einpressen]]=1,2,IF(Scharniere[[#This Row],[Quick]]=1,3,IF(Scharniere[[#This Row],[Werkzeuglos]]=1,4,0))))=select!$F$48,1,0)</f>
        <v>0</v>
      </c>
      <c r="I9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5" s="149">
        <f>IF(AND(Scharniere[[#This Row],[Scharnierart]]=2,Scharniere[[#This Row],[Gruppenschlüssel]]=select!$A$318)=TRUE,1,0)</f>
        <v>0</v>
      </c>
      <c r="K955" s="221">
        <f ca="1">IF(select!$O$424&lt;6,1,0)</f>
        <v>1</v>
      </c>
      <c r="L955" s="221">
        <f>IF(select!$A$362=IF(Scharniere[[#This Row],[mit Dämpfung]]=1,1,IF(Scharniere[[#This Row],[ohne Dämpfung]]=1,2,IF(Scharniere[[#This Row],[ohne Feder]]=1,3,0))),1,0)</f>
        <v>0</v>
      </c>
      <c r="M955" s="135">
        <f>IF(Scharniere[[#This Row],[Bohrbild]]=select!$O$334,1,0)</f>
        <v>0</v>
      </c>
      <c r="N955" s="135">
        <f>IF(IF(Scharniere[[#This Row],[Anschrauben]]=1,1,IF(Scharniere[[#This Row],[Einpressen]]=1,2,IF(Scharniere[[#This Row],[Quick]]=1,3,IF(Scharniere[[#This Row],[Werkzeuglos]]=1,4,0))))=select!$E$362,1,0)</f>
        <v>0</v>
      </c>
      <c r="O9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5" s="298">
        <f>IF(AND(Scharniere[[#This Row],[Scharnierart]]=3,Scharniere[[#This Row],[Gruppenschlüssel]]=select!$A$747)=TRUE,1,0)</f>
        <v>0</v>
      </c>
      <c r="Q955" s="298">
        <f ca="1">IF(select!$O$945&lt;6,1,0)</f>
        <v>1</v>
      </c>
      <c r="R955" s="298">
        <f>IF(select!$A$778=IF(Scharniere[[#This Row],[mit Dämpfung]]=1,1,IF(Scharniere[[#This Row],[ohne Dämpfung]]=1,2,IF(Scharniere[[#This Row],[ohne Feder]]=1,3,0))),1,0)</f>
        <v>1</v>
      </c>
      <c r="S955" s="298">
        <f>IF(Scharniere[[#This Row],[Bohrbild]]=select!$A$755,1,0)</f>
        <v>0</v>
      </c>
      <c r="T955" s="298">
        <f>IF(IF(Scharniere[[#This Row],[Anschrauben]]=1,1,IF(Scharniere[[#This Row],[Einpressen]]=1,2,IF(Scharniere[[#This Row],[Quick]]=1,3,IF(Scharniere[[#This Row],[Werkzeuglos]]=1,4,0))))=select!$A$769,1,0)</f>
        <v>0</v>
      </c>
      <c r="U9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5" s="359">
        <f>IF(AND(Scharniere[[#This Row],[Scharnierart]]=4,Scharniere[[#This Row],[Gruppenschlüssel]]=select!$A$981)=TRUE,1,0)</f>
        <v>0</v>
      </c>
      <c r="W955" s="359">
        <f ca="1">IF(select!$O$1185&lt;6,1,0)</f>
        <v>1</v>
      </c>
      <c r="X955" s="359">
        <f>IF(select!$A$1012=IF(Scharniere[[#This Row],[mit Dämpfung]]=1,1,IF(Scharniere[[#This Row],[ohne Dämpfung]]=1,2,IF(Scharniere[[#This Row],[ohne Feder]]=1,3,0))),1,0)</f>
        <v>1</v>
      </c>
      <c r="Y955" s="359">
        <f>IF(Scharniere[[#This Row],[Bohrbild]]=select!$A$989,1,0)</f>
        <v>0</v>
      </c>
      <c r="Z955" s="359">
        <f>IF(IF(Scharniere[[#This Row],[Anschrauben]]=1,1,IF(Scharniere[[#This Row],[Einpressen]]=1,2,IF(Scharniere[[#This Row],[Quick]]=1,3,IF(Scharniere[[#This Row],[Werkzeuglos]]=1,4,0))))=select!$A$1003,1,0)</f>
        <v>0</v>
      </c>
      <c r="AA9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5" s="359">
        <f ca="1">IF(select!$K$980="*",Scharniere[[#This Row],[AG Ges2]],Scharniere[[#This Row],[AG Ges1]])</f>
        <v>0</v>
      </c>
      <c r="AE955" s="451">
        <f ca="1">IF(AND(Scharniere[[#This Row],[Scharnierart]]=select!$A$1485,Scharniere[[#This Row],[Gruppenschlüssel]]=select!$B$1485)=TRUE,1,0)</f>
        <v>0</v>
      </c>
      <c r="AF955" s="451">
        <f ca="1">IF(AND(Scharniere[[#This Row],[Scharnierart]]=select!$A$1486,Scharniere[[#This Row],[Gruppenschlüssel]]=select!$B$1486)=TRUE,1,0)</f>
        <v>0</v>
      </c>
      <c r="AG955" s="451">
        <f ca="1">IF(AND(Scharniere[[#This Row],[Scharnierart]]=select!$A$1487,Scharniere[[#This Row],[Gruppenschlüssel]]=select!$B$1487)=TRUE,1,0)</f>
        <v>0</v>
      </c>
      <c r="AH955" s="451">
        <f ca="1">IF(AND(Scharniere[[#This Row],[Scharnierart]]=select!$A$1488,Scharniere[[#This Row],[Gruppenschlüssel]]=select!$B$1488)=TRUE,1,0)</f>
        <v>0</v>
      </c>
      <c r="AI955" s="451">
        <f ca="1">IF(SUM(Scharniere[[#This Row],[konf Scharnier 1]:[konf Scharnier 4]])&gt;0,1,0)</f>
        <v>0</v>
      </c>
      <c r="AJ955" s="451"/>
      <c r="AK955" s="451"/>
      <c r="AL955" s="451"/>
      <c r="AM955" s="451"/>
      <c r="AN955" s="451"/>
      <c r="AO955" s="146">
        <v>2</v>
      </c>
      <c r="AP955" s="146">
        <v>8</v>
      </c>
      <c r="AQ955" s="71" t="str">
        <f ca="1">Sprache!$A$119</f>
        <v>Tiomos Scharnier T Impresso</v>
      </c>
      <c r="AR955" t="str">
        <f ca="1">"110/45°, MB-BB, "&amp;Sprache!$A$62&amp;" ni"</f>
        <v>110/45°, MB-BB, einl. ni</v>
      </c>
      <c r="AS955" t="str">
        <f ca="1">Sprache!$A$103</f>
        <v>Tiomos Click-On Scharniere</v>
      </c>
      <c r="AT955" t="s">
        <v>1264</v>
      </c>
      <c r="AU955" t="s">
        <v>3</v>
      </c>
      <c r="AV955" t="s">
        <v>1489</v>
      </c>
      <c r="AW955" s="71">
        <v>0</v>
      </c>
      <c r="AX955">
        <v>1</v>
      </c>
      <c r="AY955">
        <v>0</v>
      </c>
      <c r="AZ955" s="71">
        <v>0</v>
      </c>
      <c r="BA955">
        <v>0</v>
      </c>
      <c r="BB955">
        <v>0</v>
      </c>
      <c r="BC955">
        <v>1</v>
      </c>
      <c r="BD955" s="144" t="s">
        <v>1605</v>
      </c>
      <c r="BF955" s="10"/>
      <c r="BG955"/>
    </row>
    <row r="956" spans="1:59" ht="14.25" customHeight="1" x14ac:dyDescent="0.25">
      <c r="A956" s="37" t="str">
        <f>LEFT(Scharniere[[#This Row],[ArtikelNR]],4)</f>
        <v>F028</v>
      </c>
      <c r="B956" s="35" t="str">
        <f>MID(Scharniere[[#This Row],[ArtikelNR]],5,3)</f>
        <v>138</v>
      </c>
      <c r="C956" s="37" t="str">
        <f>RIGHT(Scharniere[[#This Row],[ArtikelNR]],3)</f>
        <v>898</v>
      </c>
      <c r="D956" s="35">
        <f>IF(AND(Scharniere[[#This Row],[Gruppenschlüssel]]=select!$A$44,Scharniere[[#This Row],[Scharnierart]]=1)=TRUE,1,0)</f>
        <v>0</v>
      </c>
      <c r="E9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6" s="35">
        <f>IF(select!$F$57=IF(Scharniere[[#This Row],[mit Dämpfung]]=1,1,IF(Scharniere[[#This Row],[ohne Dämpfung]]=1,2,IF(Scharniere[[#This Row],[ohne Feder]]=1,3,0))),1,0)</f>
        <v>0</v>
      </c>
      <c r="G956" s="35">
        <f>IF(Scharniere[[#This Row],[Bohrbild]]=select!$V$43,1,0)</f>
        <v>0</v>
      </c>
      <c r="H956" s="35">
        <f>IF(IF(Scharniere[[#This Row],[Anschrauben]]=1,1,IF(Scharniere[[#This Row],[Einpressen]]=1,2,IF(Scharniere[[#This Row],[Quick]]=1,3,IF(Scharniere[[#This Row],[Werkzeuglos]]=1,4,0))))=select!$F$48,1,0)</f>
        <v>0</v>
      </c>
      <c r="I9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6" s="149">
        <f>IF(AND(Scharniere[[#This Row],[Scharnierart]]=2,Scharniere[[#This Row],[Gruppenschlüssel]]=select!$A$318)=TRUE,1,0)</f>
        <v>0</v>
      </c>
      <c r="K956" s="221">
        <f ca="1">IF(select!$O$424&lt;6,1,0)</f>
        <v>1</v>
      </c>
      <c r="L956" s="221">
        <f>IF(select!$A$362=IF(Scharniere[[#This Row],[mit Dämpfung]]=1,1,IF(Scharniere[[#This Row],[ohne Dämpfung]]=1,2,IF(Scharniere[[#This Row],[ohne Feder]]=1,3,0))),1,0)</f>
        <v>1</v>
      </c>
      <c r="M956" s="135">
        <f>IF(Scharniere[[#This Row],[Bohrbild]]=select!$O$334,1,0)</f>
        <v>0</v>
      </c>
      <c r="N956" s="135">
        <f>IF(IF(Scharniere[[#This Row],[Anschrauben]]=1,1,IF(Scharniere[[#This Row],[Einpressen]]=1,2,IF(Scharniere[[#This Row],[Quick]]=1,3,IF(Scharniere[[#This Row],[Werkzeuglos]]=1,4,0))))=select!$E$362,1,0)</f>
        <v>1</v>
      </c>
      <c r="O9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6" s="298">
        <f>IF(AND(Scharniere[[#This Row],[Scharnierart]]=3,Scharniere[[#This Row],[Gruppenschlüssel]]=select!$A$747)=TRUE,1,0)</f>
        <v>0</v>
      </c>
      <c r="Q956" s="298">
        <f ca="1">IF(select!$O$945&lt;6,1,0)</f>
        <v>1</v>
      </c>
      <c r="R956" s="298">
        <f>IF(select!$A$778=IF(Scharniere[[#This Row],[mit Dämpfung]]=1,1,IF(Scharniere[[#This Row],[ohne Dämpfung]]=1,2,IF(Scharniere[[#This Row],[ohne Feder]]=1,3,0))),1,0)</f>
        <v>0</v>
      </c>
      <c r="S956" s="298">
        <f>IF(Scharniere[[#This Row],[Bohrbild]]=select!$A$755,1,0)</f>
        <v>0</v>
      </c>
      <c r="T956" s="298">
        <f>IF(IF(Scharniere[[#This Row],[Anschrauben]]=1,1,IF(Scharniere[[#This Row],[Einpressen]]=1,2,IF(Scharniere[[#This Row],[Quick]]=1,3,IF(Scharniere[[#This Row],[Werkzeuglos]]=1,4,0))))=select!$A$769,1,0)</f>
        <v>1</v>
      </c>
      <c r="U9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6" s="359">
        <f>IF(AND(Scharniere[[#This Row],[Scharnierart]]=4,Scharniere[[#This Row],[Gruppenschlüssel]]=select!$A$981)=TRUE,1,0)</f>
        <v>0</v>
      </c>
      <c r="W956" s="359">
        <f ca="1">IF(select!$O$1185&lt;6,1,0)</f>
        <v>1</v>
      </c>
      <c r="X956" s="359">
        <f>IF(select!$A$1012=IF(Scharniere[[#This Row],[mit Dämpfung]]=1,1,IF(Scharniere[[#This Row],[ohne Dämpfung]]=1,2,IF(Scharniere[[#This Row],[ohne Feder]]=1,3,0))),1,0)</f>
        <v>0</v>
      </c>
      <c r="Y956" s="359">
        <f>IF(Scharniere[[#This Row],[Bohrbild]]=select!$A$989,1,0)</f>
        <v>0</v>
      </c>
      <c r="Z956" s="359">
        <f>IF(IF(Scharniere[[#This Row],[Anschrauben]]=1,1,IF(Scharniere[[#This Row],[Einpressen]]=1,2,IF(Scharniere[[#This Row],[Quick]]=1,3,IF(Scharniere[[#This Row],[Werkzeuglos]]=1,4,0))))=select!$A$1003,1,0)</f>
        <v>1</v>
      </c>
      <c r="AA9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6" s="359">
        <f ca="1">IF(select!$K$980="*",Scharniere[[#This Row],[AG Ges2]],Scharniere[[#This Row],[AG Ges1]])</f>
        <v>0</v>
      </c>
      <c r="AE956" s="451">
        <f ca="1">IF(AND(Scharniere[[#This Row],[Scharnierart]]=select!$A$1485,Scharniere[[#This Row],[Gruppenschlüssel]]=select!$B$1485)=TRUE,1,0)</f>
        <v>0</v>
      </c>
      <c r="AF956" s="451">
        <f ca="1">IF(AND(Scharniere[[#This Row],[Scharnierart]]=select!$A$1486,Scharniere[[#This Row],[Gruppenschlüssel]]=select!$B$1486)=TRUE,1,0)</f>
        <v>0</v>
      </c>
      <c r="AG956" s="451">
        <f ca="1">IF(AND(Scharniere[[#This Row],[Scharnierart]]=select!$A$1487,Scharniere[[#This Row],[Gruppenschlüssel]]=select!$B$1487)=TRUE,1,0)</f>
        <v>0</v>
      </c>
      <c r="AH956" s="451">
        <f ca="1">IF(AND(Scharniere[[#This Row],[Scharnierart]]=select!$A$1488,Scharniere[[#This Row],[Gruppenschlüssel]]=select!$B$1488)=TRUE,1,0)</f>
        <v>0</v>
      </c>
      <c r="AI956" s="451">
        <f ca="1">IF(SUM(Scharniere[[#This Row],[konf Scharnier 1]:[konf Scharnier 4]])&gt;0,1,0)</f>
        <v>0</v>
      </c>
      <c r="AJ956" s="451"/>
      <c r="AK956" s="451"/>
      <c r="AL956" s="451"/>
      <c r="AM956" s="451"/>
      <c r="AN956" s="451"/>
      <c r="AO956" s="146">
        <v>2</v>
      </c>
      <c r="AP956" s="146">
        <v>8</v>
      </c>
      <c r="AQ956" s="71" t="str">
        <f ca="1">Sprache!$A$112</f>
        <v>Tiomos Scharnier TS Click-on</v>
      </c>
      <c r="AR956" t="str">
        <f ca="1">"110/45°, S-BB, "&amp;Sprache!$A$62&amp;" ni"</f>
        <v>110/45°, S-BB, einl. ni</v>
      </c>
      <c r="AS956" t="str">
        <f ca="1">Sprache!$A$103</f>
        <v>Tiomos Click-On Scharniere</v>
      </c>
      <c r="AT956" t="s">
        <v>1264</v>
      </c>
      <c r="AU956" t="s">
        <v>11</v>
      </c>
      <c r="AV956" t="s">
        <v>1489</v>
      </c>
      <c r="AW956" s="71">
        <v>1</v>
      </c>
      <c r="AX956">
        <v>0</v>
      </c>
      <c r="AY956">
        <v>0</v>
      </c>
      <c r="AZ956" s="71">
        <v>1</v>
      </c>
      <c r="BA956">
        <v>0</v>
      </c>
      <c r="BB956">
        <v>0</v>
      </c>
      <c r="BC956">
        <v>0</v>
      </c>
      <c r="BD956" s="144" t="s">
        <v>1572</v>
      </c>
      <c r="BF956" s="10"/>
      <c r="BG956"/>
    </row>
    <row r="957" spans="1:59" ht="14.25" customHeight="1" x14ac:dyDescent="0.25">
      <c r="A957" s="37" t="str">
        <f>LEFT(Scharniere[[#This Row],[ArtikelNR]],4)</f>
        <v>F045</v>
      </c>
      <c r="B957" s="35" t="str">
        <f>MID(Scharniere[[#This Row],[ArtikelNR]],5,3)</f>
        <v>138</v>
      </c>
      <c r="C957" s="37" t="str">
        <f>RIGHT(Scharniere[[#This Row],[ArtikelNR]],3)</f>
        <v>836</v>
      </c>
      <c r="D957" s="35">
        <f>IF(AND(Scharniere[[#This Row],[Gruppenschlüssel]]=select!$A$44,Scharniere[[#This Row],[Scharnierart]]=1)=TRUE,1,0)</f>
        <v>0</v>
      </c>
      <c r="E9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7" s="35">
        <f>IF(select!$F$57=IF(Scharniere[[#This Row],[mit Dämpfung]]=1,1,IF(Scharniere[[#This Row],[ohne Dämpfung]]=1,2,IF(Scharniere[[#This Row],[ohne Feder]]=1,3,0))),1,0)</f>
        <v>0</v>
      </c>
      <c r="G957" s="35">
        <f>IF(Scharniere[[#This Row],[Bohrbild]]=select!$V$43,1,0)</f>
        <v>0</v>
      </c>
      <c r="H957" s="35">
        <f>IF(IF(Scharniere[[#This Row],[Anschrauben]]=1,1,IF(Scharniere[[#This Row],[Einpressen]]=1,2,IF(Scharniere[[#This Row],[Quick]]=1,3,IF(Scharniere[[#This Row],[Werkzeuglos]]=1,4,0))))=select!$F$48,1,0)</f>
        <v>0</v>
      </c>
      <c r="I9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7" s="149">
        <f>IF(AND(Scharniere[[#This Row],[Scharnierart]]=2,Scharniere[[#This Row],[Gruppenschlüssel]]=select!$A$318)=TRUE,1,0)</f>
        <v>0</v>
      </c>
      <c r="K957" s="221">
        <f ca="1">IF(select!$O$424&lt;6,1,0)</f>
        <v>1</v>
      </c>
      <c r="L957" s="221">
        <f>IF(select!$A$362=IF(Scharniere[[#This Row],[mit Dämpfung]]=1,1,IF(Scharniere[[#This Row],[ohne Dämpfung]]=1,2,IF(Scharniere[[#This Row],[ohne Feder]]=1,3,0))),1,0)</f>
        <v>0</v>
      </c>
      <c r="M957" s="135">
        <f>IF(Scharniere[[#This Row],[Bohrbild]]=select!$O$334,1,0)</f>
        <v>0</v>
      </c>
      <c r="N957" s="135">
        <f>IF(IF(Scharniere[[#This Row],[Anschrauben]]=1,1,IF(Scharniere[[#This Row],[Einpressen]]=1,2,IF(Scharniere[[#This Row],[Quick]]=1,3,IF(Scharniere[[#This Row],[Werkzeuglos]]=1,4,0))))=select!$E$362,1,0)</f>
        <v>1</v>
      </c>
      <c r="O9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7" s="298">
        <f>IF(AND(Scharniere[[#This Row],[Scharnierart]]=3,Scharniere[[#This Row],[Gruppenschlüssel]]=select!$A$747)=TRUE,1,0)</f>
        <v>0</v>
      </c>
      <c r="Q957" s="298">
        <f ca="1">IF(select!$O$945&lt;6,1,0)</f>
        <v>1</v>
      </c>
      <c r="R957" s="298">
        <f>IF(select!$A$778=IF(Scharniere[[#This Row],[mit Dämpfung]]=1,1,IF(Scharniere[[#This Row],[ohne Dämpfung]]=1,2,IF(Scharniere[[#This Row],[ohne Feder]]=1,3,0))),1,0)</f>
        <v>1</v>
      </c>
      <c r="S957" s="298">
        <f>IF(Scharniere[[#This Row],[Bohrbild]]=select!$A$755,1,0)</f>
        <v>0</v>
      </c>
      <c r="T957" s="298">
        <f>IF(IF(Scharniere[[#This Row],[Anschrauben]]=1,1,IF(Scharniere[[#This Row],[Einpressen]]=1,2,IF(Scharniere[[#This Row],[Quick]]=1,3,IF(Scharniere[[#This Row],[Werkzeuglos]]=1,4,0))))=select!$A$769,1,0)</f>
        <v>1</v>
      </c>
      <c r="U9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7" s="359">
        <f>IF(AND(Scharniere[[#This Row],[Scharnierart]]=4,Scharniere[[#This Row],[Gruppenschlüssel]]=select!$A$981)=TRUE,1,0)</f>
        <v>0</v>
      </c>
      <c r="W957" s="359">
        <f ca="1">IF(select!$O$1185&lt;6,1,0)</f>
        <v>1</v>
      </c>
      <c r="X957" s="359">
        <f>IF(select!$A$1012=IF(Scharniere[[#This Row],[mit Dämpfung]]=1,1,IF(Scharniere[[#This Row],[ohne Dämpfung]]=1,2,IF(Scharniere[[#This Row],[ohne Feder]]=1,3,0))),1,0)</f>
        <v>1</v>
      </c>
      <c r="Y957" s="359">
        <f>IF(Scharniere[[#This Row],[Bohrbild]]=select!$A$989,1,0)</f>
        <v>0</v>
      </c>
      <c r="Z957" s="359">
        <f>IF(IF(Scharniere[[#This Row],[Anschrauben]]=1,1,IF(Scharniere[[#This Row],[Einpressen]]=1,2,IF(Scharniere[[#This Row],[Quick]]=1,3,IF(Scharniere[[#This Row],[Werkzeuglos]]=1,4,0))))=select!$A$1003,1,0)</f>
        <v>1</v>
      </c>
      <c r="AA9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7" s="359">
        <f ca="1">IF(select!$K$980="*",Scharniere[[#This Row],[AG Ges2]],Scharniere[[#This Row],[AG Ges1]])</f>
        <v>0</v>
      </c>
      <c r="AE957" s="451">
        <f ca="1">IF(AND(Scharniere[[#This Row],[Scharnierart]]=select!$A$1485,Scharniere[[#This Row],[Gruppenschlüssel]]=select!$B$1485)=TRUE,1,0)</f>
        <v>0</v>
      </c>
      <c r="AF957" s="451">
        <f ca="1">IF(AND(Scharniere[[#This Row],[Scharnierart]]=select!$A$1486,Scharniere[[#This Row],[Gruppenschlüssel]]=select!$B$1486)=TRUE,1,0)</f>
        <v>0</v>
      </c>
      <c r="AG957" s="451">
        <f ca="1">IF(AND(Scharniere[[#This Row],[Scharnierart]]=select!$A$1487,Scharniere[[#This Row],[Gruppenschlüssel]]=select!$B$1487)=TRUE,1,0)</f>
        <v>0</v>
      </c>
      <c r="AH957" s="451">
        <f ca="1">IF(AND(Scharniere[[#This Row],[Scharnierart]]=select!$A$1488,Scharniere[[#This Row],[Gruppenschlüssel]]=select!$B$1488)=TRUE,1,0)</f>
        <v>0</v>
      </c>
      <c r="AI957" s="451">
        <f ca="1">IF(SUM(Scharniere[[#This Row],[konf Scharnier 1]:[konf Scharnier 4]])&gt;0,1,0)</f>
        <v>0</v>
      </c>
      <c r="AJ957" s="451"/>
      <c r="AK957" s="451"/>
      <c r="AL957" s="451"/>
      <c r="AM957" s="451"/>
      <c r="AN957" s="451"/>
      <c r="AO957" s="146">
        <v>2</v>
      </c>
      <c r="AP957" s="146">
        <v>8</v>
      </c>
      <c r="AQ957" s="71" t="str">
        <f ca="1">Sprache!$A$118</f>
        <v>Tiomos Scharnier T Click-on</v>
      </c>
      <c r="AR957" t="str">
        <f ca="1">"110/45°, S-BB, "&amp;Sprache!$A$62&amp;" ni"</f>
        <v>110/45°, S-BB, einl. ni</v>
      </c>
      <c r="AS957" t="str">
        <f ca="1">Sprache!$A$103</f>
        <v>Tiomos Click-On Scharniere</v>
      </c>
      <c r="AT957" t="s">
        <v>1264</v>
      </c>
      <c r="AU957" t="s">
        <v>11</v>
      </c>
      <c r="AV957" t="s">
        <v>1489</v>
      </c>
      <c r="AW957" s="71">
        <v>0</v>
      </c>
      <c r="AX957">
        <v>1</v>
      </c>
      <c r="AY957">
        <v>0</v>
      </c>
      <c r="AZ957" s="71">
        <v>1</v>
      </c>
      <c r="BA957">
        <v>0</v>
      </c>
      <c r="BB957">
        <v>0</v>
      </c>
      <c r="BC957">
        <v>0</v>
      </c>
      <c r="BD957" s="144" t="s">
        <v>1683</v>
      </c>
      <c r="BF957" s="10"/>
      <c r="BG957"/>
    </row>
    <row r="958" spans="1:59" ht="14.25" customHeight="1" x14ac:dyDescent="0.25">
      <c r="A958" s="37" t="str">
        <f>LEFT(Scharniere[[#This Row],[ArtikelNR]],4)</f>
        <v>F046</v>
      </c>
      <c r="B958" s="35" t="str">
        <f>MID(Scharniere[[#This Row],[ArtikelNR]],5,3)</f>
        <v>138</v>
      </c>
      <c r="C958" s="37" t="str">
        <f>RIGHT(Scharniere[[#This Row],[ArtikelNR]],3)</f>
        <v>958</v>
      </c>
      <c r="D958" s="35">
        <f>IF(AND(Scharniere[[#This Row],[Gruppenschlüssel]]=select!$A$44,Scharniere[[#This Row],[Scharnierart]]=1)=TRUE,1,0)</f>
        <v>0</v>
      </c>
      <c r="E9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8" s="35">
        <f>IF(select!$F$57=IF(Scharniere[[#This Row],[mit Dämpfung]]=1,1,IF(Scharniere[[#This Row],[ohne Dämpfung]]=1,2,IF(Scharniere[[#This Row],[ohne Feder]]=1,3,0))),1,0)</f>
        <v>1</v>
      </c>
      <c r="G958" s="35">
        <f>IF(Scharniere[[#This Row],[Bohrbild]]=select!$V$43,1,0)</f>
        <v>0</v>
      </c>
      <c r="H958" s="35">
        <f>IF(IF(Scharniere[[#This Row],[Anschrauben]]=1,1,IF(Scharniere[[#This Row],[Einpressen]]=1,2,IF(Scharniere[[#This Row],[Quick]]=1,3,IF(Scharniere[[#This Row],[Werkzeuglos]]=1,4,0))))=select!$F$48,1,0)</f>
        <v>0</v>
      </c>
      <c r="I9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8" s="149">
        <f>IF(AND(Scharniere[[#This Row],[Scharnierart]]=2,Scharniere[[#This Row],[Gruppenschlüssel]]=select!$A$318)=TRUE,1,0)</f>
        <v>0</v>
      </c>
      <c r="K958" s="221">
        <f ca="1">IF(select!$O$424&lt;6,1,0)</f>
        <v>1</v>
      </c>
      <c r="L958" s="221">
        <f>IF(select!$A$362=IF(Scharniere[[#This Row],[mit Dämpfung]]=1,1,IF(Scharniere[[#This Row],[ohne Dämpfung]]=1,2,IF(Scharniere[[#This Row],[ohne Feder]]=1,3,0))),1,0)</f>
        <v>0</v>
      </c>
      <c r="M958" s="135">
        <f>IF(Scharniere[[#This Row],[Bohrbild]]=select!$O$334,1,0)</f>
        <v>0</v>
      </c>
      <c r="N958" s="135">
        <f>IF(IF(Scharniere[[#This Row],[Anschrauben]]=1,1,IF(Scharniere[[#This Row],[Einpressen]]=1,2,IF(Scharniere[[#This Row],[Quick]]=1,3,IF(Scharniere[[#This Row],[Werkzeuglos]]=1,4,0))))=select!$E$362,1,0)</f>
        <v>1</v>
      </c>
      <c r="O9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8" s="298">
        <f>IF(AND(Scharniere[[#This Row],[Scharnierart]]=3,Scharniere[[#This Row],[Gruppenschlüssel]]=select!$A$747)=TRUE,1,0)</f>
        <v>0</v>
      </c>
      <c r="Q958" s="298">
        <f ca="1">IF(select!$O$945&lt;6,1,0)</f>
        <v>1</v>
      </c>
      <c r="R958" s="298">
        <f>IF(select!$A$778=IF(Scharniere[[#This Row],[mit Dämpfung]]=1,1,IF(Scharniere[[#This Row],[ohne Dämpfung]]=1,2,IF(Scharniere[[#This Row],[ohne Feder]]=1,3,0))),1,0)</f>
        <v>0</v>
      </c>
      <c r="S958" s="298">
        <f>IF(Scharniere[[#This Row],[Bohrbild]]=select!$A$755,1,0)</f>
        <v>0</v>
      </c>
      <c r="T958" s="298">
        <f>IF(IF(Scharniere[[#This Row],[Anschrauben]]=1,1,IF(Scharniere[[#This Row],[Einpressen]]=1,2,IF(Scharniere[[#This Row],[Quick]]=1,3,IF(Scharniere[[#This Row],[Werkzeuglos]]=1,4,0))))=select!$A$769,1,0)</f>
        <v>1</v>
      </c>
      <c r="U9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8" s="359">
        <f>IF(AND(Scharniere[[#This Row],[Scharnierart]]=4,Scharniere[[#This Row],[Gruppenschlüssel]]=select!$A$981)=TRUE,1,0)</f>
        <v>0</v>
      </c>
      <c r="W958" s="359">
        <f ca="1">IF(select!$O$1185&lt;6,1,0)</f>
        <v>1</v>
      </c>
      <c r="X958" s="359">
        <f>IF(select!$A$1012=IF(Scharniere[[#This Row],[mit Dämpfung]]=1,1,IF(Scharniere[[#This Row],[ohne Dämpfung]]=1,2,IF(Scharniere[[#This Row],[ohne Feder]]=1,3,0))),1,0)</f>
        <v>0</v>
      </c>
      <c r="Y958" s="359">
        <f>IF(Scharniere[[#This Row],[Bohrbild]]=select!$A$989,1,0)</f>
        <v>0</v>
      </c>
      <c r="Z958" s="359">
        <f>IF(IF(Scharniere[[#This Row],[Anschrauben]]=1,1,IF(Scharniere[[#This Row],[Einpressen]]=1,2,IF(Scharniere[[#This Row],[Quick]]=1,3,IF(Scharniere[[#This Row],[Werkzeuglos]]=1,4,0))))=select!$A$1003,1,0)</f>
        <v>1</v>
      </c>
      <c r="AA9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8" s="359">
        <f ca="1">IF(select!$K$980="*",Scharniere[[#This Row],[AG Ges2]],Scharniere[[#This Row],[AG Ges1]])</f>
        <v>0</v>
      </c>
      <c r="AE958" s="451">
        <f ca="1">IF(AND(Scharniere[[#This Row],[Scharnierart]]=select!$A$1485,Scharniere[[#This Row],[Gruppenschlüssel]]=select!$B$1485)=TRUE,1,0)</f>
        <v>0</v>
      </c>
      <c r="AF958" s="451">
        <f ca="1">IF(AND(Scharniere[[#This Row],[Scharnierart]]=select!$A$1486,Scharniere[[#This Row],[Gruppenschlüssel]]=select!$B$1486)=TRUE,1,0)</f>
        <v>0</v>
      </c>
      <c r="AG958" s="451">
        <f ca="1">IF(AND(Scharniere[[#This Row],[Scharnierart]]=select!$A$1487,Scharniere[[#This Row],[Gruppenschlüssel]]=select!$B$1487)=TRUE,1,0)</f>
        <v>0</v>
      </c>
      <c r="AH958" s="451">
        <f ca="1">IF(AND(Scharniere[[#This Row],[Scharnierart]]=select!$A$1488,Scharniere[[#This Row],[Gruppenschlüssel]]=select!$B$1488)=TRUE,1,0)</f>
        <v>0</v>
      </c>
      <c r="AI958" s="451">
        <f ca="1">IF(SUM(Scharniere[[#This Row],[konf Scharnier 1]:[konf Scharnier 4]])&gt;0,1,0)</f>
        <v>0</v>
      </c>
      <c r="AJ958" s="451"/>
      <c r="AK958" s="451"/>
      <c r="AL958" s="451"/>
      <c r="AM958" s="451"/>
      <c r="AN958" s="451"/>
      <c r="AO958" s="146">
        <v>2</v>
      </c>
      <c r="AP958" s="146">
        <v>8</v>
      </c>
      <c r="AQ958" s="71" t="str">
        <f ca="1">Sprache!$A$114</f>
        <v>Tiomos Scharnier TT Click-on</v>
      </c>
      <c r="AR958" t="str">
        <f ca="1">"110/45°, S-BB, "&amp;Sprache!$A$62&amp;" ni"</f>
        <v>110/45°, S-BB, einl. ni</v>
      </c>
      <c r="AS958" t="str">
        <f ca="1">Sprache!$A$103</f>
        <v>Tiomos Click-On Scharniere</v>
      </c>
      <c r="AT958" t="s">
        <v>1264</v>
      </c>
      <c r="AU958" t="s">
        <v>11</v>
      </c>
      <c r="AV958" t="s">
        <v>1489</v>
      </c>
      <c r="AW958" s="71">
        <v>0</v>
      </c>
      <c r="AX958">
        <v>0</v>
      </c>
      <c r="AY958">
        <v>1</v>
      </c>
      <c r="AZ958" s="71">
        <v>1</v>
      </c>
      <c r="BA958">
        <v>0</v>
      </c>
      <c r="BB958">
        <v>0</v>
      </c>
      <c r="BC958">
        <v>0</v>
      </c>
      <c r="BD958" s="144" t="s">
        <v>1737</v>
      </c>
      <c r="BF958" s="10"/>
      <c r="BG958"/>
    </row>
    <row r="959" spans="1:59" ht="14.25" customHeight="1" x14ac:dyDescent="0.25">
      <c r="A959" s="37" t="str">
        <f>LEFT(Scharniere[[#This Row],[ArtikelNR]],4)</f>
        <v>F028</v>
      </c>
      <c r="B959" s="35" t="str">
        <f>MID(Scharniere[[#This Row],[ArtikelNR]],5,3)</f>
        <v>138</v>
      </c>
      <c r="C959" s="37" t="str">
        <f>RIGHT(Scharniere[[#This Row],[ArtikelNR]],3)</f>
        <v>546</v>
      </c>
      <c r="D959" s="35">
        <f>IF(AND(Scharniere[[#This Row],[Gruppenschlüssel]]=select!$A$44,Scharniere[[#This Row],[Scharnierart]]=1)=TRUE,1,0)</f>
        <v>0</v>
      </c>
      <c r="E9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59" s="35">
        <f>IF(select!$F$57=IF(Scharniere[[#This Row],[mit Dämpfung]]=1,1,IF(Scharniere[[#This Row],[ohne Dämpfung]]=1,2,IF(Scharniere[[#This Row],[ohne Feder]]=1,3,0))),1,0)</f>
        <v>0</v>
      </c>
      <c r="G959" s="35">
        <f>IF(Scharniere[[#This Row],[Bohrbild]]=select!$V$43,1,0)</f>
        <v>0</v>
      </c>
      <c r="H959" s="35">
        <f>IF(IF(Scharniere[[#This Row],[Anschrauben]]=1,1,IF(Scharniere[[#This Row],[Einpressen]]=1,2,IF(Scharniere[[#This Row],[Quick]]=1,3,IF(Scharniere[[#This Row],[Werkzeuglos]]=1,4,0))))=select!$F$48,1,0)</f>
        <v>1</v>
      </c>
      <c r="I9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59" s="149">
        <f>IF(AND(Scharniere[[#This Row],[Scharnierart]]=2,Scharniere[[#This Row],[Gruppenschlüssel]]=select!$A$318)=TRUE,1,0)</f>
        <v>0</v>
      </c>
      <c r="K959" s="221">
        <f ca="1">IF(select!$O$424&lt;6,1,0)</f>
        <v>1</v>
      </c>
      <c r="L959" s="221">
        <f>IF(select!$A$362=IF(Scharniere[[#This Row],[mit Dämpfung]]=1,1,IF(Scharniere[[#This Row],[ohne Dämpfung]]=1,2,IF(Scharniere[[#This Row],[ohne Feder]]=1,3,0))),1,0)</f>
        <v>1</v>
      </c>
      <c r="M959" s="135">
        <f>IF(Scharniere[[#This Row],[Bohrbild]]=select!$O$334,1,0)</f>
        <v>0</v>
      </c>
      <c r="N959" s="135">
        <f>IF(IF(Scharniere[[#This Row],[Anschrauben]]=1,1,IF(Scharniere[[#This Row],[Einpressen]]=1,2,IF(Scharniere[[#This Row],[Quick]]=1,3,IF(Scharniere[[#This Row],[Werkzeuglos]]=1,4,0))))=select!$E$362,1,0)</f>
        <v>0</v>
      </c>
      <c r="O9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59" s="298">
        <f>IF(AND(Scharniere[[#This Row],[Scharnierart]]=3,Scharniere[[#This Row],[Gruppenschlüssel]]=select!$A$747)=TRUE,1,0)</f>
        <v>0</v>
      </c>
      <c r="Q959" s="298">
        <f ca="1">IF(select!$O$945&lt;6,1,0)</f>
        <v>1</v>
      </c>
      <c r="R959" s="298">
        <f>IF(select!$A$778=IF(Scharniere[[#This Row],[mit Dämpfung]]=1,1,IF(Scharniere[[#This Row],[ohne Dämpfung]]=1,2,IF(Scharniere[[#This Row],[ohne Feder]]=1,3,0))),1,0)</f>
        <v>0</v>
      </c>
      <c r="S959" s="298">
        <f>IF(Scharniere[[#This Row],[Bohrbild]]=select!$A$755,1,0)</f>
        <v>0</v>
      </c>
      <c r="T959" s="298">
        <f>IF(IF(Scharniere[[#This Row],[Anschrauben]]=1,1,IF(Scharniere[[#This Row],[Einpressen]]=1,2,IF(Scharniere[[#This Row],[Quick]]=1,3,IF(Scharniere[[#This Row],[Werkzeuglos]]=1,4,0))))=select!$A$769,1,0)</f>
        <v>0</v>
      </c>
      <c r="U9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59" s="359">
        <f>IF(AND(Scharniere[[#This Row],[Scharnierart]]=4,Scharniere[[#This Row],[Gruppenschlüssel]]=select!$A$981)=TRUE,1,0)</f>
        <v>0</v>
      </c>
      <c r="W959" s="359">
        <f ca="1">IF(select!$O$1185&lt;6,1,0)</f>
        <v>1</v>
      </c>
      <c r="X959" s="359">
        <f>IF(select!$A$1012=IF(Scharniere[[#This Row],[mit Dämpfung]]=1,1,IF(Scharniere[[#This Row],[ohne Dämpfung]]=1,2,IF(Scharniere[[#This Row],[ohne Feder]]=1,3,0))),1,0)</f>
        <v>0</v>
      </c>
      <c r="Y959" s="359">
        <f>IF(Scharniere[[#This Row],[Bohrbild]]=select!$A$989,1,0)</f>
        <v>0</v>
      </c>
      <c r="Z959" s="359">
        <f>IF(IF(Scharniere[[#This Row],[Anschrauben]]=1,1,IF(Scharniere[[#This Row],[Einpressen]]=1,2,IF(Scharniere[[#This Row],[Quick]]=1,3,IF(Scharniere[[#This Row],[Werkzeuglos]]=1,4,0))))=select!$A$1003,1,0)</f>
        <v>0</v>
      </c>
      <c r="AA9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59" s="359">
        <f ca="1">IF(select!$K$980="*",Scharniere[[#This Row],[AG Ges2]],Scharniere[[#This Row],[AG Ges1]])</f>
        <v>0</v>
      </c>
      <c r="AE959" s="451">
        <f ca="1">IF(AND(Scharniere[[#This Row],[Scharnierart]]=select!$A$1485,Scharniere[[#This Row],[Gruppenschlüssel]]=select!$B$1485)=TRUE,1,0)</f>
        <v>0</v>
      </c>
      <c r="AF959" s="451">
        <f ca="1">IF(AND(Scharniere[[#This Row],[Scharnierart]]=select!$A$1486,Scharniere[[#This Row],[Gruppenschlüssel]]=select!$B$1486)=TRUE,1,0)</f>
        <v>0</v>
      </c>
      <c r="AG959" s="451">
        <f ca="1">IF(AND(Scharniere[[#This Row],[Scharnierart]]=select!$A$1487,Scharniere[[#This Row],[Gruppenschlüssel]]=select!$B$1487)=TRUE,1,0)</f>
        <v>0</v>
      </c>
      <c r="AH959" s="451">
        <f ca="1">IF(AND(Scharniere[[#This Row],[Scharnierart]]=select!$A$1488,Scharniere[[#This Row],[Gruppenschlüssel]]=select!$B$1488)=TRUE,1,0)</f>
        <v>0</v>
      </c>
      <c r="AI959" s="451">
        <f ca="1">IF(SUM(Scharniere[[#This Row],[konf Scharnier 1]:[konf Scharnier 4]])&gt;0,1,0)</f>
        <v>0</v>
      </c>
      <c r="AJ959" s="451"/>
      <c r="AK959" s="451"/>
      <c r="AL959" s="451"/>
      <c r="AM959" s="451"/>
      <c r="AN959" s="451"/>
      <c r="AO959" s="146">
        <v>2</v>
      </c>
      <c r="AP959" s="146">
        <v>8</v>
      </c>
      <c r="AQ959" s="71" t="str">
        <f ca="1">Sprache!$A$112</f>
        <v>Tiomos Scharnier TS Click-on</v>
      </c>
      <c r="AR959" t="str">
        <f ca="1">"110/90°, B-BB, "&amp;Sprache!$A$62&amp;" 0, ni"</f>
        <v>110/90°, B-BB, einl. 0, ni</v>
      </c>
      <c r="AS959" t="str">
        <f ca="1">Sprache!$A$103</f>
        <v>Tiomos Click-On Scharniere</v>
      </c>
      <c r="AT959" t="s">
        <v>1264</v>
      </c>
      <c r="AU959" t="s">
        <v>3</v>
      </c>
      <c r="AV959" t="s">
        <v>1489</v>
      </c>
      <c r="AW959" s="71">
        <v>1</v>
      </c>
      <c r="AX959">
        <v>0</v>
      </c>
      <c r="AY959">
        <v>0</v>
      </c>
      <c r="AZ959" s="71">
        <v>0</v>
      </c>
      <c r="BA959">
        <v>1</v>
      </c>
      <c r="BB959">
        <v>0</v>
      </c>
      <c r="BC959">
        <v>0</v>
      </c>
      <c r="BD959" s="144" t="s">
        <v>1454</v>
      </c>
      <c r="BF959" s="10"/>
      <c r="BG959"/>
    </row>
    <row r="960" spans="1:59" ht="14.25" customHeight="1" x14ac:dyDescent="0.25">
      <c r="A960" s="37" t="str">
        <f>LEFT(Scharniere[[#This Row],[ArtikelNR]],4)</f>
        <v>F028</v>
      </c>
      <c r="B960" s="35" t="str">
        <f>MID(Scharniere[[#This Row],[ArtikelNR]],5,3)</f>
        <v>138</v>
      </c>
      <c r="C960" s="37" t="str">
        <f>RIGHT(Scharniere[[#This Row],[ArtikelNR]],3)</f>
        <v>555</v>
      </c>
      <c r="D960" s="35">
        <f>IF(AND(Scharniere[[#This Row],[Gruppenschlüssel]]=select!$A$44,Scharniere[[#This Row],[Scharnierart]]=1)=TRUE,1,0)</f>
        <v>0</v>
      </c>
      <c r="E9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0" s="35">
        <f>IF(select!$F$57=IF(Scharniere[[#This Row],[mit Dämpfung]]=1,1,IF(Scharniere[[#This Row],[ohne Dämpfung]]=1,2,IF(Scharniere[[#This Row],[ohne Feder]]=1,3,0))),1,0)</f>
        <v>0</v>
      </c>
      <c r="G960" s="35">
        <f>IF(Scharniere[[#This Row],[Bohrbild]]=select!$V$43,1,0)</f>
        <v>0</v>
      </c>
      <c r="H960" s="35">
        <f>IF(IF(Scharniere[[#This Row],[Anschrauben]]=1,1,IF(Scharniere[[#This Row],[Einpressen]]=1,2,IF(Scharniere[[#This Row],[Quick]]=1,3,IF(Scharniere[[#This Row],[Werkzeuglos]]=1,4,0))))=select!$F$48,1,0)</f>
        <v>0</v>
      </c>
      <c r="I9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0" s="149">
        <f>IF(AND(Scharniere[[#This Row],[Scharnierart]]=2,Scharniere[[#This Row],[Gruppenschlüssel]]=select!$A$318)=TRUE,1,0)</f>
        <v>0</v>
      </c>
      <c r="K960" s="221">
        <f ca="1">IF(select!$O$424&lt;6,1,0)</f>
        <v>1</v>
      </c>
      <c r="L960" s="221">
        <f>IF(select!$A$362=IF(Scharniere[[#This Row],[mit Dämpfung]]=1,1,IF(Scharniere[[#This Row],[ohne Dämpfung]]=1,2,IF(Scharniere[[#This Row],[ohne Feder]]=1,3,0))),1,0)</f>
        <v>1</v>
      </c>
      <c r="M960" s="135">
        <f>IF(Scharniere[[#This Row],[Bohrbild]]=select!$O$334,1,0)</f>
        <v>0</v>
      </c>
      <c r="N960" s="135">
        <f>IF(IF(Scharniere[[#This Row],[Anschrauben]]=1,1,IF(Scharniere[[#This Row],[Einpressen]]=1,2,IF(Scharniere[[#This Row],[Quick]]=1,3,IF(Scharniere[[#This Row],[Werkzeuglos]]=1,4,0))))=select!$E$362,1,0)</f>
        <v>1</v>
      </c>
      <c r="O9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0" s="298">
        <f>IF(AND(Scharniere[[#This Row],[Scharnierart]]=3,Scharniere[[#This Row],[Gruppenschlüssel]]=select!$A$747)=TRUE,1,0)</f>
        <v>0</v>
      </c>
      <c r="Q960" s="298">
        <f ca="1">IF(select!$O$945&lt;6,1,0)</f>
        <v>1</v>
      </c>
      <c r="R960" s="298">
        <f>IF(select!$A$778=IF(Scharniere[[#This Row],[mit Dämpfung]]=1,1,IF(Scharniere[[#This Row],[ohne Dämpfung]]=1,2,IF(Scharniere[[#This Row],[ohne Feder]]=1,3,0))),1,0)</f>
        <v>0</v>
      </c>
      <c r="S960" s="298">
        <f>IF(Scharniere[[#This Row],[Bohrbild]]=select!$A$755,1,0)</f>
        <v>0</v>
      </c>
      <c r="T960" s="298">
        <f>IF(IF(Scharniere[[#This Row],[Anschrauben]]=1,1,IF(Scharniere[[#This Row],[Einpressen]]=1,2,IF(Scharniere[[#This Row],[Quick]]=1,3,IF(Scharniere[[#This Row],[Werkzeuglos]]=1,4,0))))=select!$A$769,1,0)</f>
        <v>1</v>
      </c>
      <c r="U9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0" s="359">
        <f>IF(AND(Scharniere[[#This Row],[Scharnierart]]=4,Scharniere[[#This Row],[Gruppenschlüssel]]=select!$A$981)=TRUE,1,0)</f>
        <v>0</v>
      </c>
      <c r="W960" s="359">
        <f ca="1">IF(select!$O$1185&lt;6,1,0)</f>
        <v>1</v>
      </c>
      <c r="X960" s="359">
        <f>IF(select!$A$1012=IF(Scharniere[[#This Row],[mit Dämpfung]]=1,1,IF(Scharniere[[#This Row],[ohne Dämpfung]]=1,2,IF(Scharniere[[#This Row],[ohne Feder]]=1,3,0))),1,0)</f>
        <v>0</v>
      </c>
      <c r="Y960" s="359">
        <f>IF(Scharniere[[#This Row],[Bohrbild]]=select!$A$989,1,0)</f>
        <v>0</v>
      </c>
      <c r="Z960" s="359">
        <f>IF(IF(Scharniere[[#This Row],[Anschrauben]]=1,1,IF(Scharniere[[#This Row],[Einpressen]]=1,2,IF(Scharniere[[#This Row],[Quick]]=1,3,IF(Scharniere[[#This Row],[Werkzeuglos]]=1,4,0))))=select!$A$1003,1,0)</f>
        <v>1</v>
      </c>
      <c r="AA9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0" s="359">
        <f ca="1">IF(select!$K$980="*",Scharniere[[#This Row],[AG Ges2]],Scharniere[[#This Row],[AG Ges1]])</f>
        <v>0</v>
      </c>
      <c r="AE960" s="451">
        <f ca="1">IF(AND(Scharniere[[#This Row],[Scharnierart]]=select!$A$1485,Scharniere[[#This Row],[Gruppenschlüssel]]=select!$B$1485)=TRUE,1,0)</f>
        <v>0</v>
      </c>
      <c r="AF960" s="451">
        <f ca="1">IF(AND(Scharniere[[#This Row],[Scharnierart]]=select!$A$1486,Scharniere[[#This Row],[Gruppenschlüssel]]=select!$B$1486)=TRUE,1,0)</f>
        <v>0</v>
      </c>
      <c r="AG960" s="451">
        <f ca="1">IF(AND(Scharniere[[#This Row],[Scharnierart]]=select!$A$1487,Scharniere[[#This Row],[Gruppenschlüssel]]=select!$B$1487)=TRUE,1,0)</f>
        <v>0</v>
      </c>
      <c r="AH960" s="451">
        <f ca="1">IF(AND(Scharniere[[#This Row],[Scharnierart]]=select!$A$1488,Scharniere[[#This Row],[Gruppenschlüssel]]=select!$B$1488)=TRUE,1,0)</f>
        <v>0</v>
      </c>
      <c r="AI960" s="451">
        <f ca="1">IF(SUM(Scharniere[[#This Row],[konf Scharnier 1]:[konf Scharnier 4]])&gt;0,1,0)</f>
        <v>0</v>
      </c>
      <c r="AJ960" s="451"/>
      <c r="AK960" s="451"/>
      <c r="AL960" s="451"/>
      <c r="AM960" s="451"/>
      <c r="AN960" s="451"/>
      <c r="AO960" s="146">
        <v>2</v>
      </c>
      <c r="AP960" s="146">
        <v>9</v>
      </c>
      <c r="AQ960" s="71" t="str">
        <f ca="1">Sprache!$A$112</f>
        <v>Tiomos Scharnier TS Click-on</v>
      </c>
      <c r="AR960" t="str">
        <f ca="1">"120/-15°, B-BB, "&amp;Sprache!$A$58&amp;" ni"</f>
        <v>120/-15°, B-BB, aufl. ni</v>
      </c>
      <c r="AS960" t="str">
        <f ca="1">Sprache!$A$103</f>
        <v>Tiomos Click-On Scharniere</v>
      </c>
      <c r="AT960" t="s">
        <v>1264</v>
      </c>
      <c r="AU960" t="s">
        <v>3</v>
      </c>
      <c r="AV960" t="s">
        <v>1496</v>
      </c>
      <c r="AW960" s="71">
        <v>1</v>
      </c>
      <c r="AX960">
        <v>0</v>
      </c>
      <c r="AY960">
        <v>0</v>
      </c>
      <c r="AZ960" s="71">
        <v>1</v>
      </c>
      <c r="BA960">
        <v>0</v>
      </c>
      <c r="BB960">
        <v>0</v>
      </c>
      <c r="BC960">
        <v>0</v>
      </c>
      <c r="BD960" s="144" t="s">
        <v>1551</v>
      </c>
      <c r="BF960" s="10"/>
      <c r="BG960"/>
    </row>
    <row r="961" spans="1:59" ht="14.25" customHeight="1" x14ac:dyDescent="0.25">
      <c r="A961" s="37" t="str">
        <f>LEFT(Scharniere[[#This Row],[ArtikelNR]],4)</f>
        <v>F045</v>
      </c>
      <c r="B961" s="35" t="str">
        <f>MID(Scharniere[[#This Row],[ArtikelNR]],5,3)</f>
        <v>138</v>
      </c>
      <c r="C961" s="37" t="str">
        <f>RIGHT(Scharniere[[#This Row],[ArtikelNR]],3)</f>
        <v>493</v>
      </c>
      <c r="D961" s="35">
        <f>IF(AND(Scharniere[[#This Row],[Gruppenschlüssel]]=select!$A$44,Scharniere[[#This Row],[Scharnierart]]=1)=TRUE,1,0)</f>
        <v>0</v>
      </c>
      <c r="E9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1" s="35">
        <f>IF(select!$F$57=IF(Scharniere[[#This Row],[mit Dämpfung]]=1,1,IF(Scharniere[[#This Row],[ohne Dämpfung]]=1,2,IF(Scharniere[[#This Row],[ohne Feder]]=1,3,0))),1,0)</f>
        <v>0</v>
      </c>
      <c r="G961" s="35">
        <f>IF(Scharniere[[#This Row],[Bohrbild]]=select!$V$43,1,0)</f>
        <v>0</v>
      </c>
      <c r="H961" s="35">
        <f>IF(IF(Scharniere[[#This Row],[Anschrauben]]=1,1,IF(Scharniere[[#This Row],[Einpressen]]=1,2,IF(Scharniere[[#This Row],[Quick]]=1,3,IF(Scharniere[[#This Row],[Werkzeuglos]]=1,4,0))))=select!$F$48,1,0)</f>
        <v>0</v>
      </c>
      <c r="I9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1" s="149">
        <f>IF(AND(Scharniere[[#This Row],[Scharnierart]]=2,Scharniere[[#This Row],[Gruppenschlüssel]]=select!$A$318)=TRUE,1,0)</f>
        <v>0</v>
      </c>
      <c r="K961" s="221">
        <f ca="1">IF(select!$O$424&lt;6,1,0)</f>
        <v>1</v>
      </c>
      <c r="L961" s="221">
        <f>IF(select!$A$362=IF(Scharniere[[#This Row],[mit Dämpfung]]=1,1,IF(Scharniere[[#This Row],[ohne Dämpfung]]=1,2,IF(Scharniere[[#This Row],[ohne Feder]]=1,3,0))),1,0)</f>
        <v>0</v>
      </c>
      <c r="M961" s="135">
        <f>IF(Scharniere[[#This Row],[Bohrbild]]=select!$O$334,1,0)</f>
        <v>0</v>
      </c>
      <c r="N961" s="135">
        <f>IF(IF(Scharniere[[#This Row],[Anschrauben]]=1,1,IF(Scharniere[[#This Row],[Einpressen]]=1,2,IF(Scharniere[[#This Row],[Quick]]=1,3,IF(Scharniere[[#This Row],[Werkzeuglos]]=1,4,0))))=select!$E$362,1,0)</f>
        <v>1</v>
      </c>
      <c r="O9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1" s="298">
        <f>IF(AND(Scharniere[[#This Row],[Scharnierart]]=3,Scharniere[[#This Row],[Gruppenschlüssel]]=select!$A$747)=TRUE,1,0)</f>
        <v>0</v>
      </c>
      <c r="Q961" s="298">
        <f ca="1">IF(select!$O$945&lt;6,1,0)</f>
        <v>1</v>
      </c>
      <c r="R961" s="298">
        <f>IF(select!$A$778=IF(Scharniere[[#This Row],[mit Dämpfung]]=1,1,IF(Scharniere[[#This Row],[ohne Dämpfung]]=1,2,IF(Scharniere[[#This Row],[ohne Feder]]=1,3,0))),1,0)</f>
        <v>1</v>
      </c>
      <c r="S961" s="298">
        <f>IF(Scharniere[[#This Row],[Bohrbild]]=select!$A$755,1,0)</f>
        <v>0</v>
      </c>
      <c r="T961" s="298">
        <f>IF(IF(Scharniere[[#This Row],[Anschrauben]]=1,1,IF(Scharniere[[#This Row],[Einpressen]]=1,2,IF(Scharniere[[#This Row],[Quick]]=1,3,IF(Scharniere[[#This Row],[Werkzeuglos]]=1,4,0))))=select!$A$769,1,0)</f>
        <v>1</v>
      </c>
      <c r="U9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1" s="359">
        <f>IF(AND(Scharniere[[#This Row],[Scharnierart]]=4,Scharniere[[#This Row],[Gruppenschlüssel]]=select!$A$981)=TRUE,1,0)</f>
        <v>0</v>
      </c>
      <c r="W961" s="359">
        <f ca="1">IF(select!$O$1185&lt;6,1,0)</f>
        <v>1</v>
      </c>
      <c r="X961" s="359">
        <f>IF(select!$A$1012=IF(Scharniere[[#This Row],[mit Dämpfung]]=1,1,IF(Scharniere[[#This Row],[ohne Dämpfung]]=1,2,IF(Scharniere[[#This Row],[ohne Feder]]=1,3,0))),1,0)</f>
        <v>1</v>
      </c>
      <c r="Y961" s="359">
        <f>IF(Scharniere[[#This Row],[Bohrbild]]=select!$A$989,1,0)</f>
        <v>0</v>
      </c>
      <c r="Z961" s="359">
        <f>IF(IF(Scharniere[[#This Row],[Anschrauben]]=1,1,IF(Scharniere[[#This Row],[Einpressen]]=1,2,IF(Scharniere[[#This Row],[Quick]]=1,3,IF(Scharniere[[#This Row],[Werkzeuglos]]=1,4,0))))=select!$A$1003,1,0)</f>
        <v>1</v>
      </c>
      <c r="AA9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1" s="359">
        <f ca="1">IF(select!$K$980="*",Scharniere[[#This Row],[AG Ges2]],Scharniere[[#This Row],[AG Ges1]])</f>
        <v>0</v>
      </c>
      <c r="AE961" s="451">
        <f ca="1">IF(AND(Scharniere[[#This Row],[Scharnierart]]=select!$A$1485,Scharniere[[#This Row],[Gruppenschlüssel]]=select!$B$1485)=TRUE,1,0)</f>
        <v>0</v>
      </c>
      <c r="AF961" s="451">
        <f ca="1">IF(AND(Scharniere[[#This Row],[Scharnierart]]=select!$A$1486,Scharniere[[#This Row],[Gruppenschlüssel]]=select!$B$1486)=TRUE,1,0)</f>
        <v>0</v>
      </c>
      <c r="AG961" s="451">
        <f ca="1">IF(AND(Scharniere[[#This Row],[Scharnierart]]=select!$A$1487,Scharniere[[#This Row],[Gruppenschlüssel]]=select!$B$1487)=TRUE,1,0)</f>
        <v>0</v>
      </c>
      <c r="AH961" s="451">
        <f ca="1">IF(AND(Scharniere[[#This Row],[Scharnierart]]=select!$A$1488,Scharniere[[#This Row],[Gruppenschlüssel]]=select!$B$1488)=TRUE,1,0)</f>
        <v>0</v>
      </c>
      <c r="AI961" s="451">
        <f ca="1">IF(SUM(Scharniere[[#This Row],[konf Scharnier 1]:[konf Scharnier 4]])&gt;0,1,0)</f>
        <v>0</v>
      </c>
      <c r="AJ961" s="451"/>
      <c r="AK961" s="451"/>
      <c r="AL961" s="451"/>
      <c r="AM961" s="451"/>
      <c r="AN961" s="451"/>
      <c r="AO961" s="146">
        <v>2</v>
      </c>
      <c r="AP961" s="146">
        <v>9</v>
      </c>
      <c r="AQ961" s="71" t="str">
        <f ca="1">Sprache!$A$118</f>
        <v>Tiomos Scharnier T Click-on</v>
      </c>
      <c r="AR961" t="str">
        <f ca="1">"120/-15°, B-BB, "&amp;Sprache!$A$58&amp;" ni"</f>
        <v>120/-15°, B-BB, aufl. ni</v>
      </c>
      <c r="AS961" t="str">
        <f ca="1">Sprache!$A$103</f>
        <v>Tiomos Click-On Scharniere</v>
      </c>
      <c r="AT961" t="s">
        <v>1264</v>
      </c>
      <c r="AU961" s="34" t="s">
        <v>3</v>
      </c>
      <c r="AV961" t="s">
        <v>1496</v>
      </c>
      <c r="AW961" s="71">
        <v>0</v>
      </c>
      <c r="AX961">
        <v>1</v>
      </c>
      <c r="AY961">
        <v>0</v>
      </c>
      <c r="AZ961" s="71">
        <v>1</v>
      </c>
      <c r="BA961">
        <v>0</v>
      </c>
      <c r="BB961">
        <v>0</v>
      </c>
      <c r="BC961">
        <v>0</v>
      </c>
      <c r="BD961" s="144" t="s">
        <v>1658</v>
      </c>
      <c r="BF961" s="10"/>
      <c r="BG961"/>
    </row>
    <row r="962" spans="1:59" ht="14.25" customHeight="1" x14ac:dyDescent="0.25">
      <c r="A962" s="37" t="str">
        <f>LEFT(Scharniere[[#This Row],[ArtikelNR]],4)</f>
        <v>F028</v>
      </c>
      <c r="B962" s="35" t="str">
        <f>MID(Scharniere[[#This Row],[ArtikelNR]],5,3)</f>
        <v>138</v>
      </c>
      <c r="C962" s="37" t="str">
        <f>RIGHT(Scharniere[[#This Row],[ArtikelNR]],3)</f>
        <v>373</v>
      </c>
      <c r="D962" s="35">
        <f>IF(AND(Scharniere[[#This Row],[Gruppenschlüssel]]=select!$A$44,Scharniere[[#This Row],[Scharnierart]]=1)=TRUE,1,0)</f>
        <v>0</v>
      </c>
      <c r="E9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2" s="35">
        <f>IF(select!$F$57=IF(Scharniere[[#This Row],[mit Dämpfung]]=1,1,IF(Scharniere[[#This Row],[ohne Dämpfung]]=1,2,IF(Scharniere[[#This Row],[ohne Feder]]=1,3,0))),1,0)</f>
        <v>0</v>
      </c>
      <c r="G962" s="35">
        <f>IF(Scharniere[[#This Row],[Bohrbild]]=select!$V$43,1,0)</f>
        <v>0</v>
      </c>
      <c r="H962" s="35">
        <f>IF(IF(Scharniere[[#This Row],[Anschrauben]]=1,1,IF(Scharniere[[#This Row],[Einpressen]]=1,2,IF(Scharniere[[#This Row],[Quick]]=1,3,IF(Scharniere[[#This Row],[Werkzeuglos]]=1,4,0))))=select!$F$48,1,0)</f>
        <v>0</v>
      </c>
      <c r="I9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2" s="149">
        <f>IF(AND(Scharniere[[#This Row],[Scharnierart]]=2,Scharniere[[#This Row],[Gruppenschlüssel]]=select!$A$318)=TRUE,1,0)</f>
        <v>0</v>
      </c>
      <c r="K962" s="221">
        <f ca="1">IF(select!$O$424&lt;6,1,0)</f>
        <v>1</v>
      </c>
      <c r="L962" s="221">
        <f>IF(select!$A$362=IF(Scharniere[[#This Row],[mit Dämpfung]]=1,1,IF(Scharniere[[#This Row],[ohne Dämpfung]]=1,2,IF(Scharniere[[#This Row],[ohne Feder]]=1,3,0))),1,0)</f>
        <v>1</v>
      </c>
      <c r="M962" s="135">
        <f>IF(Scharniere[[#This Row],[Bohrbild]]=select!$O$334,1,0)</f>
        <v>0</v>
      </c>
      <c r="N962" s="135">
        <f>IF(IF(Scharniere[[#This Row],[Anschrauben]]=1,1,IF(Scharniere[[#This Row],[Einpressen]]=1,2,IF(Scharniere[[#This Row],[Quick]]=1,3,IF(Scharniere[[#This Row],[Werkzeuglos]]=1,4,0))))=select!$E$362,1,0)</f>
        <v>1</v>
      </c>
      <c r="O9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2" s="298">
        <f>IF(AND(Scharniere[[#This Row],[Scharnierart]]=3,Scharniere[[#This Row],[Gruppenschlüssel]]=select!$A$747)=TRUE,1,0)</f>
        <v>0</v>
      </c>
      <c r="Q962" s="298">
        <f ca="1">IF(select!$O$945&lt;6,1,0)</f>
        <v>1</v>
      </c>
      <c r="R962" s="298">
        <f>IF(select!$A$778=IF(Scharniere[[#This Row],[mit Dämpfung]]=1,1,IF(Scharniere[[#This Row],[ohne Dämpfung]]=1,2,IF(Scharniere[[#This Row],[ohne Feder]]=1,3,0))),1,0)</f>
        <v>0</v>
      </c>
      <c r="S962" s="298">
        <f>IF(Scharniere[[#This Row],[Bohrbild]]=select!$A$755,1,0)</f>
        <v>0</v>
      </c>
      <c r="T962" s="298">
        <f>IF(IF(Scharniere[[#This Row],[Anschrauben]]=1,1,IF(Scharniere[[#This Row],[Einpressen]]=1,2,IF(Scharniere[[#This Row],[Quick]]=1,3,IF(Scharniere[[#This Row],[Werkzeuglos]]=1,4,0))))=select!$A$769,1,0)</f>
        <v>1</v>
      </c>
      <c r="U9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2" s="359">
        <f>IF(AND(Scharniere[[#This Row],[Scharnierart]]=4,Scharniere[[#This Row],[Gruppenschlüssel]]=select!$A$981)=TRUE,1,0)</f>
        <v>0</v>
      </c>
      <c r="W962" s="359">
        <f ca="1">IF(select!$O$1185&lt;6,1,0)</f>
        <v>1</v>
      </c>
      <c r="X962" s="359">
        <f>IF(select!$A$1012=IF(Scharniere[[#This Row],[mit Dämpfung]]=1,1,IF(Scharniere[[#This Row],[ohne Dämpfung]]=1,2,IF(Scharniere[[#This Row],[ohne Feder]]=1,3,0))),1,0)</f>
        <v>0</v>
      </c>
      <c r="Y962" s="359">
        <f>IF(Scharniere[[#This Row],[Bohrbild]]=select!$A$989,1,0)</f>
        <v>0</v>
      </c>
      <c r="Z962" s="359">
        <f>IF(IF(Scharniere[[#This Row],[Anschrauben]]=1,1,IF(Scharniere[[#This Row],[Einpressen]]=1,2,IF(Scharniere[[#This Row],[Quick]]=1,3,IF(Scharniere[[#This Row],[Werkzeuglos]]=1,4,0))))=select!$A$1003,1,0)</f>
        <v>1</v>
      </c>
      <c r="AA9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2" s="359">
        <f ca="1">IF(select!$K$980="*",Scharniere[[#This Row],[AG Ges2]],Scharniere[[#This Row],[AG Ges1]])</f>
        <v>0</v>
      </c>
      <c r="AE962" s="451">
        <f ca="1">IF(AND(Scharniere[[#This Row],[Scharnierart]]=select!$A$1485,Scharniere[[#This Row],[Gruppenschlüssel]]=select!$B$1485)=TRUE,1,0)</f>
        <v>0</v>
      </c>
      <c r="AF962" s="451">
        <f ca="1">IF(AND(Scharniere[[#This Row],[Scharnierart]]=select!$A$1486,Scharniere[[#This Row],[Gruppenschlüssel]]=select!$B$1486)=TRUE,1,0)</f>
        <v>0</v>
      </c>
      <c r="AG962" s="451">
        <f ca="1">IF(AND(Scharniere[[#This Row],[Scharnierart]]=select!$A$1487,Scharniere[[#This Row],[Gruppenschlüssel]]=select!$B$1487)=TRUE,1,0)</f>
        <v>0</v>
      </c>
      <c r="AH962" s="451">
        <f ca="1">IF(AND(Scharniere[[#This Row],[Scharnierart]]=select!$A$1488,Scharniere[[#This Row],[Gruppenschlüssel]]=select!$B$1488)=TRUE,1,0)</f>
        <v>0</v>
      </c>
      <c r="AI962" s="451">
        <f ca="1">IF(SUM(Scharniere[[#This Row],[konf Scharnier 1]:[konf Scharnier 4]])&gt;0,1,0)</f>
        <v>0</v>
      </c>
      <c r="AJ962" s="451"/>
      <c r="AK962" s="451"/>
      <c r="AL962" s="451"/>
      <c r="AM962" s="451"/>
      <c r="AN962" s="451"/>
      <c r="AO962" s="146">
        <v>2</v>
      </c>
      <c r="AP962" s="146">
        <v>9</v>
      </c>
      <c r="AQ962" s="71" t="str">
        <f ca="1">Sprache!$A$112</f>
        <v>Tiomos Scharnier TS Click-on</v>
      </c>
      <c r="AR962" t="str">
        <f ca="1">"120/-15°, G-BB, "&amp;Sprache!$A$58&amp;" ni"</f>
        <v>120/-15°, G-BB, aufl. ni</v>
      </c>
      <c r="AS962" t="str">
        <f ca="1">Sprache!$A$103</f>
        <v>Tiomos Click-On Scharniere</v>
      </c>
      <c r="AT962" t="s">
        <v>1264</v>
      </c>
      <c r="AU962" s="34" t="s">
        <v>9</v>
      </c>
      <c r="AV962" t="s">
        <v>1496</v>
      </c>
      <c r="AW962" s="71">
        <v>1</v>
      </c>
      <c r="AX962">
        <v>0</v>
      </c>
      <c r="AY962">
        <v>0</v>
      </c>
      <c r="AZ962" s="71">
        <v>1</v>
      </c>
      <c r="BA962">
        <v>0</v>
      </c>
      <c r="BB962">
        <v>0</v>
      </c>
      <c r="BC962">
        <v>0</v>
      </c>
      <c r="BD962" s="144" t="s">
        <v>1543</v>
      </c>
      <c r="BF962" s="10"/>
      <c r="BG962"/>
    </row>
    <row r="963" spans="1:59" ht="14.25" customHeight="1" x14ac:dyDescent="0.25">
      <c r="A963" s="37" t="str">
        <f>LEFT(Scharniere[[#This Row],[ArtikelNR]],4)</f>
        <v>F045</v>
      </c>
      <c r="B963" s="35" t="str">
        <f>MID(Scharniere[[#This Row],[ArtikelNR]],5,3)</f>
        <v>138</v>
      </c>
      <c r="C963" s="37" t="str">
        <f>RIGHT(Scharniere[[#This Row],[ArtikelNR]],3)</f>
        <v>311</v>
      </c>
      <c r="D963" s="35">
        <f>IF(AND(Scharniere[[#This Row],[Gruppenschlüssel]]=select!$A$44,Scharniere[[#This Row],[Scharnierart]]=1)=TRUE,1,0)</f>
        <v>0</v>
      </c>
      <c r="E9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3" s="35">
        <f>IF(select!$F$57=IF(Scharniere[[#This Row],[mit Dämpfung]]=1,1,IF(Scharniere[[#This Row],[ohne Dämpfung]]=1,2,IF(Scharniere[[#This Row],[ohne Feder]]=1,3,0))),1,0)</f>
        <v>0</v>
      </c>
      <c r="G963" s="35">
        <f>IF(Scharniere[[#This Row],[Bohrbild]]=select!$V$43,1,0)</f>
        <v>0</v>
      </c>
      <c r="H963" s="35">
        <f>IF(IF(Scharniere[[#This Row],[Anschrauben]]=1,1,IF(Scharniere[[#This Row],[Einpressen]]=1,2,IF(Scharniere[[#This Row],[Quick]]=1,3,IF(Scharniere[[#This Row],[Werkzeuglos]]=1,4,0))))=select!$F$48,1,0)</f>
        <v>0</v>
      </c>
      <c r="I9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3" s="149">
        <f>IF(AND(Scharniere[[#This Row],[Scharnierart]]=2,Scharniere[[#This Row],[Gruppenschlüssel]]=select!$A$318)=TRUE,1,0)</f>
        <v>0</v>
      </c>
      <c r="K963" s="221">
        <f ca="1">IF(select!$O$424&lt;6,1,0)</f>
        <v>1</v>
      </c>
      <c r="L963" s="221">
        <f>IF(select!$A$362=IF(Scharniere[[#This Row],[mit Dämpfung]]=1,1,IF(Scharniere[[#This Row],[ohne Dämpfung]]=1,2,IF(Scharniere[[#This Row],[ohne Feder]]=1,3,0))),1,0)</f>
        <v>0</v>
      </c>
      <c r="M963" s="135">
        <f>IF(Scharniere[[#This Row],[Bohrbild]]=select!$O$334,1,0)</f>
        <v>0</v>
      </c>
      <c r="N963" s="135">
        <f>IF(IF(Scharniere[[#This Row],[Anschrauben]]=1,1,IF(Scharniere[[#This Row],[Einpressen]]=1,2,IF(Scharniere[[#This Row],[Quick]]=1,3,IF(Scharniere[[#This Row],[Werkzeuglos]]=1,4,0))))=select!$E$362,1,0)</f>
        <v>1</v>
      </c>
      <c r="O9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3" s="298">
        <f>IF(AND(Scharniere[[#This Row],[Scharnierart]]=3,Scharniere[[#This Row],[Gruppenschlüssel]]=select!$A$747)=TRUE,1,0)</f>
        <v>0</v>
      </c>
      <c r="Q963" s="298">
        <f ca="1">IF(select!$O$945&lt;6,1,0)</f>
        <v>1</v>
      </c>
      <c r="R963" s="298">
        <f>IF(select!$A$778=IF(Scharniere[[#This Row],[mit Dämpfung]]=1,1,IF(Scharniere[[#This Row],[ohne Dämpfung]]=1,2,IF(Scharniere[[#This Row],[ohne Feder]]=1,3,0))),1,0)</f>
        <v>1</v>
      </c>
      <c r="S963" s="298">
        <f>IF(Scharniere[[#This Row],[Bohrbild]]=select!$A$755,1,0)</f>
        <v>0</v>
      </c>
      <c r="T963" s="298">
        <f>IF(IF(Scharniere[[#This Row],[Anschrauben]]=1,1,IF(Scharniere[[#This Row],[Einpressen]]=1,2,IF(Scharniere[[#This Row],[Quick]]=1,3,IF(Scharniere[[#This Row],[Werkzeuglos]]=1,4,0))))=select!$A$769,1,0)</f>
        <v>1</v>
      </c>
      <c r="U9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3" s="359">
        <f>IF(AND(Scharniere[[#This Row],[Scharnierart]]=4,Scharniere[[#This Row],[Gruppenschlüssel]]=select!$A$981)=TRUE,1,0)</f>
        <v>0</v>
      </c>
      <c r="W963" s="359">
        <f ca="1">IF(select!$O$1185&lt;6,1,0)</f>
        <v>1</v>
      </c>
      <c r="X963" s="359">
        <f>IF(select!$A$1012=IF(Scharniere[[#This Row],[mit Dämpfung]]=1,1,IF(Scharniere[[#This Row],[ohne Dämpfung]]=1,2,IF(Scharniere[[#This Row],[ohne Feder]]=1,3,0))),1,0)</f>
        <v>1</v>
      </c>
      <c r="Y963" s="359">
        <f>IF(Scharniere[[#This Row],[Bohrbild]]=select!$A$989,1,0)</f>
        <v>0</v>
      </c>
      <c r="Z963" s="359">
        <f>IF(IF(Scharniere[[#This Row],[Anschrauben]]=1,1,IF(Scharniere[[#This Row],[Einpressen]]=1,2,IF(Scharniere[[#This Row],[Quick]]=1,3,IF(Scharniere[[#This Row],[Werkzeuglos]]=1,4,0))))=select!$A$1003,1,0)</f>
        <v>1</v>
      </c>
      <c r="AA9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3" s="359">
        <f ca="1">IF(select!$K$980="*",Scharniere[[#This Row],[AG Ges2]],Scharniere[[#This Row],[AG Ges1]])</f>
        <v>0</v>
      </c>
      <c r="AE963" s="451">
        <f ca="1">IF(AND(Scharniere[[#This Row],[Scharnierart]]=select!$A$1485,Scharniere[[#This Row],[Gruppenschlüssel]]=select!$B$1485)=TRUE,1,0)</f>
        <v>0</v>
      </c>
      <c r="AF963" s="451">
        <f ca="1">IF(AND(Scharniere[[#This Row],[Scharnierart]]=select!$A$1486,Scharniere[[#This Row],[Gruppenschlüssel]]=select!$B$1486)=TRUE,1,0)</f>
        <v>0</v>
      </c>
      <c r="AG963" s="451">
        <f ca="1">IF(AND(Scharniere[[#This Row],[Scharnierart]]=select!$A$1487,Scharniere[[#This Row],[Gruppenschlüssel]]=select!$B$1487)=TRUE,1,0)</f>
        <v>0</v>
      </c>
      <c r="AH963" s="451">
        <f ca="1">IF(AND(Scharniere[[#This Row],[Scharnierart]]=select!$A$1488,Scharniere[[#This Row],[Gruppenschlüssel]]=select!$B$1488)=TRUE,1,0)</f>
        <v>0</v>
      </c>
      <c r="AI963" s="451">
        <f ca="1">IF(SUM(Scharniere[[#This Row],[konf Scharnier 1]:[konf Scharnier 4]])&gt;0,1,0)</f>
        <v>0</v>
      </c>
      <c r="AJ963" s="451"/>
      <c r="AK963" s="451"/>
      <c r="AL963" s="451"/>
      <c r="AM963" s="451"/>
      <c r="AN963" s="451"/>
      <c r="AO963" s="146">
        <v>2</v>
      </c>
      <c r="AP963" s="146">
        <v>9</v>
      </c>
      <c r="AQ963" s="71" t="str">
        <f ca="1">Sprache!$A$118</f>
        <v>Tiomos Scharnier T Click-on</v>
      </c>
      <c r="AR963" t="str">
        <f ca="1">"120/-15°, G-BB, "&amp;Sprache!$A$58&amp;" ni"</f>
        <v>120/-15°, G-BB, aufl. ni</v>
      </c>
      <c r="AS963" t="str">
        <f ca="1">Sprache!$A$103</f>
        <v>Tiomos Click-On Scharniere</v>
      </c>
      <c r="AT963" t="s">
        <v>1264</v>
      </c>
      <c r="AU963" t="s">
        <v>9</v>
      </c>
      <c r="AV963" t="s">
        <v>1496</v>
      </c>
      <c r="AW963" s="71">
        <v>0</v>
      </c>
      <c r="AX963">
        <v>1</v>
      </c>
      <c r="AY963">
        <v>0</v>
      </c>
      <c r="AZ963" s="71">
        <v>1</v>
      </c>
      <c r="BA963">
        <v>0</v>
      </c>
      <c r="BB963">
        <v>0</v>
      </c>
      <c r="BC963">
        <v>0</v>
      </c>
      <c r="BD963" s="144" t="s">
        <v>1644</v>
      </c>
      <c r="BF963" s="10"/>
      <c r="BG963"/>
    </row>
    <row r="964" spans="1:59" ht="14.25" customHeight="1" x14ac:dyDescent="0.25">
      <c r="A964" s="37" t="str">
        <f>LEFT(Scharniere[[#This Row],[ArtikelNR]],4)</f>
        <v>F017</v>
      </c>
      <c r="B964" s="35" t="str">
        <f>MID(Scharniere[[#This Row],[ArtikelNR]],5,3)</f>
        <v>139</v>
      </c>
      <c r="C964" s="37" t="str">
        <f>RIGHT(Scharniere[[#This Row],[ArtikelNR]],3)</f>
        <v>432</v>
      </c>
      <c r="D964" s="35">
        <f>IF(AND(Scharniere[[#This Row],[Gruppenschlüssel]]=select!$A$44,Scharniere[[#This Row],[Scharnierart]]=1)=TRUE,1,0)</f>
        <v>0</v>
      </c>
      <c r="E9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4" s="35">
        <f>IF(select!$F$57=IF(Scharniere[[#This Row],[mit Dämpfung]]=1,1,IF(Scharniere[[#This Row],[ohne Dämpfung]]=1,2,IF(Scharniere[[#This Row],[ohne Feder]]=1,3,0))),1,0)</f>
        <v>0</v>
      </c>
      <c r="G964" s="35">
        <f>IF(Scharniere[[#This Row],[Bohrbild]]=select!$V$43,1,0)</f>
        <v>0</v>
      </c>
      <c r="H964" s="35">
        <f>IF(IF(Scharniere[[#This Row],[Anschrauben]]=1,1,IF(Scharniere[[#This Row],[Einpressen]]=1,2,IF(Scharniere[[#This Row],[Quick]]=1,3,IF(Scharniere[[#This Row],[Werkzeuglos]]=1,4,0))))=select!$F$48,1,0)</f>
        <v>0</v>
      </c>
      <c r="I9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4" s="149">
        <f>IF(AND(Scharniere[[#This Row],[Scharnierart]]=2,Scharniere[[#This Row],[Gruppenschlüssel]]=select!$A$318)=TRUE,1,0)</f>
        <v>0</v>
      </c>
      <c r="K964" s="221">
        <f ca="1">IF(select!$O$424&lt;6,1,0)</f>
        <v>1</v>
      </c>
      <c r="L964" s="221">
        <f>IF(select!$A$362=IF(Scharniere[[#This Row],[mit Dämpfung]]=1,1,IF(Scharniere[[#This Row],[ohne Dämpfung]]=1,2,IF(Scharniere[[#This Row],[ohne Feder]]=1,3,0))),1,0)</f>
        <v>1</v>
      </c>
      <c r="M964" s="135">
        <f>IF(Scharniere[[#This Row],[Bohrbild]]=select!$O$334,1,0)</f>
        <v>0</v>
      </c>
      <c r="N964" s="135">
        <f>IF(IF(Scharniere[[#This Row],[Anschrauben]]=1,1,IF(Scharniere[[#This Row],[Einpressen]]=1,2,IF(Scharniere[[#This Row],[Quick]]=1,3,IF(Scharniere[[#This Row],[Werkzeuglos]]=1,4,0))))=select!$E$362,1,0)</f>
        <v>0</v>
      </c>
      <c r="O9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4" s="298">
        <f>IF(AND(Scharniere[[#This Row],[Scharnierart]]=3,Scharniere[[#This Row],[Gruppenschlüssel]]=select!$A$747)=TRUE,1,0)</f>
        <v>0</v>
      </c>
      <c r="Q964" s="298">
        <f ca="1">IF(select!$O$945&lt;6,1,0)</f>
        <v>1</v>
      </c>
      <c r="R964" s="298">
        <f>IF(select!$A$778=IF(Scharniere[[#This Row],[mit Dämpfung]]=1,1,IF(Scharniere[[#This Row],[ohne Dämpfung]]=1,2,IF(Scharniere[[#This Row],[ohne Feder]]=1,3,0))),1,0)</f>
        <v>0</v>
      </c>
      <c r="S964" s="298">
        <f>IF(Scharniere[[#This Row],[Bohrbild]]=select!$A$755,1,0)</f>
        <v>0</v>
      </c>
      <c r="T964" s="298">
        <f>IF(IF(Scharniere[[#This Row],[Anschrauben]]=1,1,IF(Scharniere[[#This Row],[Einpressen]]=1,2,IF(Scharniere[[#This Row],[Quick]]=1,3,IF(Scharniere[[#This Row],[Werkzeuglos]]=1,4,0))))=select!$A$769,1,0)</f>
        <v>0</v>
      </c>
      <c r="U9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4" s="359">
        <f>IF(AND(Scharniere[[#This Row],[Scharnierart]]=4,Scharniere[[#This Row],[Gruppenschlüssel]]=select!$A$981)=TRUE,1,0)</f>
        <v>0</v>
      </c>
      <c r="W964" s="359">
        <f ca="1">IF(select!$O$1185&lt;6,1,0)</f>
        <v>1</v>
      </c>
      <c r="X964" s="359">
        <f>IF(select!$A$1012=IF(Scharniere[[#This Row],[mit Dämpfung]]=1,1,IF(Scharniere[[#This Row],[ohne Dämpfung]]=1,2,IF(Scharniere[[#This Row],[ohne Feder]]=1,3,0))),1,0)</f>
        <v>0</v>
      </c>
      <c r="Y964" s="359">
        <f>IF(Scharniere[[#This Row],[Bohrbild]]=select!$A$989,1,0)</f>
        <v>0</v>
      </c>
      <c r="Z964" s="359">
        <f>IF(IF(Scharniere[[#This Row],[Anschrauben]]=1,1,IF(Scharniere[[#This Row],[Einpressen]]=1,2,IF(Scharniere[[#This Row],[Quick]]=1,3,IF(Scharniere[[#This Row],[Werkzeuglos]]=1,4,0))))=select!$A$1003,1,0)</f>
        <v>0</v>
      </c>
      <c r="AA9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4" s="359">
        <f ca="1">IF(select!$K$980="*",Scharniere[[#This Row],[AG Ges2]],Scharniere[[#This Row],[AG Ges1]])</f>
        <v>0</v>
      </c>
      <c r="AE964" s="451">
        <f ca="1">IF(AND(Scharniere[[#This Row],[Scharnierart]]=select!$A$1485,Scharniere[[#This Row],[Gruppenschlüssel]]=select!$B$1485)=TRUE,1,0)</f>
        <v>0</v>
      </c>
      <c r="AF964" s="451">
        <f ca="1">IF(AND(Scharniere[[#This Row],[Scharnierart]]=select!$A$1486,Scharniere[[#This Row],[Gruppenschlüssel]]=select!$B$1486)=TRUE,1,0)</f>
        <v>0</v>
      </c>
      <c r="AG964" s="451">
        <f ca="1">IF(AND(Scharniere[[#This Row],[Scharnierart]]=select!$A$1487,Scharniere[[#This Row],[Gruppenschlüssel]]=select!$B$1487)=TRUE,1,0)</f>
        <v>0</v>
      </c>
      <c r="AH964" s="451">
        <f ca="1">IF(AND(Scharniere[[#This Row],[Scharnierart]]=select!$A$1488,Scharniere[[#This Row],[Gruppenschlüssel]]=select!$B$1488)=TRUE,1,0)</f>
        <v>0</v>
      </c>
      <c r="AI964" s="451">
        <f ca="1">IF(SUM(Scharniere[[#This Row],[konf Scharnier 1]:[konf Scharnier 4]])&gt;0,1,0)</f>
        <v>0</v>
      </c>
      <c r="AJ964" s="451"/>
      <c r="AK964" s="451"/>
      <c r="AL964" s="451"/>
      <c r="AM964" s="451"/>
      <c r="AN964" s="451"/>
      <c r="AO964" s="146">
        <v>2</v>
      </c>
      <c r="AP964" s="146">
        <v>9</v>
      </c>
      <c r="AQ964" s="71" t="str">
        <f ca="1">Sprache!$A$113</f>
        <v>Tiomos Scharnier TS Impresso</v>
      </c>
      <c r="AR964" t="str">
        <f ca="1">"120/-15°, GB-BB, "&amp;Sprache!$A$58&amp;" ni"</f>
        <v>120/-15°, GB-BB, aufl. ni</v>
      </c>
      <c r="AS964" t="str">
        <f ca="1">Sprache!$A$116</f>
        <v>Tiomos Impresso Scharniere</v>
      </c>
      <c r="AT964" t="s">
        <v>1264</v>
      </c>
      <c r="AU964" t="s">
        <v>9</v>
      </c>
      <c r="AV964" t="s">
        <v>1496</v>
      </c>
      <c r="AW964" s="71">
        <v>1</v>
      </c>
      <c r="AX964">
        <v>0</v>
      </c>
      <c r="AY964">
        <v>0</v>
      </c>
      <c r="AZ964" s="71">
        <v>0</v>
      </c>
      <c r="BA964">
        <v>0</v>
      </c>
      <c r="BB964">
        <v>0</v>
      </c>
      <c r="BC964">
        <v>1</v>
      </c>
      <c r="BD964" s="144" t="s">
        <v>1586</v>
      </c>
      <c r="BF964" s="10"/>
      <c r="BG964"/>
    </row>
    <row r="965" spans="1:59" ht="14.25" customHeight="1" x14ac:dyDescent="0.25">
      <c r="A965" s="37" t="str">
        <f>LEFT(Scharniere[[#This Row],[ArtikelNR]],4)</f>
        <v>F017</v>
      </c>
      <c r="B965" s="35" t="str">
        <f>MID(Scharniere[[#This Row],[ArtikelNR]],5,3)</f>
        <v>139</v>
      </c>
      <c r="C965" s="37" t="str">
        <f>RIGHT(Scharniere[[#This Row],[ArtikelNR]],3)</f>
        <v>432</v>
      </c>
      <c r="D965" s="35">
        <f>IF(AND(Scharniere[[#This Row],[Gruppenschlüssel]]=select!$A$44,Scharniere[[#This Row],[Scharnierart]]=1)=TRUE,1,0)</f>
        <v>0</v>
      </c>
      <c r="E9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5" s="35">
        <f>IF(select!$F$57=IF(Scharniere[[#This Row],[mit Dämpfung]]=1,1,IF(Scharniere[[#This Row],[ohne Dämpfung]]=1,2,IF(Scharniere[[#This Row],[ohne Feder]]=1,3,0))),1,0)</f>
        <v>0</v>
      </c>
      <c r="G965" s="35">
        <f>IF(Scharniere[[#This Row],[Bohrbild]]=select!$V$43,1,0)</f>
        <v>0</v>
      </c>
      <c r="H965" s="35">
        <f>IF(IF(Scharniere[[#This Row],[Anschrauben]]=1,1,IF(Scharniere[[#This Row],[Einpressen]]=1,2,IF(Scharniere[[#This Row],[Quick]]=1,3,IF(Scharniere[[#This Row],[Werkzeuglos]]=1,4,0))))=select!$F$48,1,0)</f>
        <v>0</v>
      </c>
      <c r="I9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5" s="149">
        <f>IF(AND(Scharniere[[#This Row],[Scharnierart]]=2,Scharniere[[#This Row],[Gruppenschlüssel]]=select!$A$318)=TRUE,1,0)</f>
        <v>0</v>
      </c>
      <c r="K965" s="221">
        <f ca="1">IF(select!$O$424&lt;6,1,0)</f>
        <v>1</v>
      </c>
      <c r="L965" s="221">
        <f>IF(select!$A$362=IF(Scharniere[[#This Row],[mit Dämpfung]]=1,1,IF(Scharniere[[#This Row],[ohne Dämpfung]]=1,2,IF(Scharniere[[#This Row],[ohne Feder]]=1,3,0))),1,0)</f>
        <v>1</v>
      </c>
      <c r="M965" s="135">
        <f>IF(Scharniere[[#This Row],[Bohrbild]]=select!$O$334,1,0)</f>
        <v>0</v>
      </c>
      <c r="N965" s="135">
        <f>IF(IF(Scharniere[[#This Row],[Anschrauben]]=1,1,IF(Scharniere[[#This Row],[Einpressen]]=1,2,IF(Scharniere[[#This Row],[Quick]]=1,3,IF(Scharniere[[#This Row],[Werkzeuglos]]=1,4,0))))=select!$E$362,1,0)</f>
        <v>0</v>
      </c>
      <c r="O9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5" s="298">
        <f>IF(AND(Scharniere[[#This Row],[Scharnierart]]=3,Scharniere[[#This Row],[Gruppenschlüssel]]=select!$A$747)=TRUE,1,0)</f>
        <v>0</v>
      </c>
      <c r="Q965" s="298">
        <f ca="1">IF(select!$O$945&lt;6,1,0)</f>
        <v>1</v>
      </c>
      <c r="R965" s="298">
        <f>IF(select!$A$778=IF(Scharniere[[#This Row],[mit Dämpfung]]=1,1,IF(Scharniere[[#This Row],[ohne Dämpfung]]=1,2,IF(Scharniere[[#This Row],[ohne Feder]]=1,3,0))),1,0)</f>
        <v>0</v>
      </c>
      <c r="S965" s="298">
        <f>IF(Scharniere[[#This Row],[Bohrbild]]=select!$A$755,1,0)</f>
        <v>0</v>
      </c>
      <c r="T965" s="298">
        <f>IF(IF(Scharniere[[#This Row],[Anschrauben]]=1,1,IF(Scharniere[[#This Row],[Einpressen]]=1,2,IF(Scharniere[[#This Row],[Quick]]=1,3,IF(Scharniere[[#This Row],[Werkzeuglos]]=1,4,0))))=select!$A$769,1,0)</f>
        <v>0</v>
      </c>
      <c r="U9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5" s="359">
        <f>IF(AND(Scharniere[[#This Row],[Scharnierart]]=4,Scharniere[[#This Row],[Gruppenschlüssel]]=select!$A$981)=TRUE,1,0)</f>
        <v>0</v>
      </c>
      <c r="W965" s="359">
        <f ca="1">IF(select!$O$1185&lt;6,1,0)</f>
        <v>1</v>
      </c>
      <c r="X965" s="359">
        <f>IF(select!$A$1012=IF(Scharniere[[#This Row],[mit Dämpfung]]=1,1,IF(Scharniere[[#This Row],[ohne Dämpfung]]=1,2,IF(Scharniere[[#This Row],[ohne Feder]]=1,3,0))),1,0)</f>
        <v>0</v>
      </c>
      <c r="Y965" s="359">
        <f>IF(Scharniere[[#This Row],[Bohrbild]]=select!$A$989,1,0)</f>
        <v>0</v>
      </c>
      <c r="Z965" s="359">
        <f>IF(IF(Scharniere[[#This Row],[Anschrauben]]=1,1,IF(Scharniere[[#This Row],[Einpressen]]=1,2,IF(Scharniere[[#This Row],[Quick]]=1,3,IF(Scharniere[[#This Row],[Werkzeuglos]]=1,4,0))))=select!$A$1003,1,0)</f>
        <v>0</v>
      </c>
      <c r="AA9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5" s="359">
        <f ca="1">IF(select!$K$980="*",Scharniere[[#This Row],[AG Ges2]],Scharniere[[#This Row],[AG Ges1]])</f>
        <v>0</v>
      </c>
      <c r="AE965" s="451">
        <f ca="1">IF(AND(Scharniere[[#This Row],[Scharnierart]]=select!$A$1485,Scharniere[[#This Row],[Gruppenschlüssel]]=select!$B$1485)=TRUE,1,0)</f>
        <v>0</v>
      </c>
      <c r="AF965" s="451">
        <f ca="1">IF(AND(Scharniere[[#This Row],[Scharnierart]]=select!$A$1486,Scharniere[[#This Row],[Gruppenschlüssel]]=select!$B$1486)=TRUE,1,0)</f>
        <v>0</v>
      </c>
      <c r="AG965" s="451">
        <f ca="1">IF(AND(Scharniere[[#This Row],[Scharnierart]]=select!$A$1487,Scharniere[[#This Row],[Gruppenschlüssel]]=select!$B$1487)=TRUE,1,0)</f>
        <v>0</v>
      </c>
      <c r="AH965" s="451">
        <f ca="1">IF(AND(Scharniere[[#This Row],[Scharnierart]]=select!$A$1488,Scharniere[[#This Row],[Gruppenschlüssel]]=select!$B$1488)=TRUE,1,0)</f>
        <v>0</v>
      </c>
      <c r="AI965" s="451">
        <f ca="1">IF(SUM(Scharniere[[#This Row],[konf Scharnier 1]:[konf Scharnier 4]])&gt;0,1,0)</f>
        <v>0</v>
      </c>
      <c r="AJ965" s="451"/>
      <c r="AK965" s="451"/>
      <c r="AL965" s="451"/>
      <c r="AM965" s="451"/>
      <c r="AN965" s="451"/>
      <c r="AO965" s="146">
        <v>2</v>
      </c>
      <c r="AP965" s="146">
        <v>9</v>
      </c>
      <c r="AQ965" s="71" t="str">
        <f ca="1">Sprache!$A$113</f>
        <v>Tiomos Scharnier TS Impresso</v>
      </c>
      <c r="AR965" t="str">
        <f ca="1">"120/-15°, GB-BB, "&amp;Sprache!$A$58&amp;" ni"</f>
        <v>120/-15°, GB-BB, aufl. ni</v>
      </c>
      <c r="AS965" t="str">
        <f ca="1">Sprache!$A$116</f>
        <v>Tiomos Impresso Scharniere</v>
      </c>
      <c r="AT965" t="s">
        <v>1264</v>
      </c>
      <c r="AU965" t="s">
        <v>3</v>
      </c>
      <c r="AV965" t="s">
        <v>1496</v>
      </c>
      <c r="AW965" s="71">
        <v>1</v>
      </c>
      <c r="AX965">
        <v>0</v>
      </c>
      <c r="AY965">
        <v>0</v>
      </c>
      <c r="AZ965" s="71">
        <v>0</v>
      </c>
      <c r="BA965">
        <v>0</v>
      </c>
      <c r="BB965">
        <v>0</v>
      </c>
      <c r="BC965">
        <v>1</v>
      </c>
      <c r="BD965" s="144" t="s">
        <v>1586</v>
      </c>
      <c r="BF965" s="10"/>
      <c r="BG965"/>
    </row>
    <row r="966" spans="1:59" ht="14.25" customHeight="1" x14ac:dyDescent="0.25">
      <c r="A966" s="37" t="str">
        <f>LEFT(Scharniere[[#This Row],[ArtikelNR]],4)</f>
        <v>F034</v>
      </c>
      <c r="B966" s="35" t="str">
        <f>MID(Scharniere[[#This Row],[ArtikelNR]],5,3)</f>
        <v>139</v>
      </c>
      <c r="C966" s="37" t="str">
        <f>RIGHT(Scharniere[[#This Row],[ArtikelNR]],3)</f>
        <v>403</v>
      </c>
      <c r="D966" s="35">
        <f>IF(AND(Scharniere[[#This Row],[Gruppenschlüssel]]=select!$A$44,Scharniere[[#This Row],[Scharnierart]]=1)=TRUE,1,0)</f>
        <v>0</v>
      </c>
      <c r="E9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6" s="35">
        <f>IF(select!$F$57=IF(Scharniere[[#This Row],[mit Dämpfung]]=1,1,IF(Scharniere[[#This Row],[ohne Dämpfung]]=1,2,IF(Scharniere[[#This Row],[ohne Feder]]=1,3,0))),1,0)</f>
        <v>0</v>
      </c>
      <c r="G966" s="35">
        <f>IF(Scharniere[[#This Row],[Bohrbild]]=select!$V$43,1,0)</f>
        <v>0</v>
      </c>
      <c r="H966" s="35">
        <f>IF(IF(Scharniere[[#This Row],[Anschrauben]]=1,1,IF(Scharniere[[#This Row],[Einpressen]]=1,2,IF(Scharniere[[#This Row],[Quick]]=1,3,IF(Scharniere[[#This Row],[Werkzeuglos]]=1,4,0))))=select!$F$48,1,0)</f>
        <v>0</v>
      </c>
      <c r="I9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6" s="149">
        <f>IF(AND(Scharniere[[#This Row],[Scharnierart]]=2,Scharniere[[#This Row],[Gruppenschlüssel]]=select!$A$318)=TRUE,1,0)</f>
        <v>0</v>
      </c>
      <c r="K966" s="221">
        <f ca="1">IF(select!$O$424&lt;6,1,0)</f>
        <v>1</v>
      </c>
      <c r="L966" s="221">
        <f>IF(select!$A$362=IF(Scharniere[[#This Row],[mit Dämpfung]]=1,1,IF(Scharniere[[#This Row],[ohne Dämpfung]]=1,2,IF(Scharniere[[#This Row],[ohne Feder]]=1,3,0))),1,0)</f>
        <v>0</v>
      </c>
      <c r="M966" s="135">
        <f>IF(Scharniere[[#This Row],[Bohrbild]]=select!$O$334,1,0)</f>
        <v>0</v>
      </c>
      <c r="N966" s="135">
        <f>IF(IF(Scharniere[[#This Row],[Anschrauben]]=1,1,IF(Scharniere[[#This Row],[Einpressen]]=1,2,IF(Scharniere[[#This Row],[Quick]]=1,3,IF(Scharniere[[#This Row],[Werkzeuglos]]=1,4,0))))=select!$E$362,1,0)</f>
        <v>0</v>
      </c>
      <c r="O9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6" s="298">
        <f>IF(AND(Scharniere[[#This Row],[Scharnierart]]=3,Scharniere[[#This Row],[Gruppenschlüssel]]=select!$A$747)=TRUE,1,0)</f>
        <v>0</v>
      </c>
      <c r="Q966" s="298">
        <f ca="1">IF(select!$O$945&lt;6,1,0)</f>
        <v>1</v>
      </c>
      <c r="R966" s="298">
        <f>IF(select!$A$778=IF(Scharniere[[#This Row],[mit Dämpfung]]=1,1,IF(Scharniere[[#This Row],[ohne Dämpfung]]=1,2,IF(Scharniere[[#This Row],[ohne Feder]]=1,3,0))),1,0)</f>
        <v>1</v>
      </c>
      <c r="S966" s="298">
        <f>IF(Scharniere[[#This Row],[Bohrbild]]=select!$A$755,1,0)</f>
        <v>0</v>
      </c>
      <c r="T966" s="298">
        <f>IF(IF(Scharniere[[#This Row],[Anschrauben]]=1,1,IF(Scharniere[[#This Row],[Einpressen]]=1,2,IF(Scharniere[[#This Row],[Quick]]=1,3,IF(Scharniere[[#This Row],[Werkzeuglos]]=1,4,0))))=select!$A$769,1,0)</f>
        <v>0</v>
      </c>
      <c r="U9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6" s="359">
        <f>IF(AND(Scharniere[[#This Row],[Scharnierart]]=4,Scharniere[[#This Row],[Gruppenschlüssel]]=select!$A$981)=TRUE,1,0)</f>
        <v>0</v>
      </c>
      <c r="W966" s="359">
        <f ca="1">IF(select!$O$1185&lt;6,1,0)</f>
        <v>1</v>
      </c>
      <c r="X966" s="359">
        <f>IF(select!$A$1012=IF(Scharniere[[#This Row],[mit Dämpfung]]=1,1,IF(Scharniere[[#This Row],[ohne Dämpfung]]=1,2,IF(Scharniere[[#This Row],[ohne Feder]]=1,3,0))),1,0)</f>
        <v>1</v>
      </c>
      <c r="Y966" s="359">
        <f>IF(Scharniere[[#This Row],[Bohrbild]]=select!$A$989,1,0)</f>
        <v>0</v>
      </c>
      <c r="Z966" s="359">
        <f>IF(IF(Scharniere[[#This Row],[Anschrauben]]=1,1,IF(Scharniere[[#This Row],[Einpressen]]=1,2,IF(Scharniere[[#This Row],[Quick]]=1,3,IF(Scharniere[[#This Row],[Werkzeuglos]]=1,4,0))))=select!$A$1003,1,0)</f>
        <v>0</v>
      </c>
      <c r="AA9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6" s="359">
        <f ca="1">IF(select!$K$980="*",Scharniere[[#This Row],[AG Ges2]],Scharniere[[#This Row],[AG Ges1]])</f>
        <v>0</v>
      </c>
      <c r="AE966" s="451">
        <f ca="1">IF(AND(Scharniere[[#This Row],[Scharnierart]]=select!$A$1485,Scharniere[[#This Row],[Gruppenschlüssel]]=select!$B$1485)=TRUE,1,0)</f>
        <v>0</v>
      </c>
      <c r="AF966" s="451">
        <f ca="1">IF(AND(Scharniere[[#This Row],[Scharnierart]]=select!$A$1486,Scharniere[[#This Row],[Gruppenschlüssel]]=select!$B$1486)=TRUE,1,0)</f>
        <v>0</v>
      </c>
      <c r="AG966" s="451">
        <f ca="1">IF(AND(Scharniere[[#This Row],[Scharnierart]]=select!$A$1487,Scharniere[[#This Row],[Gruppenschlüssel]]=select!$B$1487)=TRUE,1,0)</f>
        <v>0</v>
      </c>
      <c r="AH966" s="451">
        <f ca="1">IF(AND(Scharniere[[#This Row],[Scharnierart]]=select!$A$1488,Scharniere[[#This Row],[Gruppenschlüssel]]=select!$B$1488)=TRUE,1,0)</f>
        <v>0</v>
      </c>
      <c r="AI966" s="451">
        <f ca="1">IF(SUM(Scharniere[[#This Row],[konf Scharnier 1]:[konf Scharnier 4]])&gt;0,1,0)</f>
        <v>0</v>
      </c>
      <c r="AJ966" s="451"/>
      <c r="AK966" s="451"/>
      <c r="AL966" s="451"/>
      <c r="AM966" s="451"/>
      <c r="AN966" s="451"/>
      <c r="AO966" s="146">
        <v>2</v>
      </c>
      <c r="AP966" s="146">
        <v>9</v>
      </c>
      <c r="AQ966" s="71" t="str">
        <f ca="1">Sprache!$A$119</f>
        <v>Tiomos Scharnier T Impresso</v>
      </c>
      <c r="AR966" t="str">
        <f ca="1">"120/-15°, GB-BB, "&amp;Sprache!$A$58&amp;" ni"</f>
        <v>120/-15°, GB-BB, aufl. ni</v>
      </c>
      <c r="AS966" t="str">
        <f ca="1">Sprache!$A$103</f>
        <v>Tiomos Click-On Scharniere</v>
      </c>
      <c r="AT966" t="s">
        <v>1264</v>
      </c>
      <c r="AU966" t="s">
        <v>9</v>
      </c>
      <c r="AV966" t="s">
        <v>1496</v>
      </c>
      <c r="AW966" s="71">
        <v>0</v>
      </c>
      <c r="AX966">
        <v>1</v>
      </c>
      <c r="AY966">
        <v>0</v>
      </c>
      <c r="AZ966" s="71">
        <v>0</v>
      </c>
      <c r="BA966">
        <v>0</v>
      </c>
      <c r="BB966">
        <v>0</v>
      </c>
      <c r="BC966">
        <v>1</v>
      </c>
      <c r="BD966" s="144" t="s">
        <v>1764</v>
      </c>
      <c r="BF966" s="10"/>
      <c r="BG966"/>
    </row>
    <row r="967" spans="1:59" ht="14.25" customHeight="1" x14ac:dyDescent="0.25">
      <c r="A967" s="37" t="str">
        <f>LEFT(Scharniere[[#This Row],[ArtikelNR]],4)</f>
        <v>F034</v>
      </c>
      <c r="B967" s="35" t="str">
        <f>MID(Scharniere[[#This Row],[ArtikelNR]],5,3)</f>
        <v>139</v>
      </c>
      <c r="C967" s="37" t="str">
        <f>RIGHT(Scharniere[[#This Row],[ArtikelNR]],3)</f>
        <v>403</v>
      </c>
      <c r="D967" s="35">
        <f>IF(AND(Scharniere[[#This Row],[Gruppenschlüssel]]=select!$A$44,Scharniere[[#This Row],[Scharnierart]]=1)=TRUE,1,0)</f>
        <v>0</v>
      </c>
      <c r="E9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7" s="35">
        <f>IF(select!$F$57=IF(Scharniere[[#This Row],[mit Dämpfung]]=1,1,IF(Scharniere[[#This Row],[ohne Dämpfung]]=1,2,IF(Scharniere[[#This Row],[ohne Feder]]=1,3,0))),1,0)</f>
        <v>0</v>
      </c>
      <c r="G967" s="35">
        <f>IF(Scharniere[[#This Row],[Bohrbild]]=select!$V$43,1,0)</f>
        <v>0</v>
      </c>
      <c r="H967" s="35">
        <f>IF(IF(Scharniere[[#This Row],[Anschrauben]]=1,1,IF(Scharniere[[#This Row],[Einpressen]]=1,2,IF(Scharniere[[#This Row],[Quick]]=1,3,IF(Scharniere[[#This Row],[Werkzeuglos]]=1,4,0))))=select!$F$48,1,0)</f>
        <v>0</v>
      </c>
      <c r="I9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7" s="149">
        <f>IF(AND(Scharniere[[#This Row],[Scharnierart]]=2,Scharniere[[#This Row],[Gruppenschlüssel]]=select!$A$318)=TRUE,1,0)</f>
        <v>0</v>
      </c>
      <c r="K967" s="221">
        <f ca="1">IF(select!$O$424&lt;6,1,0)</f>
        <v>1</v>
      </c>
      <c r="L967" s="221">
        <f>IF(select!$A$362=IF(Scharniere[[#This Row],[mit Dämpfung]]=1,1,IF(Scharniere[[#This Row],[ohne Dämpfung]]=1,2,IF(Scharniere[[#This Row],[ohne Feder]]=1,3,0))),1,0)</f>
        <v>0</v>
      </c>
      <c r="M967" s="135">
        <f>IF(Scharniere[[#This Row],[Bohrbild]]=select!$O$334,1,0)</f>
        <v>0</v>
      </c>
      <c r="N967" s="135">
        <f>IF(IF(Scharniere[[#This Row],[Anschrauben]]=1,1,IF(Scharniere[[#This Row],[Einpressen]]=1,2,IF(Scharniere[[#This Row],[Quick]]=1,3,IF(Scharniere[[#This Row],[Werkzeuglos]]=1,4,0))))=select!$E$362,1,0)</f>
        <v>0</v>
      </c>
      <c r="O9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7" s="298">
        <f>IF(AND(Scharniere[[#This Row],[Scharnierart]]=3,Scharniere[[#This Row],[Gruppenschlüssel]]=select!$A$747)=TRUE,1,0)</f>
        <v>0</v>
      </c>
      <c r="Q967" s="298">
        <f ca="1">IF(select!$O$945&lt;6,1,0)</f>
        <v>1</v>
      </c>
      <c r="R967" s="298">
        <f>IF(select!$A$778=IF(Scharniere[[#This Row],[mit Dämpfung]]=1,1,IF(Scharniere[[#This Row],[ohne Dämpfung]]=1,2,IF(Scharniere[[#This Row],[ohne Feder]]=1,3,0))),1,0)</f>
        <v>1</v>
      </c>
      <c r="S967" s="298">
        <f>IF(Scharniere[[#This Row],[Bohrbild]]=select!$A$755,1,0)</f>
        <v>0</v>
      </c>
      <c r="T967" s="298">
        <f>IF(IF(Scharniere[[#This Row],[Anschrauben]]=1,1,IF(Scharniere[[#This Row],[Einpressen]]=1,2,IF(Scharniere[[#This Row],[Quick]]=1,3,IF(Scharniere[[#This Row],[Werkzeuglos]]=1,4,0))))=select!$A$769,1,0)</f>
        <v>0</v>
      </c>
      <c r="U9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7" s="359">
        <f>IF(AND(Scharniere[[#This Row],[Scharnierart]]=4,Scharniere[[#This Row],[Gruppenschlüssel]]=select!$A$981)=TRUE,1,0)</f>
        <v>0</v>
      </c>
      <c r="W967" s="359">
        <f ca="1">IF(select!$O$1185&lt;6,1,0)</f>
        <v>1</v>
      </c>
      <c r="X967" s="359">
        <f>IF(select!$A$1012=IF(Scharniere[[#This Row],[mit Dämpfung]]=1,1,IF(Scharniere[[#This Row],[ohne Dämpfung]]=1,2,IF(Scharniere[[#This Row],[ohne Feder]]=1,3,0))),1,0)</f>
        <v>1</v>
      </c>
      <c r="Y967" s="359">
        <f>IF(Scharniere[[#This Row],[Bohrbild]]=select!$A$989,1,0)</f>
        <v>0</v>
      </c>
      <c r="Z967" s="359">
        <f>IF(IF(Scharniere[[#This Row],[Anschrauben]]=1,1,IF(Scharniere[[#This Row],[Einpressen]]=1,2,IF(Scharniere[[#This Row],[Quick]]=1,3,IF(Scharniere[[#This Row],[Werkzeuglos]]=1,4,0))))=select!$A$1003,1,0)</f>
        <v>0</v>
      </c>
      <c r="AA9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7" s="359">
        <f ca="1">IF(select!$K$980="*",Scharniere[[#This Row],[AG Ges2]],Scharniere[[#This Row],[AG Ges1]])</f>
        <v>0</v>
      </c>
      <c r="AE967" s="451">
        <f ca="1">IF(AND(Scharniere[[#This Row],[Scharnierart]]=select!$A$1485,Scharniere[[#This Row],[Gruppenschlüssel]]=select!$B$1485)=TRUE,1,0)</f>
        <v>0</v>
      </c>
      <c r="AF967" s="451">
        <f ca="1">IF(AND(Scharniere[[#This Row],[Scharnierart]]=select!$A$1486,Scharniere[[#This Row],[Gruppenschlüssel]]=select!$B$1486)=TRUE,1,0)</f>
        <v>0</v>
      </c>
      <c r="AG967" s="451">
        <f ca="1">IF(AND(Scharniere[[#This Row],[Scharnierart]]=select!$A$1487,Scharniere[[#This Row],[Gruppenschlüssel]]=select!$B$1487)=TRUE,1,0)</f>
        <v>0</v>
      </c>
      <c r="AH967" s="451">
        <f ca="1">IF(AND(Scharniere[[#This Row],[Scharnierart]]=select!$A$1488,Scharniere[[#This Row],[Gruppenschlüssel]]=select!$B$1488)=TRUE,1,0)</f>
        <v>0</v>
      </c>
      <c r="AI967" s="451">
        <f ca="1">IF(SUM(Scharniere[[#This Row],[konf Scharnier 1]:[konf Scharnier 4]])&gt;0,1,0)</f>
        <v>0</v>
      </c>
      <c r="AJ967" s="451"/>
      <c r="AK967" s="451"/>
      <c r="AL967" s="451"/>
      <c r="AM967" s="451"/>
      <c r="AN967" s="451"/>
      <c r="AO967" s="146">
        <v>2</v>
      </c>
      <c r="AP967" s="146">
        <v>9</v>
      </c>
      <c r="AQ967" s="71" t="str">
        <f ca="1">Sprache!$A$119</f>
        <v>Tiomos Scharnier T Impresso</v>
      </c>
      <c r="AR967" t="str">
        <f ca="1">"120/-15°, GB-BB, "&amp;Sprache!$A$58&amp;" ni"</f>
        <v>120/-15°, GB-BB, aufl. ni</v>
      </c>
      <c r="AS967" t="str">
        <f ca="1">Sprache!$A$103</f>
        <v>Tiomos Click-On Scharniere</v>
      </c>
      <c r="AT967" t="s">
        <v>1264</v>
      </c>
      <c r="AU967" t="s">
        <v>3</v>
      </c>
      <c r="AV967" t="s">
        <v>1496</v>
      </c>
      <c r="AW967" s="71">
        <v>0</v>
      </c>
      <c r="AX967">
        <v>1</v>
      </c>
      <c r="AY967">
        <v>0</v>
      </c>
      <c r="AZ967" s="71">
        <v>0</v>
      </c>
      <c r="BA967">
        <v>0</v>
      </c>
      <c r="BB967">
        <v>0</v>
      </c>
      <c r="BC967">
        <v>1</v>
      </c>
      <c r="BD967" s="144" t="s">
        <v>1764</v>
      </c>
      <c r="BF967" s="10"/>
      <c r="BG967"/>
    </row>
    <row r="968" spans="1:59" ht="14.25" customHeight="1" x14ac:dyDescent="0.25">
      <c r="A968" s="37" t="str">
        <f>LEFT(Scharniere[[#This Row],[ArtikelNR]],4)</f>
        <v>F028</v>
      </c>
      <c r="B968" s="35" t="str">
        <f>MID(Scharniere[[#This Row],[ArtikelNR]],5,3)</f>
        <v>138</v>
      </c>
      <c r="C968" s="37" t="str">
        <f>RIGHT(Scharniere[[#This Row],[ArtikelNR]],3)</f>
        <v>737</v>
      </c>
      <c r="D968" s="35">
        <f>IF(AND(Scharniere[[#This Row],[Gruppenschlüssel]]=select!$A$44,Scharniere[[#This Row],[Scharnierart]]=1)=TRUE,1,0)</f>
        <v>0</v>
      </c>
      <c r="E9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8" s="35">
        <f>IF(select!$F$57=IF(Scharniere[[#This Row],[mit Dämpfung]]=1,1,IF(Scharniere[[#This Row],[ohne Dämpfung]]=1,2,IF(Scharniere[[#This Row],[ohne Feder]]=1,3,0))),1,0)</f>
        <v>0</v>
      </c>
      <c r="G968" s="35">
        <f>IF(Scharniere[[#This Row],[Bohrbild]]=select!$V$43,1,0)</f>
        <v>0</v>
      </c>
      <c r="H968" s="35">
        <f>IF(IF(Scharniere[[#This Row],[Anschrauben]]=1,1,IF(Scharniere[[#This Row],[Einpressen]]=1,2,IF(Scharniere[[#This Row],[Quick]]=1,3,IF(Scharniere[[#This Row],[Werkzeuglos]]=1,4,0))))=select!$F$48,1,0)</f>
        <v>0</v>
      </c>
      <c r="I9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8" s="149">
        <f>IF(AND(Scharniere[[#This Row],[Scharnierart]]=2,Scharniere[[#This Row],[Gruppenschlüssel]]=select!$A$318)=TRUE,1,0)</f>
        <v>0</v>
      </c>
      <c r="K968" s="221">
        <f ca="1">IF(select!$O$424&lt;6,1,0)</f>
        <v>1</v>
      </c>
      <c r="L968" s="221">
        <f>IF(select!$A$362=IF(Scharniere[[#This Row],[mit Dämpfung]]=1,1,IF(Scharniere[[#This Row],[ohne Dämpfung]]=1,2,IF(Scharniere[[#This Row],[ohne Feder]]=1,3,0))),1,0)</f>
        <v>1</v>
      </c>
      <c r="M968" s="135">
        <f>IF(Scharniere[[#This Row],[Bohrbild]]=select!$O$334,1,0)</f>
        <v>0</v>
      </c>
      <c r="N968" s="135">
        <f>IF(IF(Scharniere[[#This Row],[Anschrauben]]=1,1,IF(Scharniere[[#This Row],[Einpressen]]=1,2,IF(Scharniere[[#This Row],[Quick]]=1,3,IF(Scharniere[[#This Row],[Werkzeuglos]]=1,4,0))))=select!$E$362,1,0)</f>
        <v>1</v>
      </c>
      <c r="O9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8" s="298">
        <f>IF(AND(Scharniere[[#This Row],[Scharnierart]]=3,Scharniere[[#This Row],[Gruppenschlüssel]]=select!$A$747)=TRUE,1,0)</f>
        <v>0</v>
      </c>
      <c r="Q968" s="298">
        <f ca="1">IF(select!$O$945&lt;6,1,0)</f>
        <v>1</v>
      </c>
      <c r="R968" s="298">
        <f>IF(select!$A$778=IF(Scharniere[[#This Row],[mit Dämpfung]]=1,1,IF(Scharniere[[#This Row],[ohne Dämpfung]]=1,2,IF(Scharniere[[#This Row],[ohne Feder]]=1,3,0))),1,0)</f>
        <v>0</v>
      </c>
      <c r="S968" s="298">
        <f>IF(Scharniere[[#This Row],[Bohrbild]]=select!$A$755,1,0)</f>
        <v>0</v>
      </c>
      <c r="T968" s="298">
        <f>IF(IF(Scharniere[[#This Row],[Anschrauben]]=1,1,IF(Scharniere[[#This Row],[Einpressen]]=1,2,IF(Scharniere[[#This Row],[Quick]]=1,3,IF(Scharniere[[#This Row],[Werkzeuglos]]=1,4,0))))=select!$A$769,1,0)</f>
        <v>1</v>
      </c>
      <c r="U9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8" s="359">
        <f>IF(AND(Scharniere[[#This Row],[Scharnierart]]=4,Scharniere[[#This Row],[Gruppenschlüssel]]=select!$A$981)=TRUE,1,0)</f>
        <v>0</v>
      </c>
      <c r="W968" s="359">
        <f ca="1">IF(select!$O$1185&lt;6,1,0)</f>
        <v>1</v>
      </c>
      <c r="X968" s="359">
        <f>IF(select!$A$1012=IF(Scharniere[[#This Row],[mit Dämpfung]]=1,1,IF(Scharniere[[#This Row],[ohne Dämpfung]]=1,2,IF(Scharniere[[#This Row],[ohne Feder]]=1,3,0))),1,0)</f>
        <v>0</v>
      </c>
      <c r="Y968" s="359">
        <f>IF(Scharniere[[#This Row],[Bohrbild]]=select!$A$989,1,0)</f>
        <v>0</v>
      </c>
      <c r="Z968" s="359">
        <f>IF(IF(Scharniere[[#This Row],[Anschrauben]]=1,1,IF(Scharniere[[#This Row],[Einpressen]]=1,2,IF(Scharniere[[#This Row],[Quick]]=1,3,IF(Scharniere[[#This Row],[Werkzeuglos]]=1,4,0))))=select!$A$1003,1,0)</f>
        <v>1</v>
      </c>
      <c r="AA9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8" s="359">
        <f ca="1">IF(select!$K$980="*",Scharniere[[#This Row],[AG Ges2]],Scharniere[[#This Row],[AG Ges1]])</f>
        <v>0</v>
      </c>
      <c r="AE968" s="451">
        <f ca="1">IF(AND(Scharniere[[#This Row],[Scharnierart]]=select!$A$1485,Scharniere[[#This Row],[Gruppenschlüssel]]=select!$B$1485)=TRUE,1,0)</f>
        <v>0</v>
      </c>
      <c r="AF968" s="451">
        <f ca="1">IF(AND(Scharniere[[#This Row],[Scharnierart]]=select!$A$1486,Scharniere[[#This Row],[Gruppenschlüssel]]=select!$B$1486)=TRUE,1,0)</f>
        <v>0</v>
      </c>
      <c r="AG968" s="451">
        <f ca="1">IF(AND(Scharniere[[#This Row],[Scharnierart]]=select!$A$1487,Scharniere[[#This Row],[Gruppenschlüssel]]=select!$B$1487)=TRUE,1,0)</f>
        <v>0</v>
      </c>
      <c r="AH968" s="451">
        <f ca="1">IF(AND(Scharniere[[#This Row],[Scharnierart]]=select!$A$1488,Scharniere[[#This Row],[Gruppenschlüssel]]=select!$B$1488)=TRUE,1,0)</f>
        <v>0</v>
      </c>
      <c r="AI968" s="451">
        <f ca="1">IF(SUM(Scharniere[[#This Row],[konf Scharnier 1]:[konf Scharnier 4]])&gt;0,1,0)</f>
        <v>0</v>
      </c>
      <c r="AJ968" s="451"/>
      <c r="AK968" s="451"/>
      <c r="AL968" s="451"/>
      <c r="AM968" s="451"/>
      <c r="AN968" s="451"/>
      <c r="AO968" s="146">
        <v>2</v>
      </c>
      <c r="AP968" s="146">
        <v>9</v>
      </c>
      <c r="AQ968" s="71" t="str">
        <f ca="1">Sprache!$A$112</f>
        <v>Tiomos Scharnier TS Click-on</v>
      </c>
      <c r="AR968" t="str">
        <f ca="1">"120/-15°, H-BB, "&amp;Sprache!$A$58&amp;" ni"</f>
        <v>120/-15°, H-BB, aufl. ni</v>
      </c>
      <c r="AS968" t="str">
        <f ca="1">Sprache!$A$103</f>
        <v>Tiomos Click-On Scharniere</v>
      </c>
      <c r="AT968" t="s">
        <v>1264</v>
      </c>
      <c r="AU968" t="s">
        <v>10</v>
      </c>
      <c r="AV968" t="s">
        <v>1496</v>
      </c>
      <c r="AW968" s="71">
        <v>1</v>
      </c>
      <c r="AX968">
        <v>0</v>
      </c>
      <c r="AY968">
        <v>0</v>
      </c>
      <c r="AZ968" s="71">
        <v>1</v>
      </c>
      <c r="BA968">
        <v>0</v>
      </c>
      <c r="BB968">
        <v>0</v>
      </c>
      <c r="BC968">
        <v>0</v>
      </c>
      <c r="BD968" s="144" t="s">
        <v>1564</v>
      </c>
      <c r="BF968" s="10"/>
      <c r="BG968"/>
    </row>
    <row r="969" spans="1:59" ht="14.25" customHeight="1" x14ac:dyDescent="0.25">
      <c r="A969" s="37" t="str">
        <f>LEFT(Scharniere[[#This Row],[ArtikelNR]],4)</f>
        <v>F045</v>
      </c>
      <c r="B969" s="35" t="str">
        <f>MID(Scharniere[[#This Row],[ArtikelNR]],5,3)</f>
        <v>138</v>
      </c>
      <c r="C969" s="37" t="str">
        <f>RIGHT(Scharniere[[#This Row],[ArtikelNR]],3)</f>
        <v>675</v>
      </c>
      <c r="D969" s="35">
        <f>IF(AND(Scharniere[[#This Row],[Gruppenschlüssel]]=select!$A$44,Scharniere[[#This Row],[Scharnierart]]=1)=TRUE,1,0)</f>
        <v>0</v>
      </c>
      <c r="E9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69" s="35">
        <f>IF(select!$F$57=IF(Scharniere[[#This Row],[mit Dämpfung]]=1,1,IF(Scharniere[[#This Row],[ohne Dämpfung]]=1,2,IF(Scharniere[[#This Row],[ohne Feder]]=1,3,0))),1,0)</f>
        <v>0</v>
      </c>
      <c r="G969" s="35">
        <f>IF(Scharniere[[#This Row],[Bohrbild]]=select!$V$43,1,0)</f>
        <v>0</v>
      </c>
      <c r="H969" s="35">
        <f>IF(IF(Scharniere[[#This Row],[Anschrauben]]=1,1,IF(Scharniere[[#This Row],[Einpressen]]=1,2,IF(Scharniere[[#This Row],[Quick]]=1,3,IF(Scharniere[[#This Row],[Werkzeuglos]]=1,4,0))))=select!$F$48,1,0)</f>
        <v>0</v>
      </c>
      <c r="I9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69" s="149">
        <f>IF(AND(Scharniere[[#This Row],[Scharnierart]]=2,Scharniere[[#This Row],[Gruppenschlüssel]]=select!$A$318)=TRUE,1,0)</f>
        <v>0</v>
      </c>
      <c r="K969" s="221">
        <f ca="1">IF(select!$O$424&lt;6,1,0)</f>
        <v>1</v>
      </c>
      <c r="L969" s="221">
        <f>IF(select!$A$362=IF(Scharniere[[#This Row],[mit Dämpfung]]=1,1,IF(Scharniere[[#This Row],[ohne Dämpfung]]=1,2,IF(Scharniere[[#This Row],[ohne Feder]]=1,3,0))),1,0)</f>
        <v>0</v>
      </c>
      <c r="M969" s="135">
        <f>IF(Scharniere[[#This Row],[Bohrbild]]=select!$O$334,1,0)</f>
        <v>0</v>
      </c>
      <c r="N969" s="135">
        <f>IF(IF(Scharniere[[#This Row],[Anschrauben]]=1,1,IF(Scharniere[[#This Row],[Einpressen]]=1,2,IF(Scharniere[[#This Row],[Quick]]=1,3,IF(Scharniere[[#This Row],[Werkzeuglos]]=1,4,0))))=select!$E$362,1,0)</f>
        <v>1</v>
      </c>
      <c r="O9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69" s="298">
        <f>IF(AND(Scharniere[[#This Row],[Scharnierart]]=3,Scharniere[[#This Row],[Gruppenschlüssel]]=select!$A$747)=TRUE,1,0)</f>
        <v>0</v>
      </c>
      <c r="Q969" s="298">
        <f ca="1">IF(select!$O$945&lt;6,1,0)</f>
        <v>1</v>
      </c>
      <c r="R969" s="298">
        <f>IF(select!$A$778=IF(Scharniere[[#This Row],[mit Dämpfung]]=1,1,IF(Scharniere[[#This Row],[ohne Dämpfung]]=1,2,IF(Scharniere[[#This Row],[ohne Feder]]=1,3,0))),1,0)</f>
        <v>1</v>
      </c>
      <c r="S969" s="298">
        <f>IF(Scharniere[[#This Row],[Bohrbild]]=select!$A$755,1,0)</f>
        <v>0</v>
      </c>
      <c r="T969" s="298">
        <f>IF(IF(Scharniere[[#This Row],[Anschrauben]]=1,1,IF(Scharniere[[#This Row],[Einpressen]]=1,2,IF(Scharniere[[#This Row],[Quick]]=1,3,IF(Scharniere[[#This Row],[Werkzeuglos]]=1,4,0))))=select!$A$769,1,0)</f>
        <v>1</v>
      </c>
      <c r="U9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69" s="359">
        <f>IF(AND(Scharniere[[#This Row],[Scharnierart]]=4,Scharniere[[#This Row],[Gruppenschlüssel]]=select!$A$981)=TRUE,1,0)</f>
        <v>0</v>
      </c>
      <c r="W969" s="359">
        <f ca="1">IF(select!$O$1185&lt;6,1,0)</f>
        <v>1</v>
      </c>
      <c r="X969" s="359">
        <f>IF(select!$A$1012=IF(Scharniere[[#This Row],[mit Dämpfung]]=1,1,IF(Scharniere[[#This Row],[ohne Dämpfung]]=1,2,IF(Scharniere[[#This Row],[ohne Feder]]=1,3,0))),1,0)</f>
        <v>1</v>
      </c>
      <c r="Y969" s="359">
        <f>IF(Scharniere[[#This Row],[Bohrbild]]=select!$A$989,1,0)</f>
        <v>0</v>
      </c>
      <c r="Z969" s="359">
        <f>IF(IF(Scharniere[[#This Row],[Anschrauben]]=1,1,IF(Scharniere[[#This Row],[Einpressen]]=1,2,IF(Scharniere[[#This Row],[Quick]]=1,3,IF(Scharniere[[#This Row],[Werkzeuglos]]=1,4,0))))=select!$A$1003,1,0)</f>
        <v>1</v>
      </c>
      <c r="AA9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69" s="359">
        <f ca="1">IF(select!$K$980="*",Scharniere[[#This Row],[AG Ges2]],Scharniere[[#This Row],[AG Ges1]])</f>
        <v>0</v>
      </c>
      <c r="AE969" s="451">
        <f ca="1">IF(AND(Scharniere[[#This Row],[Scharnierart]]=select!$A$1485,Scharniere[[#This Row],[Gruppenschlüssel]]=select!$B$1485)=TRUE,1,0)</f>
        <v>0</v>
      </c>
      <c r="AF969" s="451">
        <f ca="1">IF(AND(Scharniere[[#This Row],[Scharnierart]]=select!$A$1486,Scharniere[[#This Row],[Gruppenschlüssel]]=select!$B$1486)=TRUE,1,0)</f>
        <v>0</v>
      </c>
      <c r="AG969" s="451">
        <f ca="1">IF(AND(Scharniere[[#This Row],[Scharnierart]]=select!$A$1487,Scharniere[[#This Row],[Gruppenschlüssel]]=select!$B$1487)=TRUE,1,0)</f>
        <v>0</v>
      </c>
      <c r="AH969" s="451">
        <f ca="1">IF(AND(Scharniere[[#This Row],[Scharnierart]]=select!$A$1488,Scharniere[[#This Row],[Gruppenschlüssel]]=select!$B$1488)=TRUE,1,0)</f>
        <v>0</v>
      </c>
      <c r="AI969" s="451">
        <f ca="1">IF(SUM(Scharniere[[#This Row],[konf Scharnier 1]:[konf Scharnier 4]])&gt;0,1,0)</f>
        <v>0</v>
      </c>
      <c r="AJ969" s="451"/>
      <c r="AK969" s="451"/>
      <c r="AL969" s="451"/>
      <c r="AM969" s="451"/>
      <c r="AN969" s="451"/>
      <c r="AO969" s="146">
        <v>2</v>
      </c>
      <c r="AP969" s="146">
        <v>9</v>
      </c>
      <c r="AQ969" s="71" t="str">
        <f ca="1">Sprache!$A$118</f>
        <v>Tiomos Scharnier T Click-on</v>
      </c>
      <c r="AR969" t="str">
        <f ca="1">"120/-15°, H-BB, "&amp;Sprache!$A$58&amp;" ni"</f>
        <v>120/-15°, H-BB, aufl. ni</v>
      </c>
      <c r="AS969" t="str">
        <f ca="1">Sprache!$A$103</f>
        <v>Tiomos Click-On Scharniere</v>
      </c>
      <c r="AT969" t="s">
        <v>1264</v>
      </c>
      <c r="AU969" t="s">
        <v>10</v>
      </c>
      <c r="AV969" t="s">
        <v>1496</v>
      </c>
      <c r="AW969" s="71">
        <v>0</v>
      </c>
      <c r="AX969">
        <v>1</v>
      </c>
      <c r="AY969">
        <v>0</v>
      </c>
      <c r="AZ969" s="71">
        <v>1</v>
      </c>
      <c r="BA969">
        <v>0</v>
      </c>
      <c r="BB969">
        <v>0</v>
      </c>
      <c r="BC969">
        <v>0</v>
      </c>
      <c r="BD969" s="144" t="s">
        <v>1673</v>
      </c>
      <c r="BF969" s="10"/>
      <c r="BG969"/>
    </row>
    <row r="970" spans="1:59" ht="14.25" customHeight="1" x14ac:dyDescent="0.25">
      <c r="A970" s="37" t="str">
        <f>LEFT(Scharniere[[#This Row],[ArtikelNR]],4)</f>
        <v>F017</v>
      </c>
      <c r="B970" s="35" t="str">
        <f>MID(Scharniere[[#This Row],[ArtikelNR]],5,3)</f>
        <v>139</v>
      </c>
      <c r="C970" s="37" t="str">
        <f>RIGHT(Scharniere[[#This Row],[ArtikelNR]],3)</f>
        <v>517</v>
      </c>
      <c r="D970" s="35">
        <f>IF(AND(Scharniere[[#This Row],[Gruppenschlüssel]]=select!$A$44,Scharniere[[#This Row],[Scharnierart]]=1)=TRUE,1,0)</f>
        <v>0</v>
      </c>
      <c r="E9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0" s="35">
        <f>IF(select!$F$57=IF(Scharniere[[#This Row],[mit Dämpfung]]=1,1,IF(Scharniere[[#This Row],[ohne Dämpfung]]=1,2,IF(Scharniere[[#This Row],[ohne Feder]]=1,3,0))),1,0)</f>
        <v>0</v>
      </c>
      <c r="G970" s="35">
        <f>IF(Scharniere[[#This Row],[Bohrbild]]=select!$V$43,1,0)</f>
        <v>0</v>
      </c>
      <c r="H970" s="35">
        <f>IF(IF(Scharniere[[#This Row],[Anschrauben]]=1,1,IF(Scharniere[[#This Row],[Einpressen]]=1,2,IF(Scharniere[[#This Row],[Quick]]=1,3,IF(Scharniere[[#This Row],[Werkzeuglos]]=1,4,0))))=select!$F$48,1,0)</f>
        <v>0</v>
      </c>
      <c r="I9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0" s="149">
        <f>IF(AND(Scharniere[[#This Row],[Scharnierart]]=2,Scharniere[[#This Row],[Gruppenschlüssel]]=select!$A$318)=TRUE,1,0)</f>
        <v>0</v>
      </c>
      <c r="K970" s="221">
        <f ca="1">IF(select!$O$424&lt;6,1,0)</f>
        <v>1</v>
      </c>
      <c r="L970" s="221">
        <f>IF(select!$A$362=IF(Scharniere[[#This Row],[mit Dämpfung]]=1,1,IF(Scharniere[[#This Row],[ohne Dämpfung]]=1,2,IF(Scharniere[[#This Row],[ohne Feder]]=1,3,0))),1,0)</f>
        <v>1</v>
      </c>
      <c r="M970" s="135">
        <f>IF(Scharniere[[#This Row],[Bohrbild]]=select!$O$334,1,0)</f>
        <v>0</v>
      </c>
      <c r="N970" s="135">
        <f>IF(IF(Scharniere[[#This Row],[Anschrauben]]=1,1,IF(Scharniere[[#This Row],[Einpressen]]=1,2,IF(Scharniere[[#This Row],[Quick]]=1,3,IF(Scharniere[[#This Row],[Werkzeuglos]]=1,4,0))))=select!$E$362,1,0)</f>
        <v>0</v>
      </c>
      <c r="O9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0" s="298">
        <f>IF(AND(Scharniere[[#This Row],[Scharnierart]]=3,Scharniere[[#This Row],[Gruppenschlüssel]]=select!$A$747)=TRUE,1,0)</f>
        <v>0</v>
      </c>
      <c r="Q970" s="298">
        <f ca="1">IF(select!$O$945&lt;6,1,0)</f>
        <v>1</v>
      </c>
      <c r="R970" s="298">
        <f>IF(select!$A$778=IF(Scharniere[[#This Row],[mit Dämpfung]]=1,1,IF(Scharniere[[#This Row],[ohne Dämpfung]]=1,2,IF(Scharniere[[#This Row],[ohne Feder]]=1,3,0))),1,0)</f>
        <v>0</v>
      </c>
      <c r="S970" s="298">
        <f>IF(Scharniere[[#This Row],[Bohrbild]]=select!$A$755,1,0)</f>
        <v>0</v>
      </c>
      <c r="T970" s="298">
        <f>IF(IF(Scharniere[[#This Row],[Anschrauben]]=1,1,IF(Scharniere[[#This Row],[Einpressen]]=1,2,IF(Scharniere[[#This Row],[Quick]]=1,3,IF(Scharniere[[#This Row],[Werkzeuglos]]=1,4,0))))=select!$A$769,1,0)</f>
        <v>0</v>
      </c>
      <c r="U9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0" s="359">
        <f>IF(AND(Scharniere[[#This Row],[Scharnierart]]=4,Scharniere[[#This Row],[Gruppenschlüssel]]=select!$A$981)=TRUE,1,0)</f>
        <v>0</v>
      </c>
      <c r="W970" s="359">
        <f ca="1">IF(select!$O$1185&lt;6,1,0)</f>
        <v>1</v>
      </c>
      <c r="X970" s="359">
        <f>IF(select!$A$1012=IF(Scharniere[[#This Row],[mit Dämpfung]]=1,1,IF(Scharniere[[#This Row],[ohne Dämpfung]]=1,2,IF(Scharniere[[#This Row],[ohne Feder]]=1,3,0))),1,0)</f>
        <v>0</v>
      </c>
      <c r="Y970" s="359">
        <f>IF(Scharniere[[#This Row],[Bohrbild]]=select!$A$989,1,0)</f>
        <v>0</v>
      </c>
      <c r="Z970" s="359">
        <f>IF(IF(Scharniere[[#This Row],[Anschrauben]]=1,1,IF(Scharniere[[#This Row],[Einpressen]]=1,2,IF(Scharniere[[#This Row],[Quick]]=1,3,IF(Scharniere[[#This Row],[Werkzeuglos]]=1,4,0))))=select!$A$1003,1,0)</f>
        <v>0</v>
      </c>
      <c r="AA9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0" s="359">
        <f ca="1">IF(select!$K$980="*",Scharniere[[#This Row],[AG Ges2]],Scharniere[[#This Row],[AG Ges1]])</f>
        <v>0</v>
      </c>
      <c r="AE970" s="451">
        <f ca="1">IF(AND(Scharniere[[#This Row],[Scharnierart]]=select!$A$1485,Scharniere[[#This Row],[Gruppenschlüssel]]=select!$B$1485)=TRUE,1,0)</f>
        <v>0</v>
      </c>
      <c r="AF970" s="451">
        <f ca="1">IF(AND(Scharniere[[#This Row],[Scharnierart]]=select!$A$1486,Scharniere[[#This Row],[Gruppenschlüssel]]=select!$B$1486)=TRUE,1,0)</f>
        <v>0</v>
      </c>
      <c r="AG970" s="451">
        <f ca="1">IF(AND(Scharniere[[#This Row],[Scharnierart]]=select!$A$1487,Scharniere[[#This Row],[Gruppenschlüssel]]=select!$B$1487)=TRUE,1,0)</f>
        <v>0</v>
      </c>
      <c r="AH970" s="451">
        <f ca="1">IF(AND(Scharniere[[#This Row],[Scharnierart]]=select!$A$1488,Scharniere[[#This Row],[Gruppenschlüssel]]=select!$B$1488)=TRUE,1,0)</f>
        <v>0</v>
      </c>
      <c r="AI970" s="451">
        <f ca="1">IF(SUM(Scharniere[[#This Row],[konf Scharnier 1]:[konf Scharnier 4]])&gt;0,1,0)</f>
        <v>0</v>
      </c>
      <c r="AJ970" s="451"/>
      <c r="AK970" s="451"/>
      <c r="AL970" s="451"/>
      <c r="AM970" s="451"/>
      <c r="AN970" s="451"/>
      <c r="AO970" s="146">
        <v>2</v>
      </c>
      <c r="AP970" s="146">
        <v>9</v>
      </c>
      <c r="AQ970" s="71" t="str">
        <f ca="1">Sprache!$A$113</f>
        <v>Tiomos Scharnier TS Impresso</v>
      </c>
      <c r="AR970" t="str">
        <f ca="1">"120/-15°, HS-BB, "&amp;Sprache!$A$58&amp;" ni"</f>
        <v>120/-15°, HS-BB, aufl. ni</v>
      </c>
      <c r="AS970" t="str">
        <f ca="1">Sprache!$A$116</f>
        <v>Tiomos Impresso Scharniere</v>
      </c>
      <c r="AT970" t="s">
        <v>1264</v>
      </c>
      <c r="AU970" t="s">
        <v>10</v>
      </c>
      <c r="AV970" t="s">
        <v>1496</v>
      </c>
      <c r="AW970" s="71">
        <v>1</v>
      </c>
      <c r="AX970">
        <v>0</v>
      </c>
      <c r="AY970">
        <v>0</v>
      </c>
      <c r="AZ970" s="71">
        <v>0</v>
      </c>
      <c r="BA970">
        <v>0</v>
      </c>
      <c r="BB970">
        <v>0</v>
      </c>
      <c r="BC970">
        <v>1</v>
      </c>
      <c r="BD970" s="144" t="s">
        <v>1597</v>
      </c>
      <c r="BF970" s="10"/>
      <c r="BG970"/>
    </row>
    <row r="971" spans="1:59" ht="14.25" customHeight="1" x14ac:dyDescent="0.25">
      <c r="A971" s="37" t="str">
        <f>LEFT(Scharniere[[#This Row],[ArtikelNR]],4)</f>
        <v>F017</v>
      </c>
      <c r="B971" s="35" t="str">
        <f>MID(Scharniere[[#This Row],[ArtikelNR]],5,3)</f>
        <v>139</v>
      </c>
      <c r="C971" s="37" t="str">
        <f>RIGHT(Scharniere[[#This Row],[ArtikelNR]],3)</f>
        <v>517</v>
      </c>
      <c r="D971" s="35">
        <f>IF(AND(Scharniere[[#This Row],[Gruppenschlüssel]]=select!$A$44,Scharniere[[#This Row],[Scharnierart]]=1)=TRUE,1,0)</f>
        <v>0</v>
      </c>
      <c r="E9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1" s="35">
        <f>IF(select!$F$57=IF(Scharniere[[#This Row],[mit Dämpfung]]=1,1,IF(Scharniere[[#This Row],[ohne Dämpfung]]=1,2,IF(Scharniere[[#This Row],[ohne Feder]]=1,3,0))),1,0)</f>
        <v>0</v>
      </c>
      <c r="G971" s="35">
        <f>IF(Scharniere[[#This Row],[Bohrbild]]=select!$V$43,1,0)</f>
        <v>0</v>
      </c>
      <c r="H971" s="35">
        <f>IF(IF(Scharniere[[#This Row],[Anschrauben]]=1,1,IF(Scharniere[[#This Row],[Einpressen]]=1,2,IF(Scharniere[[#This Row],[Quick]]=1,3,IF(Scharniere[[#This Row],[Werkzeuglos]]=1,4,0))))=select!$F$48,1,0)</f>
        <v>0</v>
      </c>
      <c r="I9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1" s="149">
        <f>IF(AND(Scharniere[[#This Row],[Scharnierart]]=2,Scharniere[[#This Row],[Gruppenschlüssel]]=select!$A$318)=TRUE,1,0)</f>
        <v>0</v>
      </c>
      <c r="K971" s="221">
        <f ca="1">IF(select!$O$424&lt;6,1,0)</f>
        <v>1</v>
      </c>
      <c r="L971" s="221">
        <f>IF(select!$A$362=IF(Scharniere[[#This Row],[mit Dämpfung]]=1,1,IF(Scharniere[[#This Row],[ohne Dämpfung]]=1,2,IF(Scharniere[[#This Row],[ohne Feder]]=1,3,0))),1,0)</f>
        <v>1</v>
      </c>
      <c r="M971" s="135">
        <f>IF(Scharniere[[#This Row],[Bohrbild]]=select!$O$334,1,0)</f>
        <v>0</v>
      </c>
      <c r="N971" s="135">
        <f>IF(IF(Scharniere[[#This Row],[Anschrauben]]=1,1,IF(Scharniere[[#This Row],[Einpressen]]=1,2,IF(Scharniere[[#This Row],[Quick]]=1,3,IF(Scharniere[[#This Row],[Werkzeuglos]]=1,4,0))))=select!$E$362,1,0)</f>
        <v>0</v>
      </c>
      <c r="O9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1" s="298">
        <f>IF(AND(Scharniere[[#This Row],[Scharnierart]]=3,Scharniere[[#This Row],[Gruppenschlüssel]]=select!$A$747)=TRUE,1,0)</f>
        <v>0</v>
      </c>
      <c r="Q971" s="298">
        <f ca="1">IF(select!$O$945&lt;6,1,0)</f>
        <v>1</v>
      </c>
      <c r="R971" s="298">
        <f>IF(select!$A$778=IF(Scharniere[[#This Row],[mit Dämpfung]]=1,1,IF(Scharniere[[#This Row],[ohne Dämpfung]]=1,2,IF(Scharniere[[#This Row],[ohne Feder]]=1,3,0))),1,0)</f>
        <v>0</v>
      </c>
      <c r="S971" s="298">
        <f>IF(Scharniere[[#This Row],[Bohrbild]]=select!$A$755,1,0)</f>
        <v>0</v>
      </c>
      <c r="T971" s="298">
        <f>IF(IF(Scharniere[[#This Row],[Anschrauben]]=1,1,IF(Scharniere[[#This Row],[Einpressen]]=1,2,IF(Scharniere[[#This Row],[Quick]]=1,3,IF(Scharniere[[#This Row],[Werkzeuglos]]=1,4,0))))=select!$A$769,1,0)</f>
        <v>0</v>
      </c>
      <c r="U9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1" s="359">
        <f>IF(AND(Scharniere[[#This Row],[Scharnierart]]=4,Scharniere[[#This Row],[Gruppenschlüssel]]=select!$A$981)=TRUE,1,0)</f>
        <v>0</v>
      </c>
      <c r="W971" s="359">
        <f ca="1">IF(select!$O$1185&lt;6,1,0)</f>
        <v>1</v>
      </c>
      <c r="X971" s="359">
        <f>IF(select!$A$1012=IF(Scharniere[[#This Row],[mit Dämpfung]]=1,1,IF(Scharniere[[#This Row],[ohne Dämpfung]]=1,2,IF(Scharniere[[#This Row],[ohne Feder]]=1,3,0))),1,0)</f>
        <v>0</v>
      </c>
      <c r="Y971" s="359">
        <f>IF(Scharniere[[#This Row],[Bohrbild]]=select!$A$989,1,0)</f>
        <v>0</v>
      </c>
      <c r="Z971" s="359">
        <f>IF(IF(Scharniere[[#This Row],[Anschrauben]]=1,1,IF(Scharniere[[#This Row],[Einpressen]]=1,2,IF(Scharniere[[#This Row],[Quick]]=1,3,IF(Scharniere[[#This Row],[Werkzeuglos]]=1,4,0))))=select!$A$1003,1,0)</f>
        <v>0</v>
      </c>
      <c r="AA9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1" s="359">
        <f ca="1">IF(select!$K$980="*",Scharniere[[#This Row],[AG Ges2]],Scharniere[[#This Row],[AG Ges1]])</f>
        <v>0</v>
      </c>
      <c r="AE971" s="451">
        <f ca="1">IF(AND(Scharniere[[#This Row],[Scharnierart]]=select!$A$1485,Scharniere[[#This Row],[Gruppenschlüssel]]=select!$B$1485)=TRUE,1,0)</f>
        <v>0</v>
      </c>
      <c r="AF971" s="451">
        <f ca="1">IF(AND(Scharniere[[#This Row],[Scharnierart]]=select!$A$1486,Scharniere[[#This Row],[Gruppenschlüssel]]=select!$B$1486)=TRUE,1,0)</f>
        <v>0</v>
      </c>
      <c r="AG971" s="451">
        <f ca="1">IF(AND(Scharniere[[#This Row],[Scharnierart]]=select!$A$1487,Scharniere[[#This Row],[Gruppenschlüssel]]=select!$B$1487)=TRUE,1,0)</f>
        <v>0</v>
      </c>
      <c r="AH971" s="451">
        <f ca="1">IF(AND(Scharniere[[#This Row],[Scharnierart]]=select!$A$1488,Scharniere[[#This Row],[Gruppenschlüssel]]=select!$B$1488)=TRUE,1,0)</f>
        <v>0</v>
      </c>
      <c r="AI971" s="451">
        <f ca="1">IF(SUM(Scharniere[[#This Row],[konf Scharnier 1]:[konf Scharnier 4]])&gt;0,1,0)</f>
        <v>0</v>
      </c>
      <c r="AJ971" s="451"/>
      <c r="AK971" s="451"/>
      <c r="AL971" s="451"/>
      <c r="AM971" s="451"/>
      <c r="AN971" s="451"/>
      <c r="AO971" s="146">
        <v>2</v>
      </c>
      <c r="AP971" s="146">
        <v>9</v>
      </c>
      <c r="AQ971" s="71" t="str">
        <f ca="1">Sprache!$A$113</f>
        <v>Tiomos Scharnier TS Impresso</v>
      </c>
      <c r="AR971" t="str">
        <f ca="1">"120/-15°, HS-BB, "&amp;Sprache!$A$58&amp;" ni"</f>
        <v>120/-15°, HS-BB, aufl. ni</v>
      </c>
      <c r="AS971" t="str">
        <f ca="1">Sprache!$A$116</f>
        <v>Tiomos Impresso Scharniere</v>
      </c>
      <c r="AT971" t="s">
        <v>1264</v>
      </c>
      <c r="AU971" t="s">
        <v>11</v>
      </c>
      <c r="AV971" t="s">
        <v>1496</v>
      </c>
      <c r="AW971" s="71">
        <v>1</v>
      </c>
      <c r="AX971">
        <v>0</v>
      </c>
      <c r="AY971">
        <v>0</v>
      </c>
      <c r="AZ971" s="71">
        <v>0</v>
      </c>
      <c r="BA971">
        <v>0</v>
      </c>
      <c r="BB971">
        <v>0</v>
      </c>
      <c r="BC971">
        <v>1</v>
      </c>
      <c r="BD971" s="144" t="s">
        <v>1597</v>
      </c>
      <c r="BF971" s="10"/>
      <c r="BG971"/>
    </row>
    <row r="972" spans="1:59" ht="14.25" customHeight="1" x14ac:dyDescent="0.25">
      <c r="A972" s="37" t="str">
        <f>LEFT(Scharniere[[#This Row],[ArtikelNR]],4)</f>
        <v>F034</v>
      </c>
      <c r="B972" s="35" t="str">
        <f>MID(Scharniere[[#This Row],[ArtikelNR]],5,3)</f>
        <v>139</v>
      </c>
      <c r="C972" s="37" t="str">
        <f>RIGHT(Scharniere[[#This Row],[ArtikelNR]],3)</f>
        <v>488</v>
      </c>
      <c r="D972" s="35">
        <f>IF(AND(Scharniere[[#This Row],[Gruppenschlüssel]]=select!$A$44,Scharniere[[#This Row],[Scharnierart]]=1)=TRUE,1,0)</f>
        <v>0</v>
      </c>
      <c r="E9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2" s="35">
        <f>IF(select!$F$57=IF(Scharniere[[#This Row],[mit Dämpfung]]=1,1,IF(Scharniere[[#This Row],[ohne Dämpfung]]=1,2,IF(Scharniere[[#This Row],[ohne Feder]]=1,3,0))),1,0)</f>
        <v>0</v>
      </c>
      <c r="G972" s="35">
        <f>IF(Scharniere[[#This Row],[Bohrbild]]=select!$V$43,1,0)</f>
        <v>0</v>
      </c>
      <c r="H972" s="35">
        <f>IF(IF(Scharniere[[#This Row],[Anschrauben]]=1,1,IF(Scharniere[[#This Row],[Einpressen]]=1,2,IF(Scharniere[[#This Row],[Quick]]=1,3,IF(Scharniere[[#This Row],[Werkzeuglos]]=1,4,0))))=select!$F$48,1,0)</f>
        <v>0</v>
      </c>
      <c r="I9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2" s="149">
        <f>IF(AND(Scharniere[[#This Row],[Scharnierart]]=2,Scharniere[[#This Row],[Gruppenschlüssel]]=select!$A$318)=TRUE,1,0)</f>
        <v>0</v>
      </c>
      <c r="K972" s="221">
        <f ca="1">IF(select!$O$424&lt;6,1,0)</f>
        <v>1</v>
      </c>
      <c r="L972" s="221">
        <f>IF(select!$A$362=IF(Scharniere[[#This Row],[mit Dämpfung]]=1,1,IF(Scharniere[[#This Row],[ohne Dämpfung]]=1,2,IF(Scharniere[[#This Row],[ohne Feder]]=1,3,0))),1,0)</f>
        <v>0</v>
      </c>
      <c r="M972" s="135">
        <f>IF(Scharniere[[#This Row],[Bohrbild]]=select!$O$334,1,0)</f>
        <v>0</v>
      </c>
      <c r="N972" s="135">
        <f>IF(IF(Scharniere[[#This Row],[Anschrauben]]=1,1,IF(Scharniere[[#This Row],[Einpressen]]=1,2,IF(Scharniere[[#This Row],[Quick]]=1,3,IF(Scharniere[[#This Row],[Werkzeuglos]]=1,4,0))))=select!$E$362,1,0)</f>
        <v>0</v>
      </c>
      <c r="O9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2" s="298">
        <f>IF(AND(Scharniere[[#This Row],[Scharnierart]]=3,Scharniere[[#This Row],[Gruppenschlüssel]]=select!$A$747)=TRUE,1,0)</f>
        <v>0</v>
      </c>
      <c r="Q972" s="298">
        <f ca="1">IF(select!$O$945&lt;6,1,0)</f>
        <v>1</v>
      </c>
      <c r="R972" s="298">
        <f>IF(select!$A$778=IF(Scharniere[[#This Row],[mit Dämpfung]]=1,1,IF(Scharniere[[#This Row],[ohne Dämpfung]]=1,2,IF(Scharniere[[#This Row],[ohne Feder]]=1,3,0))),1,0)</f>
        <v>1</v>
      </c>
      <c r="S972" s="298">
        <f>IF(Scharniere[[#This Row],[Bohrbild]]=select!$A$755,1,0)</f>
        <v>0</v>
      </c>
      <c r="T972" s="298">
        <f>IF(IF(Scharniere[[#This Row],[Anschrauben]]=1,1,IF(Scharniere[[#This Row],[Einpressen]]=1,2,IF(Scharniere[[#This Row],[Quick]]=1,3,IF(Scharniere[[#This Row],[Werkzeuglos]]=1,4,0))))=select!$A$769,1,0)</f>
        <v>0</v>
      </c>
      <c r="U9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2" s="359">
        <f>IF(AND(Scharniere[[#This Row],[Scharnierart]]=4,Scharniere[[#This Row],[Gruppenschlüssel]]=select!$A$981)=TRUE,1,0)</f>
        <v>0</v>
      </c>
      <c r="W972" s="359">
        <f ca="1">IF(select!$O$1185&lt;6,1,0)</f>
        <v>1</v>
      </c>
      <c r="X972" s="359">
        <f>IF(select!$A$1012=IF(Scharniere[[#This Row],[mit Dämpfung]]=1,1,IF(Scharniere[[#This Row],[ohne Dämpfung]]=1,2,IF(Scharniere[[#This Row],[ohne Feder]]=1,3,0))),1,0)</f>
        <v>1</v>
      </c>
      <c r="Y972" s="359">
        <f>IF(Scharniere[[#This Row],[Bohrbild]]=select!$A$989,1,0)</f>
        <v>0</v>
      </c>
      <c r="Z972" s="359">
        <f>IF(IF(Scharniere[[#This Row],[Anschrauben]]=1,1,IF(Scharniere[[#This Row],[Einpressen]]=1,2,IF(Scharniere[[#This Row],[Quick]]=1,3,IF(Scharniere[[#This Row],[Werkzeuglos]]=1,4,0))))=select!$A$1003,1,0)</f>
        <v>0</v>
      </c>
      <c r="AA9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2" s="359">
        <f ca="1">IF(select!$K$980="*",Scharniere[[#This Row],[AG Ges2]],Scharniere[[#This Row],[AG Ges1]])</f>
        <v>0</v>
      </c>
      <c r="AE972" s="451">
        <f ca="1">IF(AND(Scharniere[[#This Row],[Scharnierart]]=select!$A$1485,Scharniere[[#This Row],[Gruppenschlüssel]]=select!$B$1485)=TRUE,1,0)</f>
        <v>0</v>
      </c>
      <c r="AF972" s="451">
        <f ca="1">IF(AND(Scharniere[[#This Row],[Scharnierart]]=select!$A$1486,Scharniere[[#This Row],[Gruppenschlüssel]]=select!$B$1486)=TRUE,1,0)</f>
        <v>0</v>
      </c>
      <c r="AG972" s="451">
        <f ca="1">IF(AND(Scharniere[[#This Row],[Scharnierart]]=select!$A$1487,Scharniere[[#This Row],[Gruppenschlüssel]]=select!$B$1487)=TRUE,1,0)</f>
        <v>0</v>
      </c>
      <c r="AH972" s="451">
        <f ca="1">IF(AND(Scharniere[[#This Row],[Scharnierart]]=select!$A$1488,Scharniere[[#This Row],[Gruppenschlüssel]]=select!$B$1488)=TRUE,1,0)</f>
        <v>0</v>
      </c>
      <c r="AI972" s="451">
        <f ca="1">IF(SUM(Scharniere[[#This Row],[konf Scharnier 1]:[konf Scharnier 4]])&gt;0,1,0)</f>
        <v>0</v>
      </c>
      <c r="AJ972" s="451"/>
      <c r="AK972" s="451"/>
      <c r="AL972" s="451"/>
      <c r="AM972" s="451"/>
      <c r="AN972" s="451"/>
      <c r="AO972" s="146">
        <v>2</v>
      </c>
      <c r="AP972" s="146">
        <v>9</v>
      </c>
      <c r="AQ972" s="71" t="str">
        <f ca="1">Sprache!$A$119</f>
        <v>Tiomos Scharnier T Impresso</v>
      </c>
      <c r="AR972" t="str">
        <f ca="1">"120/-15°, HS-BB, "&amp;Sprache!$A$58&amp;" ni"</f>
        <v>120/-15°, HS-BB, aufl. ni</v>
      </c>
      <c r="AS972" t="str">
        <f ca="1">Sprache!$A$103</f>
        <v>Tiomos Click-On Scharniere</v>
      </c>
      <c r="AT972" t="s">
        <v>1264</v>
      </c>
      <c r="AU972" t="s">
        <v>10</v>
      </c>
      <c r="AV972" t="s">
        <v>1496</v>
      </c>
      <c r="AW972" s="71">
        <v>0</v>
      </c>
      <c r="AX972">
        <v>1</v>
      </c>
      <c r="AY972">
        <v>0</v>
      </c>
      <c r="AZ972" s="71">
        <v>0</v>
      </c>
      <c r="BA972">
        <v>0</v>
      </c>
      <c r="BB972">
        <v>0</v>
      </c>
      <c r="BC972">
        <v>1</v>
      </c>
      <c r="BD972" s="144" t="s">
        <v>1775</v>
      </c>
      <c r="BF972" s="10"/>
      <c r="BG972"/>
    </row>
    <row r="973" spans="1:59" ht="14.25" customHeight="1" x14ac:dyDescent="0.25">
      <c r="A973" s="37" t="str">
        <f>LEFT(Scharniere[[#This Row],[ArtikelNR]],4)</f>
        <v>F034</v>
      </c>
      <c r="B973" s="35" t="str">
        <f>MID(Scharniere[[#This Row],[ArtikelNR]],5,3)</f>
        <v>139</v>
      </c>
      <c r="C973" s="37" t="str">
        <f>RIGHT(Scharniere[[#This Row],[ArtikelNR]],3)</f>
        <v>488</v>
      </c>
      <c r="D973" s="35">
        <f>IF(AND(Scharniere[[#This Row],[Gruppenschlüssel]]=select!$A$44,Scharniere[[#This Row],[Scharnierart]]=1)=TRUE,1,0)</f>
        <v>0</v>
      </c>
      <c r="E9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3" s="35">
        <f>IF(select!$F$57=IF(Scharniere[[#This Row],[mit Dämpfung]]=1,1,IF(Scharniere[[#This Row],[ohne Dämpfung]]=1,2,IF(Scharniere[[#This Row],[ohne Feder]]=1,3,0))),1,0)</f>
        <v>0</v>
      </c>
      <c r="G973" s="35">
        <f>IF(Scharniere[[#This Row],[Bohrbild]]=select!$V$43,1,0)</f>
        <v>0</v>
      </c>
      <c r="H973" s="35">
        <f>IF(IF(Scharniere[[#This Row],[Anschrauben]]=1,1,IF(Scharniere[[#This Row],[Einpressen]]=1,2,IF(Scharniere[[#This Row],[Quick]]=1,3,IF(Scharniere[[#This Row],[Werkzeuglos]]=1,4,0))))=select!$F$48,1,0)</f>
        <v>0</v>
      </c>
      <c r="I9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3" s="149">
        <f>IF(AND(Scharniere[[#This Row],[Scharnierart]]=2,Scharniere[[#This Row],[Gruppenschlüssel]]=select!$A$318)=TRUE,1,0)</f>
        <v>0</v>
      </c>
      <c r="K973" s="221">
        <f ca="1">IF(select!$O$424&lt;6,1,0)</f>
        <v>1</v>
      </c>
      <c r="L973" s="221">
        <f>IF(select!$A$362=IF(Scharniere[[#This Row],[mit Dämpfung]]=1,1,IF(Scharniere[[#This Row],[ohne Dämpfung]]=1,2,IF(Scharniere[[#This Row],[ohne Feder]]=1,3,0))),1,0)</f>
        <v>0</v>
      </c>
      <c r="M973" s="135">
        <f>IF(Scharniere[[#This Row],[Bohrbild]]=select!$O$334,1,0)</f>
        <v>0</v>
      </c>
      <c r="N973" s="135">
        <f>IF(IF(Scharniere[[#This Row],[Anschrauben]]=1,1,IF(Scharniere[[#This Row],[Einpressen]]=1,2,IF(Scharniere[[#This Row],[Quick]]=1,3,IF(Scharniere[[#This Row],[Werkzeuglos]]=1,4,0))))=select!$E$362,1,0)</f>
        <v>0</v>
      </c>
      <c r="O9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3" s="298">
        <f>IF(AND(Scharniere[[#This Row],[Scharnierart]]=3,Scharniere[[#This Row],[Gruppenschlüssel]]=select!$A$747)=TRUE,1,0)</f>
        <v>0</v>
      </c>
      <c r="Q973" s="298">
        <f ca="1">IF(select!$O$945&lt;6,1,0)</f>
        <v>1</v>
      </c>
      <c r="R973" s="298">
        <f>IF(select!$A$778=IF(Scharniere[[#This Row],[mit Dämpfung]]=1,1,IF(Scharniere[[#This Row],[ohne Dämpfung]]=1,2,IF(Scharniere[[#This Row],[ohne Feder]]=1,3,0))),1,0)</f>
        <v>1</v>
      </c>
      <c r="S973" s="298">
        <f>IF(Scharniere[[#This Row],[Bohrbild]]=select!$A$755,1,0)</f>
        <v>0</v>
      </c>
      <c r="T973" s="298">
        <f>IF(IF(Scharniere[[#This Row],[Anschrauben]]=1,1,IF(Scharniere[[#This Row],[Einpressen]]=1,2,IF(Scharniere[[#This Row],[Quick]]=1,3,IF(Scharniere[[#This Row],[Werkzeuglos]]=1,4,0))))=select!$A$769,1,0)</f>
        <v>0</v>
      </c>
      <c r="U9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3" s="359">
        <f>IF(AND(Scharniere[[#This Row],[Scharnierart]]=4,Scharniere[[#This Row],[Gruppenschlüssel]]=select!$A$981)=TRUE,1,0)</f>
        <v>0</v>
      </c>
      <c r="W973" s="359">
        <f ca="1">IF(select!$O$1185&lt;6,1,0)</f>
        <v>1</v>
      </c>
      <c r="X973" s="359">
        <f>IF(select!$A$1012=IF(Scharniere[[#This Row],[mit Dämpfung]]=1,1,IF(Scharniere[[#This Row],[ohne Dämpfung]]=1,2,IF(Scharniere[[#This Row],[ohne Feder]]=1,3,0))),1,0)</f>
        <v>1</v>
      </c>
      <c r="Y973" s="359">
        <f>IF(Scharniere[[#This Row],[Bohrbild]]=select!$A$989,1,0)</f>
        <v>0</v>
      </c>
      <c r="Z973" s="359">
        <f>IF(IF(Scharniere[[#This Row],[Anschrauben]]=1,1,IF(Scharniere[[#This Row],[Einpressen]]=1,2,IF(Scharniere[[#This Row],[Quick]]=1,3,IF(Scharniere[[#This Row],[Werkzeuglos]]=1,4,0))))=select!$A$1003,1,0)</f>
        <v>0</v>
      </c>
      <c r="AA9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3" s="359">
        <f ca="1">IF(select!$K$980="*",Scharniere[[#This Row],[AG Ges2]],Scharniere[[#This Row],[AG Ges1]])</f>
        <v>0</v>
      </c>
      <c r="AE973" s="451">
        <f ca="1">IF(AND(Scharniere[[#This Row],[Scharnierart]]=select!$A$1485,Scharniere[[#This Row],[Gruppenschlüssel]]=select!$B$1485)=TRUE,1,0)</f>
        <v>0</v>
      </c>
      <c r="AF973" s="451">
        <f ca="1">IF(AND(Scharniere[[#This Row],[Scharnierart]]=select!$A$1486,Scharniere[[#This Row],[Gruppenschlüssel]]=select!$B$1486)=TRUE,1,0)</f>
        <v>0</v>
      </c>
      <c r="AG973" s="451">
        <f ca="1">IF(AND(Scharniere[[#This Row],[Scharnierart]]=select!$A$1487,Scharniere[[#This Row],[Gruppenschlüssel]]=select!$B$1487)=TRUE,1,0)</f>
        <v>0</v>
      </c>
      <c r="AH973" s="451">
        <f ca="1">IF(AND(Scharniere[[#This Row],[Scharnierart]]=select!$A$1488,Scharniere[[#This Row],[Gruppenschlüssel]]=select!$B$1488)=TRUE,1,0)</f>
        <v>0</v>
      </c>
      <c r="AI973" s="451">
        <f ca="1">IF(SUM(Scharniere[[#This Row],[konf Scharnier 1]:[konf Scharnier 4]])&gt;0,1,0)</f>
        <v>0</v>
      </c>
      <c r="AJ973" s="451"/>
      <c r="AK973" s="451"/>
      <c r="AL973" s="451"/>
      <c r="AM973" s="451"/>
      <c r="AN973" s="451"/>
      <c r="AO973" s="146">
        <v>2</v>
      </c>
      <c r="AP973" s="146">
        <v>9</v>
      </c>
      <c r="AQ973" s="71" t="str">
        <f ca="1">Sprache!$A$119</f>
        <v>Tiomos Scharnier T Impresso</v>
      </c>
      <c r="AR973" t="str">
        <f ca="1">"120/-15°, HS-BB, "&amp;Sprache!$A$58&amp;" ni"</f>
        <v>120/-15°, HS-BB, aufl. ni</v>
      </c>
      <c r="AS973" t="str">
        <f ca="1">Sprache!$A$103</f>
        <v>Tiomos Click-On Scharniere</v>
      </c>
      <c r="AT973" t="s">
        <v>1264</v>
      </c>
      <c r="AU973" t="s">
        <v>11</v>
      </c>
      <c r="AV973" t="s">
        <v>1496</v>
      </c>
      <c r="AW973" s="71">
        <v>0</v>
      </c>
      <c r="AX973">
        <v>1</v>
      </c>
      <c r="AY973">
        <v>0</v>
      </c>
      <c r="AZ973" s="71">
        <v>0</v>
      </c>
      <c r="BA973">
        <v>0</v>
      </c>
      <c r="BB973">
        <v>0</v>
      </c>
      <c r="BC973">
        <v>1</v>
      </c>
      <c r="BD973" s="144" t="s">
        <v>1775</v>
      </c>
      <c r="BF973" s="10"/>
      <c r="BG973"/>
    </row>
    <row r="974" spans="1:59" ht="14.25" customHeight="1" x14ac:dyDescent="0.25">
      <c r="A974" s="37" t="str">
        <f>LEFT(Scharniere[[#This Row],[ArtikelNR]],4)</f>
        <v>F028</v>
      </c>
      <c r="B974" s="35" t="str">
        <f>MID(Scharniere[[#This Row],[ArtikelNR]],5,3)</f>
        <v>138</v>
      </c>
      <c r="C974" s="37" t="str">
        <f>RIGHT(Scharniere[[#This Row],[ArtikelNR]],3)</f>
        <v>129</v>
      </c>
      <c r="D974" s="35">
        <f>IF(AND(Scharniere[[#This Row],[Gruppenschlüssel]]=select!$A$44,Scharniere[[#This Row],[Scharnierart]]=1)=TRUE,1,0)</f>
        <v>0</v>
      </c>
      <c r="E9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4" s="35">
        <f>IF(select!$F$57=IF(Scharniere[[#This Row],[mit Dämpfung]]=1,1,IF(Scharniere[[#This Row],[ohne Dämpfung]]=1,2,IF(Scharniere[[#This Row],[ohne Feder]]=1,3,0))),1,0)</f>
        <v>0</v>
      </c>
      <c r="G974" s="35">
        <f>IF(Scharniere[[#This Row],[Bohrbild]]=select!$V$43,1,0)</f>
        <v>1</v>
      </c>
      <c r="H974" s="35">
        <f>IF(IF(Scharniere[[#This Row],[Anschrauben]]=1,1,IF(Scharniere[[#This Row],[Einpressen]]=1,2,IF(Scharniere[[#This Row],[Quick]]=1,3,IF(Scharniere[[#This Row],[Werkzeuglos]]=1,4,0))))=select!$F$48,1,0)</f>
        <v>0</v>
      </c>
      <c r="I9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4" s="149">
        <f>IF(AND(Scharniere[[#This Row],[Scharnierart]]=2,Scharniere[[#This Row],[Gruppenschlüssel]]=select!$A$318)=TRUE,1,0)</f>
        <v>0</v>
      </c>
      <c r="K974" s="221">
        <f ca="1">IF(select!$O$424&lt;6,1,0)</f>
        <v>1</v>
      </c>
      <c r="L974" s="221">
        <f>IF(select!$A$362=IF(Scharniere[[#This Row],[mit Dämpfung]]=1,1,IF(Scharniere[[#This Row],[ohne Dämpfung]]=1,2,IF(Scharniere[[#This Row],[ohne Feder]]=1,3,0))),1,0)</f>
        <v>1</v>
      </c>
      <c r="M974" s="135">
        <f>IF(Scharniere[[#This Row],[Bohrbild]]=select!$O$334,1,0)</f>
        <v>1</v>
      </c>
      <c r="N974" s="135">
        <f>IF(IF(Scharniere[[#This Row],[Anschrauben]]=1,1,IF(Scharniere[[#This Row],[Einpressen]]=1,2,IF(Scharniere[[#This Row],[Quick]]=1,3,IF(Scharniere[[#This Row],[Werkzeuglos]]=1,4,0))))=select!$E$362,1,0)</f>
        <v>1</v>
      </c>
      <c r="O9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4" s="298">
        <f>IF(AND(Scharniere[[#This Row],[Scharnierart]]=3,Scharniere[[#This Row],[Gruppenschlüssel]]=select!$A$747)=TRUE,1,0)</f>
        <v>0</v>
      </c>
      <c r="Q974" s="298">
        <f ca="1">IF(select!$O$945&lt;6,1,0)</f>
        <v>1</v>
      </c>
      <c r="R974" s="298">
        <f>IF(select!$A$778=IF(Scharniere[[#This Row],[mit Dämpfung]]=1,1,IF(Scharniere[[#This Row],[ohne Dämpfung]]=1,2,IF(Scharniere[[#This Row],[ohne Feder]]=1,3,0))),1,0)</f>
        <v>0</v>
      </c>
      <c r="S974" s="298">
        <f>IF(Scharniere[[#This Row],[Bohrbild]]=select!$A$755,1,0)</f>
        <v>0</v>
      </c>
      <c r="T974" s="298">
        <f>IF(IF(Scharniere[[#This Row],[Anschrauben]]=1,1,IF(Scharniere[[#This Row],[Einpressen]]=1,2,IF(Scharniere[[#This Row],[Quick]]=1,3,IF(Scharniere[[#This Row],[Werkzeuglos]]=1,4,0))))=select!$A$769,1,0)</f>
        <v>1</v>
      </c>
      <c r="U9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4" s="359">
        <f>IF(AND(Scharniere[[#This Row],[Scharnierart]]=4,Scharniere[[#This Row],[Gruppenschlüssel]]=select!$A$981)=TRUE,1,0)</f>
        <v>0</v>
      </c>
      <c r="W974" s="359">
        <f ca="1">IF(select!$O$1185&lt;6,1,0)</f>
        <v>1</v>
      </c>
      <c r="X974" s="359">
        <f>IF(select!$A$1012=IF(Scharniere[[#This Row],[mit Dämpfung]]=1,1,IF(Scharniere[[#This Row],[ohne Dämpfung]]=1,2,IF(Scharniere[[#This Row],[ohne Feder]]=1,3,0))),1,0)</f>
        <v>0</v>
      </c>
      <c r="Y974" s="359">
        <f>IF(Scharniere[[#This Row],[Bohrbild]]=select!$A$989,1,0)</f>
        <v>0</v>
      </c>
      <c r="Z974" s="359">
        <f>IF(IF(Scharniere[[#This Row],[Anschrauben]]=1,1,IF(Scharniere[[#This Row],[Einpressen]]=1,2,IF(Scharniere[[#This Row],[Quick]]=1,3,IF(Scharniere[[#This Row],[Werkzeuglos]]=1,4,0))))=select!$A$1003,1,0)</f>
        <v>1</v>
      </c>
      <c r="AA9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4" s="359">
        <f ca="1">IF(select!$K$980="*",Scharniere[[#This Row],[AG Ges2]],Scharniere[[#This Row],[AG Ges1]])</f>
        <v>0</v>
      </c>
      <c r="AE974" s="451">
        <f ca="1">IF(AND(Scharniere[[#This Row],[Scharnierart]]=select!$A$1485,Scharniere[[#This Row],[Gruppenschlüssel]]=select!$B$1485)=TRUE,1,0)</f>
        <v>0</v>
      </c>
      <c r="AF974" s="451">
        <f ca="1">IF(AND(Scharniere[[#This Row],[Scharnierart]]=select!$A$1486,Scharniere[[#This Row],[Gruppenschlüssel]]=select!$B$1486)=TRUE,1,0)</f>
        <v>0</v>
      </c>
      <c r="AG974" s="451">
        <f ca="1">IF(AND(Scharniere[[#This Row],[Scharnierart]]=select!$A$1487,Scharniere[[#This Row],[Gruppenschlüssel]]=select!$B$1487)=TRUE,1,0)</f>
        <v>0</v>
      </c>
      <c r="AH974" s="451">
        <f ca="1">IF(AND(Scharniere[[#This Row],[Scharnierart]]=select!$A$1488,Scharniere[[#This Row],[Gruppenschlüssel]]=select!$B$1488)=TRUE,1,0)</f>
        <v>0</v>
      </c>
      <c r="AI974" s="451">
        <f ca="1">IF(SUM(Scharniere[[#This Row],[konf Scharnier 1]:[konf Scharnier 4]])&gt;0,1,0)</f>
        <v>0</v>
      </c>
      <c r="AJ974" s="451"/>
      <c r="AK974" s="451"/>
      <c r="AL974" s="451"/>
      <c r="AM974" s="451"/>
      <c r="AN974" s="451"/>
      <c r="AO974" s="146">
        <v>2</v>
      </c>
      <c r="AP974" s="146">
        <v>9</v>
      </c>
      <c r="AQ974" s="71" t="str">
        <f ca="1">Sprache!$A$112</f>
        <v>Tiomos Scharnier TS Click-on</v>
      </c>
      <c r="AR974" t="str">
        <f ca="1">"120/-15°, M-BB, "&amp;Sprache!$A$58&amp;" ni"</f>
        <v>120/-15°, M-BB, aufl. ni</v>
      </c>
      <c r="AS974" t="str">
        <f ca="1">Sprache!$A$103</f>
        <v>Tiomos Click-On Scharniere</v>
      </c>
      <c r="AT974" t="s">
        <v>1264</v>
      </c>
      <c r="AU974" t="s">
        <v>8</v>
      </c>
      <c r="AV974" t="s">
        <v>1496</v>
      </c>
      <c r="AW974" s="71">
        <v>1</v>
      </c>
      <c r="AX974">
        <v>0</v>
      </c>
      <c r="AY974">
        <v>0</v>
      </c>
      <c r="AZ974" s="71">
        <v>1</v>
      </c>
      <c r="BA974">
        <v>0</v>
      </c>
      <c r="BB974">
        <v>0</v>
      </c>
      <c r="BC974">
        <v>0</v>
      </c>
      <c r="BD974" s="144" t="s">
        <v>1523</v>
      </c>
      <c r="BF974" s="10"/>
      <c r="BG974"/>
    </row>
    <row r="975" spans="1:59" ht="14.25" customHeight="1" x14ac:dyDescent="0.25">
      <c r="A975" s="37" t="str">
        <f>LEFT(Scharniere[[#This Row],[ArtikelNR]],4)</f>
        <v>F045</v>
      </c>
      <c r="B975" s="35" t="str">
        <f>MID(Scharniere[[#This Row],[ArtikelNR]],5,3)</f>
        <v>138</v>
      </c>
      <c r="C975" s="37" t="str">
        <f>RIGHT(Scharniere[[#This Row],[ArtikelNR]],3)</f>
        <v>036</v>
      </c>
      <c r="D975" s="35">
        <f>IF(AND(Scharniere[[#This Row],[Gruppenschlüssel]]=select!$A$44,Scharniere[[#This Row],[Scharnierart]]=1)=TRUE,1,0)</f>
        <v>0</v>
      </c>
      <c r="E9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5" s="35">
        <f>IF(select!$F$57=IF(Scharniere[[#This Row],[mit Dämpfung]]=1,1,IF(Scharniere[[#This Row],[ohne Dämpfung]]=1,2,IF(Scharniere[[#This Row],[ohne Feder]]=1,3,0))),1,0)</f>
        <v>0</v>
      </c>
      <c r="G975" s="35">
        <f>IF(Scharniere[[#This Row],[Bohrbild]]=select!$V$43,1,0)</f>
        <v>1</v>
      </c>
      <c r="H975" s="35">
        <f>IF(IF(Scharniere[[#This Row],[Anschrauben]]=1,1,IF(Scharniere[[#This Row],[Einpressen]]=1,2,IF(Scharniere[[#This Row],[Quick]]=1,3,IF(Scharniere[[#This Row],[Werkzeuglos]]=1,4,0))))=select!$F$48,1,0)</f>
        <v>0</v>
      </c>
      <c r="I9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5" s="149">
        <f>IF(AND(Scharniere[[#This Row],[Scharnierart]]=2,Scharniere[[#This Row],[Gruppenschlüssel]]=select!$A$318)=TRUE,1,0)</f>
        <v>0</v>
      </c>
      <c r="K975" s="221">
        <f ca="1">IF(select!$O$424&lt;6,1,0)</f>
        <v>1</v>
      </c>
      <c r="L975" s="221">
        <f>IF(select!$A$362=IF(Scharniere[[#This Row],[mit Dämpfung]]=1,1,IF(Scharniere[[#This Row],[ohne Dämpfung]]=1,2,IF(Scharniere[[#This Row],[ohne Feder]]=1,3,0))),1,0)</f>
        <v>0</v>
      </c>
      <c r="M975" s="135">
        <f>IF(Scharniere[[#This Row],[Bohrbild]]=select!$O$334,1,0)</f>
        <v>1</v>
      </c>
      <c r="N975" s="135">
        <f>IF(IF(Scharniere[[#This Row],[Anschrauben]]=1,1,IF(Scharniere[[#This Row],[Einpressen]]=1,2,IF(Scharniere[[#This Row],[Quick]]=1,3,IF(Scharniere[[#This Row],[Werkzeuglos]]=1,4,0))))=select!$E$362,1,0)</f>
        <v>1</v>
      </c>
      <c r="O9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5" s="298">
        <f>IF(AND(Scharniere[[#This Row],[Scharnierart]]=3,Scharniere[[#This Row],[Gruppenschlüssel]]=select!$A$747)=TRUE,1,0)</f>
        <v>0</v>
      </c>
      <c r="Q975" s="298">
        <f ca="1">IF(select!$O$945&lt;6,1,0)</f>
        <v>1</v>
      </c>
      <c r="R975" s="298">
        <f>IF(select!$A$778=IF(Scharniere[[#This Row],[mit Dämpfung]]=1,1,IF(Scharniere[[#This Row],[ohne Dämpfung]]=1,2,IF(Scharniere[[#This Row],[ohne Feder]]=1,3,0))),1,0)</f>
        <v>1</v>
      </c>
      <c r="S975" s="298">
        <f>IF(Scharniere[[#This Row],[Bohrbild]]=select!$A$755,1,0)</f>
        <v>0</v>
      </c>
      <c r="T975" s="298">
        <f>IF(IF(Scharniere[[#This Row],[Anschrauben]]=1,1,IF(Scharniere[[#This Row],[Einpressen]]=1,2,IF(Scharniere[[#This Row],[Quick]]=1,3,IF(Scharniere[[#This Row],[Werkzeuglos]]=1,4,0))))=select!$A$769,1,0)</f>
        <v>1</v>
      </c>
      <c r="U9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5" s="359">
        <f>IF(AND(Scharniere[[#This Row],[Scharnierart]]=4,Scharniere[[#This Row],[Gruppenschlüssel]]=select!$A$981)=TRUE,1,0)</f>
        <v>0</v>
      </c>
      <c r="W975" s="359">
        <f ca="1">IF(select!$O$1185&lt;6,1,0)</f>
        <v>1</v>
      </c>
      <c r="X975" s="359">
        <f>IF(select!$A$1012=IF(Scharniere[[#This Row],[mit Dämpfung]]=1,1,IF(Scharniere[[#This Row],[ohne Dämpfung]]=1,2,IF(Scharniere[[#This Row],[ohne Feder]]=1,3,0))),1,0)</f>
        <v>1</v>
      </c>
      <c r="Y975" s="359">
        <f>IF(Scharniere[[#This Row],[Bohrbild]]=select!$A$989,1,0)</f>
        <v>0</v>
      </c>
      <c r="Z975" s="359">
        <f>IF(IF(Scharniere[[#This Row],[Anschrauben]]=1,1,IF(Scharniere[[#This Row],[Einpressen]]=1,2,IF(Scharniere[[#This Row],[Quick]]=1,3,IF(Scharniere[[#This Row],[Werkzeuglos]]=1,4,0))))=select!$A$1003,1,0)</f>
        <v>1</v>
      </c>
      <c r="AA9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5" s="359">
        <f ca="1">IF(select!$K$980="*",Scharniere[[#This Row],[AG Ges2]],Scharniere[[#This Row],[AG Ges1]])</f>
        <v>0</v>
      </c>
      <c r="AE975" s="451">
        <f ca="1">IF(AND(Scharniere[[#This Row],[Scharnierart]]=select!$A$1485,Scharniere[[#This Row],[Gruppenschlüssel]]=select!$B$1485)=TRUE,1,0)</f>
        <v>0</v>
      </c>
      <c r="AF975" s="451">
        <f ca="1">IF(AND(Scharniere[[#This Row],[Scharnierart]]=select!$A$1486,Scharniere[[#This Row],[Gruppenschlüssel]]=select!$B$1486)=TRUE,1,0)</f>
        <v>0</v>
      </c>
      <c r="AG975" s="451">
        <f ca="1">IF(AND(Scharniere[[#This Row],[Scharnierart]]=select!$A$1487,Scharniere[[#This Row],[Gruppenschlüssel]]=select!$B$1487)=TRUE,1,0)</f>
        <v>0</v>
      </c>
      <c r="AH975" s="451">
        <f ca="1">IF(AND(Scharniere[[#This Row],[Scharnierart]]=select!$A$1488,Scharniere[[#This Row],[Gruppenschlüssel]]=select!$B$1488)=TRUE,1,0)</f>
        <v>0</v>
      </c>
      <c r="AI975" s="451">
        <f ca="1">IF(SUM(Scharniere[[#This Row],[konf Scharnier 1]:[konf Scharnier 4]])&gt;0,1,0)</f>
        <v>0</v>
      </c>
      <c r="AJ975" s="451"/>
      <c r="AK975" s="451"/>
      <c r="AL975" s="451"/>
      <c r="AM975" s="451"/>
      <c r="AN975" s="451"/>
      <c r="AO975" s="146">
        <v>2</v>
      </c>
      <c r="AP975" s="146">
        <v>9</v>
      </c>
      <c r="AQ975" s="71" t="str">
        <f ca="1">Sprache!$A$118</f>
        <v>Tiomos Scharnier T Click-on</v>
      </c>
      <c r="AR975" t="str">
        <f ca="1">"120/-15°, M-BB, "&amp;Sprache!$A$58&amp;" ni"</f>
        <v>120/-15°, M-BB, aufl. ni</v>
      </c>
      <c r="AS975" t="str">
        <f ca="1">Sprache!$A$103</f>
        <v>Tiomos Click-On Scharniere</v>
      </c>
      <c r="AT975" t="s">
        <v>1264</v>
      </c>
      <c r="AU975" s="34" t="s">
        <v>8</v>
      </c>
      <c r="AV975" t="s">
        <v>1496</v>
      </c>
      <c r="AW975" s="71">
        <v>0</v>
      </c>
      <c r="AX975">
        <v>1</v>
      </c>
      <c r="AY975">
        <v>0</v>
      </c>
      <c r="AZ975" s="71">
        <v>1</v>
      </c>
      <c r="BA975">
        <v>0</v>
      </c>
      <c r="BB975">
        <v>0</v>
      </c>
      <c r="BC975">
        <v>0</v>
      </c>
      <c r="BD975" s="144" t="s">
        <v>1625</v>
      </c>
      <c r="BF975" s="10"/>
      <c r="BG975"/>
    </row>
    <row r="976" spans="1:59" ht="14.25" customHeight="1" x14ac:dyDescent="0.25">
      <c r="A976" s="37" t="str">
        <f>LEFT(Scharniere[[#This Row],[ArtikelNR]],4)</f>
        <v>F017</v>
      </c>
      <c r="B976" s="35" t="str">
        <f>MID(Scharniere[[#This Row],[ArtikelNR]],5,3)</f>
        <v>139</v>
      </c>
      <c r="C976" s="37" t="str">
        <f>RIGHT(Scharniere[[#This Row],[ArtikelNR]],3)</f>
        <v>347</v>
      </c>
      <c r="D976" s="35">
        <f>IF(AND(Scharniere[[#This Row],[Gruppenschlüssel]]=select!$A$44,Scharniere[[#This Row],[Scharnierart]]=1)=TRUE,1,0)</f>
        <v>0</v>
      </c>
      <c r="E9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6" s="35">
        <f>IF(select!$F$57=IF(Scharniere[[#This Row],[mit Dämpfung]]=1,1,IF(Scharniere[[#This Row],[ohne Dämpfung]]=1,2,IF(Scharniere[[#This Row],[ohne Feder]]=1,3,0))),1,0)</f>
        <v>0</v>
      </c>
      <c r="G976" s="35">
        <f>IF(Scharniere[[#This Row],[Bohrbild]]=select!$V$43,1,0)</f>
        <v>1</v>
      </c>
      <c r="H976" s="35">
        <f>IF(IF(Scharniere[[#This Row],[Anschrauben]]=1,1,IF(Scharniere[[#This Row],[Einpressen]]=1,2,IF(Scharniere[[#This Row],[Quick]]=1,3,IF(Scharniere[[#This Row],[Werkzeuglos]]=1,4,0))))=select!$F$48,1,0)</f>
        <v>0</v>
      </c>
      <c r="I9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6" s="149">
        <f>IF(AND(Scharniere[[#This Row],[Scharnierart]]=2,Scharniere[[#This Row],[Gruppenschlüssel]]=select!$A$318)=TRUE,1,0)</f>
        <v>0</v>
      </c>
      <c r="K976" s="221">
        <f ca="1">IF(select!$O$424&lt;6,1,0)</f>
        <v>1</v>
      </c>
      <c r="L976" s="221">
        <f>IF(select!$A$362=IF(Scharniere[[#This Row],[mit Dämpfung]]=1,1,IF(Scharniere[[#This Row],[ohne Dämpfung]]=1,2,IF(Scharniere[[#This Row],[ohne Feder]]=1,3,0))),1,0)</f>
        <v>1</v>
      </c>
      <c r="M976" s="135">
        <f>IF(Scharniere[[#This Row],[Bohrbild]]=select!$O$334,1,0)</f>
        <v>1</v>
      </c>
      <c r="N976" s="135">
        <f>IF(IF(Scharniere[[#This Row],[Anschrauben]]=1,1,IF(Scharniere[[#This Row],[Einpressen]]=1,2,IF(Scharniere[[#This Row],[Quick]]=1,3,IF(Scharniere[[#This Row],[Werkzeuglos]]=1,4,0))))=select!$E$362,1,0)</f>
        <v>0</v>
      </c>
      <c r="O9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6" s="298">
        <f>IF(AND(Scharniere[[#This Row],[Scharnierart]]=3,Scharniere[[#This Row],[Gruppenschlüssel]]=select!$A$747)=TRUE,1,0)</f>
        <v>0</v>
      </c>
      <c r="Q976" s="298">
        <f ca="1">IF(select!$O$945&lt;6,1,0)</f>
        <v>1</v>
      </c>
      <c r="R976" s="298">
        <f>IF(select!$A$778=IF(Scharniere[[#This Row],[mit Dämpfung]]=1,1,IF(Scharniere[[#This Row],[ohne Dämpfung]]=1,2,IF(Scharniere[[#This Row],[ohne Feder]]=1,3,0))),1,0)</f>
        <v>0</v>
      </c>
      <c r="S976" s="298">
        <f>IF(Scharniere[[#This Row],[Bohrbild]]=select!$A$755,1,0)</f>
        <v>0</v>
      </c>
      <c r="T976" s="298">
        <f>IF(IF(Scharniere[[#This Row],[Anschrauben]]=1,1,IF(Scharniere[[#This Row],[Einpressen]]=1,2,IF(Scharniere[[#This Row],[Quick]]=1,3,IF(Scharniere[[#This Row],[Werkzeuglos]]=1,4,0))))=select!$A$769,1,0)</f>
        <v>0</v>
      </c>
      <c r="U9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6" s="359">
        <f>IF(AND(Scharniere[[#This Row],[Scharnierart]]=4,Scharniere[[#This Row],[Gruppenschlüssel]]=select!$A$981)=TRUE,1,0)</f>
        <v>0</v>
      </c>
      <c r="W976" s="359">
        <f ca="1">IF(select!$O$1185&lt;6,1,0)</f>
        <v>1</v>
      </c>
      <c r="X976" s="359">
        <f>IF(select!$A$1012=IF(Scharniere[[#This Row],[mit Dämpfung]]=1,1,IF(Scharniere[[#This Row],[ohne Dämpfung]]=1,2,IF(Scharniere[[#This Row],[ohne Feder]]=1,3,0))),1,0)</f>
        <v>0</v>
      </c>
      <c r="Y976" s="359">
        <f>IF(Scharniere[[#This Row],[Bohrbild]]=select!$A$989,1,0)</f>
        <v>0</v>
      </c>
      <c r="Z976" s="359">
        <f>IF(IF(Scharniere[[#This Row],[Anschrauben]]=1,1,IF(Scharniere[[#This Row],[Einpressen]]=1,2,IF(Scharniere[[#This Row],[Quick]]=1,3,IF(Scharniere[[#This Row],[Werkzeuglos]]=1,4,0))))=select!$A$1003,1,0)</f>
        <v>0</v>
      </c>
      <c r="AA9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6" s="359">
        <f ca="1">IF(select!$K$980="*",Scharniere[[#This Row],[AG Ges2]],Scharniere[[#This Row],[AG Ges1]])</f>
        <v>0</v>
      </c>
      <c r="AE976" s="451">
        <f ca="1">IF(AND(Scharniere[[#This Row],[Scharnierart]]=select!$A$1485,Scharniere[[#This Row],[Gruppenschlüssel]]=select!$B$1485)=TRUE,1,0)</f>
        <v>0</v>
      </c>
      <c r="AF976" s="451">
        <f ca="1">IF(AND(Scharniere[[#This Row],[Scharnierart]]=select!$A$1486,Scharniere[[#This Row],[Gruppenschlüssel]]=select!$B$1486)=TRUE,1,0)</f>
        <v>0</v>
      </c>
      <c r="AG976" s="451">
        <f ca="1">IF(AND(Scharniere[[#This Row],[Scharnierart]]=select!$A$1487,Scharniere[[#This Row],[Gruppenschlüssel]]=select!$B$1487)=TRUE,1,0)</f>
        <v>0</v>
      </c>
      <c r="AH976" s="451">
        <f ca="1">IF(AND(Scharniere[[#This Row],[Scharnierart]]=select!$A$1488,Scharniere[[#This Row],[Gruppenschlüssel]]=select!$B$1488)=TRUE,1,0)</f>
        <v>0</v>
      </c>
      <c r="AI976" s="451">
        <f ca="1">IF(SUM(Scharniere[[#This Row],[konf Scharnier 1]:[konf Scharnier 4]])&gt;0,1,0)</f>
        <v>0</v>
      </c>
      <c r="AJ976" s="451"/>
      <c r="AK976" s="451"/>
      <c r="AL976" s="451"/>
      <c r="AM976" s="451"/>
      <c r="AN976" s="451"/>
      <c r="AO976" s="146">
        <v>2</v>
      </c>
      <c r="AP976" s="146">
        <v>9</v>
      </c>
      <c r="AQ976" s="71" t="str">
        <f ca="1">Sprache!$A$113</f>
        <v>Tiomos Scharnier TS Impresso</v>
      </c>
      <c r="AR976" t="str">
        <f ca="1">"120/-15°, MB-BB, "&amp;Sprache!$A$58&amp;" ni"</f>
        <v>120/-15°, MB-BB, aufl. ni</v>
      </c>
      <c r="AS976" t="str">
        <f ca="1">Sprache!$A$116</f>
        <v>Tiomos Impresso Scharniere</v>
      </c>
      <c r="AT976" t="s">
        <v>1264</v>
      </c>
      <c r="AU976" t="s">
        <v>8</v>
      </c>
      <c r="AV976" t="s">
        <v>1496</v>
      </c>
      <c r="AW976" s="71">
        <v>1</v>
      </c>
      <c r="AX976">
        <v>0</v>
      </c>
      <c r="AY976">
        <v>0</v>
      </c>
      <c r="AZ976" s="71">
        <v>0</v>
      </c>
      <c r="BA976">
        <v>0</v>
      </c>
      <c r="BB976">
        <v>0</v>
      </c>
      <c r="BC976">
        <v>1</v>
      </c>
      <c r="BD976" s="144" t="s">
        <v>1497</v>
      </c>
      <c r="BF976" s="10"/>
      <c r="BG976"/>
    </row>
    <row r="977" spans="1:59" ht="14.25" customHeight="1" x14ac:dyDescent="0.25">
      <c r="A977" s="37" t="str">
        <f>LEFT(Scharniere[[#This Row],[ArtikelNR]],4)</f>
        <v>F017</v>
      </c>
      <c r="B977" s="35" t="str">
        <f>MID(Scharniere[[#This Row],[ArtikelNR]],5,3)</f>
        <v>139</v>
      </c>
      <c r="C977" s="37" t="str">
        <f>RIGHT(Scharniere[[#This Row],[ArtikelNR]],3)</f>
        <v>347</v>
      </c>
      <c r="D977" s="35">
        <f>IF(AND(Scharniere[[#This Row],[Gruppenschlüssel]]=select!$A$44,Scharniere[[#This Row],[Scharnierart]]=1)=TRUE,1,0)</f>
        <v>0</v>
      </c>
      <c r="E9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7" s="35">
        <f>IF(select!$F$57=IF(Scharniere[[#This Row],[mit Dämpfung]]=1,1,IF(Scharniere[[#This Row],[ohne Dämpfung]]=1,2,IF(Scharniere[[#This Row],[ohne Feder]]=1,3,0))),1,0)</f>
        <v>0</v>
      </c>
      <c r="G977" s="35">
        <f>IF(Scharniere[[#This Row],[Bohrbild]]=select!$V$43,1,0)</f>
        <v>0</v>
      </c>
      <c r="H977" s="35">
        <f>IF(IF(Scharniere[[#This Row],[Anschrauben]]=1,1,IF(Scharniere[[#This Row],[Einpressen]]=1,2,IF(Scharniere[[#This Row],[Quick]]=1,3,IF(Scharniere[[#This Row],[Werkzeuglos]]=1,4,0))))=select!$F$48,1,0)</f>
        <v>0</v>
      </c>
      <c r="I9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7" s="149">
        <f>IF(AND(Scharniere[[#This Row],[Scharnierart]]=2,Scharniere[[#This Row],[Gruppenschlüssel]]=select!$A$318)=TRUE,1,0)</f>
        <v>0</v>
      </c>
      <c r="K977" s="221">
        <f ca="1">IF(select!$O$424&lt;6,1,0)</f>
        <v>1</v>
      </c>
      <c r="L977" s="221">
        <f>IF(select!$A$362=IF(Scharniere[[#This Row],[mit Dämpfung]]=1,1,IF(Scharniere[[#This Row],[ohne Dämpfung]]=1,2,IF(Scharniere[[#This Row],[ohne Feder]]=1,3,0))),1,0)</f>
        <v>1</v>
      </c>
      <c r="M977" s="135">
        <f>IF(Scharniere[[#This Row],[Bohrbild]]=select!$O$334,1,0)</f>
        <v>0</v>
      </c>
      <c r="N977" s="135">
        <f>IF(IF(Scharniere[[#This Row],[Anschrauben]]=1,1,IF(Scharniere[[#This Row],[Einpressen]]=1,2,IF(Scharniere[[#This Row],[Quick]]=1,3,IF(Scharniere[[#This Row],[Werkzeuglos]]=1,4,0))))=select!$E$362,1,0)</f>
        <v>0</v>
      </c>
      <c r="O9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7" s="298">
        <f>IF(AND(Scharniere[[#This Row],[Scharnierart]]=3,Scharniere[[#This Row],[Gruppenschlüssel]]=select!$A$747)=TRUE,1,0)</f>
        <v>0</v>
      </c>
      <c r="Q977" s="298">
        <f ca="1">IF(select!$O$945&lt;6,1,0)</f>
        <v>1</v>
      </c>
      <c r="R977" s="298">
        <f>IF(select!$A$778=IF(Scharniere[[#This Row],[mit Dämpfung]]=1,1,IF(Scharniere[[#This Row],[ohne Dämpfung]]=1,2,IF(Scharniere[[#This Row],[ohne Feder]]=1,3,0))),1,0)</f>
        <v>0</v>
      </c>
      <c r="S977" s="298">
        <f>IF(Scharniere[[#This Row],[Bohrbild]]=select!$A$755,1,0)</f>
        <v>0</v>
      </c>
      <c r="T977" s="298">
        <f>IF(IF(Scharniere[[#This Row],[Anschrauben]]=1,1,IF(Scharniere[[#This Row],[Einpressen]]=1,2,IF(Scharniere[[#This Row],[Quick]]=1,3,IF(Scharniere[[#This Row],[Werkzeuglos]]=1,4,0))))=select!$A$769,1,0)</f>
        <v>0</v>
      </c>
      <c r="U9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7" s="359">
        <f>IF(AND(Scharniere[[#This Row],[Scharnierart]]=4,Scharniere[[#This Row],[Gruppenschlüssel]]=select!$A$981)=TRUE,1,0)</f>
        <v>0</v>
      </c>
      <c r="W977" s="359">
        <f ca="1">IF(select!$O$1185&lt;6,1,0)</f>
        <v>1</v>
      </c>
      <c r="X977" s="359">
        <f>IF(select!$A$1012=IF(Scharniere[[#This Row],[mit Dämpfung]]=1,1,IF(Scharniere[[#This Row],[ohne Dämpfung]]=1,2,IF(Scharniere[[#This Row],[ohne Feder]]=1,3,0))),1,0)</f>
        <v>0</v>
      </c>
      <c r="Y977" s="359">
        <f>IF(Scharniere[[#This Row],[Bohrbild]]=select!$A$989,1,0)</f>
        <v>0</v>
      </c>
      <c r="Z977" s="359">
        <f>IF(IF(Scharniere[[#This Row],[Anschrauben]]=1,1,IF(Scharniere[[#This Row],[Einpressen]]=1,2,IF(Scharniere[[#This Row],[Quick]]=1,3,IF(Scharniere[[#This Row],[Werkzeuglos]]=1,4,0))))=select!$A$1003,1,0)</f>
        <v>0</v>
      </c>
      <c r="AA9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7" s="359">
        <f ca="1">IF(select!$K$980="*",Scharniere[[#This Row],[AG Ges2]],Scharniere[[#This Row],[AG Ges1]])</f>
        <v>0</v>
      </c>
      <c r="AE977" s="451">
        <f ca="1">IF(AND(Scharniere[[#This Row],[Scharnierart]]=select!$A$1485,Scharniere[[#This Row],[Gruppenschlüssel]]=select!$B$1485)=TRUE,1,0)</f>
        <v>0</v>
      </c>
      <c r="AF977" s="451">
        <f ca="1">IF(AND(Scharniere[[#This Row],[Scharnierart]]=select!$A$1486,Scharniere[[#This Row],[Gruppenschlüssel]]=select!$B$1486)=TRUE,1,0)</f>
        <v>0</v>
      </c>
      <c r="AG977" s="451">
        <f ca="1">IF(AND(Scharniere[[#This Row],[Scharnierart]]=select!$A$1487,Scharniere[[#This Row],[Gruppenschlüssel]]=select!$B$1487)=TRUE,1,0)</f>
        <v>0</v>
      </c>
      <c r="AH977" s="451">
        <f ca="1">IF(AND(Scharniere[[#This Row],[Scharnierart]]=select!$A$1488,Scharniere[[#This Row],[Gruppenschlüssel]]=select!$B$1488)=TRUE,1,0)</f>
        <v>0</v>
      </c>
      <c r="AI977" s="451">
        <f ca="1">IF(SUM(Scharniere[[#This Row],[konf Scharnier 1]:[konf Scharnier 4]])&gt;0,1,0)</f>
        <v>0</v>
      </c>
      <c r="AJ977" s="451"/>
      <c r="AK977" s="451"/>
      <c r="AL977" s="451"/>
      <c r="AM977" s="451"/>
      <c r="AN977" s="451"/>
      <c r="AO977" s="146">
        <v>2</v>
      </c>
      <c r="AP977" s="146">
        <v>9</v>
      </c>
      <c r="AQ977" s="71" t="str">
        <f ca="1">Sprache!$A$113</f>
        <v>Tiomos Scharnier TS Impresso</v>
      </c>
      <c r="AR977" t="str">
        <f ca="1">"120/-15°, MB-BB, "&amp;Sprache!$A$58&amp;" ni"</f>
        <v>120/-15°, MB-BB, aufl. ni</v>
      </c>
      <c r="AS977" t="str">
        <f ca="1">Sprache!$A$116</f>
        <v>Tiomos Impresso Scharniere</v>
      </c>
      <c r="AT977" t="s">
        <v>1264</v>
      </c>
      <c r="AU977" t="s">
        <v>3</v>
      </c>
      <c r="AV977" t="s">
        <v>1496</v>
      </c>
      <c r="AW977" s="71">
        <v>1</v>
      </c>
      <c r="AX977">
        <v>0</v>
      </c>
      <c r="AY977">
        <v>0</v>
      </c>
      <c r="AZ977" s="71">
        <v>0</v>
      </c>
      <c r="BA977">
        <v>0</v>
      </c>
      <c r="BB977">
        <v>0</v>
      </c>
      <c r="BC977">
        <v>1</v>
      </c>
      <c r="BD977" s="144" t="s">
        <v>1497</v>
      </c>
      <c r="BF977" s="10"/>
      <c r="BG977"/>
    </row>
    <row r="978" spans="1:59" ht="14.25" customHeight="1" x14ac:dyDescent="0.25">
      <c r="A978" s="37" t="str">
        <f>LEFT(Scharniere[[#This Row],[ArtikelNR]],4)</f>
        <v>F034</v>
      </c>
      <c r="B978" s="35" t="str">
        <f>MID(Scharniere[[#This Row],[ArtikelNR]],5,3)</f>
        <v>139</v>
      </c>
      <c r="C978" s="37" t="str">
        <f>RIGHT(Scharniere[[#This Row],[ArtikelNR]],3)</f>
        <v>318</v>
      </c>
      <c r="D978" s="35">
        <f>IF(AND(Scharniere[[#This Row],[Gruppenschlüssel]]=select!$A$44,Scharniere[[#This Row],[Scharnierart]]=1)=TRUE,1,0)</f>
        <v>0</v>
      </c>
      <c r="E9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8" s="35">
        <f>IF(select!$F$57=IF(Scharniere[[#This Row],[mit Dämpfung]]=1,1,IF(Scharniere[[#This Row],[ohne Dämpfung]]=1,2,IF(Scharniere[[#This Row],[ohne Feder]]=1,3,0))),1,0)</f>
        <v>0</v>
      </c>
      <c r="G978" s="35">
        <f>IF(Scharniere[[#This Row],[Bohrbild]]=select!$V$43,1,0)</f>
        <v>1</v>
      </c>
      <c r="H978" s="35">
        <f>IF(IF(Scharniere[[#This Row],[Anschrauben]]=1,1,IF(Scharniere[[#This Row],[Einpressen]]=1,2,IF(Scharniere[[#This Row],[Quick]]=1,3,IF(Scharniere[[#This Row],[Werkzeuglos]]=1,4,0))))=select!$F$48,1,0)</f>
        <v>0</v>
      </c>
      <c r="I9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8" s="149">
        <f>IF(AND(Scharniere[[#This Row],[Scharnierart]]=2,Scharniere[[#This Row],[Gruppenschlüssel]]=select!$A$318)=TRUE,1,0)</f>
        <v>0</v>
      </c>
      <c r="K978" s="221">
        <f ca="1">IF(select!$O$424&lt;6,1,0)</f>
        <v>1</v>
      </c>
      <c r="L978" s="221">
        <f>IF(select!$A$362=IF(Scharniere[[#This Row],[mit Dämpfung]]=1,1,IF(Scharniere[[#This Row],[ohne Dämpfung]]=1,2,IF(Scharniere[[#This Row],[ohne Feder]]=1,3,0))),1,0)</f>
        <v>0</v>
      </c>
      <c r="M978" s="135">
        <f>IF(Scharniere[[#This Row],[Bohrbild]]=select!$O$334,1,0)</f>
        <v>1</v>
      </c>
      <c r="N978" s="135">
        <f>IF(IF(Scharniere[[#This Row],[Anschrauben]]=1,1,IF(Scharniere[[#This Row],[Einpressen]]=1,2,IF(Scharniere[[#This Row],[Quick]]=1,3,IF(Scharniere[[#This Row],[Werkzeuglos]]=1,4,0))))=select!$E$362,1,0)</f>
        <v>0</v>
      </c>
      <c r="O9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8" s="298">
        <f>IF(AND(Scharniere[[#This Row],[Scharnierart]]=3,Scharniere[[#This Row],[Gruppenschlüssel]]=select!$A$747)=TRUE,1,0)</f>
        <v>0</v>
      </c>
      <c r="Q978" s="298">
        <f ca="1">IF(select!$O$945&lt;6,1,0)</f>
        <v>1</v>
      </c>
      <c r="R978" s="298">
        <f>IF(select!$A$778=IF(Scharniere[[#This Row],[mit Dämpfung]]=1,1,IF(Scharniere[[#This Row],[ohne Dämpfung]]=1,2,IF(Scharniere[[#This Row],[ohne Feder]]=1,3,0))),1,0)</f>
        <v>1</v>
      </c>
      <c r="S978" s="298">
        <f>IF(Scharniere[[#This Row],[Bohrbild]]=select!$A$755,1,0)</f>
        <v>0</v>
      </c>
      <c r="T978" s="298">
        <f>IF(IF(Scharniere[[#This Row],[Anschrauben]]=1,1,IF(Scharniere[[#This Row],[Einpressen]]=1,2,IF(Scharniere[[#This Row],[Quick]]=1,3,IF(Scharniere[[#This Row],[Werkzeuglos]]=1,4,0))))=select!$A$769,1,0)</f>
        <v>0</v>
      </c>
      <c r="U9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8" s="359">
        <f>IF(AND(Scharniere[[#This Row],[Scharnierart]]=4,Scharniere[[#This Row],[Gruppenschlüssel]]=select!$A$981)=TRUE,1,0)</f>
        <v>0</v>
      </c>
      <c r="W978" s="359">
        <f ca="1">IF(select!$O$1185&lt;6,1,0)</f>
        <v>1</v>
      </c>
      <c r="X978" s="359">
        <f>IF(select!$A$1012=IF(Scharniere[[#This Row],[mit Dämpfung]]=1,1,IF(Scharniere[[#This Row],[ohne Dämpfung]]=1,2,IF(Scharniere[[#This Row],[ohne Feder]]=1,3,0))),1,0)</f>
        <v>1</v>
      </c>
      <c r="Y978" s="359">
        <f>IF(Scharniere[[#This Row],[Bohrbild]]=select!$A$989,1,0)</f>
        <v>0</v>
      </c>
      <c r="Z978" s="359">
        <f>IF(IF(Scharniere[[#This Row],[Anschrauben]]=1,1,IF(Scharniere[[#This Row],[Einpressen]]=1,2,IF(Scharniere[[#This Row],[Quick]]=1,3,IF(Scharniere[[#This Row],[Werkzeuglos]]=1,4,0))))=select!$A$1003,1,0)</f>
        <v>0</v>
      </c>
      <c r="AA9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8" s="359">
        <f ca="1">IF(select!$K$980="*",Scharniere[[#This Row],[AG Ges2]],Scharniere[[#This Row],[AG Ges1]])</f>
        <v>0</v>
      </c>
      <c r="AE978" s="451">
        <f ca="1">IF(AND(Scharniere[[#This Row],[Scharnierart]]=select!$A$1485,Scharniere[[#This Row],[Gruppenschlüssel]]=select!$B$1485)=TRUE,1,0)</f>
        <v>0</v>
      </c>
      <c r="AF978" s="451">
        <f ca="1">IF(AND(Scharniere[[#This Row],[Scharnierart]]=select!$A$1486,Scharniere[[#This Row],[Gruppenschlüssel]]=select!$B$1486)=TRUE,1,0)</f>
        <v>0</v>
      </c>
      <c r="AG978" s="451">
        <f ca="1">IF(AND(Scharniere[[#This Row],[Scharnierart]]=select!$A$1487,Scharniere[[#This Row],[Gruppenschlüssel]]=select!$B$1487)=TRUE,1,0)</f>
        <v>0</v>
      </c>
      <c r="AH978" s="451">
        <f ca="1">IF(AND(Scharniere[[#This Row],[Scharnierart]]=select!$A$1488,Scharniere[[#This Row],[Gruppenschlüssel]]=select!$B$1488)=TRUE,1,0)</f>
        <v>0</v>
      </c>
      <c r="AI978" s="451">
        <f ca="1">IF(SUM(Scharniere[[#This Row],[konf Scharnier 1]:[konf Scharnier 4]])&gt;0,1,0)</f>
        <v>0</v>
      </c>
      <c r="AJ978" s="451"/>
      <c r="AK978" s="451"/>
      <c r="AL978" s="451"/>
      <c r="AM978" s="451"/>
      <c r="AN978" s="451"/>
      <c r="AO978" s="146">
        <v>2</v>
      </c>
      <c r="AP978" s="146">
        <v>9</v>
      </c>
      <c r="AQ978" s="71" t="str">
        <f ca="1">Sprache!$A$119</f>
        <v>Tiomos Scharnier T Impresso</v>
      </c>
      <c r="AR978" t="str">
        <f ca="1">"120/-15°, MB-BB, "&amp;Sprache!$A$58&amp;" ni"</f>
        <v>120/-15°, MB-BB, aufl. ni</v>
      </c>
      <c r="AS978" t="str">
        <f ca="1">Sprache!$A$103</f>
        <v>Tiomos Click-On Scharniere</v>
      </c>
      <c r="AT978" t="s">
        <v>1264</v>
      </c>
      <c r="AU978" s="34" t="s">
        <v>8</v>
      </c>
      <c r="AV978" t="s">
        <v>1496</v>
      </c>
      <c r="AW978" s="71">
        <v>0</v>
      </c>
      <c r="AX978">
        <v>1</v>
      </c>
      <c r="AY978">
        <v>0</v>
      </c>
      <c r="AZ978" s="71">
        <v>0</v>
      </c>
      <c r="BA978">
        <v>0</v>
      </c>
      <c r="BB978">
        <v>0</v>
      </c>
      <c r="BC978">
        <v>1</v>
      </c>
      <c r="BD978" s="144" t="s">
        <v>1608</v>
      </c>
      <c r="BF978" s="10"/>
      <c r="BG978"/>
    </row>
    <row r="979" spans="1:59" ht="14.25" customHeight="1" x14ac:dyDescent="0.25">
      <c r="A979" s="37" t="str">
        <f>LEFT(Scharniere[[#This Row],[ArtikelNR]],4)</f>
        <v>F034</v>
      </c>
      <c r="B979" s="35" t="str">
        <f>MID(Scharniere[[#This Row],[ArtikelNR]],5,3)</f>
        <v>139</v>
      </c>
      <c r="C979" s="37" t="str">
        <f>RIGHT(Scharniere[[#This Row],[ArtikelNR]],3)</f>
        <v>318</v>
      </c>
      <c r="D979" s="35">
        <f>IF(AND(Scharniere[[#This Row],[Gruppenschlüssel]]=select!$A$44,Scharniere[[#This Row],[Scharnierart]]=1)=TRUE,1,0)</f>
        <v>0</v>
      </c>
      <c r="E97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79" s="35">
        <f>IF(select!$F$57=IF(Scharniere[[#This Row],[mit Dämpfung]]=1,1,IF(Scharniere[[#This Row],[ohne Dämpfung]]=1,2,IF(Scharniere[[#This Row],[ohne Feder]]=1,3,0))),1,0)</f>
        <v>0</v>
      </c>
      <c r="G979" s="35">
        <f>IF(Scharniere[[#This Row],[Bohrbild]]=select!$V$43,1,0)</f>
        <v>0</v>
      </c>
      <c r="H979" s="35">
        <f>IF(IF(Scharniere[[#This Row],[Anschrauben]]=1,1,IF(Scharniere[[#This Row],[Einpressen]]=1,2,IF(Scharniere[[#This Row],[Quick]]=1,3,IF(Scharniere[[#This Row],[Werkzeuglos]]=1,4,0))))=select!$F$48,1,0)</f>
        <v>0</v>
      </c>
      <c r="I97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79" s="149">
        <f>IF(AND(Scharniere[[#This Row],[Scharnierart]]=2,Scharniere[[#This Row],[Gruppenschlüssel]]=select!$A$318)=TRUE,1,0)</f>
        <v>0</v>
      </c>
      <c r="K979" s="221">
        <f ca="1">IF(select!$O$424&lt;6,1,0)</f>
        <v>1</v>
      </c>
      <c r="L979" s="221">
        <f>IF(select!$A$362=IF(Scharniere[[#This Row],[mit Dämpfung]]=1,1,IF(Scharniere[[#This Row],[ohne Dämpfung]]=1,2,IF(Scharniere[[#This Row],[ohne Feder]]=1,3,0))),1,0)</f>
        <v>0</v>
      </c>
      <c r="M979" s="135">
        <f>IF(Scharniere[[#This Row],[Bohrbild]]=select!$O$334,1,0)</f>
        <v>0</v>
      </c>
      <c r="N979" s="135">
        <f>IF(IF(Scharniere[[#This Row],[Anschrauben]]=1,1,IF(Scharniere[[#This Row],[Einpressen]]=1,2,IF(Scharniere[[#This Row],[Quick]]=1,3,IF(Scharniere[[#This Row],[Werkzeuglos]]=1,4,0))))=select!$E$362,1,0)</f>
        <v>0</v>
      </c>
      <c r="O97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79" s="298">
        <f>IF(AND(Scharniere[[#This Row],[Scharnierart]]=3,Scharniere[[#This Row],[Gruppenschlüssel]]=select!$A$747)=TRUE,1,0)</f>
        <v>0</v>
      </c>
      <c r="Q979" s="298">
        <f ca="1">IF(select!$O$945&lt;6,1,0)</f>
        <v>1</v>
      </c>
      <c r="R979" s="298">
        <f>IF(select!$A$778=IF(Scharniere[[#This Row],[mit Dämpfung]]=1,1,IF(Scharniere[[#This Row],[ohne Dämpfung]]=1,2,IF(Scharniere[[#This Row],[ohne Feder]]=1,3,0))),1,0)</f>
        <v>1</v>
      </c>
      <c r="S979" s="298">
        <f>IF(Scharniere[[#This Row],[Bohrbild]]=select!$A$755,1,0)</f>
        <v>0</v>
      </c>
      <c r="T979" s="298">
        <f>IF(IF(Scharniere[[#This Row],[Anschrauben]]=1,1,IF(Scharniere[[#This Row],[Einpressen]]=1,2,IF(Scharniere[[#This Row],[Quick]]=1,3,IF(Scharniere[[#This Row],[Werkzeuglos]]=1,4,0))))=select!$A$769,1,0)</f>
        <v>0</v>
      </c>
      <c r="U97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79" s="359">
        <f>IF(AND(Scharniere[[#This Row],[Scharnierart]]=4,Scharniere[[#This Row],[Gruppenschlüssel]]=select!$A$981)=TRUE,1,0)</f>
        <v>0</v>
      </c>
      <c r="W979" s="359">
        <f ca="1">IF(select!$O$1185&lt;6,1,0)</f>
        <v>1</v>
      </c>
      <c r="X979" s="359">
        <f>IF(select!$A$1012=IF(Scharniere[[#This Row],[mit Dämpfung]]=1,1,IF(Scharniere[[#This Row],[ohne Dämpfung]]=1,2,IF(Scharniere[[#This Row],[ohne Feder]]=1,3,0))),1,0)</f>
        <v>1</v>
      </c>
      <c r="Y979" s="359">
        <f>IF(Scharniere[[#This Row],[Bohrbild]]=select!$A$989,1,0)</f>
        <v>0</v>
      </c>
      <c r="Z979" s="359">
        <f>IF(IF(Scharniere[[#This Row],[Anschrauben]]=1,1,IF(Scharniere[[#This Row],[Einpressen]]=1,2,IF(Scharniere[[#This Row],[Quick]]=1,3,IF(Scharniere[[#This Row],[Werkzeuglos]]=1,4,0))))=select!$A$1003,1,0)</f>
        <v>0</v>
      </c>
      <c r="AA97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7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7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79" s="359">
        <f ca="1">IF(select!$K$980="*",Scharniere[[#This Row],[AG Ges2]],Scharniere[[#This Row],[AG Ges1]])</f>
        <v>0</v>
      </c>
      <c r="AE979" s="451">
        <f ca="1">IF(AND(Scharniere[[#This Row],[Scharnierart]]=select!$A$1485,Scharniere[[#This Row],[Gruppenschlüssel]]=select!$B$1485)=TRUE,1,0)</f>
        <v>0</v>
      </c>
      <c r="AF979" s="451">
        <f ca="1">IF(AND(Scharniere[[#This Row],[Scharnierart]]=select!$A$1486,Scharniere[[#This Row],[Gruppenschlüssel]]=select!$B$1486)=TRUE,1,0)</f>
        <v>0</v>
      </c>
      <c r="AG979" s="451">
        <f ca="1">IF(AND(Scharniere[[#This Row],[Scharnierart]]=select!$A$1487,Scharniere[[#This Row],[Gruppenschlüssel]]=select!$B$1487)=TRUE,1,0)</f>
        <v>0</v>
      </c>
      <c r="AH979" s="451">
        <f ca="1">IF(AND(Scharniere[[#This Row],[Scharnierart]]=select!$A$1488,Scharniere[[#This Row],[Gruppenschlüssel]]=select!$B$1488)=TRUE,1,0)</f>
        <v>0</v>
      </c>
      <c r="AI979" s="451">
        <f ca="1">IF(SUM(Scharniere[[#This Row],[konf Scharnier 1]:[konf Scharnier 4]])&gt;0,1,0)</f>
        <v>0</v>
      </c>
      <c r="AJ979" s="451"/>
      <c r="AK979" s="451"/>
      <c r="AL979" s="451"/>
      <c r="AM979" s="451"/>
      <c r="AN979" s="451"/>
      <c r="AO979" s="146">
        <v>2</v>
      </c>
      <c r="AP979" s="146">
        <v>9</v>
      </c>
      <c r="AQ979" s="71" t="str">
        <f ca="1">Sprache!$A$119</f>
        <v>Tiomos Scharnier T Impresso</v>
      </c>
      <c r="AR979" t="str">
        <f ca="1">"120/-15°, MB-BB, "&amp;Sprache!$A$58&amp;" ni"</f>
        <v>120/-15°, MB-BB, aufl. ni</v>
      </c>
      <c r="AS979" t="str">
        <f ca="1">Sprache!$A$103</f>
        <v>Tiomos Click-On Scharniere</v>
      </c>
      <c r="AT979" t="s">
        <v>1264</v>
      </c>
      <c r="AU979" t="s">
        <v>3</v>
      </c>
      <c r="AV979" t="s">
        <v>1496</v>
      </c>
      <c r="AW979" s="71">
        <v>0</v>
      </c>
      <c r="AX979">
        <v>1</v>
      </c>
      <c r="AY979">
        <v>0</v>
      </c>
      <c r="AZ979" s="71">
        <v>0</v>
      </c>
      <c r="BA979">
        <v>0</v>
      </c>
      <c r="BB979">
        <v>0</v>
      </c>
      <c r="BC979">
        <v>1</v>
      </c>
      <c r="BD979" s="144" t="s">
        <v>1608</v>
      </c>
      <c r="BF979" s="10"/>
      <c r="BG979"/>
    </row>
    <row r="980" spans="1:59" ht="14.25" customHeight="1" x14ac:dyDescent="0.25">
      <c r="A980" s="37" t="str">
        <f>LEFT(Scharniere[[#This Row],[ArtikelNR]],4)</f>
        <v>F028</v>
      </c>
      <c r="B980" s="35" t="str">
        <f>MID(Scharniere[[#This Row],[ArtikelNR]],5,3)</f>
        <v>138</v>
      </c>
      <c r="C980" s="37" t="str">
        <f>RIGHT(Scharniere[[#This Row],[ArtikelNR]],3)</f>
        <v>919</v>
      </c>
      <c r="D980" s="35">
        <f>IF(AND(Scharniere[[#This Row],[Gruppenschlüssel]]=select!$A$44,Scharniere[[#This Row],[Scharnierart]]=1)=TRUE,1,0)</f>
        <v>0</v>
      </c>
      <c r="E98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0" s="35">
        <f>IF(select!$F$57=IF(Scharniere[[#This Row],[mit Dämpfung]]=1,1,IF(Scharniere[[#This Row],[ohne Dämpfung]]=1,2,IF(Scharniere[[#This Row],[ohne Feder]]=1,3,0))),1,0)</f>
        <v>0</v>
      </c>
      <c r="G980" s="35">
        <f>IF(Scharniere[[#This Row],[Bohrbild]]=select!$V$43,1,0)</f>
        <v>0</v>
      </c>
      <c r="H980" s="35">
        <f>IF(IF(Scharniere[[#This Row],[Anschrauben]]=1,1,IF(Scharniere[[#This Row],[Einpressen]]=1,2,IF(Scharniere[[#This Row],[Quick]]=1,3,IF(Scharniere[[#This Row],[Werkzeuglos]]=1,4,0))))=select!$F$48,1,0)</f>
        <v>0</v>
      </c>
      <c r="I98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0" s="149">
        <f>IF(AND(Scharniere[[#This Row],[Scharnierart]]=2,Scharniere[[#This Row],[Gruppenschlüssel]]=select!$A$318)=TRUE,1,0)</f>
        <v>0</v>
      </c>
      <c r="K980" s="221">
        <f ca="1">IF(select!$O$424&lt;6,1,0)</f>
        <v>1</v>
      </c>
      <c r="L980" s="221">
        <f>IF(select!$A$362=IF(Scharniere[[#This Row],[mit Dämpfung]]=1,1,IF(Scharniere[[#This Row],[ohne Dämpfung]]=1,2,IF(Scharniere[[#This Row],[ohne Feder]]=1,3,0))),1,0)</f>
        <v>1</v>
      </c>
      <c r="M980" s="135">
        <f>IF(Scharniere[[#This Row],[Bohrbild]]=select!$O$334,1,0)</f>
        <v>0</v>
      </c>
      <c r="N980" s="135">
        <f>IF(IF(Scharniere[[#This Row],[Anschrauben]]=1,1,IF(Scharniere[[#This Row],[Einpressen]]=1,2,IF(Scharniere[[#This Row],[Quick]]=1,3,IF(Scharniere[[#This Row],[Werkzeuglos]]=1,4,0))))=select!$E$362,1,0)</f>
        <v>1</v>
      </c>
      <c r="O98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0" s="298">
        <f>IF(AND(Scharniere[[#This Row],[Scharnierart]]=3,Scharniere[[#This Row],[Gruppenschlüssel]]=select!$A$747)=TRUE,1,0)</f>
        <v>0</v>
      </c>
      <c r="Q980" s="298">
        <f ca="1">IF(select!$O$945&lt;6,1,0)</f>
        <v>1</v>
      </c>
      <c r="R980" s="298">
        <f>IF(select!$A$778=IF(Scharniere[[#This Row],[mit Dämpfung]]=1,1,IF(Scharniere[[#This Row],[ohne Dämpfung]]=1,2,IF(Scharniere[[#This Row],[ohne Feder]]=1,3,0))),1,0)</f>
        <v>0</v>
      </c>
      <c r="S980" s="298">
        <f>IF(Scharniere[[#This Row],[Bohrbild]]=select!$A$755,1,0)</f>
        <v>0</v>
      </c>
      <c r="T980" s="298">
        <f>IF(IF(Scharniere[[#This Row],[Anschrauben]]=1,1,IF(Scharniere[[#This Row],[Einpressen]]=1,2,IF(Scharniere[[#This Row],[Quick]]=1,3,IF(Scharniere[[#This Row],[Werkzeuglos]]=1,4,0))))=select!$A$769,1,0)</f>
        <v>1</v>
      </c>
      <c r="U98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0" s="359">
        <f>IF(AND(Scharniere[[#This Row],[Scharnierart]]=4,Scharniere[[#This Row],[Gruppenschlüssel]]=select!$A$981)=TRUE,1,0)</f>
        <v>0</v>
      </c>
      <c r="W980" s="359">
        <f ca="1">IF(select!$O$1185&lt;6,1,0)</f>
        <v>1</v>
      </c>
      <c r="X980" s="359">
        <f>IF(select!$A$1012=IF(Scharniere[[#This Row],[mit Dämpfung]]=1,1,IF(Scharniere[[#This Row],[ohne Dämpfung]]=1,2,IF(Scharniere[[#This Row],[ohne Feder]]=1,3,0))),1,0)</f>
        <v>0</v>
      </c>
      <c r="Y980" s="359">
        <f>IF(Scharniere[[#This Row],[Bohrbild]]=select!$A$989,1,0)</f>
        <v>0</v>
      </c>
      <c r="Z980" s="359">
        <f>IF(IF(Scharniere[[#This Row],[Anschrauben]]=1,1,IF(Scharniere[[#This Row],[Einpressen]]=1,2,IF(Scharniere[[#This Row],[Quick]]=1,3,IF(Scharniere[[#This Row],[Werkzeuglos]]=1,4,0))))=select!$A$1003,1,0)</f>
        <v>1</v>
      </c>
      <c r="AA98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0" s="359">
        <f ca="1">IF(select!$K$980="*",Scharniere[[#This Row],[AG Ges2]],Scharniere[[#This Row],[AG Ges1]])</f>
        <v>0</v>
      </c>
      <c r="AE980" s="451">
        <f ca="1">IF(AND(Scharniere[[#This Row],[Scharnierart]]=select!$A$1485,Scharniere[[#This Row],[Gruppenschlüssel]]=select!$B$1485)=TRUE,1,0)</f>
        <v>0</v>
      </c>
      <c r="AF980" s="451">
        <f ca="1">IF(AND(Scharniere[[#This Row],[Scharnierart]]=select!$A$1486,Scharniere[[#This Row],[Gruppenschlüssel]]=select!$B$1486)=TRUE,1,0)</f>
        <v>0</v>
      </c>
      <c r="AG980" s="451">
        <f ca="1">IF(AND(Scharniere[[#This Row],[Scharnierart]]=select!$A$1487,Scharniere[[#This Row],[Gruppenschlüssel]]=select!$B$1487)=TRUE,1,0)</f>
        <v>0</v>
      </c>
      <c r="AH980" s="451">
        <f ca="1">IF(AND(Scharniere[[#This Row],[Scharnierart]]=select!$A$1488,Scharniere[[#This Row],[Gruppenschlüssel]]=select!$B$1488)=TRUE,1,0)</f>
        <v>0</v>
      </c>
      <c r="AI980" s="451">
        <f ca="1">IF(SUM(Scharniere[[#This Row],[konf Scharnier 1]:[konf Scharnier 4]])&gt;0,1,0)</f>
        <v>0</v>
      </c>
      <c r="AJ980" s="451"/>
      <c r="AK980" s="451"/>
      <c r="AL980" s="451"/>
      <c r="AM980" s="451"/>
      <c r="AN980" s="451"/>
      <c r="AO980" s="146">
        <v>2</v>
      </c>
      <c r="AP980" s="146">
        <v>9</v>
      </c>
      <c r="AQ980" s="71" t="str">
        <f ca="1">Sprache!$A$112</f>
        <v>Tiomos Scharnier TS Click-on</v>
      </c>
      <c r="AR980" t="str">
        <f ca="1">"120/-15°, S-BB, "&amp;Sprache!$A$58&amp;" ni"</f>
        <v>120/-15°, S-BB, aufl. ni</v>
      </c>
      <c r="AS980" t="str">
        <f ca="1">Sprache!$A$103</f>
        <v>Tiomos Click-On Scharniere</v>
      </c>
      <c r="AT980" t="s">
        <v>1264</v>
      </c>
      <c r="AU980" t="s">
        <v>11</v>
      </c>
      <c r="AV980" t="s">
        <v>1496</v>
      </c>
      <c r="AW980" s="71">
        <v>1</v>
      </c>
      <c r="AX980">
        <v>0</v>
      </c>
      <c r="AY980">
        <v>0</v>
      </c>
      <c r="AZ980" s="71">
        <v>1</v>
      </c>
      <c r="BA980">
        <v>0</v>
      </c>
      <c r="BB980">
        <v>0</v>
      </c>
      <c r="BC980">
        <v>0</v>
      </c>
      <c r="BD980" s="144" t="s">
        <v>1577</v>
      </c>
      <c r="BF980" s="10"/>
      <c r="BG980"/>
    </row>
    <row r="981" spans="1:59" ht="14.25" customHeight="1" x14ac:dyDescent="0.25">
      <c r="A981" s="37" t="str">
        <f>LEFT(Scharniere[[#This Row],[ArtikelNR]],4)</f>
        <v>F045</v>
      </c>
      <c r="B981" s="35" t="str">
        <f>MID(Scharniere[[#This Row],[ArtikelNR]],5,3)</f>
        <v>138</v>
      </c>
      <c r="C981" s="37" t="str">
        <f>RIGHT(Scharniere[[#This Row],[ArtikelNR]],3)</f>
        <v>857</v>
      </c>
      <c r="D981" s="35">
        <f>IF(AND(Scharniere[[#This Row],[Gruppenschlüssel]]=select!$A$44,Scharniere[[#This Row],[Scharnierart]]=1)=TRUE,1,0)</f>
        <v>0</v>
      </c>
      <c r="E98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1" s="35">
        <f>IF(select!$F$57=IF(Scharniere[[#This Row],[mit Dämpfung]]=1,1,IF(Scharniere[[#This Row],[ohne Dämpfung]]=1,2,IF(Scharniere[[#This Row],[ohne Feder]]=1,3,0))),1,0)</f>
        <v>0</v>
      </c>
      <c r="G981" s="35">
        <f>IF(Scharniere[[#This Row],[Bohrbild]]=select!$V$43,1,0)</f>
        <v>0</v>
      </c>
      <c r="H981" s="35">
        <f>IF(IF(Scharniere[[#This Row],[Anschrauben]]=1,1,IF(Scharniere[[#This Row],[Einpressen]]=1,2,IF(Scharniere[[#This Row],[Quick]]=1,3,IF(Scharniere[[#This Row],[Werkzeuglos]]=1,4,0))))=select!$F$48,1,0)</f>
        <v>0</v>
      </c>
      <c r="I98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1" s="149">
        <f>IF(AND(Scharniere[[#This Row],[Scharnierart]]=2,Scharniere[[#This Row],[Gruppenschlüssel]]=select!$A$318)=TRUE,1,0)</f>
        <v>0</v>
      </c>
      <c r="K981" s="221">
        <f ca="1">IF(select!$O$424&lt;6,1,0)</f>
        <v>1</v>
      </c>
      <c r="L981" s="221">
        <f>IF(select!$A$362=IF(Scharniere[[#This Row],[mit Dämpfung]]=1,1,IF(Scharniere[[#This Row],[ohne Dämpfung]]=1,2,IF(Scharniere[[#This Row],[ohne Feder]]=1,3,0))),1,0)</f>
        <v>0</v>
      </c>
      <c r="M981" s="135">
        <f>IF(Scharniere[[#This Row],[Bohrbild]]=select!$O$334,1,0)</f>
        <v>0</v>
      </c>
      <c r="N981" s="135">
        <f>IF(IF(Scharniere[[#This Row],[Anschrauben]]=1,1,IF(Scharniere[[#This Row],[Einpressen]]=1,2,IF(Scharniere[[#This Row],[Quick]]=1,3,IF(Scharniere[[#This Row],[Werkzeuglos]]=1,4,0))))=select!$E$362,1,0)</f>
        <v>1</v>
      </c>
      <c r="O98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1" s="298">
        <f>IF(AND(Scharniere[[#This Row],[Scharnierart]]=3,Scharniere[[#This Row],[Gruppenschlüssel]]=select!$A$747)=TRUE,1,0)</f>
        <v>0</v>
      </c>
      <c r="Q981" s="298">
        <f ca="1">IF(select!$O$945&lt;6,1,0)</f>
        <v>1</v>
      </c>
      <c r="R981" s="298">
        <f>IF(select!$A$778=IF(Scharniere[[#This Row],[mit Dämpfung]]=1,1,IF(Scharniere[[#This Row],[ohne Dämpfung]]=1,2,IF(Scharniere[[#This Row],[ohne Feder]]=1,3,0))),1,0)</f>
        <v>1</v>
      </c>
      <c r="S981" s="298">
        <f>IF(Scharniere[[#This Row],[Bohrbild]]=select!$A$755,1,0)</f>
        <v>0</v>
      </c>
      <c r="T981" s="298">
        <f>IF(IF(Scharniere[[#This Row],[Anschrauben]]=1,1,IF(Scharniere[[#This Row],[Einpressen]]=1,2,IF(Scharniere[[#This Row],[Quick]]=1,3,IF(Scharniere[[#This Row],[Werkzeuglos]]=1,4,0))))=select!$A$769,1,0)</f>
        <v>1</v>
      </c>
      <c r="U98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1" s="359">
        <f>IF(AND(Scharniere[[#This Row],[Scharnierart]]=4,Scharniere[[#This Row],[Gruppenschlüssel]]=select!$A$981)=TRUE,1,0)</f>
        <v>0</v>
      </c>
      <c r="W981" s="359">
        <f ca="1">IF(select!$O$1185&lt;6,1,0)</f>
        <v>1</v>
      </c>
      <c r="X981" s="359">
        <f>IF(select!$A$1012=IF(Scharniere[[#This Row],[mit Dämpfung]]=1,1,IF(Scharniere[[#This Row],[ohne Dämpfung]]=1,2,IF(Scharniere[[#This Row],[ohne Feder]]=1,3,0))),1,0)</f>
        <v>1</v>
      </c>
      <c r="Y981" s="359">
        <f>IF(Scharniere[[#This Row],[Bohrbild]]=select!$A$989,1,0)</f>
        <v>0</v>
      </c>
      <c r="Z981" s="359">
        <f>IF(IF(Scharniere[[#This Row],[Anschrauben]]=1,1,IF(Scharniere[[#This Row],[Einpressen]]=1,2,IF(Scharniere[[#This Row],[Quick]]=1,3,IF(Scharniere[[#This Row],[Werkzeuglos]]=1,4,0))))=select!$A$1003,1,0)</f>
        <v>1</v>
      </c>
      <c r="AA98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1" s="359">
        <f ca="1">IF(select!$K$980="*",Scharniere[[#This Row],[AG Ges2]],Scharniere[[#This Row],[AG Ges1]])</f>
        <v>0</v>
      </c>
      <c r="AE981" s="451">
        <f ca="1">IF(AND(Scharniere[[#This Row],[Scharnierart]]=select!$A$1485,Scharniere[[#This Row],[Gruppenschlüssel]]=select!$B$1485)=TRUE,1,0)</f>
        <v>0</v>
      </c>
      <c r="AF981" s="451">
        <f ca="1">IF(AND(Scharniere[[#This Row],[Scharnierart]]=select!$A$1486,Scharniere[[#This Row],[Gruppenschlüssel]]=select!$B$1486)=TRUE,1,0)</f>
        <v>0</v>
      </c>
      <c r="AG981" s="451">
        <f ca="1">IF(AND(Scharniere[[#This Row],[Scharnierart]]=select!$A$1487,Scharniere[[#This Row],[Gruppenschlüssel]]=select!$B$1487)=TRUE,1,0)</f>
        <v>0</v>
      </c>
      <c r="AH981" s="451">
        <f ca="1">IF(AND(Scharniere[[#This Row],[Scharnierart]]=select!$A$1488,Scharniere[[#This Row],[Gruppenschlüssel]]=select!$B$1488)=TRUE,1,0)</f>
        <v>0</v>
      </c>
      <c r="AI981" s="451">
        <f ca="1">IF(SUM(Scharniere[[#This Row],[konf Scharnier 1]:[konf Scharnier 4]])&gt;0,1,0)</f>
        <v>0</v>
      </c>
      <c r="AJ981" s="451"/>
      <c r="AK981" s="451"/>
      <c r="AL981" s="451"/>
      <c r="AM981" s="451"/>
      <c r="AN981" s="451"/>
      <c r="AO981" s="146">
        <v>2</v>
      </c>
      <c r="AP981" s="146">
        <v>9</v>
      </c>
      <c r="AQ981" s="71" t="str">
        <f ca="1">Sprache!$A$118</f>
        <v>Tiomos Scharnier T Click-on</v>
      </c>
      <c r="AR981" t="str">
        <f ca="1">"120/-15°, S-BB, "&amp;Sprache!$A$58&amp;" ni"</f>
        <v>120/-15°, S-BB, aufl. ni</v>
      </c>
      <c r="AS981" t="str">
        <f ca="1">Sprache!$A$103</f>
        <v>Tiomos Click-On Scharniere</v>
      </c>
      <c r="AT981" t="s">
        <v>1264</v>
      </c>
      <c r="AU981" t="s">
        <v>11</v>
      </c>
      <c r="AV981" t="s">
        <v>1496</v>
      </c>
      <c r="AW981" s="71">
        <v>0</v>
      </c>
      <c r="AX981">
        <v>1</v>
      </c>
      <c r="AY981">
        <v>0</v>
      </c>
      <c r="AZ981" s="71">
        <v>1</v>
      </c>
      <c r="BA981">
        <v>0</v>
      </c>
      <c r="BB981">
        <v>0</v>
      </c>
      <c r="BC981">
        <v>0</v>
      </c>
      <c r="BD981" s="144" t="s">
        <v>1688</v>
      </c>
      <c r="BF981" s="10"/>
      <c r="BG981"/>
    </row>
    <row r="982" spans="1:59" ht="14.25" customHeight="1" x14ac:dyDescent="0.25">
      <c r="A982" s="37" t="str">
        <f>LEFT(Scharniere[[#This Row],[ArtikelNR]],4)</f>
        <v>F028</v>
      </c>
      <c r="B982" s="35" t="str">
        <f>MID(Scharniere[[#This Row],[ArtikelNR]],5,3)</f>
        <v>138</v>
      </c>
      <c r="C982" s="37" t="str">
        <f>RIGHT(Scharniere[[#This Row],[ArtikelNR]],3)</f>
        <v>556</v>
      </c>
      <c r="D982" s="35">
        <f>IF(AND(Scharniere[[#This Row],[Gruppenschlüssel]]=select!$A$44,Scharniere[[#This Row],[Scharnierart]]=1)=TRUE,1,0)</f>
        <v>0</v>
      </c>
      <c r="E98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2" s="35">
        <f>IF(select!$F$57=IF(Scharniere[[#This Row],[mit Dämpfung]]=1,1,IF(Scharniere[[#This Row],[ohne Dämpfung]]=1,2,IF(Scharniere[[#This Row],[ohne Feder]]=1,3,0))),1,0)</f>
        <v>0</v>
      </c>
      <c r="G982" s="35">
        <f>IF(Scharniere[[#This Row],[Bohrbild]]=select!$V$43,1,0)</f>
        <v>0</v>
      </c>
      <c r="H982" s="35">
        <f>IF(IF(Scharniere[[#This Row],[Anschrauben]]=1,1,IF(Scharniere[[#This Row],[Einpressen]]=1,2,IF(Scharniere[[#This Row],[Quick]]=1,3,IF(Scharniere[[#This Row],[Werkzeuglos]]=1,4,0))))=select!$F$48,1,0)</f>
        <v>0</v>
      </c>
      <c r="I98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2" s="149">
        <f>IF(AND(Scharniere[[#This Row],[Scharnierart]]=2,Scharniere[[#This Row],[Gruppenschlüssel]]=select!$A$318)=TRUE,1,0)</f>
        <v>0</v>
      </c>
      <c r="K982" s="221">
        <f ca="1">IF(select!$O$424&lt;6,1,0)</f>
        <v>1</v>
      </c>
      <c r="L982" s="221">
        <f>IF(select!$A$362=IF(Scharniere[[#This Row],[mit Dämpfung]]=1,1,IF(Scharniere[[#This Row],[ohne Dämpfung]]=1,2,IF(Scharniere[[#This Row],[ohne Feder]]=1,3,0))),1,0)</f>
        <v>1</v>
      </c>
      <c r="M982" s="135">
        <f>IF(Scharniere[[#This Row],[Bohrbild]]=select!$O$334,1,0)</f>
        <v>0</v>
      </c>
      <c r="N982" s="135">
        <f>IF(IF(Scharniere[[#This Row],[Anschrauben]]=1,1,IF(Scharniere[[#This Row],[Einpressen]]=1,2,IF(Scharniere[[#This Row],[Quick]]=1,3,IF(Scharniere[[#This Row],[Werkzeuglos]]=1,4,0))))=select!$E$362,1,0)</f>
        <v>1</v>
      </c>
      <c r="O98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2" s="298">
        <f>IF(AND(Scharniere[[#This Row],[Scharnierart]]=3,Scharniere[[#This Row],[Gruppenschlüssel]]=select!$A$747)=TRUE,1,0)</f>
        <v>0</v>
      </c>
      <c r="Q982" s="298">
        <f ca="1">IF(select!$O$945&lt;6,1,0)</f>
        <v>1</v>
      </c>
      <c r="R982" s="298">
        <f>IF(select!$A$778=IF(Scharniere[[#This Row],[mit Dämpfung]]=1,1,IF(Scharniere[[#This Row],[ohne Dämpfung]]=1,2,IF(Scharniere[[#This Row],[ohne Feder]]=1,3,0))),1,0)</f>
        <v>0</v>
      </c>
      <c r="S982" s="298">
        <f>IF(Scharniere[[#This Row],[Bohrbild]]=select!$A$755,1,0)</f>
        <v>0</v>
      </c>
      <c r="T982" s="298">
        <f>IF(IF(Scharniere[[#This Row],[Anschrauben]]=1,1,IF(Scharniere[[#This Row],[Einpressen]]=1,2,IF(Scharniere[[#This Row],[Quick]]=1,3,IF(Scharniere[[#This Row],[Werkzeuglos]]=1,4,0))))=select!$A$769,1,0)</f>
        <v>1</v>
      </c>
      <c r="U98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2" s="359">
        <f>IF(AND(Scharniere[[#This Row],[Scharnierart]]=4,Scharniere[[#This Row],[Gruppenschlüssel]]=select!$A$981)=TRUE,1,0)</f>
        <v>0</v>
      </c>
      <c r="W982" s="359">
        <f ca="1">IF(select!$O$1185&lt;6,1,0)</f>
        <v>1</v>
      </c>
      <c r="X982" s="359">
        <f>IF(select!$A$1012=IF(Scharniere[[#This Row],[mit Dämpfung]]=1,1,IF(Scharniere[[#This Row],[ohne Dämpfung]]=1,2,IF(Scharniere[[#This Row],[ohne Feder]]=1,3,0))),1,0)</f>
        <v>0</v>
      </c>
      <c r="Y982" s="359">
        <f>IF(Scharniere[[#This Row],[Bohrbild]]=select!$A$989,1,0)</f>
        <v>0</v>
      </c>
      <c r="Z982" s="359">
        <f>IF(IF(Scharniere[[#This Row],[Anschrauben]]=1,1,IF(Scharniere[[#This Row],[Einpressen]]=1,2,IF(Scharniere[[#This Row],[Quick]]=1,3,IF(Scharniere[[#This Row],[Werkzeuglos]]=1,4,0))))=select!$A$1003,1,0)</f>
        <v>1</v>
      </c>
      <c r="AA98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2" s="359">
        <f ca="1">IF(select!$K$980="*",Scharniere[[#This Row],[AG Ges2]],Scharniere[[#This Row],[AG Ges1]])</f>
        <v>0</v>
      </c>
      <c r="AE982" s="451">
        <f ca="1">IF(AND(Scharniere[[#This Row],[Scharnierart]]=select!$A$1485,Scharniere[[#This Row],[Gruppenschlüssel]]=select!$B$1485)=TRUE,1,0)</f>
        <v>0</v>
      </c>
      <c r="AF982" s="451">
        <f ca="1">IF(AND(Scharniere[[#This Row],[Scharnierart]]=select!$A$1486,Scharniere[[#This Row],[Gruppenschlüssel]]=select!$B$1486)=TRUE,1,0)</f>
        <v>0</v>
      </c>
      <c r="AG982" s="451">
        <f ca="1">IF(AND(Scharniere[[#This Row],[Scharnierart]]=select!$A$1487,Scharniere[[#This Row],[Gruppenschlüssel]]=select!$B$1487)=TRUE,1,0)</f>
        <v>0</v>
      </c>
      <c r="AH982" s="451">
        <f ca="1">IF(AND(Scharniere[[#This Row],[Scharnierart]]=select!$A$1488,Scharniere[[#This Row],[Gruppenschlüssel]]=select!$B$1488)=TRUE,1,0)</f>
        <v>0</v>
      </c>
      <c r="AI982" s="451">
        <f ca="1">IF(SUM(Scharniere[[#This Row],[konf Scharnier 1]:[konf Scharnier 4]])&gt;0,1,0)</f>
        <v>0</v>
      </c>
      <c r="AJ982" s="451"/>
      <c r="AK982" s="451"/>
      <c r="AL982" s="451"/>
      <c r="AM982" s="451"/>
      <c r="AN982" s="451"/>
      <c r="AO982" s="146">
        <v>2</v>
      </c>
      <c r="AP982" s="146">
        <v>10</v>
      </c>
      <c r="AQ982" s="71" t="str">
        <f ca="1">Sprache!$A$112</f>
        <v>Tiomos Scharnier TS Click-on</v>
      </c>
      <c r="AR982" t="str">
        <f ca="1">"120/-30°, B-BB, "&amp;Sprache!$A$58&amp;" ni"</f>
        <v>120/-30°, B-BB, aufl. ni</v>
      </c>
      <c r="AS982" t="str">
        <f ca="1">Sprache!$A$103</f>
        <v>Tiomos Click-On Scharniere</v>
      </c>
      <c r="AT982" t="s">
        <v>1264</v>
      </c>
      <c r="AU982" t="s">
        <v>3</v>
      </c>
      <c r="AV982" t="s">
        <v>1496</v>
      </c>
      <c r="AW982" s="71">
        <v>1</v>
      </c>
      <c r="AX982">
        <v>0</v>
      </c>
      <c r="AY982">
        <v>0</v>
      </c>
      <c r="AZ982" s="71">
        <v>1</v>
      </c>
      <c r="BA982">
        <v>0</v>
      </c>
      <c r="BB982">
        <v>0</v>
      </c>
      <c r="BC982">
        <v>0</v>
      </c>
      <c r="BD982" s="144" t="s">
        <v>1552</v>
      </c>
      <c r="BF982" s="10"/>
      <c r="BG982"/>
    </row>
    <row r="983" spans="1:59" ht="14.25" customHeight="1" x14ac:dyDescent="0.25">
      <c r="A983" s="37" t="str">
        <f>LEFT(Scharniere[[#This Row],[ArtikelNR]],4)</f>
        <v>F045</v>
      </c>
      <c r="B983" s="35" t="str">
        <f>MID(Scharniere[[#This Row],[ArtikelNR]],5,3)</f>
        <v>138</v>
      </c>
      <c r="C983" s="37" t="str">
        <f>RIGHT(Scharniere[[#This Row],[ArtikelNR]],3)</f>
        <v>494</v>
      </c>
      <c r="D983" s="35">
        <f>IF(AND(Scharniere[[#This Row],[Gruppenschlüssel]]=select!$A$44,Scharniere[[#This Row],[Scharnierart]]=1)=TRUE,1,0)</f>
        <v>0</v>
      </c>
      <c r="E98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3" s="35">
        <f>IF(select!$F$57=IF(Scharniere[[#This Row],[mit Dämpfung]]=1,1,IF(Scharniere[[#This Row],[ohne Dämpfung]]=1,2,IF(Scharniere[[#This Row],[ohne Feder]]=1,3,0))),1,0)</f>
        <v>0</v>
      </c>
      <c r="G983" s="35">
        <f>IF(Scharniere[[#This Row],[Bohrbild]]=select!$V$43,1,0)</f>
        <v>0</v>
      </c>
      <c r="H983" s="35">
        <f>IF(IF(Scharniere[[#This Row],[Anschrauben]]=1,1,IF(Scharniere[[#This Row],[Einpressen]]=1,2,IF(Scharniere[[#This Row],[Quick]]=1,3,IF(Scharniere[[#This Row],[Werkzeuglos]]=1,4,0))))=select!$F$48,1,0)</f>
        <v>0</v>
      </c>
      <c r="I98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3" s="149">
        <f>IF(AND(Scharniere[[#This Row],[Scharnierart]]=2,Scharniere[[#This Row],[Gruppenschlüssel]]=select!$A$318)=TRUE,1,0)</f>
        <v>0</v>
      </c>
      <c r="K983" s="221">
        <f ca="1">IF(select!$O$424&lt;6,1,0)</f>
        <v>1</v>
      </c>
      <c r="L983" s="221">
        <f>IF(select!$A$362=IF(Scharniere[[#This Row],[mit Dämpfung]]=1,1,IF(Scharniere[[#This Row],[ohne Dämpfung]]=1,2,IF(Scharniere[[#This Row],[ohne Feder]]=1,3,0))),1,0)</f>
        <v>0</v>
      </c>
      <c r="M983" s="135">
        <f>IF(Scharniere[[#This Row],[Bohrbild]]=select!$O$334,1,0)</f>
        <v>0</v>
      </c>
      <c r="N983" s="135">
        <f>IF(IF(Scharniere[[#This Row],[Anschrauben]]=1,1,IF(Scharniere[[#This Row],[Einpressen]]=1,2,IF(Scharniere[[#This Row],[Quick]]=1,3,IF(Scharniere[[#This Row],[Werkzeuglos]]=1,4,0))))=select!$E$362,1,0)</f>
        <v>1</v>
      </c>
      <c r="O98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3" s="298">
        <f>IF(AND(Scharniere[[#This Row],[Scharnierart]]=3,Scharniere[[#This Row],[Gruppenschlüssel]]=select!$A$747)=TRUE,1,0)</f>
        <v>0</v>
      </c>
      <c r="Q983" s="298">
        <f ca="1">IF(select!$O$945&lt;6,1,0)</f>
        <v>1</v>
      </c>
      <c r="R983" s="298">
        <f>IF(select!$A$778=IF(Scharniere[[#This Row],[mit Dämpfung]]=1,1,IF(Scharniere[[#This Row],[ohne Dämpfung]]=1,2,IF(Scharniere[[#This Row],[ohne Feder]]=1,3,0))),1,0)</f>
        <v>1</v>
      </c>
      <c r="S983" s="298">
        <f>IF(Scharniere[[#This Row],[Bohrbild]]=select!$A$755,1,0)</f>
        <v>0</v>
      </c>
      <c r="T983" s="298">
        <f>IF(IF(Scharniere[[#This Row],[Anschrauben]]=1,1,IF(Scharniere[[#This Row],[Einpressen]]=1,2,IF(Scharniere[[#This Row],[Quick]]=1,3,IF(Scharniere[[#This Row],[Werkzeuglos]]=1,4,0))))=select!$A$769,1,0)</f>
        <v>1</v>
      </c>
      <c r="U98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3" s="359">
        <f>IF(AND(Scharniere[[#This Row],[Scharnierart]]=4,Scharniere[[#This Row],[Gruppenschlüssel]]=select!$A$981)=TRUE,1,0)</f>
        <v>0</v>
      </c>
      <c r="W983" s="359">
        <f ca="1">IF(select!$O$1185&lt;6,1,0)</f>
        <v>1</v>
      </c>
      <c r="X983" s="359">
        <f>IF(select!$A$1012=IF(Scharniere[[#This Row],[mit Dämpfung]]=1,1,IF(Scharniere[[#This Row],[ohne Dämpfung]]=1,2,IF(Scharniere[[#This Row],[ohne Feder]]=1,3,0))),1,0)</f>
        <v>1</v>
      </c>
      <c r="Y983" s="359">
        <f>IF(Scharniere[[#This Row],[Bohrbild]]=select!$A$989,1,0)</f>
        <v>0</v>
      </c>
      <c r="Z983" s="359">
        <f>IF(IF(Scharniere[[#This Row],[Anschrauben]]=1,1,IF(Scharniere[[#This Row],[Einpressen]]=1,2,IF(Scharniere[[#This Row],[Quick]]=1,3,IF(Scharniere[[#This Row],[Werkzeuglos]]=1,4,0))))=select!$A$1003,1,0)</f>
        <v>1</v>
      </c>
      <c r="AA98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3" s="359">
        <f ca="1">IF(select!$K$980="*",Scharniere[[#This Row],[AG Ges2]],Scharniere[[#This Row],[AG Ges1]])</f>
        <v>0</v>
      </c>
      <c r="AE983" s="451">
        <f ca="1">IF(AND(Scharniere[[#This Row],[Scharnierart]]=select!$A$1485,Scharniere[[#This Row],[Gruppenschlüssel]]=select!$B$1485)=TRUE,1,0)</f>
        <v>0</v>
      </c>
      <c r="AF983" s="451">
        <f ca="1">IF(AND(Scharniere[[#This Row],[Scharnierart]]=select!$A$1486,Scharniere[[#This Row],[Gruppenschlüssel]]=select!$B$1486)=TRUE,1,0)</f>
        <v>0</v>
      </c>
      <c r="AG983" s="451">
        <f ca="1">IF(AND(Scharniere[[#This Row],[Scharnierart]]=select!$A$1487,Scharniere[[#This Row],[Gruppenschlüssel]]=select!$B$1487)=TRUE,1,0)</f>
        <v>0</v>
      </c>
      <c r="AH983" s="451">
        <f ca="1">IF(AND(Scharniere[[#This Row],[Scharnierart]]=select!$A$1488,Scharniere[[#This Row],[Gruppenschlüssel]]=select!$B$1488)=TRUE,1,0)</f>
        <v>0</v>
      </c>
      <c r="AI983" s="451">
        <f ca="1">IF(SUM(Scharniere[[#This Row],[konf Scharnier 1]:[konf Scharnier 4]])&gt;0,1,0)</f>
        <v>0</v>
      </c>
      <c r="AJ983" s="451"/>
      <c r="AK983" s="451"/>
      <c r="AL983" s="451"/>
      <c r="AM983" s="451"/>
      <c r="AN983" s="451"/>
      <c r="AO983" s="146">
        <v>2</v>
      </c>
      <c r="AP983" s="146">
        <v>10</v>
      </c>
      <c r="AQ983" s="71" t="str">
        <f ca="1">Sprache!$A$118</f>
        <v>Tiomos Scharnier T Click-on</v>
      </c>
      <c r="AR983" t="str">
        <f ca="1">"120/-30°, B-BB, "&amp;Sprache!$A$58&amp;" ni"</f>
        <v>120/-30°, B-BB, aufl. ni</v>
      </c>
      <c r="AS983" t="str">
        <f ca="1">Sprache!$A$103</f>
        <v>Tiomos Click-On Scharniere</v>
      </c>
      <c r="AT983" t="s">
        <v>1264</v>
      </c>
      <c r="AU983" t="s">
        <v>3</v>
      </c>
      <c r="AV983" t="s">
        <v>1496</v>
      </c>
      <c r="AW983" s="71">
        <v>0</v>
      </c>
      <c r="AX983">
        <v>1</v>
      </c>
      <c r="AY983">
        <v>0</v>
      </c>
      <c r="AZ983" s="71">
        <v>1</v>
      </c>
      <c r="BA983">
        <v>0</v>
      </c>
      <c r="BB983">
        <v>0</v>
      </c>
      <c r="BC983">
        <v>0</v>
      </c>
      <c r="BD983" s="144" t="s">
        <v>1659</v>
      </c>
      <c r="BF983" s="10"/>
      <c r="BG983"/>
    </row>
    <row r="984" spans="1:59" ht="14.25" customHeight="1" x14ac:dyDescent="0.25">
      <c r="A984" s="37" t="str">
        <f>LEFT(Scharniere[[#This Row],[ArtikelNR]],4)</f>
        <v>F028</v>
      </c>
      <c r="B984" s="35" t="str">
        <f>MID(Scharniere[[#This Row],[ArtikelNR]],5,3)</f>
        <v>138</v>
      </c>
      <c r="C984" s="37" t="str">
        <f>RIGHT(Scharniere[[#This Row],[ArtikelNR]],3)</f>
        <v>374</v>
      </c>
      <c r="D984" s="35">
        <f>IF(AND(Scharniere[[#This Row],[Gruppenschlüssel]]=select!$A$44,Scharniere[[#This Row],[Scharnierart]]=1)=TRUE,1,0)</f>
        <v>0</v>
      </c>
      <c r="E98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4" s="35">
        <f>IF(select!$F$57=IF(Scharniere[[#This Row],[mit Dämpfung]]=1,1,IF(Scharniere[[#This Row],[ohne Dämpfung]]=1,2,IF(Scharniere[[#This Row],[ohne Feder]]=1,3,0))),1,0)</f>
        <v>0</v>
      </c>
      <c r="G984" s="35">
        <f>IF(Scharniere[[#This Row],[Bohrbild]]=select!$V$43,1,0)</f>
        <v>0</v>
      </c>
      <c r="H984" s="35">
        <f>IF(IF(Scharniere[[#This Row],[Anschrauben]]=1,1,IF(Scharniere[[#This Row],[Einpressen]]=1,2,IF(Scharniere[[#This Row],[Quick]]=1,3,IF(Scharniere[[#This Row],[Werkzeuglos]]=1,4,0))))=select!$F$48,1,0)</f>
        <v>0</v>
      </c>
      <c r="I98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4" s="149">
        <f>IF(AND(Scharniere[[#This Row],[Scharnierart]]=2,Scharniere[[#This Row],[Gruppenschlüssel]]=select!$A$318)=TRUE,1,0)</f>
        <v>0</v>
      </c>
      <c r="K984" s="221">
        <f ca="1">IF(select!$O$424&lt;6,1,0)</f>
        <v>1</v>
      </c>
      <c r="L984" s="221">
        <f>IF(select!$A$362=IF(Scharniere[[#This Row],[mit Dämpfung]]=1,1,IF(Scharniere[[#This Row],[ohne Dämpfung]]=1,2,IF(Scharniere[[#This Row],[ohne Feder]]=1,3,0))),1,0)</f>
        <v>1</v>
      </c>
      <c r="M984" s="135">
        <f>IF(Scharniere[[#This Row],[Bohrbild]]=select!$O$334,1,0)</f>
        <v>0</v>
      </c>
      <c r="N984" s="135">
        <f>IF(IF(Scharniere[[#This Row],[Anschrauben]]=1,1,IF(Scharniere[[#This Row],[Einpressen]]=1,2,IF(Scharniere[[#This Row],[Quick]]=1,3,IF(Scharniere[[#This Row],[Werkzeuglos]]=1,4,0))))=select!$E$362,1,0)</f>
        <v>1</v>
      </c>
      <c r="O98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4" s="298">
        <f>IF(AND(Scharniere[[#This Row],[Scharnierart]]=3,Scharniere[[#This Row],[Gruppenschlüssel]]=select!$A$747)=TRUE,1,0)</f>
        <v>0</v>
      </c>
      <c r="Q984" s="298">
        <f ca="1">IF(select!$O$945&lt;6,1,0)</f>
        <v>1</v>
      </c>
      <c r="R984" s="298">
        <f>IF(select!$A$778=IF(Scharniere[[#This Row],[mit Dämpfung]]=1,1,IF(Scharniere[[#This Row],[ohne Dämpfung]]=1,2,IF(Scharniere[[#This Row],[ohne Feder]]=1,3,0))),1,0)</f>
        <v>0</v>
      </c>
      <c r="S984" s="298">
        <f>IF(Scharniere[[#This Row],[Bohrbild]]=select!$A$755,1,0)</f>
        <v>0</v>
      </c>
      <c r="T984" s="298">
        <f>IF(IF(Scharniere[[#This Row],[Anschrauben]]=1,1,IF(Scharniere[[#This Row],[Einpressen]]=1,2,IF(Scharniere[[#This Row],[Quick]]=1,3,IF(Scharniere[[#This Row],[Werkzeuglos]]=1,4,0))))=select!$A$769,1,0)</f>
        <v>1</v>
      </c>
      <c r="U98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4" s="359">
        <f>IF(AND(Scharniere[[#This Row],[Scharnierart]]=4,Scharniere[[#This Row],[Gruppenschlüssel]]=select!$A$981)=TRUE,1,0)</f>
        <v>0</v>
      </c>
      <c r="W984" s="359">
        <f ca="1">IF(select!$O$1185&lt;6,1,0)</f>
        <v>1</v>
      </c>
      <c r="X984" s="359">
        <f>IF(select!$A$1012=IF(Scharniere[[#This Row],[mit Dämpfung]]=1,1,IF(Scharniere[[#This Row],[ohne Dämpfung]]=1,2,IF(Scharniere[[#This Row],[ohne Feder]]=1,3,0))),1,0)</f>
        <v>0</v>
      </c>
      <c r="Y984" s="359">
        <f>IF(Scharniere[[#This Row],[Bohrbild]]=select!$A$989,1,0)</f>
        <v>0</v>
      </c>
      <c r="Z984" s="359">
        <f>IF(IF(Scharniere[[#This Row],[Anschrauben]]=1,1,IF(Scharniere[[#This Row],[Einpressen]]=1,2,IF(Scharniere[[#This Row],[Quick]]=1,3,IF(Scharniere[[#This Row],[Werkzeuglos]]=1,4,0))))=select!$A$1003,1,0)</f>
        <v>1</v>
      </c>
      <c r="AA98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4" s="359">
        <f ca="1">IF(select!$K$980="*",Scharniere[[#This Row],[AG Ges2]],Scharniere[[#This Row],[AG Ges1]])</f>
        <v>0</v>
      </c>
      <c r="AE984" s="451">
        <f ca="1">IF(AND(Scharniere[[#This Row],[Scharnierart]]=select!$A$1485,Scharniere[[#This Row],[Gruppenschlüssel]]=select!$B$1485)=TRUE,1,0)</f>
        <v>0</v>
      </c>
      <c r="AF984" s="451">
        <f ca="1">IF(AND(Scharniere[[#This Row],[Scharnierart]]=select!$A$1486,Scharniere[[#This Row],[Gruppenschlüssel]]=select!$B$1486)=TRUE,1,0)</f>
        <v>0</v>
      </c>
      <c r="AG984" s="451">
        <f ca="1">IF(AND(Scharniere[[#This Row],[Scharnierart]]=select!$A$1487,Scharniere[[#This Row],[Gruppenschlüssel]]=select!$B$1487)=TRUE,1,0)</f>
        <v>0</v>
      </c>
      <c r="AH984" s="451">
        <f ca="1">IF(AND(Scharniere[[#This Row],[Scharnierart]]=select!$A$1488,Scharniere[[#This Row],[Gruppenschlüssel]]=select!$B$1488)=TRUE,1,0)</f>
        <v>0</v>
      </c>
      <c r="AI984" s="451">
        <f ca="1">IF(SUM(Scharniere[[#This Row],[konf Scharnier 1]:[konf Scharnier 4]])&gt;0,1,0)</f>
        <v>0</v>
      </c>
      <c r="AJ984" s="451"/>
      <c r="AK984" s="451"/>
      <c r="AL984" s="451"/>
      <c r="AM984" s="451"/>
      <c r="AN984" s="451"/>
      <c r="AO984" s="146">
        <v>2</v>
      </c>
      <c r="AP984" s="146">
        <v>10</v>
      </c>
      <c r="AQ984" s="71" t="str">
        <f ca="1">Sprache!$A$112</f>
        <v>Tiomos Scharnier TS Click-on</v>
      </c>
      <c r="AR984" t="str">
        <f ca="1">"120/-30°, G-BB, "&amp;Sprache!$A$58&amp;" ni"</f>
        <v>120/-30°, G-BB, aufl. ni</v>
      </c>
      <c r="AS984" t="str">
        <f ca="1">Sprache!$A$103</f>
        <v>Tiomos Click-On Scharniere</v>
      </c>
      <c r="AT984" t="s">
        <v>1264</v>
      </c>
      <c r="AU984" t="s">
        <v>9</v>
      </c>
      <c r="AV984" t="s">
        <v>1496</v>
      </c>
      <c r="AW984" s="71">
        <v>1</v>
      </c>
      <c r="AX984">
        <v>0</v>
      </c>
      <c r="AY984">
        <v>0</v>
      </c>
      <c r="AZ984" s="71">
        <v>1</v>
      </c>
      <c r="BA984">
        <v>0</v>
      </c>
      <c r="BB984">
        <v>0</v>
      </c>
      <c r="BC984">
        <v>0</v>
      </c>
      <c r="BD984" s="144" t="s">
        <v>1544</v>
      </c>
      <c r="BF984" s="10"/>
      <c r="BG984"/>
    </row>
    <row r="985" spans="1:59" ht="14.25" customHeight="1" x14ac:dyDescent="0.25">
      <c r="A985" s="37" t="str">
        <f>LEFT(Scharniere[[#This Row],[ArtikelNR]],4)</f>
        <v>F045</v>
      </c>
      <c r="B985" s="35" t="str">
        <f>MID(Scharniere[[#This Row],[ArtikelNR]],5,3)</f>
        <v>138</v>
      </c>
      <c r="C985" s="37" t="str">
        <f>RIGHT(Scharniere[[#This Row],[ArtikelNR]],3)</f>
        <v>312</v>
      </c>
      <c r="D985" s="35">
        <f>IF(AND(Scharniere[[#This Row],[Gruppenschlüssel]]=select!$A$44,Scharniere[[#This Row],[Scharnierart]]=1)=TRUE,1,0)</f>
        <v>0</v>
      </c>
      <c r="E98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5" s="35">
        <f>IF(select!$F$57=IF(Scharniere[[#This Row],[mit Dämpfung]]=1,1,IF(Scharniere[[#This Row],[ohne Dämpfung]]=1,2,IF(Scharniere[[#This Row],[ohne Feder]]=1,3,0))),1,0)</f>
        <v>0</v>
      </c>
      <c r="G985" s="35">
        <f>IF(Scharniere[[#This Row],[Bohrbild]]=select!$V$43,1,0)</f>
        <v>0</v>
      </c>
      <c r="H985" s="35">
        <f>IF(IF(Scharniere[[#This Row],[Anschrauben]]=1,1,IF(Scharniere[[#This Row],[Einpressen]]=1,2,IF(Scharniere[[#This Row],[Quick]]=1,3,IF(Scharniere[[#This Row],[Werkzeuglos]]=1,4,0))))=select!$F$48,1,0)</f>
        <v>0</v>
      </c>
      <c r="I98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5" s="149">
        <f>IF(AND(Scharniere[[#This Row],[Scharnierart]]=2,Scharniere[[#This Row],[Gruppenschlüssel]]=select!$A$318)=TRUE,1,0)</f>
        <v>0</v>
      </c>
      <c r="K985" s="221">
        <f ca="1">IF(select!$O$424&lt;6,1,0)</f>
        <v>1</v>
      </c>
      <c r="L985" s="221">
        <f>IF(select!$A$362=IF(Scharniere[[#This Row],[mit Dämpfung]]=1,1,IF(Scharniere[[#This Row],[ohne Dämpfung]]=1,2,IF(Scharniere[[#This Row],[ohne Feder]]=1,3,0))),1,0)</f>
        <v>0</v>
      </c>
      <c r="M985" s="135">
        <f>IF(Scharniere[[#This Row],[Bohrbild]]=select!$O$334,1,0)</f>
        <v>0</v>
      </c>
      <c r="N985" s="135">
        <f>IF(IF(Scharniere[[#This Row],[Anschrauben]]=1,1,IF(Scharniere[[#This Row],[Einpressen]]=1,2,IF(Scharniere[[#This Row],[Quick]]=1,3,IF(Scharniere[[#This Row],[Werkzeuglos]]=1,4,0))))=select!$E$362,1,0)</f>
        <v>1</v>
      </c>
      <c r="O98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5" s="298">
        <f>IF(AND(Scharniere[[#This Row],[Scharnierart]]=3,Scharniere[[#This Row],[Gruppenschlüssel]]=select!$A$747)=TRUE,1,0)</f>
        <v>0</v>
      </c>
      <c r="Q985" s="298">
        <f ca="1">IF(select!$O$945&lt;6,1,0)</f>
        <v>1</v>
      </c>
      <c r="R985" s="298">
        <f>IF(select!$A$778=IF(Scharniere[[#This Row],[mit Dämpfung]]=1,1,IF(Scharniere[[#This Row],[ohne Dämpfung]]=1,2,IF(Scharniere[[#This Row],[ohne Feder]]=1,3,0))),1,0)</f>
        <v>1</v>
      </c>
      <c r="S985" s="298">
        <f>IF(Scharniere[[#This Row],[Bohrbild]]=select!$A$755,1,0)</f>
        <v>0</v>
      </c>
      <c r="T985" s="298">
        <f>IF(IF(Scharniere[[#This Row],[Anschrauben]]=1,1,IF(Scharniere[[#This Row],[Einpressen]]=1,2,IF(Scharniere[[#This Row],[Quick]]=1,3,IF(Scharniere[[#This Row],[Werkzeuglos]]=1,4,0))))=select!$A$769,1,0)</f>
        <v>1</v>
      </c>
      <c r="U98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5" s="359">
        <f>IF(AND(Scharniere[[#This Row],[Scharnierart]]=4,Scharniere[[#This Row],[Gruppenschlüssel]]=select!$A$981)=TRUE,1,0)</f>
        <v>0</v>
      </c>
      <c r="W985" s="359">
        <f ca="1">IF(select!$O$1185&lt;6,1,0)</f>
        <v>1</v>
      </c>
      <c r="X985" s="359">
        <f>IF(select!$A$1012=IF(Scharniere[[#This Row],[mit Dämpfung]]=1,1,IF(Scharniere[[#This Row],[ohne Dämpfung]]=1,2,IF(Scharniere[[#This Row],[ohne Feder]]=1,3,0))),1,0)</f>
        <v>1</v>
      </c>
      <c r="Y985" s="359">
        <f>IF(Scharniere[[#This Row],[Bohrbild]]=select!$A$989,1,0)</f>
        <v>0</v>
      </c>
      <c r="Z985" s="359">
        <f>IF(IF(Scharniere[[#This Row],[Anschrauben]]=1,1,IF(Scharniere[[#This Row],[Einpressen]]=1,2,IF(Scharniere[[#This Row],[Quick]]=1,3,IF(Scharniere[[#This Row],[Werkzeuglos]]=1,4,0))))=select!$A$1003,1,0)</f>
        <v>1</v>
      </c>
      <c r="AA98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5" s="359">
        <f ca="1">IF(select!$K$980="*",Scharniere[[#This Row],[AG Ges2]],Scharniere[[#This Row],[AG Ges1]])</f>
        <v>0</v>
      </c>
      <c r="AE985" s="451">
        <f ca="1">IF(AND(Scharniere[[#This Row],[Scharnierart]]=select!$A$1485,Scharniere[[#This Row],[Gruppenschlüssel]]=select!$B$1485)=TRUE,1,0)</f>
        <v>0</v>
      </c>
      <c r="AF985" s="451">
        <f ca="1">IF(AND(Scharniere[[#This Row],[Scharnierart]]=select!$A$1486,Scharniere[[#This Row],[Gruppenschlüssel]]=select!$B$1486)=TRUE,1,0)</f>
        <v>0</v>
      </c>
      <c r="AG985" s="451">
        <f ca="1">IF(AND(Scharniere[[#This Row],[Scharnierart]]=select!$A$1487,Scharniere[[#This Row],[Gruppenschlüssel]]=select!$B$1487)=TRUE,1,0)</f>
        <v>0</v>
      </c>
      <c r="AH985" s="451">
        <f ca="1">IF(AND(Scharniere[[#This Row],[Scharnierart]]=select!$A$1488,Scharniere[[#This Row],[Gruppenschlüssel]]=select!$B$1488)=TRUE,1,0)</f>
        <v>0</v>
      </c>
      <c r="AI985" s="451">
        <f ca="1">IF(SUM(Scharniere[[#This Row],[konf Scharnier 1]:[konf Scharnier 4]])&gt;0,1,0)</f>
        <v>0</v>
      </c>
      <c r="AJ985" s="451"/>
      <c r="AK985" s="451"/>
      <c r="AL985" s="451"/>
      <c r="AM985" s="451"/>
      <c r="AN985" s="451"/>
      <c r="AO985" s="146">
        <v>2</v>
      </c>
      <c r="AP985" s="146">
        <v>10</v>
      </c>
      <c r="AQ985" s="71" t="str">
        <f ca="1">Sprache!$A$118</f>
        <v>Tiomos Scharnier T Click-on</v>
      </c>
      <c r="AR985" t="str">
        <f ca="1">"120/-30°, G-BB, "&amp;Sprache!$A$58&amp;" ni"</f>
        <v>120/-30°, G-BB, aufl. ni</v>
      </c>
      <c r="AS985" t="str">
        <f ca="1">Sprache!$A$103</f>
        <v>Tiomos Click-On Scharniere</v>
      </c>
      <c r="AT985" t="s">
        <v>1264</v>
      </c>
      <c r="AU985" t="s">
        <v>9</v>
      </c>
      <c r="AV985" t="s">
        <v>1496</v>
      </c>
      <c r="AW985" s="71">
        <v>0</v>
      </c>
      <c r="AX985">
        <v>1</v>
      </c>
      <c r="AY985">
        <v>0</v>
      </c>
      <c r="AZ985" s="71">
        <v>1</v>
      </c>
      <c r="BA985">
        <v>0</v>
      </c>
      <c r="BB985">
        <v>0</v>
      </c>
      <c r="BC985">
        <v>0</v>
      </c>
      <c r="BD985" s="144" t="s">
        <v>1645</v>
      </c>
      <c r="BF985" s="10"/>
      <c r="BG985"/>
    </row>
    <row r="986" spans="1:59" ht="14.25" customHeight="1" x14ac:dyDescent="0.25">
      <c r="A986" s="37" t="str">
        <f>LEFT(Scharniere[[#This Row],[ArtikelNR]],4)</f>
        <v>F017</v>
      </c>
      <c r="B986" s="35" t="str">
        <f>MID(Scharniere[[#This Row],[ArtikelNR]],5,3)</f>
        <v>139</v>
      </c>
      <c r="C986" s="37" t="str">
        <f>RIGHT(Scharniere[[#This Row],[ArtikelNR]],3)</f>
        <v>433</v>
      </c>
      <c r="D986" s="35">
        <f>IF(AND(Scharniere[[#This Row],[Gruppenschlüssel]]=select!$A$44,Scharniere[[#This Row],[Scharnierart]]=1)=TRUE,1,0)</f>
        <v>0</v>
      </c>
      <c r="E98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6" s="35">
        <f>IF(select!$F$57=IF(Scharniere[[#This Row],[mit Dämpfung]]=1,1,IF(Scharniere[[#This Row],[ohne Dämpfung]]=1,2,IF(Scharniere[[#This Row],[ohne Feder]]=1,3,0))),1,0)</f>
        <v>0</v>
      </c>
      <c r="G986" s="35">
        <f>IF(Scharniere[[#This Row],[Bohrbild]]=select!$V$43,1,0)</f>
        <v>0</v>
      </c>
      <c r="H986" s="35">
        <f>IF(IF(Scharniere[[#This Row],[Anschrauben]]=1,1,IF(Scharniere[[#This Row],[Einpressen]]=1,2,IF(Scharniere[[#This Row],[Quick]]=1,3,IF(Scharniere[[#This Row],[Werkzeuglos]]=1,4,0))))=select!$F$48,1,0)</f>
        <v>0</v>
      </c>
      <c r="I98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6" s="149">
        <f>IF(AND(Scharniere[[#This Row],[Scharnierart]]=2,Scharniere[[#This Row],[Gruppenschlüssel]]=select!$A$318)=TRUE,1,0)</f>
        <v>0</v>
      </c>
      <c r="K986" s="221">
        <f ca="1">IF(select!$O$424&lt;6,1,0)</f>
        <v>1</v>
      </c>
      <c r="L986" s="221">
        <f>IF(select!$A$362=IF(Scharniere[[#This Row],[mit Dämpfung]]=1,1,IF(Scharniere[[#This Row],[ohne Dämpfung]]=1,2,IF(Scharniere[[#This Row],[ohne Feder]]=1,3,0))),1,0)</f>
        <v>1</v>
      </c>
      <c r="M986" s="135">
        <f>IF(Scharniere[[#This Row],[Bohrbild]]=select!$O$334,1,0)</f>
        <v>0</v>
      </c>
      <c r="N986" s="135">
        <f>IF(IF(Scharniere[[#This Row],[Anschrauben]]=1,1,IF(Scharniere[[#This Row],[Einpressen]]=1,2,IF(Scharniere[[#This Row],[Quick]]=1,3,IF(Scharniere[[#This Row],[Werkzeuglos]]=1,4,0))))=select!$E$362,1,0)</f>
        <v>0</v>
      </c>
      <c r="O98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6" s="298">
        <f>IF(AND(Scharniere[[#This Row],[Scharnierart]]=3,Scharniere[[#This Row],[Gruppenschlüssel]]=select!$A$747)=TRUE,1,0)</f>
        <v>0</v>
      </c>
      <c r="Q986" s="298">
        <f ca="1">IF(select!$O$945&lt;6,1,0)</f>
        <v>1</v>
      </c>
      <c r="R986" s="298">
        <f>IF(select!$A$778=IF(Scharniere[[#This Row],[mit Dämpfung]]=1,1,IF(Scharniere[[#This Row],[ohne Dämpfung]]=1,2,IF(Scharniere[[#This Row],[ohne Feder]]=1,3,0))),1,0)</f>
        <v>0</v>
      </c>
      <c r="S986" s="298">
        <f>IF(Scharniere[[#This Row],[Bohrbild]]=select!$A$755,1,0)</f>
        <v>0</v>
      </c>
      <c r="T986" s="298">
        <f>IF(IF(Scharniere[[#This Row],[Anschrauben]]=1,1,IF(Scharniere[[#This Row],[Einpressen]]=1,2,IF(Scharniere[[#This Row],[Quick]]=1,3,IF(Scharniere[[#This Row],[Werkzeuglos]]=1,4,0))))=select!$A$769,1,0)</f>
        <v>0</v>
      </c>
      <c r="U98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6" s="359">
        <f>IF(AND(Scharniere[[#This Row],[Scharnierart]]=4,Scharniere[[#This Row],[Gruppenschlüssel]]=select!$A$981)=TRUE,1,0)</f>
        <v>0</v>
      </c>
      <c r="W986" s="359">
        <f ca="1">IF(select!$O$1185&lt;6,1,0)</f>
        <v>1</v>
      </c>
      <c r="X986" s="359">
        <f>IF(select!$A$1012=IF(Scharniere[[#This Row],[mit Dämpfung]]=1,1,IF(Scharniere[[#This Row],[ohne Dämpfung]]=1,2,IF(Scharniere[[#This Row],[ohne Feder]]=1,3,0))),1,0)</f>
        <v>0</v>
      </c>
      <c r="Y986" s="359">
        <f>IF(Scharniere[[#This Row],[Bohrbild]]=select!$A$989,1,0)</f>
        <v>0</v>
      </c>
      <c r="Z986" s="359">
        <f>IF(IF(Scharniere[[#This Row],[Anschrauben]]=1,1,IF(Scharniere[[#This Row],[Einpressen]]=1,2,IF(Scharniere[[#This Row],[Quick]]=1,3,IF(Scharniere[[#This Row],[Werkzeuglos]]=1,4,0))))=select!$A$1003,1,0)</f>
        <v>0</v>
      </c>
      <c r="AA98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6" s="359">
        <f ca="1">IF(select!$K$980="*",Scharniere[[#This Row],[AG Ges2]],Scharniere[[#This Row],[AG Ges1]])</f>
        <v>0</v>
      </c>
      <c r="AE986" s="451">
        <f ca="1">IF(AND(Scharniere[[#This Row],[Scharnierart]]=select!$A$1485,Scharniere[[#This Row],[Gruppenschlüssel]]=select!$B$1485)=TRUE,1,0)</f>
        <v>0</v>
      </c>
      <c r="AF986" s="451">
        <f ca="1">IF(AND(Scharniere[[#This Row],[Scharnierart]]=select!$A$1486,Scharniere[[#This Row],[Gruppenschlüssel]]=select!$B$1486)=TRUE,1,0)</f>
        <v>0</v>
      </c>
      <c r="AG986" s="451">
        <f ca="1">IF(AND(Scharniere[[#This Row],[Scharnierart]]=select!$A$1487,Scharniere[[#This Row],[Gruppenschlüssel]]=select!$B$1487)=TRUE,1,0)</f>
        <v>0</v>
      </c>
      <c r="AH986" s="451">
        <f ca="1">IF(AND(Scharniere[[#This Row],[Scharnierart]]=select!$A$1488,Scharniere[[#This Row],[Gruppenschlüssel]]=select!$B$1488)=TRUE,1,0)</f>
        <v>0</v>
      </c>
      <c r="AI986" s="451">
        <f ca="1">IF(SUM(Scharniere[[#This Row],[konf Scharnier 1]:[konf Scharnier 4]])&gt;0,1,0)</f>
        <v>0</v>
      </c>
      <c r="AJ986" s="451"/>
      <c r="AK986" s="451"/>
      <c r="AL986" s="451"/>
      <c r="AM986" s="451"/>
      <c r="AN986" s="451"/>
      <c r="AO986" s="146">
        <v>2</v>
      </c>
      <c r="AP986" s="146">
        <v>10</v>
      </c>
      <c r="AQ986" s="71" t="str">
        <f ca="1">Sprache!$A$113</f>
        <v>Tiomos Scharnier TS Impresso</v>
      </c>
      <c r="AR986" t="str">
        <f ca="1">"120/-30°, GB-BB, "&amp;Sprache!$A$58&amp;" ni"</f>
        <v>120/-30°, GB-BB, aufl. ni</v>
      </c>
      <c r="AS986" t="str">
        <f ca="1">Sprache!$A$116</f>
        <v>Tiomos Impresso Scharniere</v>
      </c>
      <c r="AT986" t="s">
        <v>1264</v>
      </c>
      <c r="AU986" t="s">
        <v>9</v>
      </c>
      <c r="AV986" t="s">
        <v>1496</v>
      </c>
      <c r="AW986" s="71">
        <v>1</v>
      </c>
      <c r="AX986">
        <v>0</v>
      </c>
      <c r="AY986">
        <v>0</v>
      </c>
      <c r="AZ986" s="71">
        <v>0</v>
      </c>
      <c r="BA986">
        <v>0</v>
      </c>
      <c r="BB986">
        <v>0</v>
      </c>
      <c r="BC986">
        <v>1</v>
      </c>
      <c r="BD986" s="144" t="s">
        <v>1587</v>
      </c>
      <c r="BF986" s="10"/>
      <c r="BG986"/>
    </row>
    <row r="987" spans="1:59" ht="14.25" customHeight="1" x14ac:dyDescent="0.25">
      <c r="A987" s="37" t="str">
        <f>LEFT(Scharniere[[#This Row],[ArtikelNR]],4)</f>
        <v>F017</v>
      </c>
      <c r="B987" s="35" t="str">
        <f>MID(Scharniere[[#This Row],[ArtikelNR]],5,3)</f>
        <v>139</v>
      </c>
      <c r="C987" s="37" t="str">
        <f>RIGHT(Scharniere[[#This Row],[ArtikelNR]],3)</f>
        <v>433</v>
      </c>
      <c r="D987" s="35">
        <f>IF(AND(Scharniere[[#This Row],[Gruppenschlüssel]]=select!$A$44,Scharniere[[#This Row],[Scharnierart]]=1)=TRUE,1,0)</f>
        <v>0</v>
      </c>
      <c r="E98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7" s="35">
        <f>IF(select!$F$57=IF(Scharniere[[#This Row],[mit Dämpfung]]=1,1,IF(Scharniere[[#This Row],[ohne Dämpfung]]=1,2,IF(Scharniere[[#This Row],[ohne Feder]]=1,3,0))),1,0)</f>
        <v>0</v>
      </c>
      <c r="G987" s="35">
        <f>IF(Scharniere[[#This Row],[Bohrbild]]=select!$V$43,1,0)</f>
        <v>0</v>
      </c>
      <c r="H987" s="35">
        <f>IF(IF(Scharniere[[#This Row],[Anschrauben]]=1,1,IF(Scharniere[[#This Row],[Einpressen]]=1,2,IF(Scharniere[[#This Row],[Quick]]=1,3,IF(Scharniere[[#This Row],[Werkzeuglos]]=1,4,0))))=select!$F$48,1,0)</f>
        <v>0</v>
      </c>
      <c r="I98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7" s="149">
        <f>IF(AND(Scharniere[[#This Row],[Scharnierart]]=2,Scharniere[[#This Row],[Gruppenschlüssel]]=select!$A$318)=TRUE,1,0)</f>
        <v>0</v>
      </c>
      <c r="K987" s="221">
        <f ca="1">IF(select!$O$424&lt;6,1,0)</f>
        <v>1</v>
      </c>
      <c r="L987" s="221">
        <f>IF(select!$A$362=IF(Scharniere[[#This Row],[mit Dämpfung]]=1,1,IF(Scharniere[[#This Row],[ohne Dämpfung]]=1,2,IF(Scharniere[[#This Row],[ohne Feder]]=1,3,0))),1,0)</f>
        <v>1</v>
      </c>
      <c r="M987" s="135">
        <f>IF(Scharniere[[#This Row],[Bohrbild]]=select!$O$334,1,0)</f>
        <v>0</v>
      </c>
      <c r="N987" s="135">
        <f>IF(IF(Scharniere[[#This Row],[Anschrauben]]=1,1,IF(Scharniere[[#This Row],[Einpressen]]=1,2,IF(Scharniere[[#This Row],[Quick]]=1,3,IF(Scharniere[[#This Row],[Werkzeuglos]]=1,4,0))))=select!$E$362,1,0)</f>
        <v>0</v>
      </c>
      <c r="O98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7" s="298">
        <f>IF(AND(Scharniere[[#This Row],[Scharnierart]]=3,Scharniere[[#This Row],[Gruppenschlüssel]]=select!$A$747)=TRUE,1,0)</f>
        <v>0</v>
      </c>
      <c r="Q987" s="298">
        <f ca="1">IF(select!$O$945&lt;6,1,0)</f>
        <v>1</v>
      </c>
      <c r="R987" s="298">
        <f>IF(select!$A$778=IF(Scharniere[[#This Row],[mit Dämpfung]]=1,1,IF(Scharniere[[#This Row],[ohne Dämpfung]]=1,2,IF(Scharniere[[#This Row],[ohne Feder]]=1,3,0))),1,0)</f>
        <v>0</v>
      </c>
      <c r="S987" s="298">
        <f>IF(Scharniere[[#This Row],[Bohrbild]]=select!$A$755,1,0)</f>
        <v>0</v>
      </c>
      <c r="T987" s="298">
        <f>IF(IF(Scharniere[[#This Row],[Anschrauben]]=1,1,IF(Scharniere[[#This Row],[Einpressen]]=1,2,IF(Scharniere[[#This Row],[Quick]]=1,3,IF(Scharniere[[#This Row],[Werkzeuglos]]=1,4,0))))=select!$A$769,1,0)</f>
        <v>0</v>
      </c>
      <c r="U98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7" s="359">
        <f>IF(AND(Scharniere[[#This Row],[Scharnierart]]=4,Scharniere[[#This Row],[Gruppenschlüssel]]=select!$A$981)=TRUE,1,0)</f>
        <v>0</v>
      </c>
      <c r="W987" s="359">
        <f ca="1">IF(select!$O$1185&lt;6,1,0)</f>
        <v>1</v>
      </c>
      <c r="X987" s="359">
        <f>IF(select!$A$1012=IF(Scharniere[[#This Row],[mit Dämpfung]]=1,1,IF(Scharniere[[#This Row],[ohne Dämpfung]]=1,2,IF(Scharniere[[#This Row],[ohne Feder]]=1,3,0))),1,0)</f>
        <v>0</v>
      </c>
      <c r="Y987" s="359">
        <f>IF(Scharniere[[#This Row],[Bohrbild]]=select!$A$989,1,0)</f>
        <v>0</v>
      </c>
      <c r="Z987" s="359">
        <f>IF(IF(Scharniere[[#This Row],[Anschrauben]]=1,1,IF(Scharniere[[#This Row],[Einpressen]]=1,2,IF(Scharniere[[#This Row],[Quick]]=1,3,IF(Scharniere[[#This Row],[Werkzeuglos]]=1,4,0))))=select!$A$1003,1,0)</f>
        <v>0</v>
      </c>
      <c r="AA98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7" s="359">
        <f ca="1">IF(select!$K$980="*",Scharniere[[#This Row],[AG Ges2]],Scharniere[[#This Row],[AG Ges1]])</f>
        <v>0</v>
      </c>
      <c r="AE987" s="451">
        <f ca="1">IF(AND(Scharniere[[#This Row],[Scharnierart]]=select!$A$1485,Scharniere[[#This Row],[Gruppenschlüssel]]=select!$B$1485)=TRUE,1,0)</f>
        <v>0</v>
      </c>
      <c r="AF987" s="451">
        <f ca="1">IF(AND(Scharniere[[#This Row],[Scharnierart]]=select!$A$1486,Scharniere[[#This Row],[Gruppenschlüssel]]=select!$B$1486)=TRUE,1,0)</f>
        <v>0</v>
      </c>
      <c r="AG987" s="451">
        <f ca="1">IF(AND(Scharniere[[#This Row],[Scharnierart]]=select!$A$1487,Scharniere[[#This Row],[Gruppenschlüssel]]=select!$B$1487)=TRUE,1,0)</f>
        <v>0</v>
      </c>
      <c r="AH987" s="451">
        <f ca="1">IF(AND(Scharniere[[#This Row],[Scharnierart]]=select!$A$1488,Scharniere[[#This Row],[Gruppenschlüssel]]=select!$B$1488)=TRUE,1,0)</f>
        <v>0</v>
      </c>
      <c r="AI987" s="451">
        <f ca="1">IF(SUM(Scharniere[[#This Row],[konf Scharnier 1]:[konf Scharnier 4]])&gt;0,1,0)</f>
        <v>0</v>
      </c>
      <c r="AJ987" s="451"/>
      <c r="AK987" s="451"/>
      <c r="AL987" s="451"/>
      <c r="AM987" s="451"/>
      <c r="AN987" s="451"/>
      <c r="AO987" s="146">
        <v>2</v>
      </c>
      <c r="AP987" s="146">
        <v>10</v>
      </c>
      <c r="AQ987" s="71" t="str">
        <f ca="1">Sprache!$A$113</f>
        <v>Tiomos Scharnier TS Impresso</v>
      </c>
      <c r="AR987" t="str">
        <f ca="1">"120/-30°, GB-BB, "&amp;Sprache!$A$58&amp;" ni"</f>
        <v>120/-30°, GB-BB, aufl. ni</v>
      </c>
      <c r="AS987" t="str">
        <f ca="1">Sprache!$A$116</f>
        <v>Tiomos Impresso Scharniere</v>
      </c>
      <c r="AT987" t="s">
        <v>1264</v>
      </c>
      <c r="AU987" t="s">
        <v>3</v>
      </c>
      <c r="AV987" t="s">
        <v>1496</v>
      </c>
      <c r="AW987" s="71">
        <v>1</v>
      </c>
      <c r="AX987">
        <v>0</v>
      </c>
      <c r="AY987">
        <v>0</v>
      </c>
      <c r="AZ987" s="71">
        <v>0</v>
      </c>
      <c r="BA987">
        <v>0</v>
      </c>
      <c r="BB987">
        <v>0</v>
      </c>
      <c r="BC987">
        <v>1</v>
      </c>
      <c r="BD987" s="144" t="s">
        <v>1587</v>
      </c>
      <c r="BF987" s="10"/>
      <c r="BG987"/>
    </row>
    <row r="988" spans="1:59" ht="14.25" customHeight="1" x14ac:dyDescent="0.25">
      <c r="A988" s="37" t="str">
        <f>LEFT(Scharniere[[#This Row],[ArtikelNR]],4)</f>
        <v>F034</v>
      </c>
      <c r="B988" s="35" t="str">
        <f>MID(Scharniere[[#This Row],[ArtikelNR]],5,3)</f>
        <v>139</v>
      </c>
      <c r="C988" s="37" t="str">
        <f>RIGHT(Scharniere[[#This Row],[ArtikelNR]],3)</f>
        <v>404</v>
      </c>
      <c r="D988" s="35">
        <f>IF(AND(Scharniere[[#This Row],[Gruppenschlüssel]]=select!$A$44,Scharniere[[#This Row],[Scharnierart]]=1)=TRUE,1,0)</f>
        <v>0</v>
      </c>
      <c r="E98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8" s="35">
        <f>IF(select!$F$57=IF(Scharniere[[#This Row],[mit Dämpfung]]=1,1,IF(Scharniere[[#This Row],[ohne Dämpfung]]=1,2,IF(Scharniere[[#This Row],[ohne Feder]]=1,3,0))),1,0)</f>
        <v>0</v>
      </c>
      <c r="G988" s="35">
        <f>IF(Scharniere[[#This Row],[Bohrbild]]=select!$V$43,1,0)</f>
        <v>0</v>
      </c>
      <c r="H988" s="35">
        <f>IF(IF(Scharniere[[#This Row],[Anschrauben]]=1,1,IF(Scharniere[[#This Row],[Einpressen]]=1,2,IF(Scharniere[[#This Row],[Quick]]=1,3,IF(Scharniere[[#This Row],[Werkzeuglos]]=1,4,0))))=select!$F$48,1,0)</f>
        <v>0</v>
      </c>
      <c r="I98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8" s="149">
        <f>IF(AND(Scharniere[[#This Row],[Scharnierart]]=2,Scharniere[[#This Row],[Gruppenschlüssel]]=select!$A$318)=TRUE,1,0)</f>
        <v>0</v>
      </c>
      <c r="K988" s="221">
        <f ca="1">IF(select!$O$424&lt;6,1,0)</f>
        <v>1</v>
      </c>
      <c r="L988" s="221">
        <f>IF(select!$A$362=IF(Scharniere[[#This Row],[mit Dämpfung]]=1,1,IF(Scharniere[[#This Row],[ohne Dämpfung]]=1,2,IF(Scharniere[[#This Row],[ohne Feder]]=1,3,0))),1,0)</f>
        <v>0</v>
      </c>
      <c r="M988" s="135">
        <f>IF(Scharniere[[#This Row],[Bohrbild]]=select!$O$334,1,0)</f>
        <v>0</v>
      </c>
      <c r="N988" s="135">
        <f>IF(IF(Scharniere[[#This Row],[Anschrauben]]=1,1,IF(Scharniere[[#This Row],[Einpressen]]=1,2,IF(Scharniere[[#This Row],[Quick]]=1,3,IF(Scharniere[[#This Row],[Werkzeuglos]]=1,4,0))))=select!$E$362,1,0)</f>
        <v>0</v>
      </c>
      <c r="O98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8" s="298">
        <f>IF(AND(Scharniere[[#This Row],[Scharnierart]]=3,Scharniere[[#This Row],[Gruppenschlüssel]]=select!$A$747)=TRUE,1,0)</f>
        <v>0</v>
      </c>
      <c r="Q988" s="298">
        <f ca="1">IF(select!$O$945&lt;6,1,0)</f>
        <v>1</v>
      </c>
      <c r="R988" s="298">
        <f>IF(select!$A$778=IF(Scharniere[[#This Row],[mit Dämpfung]]=1,1,IF(Scharniere[[#This Row],[ohne Dämpfung]]=1,2,IF(Scharniere[[#This Row],[ohne Feder]]=1,3,0))),1,0)</f>
        <v>1</v>
      </c>
      <c r="S988" s="298">
        <f>IF(Scharniere[[#This Row],[Bohrbild]]=select!$A$755,1,0)</f>
        <v>0</v>
      </c>
      <c r="T988" s="298">
        <f>IF(IF(Scharniere[[#This Row],[Anschrauben]]=1,1,IF(Scharniere[[#This Row],[Einpressen]]=1,2,IF(Scharniere[[#This Row],[Quick]]=1,3,IF(Scharniere[[#This Row],[Werkzeuglos]]=1,4,0))))=select!$A$769,1,0)</f>
        <v>0</v>
      </c>
      <c r="U98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8" s="359">
        <f>IF(AND(Scharniere[[#This Row],[Scharnierart]]=4,Scharniere[[#This Row],[Gruppenschlüssel]]=select!$A$981)=TRUE,1,0)</f>
        <v>0</v>
      </c>
      <c r="W988" s="359">
        <f ca="1">IF(select!$O$1185&lt;6,1,0)</f>
        <v>1</v>
      </c>
      <c r="X988" s="359">
        <f>IF(select!$A$1012=IF(Scharniere[[#This Row],[mit Dämpfung]]=1,1,IF(Scharniere[[#This Row],[ohne Dämpfung]]=1,2,IF(Scharniere[[#This Row],[ohne Feder]]=1,3,0))),1,0)</f>
        <v>1</v>
      </c>
      <c r="Y988" s="359">
        <f>IF(Scharniere[[#This Row],[Bohrbild]]=select!$A$989,1,0)</f>
        <v>0</v>
      </c>
      <c r="Z988" s="359">
        <f>IF(IF(Scharniere[[#This Row],[Anschrauben]]=1,1,IF(Scharniere[[#This Row],[Einpressen]]=1,2,IF(Scharniere[[#This Row],[Quick]]=1,3,IF(Scharniere[[#This Row],[Werkzeuglos]]=1,4,0))))=select!$A$1003,1,0)</f>
        <v>0</v>
      </c>
      <c r="AA98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8" s="359">
        <f ca="1">IF(select!$K$980="*",Scharniere[[#This Row],[AG Ges2]],Scharniere[[#This Row],[AG Ges1]])</f>
        <v>0</v>
      </c>
      <c r="AE988" s="451">
        <f ca="1">IF(AND(Scharniere[[#This Row],[Scharnierart]]=select!$A$1485,Scharniere[[#This Row],[Gruppenschlüssel]]=select!$B$1485)=TRUE,1,0)</f>
        <v>0</v>
      </c>
      <c r="AF988" s="451">
        <f ca="1">IF(AND(Scharniere[[#This Row],[Scharnierart]]=select!$A$1486,Scharniere[[#This Row],[Gruppenschlüssel]]=select!$B$1486)=TRUE,1,0)</f>
        <v>0</v>
      </c>
      <c r="AG988" s="451">
        <f ca="1">IF(AND(Scharniere[[#This Row],[Scharnierart]]=select!$A$1487,Scharniere[[#This Row],[Gruppenschlüssel]]=select!$B$1487)=TRUE,1,0)</f>
        <v>0</v>
      </c>
      <c r="AH988" s="451">
        <f ca="1">IF(AND(Scharniere[[#This Row],[Scharnierart]]=select!$A$1488,Scharniere[[#This Row],[Gruppenschlüssel]]=select!$B$1488)=TRUE,1,0)</f>
        <v>0</v>
      </c>
      <c r="AI988" s="451">
        <f ca="1">IF(SUM(Scharniere[[#This Row],[konf Scharnier 1]:[konf Scharnier 4]])&gt;0,1,0)</f>
        <v>0</v>
      </c>
      <c r="AJ988" s="451"/>
      <c r="AK988" s="451"/>
      <c r="AL988" s="451"/>
      <c r="AM988" s="451"/>
      <c r="AN988" s="451"/>
      <c r="AO988" s="146">
        <v>2</v>
      </c>
      <c r="AP988" s="146">
        <v>10</v>
      </c>
      <c r="AQ988" s="71" t="str">
        <f ca="1">Sprache!$A$119</f>
        <v>Tiomos Scharnier T Impresso</v>
      </c>
      <c r="AR988" t="str">
        <f ca="1">"120/-30°, GB-BB, "&amp;Sprache!$A$58&amp;" ni"</f>
        <v>120/-30°, GB-BB, aufl. ni</v>
      </c>
      <c r="AS988" t="str">
        <f ca="1">Sprache!$A$103</f>
        <v>Tiomos Click-On Scharniere</v>
      </c>
      <c r="AT988" t="s">
        <v>1264</v>
      </c>
      <c r="AU988" t="s">
        <v>9</v>
      </c>
      <c r="AV988" t="s">
        <v>1496</v>
      </c>
      <c r="AW988" s="71">
        <v>0</v>
      </c>
      <c r="AX988">
        <v>1</v>
      </c>
      <c r="AY988">
        <v>0</v>
      </c>
      <c r="AZ988" s="71">
        <v>0</v>
      </c>
      <c r="BA988">
        <v>0</v>
      </c>
      <c r="BB988">
        <v>0</v>
      </c>
      <c r="BC988">
        <v>1</v>
      </c>
      <c r="BD988" s="144" t="s">
        <v>1765</v>
      </c>
      <c r="BF988" s="10"/>
      <c r="BG988"/>
    </row>
    <row r="989" spans="1:59" ht="14.25" customHeight="1" x14ac:dyDescent="0.25">
      <c r="A989" s="37" t="str">
        <f>LEFT(Scharniere[[#This Row],[ArtikelNR]],4)</f>
        <v>F034</v>
      </c>
      <c r="B989" s="35" t="str">
        <f>MID(Scharniere[[#This Row],[ArtikelNR]],5,3)</f>
        <v>139</v>
      </c>
      <c r="C989" s="37" t="str">
        <f>RIGHT(Scharniere[[#This Row],[ArtikelNR]],3)</f>
        <v>404</v>
      </c>
      <c r="D989" s="35">
        <f>IF(AND(Scharniere[[#This Row],[Gruppenschlüssel]]=select!$A$44,Scharniere[[#This Row],[Scharnierart]]=1)=TRUE,1,0)</f>
        <v>0</v>
      </c>
      <c r="E98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89" s="35">
        <f>IF(select!$F$57=IF(Scharniere[[#This Row],[mit Dämpfung]]=1,1,IF(Scharniere[[#This Row],[ohne Dämpfung]]=1,2,IF(Scharniere[[#This Row],[ohne Feder]]=1,3,0))),1,0)</f>
        <v>0</v>
      </c>
      <c r="G989" s="35">
        <f>IF(Scharniere[[#This Row],[Bohrbild]]=select!$V$43,1,0)</f>
        <v>0</v>
      </c>
      <c r="H989" s="35">
        <f>IF(IF(Scharniere[[#This Row],[Anschrauben]]=1,1,IF(Scharniere[[#This Row],[Einpressen]]=1,2,IF(Scharniere[[#This Row],[Quick]]=1,3,IF(Scharniere[[#This Row],[Werkzeuglos]]=1,4,0))))=select!$F$48,1,0)</f>
        <v>0</v>
      </c>
      <c r="I98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89" s="149">
        <f>IF(AND(Scharniere[[#This Row],[Scharnierart]]=2,Scharniere[[#This Row],[Gruppenschlüssel]]=select!$A$318)=TRUE,1,0)</f>
        <v>0</v>
      </c>
      <c r="K989" s="221">
        <f ca="1">IF(select!$O$424&lt;6,1,0)</f>
        <v>1</v>
      </c>
      <c r="L989" s="221">
        <f>IF(select!$A$362=IF(Scharniere[[#This Row],[mit Dämpfung]]=1,1,IF(Scharniere[[#This Row],[ohne Dämpfung]]=1,2,IF(Scharniere[[#This Row],[ohne Feder]]=1,3,0))),1,0)</f>
        <v>0</v>
      </c>
      <c r="M989" s="135">
        <f>IF(Scharniere[[#This Row],[Bohrbild]]=select!$O$334,1,0)</f>
        <v>0</v>
      </c>
      <c r="N989" s="135">
        <f>IF(IF(Scharniere[[#This Row],[Anschrauben]]=1,1,IF(Scharniere[[#This Row],[Einpressen]]=1,2,IF(Scharniere[[#This Row],[Quick]]=1,3,IF(Scharniere[[#This Row],[Werkzeuglos]]=1,4,0))))=select!$E$362,1,0)</f>
        <v>0</v>
      </c>
      <c r="O98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89" s="298">
        <f>IF(AND(Scharniere[[#This Row],[Scharnierart]]=3,Scharniere[[#This Row],[Gruppenschlüssel]]=select!$A$747)=TRUE,1,0)</f>
        <v>0</v>
      </c>
      <c r="Q989" s="298">
        <f ca="1">IF(select!$O$945&lt;6,1,0)</f>
        <v>1</v>
      </c>
      <c r="R989" s="298">
        <f>IF(select!$A$778=IF(Scharniere[[#This Row],[mit Dämpfung]]=1,1,IF(Scharniere[[#This Row],[ohne Dämpfung]]=1,2,IF(Scharniere[[#This Row],[ohne Feder]]=1,3,0))),1,0)</f>
        <v>1</v>
      </c>
      <c r="S989" s="298">
        <f>IF(Scharniere[[#This Row],[Bohrbild]]=select!$A$755,1,0)</f>
        <v>0</v>
      </c>
      <c r="T989" s="298">
        <f>IF(IF(Scharniere[[#This Row],[Anschrauben]]=1,1,IF(Scharniere[[#This Row],[Einpressen]]=1,2,IF(Scharniere[[#This Row],[Quick]]=1,3,IF(Scharniere[[#This Row],[Werkzeuglos]]=1,4,0))))=select!$A$769,1,0)</f>
        <v>0</v>
      </c>
      <c r="U98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89" s="359">
        <f>IF(AND(Scharniere[[#This Row],[Scharnierart]]=4,Scharniere[[#This Row],[Gruppenschlüssel]]=select!$A$981)=TRUE,1,0)</f>
        <v>0</v>
      </c>
      <c r="W989" s="359">
        <f ca="1">IF(select!$O$1185&lt;6,1,0)</f>
        <v>1</v>
      </c>
      <c r="X989" s="359">
        <f>IF(select!$A$1012=IF(Scharniere[[#This Row],[mit Dämpfung]]=1,1,IF(Scharniere[[#This Row],[ohne Dämpfung]]=1,2,IF(Scharniere[[#This Row],[ohne Feder]]=1,3,0))),1,0)</f>
        <v>1</v>
      </c>
      <c r="Y989" s="359">
        <f>IF(Scharniere[[#This Row],[Bohrbild]]=select!$A$989,1,0)</f>
        <v>0</v>
      </c>
      <c r="Z989" s="359">
        <f>IF(IF(Scharniere[[#This Row],[Anschrauben]]=1,1,IF(Scharniere[[#This Row],[Einpressen]]=1,2,IF(Scharniere[[#This Row],[Quick]]=1,3,IF(Scharniere[[#This Row],[Werkzeuglos]]=1,4,0))))=select!$A$1003,1,0)</f>
        <v>0</v>
      </c>
      <c r="AA98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8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8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89" s="359">
        <f ca="1">IF(select!$K$980="*",Scharniere[[#This Row],[AG Ges2]],Scharniere[[#This Row],[AG Ges1]])</f>
        <v>0</v>
      </c>
      <c r="AE989" s="451">
        <f ca="1">IF(AND(Scharniere[[#This Row],[Scharnierart]]=select!$A$1485,Scharniere[[#This Row],[Gruppenschlüssel]]=select!$B$1485)=TRUE,1,0)</f>
        <v>0</v>
      </c>
      <c r="AF989" s="451">
        <f ca="1">IF(AND(Scharniere[[#This Row],[Scharnierart]]=select!$A$1486,Scharniere[[#This Row],[Gruppenschlüssel]]=select!$B$1486)=TRUE,1,0)</f>
        <v>0</v>
      </c>
      <c r="AG989" s="451">
        <f ca="1">IF(AND(Scharniere[[#This Row],[Scharnierart]]=select!$A$1487,Scharniere[[#This Row],[Gruppenschlüssel]]=select!$B$1487)=TRUE,1,0)</f>
        <v>0</v>
      </c>
      <c r="AH989" s="451">
        <f ca="1">IF(AND(Scharniere[[#This Row],[Scharnierart]]=select!$A$1488,Scharniere[[#This Row],[Gruppenschlüssel]]=select!$B$1488)=TRUE,1,0)</f>
        <v>0</v>
      </c>
      <c r="AI989" s="451">
        <f ca="1">IF(SUM(Scharniere[[#This Row],[konf Scharnier 1]:[konf Scharnier 4]])&gt;0,1,0)</f>
        <v>0</v>
      </c>
      <c r="AJ989" s="451"/>
      <c r="AK989" s="451"/>
      <c r="AL989" s="451"/>
      <c r="AM989" s="451"/>
      <c r="AN989" s="451"/>
      <c r="AO989" s="146">
        <v>2</v>
      </c>
      <c r="AP989" s="146">
        <v>10</v>
      </c>
      <c r="AQ989" s="71" t="str">
        <f ca="1">Sprache!$A$119</f>
        <v>Tiomos Scharnier T Impresso</v>
      </c>
      <c r="AR989" t="str">
        <f ca="1">"120/-30°, GB-BB, "&amp;Sprache!$A$58&amp;" ni"</f>
        <v>120/-30°, GB-BB, aufl. ni</v>
      </c>
      <c r="AS989" t="str">
        <f ca="1">Sprache!$A$103</f>
        <v>Tiomos Click-On Scharniere</v>
      </c>
      <c r="AT989" t="s">
        <v>1264</v>
      </c>
      <c r="AU989" s="34" t="s">
        <v>3</v>
      </c>
      <c r="AV989" t="s">
        <v>1496</v>
      </c>
      <c r="AW989" s="71">
        <v>0</v>
      </c>
      <c r="AX989">
        <v>1</v>
      </c>
      <c r="AY989">
        <v>0</v>
      </c>
      <c r="AZ989" s="71">
        <v>0</v>
      </c>
      <c r="BA989">
        <v>0</v>
      </c>
      <c r="BB989">
        <v>0</v>
      </c>
      <c r="BC989">
        <v>1</v>
      </c>
      <c r="BD989" s="144" t="s">
        <v>1765</v>
      </c>
      <c r="BF989" s="10"/>
      <c r="BG989"/>
    </row>
    <row r="990" spans="1:59" ht="14.25" customHeight="1" x14ac:dyDescent="0.25">
      <c r="A990" s="37" t="str">
        <f>LEFT(Scharniere[[#This Row],[ArtikelNR]],4)</f>
        <v>F028</v>
      </c>
      <c r="B990" s="35" t="str">
        <f>MID(Scharniere[[#This Row],[ArtikelNR]],5,3)</f>
        <v>138</v>
      </c>
      <c r="C990" s="37" t="str">
        <f>RIGHT(Scharniere[[#This Row],[ArtikelNR]],3)</f>
        <v>738</v>
      </c>
      <c r="D990" s="35">
        <f>IF(AND(Scharniere[[#This Row],[Gruppenschlüssel]]=select!$A$44,Scharniere[[#This Row],[Scharnierart]]=1)=TRUE,1,0)</f>
        <v>0</v>
      </c>
      <c r="E99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0" s="35">
        <f>IF(select!$F$57=IF(Scharniere[[#This Row],[mit Dämpfung]]=1,1,IF(Scharniere[[#This Row],[ohne Dämpfung]]=1,2,IF(Scharniere[[#This Row],[ohne Feder]]=1,3,0))),1,0)</f>
        <v>0</v>
      </c>
      <c r="G990" s="35">
        <f>IF(Scharniere[[#This Row],[Bohrbild]]=select!$V$43,1,0)</f>
        <v>0</v>
      </c>
      <c r="H990" s="35">
        <f>IF(IF(Scharniere[[#This Row],[Anschrauben]]=1,1,IF(Scharniere[[#This Row],[Einpressen]]=1,2,IF(Scharniere[[#This Row],[Quick]]=1,3,IF(Scharniere[[#This Row],[Werkzeuglos]]=1,4,0))))=select!$F$48,1,0)</f>
        <v>0</v>
      </c>
      <c r="I99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0" s="149">
        <f>IF(AND(Scharniere[[#This Row],[Scharnierart]]=2,Scharniere[[#This Row],[Gruppenschlüssel]]=select!$A$318)=TRUE,1,0)</f>
        <v>0</v>
      </c>
      <c r="K990" s="221">
        <f ca="1">IF(select!$O$424&lt;6,1,0)</f>
        <v>1</v>
      </c>
      <c r="L990" s="221">
        <f>IF(select!$A$362=IF(Scharniere[[#This Row],[mit Dämpfung]]=1,1,IF(Scharniere[[#This Row],[ohne Dämpfung]]=1,2,IF(Scharniere[[#This Row],[ohne Feder]]=1,3,0))),1,0)</f>
        <v>1</v>
      </c>
      <c r="M990" s="135">
        <f>IF(Scharniere[[#This Row],[Bohrbild]]=select!$O$334,1,0)</f>
        <v>0</v>
      </c>
      <c r="N990" s="135">
        <f>IF(IF(Scharniere[[#This Row],[Anschrauben]]=1,1,IF(Scharniere[[#This Row],[Einpressen]]=1,2,IF(Scharniere[[#This Row],[Quick]]=1,3,IF(Scharniere[[#This Row],[Werkzeuglos]]=1,4,0))))=select!$E$362,1,0)</f>
        <v>1</v>
      </c>
      <c r="O99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0" s="298">
        <f>IF(AND(Scharniere[[#This Row],[Scharnierart]]=3,Scharniere[[#This Row],[Gruppenschlüssel]]=select!$A$747)=TRUE,1,0)</f>
        <v>0</v>
      </c>
      <c r="Q990" s="298">
        <f ca="1">IF(select!$O$945&lt;6,1,0)</f>
        <v>1</v>
      </c>
      <c r="R990" s="298">
        <f>IF(select!$A$778=IF(Scharniere[[#This Row],[mit Dämpfung]]=1,1,IF(Scharniere[[#This Row],[ohne Dämpfung]]=1,2,IF(Scharniere[[#This Row],[ohne Feder]]=1,3,0))),1,0)</f>
        <v>0</v>
      </c>
      <c r="S990" s="298">
        <f>IF(Scharniere[[#This Row],[Bohrbild]]=select!$A$755,1,0)</f>
        <v>0</v>
      </c>
      <c r="T990" s="298">
        <f>IF(IF(Scharniere[[#This Row],[Anschrauben]]=1,1,IF(Scharniere[[#This Row],[Einpressen]]=1,2,IF(Scharniere[[#This Row],[Quick]]=1,3,IF(Scharniere[[#This Row],[Werkzeuglos]]=1,4,0))))=select!$A$769,1,0)</f>
        <v>1</v>
      </c>
      <c r="U99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0" s="359">
        <f>IF(AND(Scharniere[[#This Row],[Scharnierart]]=4,Scharniere[[#This Row],[Gruppenschlüssel]]=select!$A$981)=TRUE,1,0)</f>
        <v>0</v>
      </c>
      <c r="W990" s="359">
        <f ca="1">IF(select!$O$1185&lt;6,1,0)</f>
        <v>1</v>
      </c>
      <c r="X990" s="359">
        <f>IF(select!$A$1012=IF(Scharniere[[#This Row],[mit Dämpfung]]=1,1,IF(Scharniere[[#This Row],[ohne Dämpfung]]=1,2,IF(Scharniere[[#This Row],[ohne Feder]]=1,3,0))),1,0)</f>
        <v>0</v>
      </c>
      <c r="Y990" s="359">
        <f>IF(Scharniere[[#This Row],[Bohrbild]]=select!$A$989,1,0)</f>
        <v>0</v>
      </c>
      <c r="Z990" s="359">
        <f>IF(IF(Scharniere[[#This Row],[Anschrauben]]=1,1,IF(Scharniere[[#This Row],[Einpressen]]=1,2,IF(Scharniere[[#This Row],[Quick]]=1,3,IF(Scharniere[[#This Row],[Werkzeuglos]]=1,4,0))))=select!$A$1003,1,0)</f>
        <v>1</v>
      </c>
      <c r="AA99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0" s="359">
        <f ca="1">IF(select!$K$980="*",Scharniere[[#This Row],[AG Ges2]],Scharniere[[#This Row],[AG Ges1]])</f>
        <v>0</v>
      </c>
      <c r="AE990" s="451">
        <f ca="1">IF(AND(Scharniere[[#This Row],[Scharnierart]]=select!$A$1485,Scharniere[[#This Row],[Gruppenschlüssel]]=select!$B$1485)=TRUE,1,0)</f>
        <v>0</v>
      </c>
      <c r="AF990" s="451">
        <f ca="1">IF(AND(Scharniere[[#This Row],[Scharnierart]]=select!$A$1486,Scharniere[[#This Row],[Gruppenschlüssel]]=select!$B$1486)=TRUE,1,0)</f>
        <v>0</v>
      </c>
      <c r="AG990" s="451">
        <f ca="1">IF(AND(Scharniere[[#This Row],[Scharnierart]]=select!$A$1487,Scharniere[[#This Row],[Gruppenschlüssel]]=select!$B$1487)=TRUE,1,0)</f>
        <v>0</v>
      </c>
      <c r="AH990" s="451">
        <f ca="1">IF(AND(Scharniere[[#This Row],[Scharnierart]]=select!$A$1488,Scharniere[[#This Row],[Gruppenschlüssel]]=select!$B$1488)=TRUE,1,0)</f>
        <v>0</v>
      </c>
      <c r="AI990" s="451">
        <f ca="1">IF(SUM(Scharniere[[#This Row],[konf Scharnier 1]:[konf Scharnier 4]])&gt;0,1,0)</f>
        <v>0</v>
      </c>
      <c r="AJ990" s="451"/>
      <c r="AK990" s="451"/>
      <c r="AL990" s="451"/>
      <c r="AM990" s="451"/>
      <c r="AN990" s="451"/>
      <c r="AO990" s="146">
        <v>2</v>
      </c>
      <c r="AP990" s="146">
        <v>10</v>
      </c>
      <c r="AQ990" s="71" t="str">
        <f ca="1">Sprache!$A$112</f>
        <v>Tiomos Scharnier TS Click-on</v>
      </c>
      <c r="AR990" t="str">
        <f ca="1">"120/-30°, H-BB, "&amp;Sprache!$A$58&amp;" ni"</f>
        <v>120/-30°, H-BB, aufl. ni</v>
      </c>
      <c r="AS990" t="str">
        <f ca="1">Sprache!$A$103</f>
        <v>Tiomos Click-On Scharniere</v>
      </c>
      <c r="AT990" t="s">
        <v>1264</v>
      </c>
      <c r="AU990" s="34" t="s">
        <v>10</v>
      </c>
      <c r="AV990" t="s">
        <v>1496</v>
      </c>
      <c r="AW990" s="71">
        <v>1</v>
      </c>
      <c r="AX990">
        <v>0</v>
      </c>
      <c r="AY990">
        <v>0</v>
      </c>
      <c r="AZ990" s="71">
        <v>1</v>
      </c>
      <c r="BA990">
        <v>0</v>
      </c>
      <c r="BB990">
        <v>0</v>
      </c>
      <c r="BC990">
        <v>0</v>
      </c>
      <c r="BD990" s="144" t="s">
        <v>1565</v>
      </c>
      <c r="BF990" s="10"/>
      <c r="BG990"/>
    </row>
    <row r="991" spans="1:59" ht="14.25" customHeight="1" x14ac:dyDescent="0.25">
      <c r="A991" s="37" t="str">
        <f>LEFT(Scharniere[[#This Row],[ArtikelNR]],4)</f>
        <v>F045</v>
      </c>
      <c r="B991" s="35" t="str">
        <f>MID(Scharniere[[#This Row],[ArtikelNR]],5,3)</f>
        <v>138</v>
      </c>
      <c r="C991" s="37" t="str">
        <f>RIGHT(Scharniere[[#This Row],[ArtikelNR]],3)</f>
        <v>676</v>
      </c>
      <c r="D991" s="35">
        <f>IF(AND(Scharniere[[#This Row],[Gruppenschlüssel]]=select!$A$44,Scharniere[[#This Row],[Scharnierart]]=1)=TRUE,1,0)</f>
        <v>0</v>
      </c>
      <c r="E99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1" s="35">
        <f>IF(select!$F$57=IF(Scharniere[[#This Row],[mit Dämpfung]]=1,1,IF(Scharniere[[#This Row],[ohne Dämpfung]]=1,2,IF(Scharniere[[#This Row],[ohne Feder]]=1,3,0))),1,0)</f>
        <v>0</v>
      </c>
      <c r="G991" s="35">
        <f>IF(Scharniere[[#This Row],[Bohrbild]]=select!$V$43,1,0)</f>
        <v>0</v>
      </c>
      <c r="H991" s="35">
        <f>IF(IF(Scharniere[[#This Row],[Anschrauben]]=1,1,IF(Scharniere[[#This Row],[Einpressen]]=1,2,IF(Scharniere[[#This Row],[Quick]]=1,3,IF(Scharniere[[#This Row],[Werkzeuglos]]=1,4,0))))=select!$F$48,1,0)</f>
        <v>0</v>
      </c>
      <c r="I99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1" s="149">
        <f>IF(AND(Scharniere[[#This Row],[Scharnierart]]=2,Scharniere[[#This Row],[Gruppenschlüssel]]=select!$A$318)=TRUE,1,0)</f>
        <v>0</v>
      </c>
      <c r="K991" s="221">
        <f ca="1">IF(select!$O$424&lt;6,1,0)</f>
        <v>1</v>
      </c>
      <c r="L991" s="221">
        <f>IF(select!$A$362=IF(Scharniere[[#This Row],[mit Dämpfung]]=1,1,IF(Scharniere[[#This Row],[ohne Dämpfung]]=1,2,IF(Scharniere[[#This Row],[ohne Feder]]=1,3,0))),1,0)</f>
        <v>0</v>
      </c>
      <c r="M991" s="135">
        <f>IF(Scharniere[[#This Row],[Bohrbild]]=select!$O$334,1,0)</f>
        <v>0</v>
      </c>
      <c r="N991" s="135">
        <f>IF(IF(Scharniere[[#This Row],[Anschrauben]]=1,1,IF(Scharniere[[#This Row],[Einpressen]]=1,2,IF(Scharniere[[#This Row],[Quick]]=1,3,IF(Scharniere[[#This Row],[Werkzeuglos]]=1,4,0))))=select!$E$362,1,0)</f>
        <v>1</v>
      </c>
      <c r="O99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1" s="298">
        <f>IF(AND(Scharniere[[#This Row],[Scharnierart]]=3,Scharniere[[#This Row],[Gruppenschlüssel]]=select!$A$747)=TRUE,1,0)</f>
        <v>0</v>
      </c>
      <c r="Q991" s="298">
        <f ca="1">IF(select!$O$945&lt;6,1,0)</f>
        <v>1</v>
      </c>
      <c r="R991" s="298">
        <f>IF(select!$A$778=IF(Scharniere[[#This Row],[mit Dämpfung]]=1,1,IF(Scharniere[[#This Row],[ohne Dämpfung]]=1,2,IF(Scharniere[[#This Row],[ohne Feder]]=1,3,0))),1,0)</f>
        <v>1</v>
      </c>
      <c r="S991" s="298">
        <f>IF(Scharniere[[#This Row],[Bohrbild]]=select!$A$755,1,0)</f>
        <v>0</v>
      </c>
      <c r="T991" s="298">
        <f>IF(IF(Scharniere[[#This Row],[Anschrauben]]=1,1,IF(Scharniere[[#This Row],[Einpressen]]=1,2,IF(Scharniere[[#This Row],[Quick]]=1,3,IF(Scharniere[[#This Row],[Werkzeuglos]]=1,4,0))))=select!$A$769,1,0)</f>
        <v>1</v>
      </c>
      <c r="U99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1" s="359">
        <f>IF(AND(Scharniere[[#This Row],[Scharnierart]]=4,Scharniere[[#This Row],[Gruppenschlüssel]]=select!$A$981)=TRUE,1,0)</f>
        <v>0</v>
      </c>
      <c r="W991" s="359">
        <f ca="1">IF(select!$O$1185&lt;6,1,0)</f>
        <v>1</v>
      </c>
      <c r="X991" s="359">
        <f>IF(select!$A$1012=IF(Scharniere[[#This Row],[mit Dämpfung]]=1,1,IF(Scharniere[[#This Row],[ohne Dämpfung]]=1,2,IF(Scharniere[[#This Row],[ohne Feder]]=1,3,0))),1,0)</f>
        <v>1</v>
      </c>
      <c r="Y991" s="359">
        <f>IF(Scharniere[[#This Row],[Bohrbild]]=select!$A$989,1,0)</f>
        <v>0</v>
      </c>
      <c r="Z991" s="359">
        <f>IF(IF(Scharniere[[#This Row],[Anschrauben]]=1,1,IF(Scharniere[[#This Row],[Einpressen]]=1,2,IF(Scharniere[[#This Row],[Quick]]=1,3,IF(Scharniere[[#This Row],[Werkzeuglos]]=1,4,0))))=select!$A$1003,1,0)</f>
        <v>1</v>
      </c>
      <c r="AA99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1" s="359">
        <f ca="1">IF(select!$K$980="*",Scharniere[[#This Row],[AG Ges2]],Scharniere[[#This Row],[AG Ges1]])</f>
        <v>0</v>
      </c>
      <c r="AE991" s="451">
        <f ca="1">IF(AND(Scharniere[[#This Row],[Scharnierart]]=select!$A$1485,Scharniere[[#This Row],[Gruppenschlüssel]]=select!$B$1485)=TRUE,1,0)</f>
        <v>0</v>
      </c>
      <c r="AF991" s="451">
        <f ca="1">IF(AND(Scharniere[[#This Row],[Scharnierart]]=select!$A$1486,Scharniere[[#This Row],[Gruppenschlüssel]]=select!$B$1486)=TRUE,1,0)</f>
        <v>0</v>
      </c>
      <c r="AG991" s="451">
        <f ca="1">IF(AND(Scharniere[[#This Row],[Scharnierart]]=select!$A$1487,Scharniere[[#This Row],[Gruppenschlüssel]]=select!$B$1487)=TRUE,1,0)</f>
        <v>0</v>
      </c>
      <c r="AH991" s="451">
        <f ca="1">IF(AND(Scharniere[[#This Row],[Scharnierart]]=select!$A$1488,Scharniere[[#This Row],[Gruppenschlüssel]]=select!$B$1488)=TRUE,1,0)</f>
        <v>0</v>
      </c>
      <c r="AI991" s="451">
        <f ca="1">IF(SUM(Scharniere[[#This Row],[konf Scharnier 1]:[konf Scharnier 4]])&gt;0,1,0)</f>
        <v>0</v>
      </c>
      <c r="AJ991" s="451"/>
      <c r="AK991" s="451"/>
      <c r="AL991" s="451"/>
      <c r="AM991" s="451"/>
      <c r="AN991" s="451"/>
      <c r="AO991" s="146">
        <v>2</v>
      </c>
      <c r="AP991" s="146">
        <v>10</v>
      </c>
      <c r="AQ991" s="71" t="str">
        <f ca="1">Sprache!$A$118</f>
        <v>Tiomos Scharnier T Click-on</v>
      </c>
      <c r="AR991" t="str">
        <f ca="1">"120/-30°, H-BB, "&amp;Sprache!$A$58&amp;" ni"</f>
        <v>120/-30°, H-BB, aufl. ni</v>
      </c>
      <c r="AS991" t="str">
        <f ca="1">Sprache!$A$103</f>
        <v>Tiomos Click-On Scharniere</v>
      </c>
      <c r="AT991" t="s">
        <v>1264</v>
      </c>
      <c r="AU991" t="s">
        <v>10</v>
      </c>
      <c r="AV991" t="s">
        <v>1496</v>
      </c>
      <c r="AW991" s="71">
        <v>0</v>
      </c>
      <c r="AX991">
        <v>1</v>
      </c>
      <c r="AY991">
        <v>0</v>
      </c>
      <c r="AZ991" s="71">
        <v>1</v>
      </c>
      <c r="BA991">
        <v>0</v>
      </c>
      <c r="BB991">
        <v>0</v>
      </c>
      <c r="BC991">
        <v>0</v>
      </c>
      <c r="BD991" s="144" t="s">
        <v>1674</v>
      </c>
      <c r="BF991" s="10"/>
      <c r="BG991"/>
    </row>
    <row r="992" spans="1:59" ht="14.25" customHeight="1" x14ac:dyDescent="0.25">
      <c r="A992" s="37" t="str">
        <f>LEFT(Scharniere[[#This Row],[ArtikelNR]],4)</f>
        <v>F017</v>
      </c>
      <c r="B992" s="35" t="str">
        <f>MID(Scharniere[[#This Row],[ArtikelNR]],5,3)</f>
        <v>139</v>
      </c>
      <c r="C992" s="37" t="str">
        <f>RIGHT(Scharniere[[#This Row],[ArtikelNR]],3)</f>
        <v>518</v>
      </c>
      <c r="D992" s="35">
        <f>IF(AND(Scharniere[[#This Row],[Gruppenschlüssel]]=select!$A$44,Scharniere[[#This Row],[Scharnierart]]=1)=TRUE,1,0)</f>
        <v>0</v>
      </c>
      <c r="E99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2" s="35">
        <f>IF(select!$F$57=IF(Scharniere[[#This Row],[mit Dämpfung]]=1,1,IF(Scharniere[[#This Row],[ohne Dämpfung]]=1,2,IF(Scharniere[[#This Row],[ohne Feder]]=1,3,0))),1,0)</f>
        <v>0</v>
      </c>
      <c r="G992" s="35">
        <f>IF(Scharniere[[#This Row],[Bohrbild]]=select!$V$43,1,0)</f>
        <v>0</v>
      </c>
      <c r="H992" s="35">
        <f>IF(IF(Scharniere[[#This Row],[Anschrauben]]=1,1,IF(Scharniere[[#This Row],[Einpressen]]=1,2,IF(Scharniere[[#This Row],[Quick]]=1,3,IF(Scharniere[[#This Row],[Werkzeuglos]]=1,4,0))))=select!$F$48,1,0)</f>
        <v>0</v>
      </c>
      <c r="I99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2" s="149">
        <f>IF(AND(Scharniere[[#This Row],[Scharnierart]]=2,Scharniere[[#This Row],[Gruppenschlüssel]]=select!$A$318)=TRUE,1,0)</f>
        <v>0</v>
      </c>
      <c r="K992" s="221">
        <f ca="1">IF(select!$O$424&lt;6,1,0)</f>
        <v>1</v>
      </c>
      <c r="L992" s="221">
        <f>IF(select!$A$362=IF(Scharniere[[#This Row],[mit Dämpfung]]=1,1,IF(Scharniere[[#This Row],[ohne Dämpfung]]=1,2,IF(Scharniere[[#This Row],[ohne Feder]]=1,3,0))),1,0)</f>
        <v>1</v>
      </c>
      <c r="M992" s="135">
        <f>IF(Scharniere[[#This Row],[Bohrbild]]=select!$O$334,1,0)</f>
        <v>0</v>
      </c>
      <c r="N992" s="135">
        <f>IF(IF(Scharniere[[#This Row],[Anschrauben]]=1,1,IF(Scharniere[[#This Row],[Einpressen]]=1,2,IF(Scharniere[[#This Row],[Quick]]=1,3,IF(Scharniere[[#This Row],[Werkzeuglos]]=1,4,0))))=select!$E$362,1,0)</f>
        <v>0</v>
      </c>
      <c r="O99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2" s="298">
        <f>IF(AND(Scharniere[[#This Row],[Scharnierart]]=3,Scharniere[[#This Row],[Gruppenschlüssel]]=select!$A$747)=TRUE,1,0)</f>
        <v>0</v>
      </c>
      <c r="Q992" s="298">
        <f ca="1">IF(select!$O$945&lt;6,1,0)</f>
        <v>1</v>
      </c>
      <c r="R992" s="298">
        <f>IF(select!$A$778=IF(Scharniere[[#This Row],[mit Dämpfung]]=1,1,IF(Scharniere[[#This Row],[ohne Dämpfung]]=1,2,IF(Scharniere[[#This Row],[ohne Feder]]=1,3,0))),1,0)</f>
        <v>0</v>
      </c>
      <c r="S992" s="298">
        <f>IF(Scharniere[[#This Row],[Bohrbild]]=select!$A$755,1,0)</f>
        <v>0</v>
      </c>
      <c r="T992" s="298">
        <f>IF(IF(Scharniere[[#This Row],[Anschrauben]]=1,1,IF(Scharniere[[#This Row],[Einpressen]]=1,2,IF(Scharniere[[#This Row],[Quick]]=1,3,IF(Scharniere[[#This Row],[Werkzeuglos]]=1,4,0))))=select!$A$769,1,0)</f>
        <v>0</v>
      </c>
      <c r="U99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2" s="359">
        <f>IF(AND(Scharniere[[#This Row],[Scharnierart]]=4,Scharniere[[#This Row],[Gruppenschlüssel]]=select!$A$981)=TRUE,1,0)</f>
        <v>0</v>
      </c>
      <c r="W992" s="359">
        <f ca="1">IF(select!$O$1185&lt;6,1,0)</f>
        <v>1</v>
      </c>
      <c r="X992" s="359">
        <f>IF(select!$A$1012=IF(Scharniere[[#This Row],[mit Dämpfung]]=1,1,IF(Scharniere[[#This Row],[ohne Dämpfung]]=1,2,IF(Scharniere[[#This Row],[ohne Feder]]=1,3,0))),1,0)</f>
        <v>0</v>
      </c>
      <c r="Y992" s="359">
        <f>IF(Scharniere[[#This Row],[Bohrbild]]=select!$A$989,1,0)</f>
        <v>0</v>
      </c>
      <c r="Z992" s="359">
        <f>IF(IF(Scharniere[[#This Row],[Anschrauben]]=1,1,IF(Scharniere[[#This Row],[Einpressen]]=1,2,IF(Scharniere[[#This Row],[Quick]]=1,3,IF(Scharniere[[#This Row],[Werkzeuglos]]=1,4,0))))=select!$A$1003,1,0)</f>
        <v>0</v>
      </c>
      <c r="AA99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2" s="359">
        <f ca="1">IF(select!$K$980="*",Scharniere[[#This Row],[AG Ges2]],Scharniere[[#This Row],[AG Ges1]])</f>
        <v>0</v>
      </c>
      <c r="AE992" s="451">
        <f ca="1">IF(AND(Scharniere[[#This Row],[Scharnierart]]=select!$A$1485,Scharniere[[#This Row],[Gruppenschlüssel]]=select!$B$1485)=TRUE,1,0)</f>
        <v>0</v>
      </c>
      <c r="AF992" s="451">
        <f ca="1">IF(AND(Scharniere[[#This Row],[Scharnierart]]=select!$A$1486,Scharniere[[#This Row],[Gruppenschlüssel]]=select!$B$1486)=TRUE,1,0)</f>
        <v>0</v>
      </c>
      <c r="AG992" s="451">
        <f ca="1">IF(AND(Scharniere[[#This Row],[Scharnierart]]=select!$A$1487,Scharniere[[#This Row],[Gruppenschlüssel]]=select!$B$1487)=TRUE,1,0)</f>
        <v>0</v>
      </c>
      <c r="AH992" s="451">
        <f ca="1">IF(AND(Scharniere[[#This Row],[Scharnierart]]=select!$A$1488,Scharniere[[#This Row],[Gruppenschlüssel]]=select!$B$1488)=TRUE,1,0)</f>
        <v>0</v>
      </c>
      <c r="AI992" s="451">
        <f ca="1">IF(SUM(Scharniere[[#This Row],[konf Scharnier 1]:[konf Scharnier 4]])&gt;0,1,0)</f>
        <v>0</v>
      </c>
      <c r="AJ992" s="451"/>
      <c r="AK992" s="451"/>
      <c r="AL992" s="451"/>
      <c r="AM992" s="451"/>
      <c r="AN992" s="451"/>
      <c r="AO992" s="146">
        <v>2</v>
      </c>
      <c r="AP992" s="146">
        <v>10</v>
      </c>
      <c r="AQ992" s="71" t="str">
        <f ca="1">Sprache!$A$113</f>
        <v>Tiomos Scharnier TS Impresso</v>
      </c>
      <c r="AR992" t="str">
        <f ca="1">"120/-30°, HS-BB, "&amp;Sprache!$A$58&amp;" ni"</f>
        <v>120/-30°, HS-BB, aufl. ni</v>
      </c>
      <c r="AS992" t="str">
        <f ca="1">Sprache!$A$116</f>
        <v>Tiomos Impresso Scharniere</v>
      </c>
      <c r="AT992" t="s">
        <v>1264</v>
      </c>
      <c r="AU992" t="s">
        <v>10</v>
      </c>
      <c r="AV992" t="s">
        <v>1496</v>
      </c>
      <c r="AW992" s="71">
        <v>1</v>
      </c>
      <c r="AX992">
        <v>0</v>
      </c>
      <c r="AY992">
        <v>0</v>
      </c>
      <c r="AZ992" s="71">
        <v>0</v>
      </c>
      <c r="BA992">
        <v>0</v>
      </c>
      <c r="BB992">
        <v>0</v>
      </c>
      <c r="BC992">
        <v>1</v>
      </c>
      <c r="BD992" s="144" t="s">
        <v>1598</v>
      </c>
      <c r="BF992" s="10"/>
      <c r="BG992"/>
    </row>
    <row r="993" spans="1:59" ht="14.25" customHeight="1" x14ac:dyDescent="0.25">
      <c r="A993" s="37" t="str">
        <f>LEFT(Scharniere[[#This Row],[ArtikelNR]],4)</f>
        <v>F017</v>
      </c>
      <c r="B993" s="35" t="str">
        <f>MID(Scharniere[[#This Row],[ArtikelNR]],5,3)</f>
        <v>139</v>
      </c>
      <c r="C993" s="37" t="str">
        <f>RIGHT(Scharniere[[#This Row],[ArtikelNR]],3)</f>
        <v>518</v>
      </c>
      <c r="D993" s="35">
        <f>IF(AND(Scharniere[[#This Row],[Gruppenschlüssel]]=select!$A$44,Scharniere[[#This Row],[Scharnierart]]=1)=TRUE,1,0)</f>
        <v>0</v>
      </c>
      <c r="E99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3" s="35">
        <f>IF(select!$F$57=IF(Scharniere[[#This Row],[mit Dämpfung]]=1,1,IF(Scharniere[[#This Row],[ohne Dämpfung]]=1,2,IF(Scharniere[[#This Row],[ohne Feder]]=1,3,0))),1,0)</f>
        <v>0</v>
      </c>
      <c r="G993" s="35">
        <f>IF(Scharniere[[#This Row],[Bohrbild]]=select!$V$43,1,0)</f>
        <v>0</v>
      </c>
      <c r="H993" s="35">
        <f>IF(IF(Scharniere[[#This Row],[Anschrauben]]=1,1,IF(Scharniere[[#This Row],[Einpressen]]=1,2,IF(Scharniere[[#This Row],[Quick]]=1,3,IF(Scharniere[[#This Row],[Werkzeuglos]]=1,4,0))))=select!$F$48,1,0)</f>
        <v>0</v>
      </c>
      <c r="I99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3" s="149">
        <f>IF(AND(Scharniere[[#This Row],[Scharnierart]]=2,Scharniere[[#This Row],[Gruppenschlüssel]]=select!$A$318)=TRUE,1,0)</f>
        <v>0</v>
      </c>
      <c r="K993" s="221">
        <f ca="1">IF(select!$O$424&lt;6,1,0)</f>
        <v>1</v>
      </c>
      <c r="L993" s="221">
        <f>IF(select!$A$362=IF(Scharniere[[#This Row],[mit Dämpfung]]=1,1,IF(Scharniere[[#This Row],[ohne Dämpfung]]=1,2,IF(Scharniere[[#This Row],[ohne Feder]]=1,3,0))),1,0)</f>
        <v>1</v>
      </c>
      <c r="M993" s="135">
        <f>IF(Scharniere[[#This Row],[Bohrbild]]=select!$O$334,1,0)</f>
        <v>0</v>
      </c>
      <c r="N993" s="135">
        <f>IF(IF(Scharniere[[#This Row],[Anschrauben]]=1,1,IF(Scharniere[[#This Row],[Einpressen]]=1,2,IF(Scharniere[[#This Row],[Quick]]=1,3,IF(Scharniere[[#This Row],[Werkzeuglos]]=1,4,0))))=select!$E$362,1,0)</f>
        <v>0</v>
      </c>
      <c r="O99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3" s="298">
        <f>IF(AND(Scharniere[[#This Row],[Scharnierart]]=3,Scharniere[[#This Row],[Gruppenschlüssel]]=select!$A$747)=TRUE,1,0)</f>
        <v>0</v>
      </c>
      <c r="Q993" s="298">
        <f ca="1">IF(select!$O$945&lt;6,1,0)</f>
        <v>1</v>
      </c>
      <c r="R993" s="298">
        <f>IF(select!$A$778=IF(Scharniere[[#This Row],[mit Dämpfung]]=1,1,IF(Scharniere[[#This Row],[ohne Dämpfung]]=1,2,IF(Scharniere[[#This Row],[ohne Feder]]=1,3,0))),1,0)</f>
        <v>0</v>
      </c>
      <c r="S993" s="298">
        <f>IF(Scharniere[[#This Row],[Bohrbild]]=select!$A$755,1,0)</f>
        <v>0</v>
      </c>
      <c r="T993" s="298">
        <f>IF(IF(Scharniere[[#This Row],[Anschrauben]]=1,1,IF(Scharniere[[#This Row],[Einpressen]]=1,2,IF(Scharniere[[#This Row],[Quick]]=1,3,IF(Scharniere[[#This Row],[Werkzeuglos]]=1,4,0))))=select!$A$769,1,0)</f>
        <v>0</v>
      </c>
      <c r="U99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3" s="359">
        <f>IF(AND(Scharniere[[#This Row],[Scharnierart]]=4,Scharniere[[#This Row],[Gruppenschlüssel]]=select!$A$981)=TRUE,1,0)</f>
        <v>0</v>
      </c>
      <c r="W993" s="359">
        <f ca="1">IF(select!$O$1185&lt;6,1,0)</f>
        <v>1</v>
      </c>
      <c r="X993" s="359">
        <f>IF(select!$A$1012=IF(Scharniere[[#This Row],[mit Dämpfung]]=1,1,IF(Scharniere[[#This Row],[ohne Dämpfung]]=1,2,IF(Scharniere[[#This Row],[ohne Feder]]=1,3,0))),1,0)</f>
        <v>0</v>
      </c>
      <c r="Y993" s="359">
        <f>IF(Scharniere[[#This Row],[Bohrbild]]=select!$A$989,1,0)</f>
        <v>0</v>
      </c>
      <c r="Z993" s="359">
        <f>IF(IF(Scharniere[[#This Row],[Anschrauben]]=1,1,IF(Scharniere[[#This Row],[Einpressen]]=1,2,IF(Scharniere[[#This Row],[Quick]]=1,3,IF(Scharniere[[#This Row],[Werkzeuglos]]=1,4,0))))=select!$A$1003,1,0)</f>
        <v>0</v>
      </c>
      <c r="AA99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3" s="359">
        <f ca="1">IF(select!$K$980="*",Scharniere[[#This Row],[AG Ges2]],Scharniere[[#This Row],[AG Ges1]])</f>
        <v>0</v>
      </c>
      <c r="AE993" s="451">
        <f ca="1">IF(AND(Scharniere[[#This Row],[Scharnierart]]=select!$A$1485,Scharniere[[#This Row],[Gruppenschlüssel]]=select!$B$1485)=TRUE,1,0)</f>
        <v>0</v>
      </c>
      <c r="AF993" s="451">
        <f ca="1">IF(AND(Scharniere[[#This Row],[Scharnierart]]=select!$A$1486,Scharniere[[#This Row],[Gruppenschlüssel]]=select!$B$1486)=TRUE,1,0)</f>
        <v>0</v>
      </c>
      <c r="AG993" s="451">
        <f ca="1">IF(AND(Scharniere[[#This Row],[Scharnierart]]=select!$A$1487,Scharniere[[#This Row],[Gruppenschlüssel]]=select!$B$1487)=TRUE,1,0)</f>
        <v>0</v>
      </c>
      <c r="AH993" s="451">
        <f ca="1">IF(AND(Scharniere[[#This Row],[Scharnierart]]=select!$A$1488,Scharniere[[#This Row],[Gruppenschlüssel]]=select!$B$1488)=TRUE,1,0)</f>
        <v>0</v>
      </c>
      <c r="AI993" s="451">
        <f ca="1">IF(SUM(Scharniere[[#This Row],[konf Scharnier 1]:[konf Scharnier 4]])&gt;0,1,0)</f>
        <v>0</v>
      </c>
      <c r="AJ993" s="451"/>
      <c r="AK993" s="451"/>
      <c r="AL993" s="451"/>
      <c r="AM993" s="451"/>
      <c r="AN993" s="451"/>
      <c r="AO993" s="146">
        <v>2</v>
      </c>
      <c r="AP993" s="146">
        <v>10</v>
      </c>
      <c r="AQ993" s="71" t="str">
        <f ca="1">Sprache!$A$113</f>
        <v>Tiomos Scharnier TS Impresso</v>
      </c>
      <c r="AR993" t="str">
        <f ca="1">"120/-30°, HS-BB, "&amp;Sprache!$A$58&amp;" ni"</f>
        <v>120/-30°, HS-BB, aufl. ni</v>
      </c>
      <c r="AS993" t="str">
        <f ca="1">Sprache!$A$116</f>
        <v>Tiomos Impresso Scharniere</v>
      </c>
      <c r="AT993" t="s">
        <v>1264</v>
      </c>
      <c r="AU993" t="s">
        <v>11</v>
      </c>
      <c r="AV993" t="s">
        <v>1496</v>
      </c>
      <c r="AW993" s="71">
        <v>1</v>
      </c>
      <c r="AX993">
        <v>0</v>
      </c>
      <c r="AY993">
        <v>0</v>
      </c>
      <c r="AZ993" s="71">
        <v>0</v>
      </c>
      <c r="BA993">
        <v>0</v>
      </c>
      <c r="BB993">
        <v>0</v>
      </c>
      <c r="BC993">
        <v>1</v>
      </c>
      <c r="BD993" s="144" t="s">
        <v>1598</v>
      </c>
      <c r="BF993" s="10"/>
      <c r="BG993"/>
    </row>
    <row r="994" spans="1:59" ht="14.25" customHeight="1" x14ac:dyDescent="0.25">
      <c r="A994" s="37" t="str">
        <f>LEFT(Scharniere[[#This Row],[ArtikelNR]],4)</f>
        <v>F034</v>
      </c>
      <c r="B994" s="35" t="str">
        <f>MID(Scharniere[[#This Row],[ArtikelNR]],5,3)</f>
        <v>139</v>
      </c>
      <c r="C994" s="37" t="str">
        <f>RIGHT(Scharniere[[#This Row],[ArtikelNR]],3)</f>
        <v>489</v>
      </c>
      <c r="D994" s="35">
        <f>IF(AND(Scharniere[[#This Row],[Gruppenschlüssel]]=select!$A$44,Scharniere[[#This Row],[Scharnierart]]=1)=TRUE,1,0)</f>
        <v>0</v>
      </c>
      <c r="E99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4" s="35">
        <f>IF(select!$F$57=IF(Scharniere[[#This Row],[mit Dämpfung]]=1,1,IF(Scharniere[[#This Row],[ohne Dämpfung]]=1,2,IF(Scharniere[[#This Row],[ohne Feder]]=1,3,0))),1,0)</f>
        <v>0</v>
      </c>
      <c r="G994" s="35">
        <f>IF(Scharniere[[#This Row],[Bohrbild]]=select!$V$43,1,0)</f>
        <v>0</v>
      </c>
      <c r="H994" s="35">
        <f>IF(IF(Scharniere[[#This Row],[Anschrauben]]=1,1,IF(Scharniere[[#This Row],[Einpressen]]=1,2,IF(Scharniere[[#This Row],[Quick]]=1,3,IF(Scharniere[[#This Row],[Werkzeuglos]]=1,4,0))))=select!$F$48,1,0)</f>
        <v>0</v>
      </c>
      <c r="I99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4" s="149">
        <f>IF(AND(Scharniere[[#This Row],[Scharnierart]]=2,Scharniere[[#This Row],[Gruppenschlüssel]]=select!$A$318)=TRUE,1,0)</f>
        <v>0</v>
      </c>
      <c r="K994" s="221">
        <f ca="1">IF(select!$O$424&lt;6,1,0)</f>
        <v>1</v>
      </c>
      <c r="L994" s="221">
        <f>IF(select!$A$362=IF(Scharniere[[#This Row],[mit Dämpfung]]=1,1,IF(Scharniere[[#This Row],[ohne Dämpfung]]=1,2,IF(Scharniere[[#This Row],[ohne Feder]]=1,3,0))),1,0)</f>
        <v>0</v>
      </c>
      <c r="M994" s="135">
        <f>IF(Scharniere[[#This Row],[Bohrbild]]=select!$O$334,1,0)</f>
        <v>0</v>
      </c>
      <c r="N994" s="135">
        <f>IF(IF(Scharniere[[#This Row],[Anschrauben]]=1,1,IF(Scharniere[[#This Row],[Einpressen]]=1,2,IF(Scharniere[[#This Row],[Quick]]=1,3,IF(Scharniere[[#This Row],[Werkzeuglos]]=1,4,0))))=select!$E$362,1,0)</f>
        <v>0</v>
      </c>
      <c r="O99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4" s="298">
        <f>IF(AND(Scharniere[[#This Row],[Scharnierart]]=3,Scharniere[[#This Row],[Gruppenschlüssel]]=select!$A$747)=TRUE,1,0)</f>
        <v>0</v>
      </c>
      <c r="Q994" s="298">
        <f ca="1">IF(select!$O$945&lt;6,1,0)</f>
        <v>1</v>
      </c>
      <c r="R994" s="298">
        <f>IF(select!$A$778=IF(Scharniere[[#This Row],[mit Dämpfung]]=1,1,IF(Scharniere[[#This Row],[ohne Dämpfung]]=1,2,IF(Scharniere[[#This Row],[ohne Feder]]=1,3,0))),1,0)</f>
        <v>1</v>
      </c>
      <c r="S994" s="298">
        <f>IF(Scharniere[[#This Row],[Bohrbild]]=select!$A$755,1,0)</f>
        <v>0</v>
      </c>
      <c r="T994" s="298">
        <f>IF(IF(Scharniere[[#This Row],[Anschrauben]]=1,1,IF(Scharniere[[#This Row],[Einpressen]]=1,2,IF(Scharniere[[#This Row],[Quick]]=1,3,IF(Scharniere[[#This Row],[Werkzeuglos]]=1,4,0))))=select!$A$769,1,0)</f>
        <v>0</v>
      </c>
      <c r="U99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4" s="359">
        <f>IF(AND(Scharniere[[#This Row],[Scharnierart]]=4,Scharniere[[#This Row],[Gruppenschlüssel]]=select!$A$981)=TRUE,1,0)</f>
        <v>0</v>
      </c>
      <c r="W994" s="359">
        <f ca="1">IF(select!$O$1185&lt;6,1,0)</f>
        <v>1</v>
      </c>
      <c r="X994" s="359">
        <f>IF(select!$A$1012=IF(Scharniere[[#This Row],[mit Dämpfung]]=1,1,IF(Scharniere[[#This Row],[ohne Dämpfung]]=1,2,IF(Scharniere[[#This Row],[ohne Feder]]=1,3,0))),1,0)</f>
        <v>1</v>
      </c>
      <c r="Y994" s="359">
        <f>IF(Scharniere[[#This Row],[Bohrbild]]=select!$A$989,1,0)</f>
        <v>0</v>
      </c>
      <c r="Z994" s="359">
        <f>IF(IF(Scharniere[[#This Row],[Anschrauben]]=1,1,IF(Scharniere[[#This Row],[Einpressen]]=1,2,IF(Scharniere[[#This Row],[Quick]]=1,3,IF(Scharniere[[#This Row],[Werkzeuglos]]=1,4,0))))=select!$A$1003,1,0)</f>
        <v>0</v>
      </c>
      <c r="AA99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4" s="359">
        <f ca="1">IF(select!$K$980="*",Scharniere[[#This Row],[AG Ges2]],Scharniere[[#This Row],[AG Ges1]])</f>
        <v>0</v>
      </c>
      <c r="AE994" s="451">
        <f ca="1">IF(AND(Scharniere[[#This Row],[Scharnierart]]=select!$A$1485,Scharniere[[#This Row],[Gruppenschlüssel]]=select!$B$1485)=TRUE,1,0)</f>
        <v>0</v>
      </c>
      <c r="AF994" s="451">
        <f ca="1">IF(AND(Scharniere[[#This Row],[Scharnierart]]=select!$A$1486,Scharniere[[#This Row],[Gruppenschlüssel]]=select!$B$1486)=TRUE,1,0)</f>
        <v>0</v>
      </c>
      <c r="AG994" s="451">
        <f ca="1">IF(AND(Scharniere[[#This Row],[Scharnierart]]=select!$A$1487,Scharniere[[#This Row],[Gruppenschlüssel]]=select!$B$1487)=TRUE,1,0)</f>
        <v>0</v>
      </c>
      <c r="AH994" s="451">
        <f ca="1">IF(AND(Scharniere[[#This Row],[Scharnierart]]=select!$A$1488,Scharniere[[#This Row],[Gruppenschlüssel]]=select!$B$1488)=TRUE,1,0)</f>
        <v>0</v>
      </c>
      <c r="AI994" s="451">
        <f ca="1">IF(SUM(Scharniere[[#This Row],[konf Scharnier 1]:[konf Scharnier 4]])&gt;0,1,0)</f>
        <v>0</v>
      </c>
      <c r="AJ994" s="451"/>
      <c r="AK994" s="451"/>
      <c r="AL994" s="451"/>
      <c r="AM994" s="451"/>
      <c r="AN994" s="451"/>
      <c r="AO994" s="146">
        <v>2</v>
      </c>
      <c r="AP994" s="146">
        <v>10</v>
      </c>
      <c r="AQ994" s="71" t="str">
        <f ca="1">Sprache!$A$119</f>
        <v>Tiomos Scharnier T Impresso</v>
      </c>
      <c r="AR994" t="str">
        <f ca="1">"120/-30°, HS-BB, "&amp;Sprache!$A$58&amp;" ni"</f>
        <v>120/-30°, HS-BB, aufl. ni</v>
      </c>
      <c r="AS994" t="str">
        <f ca="1">Sprache!$A$103</f>
        <v>Tiomos Click-On Scharniere</v>
      </c>
      <c r="AT994" t="s">
        <v>1264</v>
      </c>
      <c r="AU994" t="s">
        <v>10</v>
      </c>
      <c r="AV994" t="s">
        <v>1496</v>
      </c>
      <c r="AW994" s="71">
        <v>0</v>
      </c>
      <c r="AX994">
        <v>1</v>
      </c>
      <c r="AY994">
        <v>0</v>
      </c>
      <c r="AZ994" s="71">
        <v>0</v>
      </c>
      <c r="BA994">
        <v>0</v>
      </c>
      <c r="BB994">
        <v>0</v>
      </c>
      <c r="BC994">
        <v>1</v>
      </c>
      <c r="BD994" s="144" t="s">
        <v>1776</v>
      </c>
      <c r="BF994" s="10"/>
      <c r="BG994"/>
    </row>
    <row r="995" spans="1:59" ht="14.25" customHeight="1" x14ac:dyDescent="0.25">
      <c r="A995" s="37" t="str">
        <f>LEFT(Scharniere[[#This Row],[ArtikelNR]],4)</f>
        <v>F034</v>
      </c>
      <c r="B995" s="35" t="str">
        <f>MID(Scharniere[[#This Row],[ArtikelNR]],5,3)</f>
        <v>139</v>
      </c>
      <c r="C995" s="37" t="str">
        <f>RIGHT(Scharniere[[#This Row],[ArtikelNR]],3)</f>
        <v>489</v>
      </c>
      <c r="D995" s="35">
        <f>IF(AND(Scharniere[[#This Row],[Gruppenschlüssel]]=select!$A$44,Scharniere[[#This Row],[Scharnierart]]=1)=TRUE,1,0)</f>
        <v>0</v>
      </c>
      <c r="E99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5" s="35">
        <f>IF(select!$F$57=IF(Scharniere[[#This Row],[mit Dämpfung]]=1,1,IF(Scharniere[[#This Row],[ohne Dämpfung]]=1,2,IF(Scharniere[[#This Row],[ohne Feder]]=1,3,0))),1,0)</f>
        <v>0</v>
      </c>
      <c r="G995" s="35">
        <f>IF(Scharniere[[#This Row],[Bohrbild]]=select!$V$43,1,0)</f>
        <v>0</v>
      </c>
      <c r="H995" s="35">
        <f>IF(IF(Scharniere[[#This Row],[Anschrauben]]=1,1,IF(Scharniere[[#This Row],[Einpressen]]=1,2,IF(Scharniere[[#This Row],[Quick]]=1,3,IF(Scharniere[[#This Row],[Werkzeuglos]]=1,4,0))))=select!$F$48,1,0)</f>
        <v>0</v>
      </c>
      <c r="I99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5" s="149">
        <f>IF(AND(Scharniere[[#This Row],[Scharnierart]]=2,Scharniere[[#This Row],[Gruppenschlüssel]]=select!$A$318)=TRUE,1,0)</f>
        <v>0</v>
      </c>
      <c r="K995" s="221">
        <f ca="1">IF(select!$O$424&lt;6,1,0)</f>
        <v>1</v>
      </c>
      <c r="L995" s="221">
        <f>IF(select!$A$362=IF(Scharniere[[#This Row],[mit Dämpfung]]=1,1,IF(Scharniere[[#This Row],[ohne Dämpfung]]=1,2,IF(Scharniere[[#This Row],[ohne Feder]]=1,3,0))),1,0)</f>
        <v>0</v>
      </c>
      <c r="M995" s="135">
        <f>IF(Scharniere[[#This Row],[Bohrbild]]=select!$O$334,1,0)</f>
        <v>0</v>
      </c>
      <c r="N995" s="135">
        <f>IF(IF(Scharniere[[#This Row],[Anschrauben]]=1,1,IF(Scharniere[[#This Row],[Einpressen]]=1,2,IF(Scharniere[[#This Row],[Quick]]=1,3,IF(Scharniere[[#This Row],[Werkzeuglos]]=1,4,0))))=select!$E$362,1,0)</f>
        <v>0</v>
      </c>
      <c r="O99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5" s="298">
        <f>IF(AND(Scharniere[[#This Row],[Scharnierart]]=3,Scharniere[[#This Row],[Gruppenschlüssel]]=select!$A$747)=TRUE,1,0)</f>
        <v>0</v>
      </c>
      <c r="Q995" s="298">
        <f ca="1">IF(select!$O$945&lt;6,1,0)</f>
        <v>1</v>
      </c>
      <c r="R995" s="298">
        <f>IF(select!$A$778=IF(Scharniere[[#This Row],[mit Dämpfung]]=1,1,IF(Scharniere[[#This Row],[ohne Dämpfung]]=1,2,IF(Scharniere[[#This Row],[ohne Feder]]=1,3,0))),1,0)</f>
        <v>1</v>
      </c>
      <c r="S995" s="298">
        <f>IF(Scharniere[[#This Row],[Bohrbild]]=select!$A$755,1,0)</f>
        <v>0</v>
      </c>
      <c r="T995" s="298">
        <f>IF(IF(Scharniere[[#This Row],[Anschrauben]]=1,1,IF(Scharniere[[#This Row],[Einpressen]]=1,2,IF(Scharniere[[#This Row],[Quick]]=1,3,IF(Scharniere[[#This Row],[Werkzeuglos]]=1,4,0))))=select!$A$769,1,0)</f>
        <v>0</v>
      </c>
      <c r="U99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5" s="359">
        <f>IF(AND(Scharniere[[#This Row],[Scharnierart]]=4,Scharniere[[#This Row],[Gruppenschlüssel]]=select!$A$981)=TRUE,1,0)</f>
        <v>0</v>
      </c>
      <c r="W995" s="359">
        <f ca="1">IF(select!$O$1185&lt;6,1,0)</f>
        <v>1</v>
      </c>
      <c r="X995" s="359">
        <f>IF(select!$A$1012=IF(Scharniere[[#This Row],[mit Dämpfung]]=1,1,IF(Scharniere[[#This Row],[ohne Dämpfung]]=1,2,IF(Scharniere[[#This Row],[ohne Feder]]=1,3,0))),1,0)</f>
        <v>1</v>
      </c>
      <c r="Y995" s="359">
        <f>IF(Scharniere[[#This Row],[Bohrbild]]=select!$A$989,1,0)</f>
        <v>0</v>
      </c>
      <c r="Z995" s="359">
        <f>IF(IF(Scharniere[[#This Row],[Anschrauben]]=1,1,IF(Scharniere[[#This Row],[Einpressen]]=1,2,IF(Scharniere[[#This Row],[Quick]]=1,3,IF(Scharniere[[#This Row],[Werkzeuglos]]=1,4,0))))=select!$A$1003,1,0)</f>
        <v>0</v>
      </c>
      <c r="AA99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5" s="359">
        <f ca="1">IF(select!$K$980="*",Scharniere[[#This Row],[AG Ges2]],Scharniere[[#This Row],[AG Ges1]])</f>
        <v>0</v>
      </c>
      <c r="AE995" s="451">
        <f ca="1">IF(AND(Scharniere[[#This Row],[Scharnierart]]=select!$A$1485,Scharniere[[#This Row],[Gruppenschlüssel]]=select!$B$1485)=TRUE,1,0)</f>
        <v>0</v>
      </c>
      <c r="AF995" s="451">
        <f ca="1">IF(AND(Scharniere[[#This Row],[Scharnierart]]=select!$A$1486,Scharniere[[#This Row],[Gruppenschlüssel]]=select!$B$1486)=TRUE,1,0)</f>
        <v>0</v>
      </c>
      <c r="AG995" s="451">
        <f ca="1">IF(AND(Scharniere[[#This Row],[Scharnierart]]=select!$A$1487,Scharniere[[#This Row],[Gruppenschlüssel]]=select!$B$1487)=TRUE,1,0)</f>
        <v>0</v>
      </c>
      <c r="AH995" s="451">
        <f ca="1">IF(AND(Scharniere[[#This Row],[Scharnierart]]=select!$A$1488,Scharniere[[#This Row],[Gruppenschlüssel]]=select!$B$1488)=TRUE,1,0)</f>
        <v>0</v>
      </c>
      <c r="AI995" s="451">
        <f ca="1">IF(SUM(Scharniere[[#This Row],[konf Scharnier 1]:[konf Scharnier 4]])&gt;0,1,0)</f>
        <v>0</v>
      </c>
      <c r="AJ995" s="451"/>
      <c r="AK995" s="451"/>
      <c r="AL995" s="451"/>
      <c r="AM995" s="451"/>
      <c r="AN995" s="451"/>
      <c r="AO995" s="146">
        <v>2</v>
      </c>
      <c r="AP995" s="146">
        <v>10</v>
      </c>
      <c r="AQ995" s="71" t="str">
        <f ca="1">Sprache!$A$119</f>
        <v>Tiomos Scharnier T Impresso</v>
      </c>
      <c r="AR995" t="str">
        <f ca="1">"120/-30°, HS-BB, "&amp;Sprache!$A$58&amp;" ni"</f>
        <v>120/-30°, HS-BB, aufl. ni</v>
      </c>
      <c r="AS995" t="str">
        <f ca="1">Sprache!$A$103</f>
        <v>Tiomos Click-On Scharniere</v>
      </c>
      <c r="AT995" t="s">
        <v>1264</v>
      </c>
      <c r="AU995" t="s">
        <v>11</v>
      </c>
      <c r="AV995" t="s">
        <v>1496</v>
      </c>
      <c r="AW995" s="71">
        <v>0</v>
      </c>
      <c r="AX995">
        <v>1</v>
      </c>
      <c r="AY995">
        <v>0</v>
      </c>
      <c r="AZ995" s="71">
        <v>0</v>
      </c>
      <c r="BA995">
        <v>0</v>
      </c>
      <c r="BB995">
        <v>0</v>
      </c>
      <c r="BC995">
        <v>1</v>
      </c>
      <c r="BD995" s="144" t="s">
        <v>1776</v>
      </c>
      <c r="BF995" s="10"/>
      <c r="BG995"/>
    </row>
    <row r="996" spans="1:59" ht="14.25" customHeight="1" x14ac:dyDescent="0.25">
      <c r="A996" s="37" t="str">
        <f>LEFT(Scharniere[[#This Row],[ArtikelNR]],4)</f>
        <v>F028</v>
      </c>
      <c r="B996" s="35" t="str">
        <f>MID(Scharniere[[#This Row],[ArtikelNR]],5,3)</f>
        <v>138</v>
      </c>
      <c r="C996" s="37" t="str">
        <f>RIGHT(Scharniere[[#This Row],[ArtikelNR]],3)</f>
        <v>130</v>
      </c>
      <c r="D996" s="35">
        <f>IF(AND(Scharniere[[#This Row],[Gruppenschlüssel]]=select!$A$44,Scharniere[[#This Row],[Scharnierart]]=1)=TRUE,1,0)</f>
        <v>0</v>
      </c>
      <c r="E99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6" s="35">
        <f>IF(select!$F$57=IF(Scharniere[[#This Row],[mit Dämpfung]]=1,1,IF(Scharniere[[#This Row],[ohne Dämpfung]]=1,2,IF(Scharniere[[#This Row],[ohne Feder]]=1,3,0))),1,0)</f>
        <v>0</v>
      </c>
      <c r="G996" s="35">
        <f>IF(Scharniere[[#This Row],[Bohrbild]]=select!$V$43,1,0)</f>
        <v>1</v>
      </c>
      <c r="H996" s="35">
        <f>IF(IF(Scharniere[[#This Row],[Anschrauben]]=1,1,IF(Scharniere[[#This Row],[Einpressen]]=1,2,IF(Scharniere[[#This Row],[Quick]]=1,3,IF(Scharniere[[#This Row],[Werkzeuglos]]=1,4,0))))=select!$F$48,1,0)</f>
        <v>0</v>
      </c>
      <c r="I99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6" s="149">
        <f>IF(AND(Scharniere[[#This Row],[Scharnierart]]=2,Scharniere[[#This Row],[Gruppenschlüssel]]=select!$A$318)=TRUE,1,0)</f>
        <v>0</v>
      </c>
      <c r="K996" s="221">
        <f ca="1">IF(select!$O$424&lt;6,1,0)</f>
        <v>1</v>
      </c>
      <c r="L996" s="221">
        <f>IF(select!$A$362=IF(Scharniere[[#This Row],[mit Dämpfung]]=1,1,IF(Scharniere[[#This Row],[ohne Dämpfung]]=1,2,IF(Scharniere[[#This Row],[ohne Feder]]=1,3,0))),1,0)</f>
        <v>1</v>
      </c>
      <c r="M996" s="135">
        <f>IF(Scharniere[[#This Row],[Bohrbild]]=select!$O$334,1,0)</f>
        <v>1</v>
      </c>
      <c r="N996" s="135">
        <f>IF(IF(Scharniere[[#This Row],[Anschrauben]]=1,1,IF(Scharniere[[#This Row],[Einpressen]]=1,2,IF(Scharniere[[#This Row],[Quick]]=1,3,IF(Scharniere[[#This Row],[Werkzeuglos]]=1,4,0))))=select!$E$362,1,0)</f>
        <v>1</v>
      </c>
      <c r="O99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6" s="298">
        <f>IF(AND(Scharniere[[#This Row],[Scharnierart]]=3,Scharniere[[#This Row],[Gruppenschlüssel]]=select!$A$747)=TRUE,1,0)</f>
        <v>0</v>
      </c>
      <c r="Q996" s="298">
        <f ca="1">IF(select!$O$945&lt;6,1,0)</f>
        <v>1</v>
      </c>
      <c r="R996" s="298">
        <f>IF(select!$A$778=IF(Scharniere[[#This Row],[mit Dämpfung]]=1,1,IF(Scharniere[[#This Row],[ohne Dämpfung]]=1,2,IF(Scharniere[[#This Row],[ohne Feder]]=1,3,0))),1,0)</f>
        <v>0</v>
      </c>
      <c r="S996" s="298">
        <f>IF(Scharniere[[#This Row],[Bohrbild]]=select!$A$755,1,0)</f>
        <v>0</v>
      </c>
      <c r="T996" s="298">
        <f>IF(IF(Scharniere[[#This Row],[Anschrauben]]=1,1,IF(Scharniere[[#This Row],[Einpressen]]=1,2,IF(Scharniere[[#This Row],[Quick]]=1,3,IF(Scharniere[[#This Row],[Werkzeuglos]]=1,4,0))))=select!$A$769,1,0)</f>
        <v>1</v>
      </c>
      <c r="U99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6" s="359">
        <f>IF(AND(Scharniere[[#This Row],[Scharnierart]]=4,Scharniere[[#This Row],[Gruppenschlüssel]]=select!$A$981)=TRUE,1,0)</f>
        <v>0</v>
      </c>
      <c r="W996" s="359">
        <f ca="1">IF(select!$O$1185&lt;6,1,0)</f>
        <v>1</v>
      </c>
      <c r="X996" s="359">
        <f>IF(select!$A$1012=IF(Scharniere[[#This Row],[mit Dämpfung]]=1,1,IF(Scharniere[[#This Row],[ohne Dämpfung]]=1,2,IF(Scharniere[[#This Row],[ohne Feder]]=1,3,0))),1,0)</f>
        <v>0</v>
      </c>
      <c r="Y996" s="359">
        <f>IF(Scharniere[[#This Row],[Bohrbild]]=select!$A$989,1,0)</f>
        <v>0</v>
      </c>
      <c r="Z996" s="359">
        <f>IF(IF(Scharniere[[#This Row],[Anschrauben]]=1,1,IF(Scharniere[[#This Row],[Einpressen]]=1,2,IF(Scharniere[[#This Row],[Quick]]=1,3,IF(Scharniere[[#This Row],[Werkzeuglos]]=1,4,0))))=select!$A$1003,1,0)</f>
        <v>1</v>
      </c>
      <c r="AA99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6" s="359">
        <f ca="1">IF(select!$K$980="*",Scharniere[[#This Row],[AG Ges2]],Scharniere[[#This Row],[AG Ges1]])</f>
        <v>0</v>
      </c>
      <c r="AE996" s="451">
        <f ca="1">IF(AND(Scharniere[[#This Row],[Scharnierart]]=select!$A$1485,Scharniere[[#This Row],[Gruppenschlüssel]]=select!$B$1485)=TRUE,1,0)</f>
        <v>0</v>
      </c>
      <c r="AF996" s="451">
        <f ca="1">IF(AND(Scharniere[[#This Row],[Scharnierart]]=select!$A$1486,Scharniere[[#This Row],[Gruppenschlüssel]]=select!$B$1486)=TRUE,1,0)</f>
        <v>0</v>
      </c>
      <c r="AG996" s="451">
        <f ca="1">IF(AND(Scharniere[[#This Row],[Scharnierart]]=select!$A$1487,Scharniere[[#This Row],[Gruppenschlüssel]]=select!$B$1487)=TRUE,1,0)</f>
        <v>0</v>
      </c>
      <c r="AH996" s="451">
        <f ca="1">IF(AND(Scharniere[[#This Row],[Scharnierart]]=select!$A$1488,Scharniere[[#This Row],[Gruppenschlüssel]]=select!$B$1488)=TRUE,1,0)</f>
        <v>0</v>
      </c>
      <c r="AI996" s="451">
        <f ca="1">IF(SUM(Scharniere[[#This Row],[konf Scharnier 1]:[konf Scharnier 4]])&gt;0,1,0)</f>
        <v>0</v>
      </c>
      <c r="AJ996" s="451"/>
      <c r="AK996" s="451"/>
      <c r="AL996" s="451"/>
      <c r="AM996" s="451"/>
      <c r="AN996" s="451"/>
      <c r="AO996" s="146">
        <v>2</v>
      </c>
      <c r="AP996" s="146">
        <v>10</v>
      </c>
      <c r="AQ996" s="71" t="str">
        <f ca="1">Sprache!$A$112</f>
        <v>Tiomos Scharnier TS Click-on</v>
      </c>
      <c r="AR996" t="str">
        <f ca="1">"120/-30°, M-BB, "&amp;Sprache!$A$58&amp;" ni"</f>
        <v>120/-30°, M-BB, aufl. ni</v>
      </c>
      <c r="AS996" t="str">
        <f ca="1">Sprache!$A$103</f>
        <v>Tiomos Click-On Scharniere</v>
      </c>
      <c r="AT996" t="s">
        <v>1264</v>
      </c>
      <c r="AU996" t="s">
        <v>8</v>
      </c>
      <c r="AV996" t="s">
        <v>1496</v>
      </c>
      <c r="AW996" s="71">
        <v>1</v>
      </c>
      <c r="AX996">
        <v>0</v>
      </c>
      <c r="AY996">
        <v>0</v>
      </c>
      <c r="AZ996" s="71">
        <v>1</v>
      </c>
      <c r="BA996">
        <v>0</v>
      </c>
      <c r="BB996">
        <v>0</v>
      </c>
      <c r="BC996">
        <v>0</v>
      </c>
      <c r="BD996" s="144" t="s">
        <v>1524</v>
      </c>
      <c r="BF996" s="10"/>
      <c r="BG996"/>
    </row>
    <row r="997" spans="1:59" ht="14.25" customHeight="1" x14ac:dyDescent="0.25">
      <c r="A997" s="37" t="str">
        <f>LEFT(Scharniere[[#This Row],[ArtikelNR]],4)</f>
        <v>F045</v>
      </c>
      <c r="B997" s="35" t="str">
        <f>MID(Scharniere[[#This Row],[ArtikelNR]],5,3)</f>
        <v>138</v>
      </c>
      <c r="C997" s="37" t="str">
        <f>RIGHT(Scharniere[[#This Row],[ArtikelNR]],3)</f>
        <v>037</v>
      </c>
      <c r="D997" s="35">
        <f>IF(AND(Scharniere[[#This Row],[Gruppenschlüssel]]=select!$A$44,Scharniere[[#This Row],[Scharnierart]]=1)=TRUE,1,0)</f>
        <v>0</v>
      </c>
      <c r="E99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7" s="35">
        <f>IF(select!$F$57=IF(Scharniere[[#This Row],[mit Dämpfung]]=1,1,IF(Scharniere[[#This Row],[ohne Dämpfung]]=1,2,IF(Scharniere[[#This Row],[ohne Feder]]=1,3,0))),1,0)</f>
        <v>0</v>
      </c>
      <c r="G997" s="35">
        <f>IF(Scharniere[[#This Row],[Bohrbild]]=select!$V$43,1,0)</f>
        <v>1</v>
      </c>
      <c r="H997" s="35">
        <f>IF(IF(Scharniere[[#This Row],[Anschrauben]]=1,1,IF(Scharniere[[#This Row],[Einpressen]]=1,2,IF(Scharniere[[#This Row],[Quick]]=1,3,IF(Scharniere[[#This Row],[Werkzeuglos]]=1,4,0))))=select!$F$48,1,0)</f>
        <v>0</v>
      </c>
      <c r="I99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7" s="149">
        <f>IF(AND(Scharniere[[#This Row],[Scharnierart]]=2,Scharniere[[#This Row],[Gruppenschlüssel]]=select!$A$318)=TRUE,1,0)</f>
        <v>0</v>
      </c>
      <c r="K997" s="221">
        <f ca="1">IF(select!$O$424&lt;6,1,0)</f>
        <v>1</v>
      </c>
      <c r="L997" s="221">
        <f>IF(select!$A$362=IF(Scharniere[[#This Row],[mit Dämpfung]]=1,1,IF(Scharniere[[#This Row],[ohne Dämpfung]]=1,2,IF(Scharniere[[#This Row],[ohne Feder]]=1,3,0))),1,0)</f>
        <v>0</v>
      </c>
      <c r="M997" s="135">
        <f>IF(Scharniere[[#This Row],[Bohrbild]]=select!$O$334,1,0)</f>
        <v>1</v>
      </c>
      <c r="N997" s="135">
        <f>IF(IF(Scharniere[[#This Row],[Anschrauben]]=1,1,IF(Scharniere[[#This Row],[Einpressen]]=1,2,IF(Scharniere[[#This Row],[Quick]]=1,3,IF(Scharniere[[#This Row],[Werkzeuglos]]=1,4,0))))=select!$E$362,1,0)</f>
        <v>1</v>
      </c>
      <c r="O99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7" s="298">
        <f>IF(AND(Scharniere[[#This Row],[Scharnierart]]=3,Scharniere[[#This Row],[Gruppenschlüssel]]=select!$A$747)=TRUE,1,0)</f>
        <v>0</v>
      </c>
      <c r="Q997" s="298">
        <f ca="1">IF(select!$O$945&lt;6,1,0)</f>
        <v>1</v>
      </c>
      <c r="R997" s="298">
        <f>IF(select!$A$778=IF(Scharniere[[#This Row],[mit Dämpfung]]=1,1,IF(Scharniere[[#This Row],[ohne Dämpfung]]=1,2,IF(Scharniere[[#This Row],[ohne Feder]]=1,3,0))),1,0)</f>
        <v>1</v>
      </c>
      <c r="S997" s="298">
        <f>IF(Scharniere[[#This Row],[Bohrbild]]=select!$A$755,1,0)</f>
        <v>0</v>
      </c>
      <c r="T997" s="298">
        <f>IF(IF(Scharniere[[#This Row],[Anschrauben]]=1,1,IF(Scharniere[[#This Row],[Einpressen]]=1,2,IF(Scharniere[[#This Row],[Quick]]=1,3,IF(Scharniere[[#This Row],[Werkzeuglos]]=1,4,0))))=select!$A$769,1,0)</f>
        <v>1</v>
      </c>
      <c r="U99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7" s="359">
        <f>IF(AND(Scharniere[[#This Row],[Scharnierart]]=4,Scharniere[[#This Row],[Gruppenschlüssel]]=select!$A$981)=TRUE,1,0)</f>
        <v>0</v>
      </c>
      <c r="W997" s="359">
        <f ca="1">IF(select!$O$1185&lt;6,1,0)</f>
        <v>1</v>
      </c>
      <c r="X997" s="359">
        <f>IF(select!$A$1012=IF(Scharniere[[#This Row],[mit Dämpfung]]=1,1,IF(Scharniere[[#This Row],[ohne Dämpfung]]=1,2,IF(Scharniere[[#This Row],[ohne Feder]]=1,3,0))),1,0)</f>
        <v>1</v>
      </c>
      <c r="Y997" s="359">
        <f>IF(Scharniere[[#This Row],[Bohrbild]]=select!$A$989,1,0)</f>
        <v>0</v>
      </c>
      <c r="Z997" s="359">
        <f>IF(IF(Scharniere[[#This Row],[Anschrauben]]=1,1,IF(Scharniere[[#This Row],[Einpressen]]=1,2,IF(Scharniere[[#This Row],[Quick]]=1,3,IF(Scharniere[[#This Row],[Werkzeuglos]]=1,4,0))))=select!$A$1003,1,0)</f>
        <v>1</v>
      </c>
      <c r="AA99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7" s="359">
        <f ca="1">IF(select!$K$980="*",Scharniere[[#This Row],[AG Ges2]],Scharniere[[#This Row],[AG Ges1]])</f>
        <v>0</v>
      </c>
      <c r="AE997" s="451">
        <f ca="1">IF(AND(Scharniere[[#This Row],[Scharnierart]]=select!$A$1485,Scharniere[[#This Row],[Gruppenschlüssel]]=select!$B$1485)=TRUE,1,0)</f>
        <v>0</v>
      </c>
      <c r="AF997" s="451">
        <f ca="1">IF(AND(Scharniere[[#This Row],[Scharnierart]]=select!$A$1486,Scharniere[[#This Row],[Gruppenschlüssel]]=select!$B$1486)=TRUE,1,0)</f>
        <v>0</v>
      </c>
      <c r="AG997" s="451">
        <f ca="1">IF(AND(Scharniere[[#This Row],[Scharnierart]]=select!$A$1487,Scharniere[[#This Row],[Gruppenschlüssel]]=select!$B$1487)=TRUE,1,0)</f>
        <v>0</v>
      </c>
      <c r="AH997" s="451">
        <f ca="1">IF(AND(Scharniere[[#This Row],[Scharnierart]]=select!$A$1488,Scharniere[[#This Row],[Gruppenschlüssel]]=select!$B$1488)=TRUE,1,0)</f>
        <v>0</v>
      </c>
      <c r="AI997" s="451">
        <f ca="1">IF(SUM(Scharniere[[#This Row],[konf Scharnier 1]:[konf Scharnier 4]])&gt;0,1,0)</f>
        <v>0</v>
      </c>
      <c r="AJ997" s="451"/>
      <c r="AK997" s="451"/>
      <c r="AL997" s="451"/>
      <c r="AM997" s="451"/>
      <c r="AN997" s="451"/>
      <c r="AO997" s="146">
        <v>2</v>
      </c>
      <c r="AP997" s="146">
        <v>10</v>
      </c>
      <c r="AQ997" s="71" t="str">
        <f ca="1">Sprache!$A$118</f>
        <v>Tiomos Scharnier T Click-on</v>
      </c>
      <c r="AR997" t="str">
        <f ca="1">"120/-30°, M-BB, "&amp;Sprache!$A$58&amp;" ni"</f>
        <v>120/-30°, M-BB, aufl. ni</v>
      </c>
      <c r="AS997" t="str">
        <f ca="1">Sprache!$A$103</f>
        <v>Tiomos Click-On Scharniere</v>
      </c>
      <c r="AT997" t="s">
        <v>1264</v>
      </c>
      <c r="AU997" t="s">
        <v>8</v>
      </c>
      <c r="AV997" t="s">
        <v>1496</v>
      </c>
      <c r="AW997" s="71">
        <v>0</v>
      </c>
      <c r="AX997">
        <v>1</v>
      </c>
      <c r="AY997">
        <v>0</v>
      </c>
      <c r="AZ997" s="71">
        <v>1</v>
      </c>
      <c r="BA997">
        <v>0</v>
      </c>
      <c r="BB997">
        <v>0</v>
      </c>
      <c r="BC997">
        <v>0</v>
      </c>
      <c r="BD997" s="144" t="s">
        <v>1626</v>
      </c>
      <c r="BF997" s="10"/>
      <c r="BG997"/>
    </row>
    <row r="998" spans="1:59" ht="14.25" customHeight="1" x14ac:dyDescent="0.25">
      <c r="A998" s="37" t="str">
        <f>LEFT(Scharniere[[#This Row],[ArtikelNR]],4)</f>
        <v>F017</v>
      </c>
      <c r="B998" s="35" t="str">
        <f>MID(Scharniere[[#This Row],[ArtikelNR]],5,3)</f>
        <v>139</v>
      </c>
      <c r="C998" s="37" t="str">
        <f>RIGHT(Scharniere[[#This Row],[ArtikelNR]],3)</f>
        <v>348</v>
      </c>
      <c r="D998" s="35">
        <f>IF(AND(Scharniere[[#This Row],[Gruppenschlüssel]]=select!$A$44,Scharniere[[#This Row],[Scharnierart]]=1)=TRUE,1,0)</f>
        <v>0</v>
      </c>
      <c r="E99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8" s="35">
        <f>IF(select!$F$57=IF(Scharniere[[#This Row],[mit Dämpfung]]=1,1,IF(Scharniere[[#This Row],[ohne Dämpfung]]=1,2,IF(Scharniere[[#This Row],[ohne Feder]]=1,3,0))),1,0)</f>
        <v>0</v>
      </c>
      <c r="G998" s="35">
        <f>IF(Scharniere[[#This Row],[Bohrbild]]=select!$V$43,1,0)</f>
        <v>1</v>
      </c>
      <c r="H998" s="35">
        <f>IF(IF(Scharniere[[#This Row],[Anschrauben]]=1,1,IF(Scharniere[[#This Row],[Einpressen]]=1,2,IF(Scharniere[[#This Row],[Quick]]=1,3,IF(Scharniere[[#This Row],[Werkzeuglos]]=1,4,0))))=select!$F$48,1,0)</f>
        <v>0</v>
      </c>
      <c r="I99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8" s="149">
        <f>IF(AND(Scharniere[[#This Row],[Scharnierart]]=2,Scharniere[[#This Row],[Gruppenschlüssel]]=select!$A$318)=TRUE,1,0)</f>
        <v>0</v>
      </c>
      <c r="K998" s="221">
        <f ca="1">IF(select!$O$424&lt;6,1,0)</f>
        <v>1</v>
      </c>
      <c r="L998" s="221">
        <f>IF(select!$A$362=IF(Scharniere[[#This Row],[mit Dämpfung]]=1,1,IF(Scharniere[[#This Row],[ohne Dämpfung]]=1,2,IF(Scharniere[[#This Row],[ohne Feder]]=1,3,0))),1,0)</f>
        <v>1</v>
      </c>
      <c r="M998" s="135">
        <f>IF(Scharniere[[#This Row],[Bohrbild]]=select!$O$334,1,0)</f>
        <v>1</v>
      </c>
      <c r="N998" s="135">
        <f>IF(IF(Scharniere[[#This Row],[Anschrauben]]=1,1,IF(Scharniere[[#This Row],[Einpressen]]=1,2,IF(Scharniere[[#This Row],[Quick]]=1,3,IF(Scharniere[[#This Row],[Werkzeuglos]]=1,4,0))))=select!$E$362,1,0)</f>
        <v>0</v>
      </c>
      <c r="O99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8" s="298">
        <f>IF(AND(Scharniere[[#This Row],[Scharnierart]]=3,Scharniere[[#This Row],[Gruppenschlüssel]]=select!$A$747)=TRUE,1,0)</f>
        <v>0</v>
      </c>
      <c r="Q998" s="298">
        <f ca="1">IF(select!$O$945&lt;6,1,0)</f>
        <v>1</v>
      </c>
      <c r="R998" s="298">
        <f>IF(select!$A$778=IF(Scharniere[[#This Row],[mit Dämpfung]]=1,1,IF(Scharniere[[#This Row],[ohne Dämpfung]]=1,2,IF(Scharniere[[#This Row],[ohne Feder]]=1,3,0))),1,0)</f>
        <v>0</v>
      </c>
      <c r="S998" s="298">
        <f>IF(Scharniere[[#This Row],[Bohrbild]]=select!$A$755,1,0)</f>
        <v>0</v>
      </c>
      <c r="T998" s="298">
        <f>IF(IF(Scharniere[[#This Row],[Anschrauben]]=1,1,IF(Scharniere[[#This Row],[Einpressen]]=1,2,IF(Scharniere[[#This Row],[Quick]]=1,3,IF(Scharniere[[#This Row],[Werkzeuglos]]=1,4,0))))=select!$A$769,1,0)</f>
        <v>0</v>
      </c>
      <c r="U99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8" s="359">
        <f>IF(AND(Scharniere[[#This Row],[Scharnierart]]=4,Scharniere[[#This Row],[Gruppenschlüssel]]=select!$A$981)=TRUE,1,0)</f>
        <v>0</v>
      </c>
      <c r="W998" s="359">
        <f ca="1">IF(select!$O$1185&lt;6,1,0)</f>
        <v>1</v>
      </c>
      <c r="X998" s="359">
        <f>IF(select!$A$1012=IF(Scharniere[[#This Row],[mit Dämpfung]]=1,1,IF(Scharniere[[#This Row],[ohne Dämpfung]]=1,2,IF(Scharniere[[#This Row],[ohne Feder]]=1,3,0))),1,0)</f>
        <v>0</v>
      </c>
      <c r="Y998" s="359">
        <f>IF(Scharniere[[#This Row],[Bohrbild]]=select!$A$989,1,0)</f>
        <v>0</v>
      </c>
      <c r="Z998" s="359">
        <f>IF(IF(Scharniere[[#This Row],[Anschrauben]]=1,1,IF(Scharniere[[#This Row],[Einpressen]]=1,2,IF(Scharniere[[#This Row],[Quick]]=1,3,IF(Scharniere[[#This Row],[Werkzeuglos]]=1,4,0))))=select!$A$1003,1,0)</f>
        <v>0</v>
      </c>
      <c r="AA99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8" s="359">
        <f ca="1">IF(select!$K$980="*",Scharniere[[#This Row],[AG Ges2]],Scharniere[[#This Row],[AG Ges1]])</f>
        <v>0</v>
      </c>
      <c r="AE998" s="451">
        <f ca="1">IF(AND(Scharniere[[#This Row],[Scharnierart]]=select!$A$1485,Scharniere[[#This Row],[Gruppenschlüssel]]=select!$B$1485)=TRUE,1,0)</f>
        <v>0</v>
      </c>
      <c r="AF998" s="451">
        <f ca="1">IF(AND(Scharniere[[#This Row],[Scharnierart]]=select!$A$1486,Scharniere[[#This Row],[Gruppenschlüssel]]=select!$B$1486)=TRUE,1,0)</f>
        <v>0</v>
      </c>
      <c r="AG998" s="451">
        <f ca="1">IF(AND(Scharniere[[#This Row],[Scharnierart]]=select!$A$1487,Scharniere[[#This Row],[Gruppenschlüssel]]=select!$B$1487)=TRUE,1,0)</f>
        <v>0</v>
      </c>
      <c r="AH998" s="451">
        <f ca="1">IF(AND(Scharniere[[#This Row],[Scharnierart]]=select!$A$1488,Scharniere[[#This Row],[Gruppenschlüssel]]=select!$B$1488)=TRUE,1,0)</f>
        <v>0</v>
      </c>
      <c r="AI998" s="451">
        <f ca="1">IF(SUM(Scharniere[[#This Row],[konf Scharnier 1]:[konf Scharnier 4]])&gt;0,1,0)</f>
        <v>0</v>
      </c>
      <c r="AJ998" s="451"/>
      <c r="AK998" s="451"/>
      <c r="AL998" s="451"/>
      <c r="AM998" s="451"/>
      <c r="AN998" s="451"/>
      <c r="AO998" s="146">
        <v>2</v>
      </c>
      <c r="AP998" s="146">
        <v>10</v>
      </c>
      <c r="AQ998" s="71" t="str">
        <f ca="1">Sprache!$A$113</f>
        <v>Tiomos Scharnier TS Impresso</v>
      </c>
      <c r="AR998" t="str">
        <f ca="1">"120/-30°, MB-BB, "&amp;Sprache!$A$58&amp;" ni"</f>
        <v>120/-30°, MB-BB, aufl. ni</v>
      </c>
      <c r="AS998" t="str">
        <f ca="1">Sprache!$A$116</f>
        <v>Tiomos Impresso Scharniere</v>
      </c>
      <c r="AT998" t="s">
        <v>1264</v>
      </c>
      <c r="AU998" t="s">
        <v>8</v>
      </c>
      <c r="AV998" t="s">
        <v>1496</v>
      </c>
      <c r="AW998" s="71">
        <v>1</v>
      </c>
      <c r="AX998">
        <v>0</v>
      </c>
      <c r="AY998">
        <v>0</v>
      </c>
      <c r="AZ998" s="71">
        <v>0</v>
      </c>
      <c r="BA998">
        <v>0</v>
      </c>
      <c r="BB998">
        <v>0</v>
      </c>
      <c r="BC998">
        <v>1</v>
      </c>
      <c r="BD998" s="144" t="s">
        <v>1498</v>
      </c>
      <c r="BF998" s="10"/>
      <c r="BG998"/>
    </row>
    <row r="999" spans="1:59" ht="14.25" customHeight="1" x14ac:dyDescent="0.25">
      <c r="A999" s="37" t="str">
        <f>LEFT(Scharniere[[#This Row],[ArtikelNR]],4)</f>
        <v>F017</v>
      </c>
      <c r="B999" s="35" t="str">
        <f>MID(Scharniere[[#This Row],[ArtikelNR]],5,3)</f>
        <v>139</v>
      </c>
      <c r="C999" s="37" t="str">
        <f>RIGHT(Scharniere[[#This Row],[ArtikelNR]],3)</f>
        <v>348</v>
      </c>
      <c r="D999" s="35">
        <f>IF(AND(Scharniere[[#This Row],[Gruppenschlüssel]]=select!$A$44,Scharniere[[#This Row],[Scharnierart]]=1)=TRUE,1,0)</f>
        <v>0</v>
      </c>
      <c r="E99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999" s="35">
        <f>IF(select!$F$57=IF(Scharniere[[#This Row],[mit Dämpfung]]=1,1,IF(Scharniere[[#This Row],[ohne Dämpfung]]=1,2,IF(Scharniere[[#This Row],[ohne Feder]]=1,3,0))),1,0)</f>
        <v>0</v>
      </c>
      <c r="G999" s="35">
        <f>IF(Scharniere[[#This Row],[Bohrbild]]=select!$V$43,1,0)</f>
        <v>0</v>
      </c>
      <c r="H999" s="35">
        <f>IF(IF(Scharniere[[#This Row],[Anschrauben]]=1,1,IF(Scharniere[[#This Row],[Einpressen]]=1,2,IF(Scharniere[[#This Row],[Quick]]=1,3,IF(Scharniere[[#This Row],[Werkzeuglos]]=1,4,0))))=select!$F$48,1,0)</f>
        <v>0</v>
      </c>
      <c r="I99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999" s="149">
        <f>IF(AND(Scharniere[[#This Row],[Scharnierart]]=2,Scharniere[[#This Row],[Gruppenschlüssel]]=select!$A$318)=TRUE,1,0)</f>
        <v>0</v>
      </c>
      <c r="K999" s="221">
        <f ca="1">IF(select!$O$424&lt;6,1,0)</f>
        <v>1</v>
      </c>
      <c r="L999" s="221">
        <f>IF(select!$A$362=IF(Scharniere[[#This Row],[mit Dämpfung]]=1,1,IF(Scharniere[[#This Row],[ohne Dämpfung]]=1,2,IF(Scharniere[[#This Row],[ohne Feder]]=1,3,0))),1,0)</f>
        <v>1</v>
      </c>
      <c r="M999" s="135">
        <f>IF(Scharniere[[#This Row],[Bohrbild]]=select!$O$334,1,0)</f>
        <v>0</v>
      </c>
      <c r="N999" s="135">
        <f>IF(IF(Scharniere[[#This Row],[Anschrauben]]=1,1,IF(Scharniere[[#This Row],[Einpressen]]=1,2,IF(Scharniere[[#This Row],[Quick]]=1,3,IF(Scharniere[[#This Row],[Werkzeuglos]]=1,4,0))))=select!$E$362,1,0)</f>
        <v>0</v>
      </c>
      <c r="O99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999" s="298">
        <f>IF(AND(Scharniere[[#This Row],[Scharnierart]]=3,Scharniere[[#This Row],[Gruppenschlüssel]]=select!$A$747)=TRUE,1,0)</f>
        <v>0</v>
      </c>
      <c r="Q999" s="298">
        <f ca="1">IF(select!$O$945&lt;6,1,0)</f>
        <v>1</v>
      </c>
      <c r="R999" s="298">
        <f>IF(select!$A$778=IF(Scharniere[[#This Row],[mit Dämpfung]]=1,1,IF(Scharniere[[#This Row],[ohne Dämpfung]]=1,2,IF(Scharniere[[#This Row],[ohne Feder]]=1,3,0))),1,0)</f>
        <v>0</v>
      </c>
      <c r="S999" s="298">
        <f>IF(Scharniere[[#This Row],[Bohrbild]]=select!$A$755,1,0)</f>
        <v>0</v>
      </c>
      <c r="T999" s="298">
        <f>IF(IF(Scharniere[[#This Row],[Anschrauben]]=1,1,IF(Scharniere[[#This Row],[Einpressen]]=1,2,IF(Scharniere[[#This Row],[Quick]]=1,3,IF(Scharniere[[#This Row],[Werkzeuglos]]=1,4,0))))=select!$A$769,1,0)</f>
        <v>0</v>
      </c>
      <c r="U99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999" s="359">
        <f>IF(AND(Scharniere[[#This Row],[Scharnierart]]=4,Scharniere[[#This Row],[Gruppenschlüssel]]=select!$A$981)=TRUE,1,0)</f>
        <v>0</v>
      </c>
      <c r="W999" s="359">
        <f ca="1">IF(select!$O$1185&lt;6,1,0)</f>
        <v>1</v>
      </c>
      <c r="X999" s="359">
        <f>IF(select!$A$1012=IF(Scharniere[[#This Row],[mit Dämpfung]]=1,1,IF(Scharniere[[#This Row],[ohne Dämpfung]]=1,2,IF(Scharniere[[#This Row],[ohne Feder]]=1,3,0))),1,0)</f>
        <v>0</v>
      </c>
      <c r="Y999" s="359">
        <f>IF(Scharniere[[#This Row],[Bohrbild]]=select!$A$989,1,0)</f>
        <v>0</v>
      </c>
      <c r="Z999" s="359">
        <f>IF(IF(Scharniere[[#This Row],[Anschrauben]]=1,1,IF(Scharniere[[#This Row],[Einpressen]]=1,2,IF(Scharniere[[#This Row],[Quick]]=1,3,IF(Scharniere[[#This Row],[Werkzeuglos]]=1,4,0))))=select!$A$1003,1,0)</f>
        <v>0</v>
      </c>
      <c r="AA99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99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99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999" s="359">
        <f ca="1">IF(select!$K$980="*",Scharniere[[#This Row],[AG Ges2]],Scharniere[[#This Row],[AG Ges1]])</f>
        <v>0</v>
      </c>
      <c r="AE999" s="451">
        <f ca="1">IF(AND(Scharniere[[#This Row],[Scharnierart]]=select!$A$1485,Scharniere[[#This Row],[Gruppenschlüssel]]=select!$B$1485)=TRUE,1,0)</f>
        <v>0</v>
      </c>
      <c r="AF999" s="451">
        <f ca="1">IF(AND(Scharniere[[#This Row],[Scharnierart]]=select!$A$1486,Scharniere[[#This Row],[Gruppenschlüssel]]=select!$B$1486)=TRUE,1,0)</f>
        <v>0</v>
      </c>
      <c r="AG999" s="451">
        <f ca="1">IF(AND(Scharniere[[#This Row],[Scharnierart]]=select!$A$1487,Scharniere[[#This Row],[Gruppenschlüssel]]=select!$B$1487)=TRUE,1,0)</f>
        <v>0</v>
      </c>
      <c r="AH999" s="451">
        <f ca="1">IF(AND(Scharniere[[#This Row],[Scharnierart]]=select!$A$1488,Scharniere[[#This Row],[Gruppenschlüssel]]=select!$B$1488)=TRUE,1,0)</f>
        <v>0</v>
      </c>
      <c r="AI999" s="451">
        <f ca="1">IF(SUM(Scharniere[[#This Row],[konf Scharnier 1]:[konf Scharnier 4]])&gt;0,1,0)</f>
        <v>0</v>
      </c>
      <c r="AJ999" s="451"/>
      <c r="AK999" s="451"/>
      <c r="AL999" s="451"/>
      <c r="AM999" s="451"/>
      <c r="AN999" s="451"/>
      <c r="AO999" s="146">
        <v>2</v>
      </c>
      <c r="AP999" s="146">
        <v>10</v>
      </c>
      <c r="AQ999" s="71" t="str">
        <f ca="1">Sprache!$A$113</f>
        <v>Tiomos Scharnier TS Impresso</v>
      </c>
      <c r="AR999" t="str">
        <f ca="1">"120/-30°, MB-BB, "&amp;Sprache!$A$58&amp;" ni"</f>
        <v>120/-30°, MB-BB, aufl. ni</v>
      </c>
      <c r="AS999" t="str">
        <f ca="1">Sprache!$A$116</f>
        <v>Tiomos Impresso Scharniere</v>
      </c>
      <c r="AT999" t="s">
        <v>1264</v>
      </c>
      <c r="AU999" t="s">
        <v>3</v>
      </c>
      <c r="AV999" t="s">
        <v>1496</v>
      </c>
      <c r="AW999" s="71">
        <v>1</v>
      </c>
      <c r="AX999">
        <v>0</v>
      </c>
      <c r="AY999">
        <v>0</v>
      </c>
      <c r="AZ999" s="71">
        <v>0</v>
      </c>
      <c r="BA999">
        <v>0</v>
      </c>
      <c r="BB999">
        <v>0</v>
      </c>
      <c r="BC999">
        <v>1</v>
      </c>
      <c r="BD999" s="144" t="s">
        <v>1498</v>
      </c>
      <c r="BF999" s="10"/>
      <c r="BG999"/>
    </row>
    <row r="1000" spans="1:59" ht="14.25" customHeight="1" x14ac:dyDescent="0.25">
      <c r="A1000" s="37" t="str">
        <f>LEFT(Scharniere[[#This Row],[ArtikelNR]],4)</f>
        <v>F034</v>
      </c>
      <c r="B1000" s="35" t="str">
        <f>MID(Scharniere[[#This Row],[ArtikelNR]],5,3)</f>
        <v>139</v>
      </c>
      <c r="C1000" s="37" t="str">
        <f>RIGHT(Scharniere[[#This Row],[ArtikelNR]],3)</f>
        <v>319</v>
      </c>
      <c r="D1000" s="35">
        <f>IF(AND(Scharniere[[#This Row],[Gruppenschlüssel]]=select!$A$44,Scharniere[[#This Row],[Scharnierart]]=1)=TRUE,1,0)</f>
        <v>0</v>
      </c>
      <c r="E100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0" s="35">
        <f>IF(select!$F$57=IF(Scharniere[[#This Row],[mit Dämpfung]]=1,1,IF(Scharniere[[#This Row],[ohne Dämpfung]]=1,2,IF(Scharniere[[#This Row],[ohne Feder]]=1,3,0))),1,0)</f>
        <v>0</v>
      </c>
      <c r="G1000" s="35">
        <f>IF(Scharniere[[#This Row],[Bohrbild]]=select!$V$43,1,0)</f>
        <v>1</v>
      </c>
      <c r="H1000" s="35">
        <f>IF(IF(Scharniere[[#This Row],[Anschrauben]]=1,1,IF(Scharniere[[#This Row],[Einpressen]]=1,2,IF(Scharniere[[#This Row],[Quick]]=1,3,IF(Scharniere[[#This Row],[Werkzeuglos]]=1,4,0))))=select!$F$48,1,0)</f>
        <v>0</v>
      </c>
      <c r="I100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0" s="149">
        <f>IF(AND(Scharniere[[#This Row],[Scharnierart]]=2,Scharniere[[#This Row],[Gruppenschlüssel]]=select!$A$318)=TRUE,1,0)</f>
        <v>0</v>
      </c>
      <c r="K1000" s="221">
        <f ca="1">IF(select!$O$424&lt;6,1,0)</f>
        <v>1</v>
      </c>
      <c r="L1000" s="221">
        <f>IF(select!$A$362=IF(Scharniere[[#This Row],[mit Dämpfung]]=1,1,IF(Scharniere[[#This Row],[ohne Dämpfung]]=1,2,IF(Scharniere[[#This Row],[ohne Feder]]=1,3,0))),1,0)</f>
        <v>0</v>
      </c>
      <c r="M1000" s="135">
        <f>IF(Scharniere[[#This Row],[Bohrbild]]=select!$O$334,1,0)</f>
        <v>1</v>
      </c>
      <c r="N1000" s="135">
        <f>IF(IF(Scharniere[[#This Row],[Anschrauben]]=1,1,IF(Scharniere[[#This Row],[Einpressen]]=1,2,IF(Scharniere[[#This Row],[Quick]]=1,3,IF(Scharniere[[#This Row],[Werkzeuglos]]=1,4,0))))=select!$E$362,1,0)</f>
        <v>0</v>
      </c>
      <c r="O100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0" s="298">
        <f>IF(AND(Scharniere[[#This Row],[Scharnierart]]=3,Scharniere[[#This Row],[Gruppenschlüssel]]=select!$A$747)=TRUE,1,0)</f>
        <v>0</v>
      </c>
      <c r="Q1000" s="298">
        <f ca="1">IF(select!$O$945&lt;6,1,0)</f>
        <v>1</v>
      </c>
      <c r="R1000" s="298">
        <f>IF(select!$A$778=IF(Scharniere[[#This Row],[mit Dämpfung]]=1,1,IF(Scharniere[[#This Row],[ohne Dämpfung]]=1,2,IF(Scharniere[[#This Row],[ohne Feder]]=1,3,0))),1,0)</f>
        <v>1</v>
      </c>
      <c r="S1000" s="298">
        <f>IF(Scharniere[[#This Row],[Bohrbild]]=select!$A$755,1,0)</f>
        <v>0</v>
      </c>
      <c r="T1000" s="298">
        <f>IF(IF(Scharniere[[#This Row],[Anschrauben]]=1,1,IF(Scharniere[[#This Row],[Einpressen]]=1,2,IF(Scharniere[[#This Row],[Quick]]=1,3,IF(Scharniere[[#This Row],[Werkzeuglos]]=1,4,0))))=select!$A$769,1,0)</f>
        <v>0</v>
      </c>
      <c r="U100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0" s="359">
        <f>IF(AND(Scharniere[[#This Row],[Scharnierart]]=4,Scharniere[[#This Row],[Gruppenschlüssel]]=select!$A$981)=TRUE,1,0)</f>
        <v>0</v>
      </c>
      <c r="W1000" s="359">
        <f ca="1">IF(select!$O$1185&lt;6,1,0)</f>
        <v>1</v>
      </c>
      <c r="X1000" s="359">
        <f>IF(select!$A$1012=IF(Scharniere[[#This Row],[mit Dämpfung]]=1,1,IF(Scharniere[[#This Row],[ohne Dämpfung]]=1,2,IF(Scharniere[[#This Row],[ohne Feder]]=1,3,0))),1,0)</f>
        <v>1</v>
      </c>
      <c r="Y1000" s="359">
        <f>IF(Scharniere[[#This Row],[Bohrbild]]=select!$A$989,1,0)</f>
        <v>0</v>
      </c>
      <c r="Z1000" s="359">
        <f>IF(IF(Scharniere[[#This Row],[Anschrauben]]=1,1,IF(Scharniere[[#This Row],[Einpressen]]=1,2,IF(Scharniere[[#This Row],[Quick]]=1,3,IF(Scharniere[[#This Row],[Werkzeuglos]]=1,4,0))))=select!$A$1003,1,0)</f>
        <v>0</v>
      </c>
      <c r="AA100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0" s="359">
        <f ca="1">IF(select!$K$980="*",Scharniere[[#This Row],[AG Ges2]],Scharniere[[#This Row],[AG Ges1]])</f>
        <v>0</v>
      </c>
      <c r="AE1000" s="451">
        <f ca="1">IF(AND(Scharniere[[#This Row],[Scharnierart]]=select!$A$1485,Scharniere[[#This Row],[Gruppenschlüssel]]=select!$B$1485)=TRUE,1,0)</f>
        <v>0</v>
      </c>
      <c r="AF1000" s="451">
        <f ca="1">IF(AND(Scharniere[[#This Row],[Scharnierart]]=select!$A$1486,Scharniere[[#This Row],[Gruppenschlüssel]]=select!$B$1486)=TRUE,1,0)</f>
        <v>0</v>
      </c>
      <c r="AG1000" s="451">
        <f ca="1">IF(AND(Scharniere[[#This Row],[Scharnierart]]=select!$A$1487,Scharniere[[#This Row],[Gruppenschlüssel]]=select!$B$1487)=TRUE,1,0)</f>
        <v>0</v>
      </c>
      <c r="AH1000" s="451">
        <f ca="1">IF(AND(Scharniere[[#This Row],[Scharnierart]]=select!$A$1488,Scharniere[[#This Row],[Gruppenschlüssel]]=select!$B$1488)=TRUE,1,0)</f>
        <v>0</v>
      </c>
      <c r="AI1000" s="451">
        <f ca="1">IF(SUM(Scharniere[[#This Row],[konf Scharnier 1]:[konf Scharnier 4]])&gt;0,1,0)</f>
        <v>0</v>
      </c>
      <c r="AJ1000" s="451"/>
      <c r="AK1000" s="451"/>
      <c r="AL1000" s="451"/>
      <c r="AM1000" s="451"/>
      <c r="AN1000" s="451"/>
      <c r="AO1000" s="146">
        <v>2</v>
      </c>
      <c r="AP1000" s="146">
        <v>10</v>
      </c>
      <c r="AQ1000" s="71" t="str">
        <f ca="1">Sprache!$A$119</f>
        <v>Tiomos Scharnier T Impresso</v>
      </c>
      <c r="AR1000" t="str">
        <f ca="1">"120/-30°, MB-BB, "&amp;Sprache!$A$58&amp;" ni"</f>
        <v>120/-30°, MB-BB, aufl. ni</v>
      </c>
      <c r="AS1000" t="str">
        <f ca="1">Sprache!$A$103</f>
        <v>Tiomos Click-On Scharniere</v>
      </c>
      <c r="AT1000" t="s">
        <v>1264</v>
      </c>
      <c r="AU1000" t="s">
        <v>8</v>
      </c>
      <c r="AV1000" t="s">
        <v>1496</v>
      </c>
      <c r="AW1000" s="71">
        <v>0</v>
      </c>
      <c r="AX1000">
        <v>1</v>
      </c>
      <c r="AY1000">
        <v>0</v>
      </c>
      <c r="AZ1000" s="71">
        <v>0</v>
      </c>
      <c r="BA1000">
        <v>0</v>
      </c>
      <c r="BB1000">
        <v>0</v>
      </c>
      <c r="BC1000">
        <v>1</v>
      </c>
      <c r="BD1000" s="144" t="s">
        <v>1609</v>
      </c>
      <c r="BF1000" s="10"/>
      <c r="BG1000"/>
    </row>
    <row r="1001" spans="1:59" ht="14.25" customHeight="1" x14ac:dyDescent="0.25">
      <c r="A1001" s="37" t="str">
        <f>LEFT(Scharniere[[#This Row],[ArtikelNR]],4)</f>
        <v>F034</v>
      </c>
      <c r="B1001" s="35" t="str">
        <f>MID(Scharniere[[#This Row],[ArtikelNR]],5,3)</f>
        <v>139</v>
      </c>
      <c r="C1001" s="37" t="str">
        <f>RIGHT(Scharniere[[#This Row],[ArtikelNR]],3)</f>
        <v>319</v>
      </c>
      <c r="D1001" s="35">
        <f>IF(AND(Scharniere[[#This Row],[Gruppenschlüssel]]=select!$A$44,Scharniere[[#This Row],[Scharnierart]]=1)=TRUE,1,0)</f>
        <v>0</v>
      </c>
      <c r="E100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1" s="35">
        <f>IF(select!$F$57=IF(Scharniere[[#This Row],[mit Dämpfung]]=1,1,IF(Scharniere[[#This Row],[ohne Dämpfung]]=1,2,IF(Scharniere[[#This Row],[ohne Feder]]=1,3,0))),1,0)</f>
        <v>0</v>
      </c>
      <c r="G1001" s="35">
        <f>IF(Scharniere[[#This Row],[Bohrbild]]=select!$V$43,1,0)</f>
        <v>0</v>
      </c>
      <c r="H1001" s="35">
        <f>IF(IF(Scharniere[[#This Row],[Anschrauben]]=1,1,IF(Scharniere[[#This Row],[Einpressen]]=1,2,IF(Scharniere[[#This Row],[Quick]]=1,3,IF(Scharniere[[#This Row],[Werkzeuglos]]=1,4,0))))=select!$F$48,1,0)</f>
        <v>0</v>
      </c>
      <c r="I100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1" s="149">
        <f>IF(AND(Scharniere[[#This Row],[Scharnierart]]=2,Scharniere[[#This Row],[Gruppenschlüssel]]=select!$A$318)=TRUE,1,0)</f>
        <v>0</v>
      </c>
      <c r="K1001" s="221">
        <f ca="1">IF(select!$O$424&lt;6,1,0)</f>
        <v>1</v>
      </c>
      <c r="L1001" s="221">
        <f>IF(select!$A$362=IF(Scharniere[[#This Row],[mit Dämpfung]]=1,1,IF(Scharniere[[#This Row],[ohne Dämpfung]]=1,2,IF(Scharniere[[#This Row],[ohne Feder]]=1,3,0))),1,0)</f>
        <v>0</v>
      </c>
      <c r="M1001" s="135">
        <f>IF(Scharniere[[#This Row],[Bohrbild]]=select!$O$334,1,0)</f>
        <v>0</v>
      </c>
      <c r="N1001" s="135">
        <f>IF(IF(Scharniere[[#This Row],[Anschrauben]]=1,1,IF(Scharniere[[#This Row],[Einpressen]]=1,2,IF(Scharniere[[#This Row],[Quick]]=1,3,IF(Scharniere[[#This Row],[Werkzeuglos]]=1,4,0))))=select!$E$362,1,0)</f>
        <v>0</v>
      </c>
      <c r="O100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1" s="298">
        <f>IF(AND(Scharniere[[#This Row],[Scharnierart]]=3,Scharniere[[#This Row],[Gruppenschlüssel]]=select!$A$747)=TRUE,1,0)</f>
        <v>0</v>
      </c>
      <c r="Q1001" s="298">
        <f ca="1">IF(select!$O$945&lt;6,1,0)</f>
        <v>1</v>
      </c>
      <c r="R1001" s="298">
        <f>IF(select!$A$778=IF(Scharniere[[#This Row],[mit Dämpfung]]=1,1,IF(Scharniere[[#This Row],[ohne Dämpfung]]=1,2,IF(Scharniere[[#This Row],[ohne Feder]]=1,3,0))),1,0)</f>
        <v>1</v>
      </c>
      <c r="S1001" s="298">
        <f>IF(Scharniere[[#This Row],[Bohrbild]]=select!$A$755,1,0)</f>
        <v>0</v>
      </c>
      <c r="T1001" s="298">
        <f>IF(IF(Scharniere[[#This Row],[Anschrauben]]=1,1,IF(Scharniere[[#This Row],[Einpressen]]=1,2,IF(Scharniere[[#This Row],[Quick]]=1,3,IF(Scharniere[[#This Row],[Werkzeuglos]]=1,4,0))))=select!$A$769,1,0)</f>
        <v>0</v>
      </c>
      <c r="U100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1" s="359">
        <f>IF(AND(Scharniere[[#This Row],[Scharnierart]]=4,Scharniere[[#This Row],[Gruppenschlüssel]]=select!$A$981)=TRUE,1,0)</f>
        <v>0</v>
      </c>
      <c r="W1001" s="359">
        <f ca="1">IF(select!$O$1185&lt;6,1,0)</f>
        <v>1</v>
      </c>
      <c r="X1001" s="359">
        <f>IF(select!$A$1012=IF(Scharniere[[#This Row],[mit Dämpfung]]=1,1,IF(Scharniere[[#This Row],[ohne Dämpfung]]=1,2,IF(Scharniere[[#This Row],[ohne Feder]]=1,3,0))),1,0)</f>
        <v>1</v>
      </c>
      <c r="Y1001" s="359">
        <f>IF(Scharniere[[#This Row],[Bohrbild]]=select!$A$989,1,0)</f>
        <v>0</v>
      </c>
      <c r="Z1001" s="359">
        <f>IF(IF(Scharniere[[#This Row],[Anschrauben]]=1,1,IF(Scharniere[[#This Row],[Einpressen]]=1,2,IF(Scharniere[[#This Row],[Quick]]=1,3,IF(Scharniere[[#This Row],[Werkzeuglos]]=1,4,0))))=select!$A$1003,1,0)</f>
        <v>0</v>
      </c>
      <c r="AA100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1" s="359">
        <f ca="1">IF(select!$K$980="*",Scharniere[[#This Row],[AG Ges2]],Scharniere[[#This Row],[AG Ges1]])</f>
        <v>0</v>
      </c>
      <c r="AE1001" s="451">
        <f ca="1">IF(AND(Scharniere[[#This Row],[Scharnierart]]=select!$A$1485,Scharniere[[#This Row],[Gruppenschlüssel]]=select!$B$1485)=TRUE,1,0)</f>
        <v>0</v>
      </c>
      <c r="AF1001" s="451">
        <f ca="1">IF(AND(Scharniere[[#This Row],[Scharnierart]]=select!$A$1486,Scharniere[[#This Row],[Gruppenschlüssel]]=select!$B$1486)=TRUE,1,0)</f>
        <v>0</v>
      </c>
      <c r="AG1001" s="451">
        <f ca="1">IF(AND(Scharniere[[#This Row],[Scharnierart]]=select!$A$1487,Scharniere[[#This Row],[Gruppenschlüssel]]=select!$B$1487)=TRUE,1,0)</f>
        <v>0</v>
      </c>
      <c r="AH1001" s="451">
        <f ca="1">IF(AND(Scharniere[[#This Row],[Scharnierart]]=select!$A$1488,Scharniere[[#This Row],[Gruppenschlüssel]]=select!$B$1488)=TRUE,1,0)</f>
        <v>0</v>
      </c>
      <c r="AI1001" s="451">
        <f ca="1">IF(SUM(Scharniere[[#This Row],[konf Scharnier 1]:[konf Scharnier 4]])&gt;0,1,0)</f>
        <v>0</v>
      </c>
      <c r="AJ1001" s="451"/>
      <c r="AK1001" s="451"/>
      <c r="AL1001" s="451"/>
      <c r="AM1001" s="451"/>
      <c r="AN1001" s="451"/>
      <c r="AO1001" s="146">
        <v>2</v>
      </c>
      <c r="AP1001" s="146">
        <v>10</v>
      </c>
      <c r="AQ1001" s="71" t="str">
        <f ca="1">Sprache!$A$119</f>
        <v>Tiomos Scharnier T Impresso</v>
      </c>
      <c r="AR1001" t="str">
        <f ca="1">"120/-30°, MB-BB, "&amp;Sprache!$A$58&amp;" ni"</f>
        <v>120/-30°, MB-BB, aufl. ni</v>
      </c>
      <c r="AS1001" t="str">
        <f ca="1">Sprache!$A$103</f>
        <v>Tiomos Click-On Scharniere</v>
      </c>
      <c r="AT1001" t="s">
        <v>1264</v>
      </c>
      <c r="AU1001" t="s">
        <v>3</v>
      </c>
      <c r="AV1001" t="s">
        <v>1496</v>
      </c>
      <c r="AW1001" s="71">
        <v>0</v>
      </c>
      <c r="AX1001">
        <v>1</v>
      </c>
      <c r="AY1001">
        <v>0</v>
      </c>
      <c r="AZ1001" s="71">
        <v>0</v>
      </c>
      <c r="BA1001">
        <v>0</v>
      </c>
      <c r="BB1001">
        <v>0</v>
      </c>
      <c r="BC1001">
        <v>1</v>
      </c>
      <c r="BD1001" s="144" t="s">
        <v>1609</v>
      </c>
      <c r="BF1001" s="10"/>
      <c r="BG1001"/>
    </row>
    <row r="1002" spans="1:59" ht="14.25" customHeight="1" x14ac:dyDescent="0.25">
      <c r="A1002" s="37" t="str">
        <f>LEFT(Scharniere[[#This Row],[ArtikelNR]],4)</f>
        <v>F028</v>
      </c>
      <c r="B1002" s="35" t="str">
        <f>MID(Scharniere[[#This Row],[ArtikelNR]],5,3)</f>
        <v>138</v>
      </c>
      <c r="C1002" s="37" t="str">
        <f>RIGHT(Scharniere[[#This Row],[ArtikelNR]],3)</f>
        <v>920</v>
      </c>
      <c r="D1002" s="35">
        <f>IF(AND(Scharniere[[#This Row],[Gruppenschlüssel]]=select!$A$44,Scharniere[[#This Row],[Scharnierart]]=1)=TRUE,1,0)</f>
        <v>0</v>
      </c>
      <c r="E100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2" s="35">
        <f>IF(select!$F$57=IF(Scharniere[[#This Row],[mit Dämpfung]]=1,1,IF(Scharniere[[#This Row],[ohne Dämpfung]]=1,2,IF(Scharniere[[#This Row],[ohne Feder]]=1,3,0))),1,0)</f>
        <v>0</v>
      </c>
      <c r="G1002" s="35">
        <f>IF(Scharniere[[#This Row],[Bohrbild]]=select!$V$43,1,0)</f>
        <v>0</v>
      </c>
      <c r="H1002" s="35">
        <f>IF(IF(Scharniere[[#This Row],[Anschrauben]]=1,1,IF(Scharniere[[#This Row],[Einpressen]]=1,2,IF(Scharniere[[#This Row],[Quick]]=1,3,IF(Scharniere[[#This Row],[Werkzeuglos]]=1,4,0))))=select!$F$48,1,0)</f>
        <v>0</v>
      </c>
      <c r="I100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2" s="149">
        <f>IF(AND(Scharniere[[#This Row],[Scharnierart]]=2,Scharniere[[#This Row],[Gruppenschlüssel]]=select!$A$318)=TRUE,1,0)</f>
        <v>0</v>
      </c>
      <c r="K1002" s="221">
        <f ca="1">IF(select!$O$424&lt;6,1,0)</f>
        <v>1</v>
      </c>
      <c r="L1002" s="221">
        <f>IF(select!$A$362=IF(Scharniere[[#This Row],[mit Dämpfung]]=1,1,IF(Scharniere[[#This Row],[ohne Dämpfung]]=1,2,IF(Scharniere[[#This Row],[ohne Feder]]=1,3,0))),1,0)</f>
        <v>1</v>
      </c>
      <c r="M1002" s="135">
        <f>IF(Scharniere[[#This Row],[Bohrbild]]=select!$O$334,1,0)</f>
        <v>0</v>
      </c>
      <c r="N1002" s="135">
        <f>IF(IF(Scharniere[[#This Row],[Anschrauben]]=1,1,IF(Scharniere[[#This Row],[Einpressen]]=1,2,IF(Scharniere[[#This Row],[Quick]]=1,3,IF(Scharniere[[#This Row],[Werkzeuglos]]=1,4,0))))=select!$E$362,1,0)</f>
        <v>1</v>
      </c>
      <c r="O100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2" s="298">
        <f>IF(AND(Scharniere[[#This Row],[Scharnierart]]=3,Scharniere[[#This Row],[Gruppenschlüssel]]=select!$A$747)=TRUE,1,0)</f>
        <v>0</v>
      </c>
      <c r="Q1002" s="298">
        <f ca="1">IF(select!$O$945&lt;6,1,0)</f>
        <v>1</v>
      </c>
      <c r="R1002" s="298">
        <f>IF(select!$A$778=IF(Scharniere[[#This Row],[mit Dämpfung]]=1,1,IF(Scharniere[[#This Row],[ohne Dämpfung]]=1,2,IF(Scharniere[[#This Row],[ohne Feder]]=1,3,0))),1,0)</f>
        <v>0</v>
      </c>
      <c r="S1002" s="298">
        <f>IF(Scharniere[[#This Row],[Bohrbild]]=select!$A$755,1,0)</f>
        <v>0</v>
      </c>
      <c r="T1002" s="298">
        <f>IF(IF(Scharniere[[#This Row],[Anschrauben]]=1,1,IF(Scharniere[[#This Row],[Einpressen]]=1,2,IF(Scharniere[[#This Row],[Quick]]=1,3,IF(Scharniere[[#This Row],[Werkzeuglos]]=1,4,0))))=select!$A$769,1,0)</f>
        <v>1</v>
      </c>
      <c r="U100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2" s="359">
        <f>IF(AND(Scharniere[[#This Row],[Scharnierart]]=4,Scharniere[[#This Row],[Gruppenschlüssel]]=select!$A$981)=TRUE,1,0)</f>
        <v>0</v>
      </c>
      <c r="W1002" s="359">
        <f ca="1">IF(select!$O$1185&lt;6,1,0)</f>
        <v>1</v>
      </c>
      <c r="X1002" s="359">
        <f>IF(select!$A$1012=IF(Scharniere[[#This Row],[mit Dämpfung]]=1,1,IF(Scharniere[[#This Row],[ohne Dämpfung]]=1,2,IF(Scharniere[[#This Row],[ohne Feder]]=1,3,0))),1,0)</f>
        <v>0</v>
      </c>
      <c r="Y1002" s="359">
        <f>IF(Scharniere[[#This Row],[Bohrbild]]=select!$A$989,1,0)</f>
        <v>0</v>
      </c>
      <c r="Z1002" s="359">
        <f>IF(IF(Scharniere[[#This Row],[Anschrauben]]=1,1,IF(Scharniere[[#This Row],[Einpressen]]=1,2,IF(Scharniere[[#This Row],[Quick]]=1,3,IF(Scharniere[[#This Row],[Werkzeuglos]]=1,4,0))))=select!$A$1003,1,0)</f>
        <v>1</v>
      </c>
      <c r="AA100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2" s="359">
        <f ca="1">IF(select!$K$980="*",Scharniere[[#This Row],[AG Ges2]],Scharniere[[#This Row],[AG Ges1]])</f>
        <v>0</v>
      </c>
      <c r="AE1002" s="451">
        <f ca="1">IF(AND(Scharniere[[#This Row],[Scharnierart]]=select!$A$1485,Scharniere[[#This Row],[Gruppenschlüssel]]=select!$B$1485)=TRUE,1,0)</f>
        <v>0</v>
      </c>
      <c r="AF1002" s="451">
        <f ca="1">IF(AND(Scharniere[[#This Row],[Scharnierart]]=select!$A$1486,Scharniere[[#This Row],[Gruppenschlüssel]]=select!$B$1486)=TRUE,1,0)</f>
        <v>0</v>
      </c>
      <c r="AG1002" s="451">
        <f ca="1">IF(AND(Scharniere[[#This Row],[Scharnierart]]=select!$A$1487,Scharniere[[#This Row],[Gruppenschlüssel]]=select!$B$1487)=TRUE,1,0)</f>
        <v>0</v>
      </c>
      <c r="AH1002" s="451">
        <f ca="1">IF(AND(Scharniere[[#This Row],[Scharnierart]]=select!$A$1488,Scharniere[[#This Row],[Gruppenschlüssel]]=select!$B$1488)=TRUE,1,0)</f>
        <v>0</v>
      </c>
      <c r="AI1002" s="451">
        <f ca="1">IF(SUM(Scharniere[[#This Row],[konf Scharnier 1]:[konf Scharnier 4]])&gt;0,1,0)</f>
        <v>0</v>
      </c>
      <c r="AJ1002" s="451"/>
      <c r="AK1002" s="451"/>
      <c r="AL1002" s="451"/>
      <c r="AM1002" s="451"/>
      <c r="AN1002" s="451"/>
      <c r="AO1002" s="146">
        <v>2</v>
      </c>
      <c r="AP1002" s="146">
        <v>10</v>
      </c>
      <c r="AQ1002" s="71" t="str">
        <f ca="1">Sprache!$A$112</f>
        <v>Tiomos Scharnier TS Click-on</v>
      </c>
      <c r="AR1002" t="str">
        <f ca="1">"120/-30°, S-BB, "&amp;Sprache!$A$58&amp;" ni"</f>
        <v>120/-30°, S-BB, aufl. ni</v>
      </c>
      <c r="AS1002" t="str">
        <f ca="1">Sprache!$A$103</f>
        <v>Tiomos Click-On Scharniere</v>
      </c>
      <c r="AT1002" t="s">
        <v>1264</v>
      </c>
      <c r="AU1002" t="s">
        <v>11</v>
      </c>
      <c r="AV1002" t="s">
        <v>1496</v>
      </c>
      <c r="AW1002" s="71">
        <v>1</v>
      </c>
      <c r="AX1002">
        <v>0</v>
      </c>
      <c r="AY1002">
        <v>0</v>
      </c>
      <c r="AZ1002" s="71">
        <v>1</v>
      </c>
      <c r="BA1002">
        <v>0</v>
      </c>
      <c r="BB1002">
        <v>0</v>
      </c>
      <c r="BC1002">
        <v>0</v>
      </c>
      <c r="BD1002" s="144" t="s">
        <v>1578</v>
      </c>
      <c r="BF1002" s="10"/>
      <c r="BG1002"/>
    </row>
    <row r="1003" spans="1:59" ht="14.25" customHeight="1" x14ac:dyDescent="0.25">
      <c r="A1003" s="37" t="str">
        <f>LEFT(Scharniere[[#This Row],[ArtikelNR]],4)</f>
        <v>F045</v>
      </c>
      <c r="B1003" s="35" t="str">
        <f>MID(Scharniere[[#This Row],[ArtikelNR]],5,3)</f>
        <v>138</v>
      </c>
      <c r="C1003" s="37" t="str">
        <f>RIGHT(Scharniere[[#This Row],[ArtikelNR]],3)</f>
        <v>858</v>
      </c>
      <c r="D1003" s="35">
        <f>IF(AND(Scharniere[[#This Row],[Gruppenschlüssel]]=select!$A$44,Scharniere[[#This Row],[Scharnierart]]=1)=TRUE,1,0)</f>
        <v>0</v>
      </c>
      <c r="E100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3" s="35">
        <f>IF(select!$F$57=IF(Scharniere[[#This Row],[mit Dämpfung]]=1,1,IF(Scharniere[[#This Row],[ohne Dämpfung]]=1,2,IF(Scharniere[[#This Row],[ohne Feder]]=1,3,0))),1,0)</f>
        <v>0</v>
      </c>
      <c r="G1003" s="35">
        <f>IF(Scharniere[[#This Row],[Bohrbild]]=select!$V$43,1,0)</f>
        <v>0</v>
      </c>
      <c r="H1003" s="35">
        <f>IF(IF(Scharniere[[#This Row],[Anschrauben]]=1,1,IF(Scharniere[[#This Row],[Einpressen]]=1,2,IF(Scharniere[[#This Row],[Quick]]=1,3,IF(Scharniere[[#This Row],[Werkzeuglos]]=1,4,0))))=select!$F$48,1,0)</f>
        <v>0</v>
      </c>
      <c r="I100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3" s="149">
        <f>IF(AND(Scharniere[[#This Row],[Scharnierart]]=2,Scharniere[[#This Row],[Gruppenschlüssel]]=select!$A$318)=TRUE,1,0)</f>
        <v>0</v>
      </c>
      <c r="K1003" s="221">
        <f ca="1">IF(select!$O$424&lt;6,1,0)</f>
        <v>1</v>
      </c>
      <c r="L1003" s="221">
        <f>IF(select!$A$362=IF(Scharniere[[#This Row],[mit Dämpfung]]=1,1,IF(Scharniere[[#This Row],[ohne Dämpfung]]=1,2,IF(Scharniere[[#This Row],[ohne Feder]]=1,3,0))),1,0)</f>
        <v>0</v>
      </c>
      <c r="M1003" s="135">
        <f>IF(Scharniere[[#This Row],[Bohrbild]]=select!$O$334,1,0)</f>
        <v>0</v>
      </c>
      <c r="N1003" s="135">
        <f>IF(IF(Scharniere[[#This Row],[Anschrauben]]=1,1,IF(Scharniere[[#This Row],[Einpressen]]=1,2,IF(Scharniere[[#This Row],[Quick]]=1,3,IF(Scharniere[[#This Row],[Werkzeuglos]]=1,4,0))))=select!$E$362,1,0)</f>
        <v>1</v>
      </c>
      <c r="O100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3" s="298">
        <f>IF(AND(Scharniere[[#This Row],[Scharnierart]]=3,Scharniere[[#This Row],[Gruppenschlüssel]]=select!$A$747)=TRUE,1,0)</f>
        <v>0</v>
      </c>
      <c r="Q1003" s="298">
        <f ca="1">IF(select!$O$945&lt;6,1,0)</f>
        <v>1</v>
      </c>
      <c r="R1003" s="298">
        <f>IF(select!$A$778=IF(Scharniere[[#This Row],[mit Dämpfung]]=1,1,IF(Scharniere[[#This Row],[ohne Dämpfung]]=1,2,IF(Scharniere[[#This Row],[ohne Feder]]=1,3,0))),1,0)</f>
        <v>1</v>
      </c>
      <c r="S1003" s="298">
        <f>IF(Scharniere[[#This Row],[Bohrbild]]=select!$A$755,1,0)</f>
        <v>0</v>
      </c>
      <c r="T1003" s="298">
        <f>IF(IF(Scharniere[[#This Row],[Anschrauben]]=1,1,IF(Scharniere[[#This Row],[Einpressen]]=1,2,IF(Scharniere[[#This Row],[Quick]]=1,3,IF(Scharniere[[#This Row],[Werkzeuglos]]=1,4,0))))=select!$A$769,1,0)</f>
        <v>1</v>
      </c>
      <c r="U100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3" s="359">
        <f>IF(AND(Scharniere[[#This Row],[Scharnierart]]=4,Scharniere[[#This Row],[Gruppenschlüssel]]=select!$A$981)=TRUE,1,0)</f>
        <v>0</v>
      </c>
      <c r="W1003" s="359">
        <f ca="1">IF(select!$O$1185&lt;6,1,0)</f>
        <v>1</v>
      </c>
      <c r="X1003" s="359">
        <f>IF(select!$A$1012=IF(Scharniere[[#This Row],[mit Dämpfung]]=1,1,IF(Scharniere[[#This Row],[ohne Dämpfung]]=1,2,IF(Scharniere[[#This Row],[ohne Feder]]=1,3,0))),1,0)</f>
        <v>1</v>
      </c>
      <c r="Y1003" s="359">
        <f>IF(Scharniere[[#This Row],[Bohrbild]]=select!$A$989,1,0)</f>
        <v>0</v>
      </c>
      <c r="Z1003" s="359">
        <f>IF(IF(Scharniere[[#This Row],[Anschrauben]]=1,1,IF(Scharniere[[#This Row],[Einpressen]]=1,2,IF(Scharniere[[#This Row],[Quick]]=1,3,IF(Scharniere[[#This Row],[Werkzeuglos]]=1,4,0))))=select!$A$1003,1,0)</f>
        <v>1</v>
      </c>
      <c r="AA100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3" s="359">
        <f ca="1">IF(select!$K$980="*",Scharniere[[#This Row],[AG Ges2]],Scharniere[[#This Row],[AG Ges1]])</f>
        <v>0</v>
      </c>
      <c r="AE1003" s="451">
        <f ca="1">IF(AND(Scharniere[[#This Row],[Scharnierart]]=select!$A$1485,Scharniere[[#This Row],[Gruppenschlüssel]]=select!$B$1485)=TRUE,1,0)</f>
        <v>0</v>
      </c>
      <c r="AF1003" s="451">
        <f ca="1">IF(AND(Scharniere[[#This Row],[Scharnierart]]=select!$A$1486,Scharniere[[#This Row],[Gruppenschlüssel]]=select!$B$1486)=TRUE,1,0)</f>
        <v>0</v>
      </c>
      <c r="AG1003" s="451">
        <f ca="1">IF(AND(Scharniere[[#This Row],[Scharnierart]]=select!$A$1487,Scharniere[[#This Row],[Gruppenschlüssel]]=select!$B$1487)=TRUE,1,0)</f>
        <v>0</v>
      </c>
      <c r="AH1003" s="451">
        <f ca="1">IF(AND(Scharniere[[#This Row],[Scharnierart]]=select!$A$1488,Scharniere[[#This Row],[Gruppenschlüssel]]=select!$B$1488)=TRUE,1,0)</f>
        <v>0</v>
      </c>
      <c r="AI1003" s="451">
        <f ca="1">IF(SUM(Scharniere[[#This Row],[konf Scharnier 1]:[konf Scharnier 4]])&gt;0,1,0)</f>
        <v>0</v>
      </c>
      <c r="AJ1003" s="451"/>
      <c r="AK1003" s="451"/>
      <c r="AL1003" s="451"/>
      <c r="AM1003" s="451"/>
      <c r="AN1003" s="451"/>
      <c r="AO1003" s="146">
        <v>2</v>
      </c>
      <c r="AP1003" s="146">
        <v>10</v>
      </c>
      <c r="AQ1003" s="71" t="str">
        <f ca="1">Sprache!$A$118</f>
        <v>Tiomos Scharnier T Click-on</v>
      </c>
      <c r="AR1003" t="str">
        <f ca="1">"120/-30°, S-BB, "&amp;Sprache!$A$58&amp;" ni"</f>
        <v>120/-30°, S-BB, aufl. ni</v>
      </c>
      <c r="AS1003" t="str">
        <f ca="1">Sprache!$A$103</f>
        <v>Tiomos Click-On Scharniere</v>
      </c>
      <c r="AT1003" t="s">
        <v>1264</v>
      </c>
      <c r="AU1003" t="s">
        <v>11</v>
      </c>
      <c r="AV1003" t="s">
        <v>1496</v>
      </c>
      <c r="AW1003" s="71">
        <v>0</v>
      </c>
      <c r="AX1003">
        <v>1</v>
      </c>
      <c r="AY1003">
        <v>0</v>
      </c>
      <c r="AZ1003" s="71">
        <v>1</v>
      </c>
      <c r="BA1003">
        <v>0</v>
      </c>
      <c r="BB1003">
        <v>0</v>
      </c>
      <c r="BC1003">
        <v>0</v>
      </c>
      <c r="BD1003" s="144" t="s">
        <v>1689</v>
      </c>
      <c r="BF1003" s="10"/>
      <c r="BG1003"/>
    </row>
    <row r="1004" spans="1:59" ht="14.25" customHeight="1" x14ac:dyDescent="0.25">
      <c r="A1004" s="37" t="str">
        <f>LEFT(Scharniere[[#This Row],[ArtikelNR]],4)</f>
        <v>F028</v>
      </c>
      <c r="B1004" s="35" t="str">
        <f>MID(Scharniere[[#This Row],[ArtikelNR]],5,3)</f>
        <v>138</v>
      </c>
      <c r="C1004" s="37" t="str">
        <f>RIGHT(Scharniere[[#This Row],[ArtikelNR]],3)</f>
        <v>557</v>
      </c>
      <c r="D1004" s="35">
        <f>IF(AND(Scharniere[[#This Row],[Gruppenschlüssel]]=select!$A$44,Scharniere[[#This Row],[Scharnierart]]=1)=TRUE,1,0)</f>
        <v>0</v>
      </c>
      <c r="E100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4" s="35">
        <f>IF(select!$F$57=IF(Scharniere[[#This Row],[mit Dämpfung]]=1,1,IF(Scharniere[[#This Row],[ohne Dämpfung]]=1,2,IF(Scharniere[[#This Row],[ohne Feder]]=1,3,0))),1,0)</f>
        <v>0</v>
      </c>
      <c r="G1004" s="35">
        <f>IF(Scharniere[[#This Row],[Bohrbild]]=select!$V$43,1,0)</f>
        <v>0</v>
      </c>
      <c r="H1004" s="35">
        <f>IF(IF(Scharniere[[#This Row],[Anschrauben]]=1,1,IF(Scharniere[[#This Row],[Einpressen]]=1,2,IF(Scharniere[[#This Row],[Quick]]=1,3,IF(Scharniere[[#This Row],[Werkzeuglos]]=1,4,0))))=select!$F$48,1,0)</f>
        <v>0</v>
      </c>
      <c r="I100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4" s="149">
        <f>IF(AND(Scharniere[[#This Row],[Scharnierart]]=2,Scharniere[[#This Row],[Gruppenschlüssel]]=select!$A$318)=TRUE,1,0)</f>
        <v>0</v>
      </c>
      <c r="K1004" s="221">
        <f ca="1">IF(select!$O$424&lt;6,1,0)</f>
        <v>1</v>
      </c>
      <c r="L1004" s="221">
        <f>IF(select!$A$362=IF(Scharniere[[#This Row],[mit Dämpfung]]=1,1,IF(Scharniere[[#This Row],[ohne Dämpfung]]=1,2,IF(Scharniere[[#This Row],[ohne Feder]]=1,3,0))),1,0)</f>
        <v>1</v>
      </c>
      <c r="M1004" s="135">
        <f>IF(Scharniere[[#This Row],[Bohrbild]]=select!$O$334,1,0)</f>
        <v>0</v>
      </c>
      <c r="N1004" s="135">
        <f>IF(IF(Scharniere[[#This Row],[Anschrauben]]=1,1,IF(Scharniere[[#This Row],[Einpressen]]=1,2,IF(Scharniere[[#This Row],[Quick]]=1,3,IF(Scharniere[[#This Row],[Werkzeuglos]]=1,4,0))))=select!$E$362,1,0)</f>
        <v>1</v>
      </c>
      <c r="O100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4" s="298">
        <f>IF(AND(Scharniere[[#This Row],[Scharnierart]]=3,Scharniere[[#This Row],[Gruppenschlüssel]]=select!$A$747)=TRUE,1,0)</f>
        <v>0</v>
      </c>
      <c r="Q1004" s="298">
        <f ca="1">IF(select!$O$945&lt;6,1,0)</f>
        <v>1</v>
      </c>
      <c r="R1004" s="298">
        <f>IF(select!$A$778=IF(Scharniere[[#This Row],[mit Dämpfung]]=1,1,IF(Scharniere[[#This Row],[ohne Dämpfung]]=1,2,IF(Scharniere[[#This Row],[ohne Feder]]=1,3,0))),1,0)</f>
        <v>0</v>
      </c>
      <c r="S1004" s="298">
        <f>IF(Scharniere[[#This Row],[Bohrbild]]=select!$A$755,1,0)</f>
        <v>0</v>
      </c>
      <c r="T1004" s="298">
        <f>IF(IF(Scharniere[[#This Row],[Anschrauben]]=1,1,IF(Scharniere[[#This Row],[Einpressen]]=1,2,IF(Scharniere[[#This Row],[Quick]]=1,3,IF(Scharniere[[#This Row],[Werkzeuglos]]=1,4,0))))=select!$A$769,1,0)</f>
        <v>1</v>
      </c>
      <c r="U100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4" s="359">
        <f>IF(AND(Scharniere[[#This Row],[Scharnierart]]=4,Scharniere[[#This Row],[Gruppenschlüssel]]=select!$A$981)=TRUE,1,0)</f>
        <v>0</v>
      </c>
      <c r="W1004" s="359">
        <f ca="1">IF(select!$O$1185&lt;6,1,0)</f>
        <v>1</v>
      </c>
      <c r="X1004" s="359">
        <f>IF(select!$A$1012=IF(Scharniere[[#This Row],[mit Dämpfung]]=1,1,IF(Scharniere[[#This Row],[ohne Dämpfung]]=1,2,IF(Scharniere[[#This Row],[ohne Feder]]=1,3,0))),1,0)</f>
        <v>0</v>
      </c>
      <c r="Y1004" s="359">
        <f>IF(Scharniere[[#This Row],[Bohrbild]]=select!$A$989,1,0)</f>
        <v>0</v>
      </c>
      <c r="Z1004" s="359">
        <f>IF(IF(Scharniere[[#This Row],[Anschrauben]]=1,1,IF(Scharniere[[#This Row],[Einpressen]]=1,2,IF(Scharniere[[#This Row],[Quick]]=1,3,IF(Scharniere[[#This Row],[Werkzeuglos]]=1,4,0))))=select!$A$1003,1,0)</f>
        <v>1</v>
      </c>
      <c r="AA100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4" s="359">
        <f ca="1">IF(select!$K$980="*",Scharniere[[#This Row],[AG Ges2]],Scharniere[[#This Row],[AG Ges1]])</f>
        <v>0</v>
      </c>
      <c r="AE1004" s="451">
        <f ca="1">IF(AND(Scharniere[[#This Row],[Scharnierart]]=select!$A$1485,Scharniere[[#This Row],[Gruppenschlüssel]]=select!$B$1485)=TRUE,1,0)</f>
        <v>0</v>
      </c>
      <c r="AF1004" s="451">
        <f ca="1">IF(AND(Scharniere[[#This Row],[Scharnierart]]=select!$A$1486,Scharniere[[#This Row],[Gruppenschlüssel]]=select!$B$1486)=TRUE,1,0)</f>
        <v>0</v>
      </c>
      <c r="AG1004" s="451">
        <f ca="1">IF(AND(Scharniere[[#This Row],[Scharnierart]]=select!$A$1487,Scharniere[[#This Row],[Gruppenschlüssel]]=select!$B$1487)=TRUE,1,0)</f>
        <v>0</v>
      </c>
      <c r="AH1004" s="451">
        <f ca="1">IF(AND(Scharniere[[#This Row],[Scharnierart]]=select!$A$1488,Scharniere[[#This Row],[Gruppenschlüssel]]=select!$B$1488)=TRUE,1,0)</f>
        <v>0</v>
      </c>
      <c r="AI1004" s="451">
        <f ca="1">IF(SUM(Scharniere[[#This Row],[konf Scharnier 1]:[konf Scharnier 4]])&gt;0,1,0)</f>
        <v>0</v>
      </c>
      <c r="AJ1004" s="451"/>
      <c r="AK1004" s="451"/>
      <c r="AL1004" s="451"/>
      <c r="AM1004" s="451"/>
      <c r="AN1004" s="451"/>
      <c r="AO1004" s="146">
        <v>2</v>
      </c>
      <c r="AP1004" s="146">
        <v>11</v>
      </c>
      <c r="AQ1004" s="71" t="str">
        <f ca="1">Sprache!$A$112</f>
        <v>Tiomos Scharnier TS Click-on</v>
      </c>
      <c r="AR1004" t="str">
        <f ca="1">"120/-45°, B-BB, "&amp;Sprache!$A$58&amp;" ni"</f>
        <v>120/-45°, B-BB, aufl. ni</v>
      </c>
      <c r="AS1004" t="str">
        <f ca="1">Sprache!$A$103</f>
        <v>Tiomos Click-On Scharniere</v>
      </c>
      <c r="AT1004" t="s">
        <v>1264</v>
      </c>
      <c r="AU1004" t="s">
        <v>3</v>
      </c>
      <c r="AV1004" t="s">
        <v>1496</v>
      </c>
      <c r="AW1004" s="71">
        <v>1</v>
      </c>
      <c r="AX1004">
        <v>0</v>
      </c>
      <c r="AY1004">
        <v>0</v>
      </c>
      <c r="AZ1004" s="71">
        <v>1</v>
      </c>
      <c r="BA1004">
        <v>0</v>
      </c>
      <c r="BB1004">
        <v>0</v>
      </c>
      <c r="BC1004">
        <v>0</v>
      </c>
      <c r="BD1004" s="144" t="s">
        <v>1553</v>
      </c>
      <c r="BF1004" s="10"/>
      <c r="BG1004"/>
    </row>
    <row r="1005" spans="1:59" ht="14.25" customHeight="1" x14ac:dyDescent="0.25">
      <c r="A1005" s="37" t="str">
        <f>LEFT(Scharniere[[#This Row],[ArtikelNR]],4)</f>
        <v>F045</v>
      </c>
      <c r="B1005" s="35" t="str">
        <f>MID(Scharniere[[#This Row],[ArtikelNR]],5,3)</f>
        <v>138</v>
      </c>
      <c r="C1005" s="37" t="str">
        <f>RIGHT(Scharniere[[#This Row],[ArtikelNR]],3)</f>
        <v>495</v>
      </c>
      <c r="D1005" s="35">
        <f>IF(AND(Scharniere[[#This Row],[Gruppenschlüssel]]=select!$A$44,Scharniere[[#This Row],[Scharnierart]]=1)=TRUE,1,0)</f>
        <v>0</v>
      </c>
      <c r="E100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5" s="35">
        <f>IF(select!$F$57=IF(Scharniere[[#This Row],[mit Dämpfung]]=1,1,IF(Scharniere[[#This Row],[ohne Dämpfung]]=1,2,IF(Scharniere[[#This Row],[ohne Feder]]=1,3,0))),1,0)</f>
        <v>0</v>
      </c>
      <c r="G1005" s="35">
        <f>IF(Scharniere[[#This Row],[Bohrbild]]=select!$V$43,1,0)</f>
        <v>0</v>
      </c>
      <c r="H1005" s="35">
        <f>IF(IF(Scharniere[[#This Row],[Anschrauben]]=1,1,IF(Scharniere[[#This Row],[Einpressen]]=1,2,IF(Scharniere[[#This Row],[Quick]]=1,3,IF(Scharniere[[#This Row],[Werkzeuglos]]=1,4,0))))=select!$F$48,1,0)</f>
        <v>0</v>
      </c>
      <c r="I100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5" s="149">
        <f>IF(AND(Scharniere[[#This Row],[Scharnierart]]=2,Scharniere[[#This Row],[Gruppenschlüssel]]=select!$A$318)=TRUE,1,0)</f>
        <v>0</v>
      </c>
      <c r="K1005" s="221">
        <f ca="1">IF(select!$O$424&lt;6,1,0)</f>
        <v>1</v>
      </c>
      <c r="L1005" s="221">
        <f>IF(select!$A$362=IF(Scharniere[[#This Row],[mit Dämpfung]]=1,1,IF(Scharniere[[#This Row],[ohne Dämpfung]]=1,2,IF(Scharniere[[#This Row],[ohne Feder]]=1,3,0))),1,0)</f>
        <v>0</v>
      </c>
      <c r="M1005" s="135">
        <f>IF(Scharniere[[#This Row],[Bohrbild]]=select!$O$334,1,0)</f>
        <v>0</v>
      </c>
      <c r="N1005" s="135">
        <f>IF(IF(Scharniere[[#This Row],[Anschrauben]]=1,1,IF(Scharniere[[#This Row],[Einpressen]]=1,2,IF(Scharniere[[#This Row],[Quick]]=1,3,IF(Scharniere[[#This Row],[Werkzeuglos]]=1,4,0))))=select!$E$362,1,0)</f>
        <v>1</v>
      </c>
      <c r="O100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5" s="298">
        <f>IF(AND(Scharniere[[#This Row],[Scharnierart]]=3,Scharniere[[#This Row],[Gruppenschlüssel]]=select!$A$747)=TRUE,1,0)</f>
        <v>0</v>
      </c>
      <c r="Q1005" s="298">
        <f ca="1">IF(select!$O$945&lt;6,1,0)</f>
        <v>1</v>
      </c>
      <c r="R1005" s="298">
        <f>IF(select!$A$778=IF(Scharniere[[#This Row],[mit Dämpfung]]=1,1,IF(Scharniere[[#This Row],[ohne Dämpfung]]=1,2,IF(Scharniere[[#This Row],[ohne Feder]]=1,3,0))),1,0)</f>
        <v>1</v>
      </c>
      <c r="S1005" s="298">
        <f>IF(Scharniere[[#This Row],[Bohrbild]]=select!$A$755,1,0)</f>
        <v>0</v>
      </c>
      <c r="T1005" s="298">
        <f>IF(IF(Scharniere[[#This Row],[Anschrauben]]=1,1,IF(Scharniere[[#This Row],[Einpressen]]=1,2,IF(Scharniere[[#This Row],[Quick]]=1,3,IF(Scharniere[[#This Row],[Werkzeuglos]]=1,4,0))))=select!$A$769,1,0)</f>
        <v>1</v>
      </c>
      <c r="U100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5" s="359">
        <f>IF(AND(Scharniere[[#This Row],[Scharnierart]]=4,Scharniere[[#This Row],[Gruppenschlüssel]]=select!$A$981)=TRUE,1,0)</f>
        <v>0</v>
      </c>
      <c r="W1005" s="359">
        <f ca="1">IF(select!$O$1185&lt;6,1,0)</f>
        <v>1</v>
      </c>
      <c r="X1005" s="359">
        <f>IF(select!$A$1012=IF(Scharniere[[#This Row],[mit Dämpfung]]=1,1,IF(Scharniere[[#This Row],[ohne Dämpfung]]=1,2,IF(Scharniere[[#This Row],[ohne Feder]]=1,3,0))),1,0)</f>
        <v>1</v>
      </c>
      <c r="Y1005" s="359">
        <f>IF(Scharniere[[#This Row],[Bohrbild]]=select!$A$989,1,0)</f>
        <v>0</v>
      </c>
      <c r="Z1005" s="359">
        <f>IF(IF(Scharniere[[#This Row],[Anschrauben]]=1,1,IF(Scharniere[[#This Row],[Einpressen]]=1,2,IF(Scharniere[[#This Row],[Quick]]=1,3,IF(Scharniere[[#This Row],[Werkzeuglos]]=1,4,0))))=select!$A$1003,1,0)</f>
        <v>1</v>
      </c>
      <c r="AA100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5" s="359">
        <f ca="1">IF(select!$K$980="*",Scharniere[[#This Row],[AG Ges2]],Scharniere[[#This Row],[AG Ges1]])</f>
        <v>0</v>
      </c>
      <c r="AE1005" s="451">
        <f ca="1">IF(AND(Scharniere[[#This Row],[Scharnierart]]=select!$A$1485,Scharniere[[#This Row],[Gruppenschlüssel]]=select!$B$1485)=TRUE,1,0)</f>
        <v>0</v>
      </c>
      <c r="AF1005" s="451">
        <f ca="1">IF(AND(Scharniere[[#This Row],[Scharnierart]]=select!$A$1486,Scharniere[[#This Row],[Gruppenschlüssel]]=select!$B$1486)=TRUE,1,0)</f>
        <v>0</v>
      </c>
      <c r="AG1005" s="451">
        <f ca="1">IF(AND(Scharniere[[#This Row],[Scharnierart]]=select!$A$1487,Scharniere[[#This Row],[Gruppenschlüssel]]=select!$B$1487)=TRUE,1,0)</f>
        <v>0</v>
      </c>
      <c r="AH1005" s="451">
        <f ca="1">IF(AND(Scharniere[[#This Row],[Scharnierart]]=select!$A$1488,Scharniere[[#This Row],[Gruppenschlüssel]]=select!$B$1488)=TRUE,1,0)</f>
        <v>0</v>
      </c>
      <c r="AI1005" s="451">
        <f ca="1">IF(SUM(Scharniere[[#This Row],[konf Scharnier 1]:[konf Scharnier 4]])&gt;0,1,0)</f>
        <v>0</v>
      </c>
      <c r="AJ1005" s="451"/>
      <c r="AK1005" s="451"/>
      <c r="AL1005" s="451"/>
      <c r="AM1005" s="451"/>
      <c r="AN1005" s="451"/>
      <c r="AO1005" s="146">
        <v>2</v>
      </c>
      <c r="AP1005" s="146">
        <v>11</v>
      </c>
      <c r="AQ1005" s="71" t="str">
        <f ca="1">Sprache!$A$118</f>
        <v>Tiomos Scharnier T Click-on</v>
      </c>
      <c r="AR1005" t="str">
        <f ca="1">"120/-45°, B-BB, "&amp;Sprache!$A$58&amp;" ni"</f>
        <v>120/-45°, B-BB, aufl. ni</v>
      </c>
      <c r="AS1005" t="str">
        <f ca="1">Sprache!$A$103</f>
        <v>Tiomos Click-On Scharniere</v>
      </c>
      <c r="AT1005" t="s">
        <v>1264</v>
      </c>
      <c r="AU1005" s="34" t="s">
        <v>3</v>
      </c>
      <c r="AV1005" t="s">
        <v>1496</v>
      </c>
      <c r="AW1005" s="71">
        <v>0</v>
      </c>
      <c r="AX1005">
        <v>1</v>
      </c>
      <c r="AY1005">
        <v>0</v>
      </c>
      <c r="AZ1005" s="71">
        <v>1</v>
      </c>
      <c r="BA1005">
        <v>0</v>
      </c>
      <c r="BB1005">
        <v>0</v>
      </c>
      <c r="BC1005">
        <v>0</v>
      </c>
      <c r="BD1005" s="144" t="s">
        <v>1660</v>
      </c>
      <c r="BF1005" s="10"/>
      <c r="BG1005"/>
    </row>
    <row r="1006" spans="1:59" ht="14.25" customHeight="1" x14ac:dyDescent="0.25">
      <c r="A1006" s="37" t="str">
        <f>LEFT(Scharniere[[#This Row],[ArtikelNR]],4)</f>
        <v>F028</v>
      </c>
      <c r="B1006" s="35" t="str">
        <f>MID(Scharniere[[#This Row],[ArtikelNR]],5,3)</f>
        <v>138</v>
      </c>
      <c r="C1006" s="37" t="str">
        <f>RIGHT(Scharniere[[#This Row],[ArtikelNR]],3)</f>
        <v>375</v>
      </c>
      <c r="D1006" s="35">
        <f>IF(AND(Scharniere[[#This Row],[Gruppenschlüssel]]=select!$A$44,Scharniere[[#This Row],[Scharnierart]]=1)=TRUE,1,0)</f>
        <v>0</v>
      </c>
      <c r="E100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6" s="35">
        <f>IF(select!$F$57=IF(Scharniere[[#This Row],[mit Dämpfung]]=1,1,IF(Scharniere[[#This Row],[ohne Dämpfung]]=1,2,IF(Scharniere[[#This Row],[ohne Feder]]=1,3,0))),1,0)</f>
        <v>0</v>
      </c>
      <c r="G1006" s="35">
        <f>IF(Scharniere[[#This Row],[Bohrbild]]=select!$V$43,1,0)</f>
        <v>0</v>
      </c>
      <c r="H1006" s="35">
        <f>IF(IF(Scharniere[[#This Row],[Anschrauben]]=1,1,IF(Scharniere[[#This Row],[Einpressen]]=1,2,IF(Scharniere[[#This Row],[Quick]]=1,3,IF(Scharniere[[#This Row],[Werkzeuglos]]=1,4,0))))=select!$F$48,1,0)</f>
        <v>0</v>
      </c>
      <c r="I100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6" s="149">
        <f>IF(AND(Scharniere[[#This Row],[Scharnierart]]=2,Scharniere[[#This Row],[Gruppenschlüssel]]=select!$A$318)=TRUE,1,0)</f>
        <v>0</v>
      </c>
      <c r="K1006" s="221">
        <f ca="1">IF(select!$O$424&lt;6,1,0)</f>
        <v>1</v>
      </c>
      <c r="L1006" s="221">
        <f>IF(select!$A$362=IF(Scharniere[[#This Row],[mit Dämpfung]]=1,1,IF(Scharniere[[#This Row],[ohne Dämpfung]]=1,2,IF(Scharniere[[#This Row],[ohne Feder]]=1,3,0))),1,0)</f>
        <v>1</v>
      </c>
      <c r="M1006" s="135">
        <f>IF(Scharniere[[#This Row],[Bohrbild]]=select!$O$334,1,0)</f>
        <v>0</v>
      </c>
      <c r="N1006" s="135">
        <f>IF(IF(Scharniere[[#This Row],[Anschrauben]]=1,1,IF(Scharniere[[#This Row],[Einpressen]]=1,2,IF(Scharniere[[#This Row],[Quick]]=1,3,IF(Scharniere[[#This Row],[Werkzeuglos]]=1,4,0))))=select!$E$362,1,0)</f>
        <v>1</v>
      </c>
      <c r="O100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6" s="298">
        <f>IF(AND(Scharniere[[#This Row],[Scharnierart]]=3,Scharniere[[#This Row],[Gruppenschlüssel]]=select!$A$747)=TRUE,1,0)</f>
        <v>0</v>
      </c>
      <c r="Q1006" s="298">
        <f ca="1">IF(select!$O$945&lt;6,1,0)</f>
        <v>1</v>
      </c>
      <c r="R1006" s="298">
        <f>IF(select!$A$778=IF(Scharniere[[#This Row],[mit Dämpfung]]=1,1,IF(Scharniere[[#This Row],[ohne Dämpfung]]=1,2,IF(Scharniere[[#This Row],[ohne Feder]]=1,3,0))),1,0)</f>
        <v>0</v>
      </c>
      <c r="S1006" s="298">
        <f>IF(Scharniere[[#This Row],[Bohrbild]]=select!$A$755,1,0)</f>
        <v>0</v>
      </c>
      <c r="T1006" s="298">
        <f>IF(IF(Scharniere[[#This Row],[Anschrauben]]=1,1,IF(Scharniere[[#This Row],[Einpressen]]=1,2,IF(Scharniere[[#This Row],[Quick]]=1,3,IF(Scharniere[[#This Row],[Werkzeuglos]]=1,4,0))))=select!$A$769,1,0)</f>
        <v>1</v>
      </c>
      <c r="U100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6" s="359">
        <f>IF(AND(Scharniere[[#This Row],[Scharnierart]]=4,Scharniere[[#This Row],[Gruppenschlüssel]]=select!$A$981)=TRUE,1,0)</f>
        <v>0</v>
      </c>
      <c r="W1006" s="359">
        <f ca="1">IF(select!$O$1185&lt;6,1,0)</f>
        <v>1</v>
      </c>
      <c r="X1006" s="359">
        <f>IF(select!$A$1012=IF(Scharniere[[#This Row],[mit Dämpfung]]=1,1,IF(Scharniere[[#This Row],[ohne Dämpfung]]=1,2,IF(Scharniere[[#This Row],[ohne Feder]]=1,3,0))),1,0)</f>
        <v>0</v>
      </c>
      <c r="Y1006" s="359">
        <f>IF(Scharniere[[#This Row],[Bohrbild]]=select!$A$989,1,0)</f>
        <v>0</v>
      </c>
      <c r="Z1006" s="359">
        <f>IF(IF(Scharniere[[#This Row],[Anschrauben]]=1,1,IF(Scharniere[[#This Row],[Einpressen]]=1,2,IF(Scharniere[[#This Row],[Quick]]=1,3,IF(Scharniere[[#This Row],[Werkzeuglos]]=1,4,0))))=select!$A$1003,1,0)</f>
        <v>1</v>
      </c>
      <c r="AA100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6" s="359">
        <f ca="1">IF(select!$K$980="*",Scharniere[[#This Row],[AG Ges2]],Scharniere[[#This Row],[AG Ges1]])</f>
        <v>0</v>
      </c>
      <c r="AE1006" s="451">
        <f ca="1">IF(AND(Scharniere[[#This Row],[Scharnierart]]=select!$A$1485,Scharniere[[#This Row],[Gruppenschlüssel]]=select!$B$1485)=TRUE,1,0)</f>
        <v>0</v>
      </c>
      <c r="AF1006" s="451">
        <f ca="1">IF(AND(Scharniere[[#This Row],[Scharnierart]]=select!$A$1486,Scharniere[[#This Row],[Gruppenschlüssel]]=select!$B$1486)=TRUE,1,0)</f>
        <v>0</v>
      </c>
      <c r="AG1006" s="451">
        <f ca="1">IF(AND(Scharniere[[#This Row],[Scharnierart]]=select!$A$1487,Scharniere[[#This Row],[Gruppenschlüssel]]=select!$B$1487)=TRUE,1,0)</f>
        <v>0</v>
      </c>
      <c r="AH1006" s="451">
        <f ca="1">IF(AND(Scharniere[[#This Row],[Scharnierart]]=select!$A$1488,Scharniere[[#This Row],[Gruppenschlüssel]]=select!$B$1488)=TRUE,1,0)</f>
        <v>0</v>
      </c>
      <c r="AI1006" s="451">
        <f ca="1">IF(SUM(Scharniere[[#This Row],[konf Scharnier 1]:[konf Scharnier 4]])&gt;0,1,0)</f>
        <v>0</v>
      </c>
      <c r="AJ1006" s="451"/>
      <c r="AK1006" s="451"/>
      <c r="AL1006" s="451"/>
      <c r="AM1006" s="451"/>
      <c r="AN1006" s="451"/>
      <c r="AO1006" s="146">
        <v>2</v>
      </c>
      <c r="AP1006" s="146">
        <v>11</v>
      </c>
      <c r="AQ1006" s="71" t="str">
        <f ca="1">Sprache!$A$112</f>
        <v>Tiomos Scharnier TS Click-on</v>
      </c>
      <c r="AR1006" t="str">
        <f ca="1">"120/-45°, G-BB, "&amp;Sprache!$A$58&amp;" ni"</f>
        <v>120/-45°, G-BB, aufl. ni</v>
      </c>
      <c r="AS1006" t="str">
        <f ca="1">Sprache!$A$103</f>
        <v>Tiomos Click-On Scharniere</v>
      </c>
      <c r="AT1006" t="s">
        <v>1264</v>
      </c>
      <c r="AU1006" t="s">
        <v>9</v>
      </c>
      <c r="AV1006" t="s">
        <v>1496</v>
      </c>
      <c r="AW1006" s="71">
        <v>1</v>
      </c>
      <c r="AX1006">
        <v>0</v>
      </c>
      <c r="AY1006">
        <v>0</v>
      </c>
      <c r="AZ1006" s="71">
        <v>1</v>
      </c>
      <c r="BA1006">
        <v>0</v>
      </c>
      <c r="BB1006">
        <v>0</v>
      </c>
      <c r="BC1006">
        <v>0</v>
      </c>
      <c r="BD1006" s="144" t="s">
        <v>1545</v>
      </c>
      <c r="BF1006" s="10"/>
      <c r="BG1006"/>
    </row>
    <row r="1007" spans="1:59" ht="14.25" customHeight="1" x14ac:dyDescent="0.25">
      <c r="A1007" s="37" t="str">
        <f>LEFT(Scharniere[[#This Row],[ArtikelNR]],4)</f>
        <v>F045</v>
      </c>
      <c r="B1007" s="35" t="str">
        <f>MID(Scharniere[[#This Row],[ArtikelNR]],5,3)</f>
        <v>138</v>
      </c>
      <c r="C1007" s="37" t="str">
        <f>RIGHT(Scharniere[[#This Row],[ArtikelNR]],3)</f>
        <v>313</v>
      </c>
      <c r="D1007" s="35">
        <f>IF(AND(Scharniere[[#This Row],[Gruppenschlüssel]]=select!$A$44,Scharniere[[#This Row],[Scharnierart]]=1)=TRUE,1,0)</f>
        <v>0</v>
      </c>
      <c r="E100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7" s="35">
        <f>IF(select!$F$57=IF(Scharniere[[#This Row],[mit Dämpfung]]=1,1,IF(Scharniere[[#This Row],[ohne Dämpfung]]=1,2,IF(Scharniere[[#This Row],[ohne Feder]]=1,3,0))),1,0)</f>
        <v>0</v>
      </c>
      <c r="G1007" s="35">
        <f>IF(Scharniere[[#This Row],[Bohrbild]]=select!$V$43,1,0)</f>
        <v>0</v>
      </c>
      <c r="H1007" s="35">
        <f>IF(IF(Scharniere[[#This Row],[Anschrauben]]=1,1,IF(Scharniere[[#This Row],[Einpressen]]=1,2,IF(Scharniere[[#This Row],[Quick]]=1,3,IF(Scharniere[[#This Row],[Werkzeuglos]]=1,4,0))))=select!$F$48,1,0)</f>
        <v>0</v>
      </c>
      <c r="I100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7" s="149">
        <f>IF(AND(Scharniere[[#This Row],[Scharnierart]]=2,Scharniere[[#This Row],[Gruppenschlüssel]]=select!$A$318)=TRUE,1,0)</f>
        <v>0</v>
      </c>
      <c r="K1007" s="221">
        <f ca="1">IF(select!$O$424&lt;6,1,0)</f>
        <v>1</v>
      </c>
      <c r="L1007" s="221">
        <f>IF(select!$A$362=IF(Scharniere[[#This Row],[mit Dämpfung]]=1,1,IF(Scharniere[[#This Row],[ohne Dämpfung]]=1,2,IF(Scharniere[[#This Row],[ohne Feder]]=1,3,0))),1,0)</f>
        <v>0</v>
      </c>
      <c r="M1007" s="135">
        <f>IF(Scharniere[[#This Row],[Bohrbild]]=select!$O$334,1,0)</f>
        <v>0</v>
      </c>
      <c r="N1007" s="135">
        <f>IF(IF(Scharniere[[#This Row],[Anschrauben]]=1,1,IF(Scharniere[[#This Row],[Einpressen]]=1,2,IF(Scharniere[[#This Row],[Quick]]=1,3,IF(Scharniere[[#This Row],[Werkzeuglos]]=1,4,0))))=select!$E$362,1,0)</f>
        <v>1</v>
      </c>
      <c r="O100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7" s="298">
        <f>IF(AND(Scharniere[[#This Row],[Scharnierart]]=3,Scharniere[[#This Row],[Gruppenschlüssel]]=select!$A$747)=TRUE,1,0)</f>
        <v>0</v>
      </c>
      <c r="Q1007" s="298">
        <f ca="1">IF(select!$O$945&lt;6,1,0)</f>
        <v>1</v>
      </c>
      <c r="R1007" s="298">
        <f>IF(select!$A$778=IF(Scharniere[[#This Row],[mit Dämpfung]]=1,1,IF(Scharniere[[#This Row],[ohne Dämpfung]]=1,2,IF(Scharniere[[#This Row],[ohne Feder]]=1,3,0))),1,0)</f>
        <v>1</v>
      </c>
      <c r="S1007" s="298">
        <f>IF(Scharniere[[#This Row],[Bohrbild]]=select!$A$755,1,0)</f>
        <v>0</v>
      </c>
      <c r="T1007" s="298">
        <f>IF(IF(Scharniere[[#This Row],[Anschrauben]]=1,1,IF(Scharniere[[#This Row],[Einpressen]]=1,2,IF(Scharniere[[#This Row],[Quick]]=1,3,IF(Scharniere[[#This Row],[Werkzeuglos]]=1,4,0))))=select!$A$769,1,0)</f>
        <v>1</v>
      </c>
      <c r="U100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7" s="359">
        <f>IF(AND(Scharniere[[#This Row],[Scharnierart]]=4,Scharniere[[#This Row],[Gruppenschlüssel]]=select!$A$981)=TRUE,1,0)</f>
        <v>0</v>
      </c>
      <c r="W1007" s="359">
        <f ca="1">IF(select!$O$1185&lt;6,1,0)</f>
        <v>1</v>
      </c>
      <c r="X1007" s="359">
        <f>IF(select!$A$1012=IF(Scharniere[[#This Row],[mit Dämpfung]]=1,1,IF(Scharniere[[#This Row],[ohne Dämpfung]]=1,2,IF(Scharniere[[#This Row],[ohne Feder]]=1,3,0))),1,0)</f>
        <v>1</v>
      </c>
      <c r="Y1007" s="359">
        <f>IF(Scharniere[[#This Row],[Bohrbild]]=select!$A$989,1,0)</f>
        <v>0</v>
      </c>
      <c r="Z1007" s="359">
        <f>IF(IF(Scharniere[[#This Row],[Anschrauben]]=1,1,IF(Scharniere[[#This Row],[Einpressen]]=1,2,IF(Scharniere[[#This Row],[Quick]]=1,3,IF(Scharniere[[#This Row],[Werkzeuglos]]=1,4,0))))=select!$A$1003,1,0)</f>
        <v>1</v>
      </c>
      <c r="AA100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7" s="359">
        <f ca="1">IF(select!$K$980="*",Scharniere[[#This Row],[AG Ges2]],Scharniere[[#This Row],[AG Ges1]])</f>
        <v>0</v>
      </c>
      <c r="AE1007" s="451">
        <f ca="1">IF(AND(Scharniere[[#This Row],[Scharnierart]]=select!$A$1485,Scharniere[[#This Row],[Gruppenschlüssel]]=select!$B$1485)=TRUE,1,0)</f>
        <v>0</v>
      </c>
      <c r="AF1007" s="451">
        <f ca="1">IF(AND(Scharniere[[#This Row],[Scharnierart]]=select!$A$1486,Scharniere[[#This Row],[Gruppenschlüssel]]=select!$B$1486)=TRUE,1,0)</f>
        <v>0</v>
      </c>
      <c r="AG1007" s="451">
        <f ca="1">IF(AND(Scharniere[[#This Row],[Scharnierart]]=select!$A$1487,Scharniere[[#This Row],[Gruppenschlüssel]]=select!$B$1487)=TRUE,1,0)</f>
        <v>0</v>
      </c>
      <c r="AH1007" s="451">
        <f ca="1">IF(AND(Scharniere[[#This Row],[Scharnierart]]=select!$A$1488,Scharniere[[#This Row],[Gruppenschlüssel]]=select!$B$1488)=TRUE,1,0)</f>
        <v>0</v>
      </c>
      <c r="AI1007" s="451">
        <f ca="1">IF(SUM(Scharniere[[#This Row],[konf Scharnier 1]:[konf Scharnier 4]])&gt;0,1,0)</f>
        <v>0</v>
      </c>
      <c r="AJ1007" s="451"/>
      <c r="AK1007" s="451"/>
      <c r="AL1007" s="451"/>
      <c r="AM1007" s="451"/>
      <c r="AN1007" s="451"/>
      <c r="AO1007" s="146">
        <v>2</v>
      </c>
      <c r="AP1007" s="146">
        <v>11</v>
      </c>
      <c r="AQ1007" s="71" t="str">
        <f ca="1">Sprache!$A$118</f>
        <v>Tiomos Scharnier T Click-on</v>
      </c>
      <c r="AR1007" t="str">
        <f ca="1">"120/-45°, G-BB, "&amp;Sprache!$A$58&amp;" ni"</f>
        <v>120/-45°, G-BB, aufl. ni</v>
      </c>
      <c r="AS1007" t="str">
        <f ca="1">Sprache!$A$103</f>
        <v>Tiomos Click-On Scharniere</v>
      </c>
      <c r="AT1007" t="s">
        <v>1264</v>
      </c>
      <c r="AU1007" t="s">
        <v>9</v>
      </c>
      <c r="AV1007" t="s">
        <v>1496</v>
      </c>
      <c r="AW1007" s="71">
        <v>0</v>
      </c>
      <c r="AX1007">
        <v>1</v>
      </c>
      <c r="AY1007">
        <v>0</v>
      </c>
      <c r="AZ1007" s="71">
        <v>1</v>
      </c>
      <c r="BA1007">
        <v>0</v>
      </c>
      <c r="BB1007">
        <v>0</v>
      </c>
      <c r="BC1007">
        <v>0</v>
      </c>
      <c r="BD1007" s="144" t="s">
        <v>1646</v>
      </c>
      <c r="BF1007" s="10"/>
      <c r="BG1007"/>
    </row>
    <row r="1008" spans="1:59" ht="14.25" customHeight="1" x14ac:dyDescent="0.25">
      <c r="A1008" s="37" t="str">
        <f>LEFT(Scharniere[[#This Row],[ArtikelNR]],4)</f>
        <v>F017</v>
      </c>
      <c r="B1008" s="35" t="str">
        <f>MID(Scharniere[[#This Row],[ArtikelNR]],5,3)</f>
        <v>139</v>
      </c>
      <c r="C1008" s="37" t="str">
        <f>RIGHT(Scharniere[[#This Row],[ArtikelNR]],3)</f>
        <v>434</v>
      </c>
      <c r="D1008" s="35">
        <f>IF(AND(Scharniere[[#This Row],[Gruppenschlüssel]]=select!$A$44,Scharniere[[#This Row],[Scharnierart]]=1)=TRUE,1,0)</f>
        <v>0</v>
      </c>
      <c r="E100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8" s="35">
        <f>IF(select!$F$57=IF(Scharniere[[#This Row],[mit Dämpfung]]=1,1,IF(Scharniere[[#This Row],[ohne Dämpfung]]=1,2,IF(Scharniere[[#This Row],[ohne Feder]]=1,3,0))),1,0)</f>
        <v>0</v>
      </c>
      <c r="G1008" s="35">
        <f>IF(Scharniere[[#This Row],[Bohrbild]]=select!$V$43,1,0)</f>
        <v>0</v>
      </c>
      <c r="H1008" s="35">
        <f>IF(IF(Scharniere[[#This Row],[Anschrauben]]=1,1,IF(Scharniere[[#This Row],[Einpressen]]=1,2,IF(Scharniere[[#This Row],[Quick]]=1,3,IF(Scharniere[[#This Row],[Werkzeuglos]]=1,4,0))))=select!$F$48,1,0)</f>
        <v>0</v>
      </c>
      <c r="I100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8" s="149">
        <f>IF(AND(Scharniere[[#This Row],[Scharnierart]]=2,Scharniere[[#This Row],[Gruppenschlüssel]]=select!$A$318)=TRUE,1,0)</f>
        <v>0</v>
      </c>
      <c r="K1008" s="221">
        <f ca="1">IF(select!$O$424&lt;6,1,0)</f>
        <v>1</v>
      </c>
      <c r="L1008" s="221">
        <f>IF(select!$A$362=IF(Scharniere[[#This Row],[mit Dämpfung]]=1,1,IF(Scharniere[[#This Row],[ohne Dämpfung]]=1,2,IF(Scharniere[[#This Row],[ohne Feder]]=1,3,0))),1,0)</f>
        <v>1</v>
      </c>
      <c r="M1008" s="135">
        <f>IF(Scharniere[[#This Row],[Bohrbild]]=select!$O$334,1,0)</f>
        <v>0</v>
      </c>
      <c r="N1008" s="135">
        <f>IF(IF(Scharniere[[#This Row],[Anschrauben]]=1,1,IF(Scharniere[[#This Row],[Einpressen]]=1,2,IF(Scharniere[[#This Row],[Quick]]=1,3,IF(Scharniere[[#This Row],[Werkzeuglos]]=1,4,0))))=select!$E$362,1,0)</f>
        <v>0</v>
      </c>
      <c r="O100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8" s="298">
        <f>IF(AND(Scharniere[[#This Row],[Scharnierart]]=3,Scharniere[[#This Row],[Gruppenschlüssel]]=select!$A$747)=TRUE,1,0)</f>
        <v>0</v>
      </c>
      <c r="Q1008" s="298">
        <f ca="1">IF(select!$O$945&lt;6,1,0)</f>
        <v>1</v>
      </c>
      <c r="R1008" s="298">
        <f>IF(select!$A$778=IF(Scharniere[[#This Row],[mit Dämpfung]]=1,1,IF(Scharniere[[#This Row],[ohne Dämpfung]]=1,2,IF(Scharniere[[#This Row],[ohne Feder]]=1,3,0))),1,0)</f>
        <v>0</v>
      </c>
      <c r="S1008" s="298">
        <f>IF(Scharniere[[#This Row],[Bohrbild]]=select!$A$755,1,0)</f>
        <v>0</v>
      </c>
      <c r="T1008" s="298">
        <f>IF(IF(Scharniere[[#This Row],[Anschrauben]]=1,1,IF(Scharniere[[#This Row],[Einpressen]]=1,2,IF(Scharniere[[#This Row],[Quick]]=1,3,IF(Scharniere[[#This Row],[Werkzeuglos]]=1,4,0))))=select!$A$769,1,0)</f>
        <v>0</v>
      </c>
      <c r="U100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8" s="359">
        <f>IF(AND(Scharniere[[#This Row],[Scharnierart]]=4,Scharniere[[#This Row],[Gruppenschlüssel]]=select!$A$981)=TRUE,1,0)</f>
        <v>0</v>
      </c>
      <c r="W1008" s="359">
        <f ca="1">IF(select!$O$1185&lt;6,1,0)</f>
        <v>1</v>
      </c>
      <c r="X1008" s="359">
        <f>IF(select!$A$1012=IF(Scharniere[[#This Row],[mit Dämpfung]]=1,1,IF(Scharniere[[#This Row],[ohne Dämpfung]]=1,2,IF(Scharniere[[#This Row],[ohne Feder]]=1,3,0))),1,0)</f>
        <v>0</v>
      </c>
      <c r="Y1008" s="359">
        <f>IF(Scharniere[[#This Row],[Bohrbild]]=select!$A$989,1,0)</f>
        <v>0</v>
      </c>
      <c r="Z1008" s="359">
        <f>IF(IF(Scharniere[[#This Row],[Anschrauben]]=1,1,IF(Scharniere[[#This Row],[Einpressen]]=1,2,IF(Scharniere[[#This Row],[Quick]]=1,3,IF(Scharniere[[#This Row],[Werkzeuglos]]=1,4,0))))=select!$A$1003,1,0)</f>
        <v>0</v>
      </c>
      <c r="AA100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8" s="359">
        <f ca="1">IF(select!$K$980="*",Scharniere[[#This Row],[AG Ges2]],Scharniere[[#This Row],[AG Ges1]])</f>
        <v>0</v>
      </c>
      <c r="AE1008" s="451">
        <f ca="1">IF(AND(Scharniere[[#This Row],[Scharnierart]]=select!$A$1485,Scharniere[[#This Row],[Gruppenschlüssel]]=select!$B$1485)=TRUE,1,0)</f>
        <v>0</v>
      </c>
      <c r="AF1008" s="451">
        <f ca="1">IF(AND(Scharniere[[#This Row],[Scharnierart]]=select!$A$1486,Scharniere[[#This Row],[Gruppenschlüssel]]=select!$B$1486)=TRUE,1,0)</f>
        <v>0</v>
      </c>
      <c r="AG1008" s="451">
        <f ca="1">IF(AND(Scharniere[[#This Row],[Scharnierart]]=select!$A$1487,Scharniere[[#This Row],[Gruppenschlüssel]]=select!$B$1487)=TRUE,1,0)</f>
        <v>0</v>
      </c>
      <c r="AH1008" s="451">
        <f ca="1">IF(AND(Scharniere[[#This Row],[Scharnierart]]=select!$A$1488,Scharniere[[#This Row],[Gruppenschlüssel]]=select!$B$1488)=TRUE,1,0)</f>
        <v>0</v>
      </c>
      <c r="AI1008" s="451">
        <f ca="1">IF(SUM(Scharniere[[#This Row],[konf Scharnier 1]:[konf Scharnier 4]])&gt;0,1,0)</f>
        <v>0</v>
      </c>
      <c r="AJ1008" s="451"/>
      <c r="AK1008" s="451"/>
      <c r="AL1008" s="451"/>
      <c r="AM1008" s="451"/>
      <c r="AN1008" s="451"/>
      <c r="AO1008" s="146">
        <v>2</v>
      </c>
      <c r="AP1008" s="146">
        <v>11</v>
      </c>
      <c r="AQ1008" s="71" t="str">
        <f ca="1">Sprache!$A$113</f>
        <v>Tiomos Scharnier TS Impresso</v>
      </c>
      <c r="AR1008" t="str">
        <f ca="1">"120/-45°, GB-BB, "&amp;Sprache!$A$58&amp;" ni"</f>
        <v>120/-45°, GB-BB, aufl. ni</v>
      </c>
      <c r="AS1008" t="str">
        <f ca="1">Sprache!$A$116</f>
        <v>Tiomos Impresso Scharniere</v>
      </c>
      <c r="AT1008" t="s">
        <v>1264</v>
      </c>
      <c r="AU1008" s="34" t="s">
        <v>9</v>
      </c>
      <c r="AV1008" t="s">
        <v>1496</v>
      </c>
      <c r="AW1008" s="71">
        <v>1</v>
      </c>
      <c r="AX1008">
        <v>0</v>
      </c>
      <c r="AY1008">
        <v>0</v>
      </c>
      <c r="AZ1008" s="71">
        <v>0</v>
      </c>
      <c r="BA1008">
        <v>0</v>
      </c>
      <c r="BB1008">
        <v>0</v>
      </c>
      <c r="BC1008">
        <v>1</v>
      </c>
      <c r="BD1008" s="144" t="s">
        <v>1588</v>
      </c>
      <c r="BF1008" s="10"/>
      <c r="BG1008"/>
    </row>
    <row r="1009" spans="1:59" ht="14.25" customHeight="1" x14ac:dyDescent="0.25">
      <c r="A1009" s="37" t="str">
        <f>LEFT(Scharniere[[#This Row],[ArtikelNR]],4)</f>
        <v>F017</v>
      </c>
      <c r="B1009" s="35" t="str">
        <f>MID(Scharniere[[#This Row],[ArtikelNR]],5,3)</f>
        <v>139</v>
      </c>
      <c r="C1009" s="37" t="str">
        <f>RIGHT(Scharniere[[#This Row],[ArtikelNR]],3)</f>
        <v>434</v>
      </c>
      <c r="D1009" s="35">
        <f>IF(AND(Scharniere[[#This Row],[Gruppenschlüssel]]=select!$A$44,Scharniere[[#This Row],[Scharnierart]]=1)=TRUE,1,0)</f>
        <v>0</v>
      </c>
      <c r="E100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09" s="35">
        <f>IF(select!$F$57=IF(Scharniere[[#This Row],[mit Dämpfung]]=1,1,IF(Scharniere[[#This Row],[ohne Dämpfung]]=1,2,IF(Scharniere[[#This Row],[ohne Feder]]=1,3,0))),1,0)</f>
        <v>0</v>
      </c>
      <c r="G1009" s="35">
        <f>IF(Scharniere[[#This Row],[Bohrbild]]=select!$V$43,1,0)</f>
        <v>0</v>
      </c>
      <c r="H1009" s="35">
        <f>IF(IF(Scharniere[[#This Row],[Anschrauben]]=1,1,IF(Scharniere[[#This Row],[Einpressen]]=1,2,IF(Scharniere[[#This Row],[Quick]]=1,3,IF(Scharniere[[#This Row],[Werkzeuglos]]=1,4,0))))=select!$F$48,1,0)</f>
        <v>0</v>
      </c>
      <c r="I100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09" s="149">
        <f>IF(AND(Scharniere[[#This Row],[Scharnierart]]=2,Scharniere[[#This Row],[Gruppenschlüssel]]=select!$A$318)=TRUE,1,0)</f>
        <v>0</v>
      </c>
      <c r="K1009" s="221">
        <f ca="1">IF(select!$O$424&lt;6,1,0)</f>
        <v>1</v>
      </c>
      <c r="L1009" s="221">
        <f>IF(select!$A$362=IF(Scharniere[[#This Row],[mit Dämpfung]]=1,1,IF(Scharniere[[#This Row],[ohne Dämpfung]]=1,2,IF(Scharniere[[#This Row],[ohne Feder]]=1,3,0))),1,0)</f>
        <v>1</v>
      </c>
      <c r="M1009" s="135">
        <f>IF(Scharniere[[#This Row],[Bohrbild]]=select!$O$334,1,0)</f>
        <v>0</v>
      </c>
      <c r="N1009" s="135">
        <f>IF(IF(Scharniere[[#This Row],[Anschrauben]]=1,1,IF(Scharniere[[#This Row],[Einpressen]]=1,2,IF(Scharniere[[#This Row],[Quick]]=1,3,IF(Scharniere[[#This Row],[Werkzeuglos]]=1,4,0))))=select!$E$362,1,0)</f>
        <v>0</v>
      </c>
      <c r="O100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09" s="298">
        <f>IF(AND(Scharniere[[#This Row],[Scharnierart]]=3,Scharniere[[#This Row],[Gruppenschlüssel]]=select!$A$747)=TRUE,1,0)</f>
        <v>0</v>
      </c>
      <c r="Q1009" s="298">
        <f ca="1">IF(select!$O$945&lt;6,1,0)</f>
        <v>1</v>
      </c>
      <c r="R1009" s="298">
        <f>IF(select!$A$778=IF(Scharniere[[#This Row],[mit Dämpfung]]=1,1,IF(Scharniere[[#This Row],[ohne Dämpfung]]=1,2,IF(Scharniere[[#This Row],[ohne Feder]]=1,3,0))),1,0)</f>
        <v>0</v>
      </c>
      <c r="S1009" s="298">
        <f>IF(Scharniere[[#This Row],[Bohrbild]]=select!$A$755,1,0)</f>
        <v>0</v>
      </c>
      <c r="T1009" s="298">
        <f>IF(IF(Scharniere[[#This Row],[Anschrauben]]=1,1,IF(Scharniere[[#This Row],[Einpressen]]=1,2,IF(Scharniere[[#This Row],[Quick]]=1,3,IF(Scharniere[[#This Row],[Werkzeuglos]]=1,4,0))))=select!$A$769,1,0)</f>
        <v>0</v>
      </c>
      <c r="U100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09" s="359">
        <f>IF(AND(Scharniere[[#This Row],[Scharnierart]]=4,Scharniere[[#This Row],[Gruppenschlüssel]]=select!$A$981)=TRUE,1,0)</f>
        <v>0</v>
      </c>
      <c r="W1009" s="359">
        <f ca="1">IF(select!$O$1185&lt;6,1,0)</f>
        <v>1</v>
      </c>
      <c r="X1009" s="359">
        <f>IF(select!$A$1012=IF(Scharniere[[#This Row],[mit Dämpfung]]=1,1,IF(Scharniere[[#This Row],[ohne Dämpfung]]=1,2,IF(Scharniere[[#This Row],[ohne Feder]]=1,3,0))),1,0)</f>
        <v>0</v>
      </c>
      <c r="Y1009" s="359">
        <f>IF(Scharniere[[#This Row],[Bohrbild]]=select!$A$989,1,0)</f>
        <v>0</v>
      </c>
      <c r="Z1009" s="359">
        <f>IF(IF(Scharniere[[#This Row],[Anschrauben]]=1,1,IF(Scharniere[[#This Row],[Einpressen]]=1,2,IF(Scharniere[[#This Row],[Quick]]=1,3,IF(Scharniere[[#This Row],[Werkzeuglos]]=1,4,0))))=select!$A$1003,1,0)</f>
        <v>0</v>
      </c>
      <c r="AA100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0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0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09" s="359">
        <f ca="1">IF(select!$K$980="*",Scharniere[[#This Row],[AG Ges2]],Scharniere[[#This Row],[AG Ges1]])</f>
        <v>0</v>
      </c>
      <c r="AE1009" s="451">
        <f ca="1">IF(AND(Scharniere[[#This Row],[Scharnierart]]=select!$A$1485,Scharniere[[#This Row],[Gruppenschlüssel]]=select!$B$1485)=TRUE,1,0)</f>
        <v>0</v>
      </c>
      <c r="AF1009" s="451">
        <f ca="1">IF(AND(Scharniere[[#This Row],[Scharnierart]]=select!$A$1486,Scharniere[[#This Row],[Gruppenschlüssel]]=select!$B$1486)=TRUE,1,0)</f>
        <v>0</v>
      </c>
      <c r="AG1009" s="451">
        <f ca="1">IF(AND(Scharniere[[#This Row],[Scharnierart]]=select!$A$1487,Scharniere[[#This Row],[Gruppenschlüssel]]=select!$B$1487)=TRUE,1,0)</f>
        <v>0</v>
      </c>
      <c r="AH1009" s="451">
        <f ca="1">IF(AND(Scharniere[[#This Row],[Scharnierart]]=select!$A$1488,Scharniere[[#This Row],[Gruppenschlüssel]]=select!$B$1488)=TRUE,1,0)</f>
        <v>0</v>
      </c>
      <c r="AI1009" s="451">
        <f ca="1">IF(SUM(Scharniere[[#This Row],[konf Scharnier 1]:[konf Scharnier 4]])&gt;0,1,0)</f>
        <v>0</v>
      </c>
      <c r="AJ1009" s="451"/>
      <c r="AK1009" s="451"/>
      <c r="AL1009" s="451"/>
      <c r="AM1009" s="451"/>
      <c r="AN1009" s="451"/>
      <c r="AO1009" s="146">
        <v>2</v>
      </c>
      <c r="AP1009" s="146">
        <v>11</v>
      </c>
      <c r="AQ1009" s="71" t="str">
        <f ca="1">Sprache!$A$113</f>
        <v>Tiomos Scharnier TS Impresso</v>
      </c>
      <c r="AR1009" t="str">
        <f ca="1">"120/-45°, GB-BB, "&amp;Sprache!$A$58&amp;" ni"</f>
        <v>120/-45°, GB-BB, aufl. ni</v>
      </c>
      <c r="AS1009" t="str">
        <f ca="1">Sprache!$A$116</f>
        <v>Tiomos Impresso Scharniere</v>
      </c>
      <c r="AT1009" t="s">
        <v>1264</v>
      </c>
      <c r="AU1009" t="s">
        <v>3</v>
      </c>
      <c r="AV1009" t="s">
        <v>1496</v>
      </c>
      <c r="AW1009" s="71">
        <v>1</v>
      </c>
      <c r="AX1009">
        <v>0</v>
      </c>
      <c r="AY1009">
        <v>0</v>
      </c>
      <c r="AZ1009" s="71">
        <v>0</v>
      </c>
      <c r="BA1009">
        <v>0</v>
      </c>
      <c r="BB1009">
        <v>0</v>
      </c>
      <c r="BC1009">
        <v>1</v>
      </c>
      <c r="BD1009" s="144" t="s">
        <v>1588</v>
      </c>
      <c r="BF1009" s="10"/>
      <c r="BG1009"/>
    </row>
    <row r="1010" spans="1:59" ht="14.25" customHeight="1" x14ac:dyDescent="0.25">
      <c r="A1010" s="37" t="str">
        <f>LEFT(Scharniere[[#This Row],[ArtikelNR]],4)</f>
        <v>F034</v>
      </c>
      <c r="B1010" s="35" t="str">
        <f>MID(Scharniere[[#This Row],[ArtikelNR]],5,3)</f>
        <v>139</v>
      </c>
      <c r="C1010" s="37" t="str">
        <f>RIGHT(Scharniere[[#This Row],[ArtikelNR]],3)</f>
        <v>405</v>
      </c>
      <c r="D1010" s="35">
        <f>IF(AND(Scharniere[[#This Row],[Gruppenschlüssel]]=select!$A$44,Scharniere[[#This Row],[Scharnierart]]=1)=TRUE,1,0)</f>
        <v>0</v>
      </c>
      <c r="E101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0" s="35">
        <f>IF(select!$F$57=IF(Scharniere[[#This Row],[mit Dämpfung]]=1,1,IF(Scharniere[[#This Row],[ohne Dämpfung]]=1,2,IF(Scharniere[[#This Row],[ohne Feder]]=1,3,0))),1,0)</f>
        <v>0</v>
      </c>
      <c r="G1010" s="35">
        <f>IF(Scharniere[[#This Row],[Bohrbild]]=select!$V$43,1,0)</f>
        <v>0</v>
      </c>
      <c r="H1010" s="35">
        <f>IF(IF(Scharniere[[#This Row],[Anschrauben]]=1,1,IF(Scharniere[[#This Row],[Einpressen]]=1,2,IF(Scharniere[[#This Row],[Quick]]=1,3,IF(Scharniere[[#This Row],[Werkzeuglos]]=1,4,0))))=select!$F$48,1,0)</f>
        <v>0</v>
      </c>
      <c r="I101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0" s="149">
        <f>IF(AND(Scharniere[[#This Row],[Scharnierart]]=2,Scharniere[[#This Row],[Gruppenschlüssel]]=select!$A$318)=TRUE,1,0)</f>
        <v>0</v>
      </c>
      <c r="K1010" s="221">
        <f ca="1">IF(select!$O$424&lt;6,1,0)</f>
        <v>1</v>
      </c>
      <c r="L1010" s="221">
        <f>IF(select!$A$362=IF(Scharniere[[#This Row],[mit Dämpfung]]=1,1,IF(Scharniere[[#This Row],[ohne Dämpfung]]=1,2,IF(Scharniere[[#This Row],[ohne Feder]]=1,3,0))),1,0)</f>
        <v>0</v>
      </c>
      <c r="M1010" s="135">
        <f>IF(Scharniere[[#This Row],[Bohrbild]]=select!$O$334,1,0)</f>
        <v>0</v>
      </c>
      <c r="N1010" s="135">
        <f>IF(IF(Scharniere[[#This Row],[Anschrauben]]=1,1,IF(Scharniere[[#This Row],[Einpressen]]=1,2,IF(Scharniere[[#This Row],[Quick]]=1,3,IF(Scharniere[[#This Row],[Werkzeuglos]]=1,4,0))))=select!$E$362,1,0)</f>
        <v>0</v>
      </c>
      <c r="O101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0" s="298">
        <f>IF(AND(Scharniere[[#This Row],[Scharnierart]]=3,Scharniere[[#This Row],[Gruppenschlüssel]]=select!$A$747)=TRUE,1,0)</f>
        <v>0</v>
      </c>
      <c r="Q1010" s="298">
        <f ca="1">IF(select!$O$945&lt;6,1,0)</f>
        <v>1</v>
      </c>
      <c r="R1010" s="298">
        <f>IF(select!$A$778=IF(Scharniere[[#This Row],[mit Dämpfung]]=1,1,IF(Scharniere[[#This Row],[ohne Dämpfung]]=1,2,IF(Scharniere[[#This Row],[ohne Feder]]=1,3,0))),1,0)</f>
        <v>1</v>
      </c>
      <c r="S1010" s="298">
        <f>IF(Scharniere[[#This Row],[Bohrbild]]=select!$A$755,1,0)</f>
        <v>0</v>
      </c>
      <c r="T1010" s="298">
        <f>IF(IF(Scharniere[[#This Row],[Anschrauben]]=1,1,IF(Scharniere[[#This Row],[Einpressen]]=1,2,IF(Scharniere[[#This Row],[Quick]]=1,3,IF(Scharniere[[#This Row],[Werkzeuglos]]=1,4,0))))=select!$A$769,1,0)</f>
        <v>0</v>
      </c>
      <c r="U101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0" s="359">
        <f>IF(AND(Scharniere[[#This Row],[Scharnierart]]=4,Scharniere[[#This Row],[Gruppenschlüssel]]=select!$A$981)=TRUE,1,0)</f>
        <v>0</v>
      </c>
      <c r="W1010" s="359">
        <f ca="1">IF(select!$O$1185&lt;6,1,0)</f>
        <v>1</v>
      </c>
      <c r="X1010" s="359">
        <f>IF(select!$A$1012=IF(Scharniere[[#This Row],[mit Dämpfung]]=1,1,IF(Scharniere[[#This Row],[ohne Dämpfung]]=1,2,IF(Scharniere[[#This Row],[ohne Feder]]=1,3,0))),1,0)</f>
        <v>1</v>
      </c>
      <c r="Y1010" s="359">
        <f>IF(Scharniere[[#This Row],[Bohrbild]]=select!$A$989,1,0)</f>
        <v>0</v>
      </c>
      <c r="Z1010" s="359">
        <f>IF(IF(Scharniere[[#This Row],[Anschrauben]]=1,1,IF(Scharniere[[#This Row],[Einpressen]]=1,2,IF(Scharniere[[#This Row],[Quick]]=1,3,IF(Scharniere[[#This Row],[Werkzeuglos]]=1,4,0))))=select!$A$1003,1,0)</f>
        <v>0</v>
      </c>
      <c r="AA101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0" s="359">
        <f ca="1">IF(select!$K$980="*",Scharniere[[#This Row],[AG Ges2]],Scharniere[[#This Row],[AG Ges1]])</f>
        <v>0</v>
      </c>
      <c r="AE1010" s="451">
        <f ca="1">IF(AND(Scharniere[[#This Row],[Scharnierart]]=select!$A$1485,Scharniere[[#This Row],[Gruppenschlüssel]]=select!$B$1485)=TRUE,1,0)</f>
        <v>0</v>
      </c>
      <c r="AF1010" s="451">
        <f ca="1">IF(AND(Scharniere[[#This Row],[Scharnierart]]=select!$A$1486,Scharniere[[#This Row],[Gruppenschlüssel]]=select!$B$1486)=TRUE,1,0)</f>
        <v>0</v>
      </c>
      <c r="AG1010" s="451">
        <f ca="1">IF(AND(Scharniere[[#This Row],[Scharnierart]]=select!$A$1487,Scharniere[[#This Row],[Gruppenschlüssel]]=select!$B$1487)=TRUE,1,0)</f>
        <v>0</v>
      </c>
      <c r="AH1010" s="451">
        <f ca="1">IF(AND(Scharniere[[#This Row],[Scharnierart]]=select!$A$1488,Scharniere[[#This Row],[Gruppenschlüssel]]=select!$B$1488)=TRUE,1,0)</f>
        <v>0</v>
      </c>
      <c r="AI1010" s="451">
        <f ca="1">IF(SUM(Scharniere[[#This Row],[konf Scharnier 1]:[konf Scharnier 4]])&gt;0,1,0)</f>
        <v>0</v>
      </c>
      <c r="AJ1010" s="451"/>
      <c r="AK1010" s="451"/>
      <c r="AL1010" s="451"/>
      <c r="AM1010" s="451"/>
      <c r="AN1010" s="451"/>
      <c r="AO1010" s="146">
        <v>2</v>
      </c>
      <c r="AP1010" s="146">
        <v>11</v>
      </c>
      <c r="AQ1010" s="71" t="str">
        <f ca="1">Sprache!$A$119</f>
        <v>Tiomos Scharnier T Impresso</v>
      </c>
      <c r="AR1010" t="str">
        <f ca="1">"120/-45°, GB-BB, "&amp;Sprache!$A$58&amp;" ni"</f>
        <v>120/-45°, GB-BB, aufl. ni</v>
      </c>
      <c r="AS1010" t="str">
        <f ca="1">Sprache!$A$103</f>
        <v>Tiomos Click-On Scharniere</v>
      </c>
      <c r="AT1010" t="s">
        <v>1264</v>
      </c>
      <c r="AU1010" t="s">
        <v>9</v>
      </c>
      <c r="AV1010" t="s">
        <v>1496</v>
      </c>
      <c r="AW1010" s="71">
        <v>0</v>
      </c>
      <c r="AX1010">
        <v>1</v>
      </c>
      <c r="AY1010">
        <v>0</v>
      </c>
      <c r="AZ1010" s="71">
        <v>0</v>
      </c>
      <c r="BA1010">
        <v>0</v>
      </c>
      <c r="BB1010">
        <v>0</v>
      </c>
      <c r="BC1010">
        <v>1</v>
      </c>
      <c r="BD1010" s="144" t="s">
        <v>1766</v>
      </c>
      <c r="BF1010" s="10"/>
      <c r="BG1010"/>
    </row>
    <row r="1011" spans="1:59" ht="14.25" customHeight="1" x14ac:dyDescent="0.25">
      <c r="A1011" s="37" t="str">
        <f>LEFT(Scharniere[[#This Row],[ArtikelNR]],4)</f>
        <v>F034</v>
      </c>
      <c r="B1011" s="35" t="str">
        <f>MID(Scharniere[[#This Row],[ArtikelNR]],5,3)</f>
        <v>139</v>
      </c>
      <c r="C1011" s="37" t="str">
        <f>RIGHT(Scharniere[[#This Row],[ArtikelNR]],3)</f>
        <v>405</v>
      </c>
      <c r="D1011" s="35">
        <f>IF(AND(Scharniere[[#This Row],[Gruppenschlüssel]]=select!$A$44,Scharniere[[#This Row],[Scharnierart]]=1)=TRUE,1,0)</f>
        <v>0</v>
      </c>
      <c r="E101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1" s="35">
        <f>IF(select!$F$57=IF(Scharniere[[#This Row],[mit Dämpfung]]=1,1,IF(Scharniere[[#This Row],[ohne Dämpfung]]=1,2,IF(Scharniere[[#This Row],[ohne Feder]]=1,3,0))),1,0)</f>
        <v>0</v>
      </c>
      <c r="G1011" s="35">
        <f>IF(Scharniere[[#This Row],[Bohrbild]]=select!$V$43,1,0)</f>
        <v>0</v>
      </c>
      <c r="H1011" s="35">
        <f>IF(IF(Scharniere[[#This Row],[Anschrauben]]=1,1,IF(Scharniere[[#This Row],[Einpressen]]=1,2,IF(Scharniere[[#This Row],[Quick]]=1,3,IF(Scharniere[[#This Row],[Werkzeuglos]]=1,4,0))))=select!$F$48,1,0)</f>
        <v>0</v>
      </c>
      <c r="I101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1" s="149">
        <f>IF(AND(Scharniere[[#This Row],[Scharnierart]]=2,Scharniere[[#This Row],[Gruppenschlüssel]]=select!$A$318)=TRUE,1,0)</f>
        <v>0</v>
      </c>
      <c r="K1011" s="221">
        <f ca="1">IF(select!$O$424&lt;6,1,0)</f>
        <v>1</v>
      </c>
      <c r="L1011" s="221">
        <f>IF(select!$A$362=IF(Scharniere[[#This Row],[mit Dämpfung]]=1,1,IF(Scharniere[[#This Row],[ohne Dämpfung]]=1,2,IF(Scharniere[[#This Row],[ohne Feder]]=1,3,0))),1,0)</f>
        <v>0</v>
      </c>
      <c r="M1011" s="135">
        <f>IF(Scharniere[[#This Row],[Bohrbild]]=select!$O$334,1,0)</f>
        <v>0</v>
      </c>
      <c r="N1011" s="135">
        <f>IF(IF(Scharniere[[#This Row],[Anschrauben]]=1,1,IF(Scharniere[[#This Row],[Einpressen]]=1,2,IF(Scharniere[[#This Row],[Quick]]=1,3,IF(Scharniere[[#This Row],[Werkzeuglos]]=1,4,0))))=select!$E$362,1,0)</f>
        <v>0</v>
      </c>
      <c r="O101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1" s="298">
        <f>IF(AND(Scharniere[[#This Row],[Scharnierart]]=3,Scharniere[[#This Row],[Gruppenschlüssel]]=select!$A$747)=TRUE,1,0)</f>
        <v>0</v>
      </c>
      <c r="Q1011" s="298">
        <f ca="1">IF(select!$O$945&lt;6,1,0)</f>
        <v>1</v>
      </c>
      <c r="R1011" s="298">
        <f>IF(select!$A$778=IF(Scharniere[[#This Row],[mit Dämpfung]]=1,1,IF(Scharniere[[#This Row],[ohne Dämpfung]]=1,2,IF(Scharniere[[#This Row],[ohne Feder]]=1,3,0))),1,0)</f>
        <v>1</v>
      </c>
      <c r="S1011" s="298">
        <f>IF(Scharniere[[#This Row],[Bohrbild]]=select!$A$755,1,0)</f>
        <v>0</v>
      </c>
      <c r="T1011" s="298">
        <f>IF(IF(Scharniere[[#This Row],[Anschrauben]]=1,1,IF(Scharniere[[#This Row],[Einpressen]]=1,2,IF(Scharniere[[#This Row],[Quick]]=1,3,IF(Scharniere[[#This Row],[Werkzeuglos]]=1,4,0))))=select!$A$769,1,0)</f>
        <v>0</v>
      </c>
      <c r="U101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1" s="359">
        <f>IF(AND(Scharniere[[#This Row],[Scharnierart]]=4,Scharniere[[#This Row],[Gruppenschlüssel]]=select!$A$981)=TRUE,1,0)</f>
        <v>0</v>
      </c>
      <c r="W1011" s="359">
        <f ca="1">IF(select!$O$1185&lt;6,1,0)</f>
        <v>1</v>
      </c>
      <c r="X1011" s="359">
        <f>IF(select!$A$1012=IF(Scharniere[[#This Row],[mit Dämpfung]]=1,1,IF(Scharniere[[#This Row],[ohne Dämpfung]]=1,2,IF(Scharniere[[#This Row],[ohne Feder]]=1,3,0))),1,0)</f>
        <v>1</v>
      </c>
      <c r="Y1011" s="359">
        <f>IF(Scharniere[[#This Row],[Bohrbild]]=select!$A$989,1,0)</f>
        <v>0</v>
      </c>
      <c r="Z1011" s="359">
        <f>IF(IF(Scharniere[[#This Row],[Anschrauben]]=1,1,IF(Scharniere[[#This Row],[Einpressen]]=1,2,IF(Scharniere[[#This Row],[Quick]]=1,3,IF(Scharniere[[#This Row],[Werkzeuglos]]=1,4,0))))=select!$A$1003,1,0)</f>
        <v>0</v>
      </c>
      <c r="AA101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1" s="359">
        <f ca="1">IF(select!$K$980="*",Scharniere[[#This Row],[AG Ges2]],Scharniere[[#This Row],[AG Ges1]])</f>
        <v>0</v>
      </c>
      <c r="AE1011" s="451">
        <f ca="1">IF(AND(Scharniere[[#This Row],[Scharnierart]]=select!$A$1485,Scharniere[[#This Row],[Gruppenschlüssel]]=select!$B$1485)=TRUE,1,0)</f>
        <v>0</v>
      </c>
      <c r="AF1011" s="451">
        <f ca="1">IF(AND(Scharniere[[#This Row],[Scharnierart]]=select!$A$1486,Scharniere[[#This Row],[Gruppenschlüssel]]=select!$B$1486)=TRUE,1,0)</f>
        <v>0</v>
      </c>
      <c r="AG1011" s="451">
        <f ca="1">IF(AND(Scharniere[[#This Row],[Scharnierart]]=select!$A$1487,Scharniere[[#This Row],[Gruppenschlüssel]]=select!$B$1487)=TRUE,1,0)</f>
        <v>0</v>
      </c>
      <c r="AH1011" s="451">
        <f ca="1">IF(AND(Scharniere[[#This Row],[Scharnierart]]=select!$A$1488,Scharniere[[#This Row],[Gruppenschlüssel]]=select!$B$1488)=TRUE,1,0)</f>
        <v>0</v>
      </c>
      <c r="AI1011" s="451">
        <f ca="1">IF(SUM(Scharniere[[#This Row],[konf Scharnier 1]:[konf Scharnier 4]])&gt;0,1,0)</f>
        <v>0</v>
      </c>
      <c r="AJ1011" s="451"/>
      <c r="AK1011" s="451"/>
      <c r="AL1011" s="451"/>
      <c r="AM1011" s="451"/>
      <c r="AN1011" s="451"/>
      <c r="AO1011" s="146">
        <v>2</v>
      </c>
      <c r="AP1011" s="146">
        <v>11</v>
      </c>
      <c r="AQ1011" s="71" t="str">
        <f ca="1">Sprache!$A$119</f>
        <v>Tiomos Scharnier T Impresso</v>
      </c>
      <c r="AR1011" t="str">
        <f ca="1">"120/-45°, GB-BB, "&amp;Sprache!$A$58&amp;" ni"</f>
        <v>120/-45°, GB-BB, aufl. ni</v>
      </c>
      <c r="AS1011" t="str">
        <f ca="1">Sprache!$A$103</f>
        <v>Tiomos Click-On Scharniere</v>
      </c>
      <c r="AT1011" t="s">
        <v>1264</v>
      </c>
      <c r="AU1011" t="s">
        <v>3</v>
      </c>
      <c r="AV1011" t="s">
        <v>1496</v>
      </c>
      <c r="AW1011" s="71">
        <v>0</v>
      </c>
      <c r="AX1011">
        <v>1</v>
      </c>
      <c r="AY1011">
        <v>0</v>
      </c>
      <c r="AZ1011" s="71">
        <v>0</v>
      </c>
      <c r="BA1011">
        <v>0</v>
      </c>
      <c r="BB1011">
        <v>0</v>
      </c>
      <c r="BC1011">
        <v>1</v>
      </c>
      <c r="BD1011" s="144" t="s">
        <v>1766</v>
      </c>
      <c r="BF1011" s="10"/>
      <c r="BG1011"/>
    </row>
    <row r="1012" spans="1:59" ht="14.25" customHeight="1" x14ac:dyDescent="0.25">
      <c r="A1012" s="37" t="str">
        <f>LEFT(Scharniere[[#This Row],[ArtikelNR]],4)</f>
        <v>F028</v>
      </c>
      <c r="B1012" s="35" t="str">
        <f>MID(Scharniere[[#This Row],[ArtikelNR]],5,3)</f>
        <v>138</v>
      </c>
      <c r="C1012" s="37" t="str">
        <f>RIGHT(Scharniere[[#This Row],[ArtikelNR]],3)</f>
        <v>739</v>
      </c>
      <c r="D1012" s="35">
        <f>IF(AND(Scharniere[[#This Row],[Gruppenschlüssel]]=select!$A$44,Scharniere[[#This Row],[Scharnierart]]=1)=TRUE,1,0)</f>
        <v>0</v>
      </c>
      <c r="E101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2" s="35">
        <f>IF(select!$F$57=IF(Scharniere[[#This Row],[mit Dämpfung]]=1,1,IF(Scharniere[[#This Row],[ohne Dämpfung]]=1,2,IF(Scharniere[[#This Row],[ohne Feder]]=1,3,0))),1,0)</f>
        <v>0</v>
      </c>
      <c r="G1012" s="35">
        <f>IF(Scharniere[[#This Row],[Bohrbild]]=select!$V$43,1,0)</f>
        <v>0</v>
      </c>
      <c r="H1012" s="35">
        <f>IF(IF(Scharniere[[#This Row],[Anschrauben]]=1,1,IF(Scharniere[[#This Row],[Einpressen]]=1,2,IF(Scharniere[[#This Row],[Quick]]=1,3,IF(Scharniere[[#This Row],[Werkzeuglos]]=1,4,0))))=select!$F$48,1,0)</f>
        <v>0</v>
      </c>
      <c r="I101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2" s="149">
        <f>IF(AND(Scharniere[[#This Row],[Scharnierart]]=2,Scharniere[[#This Row],[Gruppenschlüssel]]=select!$A$318)=TRUE,1,0)</f>
        <v>0</v>
      </c>
      <c r="K1012" s="221">
        <f ca="1">IF(select!$O$424&lt;6,1,0)</f>
        <v>1</v>
      </c>
      <c r="L1012" s="221">
        <f>IF(select!$A$362=IF(Scharniere[[#This Row],[mit Dämpfung]]=1,1,IF(Scharniere[[#This Row],[ohne Dämpfung]]=1,2,IF(Scharniere[[#This Row],[ohne Feder]]=1,3,0))),1,0)</f>
        <v>1</v>
      </c>
      <c r="M1012" s="135">
        <f>IF(Scharniere[[#This Row],[Bohrbild]]=select!$O$334,1,0)</f>
        <v>0</v>
      </c>
      <c r="N1012" s="135">
        <f>IF(IF(Scharniere[[#This Row],[Anschrauben]]=1,1,IF(Scharniere[[#This Row],[Einpressen]]=1,2,IF(Scharniere[[#This Row],[Quick]]=1,3,IF(Scharniere[[#This Row],[Werkzeuglos]]=1,4,0))))=select!$E$362,1,0)</f>
        <v>1</v>
      </c>
      <c r="O101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2" s="298">
        <f>IF(AND(Scharniere[[#This Row],[Scharnierart]]=3,Scharniere[[#This Row],[Gruppenschlüssel]]=select!$A$747)=TRUE,1,0)</f>
        <v>0</v>
      </c>
      <c r="Q1012" s="298">
        <f ca="1">IF(select!$O$945&lt;6,1,0)</f>
        <v>1</v>
      </c>
      <c r="R1012" s="298">
        <f>IF(select!$A$778=IF(Scharniere[[#This Row],[mit Dämpfung]]=1,1,IF(Scharniere[[#This Row],[ohne Dämpfung]]=1,2,IF(Scharniere[[#This Row],[ohne Feder]]=1,3,0))),1,0)</f>
        <v>0</v>
      </c>
      <c r="S1012" s="298">
        <f>IF(Scharniere[[#This Row],[Bohrbild]]=select!$A$755,1,0)</f>
        <v>0</v>
      </c>
      <c r="T1012" s="298">
        <f>IF(IF(Scharniere[[#This Row],[Anschrauben]]=1,1,IF(Scharniere[[#This Row],[Einpressen]]=1,2,IF(Scharniere[[#This Row],[Quick]]=1,3,IF(Scharniere[[#This Row],[Werkzeuglos]]=1,4,0))))=select!$A$769,1,0)</f>
        <v>1</v>
      </c>
      <c r="U101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2" s="359">
        <f>IF(AND(Scharniere[[#This Row],[Scharnierart]]=4,Scharniere[[#This Row],[Gruppenschlüssel]]=select!$A$981)=TRUE,1,0)</f>
        <v>0</v>
      </c>
      <c r="W1012" s="359">
        <f ca="1">IF(select!$O$1185&lt;6,1,0)</f>
        <v>1</v>
      </c>
      <c r="X1012" s="359">
        <f>IF(select!$A$1012=IF(Scharniere[[#This Row],[mit Dämpfung]]=1,1,IF(Scharniere[[#This Row],[ohne Dämpfung]]=1,2,IF(Scharniere[[#This Row],[ohne Feder]]=1,3,0))),1,0)</f>
        <v>0</v>
      </c>
      <c r="Y1012" s="359">
        <f>IF(Scharniere[[#This Row],[Bohrbild]]=select!$A$989,1,0)</f>
        <v>0</v>
      </c>
      <c r="Z1012" s="359">
        <f>IF(IF(Scharniere[[#This Row],[Anschrauben]]=1,1,IF(Scharniere[[#This Row],[Einpressen]]=1,2,IF(Scharniere[[#This Row],[Quick]]=1,3,IF(Scharniere[[#This Row],[Werkzeuglos]]=1,4,0))))=select!$A$1003,1,0)</f>
        <v>1</v>
      </c>
      <c r="AA101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2" s="359">
        <f ca="1">IF(select!$K$980="*",Scharniere[[#This Row],[AG Ges2]],Scharniere[[#This Row],[AG Ges1]])</f>
        <v>0</v>
      </c>
      <c r="AE1012" s="451">
        <f ca="1">IF(AND(Scharniere[[#This Row],[Scharnierart]]=select!$A$1485,Scharniere[[#This Row],[Gruppenschlüssel]]=select!$B$1485)=TRUE,1,0)</f>
        <v>0</v>
      </c>
      <c r="AF1012" s="451">
        <f ca="1">IF(AND(Scharniere[[#This Row],[Scharnierart]]=select!$A$1486,Scharniere[[#This Row],[Gruppenschlüssel]]=select!$B$1486)=TRUE,1,0)</f>
        <v>0</v>
      </c>
      <c r="AG1012" s="451">
        <f ca="1">IF(AND(Scharniere[[#This Row],[Scharnierart]]=select!$A$1487,Scharniere[[#This Row],[Gruppenschlüssel]]=select!$B$1487)=TRUE,1,0)</f>
        <v>0</v>
      </c>
      <c r="AH1012" s="451">
        <f ca="1">IF(AND(Scharniere[[#This Row],[Scharnierart]]=select!$A$1488,Scharniere[[#This Row],[Gruppenschlüssel]]=select!$B$1488)=TRUE,1,0)</f>
        <v>0</v>
      </c>
      <c r="AI1012" s="451">
        <f ca="1">IF(SUM(Scharniere[[#This Row],[konf Scharnier 1]:[konf Scharnier 4]])&gt;0,1,0)</f>
        <v>0</v>
      </c>
      <c r="AJ1012" s="451"/>
      <c r="AK1012" s="451"/>
      <c r="AL1012" s="451"/>
      <c r="AM1012" s="451"/>
      <c r="AN1012" s="451"/>
      <c r="AO1012" s="146">
        <v>2</v>
      </c>
      <c r="AP1012" s="146">
        <v>11</v>
      </c>
      <c r="AQ1012" s="71" t="str">
        <f ca="1">Sprache!$A$112</f>
        <v>Tiomos Scharnier TS Click-on</v>
      </c>
      <c r="AR1012" t="str">
        <f ca="1">"120/-45°, H-BB, "&amp;Sprache!$A$58&amp;" ni"</f>
        <v>120/-45°, H-BB, aufl. ni</v>
      </c>
      <c r="AS1012" t="str">
        <f ca="1">Sprache!$A$103</f>
        <v>Tiomos Click-On Scharniere</v>
      </c>
      <c r="AT1012" t="s">
        <v>1264</v>
      </c>
      <c r="AU1012" t="s">
        <v>10</v>
      </c>
      <c r="AV1012" t="s">
        <v>1496</v>
      </c>
      <c r="AW1012" s="71">
        <v>1</v>
      </c>
      <c r="AX1012">
        <v>0</v>
      </c>
      <c r="AY1012">
        <v>0</v>
      </c>
      <c r="AZ1012" s="71">
        <v>1</v>
      </c>
      <c r="BA1012">
        <v>0</v>
      </c>
      <c r="BB1012">
        <v>0</v>
      </c>
      <c r="BC1012">
        <v>0</v>
      </c>
      <c r="BD1012" s="144" t="s">
        <v>1566</v>
      </c>
      <c r="BF1012" s="10"/>
      <c r="BG1012"/>
    </row>
    <row r="1013" spans="1:59" ht="14.25" customHeight="1" x14ac:dyDescent="0.25">
      <c r="A1013" s="37" t="str">
        <f>LEFT(Scharniere[[#This Row],[ArtikelNR]],4)</f>
        <v>F045</v>
      </c>
      <c r="B1013" s="35" t="str">
        <f>MID(Scharniere[[#This Row],[ArtikelNR]],5,3)</f>
        <v>138</v>
      </c>
      <c r="C1013" s="37" t="str">
        <f>RIGHT(Scharniere[[#This Row],[ArtikelNR]],3)</f>
        <v>677</v>
      </c>
      <c r="D1013" s="35">
        <f>IF(AND(Scharniere[[#This Row],[Gruppenschlüssel]]=select!$A$44,Scharniere[[#This Row],[Scharnierart]]=1)=TRUE,1,0)</f>
        <v>0</v>
      </c>
      <c r="E101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3" s="35">
        <f>IF(select!$F$57=IF(Scharniere[[#This Row],[mit Dämpfung]]=1,1,IF(Scharniere[[#This Row],[ohne Dämpfung]]=1,2,IF(Scharniere[[#This Row],[ohne Feder]]=1,3,0))),1,0)</f>
        <v>0</v>
      </c>
      <c r="G1013" s="35">
        <f>IF(Scharniere[[#This Row],[Bohrbild]]=select!$V$43,1,0)</f>
        <v>0</v>
      </c>
      <c r="H1013" s="35">
        <f>IF(IF(Scharniere[[#This Row],[Anschrauben]]=1,1,IF(Scharniere[[#This Row],[Einpressen]]=1,2,IF(Scharniere[[#This Row],[Quick]]=1,3,IF(Scharniere[[#This Row],[Werkzeuglos]]=1,4,0))))=select!$F$48,1,0)</f>
        <v>0</v>
      </c>
      <c r="I101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3" s="149">
        <f>IF(AND(Scharniere[[#This Row],[Scharnierart]]=2,Scharniere[[#This Row],[Gruppenschlüssel]]=select!$A$318)=TRUE,1,0)</f>
        <v>0</v>
      </c>
      <c r="K1013" s="221">
        <f ca="1">IF(select!$O$424&lt;6,1,0)</f>
        <v>1</v>
      </c>
      <c r="L1013" s="221">
        <f>IF(select!$A$362=IF(Scharniere[[#This Row],[mit Dämpfung]]=1,1,IF(Scharniere[[#This Row],[ohne Dämpfung]]=1,2,IF(Scharniere[[#This Row],[ohne Feder]]=1,3,0))),1,0)</f>
        <v>0</v>
      </c>
      <c r="M1013" s="135">
        <f>IF(Scharniere[[#This Row],[Bohrbild]]=select!$O$334,1,0)</f>
        <v>0</v>
      </c>
      <c r="N1013" s="135">
        <f>IF(IF(Scharniere[[#This Row],[Anschrauben]]=1,1,IF(Scharniere[[#This Row],[Einpressen]]=1,2,IF(Scharniere[[#This Row],[Quick]]=1,3,IF(Scharniere[[#This Row],[Werkzeuglos]]=1,4,0))))=select!$E$362,1,0)</f>
        <v>1</v>
      </c>
      <c r="O101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3" s="298">
        <f>IF(AND(Scharniere[[#This Row],[Scharnierart]]=3,Scharniere[[#This Row],[Gruppenschlüssel]]=select!$A$747)=TRUE,1,0)</f>
        <v>0</v>
      </c>
      <c r="Q1013" s="298">
        <f ca="1">IF(select!$O$945&lt;6,1,0)</f>
        <v>1</v>
      </c>
      <c r="R1013" s="298">
        <f>IF(select!$A$778=IF(Scharniere[[#This Row],[mit Dämpfung]]=1,1,IF(Scharniere[[#This Row],[ohne Dämpfung]]=1,2,IF(Scharniere[[#This Row],[ohne Feder]]=1,3,0))),1,0)</f>
        <v>1</v>
      </c>
      <c r="S1013" s="298">
        <f>IF(Scharniere[[#This Row],[Bohrbild]]=select!$A$755,1,0)</f>
        <v>0</v>
      </c>
      <c r="T1013" s="298">
        <f>IF(IF(Scharniere[[#This Row],[Anschrauben]]=1,1,IF(Scharniere[[#This Row],[Einpressen]]=1,2,IF(Scharniere[[#This Row],[Quick]]=1,3,IF(Scharniere[[#This Row],[Werkzeuglos]]=1,4,0))))=select!$A$769,1,0)</f>
        <v>1</v>
      </c>
      <c r="U101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3" s="359">
        <f>IF(AND(Scharniere[[#This Row],[Scharnierart]]=4,Scharniere[[#This Row],[Gruppenschlüssel]]=select!$A$981)=TRUE,1,0)</f>
        <v>0</v>
      </c>
      <c r="W1013" s="359">
        <f ca="1">IF(select!$O$1185&lt;6,1,0)</f>
        <v>1</v>
      </c>
      <c r="X1013" s="359">
        <f>IF(select!$A$1012=IF(Scharniere[[#This Row],[mit Dämpfung]]=1,1,IF(Scharniere[[#This Row],[ohne Dämpfung]]=1,2,IF(Scharniere[[#This Row],[ohne Feder]]=1,3,0))),1,0)</f>
        <v>1</v>
      </c>
      <c r="Y1013" s="359">
        <f>IF(Scharniere[[#This Row],[Bohrbild]]=select!$A$989,1,0)</f>
        <v>0</v>
      </c>
      <c r="Z1013" s="359">
        <f>IF(IF(Scharniere[[#This Row],[Anschrauben]]=1,1,IF(Scharniere[[#This Row],[Einpressen]]=1,2,IF(Scharniere[[#This Row],[Quick]]=1,3,IF(Scharniere[[#This Row],[Werkzeuglos]]=1,4,0))))=select!$A$1003,1,0)</f>
        <v>1</v>
      </c>
      <c r="AA101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3" s="359">
        <f ca="1">IF(select!$K$980="*",Scharniere[[#This Row],[AG Ges2]],Scharniere[[#This Row],[AG Ges1]])</f>
        <v>0</v>
      </c>
      <c r="AE1013" s="451">
        <f ca="1">IF(AND(Scharniere[[#This Row],[Scharnierart]]=select!$A$1485,Scharniere[[#This Row],[Gruppenschlüssel]]=select!$B$1485)=TRUE,1,0)</f>
        <v>0</v>
      </c>
      <c r="AF1013" s="451">
        <f ca="1">IF(AND(Scharniere[[#This Row],[Scharnierart]]=select!$A$1486,Scharniere[[#This Row],[Gruppenschlüssel]]=select!$B$1486)=TRUE,1,0)</f>
        <v>0</v>
      </c>
      <c r="AG1013" s="451">
        <f ca="1">IF(AND(Scharniere[[#This Row],[Scharnierart]]=select!$A$1487,Scharniere[[#This Row],[Gruppenschlüssel]]=select!$B$1487)=TRUE,1,0)</f>
        <v>0</v>
      </c>
      <c r="AH1013" s="451">
        <f ca="1">IF(AND(Scharniere[[#This Row],[Scharnierart]]=select!$A$1488,Scharniere[[#This Row],[Gruppenschlüssel]]=select!$B$1488)=TRUE,1,0)</f>
        <v>0</v>
      </c>
      <c r="AI1013" s="451">
        <f ca="1">IF(SUM(Scharniere[[#This Row],[konf Scharnier 1]:[konf Scharnier 4]])&gt;0,1,0)</f>
        <v>0</v>
      </c>
      <c r="AJ1013" s="451"/>
      <c r="AK1013" s="451"/>
      <c r="AL1013" s="451"/>
      <c r="AM1013" s="451"/>
      <c r="AN1013" s="451"/>
      <c r="AO1013" s="146">
        <v>2</v>
      </c>
      <c r="AP1013" s="146">
        <v>11</v>
      </c>
      <c r="AQ1013" s="71" t="str">
        <f ca="1">Sprache!$A$118</f>
        <v>Tiomos Scharnier T Click-on</v>
      </c>
      <c r="AR1013" t="str">
        <f ca="1">"120/-45°, H-BB, "&amp;Sprache!$A$58&amp;" ni"</f>
        <v>120/-45°, H-BB, aufl. ni</v>
      </c>
      <c r="AS1013" t="str">
        <f ca="1">Sprache!$A$103</f>
        <v>Tiomos Click-On Scharniere</v>
      </c>
      <c r="AT1013" t="s">
        <v>1264</v>
      </c>
      <c r="AU1013" t="s">
        <v>10</v>
      </c>
      <c r="AV1013" t="s">
        <v>1496</v>
      </c>
      <c r="AW1013" s="71">
        <v>0</v>
      </c>
      <c r="AX1013">
        <v>1</v>
      </c>
      <c r="AY1013">
        <v>0</v>
      </c>
      <c r="AZ1013" s="71">
        <v>1</v>
      </c>
      <c r="BA1013">
        <v>0</v>
      </c>
      <c r="BB1013">
        <v>0</v>
      </c>
      <c r="BC1013">
        <v>0</v>
      </c>
      <c r="BD1013" s="144" t="s">
        <v>1675</v>
      </c>
      <c r="BF1013" s="10"/>
      <c r="BG1013"/>
    </row>
    <row r="1014" spans="1:59" ht="14.25" customHeight="1" x14ac:dyDescent="0.25">
      <c r="A1014" s="37" t="str">
        <f>LEFT(Scharniere[[#This Row],[ArtikelNR]],4)</f>
        <v>F017</v>
      </c>
      <c r="B1014" s="35" t="str">
        <f>MID(Scharniere[[#This Row],[ArtikelNR]],5,3)</f>
        <v>139</v>
      </c>
      <c r="C1014" s="37" t="str">
        <f>RIGHT(Scharniere[[#This Row],[ArtikelNR]],3)</f>
        <v>519</v>
      </c>
      <c r="D1014" s="35">
        <f>IF(AND(Scharniere[[#This Row],[Gruppenschlüssel]]=select!$A$44,Scharniere[[#This Row],[Scharnierart]]=1)=TRUE,1,0)</f>
        <v>0</v>
      </c>
      <c r="E101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4" s="35">
        <f>IF(select!$F$57=IF(Scharniere[[#This Row],[mit Dämpfung]]=1,1,IF(Scharniere[[#This Row],[ohne Dämpfung]]=1,2,IF(Scharniere[[#This Row],[ohne Feder]]=1,3,0))),1,0)</f>
        <v>0</v>
      </c>
      <c r="G1014" s="35">
        <f>IF(Scharniere[[#This Row],[Bohrbild]]=select!$V$43,1,0)</f>
        <v>0</v>
      </c>
      <c r="H1014" s="35">
        <f>IF(IF(Scharniere[[#This Row],[Anschrauben]]=1,1,IF(Scharniere[[#This Row],[Einpressen]]=1,2,IF(Scharniere[[#This Row],[Quick]]=1,3,IF(Scharniere[[#This Row],[Werkzeuglos]]=1,4,0))))=select!$F$48,1,0)</f>
        <v>0</v>
      </c>
      <c r="I101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4" s="149">
        <f>IF(AND(Scharniere[[#This Row],[Scharnierart]]=2,Scharniere[[#This Row],[Gruppenschlüssel]]=select!$A$318)=TRUE,1,0)</f>
        <v>0</v>
      </c>
      <c r="K1014" s="221">
        <f ca="1">IF(select!$O$424&lt;6,1,0)</f>
        <v>1</v>
      </c>
      <c r="L1014" s="221">
        <f>IF(select!$A$362=IF(Scharniere[[#This Row],[mit Dämpfung]]=1,1,IF(Scharniere[[#This Row],[ohne Dämpfung]]=1,2,IF(Scharniere[[#This Row],[ohne Feder]]=1,3,0))),1,0)</f>
        <v>1</v>
      </c>
      <c r="M1014" s="135">
        <f>IF(Scharniere[[#This Row],[Bohrbild]]=select!$O$334,1,0)</f>
        <v>0</v>
      </c>
      <c r="N1014" s="135">
        <f>IF(IF(Scharniere[[#This Row],[Anschrauben]]=1,1,IF(Scharniere[[#This Row],[Einpressen]]=1,2,IF(Scharniere[[#This Row],[Quick]]=1,3,IF(Scharniere[[#This Row],[Werkzeuglos]]=1,4,0))))=select!$E$362,1,0)</f>
        <v>0</v>
      </c>
      <c r="O101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4" s="298">
        <f>IF(AND(Scharniere[[#This Row],[Scharnierart]]=3,Scharniere[[#This Row],[Gruppenschlüssel]]=select!$A$747)=TRUE,1,0)</f>
        <v>0</v>
      </c>
      <c r="Q1014" s="298">
        <f ca="1">IF(select!$O$945&lt;6,1,0)</f>
        <v>1</v>
      </c>
      <c r="R1014" s="298">
        <f>IF(select!$A$778=IF(Scharniere[[#This Row],[mit Dämpfung]]=1,1,IF(Scharniere[[#This Row],[ohne Dämpfung]]=1,2,IF(Scharniere[[#This Row],[ohne Feder]]=1,3,0))),1,0)</f>
        <v>0</v>
      </c>
      <c r="S1014" s="298">
        <f>IF(Scharniere[[#This Row],[Bohrbild]]=select!$A$755,1,0)</f>
        <v>0</v>
      </c>
      <c r="T1014" s="298">
        <f>IF(IF(Scharniere[[#This Row],[Anschrauben]]=1,1,IF(Scharniere[[#This Row],[Einpressen]]=1,2,IF(Scharniere[[#This Row],[Quick]]=1,3,IF(Scharniere[[#This Row],[Werkzeuglos]]=1,4,0))))=select!$A$769,1,0)</f>
        <v>0</v>
      </c>
      <c r="U101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4" s="359">
        <f>IF(AND(Scharniere[[#This Row],[Scharnierart]]=4,Scharniere[[#This Row],[Gruppenschlüssel]]=select!$A$981)=TRUE,1,0)</f>
        <v>0</v>
      </c>
      <c r="W1014" s="359">
        <f ca="1">IF(select!$O$1185&lt;6,1,0)</f>
        <v>1</v>
      </c>
      <c r="X1014" s="359">
        <f>IF(select!$A$1012=IF(Scharniere[[#This Row],[mit Dämpfung]]=1,1,IF(Scharniere[[#This Row],[ohne Dämpfung]]=1,2,IF(Scharniere[[#This Row],[ohne Feder]]=1,3,0))),1,0)</f>
        <v>0</v>
      </c>
      <c r="Y1014" s="359">
        <f>IF(Scharniere[[#This Row],[Bohrbild]]=select!$A$989,1,0)</f>
        <v>0</v>
      </c>
      <c r="Z1014" s="359">
        <f>IF(IF(Scharniere[[#This Row],[Anschrauben]]=1,1,IF(Scharniere[[#This Row],[Einpressen]]=1,2,IF(Scharniere[[#This Row],[Quick]]=1,3,IF(Scharniere[[#This Row],[Werkzeuglos]]=1,4,0))))=select!$A$1003,1,0)</f>
        <v>0</v>
      </c>
      <c r="AA101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4" s="359">
        <f ca="1">IF(select!$K$980="*",Scharniere[[#This Row],[AG Ges2]],Scharniere[[#This Row],[AG Ges1]])</f>
        <v>0</v>
      </c>
      <c r="AE1014" s="451">
        <f ca="1">IF(AND(Scharniere[[#This Row],[Scharnierart]]=select!$A$1485,Scharniere[[#This Row],[Gruppenschlüssel]]=select!$B$1485)=TRUE,1,0)</f>
        <v>0</v>
      </c>
      <c r="AF1014" s="451">
        <f ca="1">IF(AND(Scharniere[[#This Row],[Scharnierart]]=select!$A$1486,Scharniere[[#This Row],[Gruppenschlüssel]]=select!$B$1486)=TRUE,1,0)</f>
        <v>0</v>
      </c>
      <c r="AG1014" s="451">
        <f ca="1">IF(AND(Scharniere[[#This Row],[Scharnierart]]=select!$A$1487,Scharniere[[#This Row],[Gruppenschlüssel]]=select!$B$1487)=TRUE,1,0)</f>
        <v>0</v>
      </c>
      <c r="AH1014" s="451">
        <f ca="1">IF(AND(Scharniere[[#This Row],[Scharnierart]]=select!$A$1488,Scharniere[[#This Row],[Gruppenschlüssel]]=select!$B$1488)=TRUE,1,0)</f>
        <v>0</v>
      </c>
      <c r="AI1014" s="451">
        <f ca="1">IF(SUM(Scharniere[[#This Row],[konf Scharnier 1]:[konf Scharnier 4]])&gt;0,1,0)</f>
        <v>0</v>
      </c>
      <c r="AJ1014" s="451"/>
      <c r="AK1014" s="451"/>
      <c r="AL1014" s="451"/>
      <c r="AM1014" s="451"/>
      <c r="AN1014" s="451"/>
      <c r="AO1014" s="146">
        <v>2</v>
      </c>
      <c r="AP1014" s="146">
        <v>11</v>
      </c>
      <c r="AQ1014" s="71" t="str">
        <f ca="1">Sprache!$A$113</f>
        <v>Tiomos Scharnier TS Impresso</v>
      </c>
      <c r="AR1014" t="str">
        <f ca="1">"120/-45°, HS-BB, "&amp;Sprache!$A$58&amp;" ni"</f>
        <v>120/-45°, HS-BB, aufl. ni</v>
      </c>
      <c r="AS1014" t="str">
        <f ca="1">Sprache!$A$116</f>
        <v>Tiomos Impresso Scharniere</v>
      </c>
      <c r="AT1014" t="s">
        <v>1264</v>
      </c>
      <c r="AU1014" t="s">
        <v>10</v>
      </c>
      <c r="AV1014" t="s">
        <v>1496</v>
      </c>
      <c r="AW1014" s="71">
        <v>1</v>
      </c>
      <c r="AX1014">
        <v>0</v>
      </c>
      <c r="AY1014">
        <v>0</v>
      </c>
      <c r="AZ1014" s="71">
        <v>0</v>
      </c>
      <c r="BA1014">
        <v>0</v>
      </c>
      <c r="BB1014">
        <v>0</v>
      </c>
      <c r="BC1014">
        <v>1</v>
      </c>
      <c r="BD1014" s="144" t="s">
        <v>1599</v>
      </c>
      <c r="BF1014" s="10"/>
      <c r="BG1014"/>
    </row>
    <row r="1015" spans="1:59" ht="14.25" customHeight="1" x14ac:dyDescent="0.25">
      <c r="A1015" s="37" t="str">
        <f>LEFT(Scharniere[[#This Row],[ArtikelNR]],4)</f>
        <v>F017</v>
      </c>
      <c r="B1015" s="35" t="str">
        <f>MID(Scharniere[[#This Row],[ArtikelNR]],5,3)</f>
        <v>139</v>
      </c>
      <c r="C1015" s="37" t="str">
        <f>RIGHT(Scharniere[[#This Row],[ArtikelNR]],3)</f>
        <v>519</v>
      </c>
      <c r="D1015" s="35">
        <f>IF(AND(Scharniere[[#This Row],[Gruppenschlüssel]]=select!$A$44,Scharniere[[#This Row],[Scharnierart]]=1)=TRUE,1,0)</f>
        <v>0</v>
      </c>
      <c r="E101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5" s="35">
        <f>IF(select!$F$57=IF(Scharniere[[#This Row],[mit Dämpfung]]=1,1,IF(Scharniere[[#This Row],[ohne Dämpfung]]=1,2,IF(Scharniere[[#This Row],[ohne Feder]]=1,3,0))),1,0)</f>
        <v>0</v>
      </c>
      <c r="G1015" s="35">
        <f>IF(Scharniere[[#This Row],[Bohrbild]]=select!$V$43,1,0)</f>
        <v>0</v>
      </c>
      <c r="H1015" s="35">
        <f>IF(IF(Scharniere[[#This Row],[Anschrauben]]=1,1,IF(Scharniere[[#This Row],[Einpressen]]=1,2,IF(Scharniere[[#This Row],[Quick]]=1,3,IF(Scharniere[[#This Row],[Werkzeuglos]]=1,4,0))))=select!$F$48,1,0)</f>
        <v>0</v>
      </c>
      <c r="I101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5" s="149">
        <f>IF(AND(Scharniere[[#This Row],[Scharnierart]]=2,Scharniere[[#This Row],[Gruppenschlüssel]]=select!$A$318)=TRUE,1,0)</f>
        <v>0</v>
      </c>
      <c r="K1015" s="221">
        <f ca="1">IF(select!$O$424&lt;6,1,0)</f>
        <v>1</v>
      </c>
      <c r="L1015" s="221">
        <f>IF(select!$A$362=IF(Scharniere[[#This Row],[mit Dämpfung]]=1,1,IF(Scharniere[[#This Row],[ohne Dämpfung]]=1,2,IF(Scharniere[[#This Row],[ohne Feder]]=1,3,0))),1,0)</f>
        <v>1</v>
      </c>
      <c r="M1015" s="135">
        <f>IF(Scharniere[[#This Row],[Bohrbild]]=select!$O$334,1,0)</f>
        <v>0</v>
      </c>
      <c r="N1015" s="135">
        <f>IF(IF(Scharniere[[#This Row],[Anschrauben]]=1,1,IF(Scharniere[[#This Row],[Einpressen]]=1,2,IF(Scharniere[[#This Row],[Quick]]=1,3,IF(Scharniere[[#This Row],[Werkzeuglos]]=1,4,0))))=select!$E$362,1,0)</f>
        <v>0</v>
      </c>
      <c r="O101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5" s="298">
        <f>IF(AND(Scharniere[[#This Row],[Scharnierart]]=3,Scharniere[[#This Row],[Gruppenschlüssel]]=select!$A$747)=TRUE,1,0)</f>
        <v>0</v>
      </c>
      <c r="Q1015" s="298">
        <f ca="1">IF(select!$O$945&lt;6,1,0)</f>
        <v>1</v>
      </c>
      <c r="R1015" s="298">
        <f>IF(select!$A$778=IF(Scharniere[[#This Row],[mit Dämpfung]]=1,1,IF(Scharniere[[#This Row],[ohne Dämpfung]]=1,2,IF(Scharniere[[#This Row],[ohne Feder]]=1,3,0))),1,0)</f>
        <v>0</v>
      </c>
      <c r="S1015" s="298">
        <f>IF(Scharniere[[#This Row],[Bohrbild]]=select!$A$755,1,0)</f>
        <v>0</v>
      </c>
      <c r="T1015" s="298">
        <f>IF(IF(Scharniere[[#This Row],[Anschrauben]]=1,1,IF(Scharniere[[#This Row],[Einpressen]]=1,2,IF(Scharniere[[#This Row],[Quick]]=1,3,IF(Scharniere[[#This Row],[Werkzeuglos]]=1,4,0))))=select!$A$769,1,0)</f>
        <v>0</v>
      </c>
      <c r="U101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5" s="359">
        <f>IF(AND(Scharniere[[#This Row],[Scharnierart]]=4,Scharniere[[#This Row],[Gruppenschlüssel]]=select!$A$981)=TRUE,1,0)</f>
        <v>0</v>
      </c>
      <c r="W1015" s="359">
        <f ca="1">IF(select!$O$1185&lt;6,1,0)</f>
        <v>1</v>
      </c>
      <c r="X1015" s="359">
        <f>IF(select!$A$1012=IF(Scharniere[[#This Row],[mit Dämpfung]]=1,1,IF(Scharniere[[#This Row],[ohne Dämpfung]]=1,2,IF(Scharniere[[#This Row],[ohne Feder]]=1,3,0))),1,0)</f>
        <v>0</v>
      </c>
      <c r="Y1015" s="359">
        <f>IF(Scharniere[[#This Row],[Bohrbild]]=select!$A$989,1,0)</f>
        <v>0</v>
      </c>
      <c r="Z1015" s="359">
        <f>IF(IF(Scharniere[[#This Row],[Anschrauben]]=1,1,IF(Scharniere[[#This Row],[Einpressen]]=1,2,IF(Scharniere[[#This Row],[Quick]]=1,3,IF(Scharniere[[#This Row],[Werkzeuglos]]=1,4,0))))=select!$A$1003,1,0)</f>
        <v>0</v>
      </c>
      <c r="AA101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5" s="359">
        <f ca="1">IF(select!$K$980="*",Scharniere[[#This Row],[AG Ges2]],Scharniere[[#This Row],[AG Ges1]])</f>
        <v>0</v>
      </c>
      <c r="AE1015" s="451">
        <f ca="1">IF(AND(Scharniere[[#This Row],[Scharnierart]]=select!$A$1485,Scharniere[[#This Row],[Gruppenschlüssel]]=select!$B$1485)=TRUE,1,0)</f>
        <v>0</v>
      </c>
      <c r="AF1015" s="451">
        <f ca="1">IF(AND(Scharniere[[#This Row],[Scharnierart]]=select!$A$1486,Scharniere[[#This Row],[Gruppenschlüssel]]=select!$B$1486)=TRUE,1,0)</f>
        <v>0</v>
      </c>
      <c r="AG1015" s="451">
        <f ca="1">IF(AND(Scharniere[[#This Row],[Scharnierart]]=select!$A$1487,Scharniere[[#This Row],[Gruppenschlüssel]]=select!$B$1487)=TRUE,1,0)</f>
        <v>0</v>
      </c>
      <c r="AH1015" s="451">
        <f ca="1">IF(AND(Scharniere[[#This Row],[Scharnierart]]=select!$A$1488,Scharniere[[#This Row],[Gruppenschlüssel]]=select!$B$1488)=TRUE,1,0)</f>
        <v>0</v>
      </c>
      <c r="AI1015" s="451">
        <f ca="1">IF(SUM(Scharniere[[#This Row],[konf Scharnier 1]:[konf Scharnier 4]])&gt;0,1,0)</f>
        <v>0</v>
      </c>
      <c r="AJ1015" s="451"/>
      <c r="AK1015" s="451"/>
      <c r="AL1015" s="451"/>
      <c r="AM1015" s="451"/>
      <c r="AN1015" s="451"/>
      <c r="AO1015" s="146">
        <v>2</v>
      </c>
      <c r="AP1015" s="146">
        <v>11</v>
      </c>
      <c r="AQ1015" s="71" t="str">
        <f ca="1">Sprache!$A$113</f>
        <v>Tiomos Scharnier TS Impresso</v>
      </c>
      <c r="AR1015" t="str">
        <f ca="1">"120/-45°, HS-BB, "&amp;Sprache!$A$58&amp;" ni"</f>
        <v>120/-45°, HS-BB, aufl. ni</v>
      </c>
      <c r="AS1015" t="str">
        <f ca="1">Sprache!$A$116</f>
        <v>Tiomos Impresso Scharniere</v>
      </c>
      <c r="AT1015" t="s">
        <v>1264</v>
      </c>
      <c r="AU1015" t="s">
        <v>11</v>
      </c>
      <c r="AV1015" t="s">
        <v>1496</v>
      </c>
      <c r="AW1015" s="71">
        <v>1</v>
      </c>
      <c r="AX1015">
        <v>0</v>
      </c>
      <c r="AY1015">
        <v>0</v>
      </c>
      <c r="AZ1015" s="71">
        <v>0</v>
      </c>
      <c r="BA1015">
        <v>0</v>
      </c>
      <c r="BB1015">
        <v>0</v>
      </c>
      <c r="BC1015">
        <v>1</v>
      </c>
      <c r="BD1015" s="144" t="s">
        <v>1599</v>
      </c>
      <c r="BF1015" s="10"/>
      <c r="BG1015"/>
    </row>
    <row r="1016" spans="1:59" ht="14.25" customHeight="1" x14ac:dyDescent="0.25">
      <c r="A1016" s="37" t="str">
        <f>LEFT(Scharniere[[#This Row],[ArtikelNR]],4)</f>
        <v>F034</v>
      </c>
      <c r="B1016" s="35" t="str">
        <f>MID(Scharniere[[#This Row],[ArtikelNR]],5,3)</f>
        <v>139</v>
      </c>
      <c r="C1016" s="37" t="str">
        <f>RIGHT(Scharniere[[#This Row],[ArtikelNR]],3)</f>
        <v>490</v>
      </c>
      <c r="D1016" s="35">
        <f>IF(AND(Scharniere[[#This Row],[Gruppenschlüssel]]=select!$A$44,Scharniere[[#This Row],[Scharnierart]]=1)=TRUE,1,0)</f>
        <v>0</v>
      </c>
      <c r="E101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6" s="35">
        <f>IF(select!$F$57=IF(Scharniere[[#This Row],[mit Dämpfung]]=1,1,IF(Scharniere[[#This Row],[ohne Dämpfung]]=1,2,IF(Scharniere[[#This Row],[ohne Feder]]=1,3,0))),1,0)</f>
        <v>0</v>
      </c>
      <c r="G1016" s="35">
        <f>IF(Scharniere[[#This Row],[Bohrbild]]=select!$V$43,1,0)</f>
        <v>0</v>
      </c>
      <c r="H1016" s="35">
        <f>IF(IF(Scharniere[[#This Row],[Anschrauben]]=1,1,IF(Scharniere[[#This Row],[Einpressen]]=1,2,IF(Scharniere[[#This Row],[Quick]]=1,3,IF(Scharniere[[#This Row],[Werkzeuglos]]=1,4,0))))=select!$F$48,1,0)</f>
        <v>0</v>
      </c>
      <c r="I101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6" s="149">
        <f>IF(AND(Scharniere[[#This Row],[Scharnierart]]=2,Scharniere[[#This Row],[Gruppenschlüssel]]=select!$A$318)=TRUE,1,0)</f>
        <v>0</v>
      </c>
      <c r="K1016" s="221">
        <f ca="1">IF(select!$O$424&lt;6,1,0)</f>
        <v>1</v>
      </c>
      <c r="L1016" s="221">
        <f>IF(select!$A$362=IF(Scharniere[[#This Row],[mit Dämpfung]]=1,1,IF(Scharniere[[#This Row],[ohne Dämpfung]]=1,2,IF(Scharniere[[#This Row],[ohne Feder]]=1,3,0))),1,0)</f>
        <v>0</v>
      </c>
      <c r="M1016" s="135">
        <f>IF(Scharniere[[#This Row],[Bohrbild]]=select!$O$334,1,0)</f>
        <v>0</v>
      </c>
      <c r="N1016" s="135">
        <f>IF(IF(Scharniere[[#This Row],[Anschrauben]]=1,1,IF(Scharniere[[#This Row],[Einpressen]]=1,2,IF(Scharniere[[#This Row],[Quick]]=1,3,IF(Scharniere[[#This Row],[Werkzeuglos]]=1,4,0))))=select!$E$362,1,0)</f>
        <v>0</v>
      </c>
      <c r="O101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6" s="298">
        <f>IF(AND(Scharniere[[#This Row],[Scharnierart]]=3,Scharniere[[#This Row],[Gruppenschlüssel]]=select!$A$747)=TRUE,1,0)</f>
        <v>0</v>
      </c>
      <c r="Q1016" s="298">
        <f ca="1">IF(select!$O$945&lt;6,1,0)</f>
        <v>1</v>
      </c>
      <c r="R1016" s="298">
        <f>IF(select!$A$778=IF(Scharniere[[#This Row],[mit Dämpfung]]=1,1,IF(Scharniere[[#This Row],[ohne Dämpfung]]=1,2,IF(Scharniere[[#This Row],[ohne Feder]]=1,3,0))),1,0)</f>
        <v>1</v>
      </c>
      <c r="S1016" s="298">
        <f>IF(Scharniere[[#This Row],[Bohrbild]]=select!$A$755,1,0)</f>
        <v>0</v>
      </c>
      <c r="T1016" s="298">
        <f>IF(IF(Scharniere[[#This Row],[Anschrauben]]=1,1,IF(Scharniere[[#This Row],[Einpressen]]=1,2,IF(Scharniere[[#This Row],[Quick]]=1,3,IF(Scharniere[[#This Row],[Werkzeuglos]]=1,4,0))))=select!$A$769,1,0)</f>
        <v>0</v>
      </c>
      <c r="U101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6" s="359">
        <f>IF(AND(Scharniere[[#This Row],[Scharnierart]]=4,Scharniere[[#This Row],[Gruppenschlüssel]]=select!$A$981)=TRUE,1,0)</f>
        <v>0</v>
      </c>
      <c r="W1016" s="359">
        <f ca="1">IF(select!$O$1185&lt;6,1,0)</f>
        <v>1</v>
      </c>
      <c r="X1016" s="359">
        <f>IF(select!$A$1012=IF(Scharniere[[#This Row],[mit Dämpfung]]=1,1,IF(Scharniere[[#This Row],[ohne Dämpfung]]=1,2,IF(Scharniere[[#This Row],[ohne Feder]]=1,3,0))),1,0)</f>
        <v>1</v>
      </c>
      <c r="Y1016" s="359">
        <f>IF(Scharniere[[#This Row],[Bohrbild]]=select!$A$989,1,0)</f>
        <v>0</v>
      </c>
      <c r="Z1016" s="359">
        <f>IF(IF(Scharniere[[#This Row],[Anschrauben]]=1,1,IF(Scharniere[[#This Row],[Einpressen]]=1,2,IF(Scharniere[[#This Row],[Quick]]=1,3,IF(Scharniere[[#This Row],[Werkzeuglos]]=1,4,0))))=select!$A$1003,1,0)</f>
        <v>0</v>
      </c>
      <c r="AA101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6" s="359">
        <f ca="1">IF(select!$K$980="*",Scharniere[[#This Row],[AG Ges2]],Scharniere[[#This Row],[AG Ges1]])</f>
        <v>0</v>
      </c>
      <c r="AE1016" s="451">
        <f ca="1">IF(AND(Scharniere[[#This Row],[Scharnierart]]=select!$A$1485,Scharniere[[#This Row],[Gruppenschlüssel]]=select!$B$1485)=TRUE,1,0)</f>
        <v>0</v>
      </c>
      <c r="AF1016" s="451">
        <f ca="1">IF(AND(Scharniere[[#This Row],[Scharnierart]]=select!$A$1486,Scharniere[[#This Row],[Gruppenschlüssel]]=select!$B$1486)=TRUE,1,0)</f>
        <v>0</v>
      </c>
      <c r="AG1016" s="451">
        <f ca="1">IF(AND(Scharniere[[#This Row],[Scharnierart]]=select!$A$1487,Scharniere[[#This Row],[Gruppenschlüssel]]=select!$B$1487)=TRUE,1,0)</f>
        <v>0</v>
      </c>
      <c r="AH1016" s="451">
        <f ca="1">IF(AND(Scharniere[[#This Row],[Scharnierart]]=select!$A$1488,Scharniere[[#This Row],[Gruppenschlüssel]]=select!$B$1488)=TRUE,1,0)</f>
        <v>0</v>
      </c>
      <c r="AI1016" s="451">
        <f ca="1">IF(SUM(Scharniere[[#This Row],[konf Scharnier 1]:[konf Scharnier 4]])&gt;0,1,0)</f>
        <v>0</v>
      </c>
      <c r="AJ1016" s="451"/>
      <c r="AK1016" s="451"/>
      <c r="AL1016" s="451"/>
      <c r="AM1016" s="451"/>
      <c r="AN1016" s="451"/>
      <c r="AO1016" s="146">
        <v>2</v>
      </c>
      <c r="AP1016" s="146">
        <v>11</v>
      </c>
      <c r="AQ1016" s="71" t="str">
        <f ca="1">Sprache!$A$119</f>
        <v>Tiomos Scharnier T Impresso</v>
      </c>
      <c r="AR1016" t="str">
        <f ca="1">"120/-45°, HS-BB, "&amp;Sprache!$A$58&amp;" ni"</f>
        <v>120/-45°, HS-BB, aufl. ni</v>
      </c>
      <c r="AS1016" t="str">
        <f ca="1">Sprache!$A$103</f>
        <v>Tiomos Click-On Scharniere</v>
      </c>
      <c r="AT1016" t="s">
        <v>1264</v>
      </c>
      <c r="AU1016" t="s">
        <v>10</v>
      </c>
      <c r="AV1016" t="s">
        <v>1496</v>
      </c>
      <c r="AW1016" s="71">
        <v>0</v>
      </c>
      <c r="AX1016">
        <v>1</v>
      </c>
      <c r="AY1016">
        <v>0</v>
      </c>
      <c r="AZ1016" s="71">
        <v>0</v>
      </c>
      <c r="BA1016">
        <v>0</v>
      </c>
      <c r="BB1016">
        <v>0</v>
      </c>
      <c r="BC1016">
        <v>1</v>
      </c>
      <c r="BD1016" s="144" t="s">
        <v>1777</v>
      </c>
      <c r="BF1016" s="10"/>
      <c r="BG1016"/>
    </row>
    <row r="1017" spans="1:59" ht="14.25" customHeight="1" x14ac:dyDescent="0.25">
      <c r="A1017" s="37" t="str">
        <f>LEFT(Scharniere[[#This Row],[ArtikelNR]],4)</f>
        <v>F034</v>
      </c>
      <c r="B1017" s="35" t="str">
        <f>MID(Scharniere[[#This Row],[ArtikelNR]],5,3)</f>
        <v>139</v>
      </c>
      <c r="C1017" s="37" t="str">
        <f>RIGHT(Scharniere[[#This Row],[ArtikelNR]],3)</f>
        <v>490</v>
      </c>
      <c r="D1017" s="35">
        <f>IF(AND(Scharniere[[#This Row],[Gruppenschlüssel]]=select!$A$44,Scharniere[[#This Row],[Scharnierart]]=1)=TRUE,1,0)</f>
        <v>0</v>
      </c>
      <c r="E101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7" s="35">
        <f>IF(select!$F$57=IF(Scharniere[[#This Row],[mit Dämpfung]]=1,1,IF(Scharniere[[#This Row],[ohne Dämpfung]]=1,2,IF(Scharniere[[#This Row],[ohne Feder]]=1,3,0))),1,0)</f>
        <v>0</v>
      </c>
      <c r="G1017" s="35">
        <f>IF(Scharniere[[#This Row],[Bohrbild]]=select!$V$43,1,0)</f>
        <v>0</v>
      </c>
      <c r="H1017" s="35">
        <f>IF(IF(Scharniere[[#This Row],[Anschrauben]]=1,1,IF(Scharniere[[#This Row],[Einpressen]]=1,2,IF(Scharniere[[#This Row],[Quick]]=1,3,IF(Scharniere[[#This Row],[Werkzeuglos]]=1,4,0))))=select!$F$48,1,0)</f>
        <v>0</v>
      </c>
      <c r="I101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7" s="149">
        <f>IF(AND(Scharniere[[#This Row],[Scharnierart]]=2,Scharniere[[#This Row],[Gruppenschlüssel]]=select!$A$318)=TRUE,1,0)</f>
        <v>0</v>
      </c>
      <c r="K1017" s="221">
        <f ca="1">IF(select!$O$424&lt;6,1,0)</f>
        <v>1</v>
      </c>
      <c r="L1017" s="221">
        <f>IF(select!$A$362=IF(Scharniere[[#This Row],[mit Dämpfung]]=1,1,IF(Scharniere[[#This Row],[ohne Dämpfung]]=1,2,IF(Scharniere[[#This Row],[ohne Feder]]=1,3,0))),1,0)</f>
        <v>0</v>
      </c>
      <c r="M1017" s="135">
        <f>IF(Scharniere[[#This Row],[Bohrbild]]=select!$O$334,1,0)</f>
        <v>0</v>
      </c>
      <c r="N1017" s="135">
        <f>IF(IF(Scharniere[[#This Row],[Anschrauben]]=1,1,IF(Scharniere[[#This Row],[Einpressen]]=1,2,IF(Scharniere[[#This Row],[Quick]]=1,3,IF(Scharniere[[#This Row],[Werkzeuglos]]=1,4,0))))=select!$E$362,1,0)</f>
        <v>0</v>
      </c>
      <c r="O101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7" s="298">
        <f>IF(AND(Scharniere[[#This Row],[Scharnierart]]=3,Scharniere[[#This Row],[Gruppenschlüssel]]=select!$A$747)=TRUE,1,0)</f>
        <v>0</v>
      </c>
      <c r="Q1017" s="298">
        <f ca="1">IF(select!$O$945&lt;6,1,0)</f>
        <v>1</v>
      </c>
      <c r="R1017" s="298">
        <f>IF(select!$A$778=IF(Scharniere[[#This Row],[mit Dämpfung]]=1,1,IF(Scharniere[[#This Row],[ohne Dämpfung]]=1,2,IF(Scharniere[[#This Row],[ohne Feder]]=1,3,0))),1,0)</f>
        <v>1</v>
      </c>
      <c r="S1017" s="298">
        <f>IF(Scharniere[[#This Row],[Bohrbild]]=select!$A$755,1,0)</f>
        <v>0</v>
      </c>
      <c r="T1017" s="298">
        <f>IF(IF(Scharniere[[#This Row],[Anschrauben]]=1,1,IF(Scharniere[[#This Row],[Einpressen]]=1,2,IF(Scharniere[[#This Row],[Quick]]=1,3,IF(Scharniere[[#This Row],[Werkzeuglos]]=1,4,0))))=select!$A$769,1,0)</f>
        <v>0</v>
      </c>
      <c r="U101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7" s="359">
        <f>IF(AND(Scharniere[[#This Row],[Scharnierart]]=4,Scharniere[[#This Row],[Gruppenschlüssel]]=select!$A$981)=TRUE,1,0)</f>
        <v>0</v>
      </c>
      <c r="W1017" s="359">
        <f ca="1">IF(select!$O$1185&lt;6,1,0)</f>
        <v>1</v>
      </c>
      <c r="X1017" s="359">
        <f>IF(select!$A$1012=IF(Scharniere[[#This Row],[mit Dämpfung]]=1,1,IF(Scharniere[[#This Row],[ohne Dämpfung]]=1,2,IF(Scharniere[[#This Row],[ohne Feder]]=1,3,0))),1,0)</f>
        <v>1</v>
      </c>
      <c r="Y1017" s="359">
        <f>IF(Scharniere[[#This Row],[Bohrbild]]=select!$A$989,1,0)</f>
        <v>0</v>
      </c>
      <c r="Z1017" s="359">
        <f>IF(IF(Scharniere[[#This Row],[Anschrauben]]=1,1,IF(Scharniere[[#This Row],[Einpressen]]=1,2,IF(Scharniere[[#This Row],[Quick]]=1,3,IF(Scharniere[[#This Row],[Werkzeuglos]]=1,4,0))))=select!$A$1003,1,0)</f>
        <v>0</v>
      </c>
      <c r="AA101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7" s="359">
        <f ca="1">IF(select!$K$980="*",Scharniere[[#This Row],[AG Ges2]],Scharniere[[#This Row],[AG Ges1]])</f>
        <v>0</v>
      </c>
      <c r="AE1017" s="451">
        <f ca="1">IF(AND(Scharniere[[#This Row],[Scharnierart]]=select!$A$1485,Scharniere[[#This Row],[Gruppenschlüssel]]=select!$B$1485)=TRUE,1,0)</f>
        <v>0</v>
      </c>
      <c r="AF1017" s="451">
        <f ca="1">IF(AND(Scharniere[[#This Row],[Scharnierart]]=select!$A$1486,Scharniere[[#This Row],[Gruppenschlüssel]]=select!$B$1486)=TRUE,1,0)</f>
        <v>0</v>
      </c>
      <c r="AG1017" s="451">
        <f ca="1">IF(AND(Scharniere[[#This Row],[Scharnierart]]=select!$A$1487,Scharniere[[#This Row],[Gruppenschlüssel]]=select!$B$1487)=TRUE,1,0)</f>
        <v>0</v>
      </c>
      <c r="AH1017" s="451">
        <f ca="1">IF(AND(Scharniere[[#This Row],[Scharnierart]]=select!$A$1488,Scharniere[[#This Row],[Gruppenschlüssel]]=select!$B$1488)=TRUE,1,0)</f>
        <v>0</v>
      </c>
      <c r="AI1017" s="451">
        <f ca="1">IF(SUM(Scharniere[[#This Row],[konf Scharnier 1]:[konf Scharnier 4]])&gt;0,1,0)</f>
        <v>0</v>
      </c>
      <c r="AJ1017" s="451"/>
      <c r="AK1017" s="451"/>
      <c r="AL1017" s="451"/>
      <c r="AM1017" s="451"/>
      <c r="AN1017" s="451"/>
      <c r="AO1017" s="146">
        <v>2</v>
      </c>
      <c r="AP1017" s="146">
        <v>11</v>
      </c>
      <c r="AQ1017" s="71" t="str">
        <f ca="1">Sprache!$A$119</f>
        <v>Tiomos Scharnier T Impresso</v>
      </c>
      <c r="AR1017" t="str">
        <f ca="1">"120/-45°, HS-BB, "&amp;Sprache!$A$58&amp;" ni"</f>
        <v>120/-45°, HS-BB, aufl. ni</v>
      </c>
      <c r="AS1017" t="str">
        <f ca="1">Sprache!$A$103</f>
        <v>Tiomos Click-On Scharniere</v>
      </c>
      <c r="AT1017" t="s">
        <v>1264</v>
      </c>
      <c r="AU1017" t="s">
        <v>11</v>
      </c>
      <c r="AV1017" t="s">
        <v>1496</v>
      </c>
      <c r="AW1017" s="71">
        <v>0</v>
      </c>
      <c r="AX1017">
        <v>1</v>
      </c>
      <c r="AY1017">
        <v>0</v>
      </c>
      <c r="AZ1017" s="71">
        <v>0</v>
      </c>
      <c r="BA1017">
        <v>0</v>
      </c>
      <c r="BB1017">
        <v>0</v>
      </c>
      <c r="BC1017">
        <v>1</v>
      </c>
      <c r="BD1017" s="144" t="s">
        <v>1777</v>
      </c>
      <c r="BF1017" s="10"/>
      <c r="BG1017"/>
    </row>
    <row r="1018" spans="1:59" ht="14.25" customHeight="1" x14ac:dyDescent="0.25">
      <c r="A1018" s="37" t="str">
        <f>LEFT(Scharniere[[#This Row],[ArtikelNR]],4)</f>
        <v>F028</v>
      </c>
      <c r="B1018" s="35" t="str">
        <f>MID(Scharniere[[#This Row],[ArtikelNR]],5,3)</f>
        <v>138</v>
      </c>
      <c r="C1018" s="37" t="str">
        <f>RIGHT(Scharniere[[#This Row],[ArtikelNR]],3)</f>
        <v>131</v>
      </c>
      <c r="D1018" s="35">
        <f>IF(AND(Scharniere[[#This Row],[Gruppenschlüssel]]=select!$A$44,Scharniere[[#This Row],[Scharnierart]]=1)=TRUE,1,0)</f>
        <v>0</v>
      </c>
      <c r="E101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8" s="35">
        <f>IF(select!$F$57=IF(Scharniere[[#This Row],[mit Dämpfung]]=1,1,IF(Scharniere[[#This Row],[ohne Dämpfung]]=1,2,IF(Scharniere[[#This Row],[ohne Feder]]=1,3,0))),1,0)</f>
        <v>0</v>
      </c>
      <c r="G1018" s="35">
        <f>IF(Scharniere[[#This Row],[Bohrbild]]=select!$V$43,1,0)</f>
        <v>1</v>
      </c>
      <c r="H1018" s="35">
        <f>IF(IF(Scharniere[[#This Row],[Anschrauben]]=1,1,IF(Scharniere[[#This Row],[Einpressen]]=1,2,IF(Scharniere[[#This Row],[Quick]]=1,3,IF(Scharniere[[#This Row],[Werkzeuglos]]=1,4,0))))=select!$F$48,1,0)</f>
        <v>0</v>
      </c>
      <c r="I101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8" s="149">
        <f>IF(AND(Scharniere[[#This Row],[Scharnierart]]=2,Scharniere[[#This Row],[Gruppenschlüssel]]=select!$A$318)=TRUE,1,0)</f>
        <v>0</v>
      </c>
      <c r="K1018" s="221">
        <f ca="1">IF(select!$O$424&lt;6,1,0)</f>
        <v>1</v>
      </c>
      <c r="L1018" s="221">
        <f>IF(select!$A$362=IF(Scharniere[[#This Row],[mit Dämpfung]]=1,1,IF(Scharniere[[#This Row],[ohne Dämpfung]]=1,2,IF(Scharniere[[#This Row],[ohne Feder]]=1,3,0))),1,0)</f>
        <v>1</v>
      </c>
      <c r="M1018" s="135">
        <f>IF(Scharniere[[#This Row],[Bohrbild]]=select!$O$334,1,0)</f>
        <v>1</v>
      </c>
      <c r="N1018" s="135">
        <f>IF(IF(Scharniere[[#This Row],[Anschrauben]]=1,1,IF(Scharniere[[#This Row],[Einpressen]]=1,2,IF(Scharniere[[#This Row],[Quick]]=1,3,IF(Scharniere[[#This Row],[Werkzeuglos]]=1,4,0))))=select!$E$362,1,0)</f>
        <v>1</v>
      </c>
      <c r="O101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8" s="298">
        <f>IF(AND(Scharniere[[#This Row],[Scharnierart]]=3,Scharniere[[#This Row],[Gruppenschlüssel]]=select!$A$747)=TRUE,1,0)</f>
        <v>0</v>
      </c>
      <c r="Q1018" s="298">
        <f ca="1">IF(select!$O$945&lt;6,1,0)</f>
        <v>1</v>
      </c>
      <c r="R1018" s="298">
        <f>IF(select!$A$778=IF(Scharniere[[#This Row],[mit Dämpfung]]=1,1,IF(Scharniere[[#This Row],[ohne Dämpfung]]=1,2,IF(Scharniere[[#This Row],[ohne Feder]]=1,3,0))),1,0)</f>
        <v>0</v>
      </c>
      <c r="S1018" s="298">
        <f>IF(Scharniere[[#This Row],[Bohrbild]]=select!$A$755,1,0)</f>
        <v>0</v>
      </c>
      <c r="T1018" s="298">
        <f>IF(IF(Scharniere[[#This Row],[Anschrauben]]=1,1,IF(Scharniere[[#This Row],[Einpressen]]=1,2,IF(Scharniere[[#This Row],[Quick]]=1,3,IF(Scharniere[[#This Row],[Werkzeuglos]]=1,4,0))))=select!$A$769,1,0)</f>
        <v>1</v>
      </c>
      <c r="U101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8" s="359">
        <f>IF(AND(Scharniere[[#This Row],[Scharnierart]]=4,Scharniere[[#This Row],[Gruppenschlüssel]]=select!$A$981)=TRUE,1,0)</f>
        <v>0</v>
      </c>
      <c r="W1018" s="359">
        <f ca="1">IF(select!$O$1185&lt;6,1,0)</f>
        <v>1</v>
      </c>
      <c r="X1018" s="359">
        <f>IF(select!$A$1012=IF(Scharniere[[#This Row],[mit Dämpfung]]=1,1,IF(Scharniere[[#This Row],[ohne Dämpfung]]=1,2,IF(Scharniere[[#This Row],[ohne Feder]]=1,3,0))),1,0)</f>
        <v>0</v>
      </c>
      <c r="Y1018" s="359">
        <f>IF(Scharniere[[#This Row],[Bohrbild]]=select!$A$989,1,0)</f>
        <v>0</v>
      </c>
      <c r="Z1018" s="359">
        <f>IF(IF(Scharniere[[#This Row],[Anschrauben]]=1,1,IF(Scharniere[[#This Row],[Einpressen]]=1,2,IF(Scharniere[[#This Row],[Quick]]=1,3,IF(Scharniere[[#This Row],[Werkzeuglos]]=1,4,0))))=select!$A$1003,1,0)</f>
        <v>1</v>
      </c>
      <c r="AA101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8" s="359">
        <f ca="1">IF(select!$K$980="*",Scharniere[[#This Row],[AG Ges2]],Scharniere[[#This Row],[AG Ges1]])</f>
        <v>0</v>
      </c>
      <c r="AE1018" s="451">
        <f ca="1">IF(AND(Scharniere[[#This Row],[Scharnierart]]=select!$A$1485,Scharniere[[#This Row],[Gruppenschlüssel]]=select!$B$1485)=TRUE,1,0)</f>
        <v>0</v>
      </c>
      <c r="AF1018" s="451">
        <f ca="1">IF(AND(Scharniere[[#This Row],[Scharnierart]]=select!$A$1486,Scharniere[[#This Row],[Gruppenschlüssel]]=select!$B$1486)=TRUE,1,0)</f>
        <v>0</v>
      </c>
      <c r="AG1018" s="451">
        <f ca="1">IF(AND(Scharniere[[#This Row],[Scharnierart]]=select!$A$1487,Scharniere[[#This Row],[Gruppenschlüssel]]=select!$B$1487)=TRUE,1,0)</f>
        <v>0</v>
      </c>
      <c r="AH1018" s="451">
        <f ca="1">IF(AND(Scharniere[[#This Row],[Scharnierart]]=select!$A$1488,Scharniere[[#This Row],[Gruppenschlüssel]]=select!$B$1488)=TRUE,1,0)</f>
        <v>0</v>
      </c>
      <c r="AI1018" s="451">
        <f ca="1">IF(SUM(Scharniere[[#This Row],[konf Scharnier 1]:[konf Scharnier 4]])&gt;0,1,0)</f>
        <v>0</v>
      </c>
      <c r="AJ1018" s="451"/>
      <c r="AK1018" s="451"/>
      <c r="AL1018" s="451"/>
      <c r="AM1018" s="451"/>
      <c r="AN1018" s="451"/>
      <c r="AO1018" s="146">
        <v>2</v>
      </c>
      <c r="AP1018" s="146">
        <v>11</v>
      </c>
      <c r="AQ1018" s="71" t="str">
        <f ca="1">Sprache!$A$112</f>
        <v>Tiomos Scharnier TS Click-on</v>
      </c>
      <c r="AR1018" t="str">
        <f ca="1">"120/-45°, M-BB, "&amp;Sprache!$A$58&amp;" ni"</f>
        <v>120/-45°, M-BB, aufl. ni</v>
      </c>
      <c r="AS1018" t="str">
        <f ca="1">Sprache!$A$103</f>
        <v>Tiomos Click-On Scharniere</v>
      </c>
      <c r="AT1018" t="s">
        <v>1264</v>
      </c>
      <c r="AU1018" t="s">
        <v>8</v>
      </c>
      <c r="AV1018" t="s">
        <v>1496</v>
      </c>
      <c r="AW1018" s="71">
        <v>1</v>
      </c>
      <c r="AX1018">
        <v>0</v>
      </c>
      <c r="AY1018">
        <v>0</v>
      </c>
      <c r="AZ1018" s="71">
        <v>1</v>
      </c>
      <c r="BA1018">
        <v>0</v>
      </c>
      <c r="BB1018">
        <v>0</v>
      </c>
      <c r="BC1018">
        <v>0</v>
      </c>
      <c r="BD1018" s="144" t="s">
        <v>1525</v>
      </c>
      <c r="BF1018" s="10"/>
      <c r="BG1018"/>
    </row>
    <row r="1019" spans="1:59" ht="14.25" customHeight="1" x14ac:dyDescent="0.25">
      <c r="A1019" s="37" t="str">
        <f>LEFT(Scharniere[[#This Row],[ArtikelNR]],4)</f>
        <v>F045</v>
      </c>
      <c r="B1019" s="35" t="str">
        <f>MID(Scharniere[[#This Row],[ArtikelNR]],5,3)</f>
        <v>138</v>
      </c>
      <c r="C1019" s="37" t="str">
        <f>RIGHT(Scharniere[[#This Row],[ArtikelNR]],3)</f>
        <v>038</v>
      </c>
      <c r="D1019" s="35">
        <f>IF(AND(Scharniere[[#This Row],[Gruppenschlüssel]]=select!$A$44,Scharniere[[#This Row],[Scharnierart]]=1)=TRUE,1,0)</f>
        <v>0</v>
      </c>
      <c r="E101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19" s="35">
        <f>IF(select!$F$57=IF(Scharniere[[#This Row],[mit Dämpfung]]=1,1,IF(Scharniere[[#This Row],[ohne Dämpfung]]=1,2,IF(Scharniere[[#This Row],[ohne Feder]]=1,3,0))),1,0)</f>
        <v>0</v>
      </c>
      <c r="G1019" s="35">
        <f>IF(Scharniere[[#This Row],[Bohrbild]]=select!$V$43,1,0)</f>
        <v>1</v>
      </c>
      <c r="H1019" s="35">
        <f>IF(IF(Scharniere[[#This Row],[Anschrauben]]=1,1,IF(Scharniere[[#This Row],[Einpressen]]=1,2,IF(Scharniere[[#This Row],[Quick]]=1,3,IF(Scharniere[[#This Row],[Werkzeuglos]]=1,4,0))))=select!$F$48,1,0)</f>
        <v>0</v>
      </c>
      <c r="I101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19" s="149">
        <f>IF(AND(Scharniere[[#This Row],[Scharnierart]]=2,Scharniere[[#This Row],[Gruppenschlüssel]]=select!$A$318)=TRUE,1,0)</f>
        <v>0</v>
      </c>
      <c r="K1019" s="221">
        <f ca="1">IF(select!$O$424&lt;6,1,0)</f>
        <v>1</v>
      </c>
      <c r="L1019" s="221">
        <f>IF(select!$A$362=IF(Scharniere[[#This Row],[mit Dämpfung]]=1,1,IF(Scharniere[[#This Row],[ohne Dämpfung]]=1,2,IF(Scharniere[[#This Row],[ohne Feder]]=1,3,0))),1,0)</f>
        <v>0</v>
      </c>
      <c r="M1019" s="135">
        <f>IF(Scharniere[[#This Row],[Bohrbild]]=select!$O$334,1,0)</f>
        <v>1</v>
      </c>
      <c r="N1019" s="135">
        <f>IF(IF(Scharniere[[#This Row],[Anschrauben]]=1,1,IF(Scharniere[[#This Row],[Einpressen]]=1,2,IF(Scharniere[[#This Row],[Quick]]=1,3,IF(Scharniere[[#This Row],[Werkzeuglos]]=1,4,0))))=select!$E$362,1,0)</f>
        <v>1</v>
      </c>
      <c r="O101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19" s="298">
        <f>IF(AND(Scharniere[[#This Row],[Scharnierart]]=3,Scharniere[[#This Row],[Gruppenschlüssel]]=select!$A$747)=TRUE,1,0)</f>
        <v>0</v>
      </c>
      <c r="Q1019" s="298">
        <f ca="1">IF(select!$O$945&lt;6,1,0)</f>
        <v>1</v>
      </c>
      <c r="R1019" s="298">
        <f>IF(select!$A$778=IF(Scharniere[[#This Row],[mit Dämpfung]]=1,1,IF(Scharniere[[#This Row],[ohne Dämpfung]]=1,2,IF(Scharniere[[#This Row],[ohne Feder]]=1,3,0))),1,0)</f>
        <v>1</v>
      </c>
      <c r="S1019" s="298">
        <f>IF(Scharniere[[#This Row],[Bohrbild]]=select!$A$755,1,0)</f>
        <v>0</v>
      </c>
      <c r="T1019" s="298">
        <f>IF(IF(Scharniere[[#This Row],[Anschrauben]]=1,1,IF(Scharniere[[#This Row],[Einpressen]]=1,2,IF(Scharniere[[#This Row],[Quick]]=1,3,IF(Scharniere[[#This Row],[Werkzeuglos]]=1,4,0))))=select!$A$769,1,0)</f>
        <v>1</v>
      </c>
      <c r="U101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19" s="359">
        <f>IF(AND(Scharniere[[#This Row],[Scharnierart]]=4,Scharniere[[#This Row],[Gruppenschlüssel]]=select!$A$981)=TRUE,1,0)</f>
        <v>0</v>
      </c>
      <c r="W1019" s="359">
        <f ca="1">IF(select!$O$1185&lt;6,1,0)</f>
        <v>1</v>
      </c>
      <c r="X1019" s="359">
        <f>IF(select!$A$1012=IF(Scharniere[[#This Row],[mit Dämpfung]]=1,1,IF(Scharniere[[#This Row],[ohne Dämpfung]]=1,2,IF(Scharniere[[#This Row],[ohne Feder]]=1,3,0))),1,0)</f>
        <v>1</v>
      </c>
      <c r="Y1019" s="359">
        <f>IF(Scharniere[[#This Row],[Bohrbild]]=select!$A$989,1,0)</f>
        <v>0</v>
      </c>
      <c r="Z1019" s="359">
        <f>IF(IF(Scharniere[[#This Row],[Anschrauben]]=1,1,IF(Scharniere[[#This Row],[Einpressen]]=1,2,IF(Scharniere[[#This Row],[Quick]]=1,3,IF(Scharniere[[#This Row],[Werkzeuglos]]=1,4,0))))=select!$A$1003,1,0)</f>
        <v>1</v>
      </c>
      <c r="AA101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1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1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19" s="359">
        <f ca="1">IF(select!$K$980="*",Scharniere[[#This Row],[AG Ges2]],Scharniere[[#This Row],[AG Ges1]])</f>
        <v>0</v>
      </c>
      <c r="AE1019" s="451">
        <f ca="1">IF(AND(Scharniere[[#This Row],[Scharnierart]]=select!$A$1485,Scharniere[[#This Row],[Gruppenschlüssel]]=select!$B$1485)=TRUE,1,0)</f>
        <v>0</v>
      </c>
      <c r="AF1019" s="451">
        <f ca="1">IF(AND(Scharniere[[#This Row],[Scharnierart]]=select!$A$1486,Scharniere[[#This Row],[Gruppenschlüssel]]=select!$B$1486)=TRUE,1,0)</f>
        <v>0</v>
      </c>
      <c r="AG1019" s="451">
        <f ca="1">IF(AND(Scharniere[[#This Row],[Scharnierart]]=select!$A$1487,Scharniere[[#This Row],[Gruppenschlüssel]]=select!$B$1487)=TRUE,1,0)</f>
        <v>0</v>
      </c>
      <c r="AH1019" s="451">
        <f ca="1">IF(AND(Scharniere[[#This Row],[Scharnierart]]=select!$A$1488,Scharniere[[#This Row],[Gruppenschlüssel]]=select!$B$1488)=TRUE,1,0)</f>
        <v>0</v>
      </c>
      <c r="AI1019" s="451">
        <f ca="1">IF(SUM(Scharniere[[#This Row],[konf Scharnier 1]:[konf Scharnier 4]])&gt;0,1,0)</f>
        <v>0</v>
      </c>
      <c r="AJ1019" s="451"/>
      <c r="AK1019" s="451"/>
      <c r="AL1019" s="451"/>
      <c r="AM1019" s="451"/>
      <c r="AN1019" s="451"/>
      <c r="AO1019" s="146">
        <v>2</v>
      </c>
      <c r="AP1019" s="146">
        <v>11</v>
      </c>
      <c r="AQ1019" s="71" t="str">
        <f ca="1">Sprache!$A$118</f>
        <v>Tiomos Scharnier T Click-on</v>
      </c>
      <c r="AR1019" t="str">
        <f ca="1">"120/-45°, M-BB, "&amp;Sprache!$A$58&amp;" ni"</f>
        <v>120/-45°, M-BB, aufl. ni</v>
      </c>
      <c r="AS1019" t="str">
        <f ca="1">Sprache!$A$103</f>
        <v>Tiomos Click-On Scharniere</v>
      </c>
      <c r="AT1019" t="s">
        <v>1264</v>
      </c>
      <c r="AU1019" t="s">
        <v>8</v>
      </c>
      <c r="AV1019" t="s">
        <v>1496</v>
      </c>
      <c r="AW1019" s="71">
        <v>0</v>
      </c>
      <c r="AX1019">
        <v>1</v>
      </c>
      <c r="AY1019">
        <v>0</v>
      </c>
      <c r="AZ1019" s="71">
        <v>1</v>
      </c>
      <c r="BA1019">
        <v>0</v>
      </c>
      <c r="BB1019">
        <v>0</v>
      </c>
      <c r="BC1019">
        <v>0</v>
      </c>
      <c r="BD1019" s="144" t="s">
        <v>1627</v>
      </c>
      <c r="BF1019" s="10"/>
      <c r="BG1019"/>
    </row>
    <row r="1020" spans="1:59" ht="14.25" customHeight="1" x14ac:dyDescent="0.25">
      <c r="A1020" s="37" t="str">
        <f>LEFT(Scharniere[[#This Row],[ArtikelNR]],4)</f>
        <v>F017</v>
      </c>
      <c r="B1020" s="35" t="str">
        <f>MID(Scharniere[[#This Row],[ArtikelNR]],5,3)</f>
        <v>139</v>
      </c>
      <c r="C1020" s="37" t="str">
        <f>RIGHT(Scharniere[[#This Row],[ArtikelNR]],3)</f>
        <v>349</v>
      </c>
      <c r="D1020" s="35">
        <f>IF(AND(Scharniere[[#This Row],[Gruppenschlüssel]]=select!$A$44,Scharniere[[#This Row],[Scharnierart]]=1)=TRUE,1,0)</f>
        <v>0</v>
      </c>
      <c r="E102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0" s="35">
        <f>IF(select!$F$57=IF(Scharniere[[#This Row],[mit Dämpfung]]=1,1,IF(Scharniere[[#This Row],[ohne Dämpfung]]=1,2,IF(Scharniere[[#This Row],[ohne Feder]]=1,3,0))),1,0)</f>
        <v>0</v>
      </c>
      <c r="G1020" s="35">
        <f>IF(Scharniere[[#This Row],[Bohrbild]]=select!$V$43,1,0)</f>
        <v>1</v>
      </c>
      <c r="H1020" s="35">
        <f>IF(IF(Scharniere[[#This Row],[Anschrauben]]=1,1,IF(Scharniere[[#This Row],[Einpressen]]=1,2,IF(Scharniere[[#This Row],[Quick]]=1,3,IF(Scharniere[[#This Row],[Werkzeuglos]]=1,4,0))))=select!$F$48,1,0)</f>
        <v>0</v>
      </c>
      <c r="I102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0" s="149">
        <f>IF(AND(Scharniere[[#This Row],[Scharnierart]]=2,Scharniere[[#This Row],[Gruppenschlüssel]]=select!$A$318)=TRUE,1,0)</f>
        <v>0</v>
      </c>
      <c r="K1020" s="221">
        <f ca="1">IF(select!$O$424&lt;6,1,0)</f>
        <v>1</v>
      </c>
      <c r="L1020" s="221">
        <f>IF(select!$A$362=IF(Scharniere[[#This Row],[mit Dämpfung]]=1,1,IF(Scharniere[[#This Row],[ohne Dämpfung]]=1,2,IF(Scharniere[[#This Row],[ohne Feder]]=1,3,0))),1,0)</f>
        <v>1</v>
      </c>
      <c r="M1020" s="135">
        <f>IF(Scharniere[[#This Row],[Bohrbild]]=select!$O$334,1,0)</f>
        <v>1</v>
      </c>
      <c r="N1020" s="135">
        <f>IF(IF(Scharniere[[#This Row],[Anschrauben]]=1,1,IF(Scharniere[[#This Row],[Einpressen]]=1,2,IF(Scharniere[[#This Row],[Quick]]=1,3,IF(Scharniere[[#This Row],[Werkzeuglos]]=1,4,0))))=select!$E$362,1,0)</f>
        <v>0</v>
      </c>
      <c r="O102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0" s="298">
        <f>IF(AND(Scharniere[[#This Row],[Scharnierart]]=3,Scharniere[[#This Row],[Gruppenschlüssel]]=select!$A$747)=TRUE,1,0)</f>
        <v>0</v>
      </c>
      <c r="Q1020" s="298">
        <f ca="1">IF(select!$O$945&lt;6,1,0)</f>
        <v>1</v>
      </c>
      <c r="R1020" s="298">
        <f>IF(select!$A$778=IF(Scharniere[[#This Row],[mit Dämpfung]]=1,1,IF(Scharniere[[#This Row],[ohne Dämpfung]]=1,2,IF(Scharniere[[#This Row],[ohne Feder]]=1,3,0))),1,0)</f>
        <v>0</v>
      </c>
      <c r="S1020" s="298">
        <f>IF(Scharniere[[#This Row],[Bohrbild]]=select!$A$755,1,0)</f>
        <v>0</v>
      </c>
      <c r="T1020" s="298">
        <f>IF(IF(Scharniere[[#This Row],[Anschrauben]]=1,1,IF(Scharniere[[#This Row],[Einpressen]]=1,2,IF(Scharniere[[#This Row],[Quick]]=1,3,IF(Scharniere[[#This Row],[Werkzeuglos]]=1,4,0))))=select!$A$769,1,0)</f>
        <v>0</v>
      </c>
      <c r="U102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0" s="359">
        <f>IF(AND(Scharniere[[#This Row],[Scharnierart]]=4,Scharniere[[#This Row],[Gruppenschlüssel]]=select!$A$981)=TRUE,1,0)</f>
        <v>0</v>
      </c>
      <c r="W1020" s="359">
        <f ca="1">IF(select!$O$1185&lt;6,1,0)</f>
        <v>1</v>
      </c>
      <c r="X1020" s="359">
        <f>IF(select!$A$1012=IF(Scharniere[[#This Row],[mit Dämpfung]]=1,1,IF(Scharniere[[#This Row],[ohne Dämpfung]]=1,2,IF(Scharniere[[#This Row],[ohne Feder]]=1,3,0))),1,0)</f>
        <v>0</v>
      </c>
      <c r="Y1020" s="359">
        <f>IF(Scharniere[[#This Row],[Bohrbild]]=select!$A$989,1,0)</f>
        <v>0</v>
      </c>
      <c r="Z1020" s="359">
        <f>IF(IF(Scharniere[[#This Row],[Anschrauben]]=1,1,IF(Scharniere[[#This Row],[Einpressen]]=1,2,IF(Scharniere[[#This Row],[Quick]]=1,3,IF(Scharniere[[#This Row],[Werkzeuglos]]=1,4,0))))=select!$A$1003,1,0)</f>
        <v>0</v>
      </c>
      <c r="AA102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0" s="359">
        <f ca="1">IF(select!$K$980="*",Scharniere[[#This Row],[AG Ges2]],Scharniere[[#This Row],[AG Ges1]])</f>
        <v>0</v>
      </c>
      <c r="AE1020" s="451">
        <f ca="1">IF(AND(Scharniere[[#This Row],[Scharnierart]]=select!$A$1485,Scharniere[[#This Row],[Gruppenschlüssel]]=select!$B$1485)=TRUE,1,0)</f>
        <v>0</v>
      </c>
      <c r="AF1020" s="451">
        <f ca="1">IF(AND(Scharniere[[#This Row],[Scharnierart]]=select!$A$1486,Scharniere[[#This Row],[Gruppenschlüssel]]=select!$B$1486)=TRUE,1,0)</f>
        <v>0</v>
      </c>
      <c r="AG1020" s="451">
        <f ca="1">IF(AND(Scharniere[[#This Row],[Scharnierart]]=select!$A$1487,Scharniere[[#This Row],[Gruppenschlüssel]]=select!$B$1487)=TRUE,1,0)</f>
        <v>0</v>
      </c>
      <c r="AH1020" s="451">
        <f ca="1">IF(AND(Scharniere[[#This Row],[Scharnierart]]=select!$A$1488,Scharniere[[#This Row],[Gruppenschlüssel]]=select!$B$1488)=TRUE,1,0)</f>
        <v>0</v>
      </c>
      <c r="AI1020" s="451">
        <f ca="1">IF(SUM(Scharniere[[#This Row],[konf Scharnier 1]:[konf Scharnier 4]])&gt;0,1,0)</f>
        <v>0</v>
      </c>
      <c r="AJ1020" s="451"/>
      <c r="AK1020" s="451"/>
      <c r="AL1020" s="451"/>
      <c r="AM1020" s="451"/>
      <c r="AN1020" s="451"/>
      <c r="AO1020" s="146">
        <v>2</v>
      </c>
      <c r="AP1020" s="146">
        <v>11</v>
      </c>
      <c r="AQ1020" s="71" t="str">
        <f ca="1">Sprache!$A$113</f>
        <v>Tiomos Scharnier TS Impresso</v>
      </c>
      <c r="AR1020" t="str">
        <f ca="1">"120/-45°, MB-BB, "&amp;Sprache!$A$58&amp;" ni"</f>
        <v>120/-45°, MB-BB, aufl. ni</v>
      </c>
      <c r="AS1020" t="str">
        <f ca="1">Sprache!$A$116</f>
        <v>Tiomos Impresso Scharniere</v>
      </c>
      <c r="AT1020" t="s">
        <v>1264</v>
      </c>
      <c r="AU1020" t="s">
        <v>8</v>
      </c>
      <c r="AV1020" t="s">
        <v>1496</v>
      </c>
      <c r="AW1020" s="71">
        <v>1</v>
      </c>
      <c r="AX1020">
        <v>0</v>
      </c>
      <c r="AY1020">
        <v>0</v>
      </c>
      <c r="AZ1020" s="71">
        <v>0</v>
      </c>
      <c r="BA1020">
        <v>0</v>
      </c>
      <c r="BB1020">
        <v>0</v>
      </c>
      <c r="BC1020">
        <v>1</v>
      </c>
      <c r="BD1020" s="144" t="s">
        <v>1499</v>
      </c>
      <c r="BF1020" s="10"/>
      <c r="BG1020"/>
    </row>
    <row r="1021" spans="1:59" ht="14.25" customHeight="1" x14ac:dyDescent="0.25">
      <c r="A1021" s="37" t="str">
        <f>LEFT(Scharniere[[#This Row],[ArtikelNR]],4)</f>
        <v>F017</v>
      </c>
      <c r="B1021" s="35" t="str">
        <f>MID(Scharniere[[#This Row],[ArtikelNR]],5,3)</f>
        <v>139</v>
      </c>
      <c r="C1021" s="37" t="str">
        <f>RIGHT(Scharniere[[#This Row],[ArtikelNR]],3)</f>
        <v>349</v>
      </c>
      <c r="D1021" s="35">
        <f>IF(AND(Scharniere[[#This Row],[Gruppenschlüssel]]=select!$A$44,Scharniere[[#This Row],[Scharnierart]]=1)=TRUE,1,0)</f>
        <v>0</v>
      </c>
      <c r="E102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1" s="35">
        <f>IF(select!$F$57=IF(Scharniere[[#This Row],[mit Dämpfung]]=1,1,IF(Scharniere[[#This Row],[ohne Dämpfung]]=1,2,IF(Scharniere[[#This Row],[ohne Feder]]=1,3,0))),1,0)</f>
        <v>0</v>
      </c>
      <c r="G1021" s="35">
        <f>IF(Scharniere[[#This Row],[Bohrbild]]=select!$V$43,1,0)</f>
        <v>0</v>
      </c>
      <c r="H1021" s="35">
        <f>IF(IF(Scharniere[[#This Row],[Anschrauben]]=1,1,IF(Scharniere[[#This Row],[Einpressen]]=1,2,IF(Scharniere[[#This Row],[Quick]]=1,3,IF(Scharniere[[#This Row],[Werkzeuglos]]=1,4,0))))=select!$F$48,1,0)</f>
        <v>0</v>
      </c>
      <c r="I102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1" s="149">
        <f>IF(AND(Scharniere[[#This Row],[Scharnierart]]=2,Scharniere[[#This Row],[Gruppenschlüssel]]=select!$A$318)=TRUE,1,0)</f>
        <v>0</v>
      </c>
      <c r="K1021" s="221">
        <f ca="1">IF(select!$O$424&lt;6,1,0)</f>
        <v>1</v>
      </c>
      <c r="L1021" s="221">
        <f>IF(select!$A$362=IF(Scharniere[[#This Row],[mit Dämpfung]]=1,1,IF(Scharniere[[#This Row],[ohne Dämpfung]]=1,2,IF(Scharniere[[#This Row],[ohne Feder]]=1,3,0))),1,0)</f>
        <v>1</v>
      </c>
      <c r="M1021" s="135">
        <f>IF(Scharniere[[#This Row],[Bohrbild]]=select!$O$334,1,0)</f>
        <v>0</v>
      </c>
      <c r="N1021" s="135">
        <f>IF(IF(Scharniere[[#This Row],[Anschrauben]]=1,1,IF(Scharniere[[#This Row],[Einpressen]]=1,2,IF(Scharniere[[#This Row],[Quick]]=1,3,IF(Scharniere[[#This Row],[Werkzeuglos]]=1,4,0))))=select!$E$362,1,0)</f>
        <v>0</v>
      </c>
      <c r="O102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1" s="298">
        <f>IF(AND(Scharniere[[#This Row],[Scharnierart]]=3,Scharniere[[#This Row],[Gruppenschlüssel]]=select!$A$747)=TRUE,1,0)</f>
        <v>0</v>
      </c>
      <c r="Q1021" s="298">
        <f ca="1">IF(select!$O$945&lt;6,1,0)</f>
        <v>1</v>
      </c>
      <c r="R1021" s="298">
        <f>IF(select!$A$778=IF(Scharniere[[#This Row],[mit Dämpfung]]=1,1,IF(Scharniere[[#This Row],[ohne Dämpfung]]=1,2,IF(Scharniere[[#This Row],[ohne Feder]]=1,3,0))),1,0)</f>
        <v>0</v>
      </c>
      <c r="S1021" s="298">
        <f>IF(Scharniere[[#This Row],[Bohrbild]]=select!$A$755,1,0)</f>
        <v>0</v>
      </c>
      <c r="T1021" s="298">
        <f>IF(IF(Scharniere[[#This Row],[Anschrauben]]=1,1,IF(Scharniere[[#This Row],[Einpressen]]=1,2,IF(Scharniere[[#This Row],[Quick]]=1,3,IF(Scharniere[[#This Row],[Werkzeuglos]]=1,4,0))))=select!$A$769,1,0)</f>
        <v>0</v>
      </c>
      <c r="U102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1" s="359">
        <f>IF(AND(Scharniere[[#This Row],[Scharnierart]]=4,Scharniere[[#This Row],[Gruppenschlüssel]]=select!$A$981)=TRUE,1,0)</f>
        <v>0</v>
      </c>
      <c r="W1021" s="359">
        <f ca="1">IF(select!$O$1185&lt;6,1,0)</f>
        <v>1</v>
      </c>
      <c r="X1021" s="359">
        <f>IF(select!$A$1012=IF(Scharniere[[#This Row],[mit Dämpfung]]=1,1,IF(Scharniere[[#This Row],[ohne Dämpfung]]=1,2,IF(Scharniere[[#This Row],[ohne Feder]]=1,3,0))),1,0)</f>
        <v>0</v>
      </c>
      <c r="Y1021" s="359">
        <f>IF(Scharniere[[#This Row],[Bohrbild]]=select!$A$989,1,0)</f>
        <v>0</v>
      </c>
      <c r="Z1021" s="359">
        <f>IF(IF(Scharniere[[#This Row],[Anschrauben]]=1,1,IF(Scharniere[[#This Row],[Einpressen]]=1,2,IF(Scharniere[[#This Row],[Quick]]=1,3,IF(Scharniere[[#This Row],[Werkzeuglos]]=1,4,0))))=select!$A$1003,1,0)</f>
        <v>0</v>
      </c>
      <c r="AA102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1" s="359">
        <f ca="1">IF(select!$K$980="*",Scharniere[[#This Row],[AG Ges2]],Scharniere[[#This Row],[AG Ges1]])</f>
        <v>0</v>
      </c>
      <c r="AE1021" s="451">
        <f ca="1">IF(AND(Scharniere[[#This Row],[Scharnierart]]=select!$A$1485,Scharniere[[#This Row],[Gruppenschlüssel]]=select!$B$1485)=TRUE,1,0)</f>
        <v>0</v>
      </c>
      <c r="AF1021" s="451">
        <f ca="1">IF(AND(Scharniere[[#This Row],[Scharnierart]]=select!$A$1486,Scharniere[[#This Row],[Gruppenschlüssel]]=select!$B$1486)=TRUE,1,0)</f>
        <v>0</v>
      </c>
      <c r="AG1021" s="451">
        <f ca="1">IF(AND(Scharniere[[#This Row],[Scharnierart]]=select!$A$1487,Scharniere[[#This Row],[Gruppenschlüssel]]=select!$B$1487)=TRUE,1,0)</f>
        <v>0</v>
      </c>
      <c r="AH1021" s="451">
        <f ca="1">IF(AND(Scharniere[[#This Row],[Scharnierart]]=select!$A$1488,Scharniere[[#This Row],[Gruppenschlüssel]]=select!$B$1488)=TRUE,1,0)</f>
        <v>0</v>
      </c>
      <c r="AI1021" s="451">
        <f ca="1">IF(SUM(Scharniere[[#This Row],[konf Scharnier 1]:[konf Scharnier 4]])&gt;0,1,0)</f>
        <v>0</v>
      </c>
      <c r="AJ1021" s="451"/>
      <c r="AK1021" s="451"/>
      <c r="AL1021" s="451"/>
      <c r="AM1021" s="451"/>
      <c r="AN1021" s="451"/>
      <c r="AO1021" s="146">
        <v>2</v>
      </c>
      <c r="AP1021" s="146">
        <v>11</v>
      </c>
      <c r="AQ1021" s="71" t="str">
        <f ca="1">Sprache!$A$113</f>
        <v>Tiomos Scharnier TS Impresso</v>
      </c>
      <c r="AR1021" t="str">
        <f ca="1">"120/-45°, MB-BB, "&amp;Sprache!$A$58&amp;" ni"</f>
        <v>120/-45°, MB-BB, aufl. ni</v>
      </c>
      <c r="AS1021" t="str">
        <f ca="1">Sprache!$A$116</f>
        <v>Tiomos Impresso Scharniere</v>
      </c>
      <c r="AT1021" t="s">
        <v>1264</v>
      </c>
      <c r="AU1021" s="34" t="s">
        <v>3</v>
      </c>
      <c r="AV1021" t="s">
        <v>1496</v>
      </c>
      <c r="AW1021" s="71">
        <v>1</v>
      </c>
      <c r="AX1021">
        <v>0</v>
      </c>
      <c r="AY1021">
        <v>0</v>
      </c>
      <c r="AZ1021" s="71">
        <v>0</v>
      </c>
      <c r="BA1021">
        <v>0</v>
      </c>
      <c r="BB1021">
        <v>0</v>
      </c>
      <c r="BC1021">
        <v>1</v>
      </c>
      <c r="BD1021" s="144" t="s">
        <v>1499</v>
      </c>
      <c r="BF1021" s="10"/>
      <c r="BG1021"/>
    </row>
    <row r="1022" spans="1:59" ht="14.25" customHeight="1" x14ac:dyDescent="0.25">
      <c r="A1022" s="37" t="str">
        <f>LEFT(Scharniere[[#This Row],[ArtikelNR]],4)</f>
        <v>F034</v>
      </c>
      <c r="B1022" s="35" t="str">
        <f>MID(Scharniere[[#This Row],[ArtikelNR]],5,3)</f>
        <v>139</v>
      </c>
      <c r="C1022" s="37" t="str">
        <f>RIGHT(Scharniere[[#This Row],[ArtikelNR]],3)</f>
        <v>320</v>
      </c>
      <c r="D1022" s="35">
        <f>IF(AND(Scharniere[[#This Row],[Gruppenschlüssel]]=select!$A$44,Scharniere[[#This Row],[Scharnierart]]=1)=TRUE,1,0)</f>
        <v>0</v>
      </c>
      <c r="E102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2" s="35">
        <f>IF(select!$F$57=IF(Scharniere[[#This Row],[mit Dämpfung]]=1,1,IF(Scharniere[[#This Row],[ohne Dämpfung]]=1,2,IF(Scharniere[[#This Row],[ohne Feder]]=1,3,0))),1,0)</f>
        <v>0</v>
      </c>
      <c r="G1022" s="35">
        <f>IF(Scharniere[[#This Row],[Bohrbild]]=select!$V$43,1,0)</f>
        <v>1</v>
      </c>
      <c r="H1022" s="35">
        <f>IF(IF(Scharniere[[#This Row],[Anschrauben]]=1,1,IF(Scharniere[[#This Row],[Einpressen]]=1,2,IF(Scharniere[[#This Row],[Quick]]=1,3,IF(Scharniere[[#This Row],[Werkzeuglos]]=1,4,0))))=select!$F$48,1,0)</f>
        <v>0</v>
      </c>
      <c r="I102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2" s="149">
        <f>IF(AND(Scharniere[[#This Row],[Scharnierart]]=2,Scharniere[[#This Row],[Gruppenschlüssel]]=select!$A$318)=TRUE,1,0)</f>
        <v>0</v>
      </c>
      <c r="K1022" s="221">
        <f ca="1">IF(select!$O$424&lt;6,1,0)</f>
        <v>1</v>
      </c>
      <c r="L1022" s="221">
        <f>IF(select!$A$362=IF(Scharniere[[#This Row],[mit Dämpfung]]=1,1,IF(Scharniere[[#This Row],[ohne Dämpfung]]=1,2,IF(Scharniere[[#This Row],[ohne Feder]]=1,3,0))),1,0)</f>
        <v>0</v>
      </c>
      <c r="M1022" s="135">
        <f>IF(Scharniere[[#This Row],[Bohrbild]]=select!$O$334,1,0)</f>
        <v>1</v>
      </c>
      <c r="N1022" s="135">
        <f>IF(IF(Scharniere[[#This Row],[Anschrauben]]=1,1,IF(Scharniere[[#This Row],[Einpressen]]=1,2,IF(Scharniere[[#This Row],[Quick]]=1,3,IF(Scharniere[[#This Row],[Werkzeuglos]]=1,4,0))))=select!$E$362,1,0)</f>
        <v>0</v>
      </c>
      <c r="O102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2" s="298">
        <f>IF(AND(Scharniere[[#This Row],[Scharnierart]]=3,Scharniere[[#This Row],[Gruppenschlüssel]]=select!$A$747)=TRUE,1,0)</f>
        <v>0</v>
      </c>
      <c r="Q1022" s="298">
        <f ca="1">IF(select!$O$945&lt;6,1,0)</f>
        <v>1</v>
      </c>
      <c r="R1022" s="298">
        <f>IF(select!$A$778=IF(Scharniere[[#This Row],[mit Dämpfung]]=1,1,IF(Scharniere[[#This Row],[ohne Dämpfung]]=1,2,IF(Scharniere[[#This Row],[ohne Feder]]=1,3,0))),1,0)</f>
        <v>1</v>
      </c>
      <c r="S1022" s="298">
        <f>IF(Scharniere[[#This Row],[Bohrbild]]=select!$A$755,1,0)</f>
        <v>0</v>
      </c>
      <c r="T1022" s="298">
        <f>IF(IF(Scharniere[[#This Row],[Anschrauben]]=1,1,IF(Scharniere[[#This Row],[Einpressen]]=1,2,IF(Scharniere[[#This Row],[Quick]]=1,3,IF(Scharniere[[#This Row],[Werkzeuglos]]=1,4,0))))=select!$A$769,1,0)</f>
        <v>0</v>
      </c>
      <c r="U102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2" s="359">
        <f>IF(AND(Scharniere[[#This Row],[Scharnierart]]=4,Scharniere[[#This Row],[Gruppenschlüssel]]=select!$A$981)=TRUE,1,0)</f>
        <v>0</v>
      </c>
      <c r="W1022" s="359">
        <f ca="1">IF(select!$O$1185&lt;6,1,0)</f>
        <v>1</v>
      </c>
      <c r="X1022" s="359">
        <f>IF(select!$A$1012=IF(Scharniere[[#This Row],[mit Dämpfung]]=1,1,IF(Scharniere[[#This Row],[ohne Dämpfung]]=1,2,IF(Scharniere[[#This Row],[ohne Feder]]=1,3,0))),1,0)</f>
        <v>1</v>
      </c>
      <c r="Y1022" s="359">
        <f>IF(Scharniere[[#This Row],[Bohrbild]]=select!$A$989,1,0)</f>
        <v>0</v>
      </c>
      <c r="Z1022" s="359">
        <f>IF(IF(Scharniere[[#This Row],[Anschrauben]]=1,1,IF(Scharniere[[#This Row],[Einpressen]]=1,2,IF(Scharniere[[#This Row],[Quick]]=1,3,IF(Scharniere[[#This Row],[Werkzeuglos]]=1,4,0))))=select!$A$1003,1,0)</f>
        <v>0</v>
      </c>
      <c r="AA102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2" s="359">
        <f ca="1">IF(select!$K$980="*",Scharniere[[#This Row],[AG Ges2]],Scharniere[[#This Row],[AG Ges1]])</f>
        <v>0</v>
      </c>
      <c r="AE1022" s="451">
        <f ca="1">IF(AND(Scharniere[[#This Row],[Scharnierart]]=select!$A$1485,Scharniere[[#This Row],[Gruppenschlüssel]]=select!$B$1485)=TRUE,1,0)</f>
        <v>0</v>
      </c>
      <c r="AF1022" s="451">
        <f ca="1">IF(AND(Scharniere[[#This Row],[Scharnierart]]=select!$A$1486,Scharniere[[#This Row],[Gruppenschlüssel]]=select!$B$1486)=TRUE,1,0)</f>
        <v>0</v>
      </c>
      <c r="AG1022" s="451">
        <f ca="1">IF(AND(Scharniere[[#This Row],[Scharnierart]]=select!$A$1487,Scharniere[[#This Row],[Gruppenschlüssel]]=select!$B$1487)=TRUE,1,0)</f>
        <v>0</v>
      </c>
      <c r="AH1022" s="451">
        <f ca="1">IF(AND(Scharniere[[#This Row],[Scharnierart]]=select!$A$1488,Scharniere[[#This Row],[Gruppenschlüssel]]=select!$B$1488)=TRUE,1,0)</f>
        <v>0</v>
      </c>
      <c r="AI1022" s="451">
        <f ca="1">IF(SUM(Scharniere[[#This Row],[konf Scharnier 1]:[konf Scharnier 4]])&gt;0,1,0)</f>
        <v>0</v>
      </c>
      <c r="AJ1022" s="451"/>
      <c r="AK1022" s="451"/>
      <c r="AL1022" s="451"/>
      <c r="AM1022" s="451"/>
      <c r="AN1022" s="451"/>
      <c r="AO1022" s="146">
        <v>2</v>
      </c>
      <c r="AP1022" s="146">
        <v>11</v>
      </c>
      <c r="AQ1022" s="71" t="str">
        <f ca="1">Sprache!$A$119</f>
        <v>Tiomos Scharnier T Impresso</v>
      </c>
      <c r="AR1022" t="str">
        <f ca="1">"120/-45°, MB-BB, "&amp;Sprache!$A$58&amp;" ni"</f>
        <v>120/-45°, MB-BB, aufl. ni</v>
      </c>
      <c r="AS1022" t="str">
        <f ca="1">Sprache!$A$103</f>
        <v>Tiomos Click-On Scharniere</v>
      </c>
      <c r="AT1022" t="s">
        <v>1264</v>
      </c>
      <c r="AU1022" t="s">
        <v>8</v>
      </c>
      <c r="AV1022" t="s">
        <v>1496</v>
      </c>
      <c r="AW1022" s="71">
        <v>0</v>
      </c>
      <c r="AX1022">
        <v>1</v>
      </c>
      <c r="AY1022">
        <v>0</v>
      </c>
      <c r="AZ1022" s="71">
        <v>0</v>
      </c>
      <c r="BA1022">
        <v>0</v>
      </c>
      <c r="BB1022">
        <v>0</v>
      </c>
      <c r="BC1022">
        <v>1</v>
      </c>
      <c r="BD1022" s="144" t="s">
        <v>1610</v>
      </c>
      <c r="BF1022" s="10"/>
      <c r="BG1022"/>
    </row>
    <row r="1023" spans="1:59" ht="14.25" customHeight="1" x14ac:dyDescent="0.25">
      <c r="A1023" s="37" t="str">
        <f>LEFT(Scharniere[[#This Row],[ArtikelNR]],4)</f>
        <v>F034</v>
      </c>
      <c r="B1023" s="35" t="str">
        <f>MID(Scharniere[[#This Row],[ArtikelNR]],5,3)</f>
        <v>139</v>
      </c>
      <c r="C1023" s="37" t="str">
        <f>RIGHT(Scharniere[[#This Row],[ArtikelNR]],3)</f>
        <v>320</v>
      </c>
      <c r="D1023" s="35">
        <f>IF(AND(Scharniere[[#This Row],[Gruppenschlüssel]]=select!$A$44,Scharniere[[#This Row],[Scharnierart]]=1)=TRUE,1,0)</f>
        <v>0</v>
      </c>
      <c r="E102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3" s="35">
        <f>IF(select!$F$57=IF(Scharniere[[#This Row],[mit Dämpfung]]=1,1,IF(Scharniere[[#This Row],[ohne Dämpfung]]=1,2,IF(Scharniere[[#This Row],[ohne Feder]]=1,3,0))),1,0)</f>
        <v>0</v>
      </c>
      <c r="G1023" s="35">
        <f>IF(Scharniere[[#This Row],[Bohrbild]]=select!$V$43,1,0)</f>
        <v>0</v>
      </c>
      <c r="H1023" s="35">
        <f>IF(IF(Scharniere[[#This Row],[Anschrauben]]=1,1,IF(Scharniere[[#This Row],[Einpressen]]=1,2,IF(Scharniere[[#This Row],[Quick]]=1,3,IF(Scharniere[[#This Row],[Werkzeuglos]]=1,4,0))))=select!$F$48,1,0)</f>
        <v>0</v>
      </c>
      <c r="I102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3" s="149">
        <f>IF(AND(Scharniere[[#This Row],[Scharnierart]]=2,Scharniere[[#This Row],[Gruppenschlüssel]]=select!$A$318)=TRUE,1,0)</f>
        <v>0</v>
      </c>
      <c r="K1023" s="221">
        <f ca="1">IF(select!$O$424&lt;6,1,0)</f>
        <v>1</v>
      </c>
      <c r="L1023" s="221">
        <f>IF(select!$A$362=IF(Scharniere[[#This Row],[mit Dämpfung]]=1,1,IF(Scharniere[[#This Row],[ohne Dämpfung]]=1,2,IF(Scharniere[[#This Row],[ohne Feder]]=1,3,0))),1,0)</f>
        <v>0</v>
      </c>
      <c r="M1023" s="135">
        <f>IF(Scharniere[[#This Row],[Bohrbild]]=select!$O$334,1,0)</f>
        <v>0</v>
      </c>
      <c r="N1023" s="135">
        <f>IF(IF(Scharniere[[#This Row],[Anschrauben]]=1,1,IF(Scharniere[[#This Row],[Einpressen]]=1,2,IF(Scharniere[[#This Row],[Quick]]=1,3,IF(Scharniere[[#This Row],[Werkzeuglos]]=1,4,0))))=select!$E$362,1,0)</f>
        <v>0</v>
      </c>
      <c r="O102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3" s="298">
        <f>IF(AND(Scharniere[[#This Row],[Scharnierart]]=3,Scharniere[[#This Row],[Gruppenschlüssel]]=select!$A$747)=TRUE,1,0)</f>
        <v>0</v>
      </c>
      <c r="Q1023" s="298">
        <f ca="1">IF(select!$O$945&lt;6,1,0)</f>
        <v>1</v>
      </c>
      <c r="R1023" s="298">
        <f>IF(select!$A$778=IF(Scharniere[[#This Row],[mit Dämpfung]]=1,1,IF(Scharniere[[#This Row],[ohne Dämpfung]]=1,2,IF(Scharniere[[#This Row],[ohne Feder]]=1,3,0))),1,0)</f>
        <v>1</v>
      </c>
      <c r="S1023" s="298">
        <f>IF(Scharniere[[#This Row],[Bohrbild]]=select!$A$755,1,0)</f>
        <v>0</v>
      </c>
      <c r="T1023" s="298">
        <f>IF(IF(Scharniere[[#This Row],[Anschrauben]]=1,1,IF(Scharniere[[#This Row],[Einpressen]]=1,2,IF(Scharniere[[#This Row],[Quick]]=1,3,IF(Scharniere[[#This Row],[Werkzeuglos]]=1,4,0))))=select!$A$769,1,0)</f>
        <v>0</v>
      </c>
      <c r="U102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3" s="359">
        <f>IF(AND(Scharniere[[#This Row],[Scharnierart]]=4,Scharniere[[#This Row],[Gruppenschlüssel]]=select!$A$981)=TRUE,1,0)</f>
        <v>0</v>
      </c>
      <c r="W1023" s="359">
        <f ca="1">IF(select!$O$1185&lt;6,1,0)</f>
        <v>1</v>
      </c>
      <c r="X1023" s="359">
        <f>IF(select!$A$1012=IF(Scharniere[[#This Row],[mit Dämpfung]]=1,1,IF(Scharniere[[#This Row],[ohne Dämpfung]]=1,2,IF(Scharniere[[#This Row],[ohne Feder]]=1,3,0))),1,0)</f>
        <v>1</v>
      </c>
      <c r="Y1023" s="359">
        <f>IF(Scharniere[[#This Row],[Bohrbild]]=select!$A$989,1,0)</f>
        <v>0</v>
      </c>
      <c r="Z1023" s="359">
        <f>IF(IF(Scharniere[[#This Row],[Anschrauben]]=1,1,IF(Scharniere[[#This Row],[Einpressen]]=1,2,IF(Scharniere[[#This Row],[Quick]]=1,3,IF(Scharniere[[#This Row],[Werkzeuglos]]=1,4,0))))=select!$A$1003,1,0)</f>
        <v>0</v>
      </c>
      <c r="AA102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3" s="359">
        <f ca="1">IF(select!$K$980="*",Scharniere[[#This Row],[AG Ges2]],Scharniere[[#This Row],[AG Ges1]])</f>
        <v>0</v>
      </c>
      <c r="AE1023" s="451">
        <f ca="1">IF(AND(Scharniere[[#This Row],[Scharnierart]]=select!$A$1485,Scharniere[[#This Row],[Gruppenschlüssel]]=select!$B$1485)=TRUE,1,0)</f>
        <v>0</v>
      </c>
      <c r="AF1023" s="451">
        <f ca="1">IF(AND(Scharniere[[#This Row],[Scharnierart]]=select!$A$1486,Scharniere[[#This Row],[Gruppenschlüssel]]=select!$B$1486)=TRUE,1,0)</f>
        <v>0</v>
      </c>
      <c r="AG1023" s="451">
        <f ca="1">IF(AND(Scharniere[[#This Row],[Scharnierart]]=select!$A$1487,Scharniere[[#This Row],[Gruppenschlüssel]]=select!$B$1487)=TRUE,1,0)</f>
        <v>0</v>
      </c>
      <c r="AH1023" s="451">
        <f ca="1">IF(AND(Scharniere[[#This Row],[Scharnierart]]=select!$A$1488,Scharniere[[#This Row],[Gruppenschlüssel]]=select!$B$1488)=TRUE,1,0)</f>
        <v>0</v>
      </c>
      <c r="AI1023" s="451">
        <f ca="1">IF(SUM(Scharniere[[#This Row],[konf Scharnier 1]:[konf Scharnier 4]])&gt;0,1,0)</f>
        <v>0</v>
      </c>
      <c r="AJ1023" s="451"/>
      <c r="AK1023" s="451"/>
      <c r="AL1023" s="451"/>
      <c r="AM1023" s="451"/>
      <c r="AN1023" s="451"/>
      <c r="AO1023" s="146">
        <v>2</v>
      </c>
      <c r="AP1023" s="146">
        <v>11</v>
      </c>
      <c r="AQ1023" s="71" t="str">
        <f ca="1">Sprache!$A$119</f>
        <v>Tiomos Scharnier T Impresso</v>
      </c>
      <c r="AR1023" t="str">
        <f ca="1">"120/-45°, MB-BB, "&amp;Sprache!$A$58&amp;" ni"</f>
        <v>120/-45°, MB-BB, aufl. ni</v>
      </c>
      <c r="AS1023" t="str">
        <f ca="1">Sprache!$A$103</f>
        <v>Tiomos Click-On Scharniere</v>
      </c>
      <c r="AT1023" t="s">
        <v>1264</v>
      </c>
      <c r="AU1023" t="s">
        <v>3</v>
      </c>
      <c r="AV1023" t="s">
        <v>1496</v>
      </c>
      <c r="AW1023" s="71">
        <v>0</v>
      </c>
      <c r="AX1023">
        <v>1</v>
      </c>
      <c r="AY1023">
        <v>0</v>
      </c>
      <c r="AZ1023" s="71">
        <v>0</v>
      </c>
      <c r="BA1023">
        <v>0</v>
      </c>
      <c r="BB1023">
        <v>0</v>
      </c>
      <c r="BC1023">
        <v>1</v>
      </c>
      <c r="BD1023" s="144" t="s">
        <v>1610</v>
      </c>
      <c r="BF1023" s="10"/>
      <c r="BG1023"/>
    </row>
    <row r="1024" spans="1:59" ht="14.25" customHeight="1" x14ac:dyDescent="0.25">
      <c r="A1024" s="37" t="str">
        <f>LEFT(Scharniere[[#This Row],[ArtikelNR]],4)</f>
        <v>F028</v>
      </c>
      <c r="B1024" s="35" t="str">
        <f>MID(Scharniere[[#This Row],[ArtikelNR]],5,3)</f>
        <v>138</v>
      </c>
      <c r="C1024" s="37" t="str">
        <f>RIGHT(Scharniere[[#This Row],[ArtikelNR]],3)</f>
        <v>921</v>
      </c>
      <c r="D1024" s="35">
        <f>IF(AND(Scharniere[[#This Row],[Gruppenschlüssel]]=select!$A$44,Scharniere[[#This Row],[Scharnierart]]=1)=TRUE,1,0)</f>
        <v>0</v>
      </c>
      <c r="E102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4" s="35">
        <f>IF(select!$F$57=IF(Scharniere[[#This Row],[mit Dämpfung]]=1,1,IF(Scharniere[[#This Row],[ohne Dämpfung]]=1,2,IF(Scharniere[[#This Row],[ohne Feder]]=1,3,0))),1,0)</f>
        <v>0</v>
      </c>
      <c r="G1024" s="35">
        <f>IF(Scharniere[[#This Row],[Bohrbild]]=select!$V$43,1,0)</f>
        <v>0</v>
      </c>
      <c r="H1024" s="35">
        <f>IF(IF(Scharniere[[#This Row],[Anschrauben]]=1,1,IF(Scharniere[[#This Row],[Einpressen]]=1,2,IF(Scharniere[[#This Row],[Quick]]=1,3,IF(Scharniere[[#This Row],[Werkzeuglos]]=1,4,0))))=select!$F$48,1,0)</f>
        <v>0</v>
      </c>
      <c r="I102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4" s="149">
        <f>IF(AND(Scharniere[[#This Row],[Scharnierart]]=2,Scharniere[[#This Row],[Gruppenschlüssel]]=select!$A$318)=TRUE,1,0)</f>
        <v>0</v>
      </c>
      <c r="K1024" s="221">
        <f ca="1">IF(select!$O$424&lt;6,1,0)</f>
        <v>1</v>
      </c>
      <c r="L1024" s="221">
        <f>IF(select!$A$362=IF(Scharniere[[#This Row],[mit Dämpfung]]=1,1,IF(Scharniere[[#This Row],[ohne Dämpfung]]=1,2,IF(Scharniere[[#This Row],[ohne Feder]]=1,3,0))),1,0)</f>
        <v>1</v>
      </c>
      <c r="M1024" s="135">
        <f>IF(Scharniere[[#This Row],[Bohrbild]]=select!$O$334,1,0)</f>
        <v>0</v>
      </c>
      <c r="N1024" s="135">
        <f>IF(IF(Scharniere[[#This Row],[Anschrauben]]=1,1,IF(Scharniere[[#This Row],[Einpressen]]=1,2,IF(Scharniere[[#This Row],[Quick]]=1,3,IF(Scharniere[[#This Row],[Werkzeuglos]]=1,4,0))))=select!$E$362,1,0)</f>
        <v>1</v>
      </c>
      <c r="O102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4" s="298">
        <f>IF(AND(Scharniere[[#This Row],[Scharnierart]]=3,Scharniere[[#This Row],[Gruppenschlüssel]]=select!$A$747)=TRUE,1,0)</f>
        <v>0</v>
      </c>
      <c r="Q1024" s="298">
        <f ca="1">IF(select!$O$945&lt;6,1,0)</f>
        <v>1</v>
      </c>
      <c r="R1024" s="298">
        <f>IF(select!$A$778=IF(Scharniere[[#This Row],[mit Dämpfung]]=1,1,IF(Scharniere[[#This Row],[ohne Dämpfung]]=1,2,IF(Scharniere[[#This Row],[ohne Feder]]=1,3,0))),1,0)</f>
        <v>0</v>
      </c>
      <c r="S1024" s="298">
        <f>IF(Scharniere[[#This Row],[Bohrbild]]=select!$A$755,1,0)</f>
        <v>0</v>
      </c>
      <c r="T1024" s="298">
        <f>IF(IF(Scharniere[[#This Row],[Anschrauben]]=1,1,IF(Scharniere[[#This Row],[Einpressen]]=1,2,IF(Scharniere[[#This Row],[Quick]]=1,3,IF(Scharniere[[#This Row],[Werkzeuglos]]=1,4,0))))=select!$A$769,1,0)</f>
        <v>1</v>
      </c>
      <c r="U102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4" s="359">
        <f>IF(AND(Scharniere[[#This Row],[Scharnierart]]=4,Scharniere[[#This Row],[Gruppenschlüssel]]=select!$A$981)=TRUE,1,0)</f>
        <v>0</v>
      </c>
      <c r="W1024" s="359">
        <f ca="1">IF(select!$O$1185&lt;6,1,0)</f>
        <v>1</v>
      </c>
      <c r="X1024" s="359">
        <f>IF(select!$A$1012=IF(Scharniere[[#This Row],[mit Dämpfung]]=1,1,IF(Scharniere[[#This Row],[ohne Dämpfung]]=1,2,IF(Scharniere[[#This Row],[ohne Feder]]=1,3,0))),1,0)</f>
        <v>0</v>
      </c>
      <c r="Y1024" s="359">
        <f>IF(Scharniere[[#This Row],[Bohrbild]]=select!$A$989,1,0)</f>
        <v>0</v>
      </c>
      <c r="Z1024" s="359">
        <f>IF(IF(Scharniere[[#This Row],[Anschrauben]]=1,1,IF(Scharniere[[#This Row],[Einpressen]]=1,2,IF(Scharniere[[#This Row],[Quick]]=1,3,IF(Scharniere[[#This Row],[Werkzeuglos]]=1,4,0))))=select!$A$1003,1,0)</f>
        <v>1</v>
      </c>
      <c r="AA102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4" s="359">
        <f ca="1">IF(select!$K$980="*",Scharniere[[#This Row],[AG Ges2]],Scharniere[[#This Row],[AG Ges1]])</f>
        <v>0</v>
      </c>
      <c r="AE1024" s="451">
        <f ca="1">IF(AND(Scharniere[[#This Row],[Scharnierart]]=select!$A$1485,Scharniere[[#This Row],[Gruppenschlüssel]]=select!$B$1485)=TRUE,1,0)</f>
        <v>0</v>
      </c>
      <c r="AF1024" s="451">
        <f ca="1">IF(AND(Scharniere[[#This Row],[Scharnierart]]=select!$A$1486,Scharniere[[#This Row],[Gruppenschlüssel]]=select!$B$1486)=TRUE,1,0)</f>
        <v>0</v>
      </c>
      <c r="AG1024" s="451">
        <f ca="1">IF(AND(Scharniere[[#This Row],[Scharnierart]]=select!$A$1487,Scharniere[[#This Row],[Gruppenschlüssel]]=select!$B$1487)=TRUE,1,0)</f>
        <v>0</v>
      </c>
      <c r="AH1024" s="451">
        <f ca="1">IF(AND(Scharniere[[#This Row],[Scharnierart]]=select!$A$1488,Scharniere[[#This Row],[Gruppenschlüssel]]=select!$B$1488)=TRUE,1,0)</f>
        <v>0</v>
      </c>
      <c r="AI1024" s="451">
        <f ca="1">IF(SUM(Scharniere[[#This Row],[konf Scharnier 1]:[konf Scharnier 4]])&gt;0,1,0)</f>
        <v>0</v>
      </c>
      <c r="AJ1024" s="451"/>
      <c r="AK1024" s="451"/>
      <c r="AL1024" s="451"/>
      <c r="AM1024" s="451"/>
      <c r="AN1024" s="451"/>
      <c r="AO1024" s="146">
        <v>2</v>
      </c>
      <c r="AP1024" s="146">
        <v>11</v>
      </c>
      <c r="AQ1024" s="71" t="str">
        <f ca="1">Sprache!$A$112</f>
        <v>Tiomos Scharnier TS Click-on</v>
      </c>
      <c r="AR1024" t="str">
        <f ca="1">"120/-45°, S-BB, "&amp;Sprache!$A$58&amp;" ni"</f>
        <v>120/-45°, S-BB, aufl. ni</v>
      </c>
      <c r="AS1024" t="str">
        <f ca="1">Sprache!$A$103</f>
        <v>Tiomos Click-On Scharniere</v>
      </c>
      <c r="AT1024" t="s">
        <v>1264</v>
      </c>
      <c r="AU1024" s="34" t="s">
        <v>11</v>
      </c>
      <c r="AV1024" t="s">
        <v>1496</v>
      </c>
      <c r="AW1024" s="71">
        <v>1</v>
      </c>
      <c r="AX1024">
        <v>0</v>
      </c>
      <c r="AY1024">
        <v>0</v>
      </c>
      <c r="AZ1024" s="71">
        <v>1</v>
      </c>
      <c r="BA1024">
        <v>0</v>
      </c>
      <c r="BB1024">
        <v>0</v>
      </c>
      <c r="BC1024">
        <v>0</v>
      </c>
      <c r="BD1024" s="144" t="s">
        <v>1579</v>
      </c>
      <c r="BF1024" s="10"/>
      <c r="BG1024"/>
    </row>
    <row r="1025" spans="1:59" ht="14.25" customHeight="1" x14ac:dyDescent="0.25">
      <c r="A1025" s="37" t="str">
        <f>LEFT(Scharniere[[#This Row],[ArtikelNR]],4)</f>
        <v>F045</v>
      </c>
      <c r="B1025" s="35" t="str">
        <f>MID(Scharniere[[#This Row],[ArtikelNR]],5,3)</f>
        <v>138</v>
      </c>
      <c r="C1025" s="37" t="str">
        <f>RIGHT(Scharniere[[#This Row],[ArtikelNR]],3)</f>
        <v>859</v>
      </c>
      <c r="D1025" s="35">
        <f>IF(AND(Scharniere[[#This Row],[Gruppenschlüssel]]=select!$A$44,Scharniere[[#This Row],[Scharnierart]]=1)=TRUE,1,0)</f>
        <v>0</v>
      </c>
      <c r="E102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5" s="35">
        <f>IF(select!$F$57=IF(Scharniere[[#This Row],[mit Dämpfung]]=1,1,IF(Scharniere[[#This Row],[ohne Dämpfung]]=1,2,IF(Scharniere[[#This Row],[ohne Feder]]=1,3,0))),1,0)</f>
        <v>0</v>
      </c>
      <c r="G1025" s="35">
        <f>IF(Scharniere[[#This Row],[Bohrbild]]=select!$V$43,1,0)</f>
        <v>0</v>
      </c>
      <c r="H1025" s="35">
        <f>IF(IF(Scharniere[[#This Row],[Anschrauben]]=1,1,IF(Scharniere[[#This Row],[Einpressen]]=1,2,IF(Scharniere[[#This Row],[Quick]]=1,3,IF(Scharniere[[#This Row],[Werkzeuglos]]=1,4,0))))=select!$F$48,1,0)</f>
        <v>0</v>
      </c>
      <c r="I102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5" s="149">
        <f>IF(AND(Scharniere[[#This Row],[Scharnierart]]=2,Scharniere[[#This Row],[Gruppenschlüssel]]=select!$A$318)=TRUE,1,0)</f>
        <v>0</v>
      </c>
      <c r="K1025" s="221">
        <f ca="1">IF(select!$O$424&lt;6,1,0)</f>
        <v>1</v>
      </c>
      <c r="L1025" s="221">
        <f>IF(select!$A$362=IF(Scharniere[[#This Row],[mit Dämpfung]]=1,1,IF(Scharniere[[#This Row],[ohne Dämpfung]]=1,2,IF(Scharniere[[#This Row],[ohne Feder]]=1,3,0))),1,0)</f>
        <v>0</v>
      </c>
      <c r="M1025" s="135">
        <f>IF(Scharniere[[#This Row],[Bohrbild]]=select!$O$334,1,0)</f>
        <v>0</v>
      </c>
      <c r="N1025" s="135">
        <f>IF(IF(Scharniere[[#This Row],[Anschrauben]]=1,1,IF(Scharniere[[#This Row],[Einpressen]]=1,2,IF(Scharniere[[#This Row],[Quick]]=1,3,IF(Scharniere[[#This Row],[Werkzeuglos]]=1,4,0))))=select!$E$362,1,0)</f>
        <v>1</v>
      </c>
      <c r="O102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5" s="298">
        <f>IF(AND(Scharniere[[#This Row],[Scharnierart]]=3,Scharniere[[#This Row],[Gruppenschlüssel]]=select!$A$747)=TRUE,1,0)</f>
        <v>0</v>
      </c>
      <c r="Q1025" s="298">
        <f ca="1">IF(select!$O$945&lt;6,1,0)</f>
        <v>1</v>
      </c>
      <c r="R1025" s="298">
        <f>IF(select!$A$778=IF(Scharniere[[#This Row],[mit Dämpfung]]=1,1,IF(Scharniere[[#This Row],[ohne Dämpfung]]=1,2,IF(Scharniere[[#This Row],[ohne Feder]]=1,3,0))),1,0)</f>
        <v>1</v>
      </c>
      <c r="S1025" s="298">
        <f>IF(Scharniere[[#This Row],[Bohrbild]]=select!$A$755,1,0)</f>
        <v>0</v>
      </c>
      <c r="T1025" s="298">
        <f>IF(IF(Scharniere[[#This Row],[Anschrauben]]=1,1,IF(Scharniere[[#This Row],[Einpressen]]=1,2,IF(Scharniere[[#This Row],[Quick]]=1,3,IF(Scharniere[[#This Row],[Werkzeuglos]]=1,4,0))))=select!$A$769,1,0)</f>
        <v>1</v>
      </c>
      <c r="U102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5" s="359">
        <f>IF(AND(Scharniere[[#This Row],[Scharnierart]]=4,Scharniere[[#This Row],[Gruppenschlüssel]]=select!$A$981)=TRUE,1,0)</f>
        <v>0</v>
      </c>
      <c r="W1025" s="359">
        <f ca="1">IF(select!$O$1185&lt;6,1,0)</f>
        <v>1</v>
      </c>
      <c r="X1025" s="359">
        <f>IF(select!$A$1012=IF(Scharniere[[#This Row],[mit Dämpfung]]=1,1,IF(Scharniere[[#This Row],[ohne Dämpfung]]=1,2,IF(Scharniere[[#This Row],[ohne Feder]]=1,3,0))),1,0)</f>
        <v>1</v>
      </c>
      <c r="Y1025" s="359">
        <f>IF(Scharniere[[#This Row],[Bohrbild]]=select!$A$989,1,0)</f>
        <v>0</v>
      </c>
      <c r="Z1025" s="359">
        <f>IF(IF(Scharniere[[#This Row],[Anschrauben]]=1,1,IF(Scharniere[[#This Row],[Einpressen]]=1,2,IF(Scharniere[[#This Row],[Quick]]=1,3,IF(Scharniere[[#This Row],[Werkzeuglos]]=1,4,0))))=select!$A$1003,1,0)</f>
        <v>1</v>
      </c>
      <c r="AA102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5" s="359">
        <f ca="1">IF(select!$K$980="*",Scharniere[[#This Row],[AG Ges2]],Scharniere[[#This Row],[AG Ges1]])</f>
        <v>0</v>
      </c>
      <c r="AE1025" s="451">
        <f ca="1">IF(AND(Scharniere[[#This Row],[Scharnierart]]=select!$A$1485,Scharniere[[#This Row],[Gruppenschlüssel]]=select!$B$1485)=TRUE,1,0)</f>
        <v>0</v>
      </c>
      <c r="AF1025" s="451">
        <f ca="1">IF(AND(Scharniere[[#This Row],[Scharnierart]]=select!$A$1486,Scharniere[[#This Row],[Gruppenschlüssel]]=select!$B$1486)=TRUE,1,0)</f>
        <v>0</v>
      </c>
      <c r="AG1025" s="451">
        <f ca="1">IF(AND(Scharniere[[#This Row],[Scharnierart]]=select!$A$1487,Scharniere[[#This Row],[Gruppenschlüssel]]=select!$B$1487)=TRUE,1,0)</f>
        <v>0</v>
      </c>
      <c r="AH1025" s="451">
        <f ca="1">IF(AND(Scharniere[[#This Row],[Scharnierart]]=select!$A$1488,Scharniere[[#This Row],[Gruppenschlüssel]]=select!$B$1488)=TRUE,1,0)</f>
        <v>0</v>
      </c>
      <c r="AI1025" s="451">
        <f ca="1">IF(SUM(Scharniere[[#This Row],[konf Scharnier 1]:[konf Scharnier 4]])&gt;0,1,0)</f>
        <v>0</v>
      </c>
      <c r="AJ1025" s="451"/>
      <c r="AK1025" s="451"/>
      <c r="AL1025" s="451"/>
      <c r="AM1025" s="451"/>
      <c r="AN1025" s="451"/>
      <c r="AO1025" s="146">
        <v>2</v>
      </c>
      <c r="AP1025" s="146">
        <v>11</v>
      </c>
      <c r="AQ1025" s="71" t="str">
        <f ca="1">Sprache!$A$118</f>
        <v>Tiomos Scharnier T Click-on</v>
      </c>
      <c r="AR1025" t="str">
        <f ca="1">"120/-45°, S-BB, "&amp;Sprache!$A$58&amp;" ni"</f>
        <v>120/-45°, S-BB, aufl. ni</v>
      </c>
      <c r="AS1025" t="str">
        <f ca="1">Sprache!$A$103</f>
        <v>Tiomos Click-On Scharniere</v>
      </c>
      <c r="AT1025" t="s">
        <v>1264</v>
      </c>
      <c r="AU1025" t="s">
        <v>11</v>
      </c>
      <c r="AV1025" t="s">
        <v>1496</v>
      </c>
      <c r="AW1025" s="71">
        <v>0</v>
      </c>
      <c r="AX1025">
        <v>1</v>
      </c>
      <c r="AY1025">
        <v>0</v>
      </c>
      <c r="AZ1025" s="71">
        <v>1</v>
      </c>
      <c r="BA1025">
        <v>0</v>
      </c>
      <c r="BB1025">
        <v>0</v>
      </c>
      <c r="BC1025">
        <v>0</v>
      </c>
      <c r="BD1025" s="144" t="s">
        <v>1690</v>
      </c>
      <c r="BF1025" s="10"/>
      <c r="BG1025"/>
    </row>
    <row r="1026" spans="1:59" ht="14.25" customHeight="1" x14ac:dyDescent="0.25">
      <c r="A1026" s="37" t="str">
        <f>LEFT(Scharniere[[#This Row],[ArtikelNR]],4)</f>
        <v>F045</v>
      </c>
      <c r="B1026" s="35" t="str">
        <f>MID(Scharniere[[#This Row],[ArtikelNR]],5,3)</f>
        <v>139</v>
      </c>
      <c r="C1026" s="37" t="str">
        <f>RIGHT(Scharniere[[#This Row],[ArtikelNR]],3)</f>
        <v>071</v>
      </c>
      <c r="D1026" s="35">
        <f>IF(AND(Scharniere[[#This Row],[Gruppenschlüssel]]=select!$A$44,Scharniere[[#This Row],[Scharnierart]]=1)=TRUE,1,0)</f>
        <v>0</v>
      </c>
      <c r="E102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6" s="35">
        <f>IF(select!$F$57=IF(Scharniere[[#This Row],[mit Dämpfung]]=1,1,IF(Scharniere[[#This Row],[ohne Dämpfung]]=1,2,IF(Scharniere[[#This Row],[ohne Feder]]=1,3,0))),1,0)</f>
        <v>0</v>
      </c>
      <c r="G1026" s="35">
        <f>IF(Scharniere[[#This Row],[Bohrbild]]=select!$V$43,1,0)</f>
        <v>0</v>
      </c>
      <c r="H1026" s="35">
        <f>IF(IF(Scharniere[[#This Row],[Anschrauben]]=1,1,IF(Scharniere[[#This Row],[Einpressen]]=1,2,IF(Scharniere[[#This Row],[Quick]]=1,3,IF(Scharniere[[#This Row],[Werkzeuglos]]=1,4,0))))=select!$F$48,1,0)</f>
        <v>0</v>
      </c>
      <c r="I102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6" s="149">
        <f>IF(AND(Scharniere[[#This Row],[Scharnierart]]=2,Scharniere[[#This Row],[Gruppenschlüssel]]=select!$A$318)=TRUE,1,0)</f>
        <v>0</v>
      </c>
      <c r="K1026" s="221">
        <f ca="1">IF(select!$O$424&lt;6,1,0)</f>
        <v>1</v>
      </c>
      <c r="L1026" s="221">
        <f>IF(select!$A$362=IF(Scharniere[[#This Row],[mit Dämpfung]]=1,1,IF(Scharniere[[#This Row],[ohne Dämpfung]]=1,2,IF(Scharniere[[#This Row],[ohne Feder]]=1,3,0))),1,0)</f>
        <v>0</v>
      </c>
      <c r="M1026" s="135">
        <f>IF(Scharniere[[#This Row],[Bohrbild]]=select!$O$334,1,0)</f>
        <v>0</v>
      </c>
      <c r="N1026" s="135">
        <f>IF(IF(Scharniere[[#This Row],[Anschrauben]]=1,1,IF(Scharniere[[#This Row],[Einpressen]]=1,2,IF(Scharniere[[#This Row],[Quick]]=1,3,IF(Scharniere[[#This Row],[Werkzeuglos]]=1,4,0))))=select!$E$362,1,0)</f>
        <v>1</v>
      </c>
      <c r="O102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6" s="298">
        <f>IF(AND(Scharniere[[#This Row],[Scharnierart]]=3,Scharniere[[#This Row],[Gruppenschlüssel]]=select!$A$747)=TRUE,1,0)</f>
        <v>1</v>
      </c>
      <c r="Q1026" s="298">
        <f ca="1">IF(select!$O$945&lt;6,1,0)</f>
        <v>1</v>
      </c>
      <c r="R1026" s="298">
        <f>IF(select!$A$778=IF(Scharniere[[#This Row],[mit Dämpfung]]=1,1,IF(Scharniere[[#This Row],[ohne Dämpfung]]=1,2,IF(Scharniere[[#This Row],[ohne Feder]]=1,3,0))),1,0)</f>
        <v>1</v>
      </c>
      <c r="S1026" s="298">
        <f>IF(Scharniere[[#This Row],[Bohrbild]]=select!$A$755,1,0)</f>
        <v>0</v>
      </c>
      <c r="T1026" s="298">
        <f>IF(IF(Scharniere[[#This Row],[Anschrauben]]=1,1,IF(Scharniere[[#This Row],[Einpressen]]=1,2,IF(Scharniere[[#This Row],[Quick]]=1,3,IF(Scharniere[[#This Row],[Werkzeuglos]]=1,4,0))))=select!$A$769,1,0)</f>
        <v>1</v>
      </c>
      <c r="U102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6" s="359">
        <f>IF(AND(Scharniere[[#This Row],[Scharnierart]]=4,Scharniere[[#This Row],[Gruppenschlüssel]]=select!$A$981)=TRUE,1,0)</f>
        <v>0</v>
      </c>
      <c r="W1026" s="359">
        <f ca="1">IF(select!$O$1185&lt;6,1,0)</f>
        <v>1</v>
      </c>
      <c r="X1026" s="359">
        <f>IF(select!$A$1012=IF(Scharniere[[#This Row],[mit Dämpfung]]=1,1,IF(Scharniere[[#This Row],[ohne Dämpfung]]=1,2,IF(Scharniere[[#This Row],[ohne Feder]]=1,3,0))),1,0)</f>
        <v>1</v>
      </c>
      <c r="Y1026" s="359">
        <f>IF(Scharniere[[#This Row],[Bohrbild]]=select!$A$989,1,0)</f>
        <v>0</v>
      </c>
      <c r="Z1026" s="359">
        <f>IF(IF(Scharniere[[#This Row],[Anschrauben]]=1,1,IF(Scharniere[[#This Row],[Einpressen]]=1,2,IF(Scharniere[[#This Row],[Quick]]=1,3,IF(Scharniere[[#This Row],[Werkzeuglos]]=1,4,0))))=select!$A$1003,1,0)</f>
        <v>1</v>
      </c>
      <c r="AA102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6" s="359">
        <f ca="1">IF(select!$K$980="*",Scharniere[[#This Row],[AG Ges2]],Scharniere[[#This Row],[AG Ges1]])</f>
        <v>0</v>
      </c>
      <c r="AE1026" s="451">
        <f ca="1">IF(AND(Scharniere[[#This Row],[Scharnierart]]=select!$A$1485,Scharniere[[#This Row],[Gruppenschlüssel]]=select!$B$1485)=TRUE,1,0)</f>
        <v>0</v>
      </c>
      <c r="AF1026" s="451">
        <f ca="1">IF(AND(Scharniere[[#This Row],[Scharnierart]]=select!$A$1486,Scharniere[[#This Row],[Gruppenschlüssel]]=select!$B$1486)=TRUE,1,0)</f>
        <v>0</v>
      </c>
      <c r="AG1026" s="451">
        <f ca="1">IF(AND(Scharniere[[#This Row],[Scharnierart]]=select!$A$1487,Scharniere[[#This Row],[Gruppenschlüssel]]=select!$B$1487)=TRUE,1,0)</f>
        <v>0</v>
      </c>
      <c r="AH1026" s="451">
        <f ca="1">IF(AND(Scharniere[[#This Row],[Scharnierart]]=select!$A$1488,Scharniere[[#This Row],[Gruppenschlüssel]]=select!$B$1488)=TRUE,1,0)</f>
        <v>0</v>
      </c>
      <c r="AI1026" s="451">
        <f ca="1">IF(SUM(Scharniere[[#This Row],[konf Scharnier 1]:[konf Scharnier 4]])&gt;0,1,0)</f>
        <v>0</v>
      </c>
      <c r="AJ1026" s="451"/>
      <c r="AK1026" s="451"/>
      <c r="AL1026" s="451"/>
      <c r="AM1026" s="451"/>
      <c r="AN1026" s="451"/>
      <c r="AO1026" s="146">
        <v>3</v>
      </c>
      <c r="AP1026" s="146">
        <v>1</v>
      </c>
      <c r="AQ1026" s="71" t="str">
        <f ca="1">Sprache!$A$118</f>
        <v>Tiomos Scharnier T Click-on</v>
      </c>
      <c r="AR1026" t="str">
        <f ca="1">"100°, "&amp;Sprache!$A$171&amp;",B-BB, K03, ni"</f>
        <v>100°, Kühlsch.,B-BB, K03, ni</v>
      </c>
      <c r="AS1026" t="str">
        <f ca="1">Sprache!$A$103</f>
        <v>Tiomos Click-On Scharniere</v>
      </c>
      <c r="AT1026">
        <v>3</v>
      </c>
      <c r="AU1026" t="s">
        <v>3</v>
      </c>
      <c r="AV1026" t="s">
        <v>1695</v>
      </c>
      <c r="AW1026" s="71">
        <v>0</v>
      </c>
      <c r="AX1026">
        <v>1</v>
      </c>
      <c r="AY1026">
        <v>0</v>
      </c>
      <c r="AZ1026" s="71">
        <v>1</v>
      </c>
      <c r="BA1026">
        <v>0</v>
      </c>
      <c r="BB1026">
        <v>0</v>
      </c>
      <c r="BC1026">
        <v>0</v>
      </c>
      <c r="BD1026" s="144" t="s">
        <v>1696</v>
      </c>
      <c r="BF1026" s="10"/>
      <c r="BG1026"/>
    </row>
    <row r="1027" spans="1:59" ht="14.25" customHeight="1" x14ac:dyDescent="0.25">
      <c r="A1027" s="37" t="str">
        <f>LEFT(Scharniere[[#This Row],[ArtikelNR]],4)</f>
        <v>F045</v>
      </c>
      <c r="B1027" s="35" t="str">
        <f>MID(Scharniere[[#This Row],[ArtikelNR]],5,3)</f>
        <v>139</v>
      </c>
      <c r="C1027" s="37" t="str">
        <f>RIGHT(Scharniere[[#This Row],[ArtikelNR]],3)</f>
        <v>052</v>
      </c>
      <c r="D1027" s="35">
        <f>IF(AND(Scharniere[[#This Row],[Gruppenschlüssel]]=select!$A$44,Scharniere[[#This Row],[Scharnierart]]=1)=TRUE,1,0)</f>
        <v>0</v>
      </c>
      <c r="E102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7" s="35">
        <f>IF(select!$F$57=IF(Scharniere[[#This Row],[mit Dämpfung]]=1,1,IF(Scharniere[[#This Row],[ohne Dämpfung]]=1,2,IF(Scharniere[[#This Row],[ohne Feder]]=1,3,0))),1,0)</f>
        <v>0</v>
      </c>
      <c r="G1027" s="35">
        <f>IF(Scharniere[[#This Row],[Bohrbild]]=select!$V$43,1,0)</f>
        <v>0</v>
      </c>
      <c r="H1027" s="35">
        <f>IF(IF(Scharniere[[#This Row],[Anschrauben]]=1,1,IF(Scharniere[[#This Row],[Einpressen]]=1,2,IF(Scharniere[[#This Row],[Quick]]=1,3,IF(Scharniere[[#This Row],[Werkzeuglos]]=1,4,0))))=select!$F$48,1,0)</f>
        <v>1</v>
      </c>
      <c r="I102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7" s="149">
        <f>IF(AND(Scharniere[[#This Row],[Scharnierart]]=2,Scharniere[[#This Row],[Gruppenschlüssel]]=select!$A$318)=TRUE,1,0)</f>
        <v>0</v>
      </c>
      <c r="K1027" s="221">
        <f ca="1">IF(select!$O$424&lt;6,1,0)</f>
        <v>1</v>
      </c>
      <c r="L1027" s="221">
        <f>IF(select!$A$362=IF(Scharniere[[#This Row],[mit Dämpfung]]=1,1,IF(Scharniere[[#This Row],[ohne Dämpfung]]=1,2,IF(Scharniere[[#This Row],[ohne Feder]]=1,3,0))),1,0)</f>
        <v>0</v>
      </c>
      <c r="M1027" s="135">
        <f>IF(Scharniere[[#This Row],[Bohrbild]]=select!$O$334,1,0)</f>
        <v>0</v>
      </c>
      <c r="N1027" s="135">
        <f>IF(IF(Scharniere[[#This Row],[Anschrauben]]=1,1,IF(Scharniere[[#This Row],[Einpressen]]=1,2,IF(Scharniere[[#This Row],[Quick]]=1,3,IF(Scharniere[[#This Row],[Werkzeuglos]]=1,4,0))))=select!$E$362,1,0)</f>
        <v>0</v>
      </c>
      <c r="O102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7" s="298">
        <f>IF(AND(Scharniere[[#This Row],[Scharnierart]]=3,Scharniere[[#This Row],[Gruppenschlüssel]]=select!$A$747)=TRUE,1,0)</f>
        <v>1</v>
      </c>
      <c r="Q1027" s="298">
        <f ca="1">IF(select!$O$945&lt;6,1,0)</f>
        <v>1</v>
      </c>
      <c r="R1027" s="298">
        <f>IF(select!$A$778=IF(Scharniere[[#This Row],[mit Dämpfung]]=1,1,IF(Scharniere[[#This Row],[ohne Dämpfung]]=1,2,IF(Scharniere[[#This Row],[ohne Feder]]=1,3,0))),1,0)</f>
        <v>1</v>
      </c>
      <c r="S1027" s="298">
        <f>IF(Scharniere[[#This Row],[Bohrbild]]=select!$A$755,1,0)</f>
        <v>0</v>
      </c>
      <c r="T1027" s="298">
        <f>IF(IF(Scharniere[[#This Row],[Anschrauben]]=1,1,IF(Scharniere[[#This Row],[Einpressen]]=1,2,IF(Scharniere[[#This Row],[Quick]]=1,3,IF(Scharniere[[#This Row],[Werkzeuglos]]=1,4,0))))=select!$A$769,1,0)</f>
        <v>0</v>
      </c>
      <c r="U102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7" s="359">
        <f>IF(AND(Scharniere[[#This Row],[Scharnierart]]=4,Scharniere[[#This Row],[Gruppenschlüssel]]=select!$A$981)=TRUE,1,0)</f>
        <v>0</v>
      </c>
      <c r="W1027" s="359">
        <f ca="1">IF(select!$O$1185&lt;6,1,0)</f>
        <v>1</v>
      </c>
      <c r="X1027" s="359">
        <f>IF(select!$A$1012=IF(Scharniere[[#This Row],[mit Dämpfung]]=1,1,IF(Scharniere[[#This Row],[ohne Dämpfung]]=1,2,IF(Scharniere[[#This Row],[ohne Feder]]=1,3,0))),1,0)</f>
        <v>1</v>
      </c>
      <c r="Y1027" s="359">
        <f>IF(Scharniere[[#This Row],[Bohrbild]]=select!$A$989,1,0)</f>
        <v>0</v>
      </c>
      <c r="Z1027" s="359">
        <f>IF(IF(Scharniere[[#This Row],[Anschrauben]]=1,1,IF(Scharniere[[#This Row],[Einpressen]]=1,2,IF(Scharniere[[#This Row],[Quick]]=1,3,IF(Scharniere[[#This Row],[Werkzeuglos]]=1,4,0))))=select!$A$1003,1,0)</f>
        <v>0</v>
      </c>
      <c r="AA102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7" s="359">
        <f ca="1">IF(select!$K$980="*",Scharniere[[#This Row],[AG Ges2]],Scharniere[[#This Row],[AG Ges1]])</f>
        <v>0</v>
      </c>
      <c r="AE1027" s="451">
        <f ca="1">IF(AND(Scharniere[[#This Row],[Scharnierart]]=select!$A$1485,Scharniere[[#This Row],[Gruppenschlüssel]]=select!$B$1485)=TRUE,1,0)</f>
        <v>0</v>
      </c>
      <c r="AF1027" s="451">
        <f ca="1">IF(AND(Scharniere[[#This Row],[Scharnierart]]=select!$A$1486,Scharniere[[#This Row],[Gruppenschlüssel]]=select!$B$1486)=TRUE,1,0)</f>
        <v>0</v>
      </c>
      <c r="AG1027" s="451">
        <f ca="1">IF(AND(Scharniere[[#This Row],[Scharnierart]]=select!$A$1487,Scharniere[[#This Row],[Gruppenschlüssel]]=select!$B$1487)=TRUE,1,0)</f>
        <v>0</v>
      </c>
      <c r="AH1027" s="451">
        <f ca="1">IF(AND(Scharniere[[#This Row],[Scharnierart]]=select!$A$1488,Scharniere[[#This Row],[Gruppenschlüssel]]=select!$B$1488)=TRUE,1,0)</f>
        <v>0</v>
      </c>
      <c r="AI1027" s="451">
        <f ca="1">IF(SUM(Scharniere[[#This Row],[konf Scharnier 1]:[konf Scharnier 4]])&gt;0,1,0)</f>
        <v>0</v>
      </c>
      <c r="AJ1027" s="451"/>
      <c r="AK1027" s="451"/>
      <c r="AL1027" s="451"/>
      <c r="AM1027" s="451"/>
      <c r="AN1027" s="451"/>
      <c r="AO1027" s="146">
        <v>3</v>
      </c>
      <c r="AP1027" s="146">
        <v>1</v>
      </c>
      <c r="AQ1027" s="71" t="str">
        <f ca="1">Sprache!$A$118</f>
        <v>Tiomos Scharnier T Click-on</v>
      </c>
      <c r="AR1027" s="3" t="str">
        <f ca="1">"100°, "&amp;Sprache!$A$171&amp;",B-BB,K03,Düb. ni"</f>
        <v>100°, Kühlsch.,B-BB,K03,Düb. ni</v>
      </c>
      <c r="AS1027" t="str">
        <f ca="1">Sprache!$A$103</f>
        <v>Tiomos Click-On Scharniere</v>
      </c>
      <c r="AT1027">
        <v>3</v>
      </c>
      <c r="AU1027" t="s">
        <v>3</v>
      </c>
      <c r="AV1027" t="s">
        <v>1788</v>
      </c>
      <c r="AW1027" s="71">
        <v>0</v>
      </c>
      <c r="AX1027">
        <v>1</v>
      </c>
      <c r="AY1027">
        <v>0</v>
      </c>
      <c r="AZ1027" s="71">
        <v>0</v>
      </c>
      <c r="BA1027">
        <v>1</v>
      </c>
      <c r="BB1027">
        <v>0</v>
      </c>
      <c r="BC1027">
        <v>0</v>
      </c>
      <c r="BD1027" s="144" t="s">
        <v>1789</v>
      </c>
      <c r="BF1027" s="10"/>
      <c r="BG1027"/>
    </row>
    <row r="1028" spans="1:59" ht="14.25" customHeight="1" x14ac:dyDescent="0.25">
      <c r="A1028" s="37" t="str">
        <f>LEFT(Scharniere[[#This Row],[ArtikelNR]],4)</f>
        <v>F045</v>
      </c>
      <c r="B1028" s="35" t="str">
        <f>MID(Scharniere[[#This Row],[ArtikelNR]],5,3)</f>
        <v>139</v>
      </c>
      <c r="C1028" s="37" t="str">
        <f>RIGHT(Scharniere[[#This Row],[ArtikelNR]],3)</f>
        <v>073</v>
      </c>
      <c r="D1028" s="35">
        <f>IF(AND(Scharniere[[#This Row],[Gruppenschlüssel]]=select!$A$44,Scharniere[[#This Row],[Scharnierart]]=1)=TRUE,1,0)</f>
        <v>0</v>
      </c>
      <c r="E102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8" s="35">
        <f>IF(select!$F$57=IF(Scharniere[[#This Row],[mit Dämpfung]]=1,1,IF(Scharniere[[#This Row],[ohne Dämpfung]]=1,2,IF(Scharniere[[#This Row],[ohne Feder]]=1,3,0))),1,0)</f>
        <v>0</v>
      </c>
      <c r="G1028" s="35">
        <f>IF(Scharniere[[#This Row],[Bohrbild]]=select!$V$43,1,0)</f>
        <v>0</v>
      </c>
      <c r="H1028" s="35">
        <f>IF(IF(Scharniere[[#This Row],[Anschrauben]]=1,1,IF(Scharniere[[#This Row],[Einpressen]]=1,2,IF(Scharniere[[#This Row],[Quick]]=1,3,IF(Scharniere[[#This Row],[Werkzeuglos]]=1,4,0))))=select!$F$48,1,0)</f>
        <v>0</v>
      </c>
      <c r="I102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8" s="149">
        <f>IF(AND(Scharniere[[#This Row],[Scharnierart]]=2,Scharniere[[#This Row],[Gruppenschlüssel]]=select!$A$318)=TRUE,1,0)</f>
        <v>0</v>
      </c>
      <c r="K1028" s="221">
        <f ca="1">IF(select!$O$424&lt;6,1,0)</f>
        <v>1</v>
      </c>
      <c r="L1028" s="221">
        <f>IF(select!$A$362=IF(Scharniere[[#This Row],[mit Dämpfung]]=1,1,IF(Scharniere[[#This Row],[ohne Dämpfung]]=1,2,IF(Scharniere[[#This Row],[ohne Feder]]=1,3,0))),1,0)</f>
        <v>0</v>
      </c>
      <c r="M1028" s="135">
        <f>IF(Scharniere[[#This Row],[Bohrbild]]=select!$O$334,1,0)</f>
        <v>0</v>
      </c>
      <c r="N1028" s="135">
        <f>IF(IF(Scharniere[[#This Row],[Anschrauben]]=1,1,IF(Scharniere[[#This Row],[Einpressen]]=1,2,IF(Scharniere[[#This Row],[Quick]]=1,3,IF(Scharniere[[#This Row],[Werkzeuglos]]=1,4,0))))=select!$E$362,1,0)</f>
        <v>1</v>
      </c>
      <c r="O102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8" s="298">
        <f>IF(AND(Scharniere[[#This Row],[Scharnierart]]=3,Scharniere[[#This Row],[Gruppenschlüssel]]=select!$A$747)=TRUE,1,0)</f>
        <v>1</v>
      </c>
      <c r="Q1028" s="298">
        <f ca="1">IF(select!$O$945&lt;6,1,0)</f>
        <v>1</v>
      </c>
      <c r="R1028" s="298">
        <f>IF(select!$A$778=IF(Scharniere[[#This Row],[mit Dämpfung]]=1,1,IF(Scharniere[[#This Row],[ohne Dämpfung]]=1,2,IF(Scharniere[[#This Row],[ohne Feder]]=1,3,0))),1,0)</f>
        <v>1</v>
      </c>
      <c r="S1028" s="298">
        <f>IF(Scharniere[[#This Row],[Bohrbild]]=select!$A$755,1,0)</f>
        <v>0</v>
      </c>
      <c r="T1028" s="298">
        <f>IF(IF(Scharniere[[#This Row],[Anschrauben]]=1,1,IF(Scharniere[[#This Row],[Einpressen]]=1,2,IF(Scharniere[[#This Row],[Quick]]=1,3,IF(Scharniere[[#This Row],[Werkzeuglos]]=1,4,0))))=select!$A$769,1,0)</f>
        <v>1</v>
      </c>
      <c r="U102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8" s="359">
        <f>IF(AND(Scharniere[[#This Row],[Scharnierart]]=4,Scharniere[[#This Row],[Gruppenschlüssel]]=select!$A$981)=TRUE,1,0)</f>
        <v>0</v>
      </c>
      <c r="W1028" s="359">
        <f ca="1">IF(select!$O$1185&lt;6,1,0)</f>
        <v>1</v>
      </c>
      <c r="X1028" s="359">
        <f>IF(select!$A$1012=IF(Scharniere[[#This Row],[mit Dämpfung]]=1,1,IF(Scharniere[[#This Row],[ohne Dämpfung]]=1,2,IF(Scharniere[[#This Row],[ohne Feder]]=1,3,0))),1,0)</f>
        <v>1</v>
      </c>
      <c r="Y1028" s="359">
        <f>IF(Scharniere[[#This Row],[Bohrbild]]=select!$A$989,1,0)</f>
        <v>0</v>
      </c>
      <c r="Z1028" s="359">
        <f>IF(IF(Scharniere[[#This Row],[Anschrauben]]=1,1,IF(Scharniere[[#This Row],[Einpressen]]=1,2,IF(Scharniere[[#This Row],[Quick]]=1,3,IF(Scharniere[[#This Row],[Werkzeuglos]]=1,4,0))))=select!$A$1003,1,0)</f>
        <v>1</v>
      </c>
      <c r="AA102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8" s="359">
        <f ca="1">IF(select!$K$980="*",Scharniere[[#This Row],[AG Ges2]],Scharniere[[#This Row],[AG Ges1]])</f>
        <v>0</v>
      </c>
      <c r="AE1028" s="451">
        <f ca="1">IF(AND(Scharniere[[#This Row],[Scharnierart]]=select!$A$1485,Scharniere[[#This Row],[Gruppenschlüssel]]=select!$B$1485)=TRUE,1,0)</f>
        <v>0</v>
      </c>
      <c r="AF1028" s="451">
        <f ca="1">IF(AND(Scharniere[[#This Row],[Scharnierart]]=select!$A$1486,Scharniere[[#This Row],[Gruppenschlüssel]]=select!$B$1486)=TRUE,1,0)</f>
        <v>0</v>
      </c>
      <c r="AG1028" s="451">
        <f ca="1">IF(AND(Scharniere[[#This Row],[Scharnierart]]=select!$A$1487,Scharniere[[#This Row],[Gruppenschlüssel]]=select!$B$1487)=TRUE,1,0)</f>
        <v>0</v>
      </c>
      <c r="AH1028" s="451">
        <f ca="1">IF(AND(Scharniere[[#This Row],[Scharnierart]]=select!$A$1488,Scharniere[[#This Row],[Gruppenschlüssel]]=select!$B$1488)=TRUE,1,0)</f>
        <v>0</v>
      </c>
      <c r="AI1028" s="451">
        <f ca="1">IF(SUM(Scharniere[[#This Row],[konf Scharnier 1]:[konf Scharnier 4]])&gt;0,1,0)</f>
        <v>0</v>
      </c>
      <c r="AJ1028" s="451"/>
      <c r="AK1028" s="451"/>
      <c r="AL1028" s="451"/>
      <c r="AM1028" s="451"/>
      <c r="AN1028" s="451"/>
      <c r="AO1028" s="146">
        <v>3</v>
      </c>
      <c r="AP1028" s="146">
        <v>1</v>
      </c>
      <c r="AQ1028" s="71" t="str">
        <f ca="1">Sprache!$A$118</f>
        <v>Tiomos Scharnier T Click-on</v>
      </c>
      <c r="AR1028" t="str">
        <f ca="1">"100°, "&amp;Sprache!$A$171&amp;",G-BB, K03, ni"</f>
        <v>100°, Kühlsch.,G-BB, K03, ni</v>
      </c>
      <c r="AS1028" t="str">
        <f ca="1">Sprache!$A$103</f>
        <v>Tiomos Click-On Scharniere</v>
      </c>
      <c r="AT1028">
        <v>3</v>
      </c>
      <c r="AU1028" t="s">
        <v>9</v>
      </c>
      <c r="AV1028" t="s">
        <v>1695</v>
      </c>
      <c r="AW1028" s="71">
        <v>0</v>
      </c>
      <c r="AX1028">
        <v>1</v>
      </c>
      <c r="AY1028">
        <v>0</v>
      </c>
      <c r="AZ1028" s="71">
        <v>1</v>
      </c>
      <c r="BA1028">
        <v>0</v>
      </c>
      <c r="BB1028">
        <v>0</v>
      </c>
      <c r="BC1028">
        <v>0</v>
      </c>
      <c r="BD1028" s="144" t="s">
        <v>1698</v>
      </c>
      <c r="BF1028" s="10"/>
      <c r="BG1028"/>
    </row>
    <row r="1029" spans="1:59" ht="14.25" customHeight="1" x14ac:dyDescent="0.25">
      <c r="A1029" s="37" t="str">
        <f>LEFT(Scharniere[[#This Row],[ArtikelNR]],4)</f>
        <v>F045</v>
      </c>
      <c r="B1029" s="35" t="str">
        <f>MID(Scharniere[[#This Row],[ArtikelNR]],5,3)</f>
        <v>139</v>
      </c>
      <c r="C1029" s="37" t="str">
        <f>RIGHT(Scharniere[[#This Row],[ArtikelNR]],3)</f>
        <v>054</v>
      </c>
      <c r="D1029" s="35">
        <f>IF(AND(Scharniere[[#This Row],[Gruppenschlüssel]]=select!$A$44,Scharniere[[#This Row],[Scharnierart]]=1)=TRUE,1,0)</f>
        <v>0</v>
      </c>
      <c r="E102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29" s="35">
        <f>IF(select!$F$57=IF(Scharniere[[#This Row],[mit Dämpfung]]=1,1,IF(Scharniere[[#This Row],[ohne Dämpfung]]=1,2,IF(Scharniere[[#This Row],[ohne Feder]]=1,3,0))),1,0)</f>
        <v>0</v>
      </c>
      <c r="G1029" s="35">
        <f>IF(Scharniere[[#This Row],[Bohrbild]]=select!$V$43,1,0)</f>
        <v>0</v>
      </c>
      <c r="H1029" s="35">
        <f>IF(IF(Scharniere[[#This Row],[Anschrauben]]=1,1,IF(Scharniere[[#This Row],[Einpressen]]=1,2,IF(Scharniere[[#This Row],[Quick]]=1,3,IF(Scharniere[[#This Row],[Werkzeuglos]]=1,4,0))))=select!$F$48,1,0)</f>
        <v>1</v>
      </c>
      <c r="I102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29" s="149">
        <f>IF(AND(Scharniere[[#This Row],[Scharnierart]]=2,Scharniere[[#This Row],[Gruppenschlüssel]]=select!$A$318)=TRUE,1,0)</f>
        <v>0</v>
      </c>
      <c r="K1029" s="221">
        <f ca="1">IF(select!$O$424&lt;6,1,0)</f>
        <v>1</v>
      </c>
      <c r="L1029" s="221">
        <f>IF(select!$A$362=IF(Scharniere[[#This Row],[mit Dämpfung]]=1,1,IF(Scharniere[[#This Row],[ohne Dämpfung]]=1,2,IF(Scharniere[[#This Row],[ohne Feder]]=1,3,0))),1,0)</f>
        <v>0</v>
      </c>
      <c r="M1029" s="135">
        <f>IF(Scharniere[[#This Row],[Bohrbild]]=select!$O$334,1,0)</f>
        <v>0</v>
      </c>
      <c r="N1029" s="135">
        <f>IF(IF(Scharniere[[#This Row],[Anschrauben]]=1,1,IF(Scharniere[[#This Row],[Einpressen]]=1,2,IF(Scharniere[[#This Row],[Quick]]=1,3,IF(Scharniere[[#This Row],[Werkzeuglos]]=1,4,0))))=select!$E$362,1,0)</f>
        <v>0</v>
      </c>
      <c r="O102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29" s="298">
        <f>IF(AND(Scharniere[[#This Row],[Scharnierart]]=3,Scharniere[[#This Row],[Gruppenschlüssel]]=select!$A$747)=TRUE,1,0)</f>
        <v>1</v>
      </c>
      <c r="Q1029" s="298">
        <f ca="1">IF(select!$O$945&lt;6,1,0)</f>
        <v>1</v>
      </c>
      <c r="R1029" s="298">
        <f>IF(select!$A$778=IF(Scharniere[[#This Row],[mit Dämpfung]]=1,1,IF(Scharniere[[#This Row],[ohne Dämpfung]]=1,2,IF(Scharniere[[#This Row],[ohne Feder]]=1,3,0))),1,0)</f>
        <v>1</v>
      </c>
      <c r="S1029" s="298">
        <f>IF(Scharniere[[#This Row],[Bohrbild]]=select!$A$755,1,0)</f>
        <v>0</v>
      </c>
      <c r="T1029" s="298">
        <f>IF(IF(Scharniere[[#This Row],[Anschrauben]]=1,1,IF(Scharniere[[#This Row],[Einpressen]]=1,2,IF(Scharniere[[#This Row],[Quick]]=1,3,IF(Scharniere[[#This Row],[Werkzeuglos]]=1,4,0))))=select!$A$769,1,0)</f>
        <v>0</v>
      </c>
      <c r="U102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29" s="359">
        <f>IF(AND(Scharniere[[#This Row],[Scharnierart]]=4,Scharniere[[#This Row],[Gruppenschlüssel]]=select!$A$981)=TRUE,1,0)</f>
        <v>0</v>
      </c>
      <c r="W1029" s="359">
        <f ca="1">IF(select!$O$1185&lt;6,1,0)</f>
        <v>1</v>
      </c>
      <c r="X1029" s="359">
        <f>IF(select!$A$1012=IF(Scharniere[[#This Row],[mit Dämpfung]]=1,1,IF(Scharniere[[#This Row],[ohne Dämpfung]]=1,2,IF(Scharniere[[#This Row],[ohne Feder]]=1,3,0))),1,0)</f>
        <v>1</v>
      </c>
      <c r="Y1029" s="359">
        <f>IF(Scharniere[[#This Row],[Bohrbild]]=select!$A$989,1,0)</f>
        <v>0</v>
      </c>
      <c r="Z1029" s="359">
        <f>IF(IF(Scharniere[[#This Row],[Anschrauben]]=1,1,IF(Scharniere[[#This Row],[Einpressen]]=1,2,IF(Scharniere[[#This Row],[Quick]]=1,3,IF(Scharniere[[#This Row],[Werkzeuglos]]=1,4,0))))=select!$A$1003,1,0)</f>
        <v>0</v>
      </c>
      <c r="AA102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2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2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29" s="359">
        <f ca="1">IF(select!$K$980="*",Scharniere[[#This Row],[AG Ges2]],Scharniere[[#This Row],[AG Ges1]])</f>
        <v>0</v>
      </c>
      <c r="AE1029" s="451">
        <f ca="1">IF(AND(Scharniere[[#This Row],[Scharnierart]]=select!$A$1485,Scharniere[[#This Row],[Gruppenschlüssel]]=select!$B$1485)=TRUE,1,0)</f>
        <v>0</v>
      </c>
      <c r="AF1029" s="451">
        <f ca="1">IF(AND(Scharniere[[#This Row],[Scharnierart]]=select!$A$1486,Scharniere[[#This Row],[Gruppenschlüssel]]=select!$B$1486)=TRUE,1,0)</f>
        <v>0</v>
      </c>
      <c r="AG1029" s="451">
        <f ca="1">IF(AND(Scharniere[[#This Row],[Scharnierart]]=select!$A$1487,Scharniere[[#This Row],[Gruppenschlüssel]]=select!$B$1487)=TRUE,1,0)</f>
        <v>0</v>
      </c>
      <c r="AH1029" s="451">
        <f ca="1">IF(AND(Scharniere[[#This Row],[Scharnierart]]=select!$A$1488,Scharniere[[#This Row],[Gruppenschlüssel]]=select!$B$1488)=TRUE,1,0)</f>
        <v>0</v>
      </c>
      <c r="AI1029" s="451">
        <f ca="1">IF(SUM(Scharniere[[#This Row],[konf Scharnier 1]:[konf Scharnier 4]])&gt;0,1,0)</f>
        <v>0</v>
      </c>
      <c r="AJ1029" s="451"/>
      <c r="AK1029" s="451"/>
      <c r="AL1029" s="451"/>
      <c r="AM1029" s="451"/>
      <c r="AN1029" s="451"/>
      <c r="AO1029" s="146">
        <v>3</v>
      </c>
      <c r="AP1029" s="146">
        <v>1</v>
      </c>
      <c r="AQ1029" s="71" t="str">
        <f ca="1">Sprache!$A$118</f>
        <v>Tiomos Scharnier T Click-on</v>
      </c>
      <c r="AR1029" s="3" t="str">
        <f ca="1">"100°, "&amp;Sprache!$A$171&amp;",G-BB,K03,Düb. ni"</f>
        <v>100°, Kühlsch.,G-BB,K03,Düb. ni</v>
      </c>
      <c r="AS1029" t="str">
        <f ca="1">Sprache!$A$103</f>
        <v>Tiomos Click-On Scharniere</v>
      </c>
      <c r="AT1029">
        <v>3</v>
      </c>
      <c r="AU1029" t="s">
        <v>9</v>
      </c>
      <c r="AV1029" t="s">
        <v>1788</v>
      </c>
      <c r="AW1029" s="71">
        <v>0</v>
      </c>
      <c r="AX1029">
        <v>1</v>
      </c>
      <c r="AY1029">
        <v>0</v>
      </c>
      <c r="AZ1029" s="71">
        <v>0</v>
      </c>
      <c r="BA1029">
        <v>1</v>
      </c>
      <c r="BB1029">
        <v>0</v>
      </c>
      <c r="BC1029">
        <v>0</v>
      </c>
      <c r="BD1029" s="144" t="s">
        <v>1791</v>
      </c>
      <c r="BF1029" s="10"/>
      <c r="BG1029"/>
    </row>
    <row r="1030" spans="1:59" ht="14.25" customHeight="1" x14ac:dyDescent="0.25">
      <c r="A1030" s="37" t="str">
        <f>LEFT(Scharniere[[#This Row],[ArtikelNR]],4)</f>
        <v>F045</v>
      </c>
      <c r="B1030" s="35" t="str">
        <f>MID(Scharniere[[#This Row],[ArtikelNR]],5,3)</f>
        <v>139</v>
      </c>
      <c r="C1030" s="37" t="str">
        <f>RIGHT(Scharniere[[#This Row],[ArtikelNR]],3)</f>
        <v>074</v>
      </c>
      <c r="D1030" s="35">
        <f>IF(AND(Scharniere[[#This Row],[Gruppenschlüssel]]=select!$A$44,Scharniere[[#This Row],[Scharnierart]]=1)=TRUE,1,0)</f>
        <v>0</v>
      </c>
      <c r="E103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0" s="35">
        <f>IF(select!$F$57=IF(Scharniere[[#This Row],[mit Dämpfung]]=1,1,IF(Scharniere[[#This Row],[ohne Dämpfung]]=1,2,IF(Scharniere[[#This Row],[ohne Feder]]=1,3,0))),1,0)</f>
        <v>0</v>
      </c>
      <c r="G1030" s="35">
        <f>IF(Scharniere[[#This Row],[Bohrbild]]=select!$V$43,1,0)</f>
        <v>0</v>
      </c>
      <c r="H1030" s="35">
        <f>IF(IF(Scharniere[[#This Row],[Anschrauben]]=1,1,IF(Scharniere[[#This Row],[Einpressen]]=1,2,IF(Scharniere[[#This Row],[Quick]]=1,3,IF(Scharniere[[#This Row],[Werkzeuglos]]=1,4,0))))=select!$F$48,1,0)</f>
        <v>0</v>
      </c>
      <c r="I103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0" s="149">
        <f>IF(AND(Scharniere[[#This Row],[Scharnierart]]=2,Scharniere[[#This Row],[Gruppenschlüssel]]=select!$A$318)=TRUE,1,0)</f>
        <v>0</v>
      </c>
      <c r="K1030" s="221">
        <f ca="1">IF(select!$O$424&lt;6,1,0)</f>
        <v>1</v>
      </c>
      <c r="L1030" s="221">
        <f>IF(select!$A$362=IF(Scharniere[[#This Row],[mit Dämpfung]]=1,1,IF(Scharniere[[#This Row],[ohne Dämpfung]]=1,2,IF(Scharniere[[#This Row],[ohne Feder]]=1,3,0))),1,0)</f>
        <v>0</v>
      </c>
      <c r="M1030" s="135">
        <f>IF(Scharniere[[#This Row],[Bohrbild]]=select!$O$334,1,0)</f>
        <v>0</v>
      </c>
      <c r="N1030" s="135">
        <f>IF(IF(Scharniere[[#This Row],[Anschrauben]]=1,1,IF(Scharniere[[#This Row],[Einpressen]]=1,2,IF(Scharniere[[#This Row],[Quick]]=1,3,IF(Scharniere[[#This Row],[Werkzeuglos]]=1,4,0))))=select!$E$362,1,0)</f>
        <v>1</v>
      </c>
      <c r="O103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0" s="298">
        <f>IF(AND(Scharniere[[#This Row],[Scharnierart]]=3,Scharniere[[#This Row],[Gruppenschlüssel]]=select!$A$747)=TRUE,1,0)</f>
        <v>1</v>
      </c>
      <c r="Q1030" s="298">
        <f ca="1">IF(select!$O$945&lt;6,1,0)</f>
        <v>1</v>
      </c>
      <c r="R1030" s="298">
        <f>IF(select!$A$778=IF(Scharniere[[#This Row],[mit Dämpfung]]=1,1,IF(Scharniere[[#This Row],[ohne Dämpfung]]=1,2,IF(Scharniere[[#This Row],[ohne Feder]]=1,3,0))),1,0)</f>
        <v>1</v>
      </c>
      <c r="S1030" s="298">
        <f>IF(Scharniere[[#This Row],[Bohrbild]]=select!$A$755,1,0)</f>
        <v>0</v>
      </c>
      <c r="T1030" s="298">
        <f>IF(IF(Scharniere[[#This Row],[Anschrauben]]=1,1,IF(Scharniere[[#This Row],[Einpressen]]=1,2,IF(Scharniere[[#This Row],[Quick]]=1,3,IF(Scharniere[[#This Row],[Werkzeuglos]]=1,4,0))))=select!$A$769,1,0)</f>
        <v>1</v>
      </c>
      <c r="U103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0" s="359">
        <f>IF(AND(Scharniere[[#This Row],[Scharnierart]]=4,Scharniere[[#This Row],[Gruppenschlüssel]]=select!$A$981)=TRUE,1,0)</f>
        <v>0</v>
      </c>
      <c r="W1030" s="359">
        <f ca="1">IF(select!$O$1185&lt;6,1,0)</f>
        <v>1</v>
      </c>
      <c r="X1030" s="359">
        <f>IF(select!$A$1012=IF(Scharniere[[#This Row],[mit Dämpfung]]=1,1,IF(Scharniere[[#This Row],[ohne Dämpfung]]=1,2,IF(Scharniere[[#This Row],[ohne Feder]]=1,3,0))),1,0)</f>
        <v>1</v>
      </c>
      <c r="Y1030" s="359">
        <f>IF(Scharniere[[#This Row],[Bohrbild]]=select!$A$989,1,0)</f>
        <v>0</v>
      </c>
      <c r="Z1030" s="359">
        <f>IF(IF(Scharniere[[#This Row],[Anschrauben]]=1,1,IF(Scharniere[[#This Row],[Einpressen]]=1,2,IF(Scharniere[[#This Row],[Quick]]=1,3,IF(Scharniere[[#This Row],[Werkzeuglos]]=1,4,0))))=select!$A$1003,1,0)</f>
        <v>1</v>
      </c>
      <c r="AA103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0" s="359">
        <f ca="1">IF(select!$K$980="*",Scharniere[[#This Row],[AG Ges2]],Scharniere[[#This Row],[AG Ges1]])</f>
        <v>0</v>
      </c>
      <c r="AE1030" s="451">
        <f ca="1">IF(AND(Scharniere[[#This Row],[Scharnierart]]=select!$A$1485,Scharniere[[#This Row],[Gruppenschlüssel]]=select!$B$1485)=TRUE,1,0)</f>
        <v>0</v>
      </c>
      <c r="AF1030" s="451">
        <f ca="1">IF(AND(Scharniere[[#This Row],[Scharnierart]]=select!$A$1486,Scharniere[[#This Row],[Gruppenschlüssel]]=select!$B$1486)=TRUE,1,0)</f>
        <v>0</v>
      </c>
      <c r="AG1030" s="451">
        <f ca="1">IF(AND(Scharniere[[#This Row],[Scharnierart]]=select!$A$1487,Scharniere[[#This Row],[Gruppenschlüssel]]=select!$B$1487)=TRUE,1,0)</f>
        <v>0</v>
      </c>
      <c r="AH1030" s="451">
        <f ca="1">IF(AND(Scharniere[[#This Row],[Scharnierart]]=select!$A$1488,Scharniere[[#This Row],[Gruppenschlüssel]]=select!$B$1488)=TRUE,1,0)</f>
        <v>0</v>
      </c>
      <c r="AI1030" s="451">
        <f ca="1">IF(SUM(Scharniere[[#This Row],[konf Scharnier 1]:[konf Scharnier 4]])&gt;0,1,0)</f>
        <v>0</v>
      </c>
      <c r="AJ1030" s="451"/>
      <c r="AK1030" s="451"/>
      <c r="AL1030" s="451"/>
      <c r="AM1030" s="451"/>
      <c r="AN1030" s="451"/>
      <c r="AO1030" s="146">
        <v>3</v>
      </c>
      <c r="AP1030" s="146">
        <v>1</v>
      </c>
      <c r="AQ1030" s="71" t="str">
        <f ca="1">Sprache!$A$118</f>
        <v>Tiomos Scharnier T Click-on</v>
      </c>
      <c r="AR1030" t="str">
        <f ca="1">"100°, "&amp;Sprache!$A$171&amp;",H-BB, K03, ni"</f>
        <v>100°, Kühlsch.,H-BB, K03, ni</v>
      </c>
      <c r="AS1030" t="str">
        <f ca="1">Sprache!$A$103</f>
        <v>Tiomos Click-On Scharniere</v>
      </c>
      <c r="AT1030">
        <v>3</v>
      </c>
      <c r="AU1030" t="s">
        <v>10</v>
      </c>
      <c r="AV1030" t="s">
        <v>1695</v>
      </c>
      <c r="AW1030" s="71">
        <v>0</v>
      </c>
      <c r="AX1030">
        <v>1</v>
      </c>
      <c r="AY1030">
        <v>0</v>
      </c>
      <c r="AZ1030" s="71">
        <v>1</v>
      </c>
      <c r="BA1030">
        <v>0</v>
      </c>
      <c r="BB1030">
        <v>0</v>
      </c>
      <c r="BC1030">
        <v>0</v>
      </c>
      <c r="BD1030" s="144" t="s">
        <v>1699</v>
      </c>
      <c r="BF1030" s="10"/>
      <c r="BG1030"/>
    </row>
    <row r="1031" spans="1:59" ht="14.25" customHeight="1" x14ac:dyDescent="0.25">
      <c r="A1031" s="37" t="str">
        <f>LEFT(Scharniere[[#This Row],[ArtikelNR]],4)</f>
        <v>F045</v>
      </c>
      <c r="B1031" s="35" t="str">
        <f>MID(Scharniere[[#This Row],[ArtikelNR]],5,3)</f>
        <v>139</v>
      </c>
      <c r="C1031" s="37" t="str">
        <f>RIGHT(Scharniere[[#This Row],[ArtikelNR]],3)</f>
        <v>055</v>
      </c>
      <c r="D1031" s="35">
        <f>IF(AND(Scharniere[[#This Row],[Gruppenschlüssel]]=select!$A$44,Scharniere[[#This Row],[Scharnierart]]=1)=TRUE,1,0)</f>
        <v>0</v>
      </c>
      <c r="E103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1" s="35">
        <f>IF(select!$F$57=IF(Scharniere[[#This Row],[mit Dämpfung]]=1,1,IF(Scharniere[[#This Row],[ohne Dämpfung]]=1,2,IF(Scharniere[[#This Row],[ohne Feder]]=1,3,0))),1,0)</f>
        <v>0</v>
      </c>
      <c r="G1031" s="35">
        <f>IF(Scharniere[[#This Row],[Bohrbild]]=select!$V$43,1,0)</f>
        <v>0</v>
      </c>
      <c r="H1031" s="35">
        <f>IF(IF(Scharniere[[#This Row],[Anschrauben]]=1,1,IF(Scharniere[[#This Row],[Einpressen]]=1,2,IF(Scharniere[[#This Row],[Quick]]=1,3,IF(Scharniere[[#This Row],[Werkzeuglos]]=1,4,0))))=select!$F$48,1,0)</f>
        <v>1</v>
      </c>
      <c r="I103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1" s="149">
        <f>IF(AND(Scharniere[[#This Row],[Scharnierart]]=2,Scharniere[[#This Row],[Gruppenschlüssel]]=select!$A$318)=TRUE,1,0)</f>
        <v>0</v>
      </c>
      <c r="K1031" s="221">
        <f ca="1">IF(select!$O$424&lt;6,1,0)</f>
        <v>1</v>
      </c>
      <c r="L1031" s="221">
        <f>IF(select!$A$362=IF(Scharniere[[#This Row],[mit Dämpfung]]=1,1,IF(Scharniere[[#This Row],[ohne Dämpfung]]=1,2,IF(Scharniere[[#This Row],[ohne Feder]]=1,3,0))),1,0)</f>
        <v>0</v>
      </c>
      <c r="M1031" s="135">
        <f>IF(Scharniere[[#This Row],[Bohrbild]]=select!$O$334,1,0)</f>
        <v>0</v>
      </c>
      <c r="N1031" s="135">
        <f>IF(IF(Scharniere[[#This Row],[Anschrauben]]=1,1,IF(Scharniere[[#This Row],[Einpressen]]=1,2,IF(Scharniere[[#This Row],[Quick]]=1,3,IF(Scharniere[[#This Row],[Werkzeuglos]]=1,4,0))))=select!$E$362,1,0)</f>
        <v>0</v>
      </c>
      <c r="O103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1" s="298">
        <f>IF(AND(Scharniere[[#This Row],[Scharnierart]]=3,Scharniere[[#This Row],[Gruppenschlüssel]]=select!$A$747)=TRUE,1,0)</f>
        <v>1</v>
      </c>
      <c r="Q1031" s="298">
        <f ca="1">IF(select!$O$945&lt;6,1,0)</f>
        <v>1</v>
      </c>
      <c r="R1031" s="298">
        <f>IF(select!$A$778=IF(Scharniere[[#This Row],[mit Dämpfung]]=1,1,IF(Scharniere[[#This Row],[ohne Dämpfung]]=1,2,IF(Scharniere[[#This Row],[ohne Feder]]=1,3,0))),1,0)</f>
        <v>1</v>
      </c>
      <c r="S1031" s="298">
        <f>IF(Scharniere[[#This Row],[Bohrbild]]=select!$A$755,1,0)</f>
        <v>0</v>
      </c>
      <c r="T1031" s="298">
        <f>IF(IF(Scharniere[[#This Row],[Anschrauben]]=1,1,IF(Scharniere[[#This Row],[Einpressen]]=1,2,IF(Scharniere[[#This Row],[Quick]]=1,3,IF(Scharniere[[#This Row],[Werkzeuglos]]=1,4,0))))=select!$A$769,1,0)</f>
        <v>0</v>
      </c>
      <c r="U103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1" s="359">
        <f>IF(AND(Scharniere[[#This Row],[Scharnierart]]=4,Scharniere[[#This Row],[Gruppenschlüssel]]=select!$A$981)=TRUE,1,0)</f>
        <v>0</v>
      </c>
      <c r="W1031" s="359">
        <f ca="1">IF(select!$O$1185&lt;6,1,0)</f>
        <v>1</v>
      </c>
      <c r="X1031" s="359">
        <f>IF(select!$A$1012=IF(Scharniere[[#This Row],[mit Dämpfung]]=1,1,IF(Scharniere[[#This Row],[ohne Dämpfung]]=1,2,IF(Scharniere[[#This Row],[ohne Feder]]=1,3,0))),1,0)</f>
        <v>1</v>
      </c>
      <c r="Y1031" s="359">
        <f>IF(Scharniere[[#This Row],[Bohrbild]]=select!$A$989,1,0)</f>
        <v>0</v>
      </c>
      <c r="Z1031" s="359">
        <f>IF(IF(Scharniere[[#This Row],[Anschrauben]]=1,1,IF(Scharniere[[#This Row],[Einpressen]]=1,2,IF(Scharniere[[#This Row],[Quick]]=1,3,IF(Scharniere[[#This Row],[Werkzeuglos]]=1,4,0))))=select!$A$1003,1,0)</f>
        <v>0</v>
      </c>
      <c r="AA103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1" s="359">
        <f ca="1">IF(select!$K$980="*",Scharniere[[#This Row],[AG Ges2]],Scharniere[[#This Row],[AG Ges1]])</f>
        <v>0</v>
      </c>
      <c r="AE1031" s="451">
        <f ca="1">IF(AND(Scharniere[[#This Row],[Scharnierart]]=select!$A$1485,Scharniere[[#This Row],[Gruppenschlüssel]]=select!$B$1485)=TRUE,1,0)</f>
        <v>0</v>
      </c>
      <c r="AF1031" s="451">
        <f ca="1">IF(AND(Scharniere[[#This Row],[Scharnierart]]=select!$A$1486,Scharniere[[#This Row],[Gruppenschlüssel]]=select!$B$1486)=TRUE,1,0)</f>
        <v>0</v>
      </c>
      <c r="AG1031" s="451">
        <f ca="1">IF(AND(Scharniere[[#This Row],[Scharnierart]]=select!$A$1487,Scharniere[[#This Row],[Gruppenschlüssel]]=select!$B$1487)=TRUE,1,0)</f>
        <v>0</v>
      </c>
      <c r="AH1031" s="451">
        <f ca="1">IF(AND(Scharniere[[#This Row],[Scharnierart]]=select!$A$1488,Scharniere[[#This Row],[Gruppenschlüssel]]=select!$B$1488)=TRUE,1,0)</f>
        <v>0</v>
      </c>
      <c r="AI1031" s="451">
        <f ca="1">IF(SUM(Scharniere[[#This Row],[konf Scharnier 1]:[konf Scharnier 4]])&gt;0,1,0)</f>
        <v>0</v>
      </c>
      <c r="AJ1031" s="451"/>
      <c r="AK1031" s="451"/>
      <c r="AL1031" s="451"/>
      <c r="AM1031" s="451"/>
      <c r="AN1031" s="451"/>
      <c r="AO1031" s="146">
        <v>3</v>
      </c>
      <c r="AP1031" s="146">
        <v>1</v>
      </c>
      <c r="AQ1031" s="71" t="str">
        <f ca="1">Sprache!$A$118</f>
        <v>Tiomos Scharnier T Click-on</v>
      </c>
      <c r="AR1031" s="3" t="str">
        <f ca="1">"100°, "&amp;Sprache!$A$171&amp;",H-BB,K03,Düb. ni"</f>
        <v>100°, Kühlsch.,H-BB,K03,Düb. ni</v>
      </c>
      <c r="AS1031" t="str">
        <f ca="1">Sprache!$A$103</f>
        <v>Tiomos Click-On Scharniere</v>
      </c>
      <c r="AT1031">
        <v>3</v>
      </c>
      <c r="AU1031" t="s">
        <v>10</v>
      </c>
      <c r="AV1031" t="s">
        <v>1788</v>
      </c>
      <c r="AW1031" s="71">
        <v>0</v>
      </c>
      <c r="AX1031">
        <v>1</v>
      </c>
      <c r="AY1031">
        <v>0</v>
      </c>
      <c r="AZ1031" s="71">
        <v>0</v>
      </c>
      <c r="BA1031">
        <v>1</v>
      </c>
      <c r="BB1031">
        <v>0</v>
      </c>
      <c r="BC1031">
        <v>0</v>
      </c>
      <c r="BD1031" s="144" t="s">
        <v>1792</v>
      </c>
      <c r="BF1031" s="10"/>
      <c r="BG1031"/>
    </row>
    <row r="1032" spans="1:59" ht="14.25" customHeight="1" x14ac:dyDescent="0.25">
      <c r="A1032" s="37" t="str">
        <f>LEFT(Scharniere[[#This Row],[ArtikelNR]],4)</f>
        <v>F045</v>
      </c>
      <c r="B1032" s="35" t="str">
        <f>MID(Scharniere[[#This Row],[ArtikelNR]],5,3)</f>
        <v>139</v>
      </c>
      <c r="C1032" s="37" t="str">
        <f>RIGHT(Scharniere[[#This Row],[ArtikelNR]],3)</f>
        <v>072</v>
      </c>
      <c r="D1032" s="35">
        <f>IF(AND(Scharniere[[#This Row],[Gruppenschlüssel]]=select!$A$44,Scharniere[[#This Row],[Scharnierart]]=1)=TRUE,1,0)</f>
        <v>0</v>
      </c>
      <c r="E103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2" s="35">
        <f>IF(select!$F$57=IF(Scharniere[[#This Row],[mit Dämpfung]]=1,1,IF(Scharniere[[#This Row],[ohne Dämpfung]]=1,2,IF(Scharniere[[#This Row],[ohne Feder]]=1,3,0))),1,0)</f>
        <v>0</v>
      </c>
      <c r="G1032" s="35">
        <f>IF(Scharniere[[#This Row],[Bohrbild]]=select!$V$43,1,0)</f>
        <v>1</v>
      </c>
      <c r="H1032" s="35">
        <f>IF(IF(Scharniere[[#This Row],[Anschrauben]]=1,1,IF(Scharniere[[#This Row],[Einpressen]]=1,2,IF(Scharniere[[#This Row],[Quick]]=1,3,IF(Scharniere[[#This Row],[Werkzeuglos]]=1,4,0))))=select!$F$48,1,0)</f>
        <v>0</v>
      </c>
      <c r="I103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2" s="149">
        <f>IF(AND(Scharniere[[#This Row],[Scharnierart]]=2,Scharniere[[#This Row],[Gruppenschlüssel]]=select!$A$318)=TRUE,1,0)</f>
        <v>0</v>
      </c>
      <c r="K1032" s="221">
        <f ca="1">IF(select!$O$424&lt;6,1,0)</f>
        <v>1</v>
      </c>
      <c r="L1032" s="221">
        <f>IF(select!$A$362=IF(Scharniere[[#This Row],[mit Dämpfung]]=1,1,IF(Scharniere[[#This Row],[ohne Dämpfung]]=1,2,IF(Scharniere[[#This Row],[ohne Feder]]=1,3,0))),1,0)</f>
        <v>0</v>
      </c>
      <c r="M1032" s="135">
        <f>IF(Scharniere[[#This Row],[Bohrbild]]=select!$O$334,1,0)</f>
        <v>1</v>
      </c>
      <c r="N1032" s="135">
        <f>IF(IF(Scharniere[[#This Row],[Anschrauben]]=1,1,IF(Scharniere[[#This Row],[Einpressen]]=1,2,IF(Scharniere[[#This Row],[Quick]]=1,3,IF(Scharniere[[#This Row],[Werkzeuglos]]=1,4,0))))=select!$E$362,1,0)</f>
        <v>1</v>
      </c>
      <c r="O103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2" s="298">
        <f>IF(AND(Scharniere[[#This Row],[Scharnierart]]=3,Scharniere[[#This Row],[Gruppenschlüssel]]=select!$A$747)=TRUE,1,0)</f>
        <v>1</v>
      </c>
      <c r="Q1032" s="298">
        <f ca="1">IF(select!$O$945&lt;6,1,0)</f>
        <v>1</v>
      </c>
      <c r="R1032" s="298">
        <f>IF(select!$A$778=IF(Scharniere[[#This Row],[mit Dämpfung]]=1,1,IF(Scharniere[[#This Row],[ohne Dämpfung]]=1,2,IF(Scharniere[[#This Row],[ohne Feder]]=1,3,0))),1,0)</f>
        <v>1</v>
      </c>
      <c r="S1032" s="298">
        <f>IF(Scharniere[[#This Row],[Bohrbild]]=select!$A$755,1,0)</f>
        <v>0</v>
      </c>
      <c r="T1032" s="298">
        <f>IF(IF(Scharniere[[#This Row],[Anschrauben]]=1,1,IF(Scharniere[[#This Row],[Einpressen]]=1,2,IF(Scharniere[[#This Row],[Quick]]=1,3,IF(Scharniere[[#This Row],[Werkzeuglos]]=1,4,0))))=select!$A$769,1,0)</f>
        <v>1</v>
      </c>
      <c r="U103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2" s="359">
        <f>IF(AND(Scharniere[[#This Row],[Scharnierart]]=4,Scharniere[[#This Row],[Gruppenschlüssel]]=select!$A$981)=TRUE,1,0)</f>
        <v>0</v>
      </c>
      <c r="W1032" s="359">
        <f ca="1">IF(select!$O$1185&lt;6,1,0)</f>
        <v>1</v>
      </c>
      <c r="X1032" s="359">
        <f>IF(select!$A$1012=IF(Scharniere[[#This Row],[mit Dämpfung]]=1,1,IF(Scharniere[[#This Row],[ohne Dämpfung]]=1,2,IF(Scharniere[[#This Row],[ohne Feder]]=1,3,0))),1,0)</f>
        <v>1</v>
      </c>
      <c r="Y1032" s="359">
        <f>IF(Scharniere[[#This Row],[Bohrbild]]=select!$A$989,1,0)</f>
        <v>0</v>
      </c>
      <c r="Z1032" s="359">
        <f>IF(IF(Scharniere[[#This Row],[Anschrauben]]=1,1,IF(Scharniere[[#This Row],[Einpressen]]=1,2,IF(Scharniere[[#This Row],[Quick]]=1,3,IF(Scharniere[[#This Row],[Werkzeuglos]]=1,4,0))))=select!$A$1003,1,0)</f>
        <v>1</v>
      </c>
      <c r="AA103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2" s="359">
        <f ca="1">IF(select!$K$980="*",Scharniere[[#This Row],[AG Ges2]],Scharniere[[#This Row],[AG Ges1]])</f>
        <v>0</v>
      </c>
      <c r="AE1032" s="451">
        <f ca="1">IF(AND(Scharniere[[#This Row],[Scharnierart]]=select!$A$1485,Scharniere[[#This Row],[Gruppenschlüssel]]=select!$B$1485)=TRUE,1,0)</f>
        <v>0</v>
      </c>
      <c r="AF1032" s="451">
        <f ca="1">IF(AND(Scharniere[[#This Row],[Scharnierart]]=select!$A$1486,Scharniere[[#This Row],[Gruppenschlüssel]]=select!$B$1486)=TRUE,1,0)</f>
        <v>0</v>
      </c>
      <c r="AG1032" s="451">
        <f ca="1">IF(AND(Scharniere[[#This Row],[Scharnierart]]=select!$A$1487,Scharniere[[#This Row],[Gruppenschlüssel]]=select!$B$1487)=TRUE,1,0)</f>
        <v>0</v>
      </c>
      <c r="AH1032" s="451">
        <f ca="1">IF(AND(Scharniere[[#This Row],[Scharnierart]]=select!$A$1488,Scharniere[[#This Row],[Gruppenschlüssel]]=select!$B$1488)=TRUE,1,0)</f>
        <v>0</v>
      </c>
      <c r="AI1032" s="451">
        <f ca="1">IF(SUM(Scharniere[[#This Row],[konf Scharnier 1]:[konf Scharnier 4]])&gt;0,1,0)</f>
        <v>0</v>
      </c>
      <c r="AJ1032" s="451"/>
      <c r="AK1032" s="451"/>
      <c r="AL1032" s="451"/>
      <c r="AM1032" s="451"/>
      <c r="AN1032" s="451"/>
      <c r="AO1032" s="146">
        <v>3</v>
      </c>
      <c r="AP1032" s="146">
        <v>1</v>
      </c>
      <c r="AQ1032" s="71" t="str">
        <f ca="1">Sprache!$A$118</f>
        <v>Tiomos Scharnier T Click-on</v>
      </c>
      <c r="AR1032" t="str">
        <f ca="1">"100°, "&amp;Sprache!$A$171&amp;",M-BB, K03, ni"</f>
        <v>100°, Kühlsch.,M-BB, K03, ni</v>
      </c>
      <c r="AS1032" t="str">
        <f ca="1">Sprache!$A$103</f>
        <v>Tiomos Click-On Scharniere</v>
      </c>
      <c r="AT1032">
        <v>3</v>
      </c>
      <c r="AU1032" t="s">
        <v>8</v>
      </c>
      <c r="AV1032" t="s">
        <v>1695</v>
      </c>
      <c r="AW1032" s="71">
        <v>0</v>
      </c>
      <c r="AX1032">
        <v>1</v>
      </c>
      <c r="AY1032">
        <v>0</v>
      </c>
      <c r="AZ1032" s="71">
        <v>1</v>
      </c>
      <c r="BA1032">
        <v>0</v>
      </c>
      <c r="BB1032">
        <v>0</v>
      </c>
      <c r="BC1032">
        <v>0</v>
      </c>
      <c r="BD1032" s="144" t="s">
        <v>1697</v>
      </c>
      <c r="BF1032" s="10"/>
      <c r="BG1032"/>
    </row>
    <row r="1033" spans="1:59" ht="14.25" customHeight="1" x14ac:dyDescent="0.25">
      <c r="A1033" s="37" t="str">
        <f>LEFT(Scharniere[[#This Row],[ArtikelNR]],4)</f>
        <v>F045</v>
      </c>
      <c r="B1033" s="35" t="str">
        <f>MID(Scharniere[[#This Row],[ArtikelNR]],5,3)</f>
        <v>139</v>
      </c>
      <c r="C1033" s="37" t="str">
        <f>RIGHT(Scharniere[[#This Row],[ArtikelNR]],3)</f>
        <v>053</v>
      </c>
      <c r="D1033" s="35">
        <f>IF(AND(Scharniere[[#This Row],[Gruppenschlüssel]]=select!$A$44,Scharniere[[#This Row],[Scharnierart]]=1)=TRUE,1,0)</f>
        <v>0</v>
      </c>
      <c r="E103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3" s="35">
        <f>IF(select!$F$57=IF(Scharniere[[#This Row],[mit Dämpfung]]=1,1,IF(Scharniere[[#This Row],[ohne Dämpfung]]=1,2,IF(Scharniere[[#This Row],[ohne Feder]]=1,3,0))),1,0)</f>
        <v>0</v>
      </c>
      <c r="G1033" s="35">
        <f>IF(Scharniere[[#This Row],[Bohrbild]]=select!$V$43,1,0)</f>
        <v>1</v>
      </c>
      <c r="H1033" s="35">
        <f>IF(IF(Scharniere[[#This Row],[Anschrauben]]=1,1,IF(Scharniere[[#This Row],[Einpressen]]=1,2,IF(Scharniere[[#This Row],[Quick]]=1,3,IF(Scharniere[[#This Row],[Werkzeuglos]]=1,4,0))))=select!$F$48,1,0)</f>
        <v>1</v>
      </c>
      <c r="I103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3" s="149">
        <f>IF(AND(Scharniere[[#This Row],[Scharnierart]]=2,Scharniere[[#This Row],[Gruppenschlüssel]]=select!$A$318)=TRUE,1,0)</f>
        <v>0</v>
      </c>
      <c r="K1033" s="221">
        <f ca="1">IF(select!$O$424&lt;6,1,0)</f>
        <v>1</v>
      </c>
      <c r="L1033" s="221">
        <f>IF(select!$A$362=IF(Scharniere[[#This Row],[mit Dämpfung]]=1,1,IF(Scharniere[[#This Row],[ohne Dämpfung]]=1,2,IF(Scharniere[[#This Row],[ohne Feder]]=1,3,0))),1,0)</f>
        <v>0</v>
      </c>
      <c r="M1033" s="135">
        <f>IF(Scharniere[[#This Row],[Bohrbild]]=select!$O$334,1,0)</f>
        <v>1</v>
      </c>
      <c r="N1033" s="135">
        <f>IF(IF(Scharniere[[#This Row],[Anschrauben]]=1,1,IF(Scharniere[[#This Row],[Einpressen]]=1,2,IF(Scharniere[[#This Row],[Quick]]=1,3,IF(Scharniere[[#This Row],[Werkzeuglos]]=1,4,0))))=select!$E$362,1,0)</f>
        <v>0</v>
      </c>
      <c r="O103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3" s="298">
        <f>IF(AND(Scharniere[[#This Row],[Scharnierart]]=3,Scharniere[[#This Row],[Gruppenschlüssel]]=select!$A$747)=TRUE,1,0)</f>
        <v>1</v>
      </c>
      <c r="Q1033" s="298">
        <f ca="1">IF(select!$O$945&lt;6,1,0)</f>
        <v>1</v>
      </c>
      <c r="R1033" s="298">
        <f>IF(select!$A$778=IF(Scharniere[[#This Row],[mit Dämpfung]]=1,1,IF(Scharniere[[#This Row],[ohne Dämpfung]]=1,2,IF(Scharniere[[#This Row],[ohne Feder]]=1,3,0))),1,0)</f>
        <v>1</v>
      </c>
      <c r="S1033" s="298">
        <f>IF(Scharniere[[#This Row],[Bohrbild]]=select!$A$755,1,0)</f>
        <v>0</v>
      </c>
      <c r="T1033" s="298">
        <f>IF(IF(Scharniere[[#This Row],[Anschrauben]]=1,1,IF(Scharniere[[#This Row],[Einpressen]]=1,2,IF(Scharniere[[#This Row],[Quick]]=1,3,IF(Scharniere[[#This Row],[Werkzeuglos]]=1,4,0))))=select!$A$769,1,0)</f>
        <v>0</v>
      </c>
      <c r="U103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3" s="359">
        <f>IF(AND(Scharniere[[#This Row],[Scharnierart]]=4,Scharniere[[#This Row],[Gruppenschlüssel]]=select!$A$981)=TRUE,1,0)</f>
        <v>0</v>
      </c>
      <c r="W1033" s="359">
        <f ca="1">IF(select!$O$1185&lt;6,1,0)</f>
        <v>1</v>
      </c>
      <c r="X1033" s="359">
        <f>IF(select!$A$1012=IF(Scharniere[[#This Row],[mit Dämpfung]]=1,1,IF(Scharniere[[#This Row],[ohne Dämpfung]]=1,2,IF(Scharniere[[#This Row],[ohne Feder]]=1,3,0))),1,0)</f>
        <v>1</v>
      </c>
      <c r="Y1033" s="359">
        <f>IF(Scharniere[[#This Row],[Bohrbild]]=select!$A$989,1,0)</f>
        <v>0</v>
      </c>
      <c r="Z1033" s="359">
        <f>IF(IF(Scharniere[[#This Row],[Anschrauben]]=1,1,IF(Scharniere[[#This Row],[Einpressen]]=1,2,IF(Scharniere[[#This Row],[Quick]]=1,3,IF(Scharniere[[#This Row],[Werkzeuglos]]=1,4,0))))=select!$A$1003,1,0)</f>
        <v>0</v>
      </c>
      <c r="AA103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3" s="359">
        <f ca="1">IF(select!$K$980="*",Scharniere[[#This Row],[AG Ges2]],Scharniere[[#This Row],[AG Ges1]])</f>
        <v>0</v>
      </c>
      <c r="AE1033" s="451">
        <f ca="1">IF(AND(Scharniere[[#This Row],[Scharnierart]]=select!$A$1485,Scharniere[[#This Row],[Gruppenschlüssel]]=select!$B$1485)=TRUE,1,0)</f>
        <v>0</v>
      </c>
      <c r="AF1033" s="451">
        <f ca="1">IF(AND(Scharniere[[#This Row],[Scharnierart]]=select!$A$1486,Scharniere[[#This Row],[Gruppenschlüssel]]=select!$B$1486)=TRUE,1,0)</f>
        <v>0</v>
      </c>
      <c r="AG1033" s="451">
        <f ca="1">IF(AND(Scharniere[[#This Row],[Scharnierart]]=select!$A$1487,Scharniere[[#This Row],[Gruppenschlüssel]]=select!$B$1487)=TRUE,1,0)</f>
        <v>0</v>
      </c>
      <c r="AH1033" s="451">
        <f ca="1">IF(AND(Scharniere[[#This Row],[Scharnierart]]=select!$A$1488,Scharniere[[#This Row],[Gruppenschlüssel]]=select!$B$1488)=TRUE,1,0)</f>
        <v>0</v>
      </c>
      <c r="AI1033" s="451">
        <f ca="1">IF(SUM(Scharniere[[#This Row],[konf Scharnier 1]:[konf Scharnier 4]])&gt;0,1,0)</f>
        <v>0</v>
      </c>
      <c r="AJ1033" s="451"/>
      <c r="AK1033" s="451"/>
      <c r="AL1033" s="451"/>
      <c r="AM1033" s="451"/>
      <c r="AN1033" s="451"/>
      <c r="AO1033" s="146">
        <v>3</v>
      </c>
      <c r="AP1033" s="146">
        <v>1</v>
      </c>
      <c r="AQ1033" s="71" t="str">
        <f ca="1">Sprache!$A$118</f>
        <v>Tiomos Scharnier T Click-on</v>
      </c>
      <c r="AR1033" s="3" t="str">
        <f ca="1">"100°, "&amp;Sprache!$A$171&amp;",M-BB,K03,Düb. ni"</f>
        <v>100°, Kühlsch.,M-BB,K03,Düb. ni</v>
      </c>
      <c r="AS1033" t="str">
        <f ca="1">Sprache!$A$103</f>
        <v>Tiomos Click-On Scharniere</v>
      </c>
      <c r="AT1033">
        <v>3</v>
      </c>
      <c r="AU1033" t="s">
        <v>8</v>
      </c>
      <c r="AV1033" t="s">
        <v>1788</v>
      </c>
      <c r="AW1033" s="71">
        <v>0</v>
      </c>
      <c r="AX1033">
        <v>1</v>
      </c>
      <c r="AY1033">
        <v>0</v>
      </c>
      <c r="AZ1033" s="71">
        <v>0</v>
      </c>
      <c r="BA1033">
        <v>1</v>
      </c>
      <c r="BB1033">
        <v>0</v>
      </c>
      <c r="BC1033">
        <v>0</v>
      </c>
      <c r="BD1033" s="144" t="s">
        <v>1790</v>
      </c>
      <c r="BF1033" s="10"/>
      <c r="BG1033"/>
    </row>
    <row r="1034" spans="1:59" ht="14.25" customHeight="1" x14ac:dyDescent="0.25">
      <c r="A1034" s="37" t="str">
        <f>LEFT(Scharniere[[#This Row],[ArtikelNR]],4)</f>
        <v>F045</v>
      </c>
      <c r="B1034" s="35" t="str">
        <f>MID(Scharniere[[#This Row],[ArtikelNR]],5,3)</f>
        <v>139</v>
      </c>
      <c r="C1034" s="37" t="str">
        <f>RIGHT(Scharniere[[#This Row],[ArtikelNR]],3)</f>
        <v>075</v>
      </c>
      <c r="D1034" s="35">
        <f>IF(AND(Scharniere[[#This Row],[Gruppenschlüssel]]=select!$A$44,Scharniere[[#This Row],[Scharnierart]]=1)=TRUE,1,0)</f>
        <v>0</v>
      </c>
      <c r="E103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4" s="35">
        <f>IF(select!$F$57=IF(Scharniere[[#This Row],[mit Dämpfung]]=1,1,IF(Scharniere[[#This Row],[ohne Dämpfung]]=1,2,IF(Scharniere[[#This Row],[ohne Feder]]=1,3,0))),1,0)</f>
        <v>0</v>
      </c>
      <c r="G1034" s="35">
        <f>IF(Scharniere[[#This Row],[Bohrbild]]=select!$V$43,1,0)</f>
        <v>0</v>
      </c>
      <c r="H1034" s="35">
        <f>IF(IF(Scharniere[[#This Row],[Anschrauben]]=1,1,IF(Scharniere[[#This Row],[Einpressen]]=1,2,IF(Scharniere[[#This Row],[Quick]]=1,3,IF(Scharniere[[#This Row],[Werkzeuglos]]=1,4,0))))=select!$F$48,1,0)</f>
        <v>0</v>
      </c>
      <c r="I103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4" s="149">
        <f>IF(AND(Scharniere[[#This Row],[Scharnierart]]=2,Scharniere[[#This Row],[Gruppenschlüssel]]=select!$A$318)=TRUE,1,0)</f>
        <v>0</v>
      </c>
      <c r="K1034" s="221">
        <f ca="1">IF(select!$O$424&lt;6,1,0)</f>
        <v>1</v>
      </c>
      <c r="L1034" s="221">
        <f>IF(select!$A$362=IF(Scharniere[[#This Row],[mit Dämpfung]]=1,1,IF(Scharniere[[#This Row],[ohne Dämpfung]]=1,2,IF(Scharniere[[#This Row],[ohne Feder]]=1,3,0))),1,0)</f>
        <v>0</v>
      </c>
      <c r="M1034" s="135">
        <f>IF(Scharniere[[#This Row],[Bohrbild]]=select!$O$334,1,0)</f>
        <v>0</v>
      </c>
      <c r="N1034" s="135">
        <f>IF(IF(Scharniere[[#This Row],[Anschrauben]]=1,1,IF(Scharniere[[#This Row],[Einpressen]]=1,2,IF(Scharniere[[#This Row],[Quick]]=1,3,IF(Scharniere[[#This Row],[Werkzeuglos]]=1,4,0))))=select!$E$362,1,0)</f>
        <v>1</v>
      </c>
      <c r="O103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4" s="298">
        <f>IF(AND(Scharniere[[#This Row],[Scharnierart]]=3,Scharniere[[#This Row],[Gruppenschlüssel]]=select!$A$747)=TRUE,1,0)</f>
        <v>1</v>
      </c>
      <c r="Q1034" s="298">
        <f ca="1">IF(select!$O$945&lt;6,1,0)</f>
        <v>1</v>
      </c>
      <c r="R1034" s="298">
        <f>IF(select!$A$778=IF(Scharniere[[#This Row],[mit Dämpfung]]=1,1,IF(Scharniere[[#This Row],[ohne Dämpfung]]=1,2,IF(Scharniere[[#This Row],[ohne Feder]]=1,3,0))),1,0)</f>
        <v>1</v>
      </c>
      <c r="S1034" s="298">
        <f>IF(Scharniere[[#This Row],[Bohrbild]]=select!$A$755,1,0)</f>
        <v>0</v>
      </c>
      <c r="T1034" s="298">
        <f>IF(IF(Scharniere[[#This Row],[Anschrauben]]=1,1,IF(Scharniere[[#This Row],[Einpressen]]=1,2,IF(Scharniere[[#This Row],[Quick]]=1,3,IF(Scharniere[[#This Row],[Werkzeuglos]]=1,4,0))))=select!$A$769,1,0)</f>
        <v>1</v>
      </c>
      <c r="U103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4" s="359">
        <f>IF(AND(Scharniere[[#This Row],[Scharnierart]]=4,Scharniere[[#This Row],[Gruppenschlüssel]]=select!$A$981)=TRUE,1,0)</f>
        <v>0</v>
      </c>
      <c r="W1034" s="359">
        <f ca="1">IF(select!$O$1185&lt;6,1,0)</f>
        <v>1</v>
      </c>
      <c r="X1034" s="359">
        <f>IF(select!$A$1012=IF(Scharniere[[#This Row],[mit Dämpfung]]=1,1,IF(Scharniere[[#This Row],[ohne Dämpfung]]=1,2,IF(Scharniere[[#This Row],[ohne Feder]]=1,3,0))),1,0)</f>
        <v>1</v>
      </c>
      <c r="Y1034" s="359">
        <f>IF(Scharniere[[#This Row],[Bohrbild]]=select!$A$989,1,0)</f>
        <v>0</v>
      </c>
      <c r="Z1034" s="359">
        <f>IF(IF(Scharniere[[#This Row],[Anschrauben]]=1,1,IF(Scharniere[[#This Row],[Einpressen]]=1,2,IF(Scharniere[[#This Row],[Quick]]=1,3,IF(Scharniere[[#This Row],[Werkzeuglos]]=1,4,0))))=select!$A$1003,1,0)</f>
        <v>1</v>
      </c>
      <c r="AA103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4" s="359">
        <f ca="1">IF(select!$K$980="*",Scharniere[[#This Row],[AG Ges2]],Scharniere[[#This Row],[AG Ges1]])</f>
        <v>0</v>
      </c>
      <c r="AE1034" s="451">
        <f ca="1">IF(AND(Scharniere[[#This Row],[Scharnierart]]=select!$A$1485,Scharniere[[#This Row],[Gruppenschlüssel]]=select!$B$1485)=TRUE,1,0)</f>
        <v>0</v>
      </c>
      <c r="AF1034" s="451">
        <f ca="1">IF(AND(Scharniere[[#This Row],[Scharnierart]]=select!$A$1486,Scharniere[[#This Row],[Gruppenschlüssel]]=select!$B$1486)=TRUE,1,0)</f>
        <v>0</v>
      </c>
      <c r="AG1034" s="451">
        <f ca="1">IF(AND(Scharniere[[#This Row],[Scharnierart]]=select!$A$1487,Scharniere[[#This Row],[Gruppenschlüssel]]=select!$B$1487)=TRUE,1,0)</f>
        <v>0</v>
      </c>
      <c r="AH1034" s="451">
        <f ca="1">IF(AND(Scharniere[[#This Row],[Scharnierart]]=select!$A$1488,Scharniere[[#This Row],[Gruppenschlüssel]]=select!$B$1488)=TRUE,1,0)</f>
        <v>0</v>
      </c>
      <c r="AI1034" s="451">
        <f ca="1">IF(SUM(Scharniere[[#This Row],[konf Scharnier 1]:[konf Scharnier 4]])&gt;0,1,0)</f>
        <v>0</v>
      </c>
      <c r="AJ1034" s="451"/>
      <c r="AK1034" s="451"/>
      <c r="AL1034" s="451"/>
      <c r="AM1034" s="451"/>
      <c r="AN1034" s="451"/>
      <c r="AO1034" s="146">
        <v>3</v>
      </c>
      <c r="AP1034" s="146">
        <v>1</v>
      </c>
      <c r="AQ1034" s="71" t="str">
        <f ca="1">Sprache!$A$118</f>
        <v>Tiomos Scharnier T Click-on</v>
      </c>
      <c r="AR1034" s="3" t="str">
        <f ca="1">"100°, "&amp;Sprache!$A$171&amp;",S-BB, K03, ni"</f>
        <v>100°, Kühlsch.,S-BB, K03, ni</v>
      </c>
      <c r="AS1034" t="str">
        <f ca="1">Sprache!$A$103</f>
        <v>Tiomos Click-On Scharniere</v>
      </c>
      <c r="AT1034">
        <v>3</v>
      </c>
      <c r="AU1034" t="s">
        <v>11</v>
      </c>
      <c r="AV1034" t="s">
        <v>1788</v>
      </c>
      <c r="AW1034" s="71">
        <v>0</v>
      </c>
      <c r="AX1034">
        <v>1</v>
      </c>
      <c r="AY1034">
        <v>0</v>
      </c>
      <c r="AZ1034" s="71">
        <v>1</v>
      </c>
      <c r="BA1034">
        <v>0</v>
      </c>
      <c r="BB1034">
        <v>0</v>
      </c>
      <c r="BC1034">
        <v>0</v>
      </c>
      <c r="BD1034" s="144" t="s">
        <v>1795</v>
      </c>
      <c r="BF1034" s="10"/>
      <c r="BG1034"/>
    </row>
    <row r="1035" spans="1:59" ht="14.25" customHeight="1" x14ac:dyDescent="0.25">
      <c r="A1035" s="37" t="str">
        <f>LEFT(Scharniere[[#This Row],[ArtikelNR]],4)</f>
        <v>F045</v>
      </c>
      <c r="B1035" s="35" t="str">
        <f>MID(Scharniere[[#This Row],[ArtikelNR]],5,3)</f>
        <v>139</v>
      </c>
      <c r="C1035" s="37" t="str">
        <f>RIGHT(Scharniere[[#This Row],[ArtikelNR]],3)</f>
        <v>056</v>
      </c>
      <c r="D1035" s="35">
        <f>IF(AND(Scharniere[[#This Row],[Gruppenschlüssel]]=select!$A$44,Scharniere[[#This Row],[Scharnierart]]=1)=TRUE,1,0)</f>
        <v>0</v>
      </c>
      <c r="E103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5" s="35">
        <f>IF(select!$F$57=IF(Scharniere[[#This Row],[mit Dämpfung]]=1,1,IF(Scharniere[[#This Row],[ohne Dämpfung]]=1,2,IF(Scharniere[[#This Row],[ohne Feder]]=1,3,0))),1,0)</f>
        <v>0</v>
      </c>
      <c r="G1035" s="35">
        <f>IF(Scharniere[[#This Row],[Bohrbild]]=select!$V$43,1,0)</f>
        <v>0</v>
      </c>
      <c r="H1035" s="35">
        <f>IF(IF(Scharniere[[#This Row],[Anschrauben]]=1,1,IF(Scharniere[[#This Row],[Einpressen]]=1,2,IF(Scharniere[[#This Row],[Quick]]=1,3,IF(Scharniere[[#This Row],[Werkzeuglos]]=1,4,0))))=select!$F$48,1,0)</f>
        <v>1</v>
      </c>
      <c r="I103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5" s="149">
        <f>IF(AND(Scharniere[[#This Row],[Scharnierart]]=2,Scharniere[[#This Row],[Gruppenschlüssel]]=select!$A$318)=TRUE,1,0)</f>
        <v>0</v>
      </c>
      <c r="K1035" s="221">
        <f ca="1">IF(select!$O$424&lt;6,1,0)</f>
        <v>1</v>
      </c>
      <c r="L1035" s="221">
        <f>IF(select!$A$362=IF(Scharniere[[#This Row],[mit Dämpfung]]=1,1,IF(Scharniere[[#This Row],[ohne Dämpfung]]=1,2,IF(Scharniere[[#This Row],[ohne Feder]]=1,3,0))),1,0)</f>
        <v>0</v>
      </c>
      <c r="M1035" s="135">
        <f>IF(Scharniere[[#This Row],[Bohrbild]]=select!$O$334,1,0)</f>
        <v>0</v>
      </c>
      <c r="N1035" s="135">
        <f>IF(IF(Scharniere[[#This Row],[Anschrauben]]=1,1,IF(Scharniere[[#This Row],[Einpressen]]=1,2,IF(Scharniere[[#This Row],[Quick]]=1,3,IF(Scharniere[[#This Row],[Werkzeuglos]]=1,4,0))))=select!$E$362,1,0)</f>
        <v>0</v>
      </c>
      <c r="O103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5" s="298">
        <f>IF(AND(Scharniere[[#This Row],[Scharnierart]]=3,Scharniere[[#This Row],[Gruppenschlüssel]]=select!$A$747)=TRUE,1,0)</f>
        <v>1</v>
      </c>
      <c r="Q1035" s="298">
        <f ca="1">IF(select!$O$945&lt;6,1,0)</f>
        <v>1</v>
      </c>
      <c r="R1035" s="298">
        <f>IF(select!$A$778=IF(Scharniere[[#This Row],[mit Dämpfung]]=1,1,IF(Scharniere[[#This Row],[ohne Dämpfung]]=1,2,IF(Scharniere[[#This Row],[ohne Feder]]=1,3,0))),1,0)</f>
        <v>1</v>
      </c>
      <c r="S1035" s="298">
        <f>IF(Scharniere[[#This Row],[Bohrbild]]=select!$A$755,1,0)</f>
        <v>0</v>
      </c>
      <c r="T1035" s="298">
        <f>IF(IF(Scharniere[[#This Row],[Anschrauben]]=1,1,IF(Scharniere[[#This Row],[Einpressen]]=1,2,IF(Scharniere[[#This Row],[Quick]]=1,3,IF(Scharniere[[#This Row],[Werkzeuglos]]=1,4,0))))=select!$A$769,1,0)</f>
        <v>0</v>
      </c>
      <c r="U103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5" s="359">
        <f>IF(AND(Scharniere[[#This Row],[Scharnierart]]=4,Scharniere[[#This Row],[Gruppenschlüssel]]=select!$A$981)=TRUE,1,0)</f>
        <v>0</v>
      </c>
      <c r="W1035" s="359">
        <f ca="1">IF(select!$O$1185&lt;6,1,0)</f>
        <v>1</v>
      </c>
      <c r="X1035" s="359">
        <f>IF(select!$A$1012=IF(Scharniere[[#This Row],[mit Dämpfung]]=1,1,IF(Scharniere[[#This Row],[ohne Dämpfung]]=1,2,IF(Scharniere[[#This Row],[ohne Feder]]=1,3,0))),1,0)</f>
        <v>1</v>
      </c>
      <c r="Y1035" s="359">
        <f>IF(Scharniere[[#This Row],[Bohrbild]]=select!$A$989,1,0)</f>
        <v>0</v>
      </c>
      <c r="Z1035" s="359">
        <f>IF(IF(Scharniere[[#This Row],[Anschrauben]]=1,1,IF(Scharniere[[#This Row],[Einpressen]]=1,2,IF(Scharniere[[#This Row],[Quick]]=1,3,IF(Scharniere[[#This Row],[Werkzeuglos]]=1,4,0))))=select!$A$1003,1,0)</f>
        <v>0</v>
      </c>
      <c r="AA103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5" s="359">
        <f ca="1">IF(select!$K$980="*",Scharniere[[#This Row],[AG Ges2]],Scharniere[[#This Row],[AG Ges1]])</f>
        <v>0</v>
      </c>
      <c r="AE1035" s="451">
        <f ca="1">IF(AND(Scharniere[[#This Row],[Scharnierart]]=select!$A$1485,Scharniere[[#This Row],[Gruppenschlüssel]]=select!$B$1485)=TRUE,1,0)</f>
        <v>0</v>
      </c>
      <c r="AF1035" s="451">
        <f ca="1">IF(AND(Scharniere[[#This Row],[Scharnierart]]=select!$A$1486,Scharniere[[#This Row],[Gruppenschlüssel]]=select!$B$1486)=TRUE,1,0)</f>
        <v>0</v>
      </c>
      <c r="AG1035" s="451">
        <f ca="1">IF(AND(Scharniere[[#This Row],[Scharnierart]]=select!$A$1487,Scharniere[[#This Row],[Gruppenschlüssel]]=select!$B$1487)=TRUE,1,0)</f>
        <v>0</v>
      </c>
      <c r="AH1035" s="451">
        <f ca="1">IF(AND(Scharniere[[#This Row],[Scharnierart]]=select!$A$1488,Scharniere[[#This Row],[Gruppenschlüssel]]=select!$B$1488)=TRUE,1,0)</f>
        <v>0</v>
      </c>
      <c r="AI1035" s="451">
        <f ca="1">IF(SUM(Scharniere[[#This Row],[konf Scharnier 1]:[konf Scharnier 4]])&gt;0,1,0)</f>
        <v>0</v>
      </c>
      <c r="AJ1035" s="451"/>
      <c r="AK1035" s="451"/>
      <c r="AL1035" s="451"/>
      <c r="AM1035" s="451"/>
      <c r="AN1035" s="451"/>
      <c r="AO1035" s="146">
        <v>3</v>
      </c>
      <c r="AP1035" s="146">
        <v>1</v>
      </c>
      <c r="AQ1035" s="71" t="str">
        <f ca="1">Sprache!$A$118</f>
        <v>Tiomos Scharnier T Click-on</v>
      </c>
      <c r="AR1035" s="3" t="str">
        <f ca="1">"100°, "&amp;Sprache!$A$171&amp;",S-BB,K03,Düb. ni"</f>
        <v>100°, Kühlsch.,S-BB,K03,Düb. ni</v>
      </c>
      <c r="AS1035" t="str">
        <f ca="1">Sprache!$A$103</f>
        <v>Tiomos Click-On Scharniere</v>
      </c>
      <c r="AT1035">
        <v>3</v>
      </c>
      <c r="AU1035" t="s">
        <v>11</v>
      </c>
      <c r="AV1035" t="s">
        <v>1788</v>
      </c>
      <c r="AW1035" s="71">
        <v>0</v>
      </c>
      <c r="AX1035">
        <v>1</v>
      </c>
      <c r="AY1035">
        <v>0</v>
      </c>
      <c r="AZ1035" s="71">
        <v>0</v>
      </c>
      <c r="BA1035">
        <v>1</v>
      </c>
      <c r="BB1035">
        <v>0</v>
      </c>
      <c r="BC1035">
        <v>0</v>
      </c>
      <c r="BD1035" s="144" t="s">
        <v>1793</v>
      </c>
      <c r="BF1035" s="10"/>
      <c r="BG1035"/>
    </row>
    <row r="1036" spans="1:59" ht="14.25" customHeight="1" x14ac:dyDescent="0.25">
      <c r="A1036" s="37" t="str">
        <f>LEFT(Scharniere[[#This Row],[ArtikelNR]],4)</f>
        <v>F045</v>
      </c>
      <c r="B1036" s="35" t="str">
        <f>MID(Scharniere[[#This Row],[ArtikelNR]],5,3)</f>
        <v>138</v>
      </c>
      <c r="C1036" s="37" t="str">
        <f>RIGHT(Scharniere[[#This Row],[ArtikelNR]],3)</f>
        <v>518</v>
      </c>
      <c r="D1036" s="35">
        <f>IF(AND(Scharniere[[#This Row],[Gruppenschlüssel]]=select!$A$44,Scharniere[[#This Row],[Scharnierart]]=1)=TRUE,1,0)</f>
        <v>0</v>
      </c>
      <c r="E103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6" s="35">
        <f>IF(select!$F$57=IF(Scharniere[[#This Row],[mit Dämpfung]]=1,1,IF(Scharniere[[#This Row],[ohne Dämpfung]]=1,2,IF(Scharniere[[#This Row],[ohne Feder]]=1,3,0))),1,0)</f>
        <v>0</v>
      </c>
      <c r="G1036" s="35">
        <f>IF(Scharniere[[#This Row],[Bohrbild]]=select!$V$43,1,0)</f>
        <v>0</v>
      </c>
      <c r="H1036" s="35">
        <f>IF(IF(Scharniere[[#This Row],[Anschrauben]]=1,1,IF(Scharniere[[#This Row],[Einpressen]]=1,2,IF(Scharniere[[#This Row],[Quick]]=1,3,IF(Scharniere[[#This Row],[Werkzeuglos]]=1,4,0))))=select!$F$48,1,0)</f>
        <v>1</v>
      </c>
      <c r="I103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6" s="149">
        <f>IF(AND(Scharniere[[#This Row],[Scharnierart]]=2,Scharniere[[#This Row],[Gruppenschlüssel]]=select!$A$318)=TRUE,1,0)</f>
        <v>0</v>
      </c>
      <c r="K1036" s="221">
        <f ca="1">IF(select!$O$424&lt;6,1,0)</f>
        <v>1</v>
      </c>
      <c r="L1036" s="221">
        <f>IF(select!$A$362=IF(Scharniere[[#This Row],[mit Dämpfung]]=1,1,IF(Scharniere[[#This Row],[ohne Dämpfung]]=1,2,IF(Scharniere[[#This Row],[ohne Feder]]=1,3,0))),1,0)</f>
        <v>0</v>
      </c>
      <c r="M1036" s="135">
        <f>IF(Scharniere[[#This Row],[Bohrbild]]=select!$O$334,1,0)</f>
        <v>0</v>
      </c>
      <c r="N1036" s="135">
        <f>IF(IF(Scharniere[[#This Row],[Anschrauben]]=1,1,IF(Scharniere[[#This Row],[Einpressen]]=1,2,IF(Scharniere[[#This Row],[Quick]]=1,3,IF(Scharniere[[#This Row],[Werkzeuglos]]=1,4,0))))=select!$E$362,1,0)</f>
        <v>0</v>
      </c>
      <c r="O103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6" s="298">
        <f>IF(AND(Scharniere[[#This Row],[Scharnierart]]=3,Scharniere[[#This Row],[Gruppenschlüssel]]=select!$A$747)=TRUE,1,0)</f>
        <v>0</v>
      </c>
      <c r="Q1036" s="298">
        <f ca="1">IF(select!$O$945&lt;6,1,0)</f>
        <v>1</v>
      </c>
      <c r="R1036" s="298">
        <f>IF(select!$A$778=IF(Scharniere[[#This Row],[mit Dämpfung]]=1,1,IF(Scharniere[[#This Row],[ohne Dämpfung]]=1,2,IF(Scharniere[[#This Row],[ohne Feder]]=1,3,0))),1,0)</f>
        <v>1</v>
      </c>
      <c r="S1036" s="298">
        <f>IF(Scharniere[[#This Row],[Bohrbild]]=select!$A$755,1,0)</f>
        <v>0</v>
      </c>
      <c r="T1036" s="298">
        <f>IF(IF(Scharniere[[#This Row],[Anschrauben]]=1,1,IF(Scharniere[[#This Row],[Einpressen]]=1,2,IF(Scharniere[[#This Row],[Quick]]=1,3,IF(Scharniere[[#This Row],[Werkzeuglos]]=1,4,0))))=select!$A$769,1,0)</f>
        <v>0</v>
      </c>
      <c r="U103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6" s="359">
        <f>IF(AND(Scharniere[[#This Row],[Scharnierart]]=4,Scharniere[[#This Row],[Gruppenschlüssel]]=select!$A$981)=TRUE,1,0)</f>
        <v>0</v>
      </c>
      <c r="W1036" s="359">
        <f ca="1">IF(select!$O$1185&lt;6,1,0)</f>
        <v>1</v>
      </c>
      <c r="X1036" s="359">
        <f>IF(select!$A$1012=IF(Scharniere[[#This Row],[mit Dämpfung]]=1,1,IF(Scharniere[[#This Row],[ohne Dämpfung]]=1,2,IF(Scharniere[[#This Row],[ohne Feder]]=1,3,0))),1,0)</f>
        <v>1</v>
      </c>
      <c r="Y1036" s="359">
        <f>IF(Scharniere[[#This Row],[Bohrbild]]=select!$A$989,1,0)</f>
        <v>0</v>
      </c>
      <c r="Z1036" s="359">
        <f>IF(IF(Scharniere[[#This Row],[Anschrauben]]=1,1,IF(Scharniere[[#This Row],[Einpressen]]=1,2,IF(Scharniere[[#This Row],[Quick]]=1,3,IF(Scharniere[[#This Row],[Werkzeuglos]]=1,4,0))))=select!$A$1003,1,0)</f>
        <v>0</v>
      </c>
      <c r="AA103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6" s="359">
        <f ca="1">IF(select!$K$980="*",Scharniere[[#This Row],[AG Ges2]],Scharniere[[#This Row],[AG Ges1]])</f>
        <v>0</v>
      </c>
      <c r="AE1036" s="451">
        <f ca="1">IF(AND(Scharniere[[#This Row],[Scharnierart]]=select!$A$1485,Scharniere[[#This Row],[Gruppenschlüssel]]=select!$B$1485)=TRUE,1,0)</f>
        <v>0</v>
      </c>
      <c r="AF1036" s="451">
        <f ca="1">IF(AND(Scharniere[[#This Row],[Scharnierart]]=select!$A$1486,Scharniere[[#This Row],[Gruppenschlüssel]]=select!$B$1486)=TRUE,1,0)</f>
        <v>0</v>
      </c>
      <c r="AG1036" s="451">
        <f ca="1">IF(AND(Scharniere[[#This Row],[Scharnierart]]=select!$A$1487,Scharniere[[#This Row],[Gruppenschlüssel]]=select!$B$1487)=TRUE,1,0)</f>
        <v>0</v>
      </c>
      <c r="AH1036" s="451">
        <f ca="1">IF(AND(Scharniere[[#This Row],[Scharnierart]]=select!$A$1488,Scharniere[[#This Row],[Gruppenschlüssel]]=select!$B$1488)=TRUE,1,0)</f>
        <v>0</v>
      </c>
      <c r="AI1036" s="451">
        <f ca="1">IF(SUM(Scharniere[[#This Row],[konf Scharnier 1]:[konf Scharnier 4]])&gt;0,1,0)</f>
        <v>0</v>
      </c>
      <c r="AJ1036" s="451"/>
      <c r="AK1036" s="451"/>
      <c r="AL1036" s="451"/>
      <c r="AM1036" s="451"/>
      <c r="AN1036" s="451"/>
      <c r="AO1036" s="146">
        <v>3</v>
      </c>
      <c r="AP1036" s="146">
        <v>2</v>
      </c>
      <c r="AQ1036" s="71" t="str">
        <f ca="1">Sprache!$A$118</f>
        <v>Tiomos Scharnier T Click-on</v>
      </c>
      <c r="AR1036" t="str">
        <f ca="1">"90° PCC, B-BB, "&amp;Sprache!$A$181&amp;", ni"</f>
        <v>90° PCC, B-BB, Dübel, ni</v>
      </c>
      <c r="AS1036" t="str">
        <f ca="1">Sprache!$A$103</f>
        <v>Tiomos Click-On Scharniere</v>
      </c>
      <c r="AT1036" t="s">
        <v>1264</v>
      </c>
      <c r="AU1036" t="s">
        <v>3</v>
      </c>
      <c r="AV1036" t="s">
        <v>1264</v>
      </c>
      <c r="AW1036" s="71">
        <v>0</v>
      </c>
      <c r="AX1036">
        <v>1</v>
      </c>
      <c r="AY1036">
        <v>0</v>
      </c>
      <c r="AZ1036" s="71">
        <v>0</v>
      </c>
      <c r="BA1036">
        <v>1</v>
      </c>
      <c r="BB1036">
        <v>0</v>
      </c>
      <c r="BC1036">
        <v>0</v>
      </c>
      <c r="BD1036" s="144" t="s">
        <v>1662</v>
      </c>
      <c r="BF1036" s="10"/>
      <c r="BG1036"/>
    </row>
    <row r="1037" spans="1:59" ht="14.25" customHeight="1" x14ac:dyDescent="0.25">
      <c r="A1037" s="37" t="str">
        <f>LEFT(Scharniere[[#This Row],[ArtikelNR]],4)</f>
        <v>F045</v>
      </c>
      <c r="B1037" s="35" t="str">
        <f>MID(Scharniere[[#This Row],[ArtikelNR]],5,3)</f>
        <v>138</v>
      </c>
      <c r="C1037" s="37" t="str">
        <f>RIGHT(Scharniere[[#This Row],[ArtikelNR]],3)</f>
        <v>517</v>
      </c>
      <c r="D1037" s="35">
        <f>IF(AND(Scharniere[[#This Row],[Gruppenschlüssel]]=select!$A$44,Scharniere[[#This Row],[Scharnierart]]=1)=TRUE,1,0)</f>
        <v>0</v>
      </c>
      <c r="E103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7" s="35">
        <f>IF(select!$F$57=IF(Scharniere[[#This Row],[mit Dämpfung]]=1,1,IF(Scharniere[[#This Row],[ohne Dämpfung]]=1,2,IF(Scharniere[[#This Row],[ohne Feder]]=1,3,0))),1,0)</f>
        <v>0</v>
      </c>
      <c r="G1037" s="35">
        <f>IF(Scharniere[[#This Row],[Bohrbild]]=select!$V$43,1,0)</f>
        <v>0</v>
      </c>
      <c r="H1037" s="35">
        <f>IF(IF(Scharniere[[#This Row],[Anschrauben]]=1,1,IF(Scharniere[[#This Row],[Einpressen]]=1,2,IF(Scharniere[[#This Row],[Quick]]=1,3,IF(Scharniere[[#This Row],[Werkzeuglos]]=1,4,0))))=select!$F$48,1,0)</f>
        <v>0</v>
      </c>
      <c r="I103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7" s="149">
        <f>IF(AND(Scharniere[[#This Row],[Scharnierart]]=2,Scharniere[[#This Row],[Gruppenschlüssel]]=select!$A$318)=TRUE,1,0)</f>
        <v>0</v>
      </c>
      <c r="K1037" s="221">
        <f ca="1">IF(select!$O$424&lt;6,1,0)</f>
        <v>1</v>
      </c>
      <c r="L1037" s="221">
        <f>IF(select!$A$362=IF(Scharniere[[#This Row],[mit Dämpfung]]=1,1,IF(Scharniere[[#This Row],[ohne Dämpfung]]=1,2,IF(Scharniere[[#This Row],[ohne Feder]]=1,3,0))),1,0)</f>
        <v>0</v>
      </c>
      <c r="M1037" s="135">
        <f>IF(Scharniere[[#This Row],[Bohrbild]]=select!$O$334,1,0)</f>
        <v>0</v>
      </c>
      <c r="N1037" s="135">
        <f>IF(IF(Scharniere[[#This Row],[Anschrauben]]=1,1,IF(Scharniere[[#This Row],[Einpressen]]=1,2,IF(Scharniere[[#This Row],[Quick]]=1,3,IF(Scharniere[[#This Row],[Werkzeuglos]]=1,4,0))))=select!$E$362,1,0)</f>
        <v>1</v>
      </c>
      <c r="O103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7" s="298">
        <f>IF(AND(Scharniere[[#This Row],[Scharnierart]]=3,Scharniere[[#This Row],[Gruppenschlüssel]]=select!$A$747)=TRUE,1,0)</f>
        <v>0</v>
      </c>
      <c r="Q1037" s="298">
        <f ca="1">IF(select!$O$945&lt;6,1,0)</f>
        <v>1</v>
      </c>
      <c r="R1037" s="298">
        <f>IF(select!$A$778=IF(Scharniere[[#This Row],[mit Dämpfung]]=1,1,IF(Scharniere[[#This Row],[ohne Dämpfung]]=1,2,IF(Scharniere[[#This Row],[ohne Feder]]=1,3,0))),1,0)</f>
        <v>1</v>
      </c>
      <c r="S1037" s="298">
        <f>IF(Scharniere[[#This Row],[Bohrbild]]=select!$A$755,1,0)</f>
        <v>0</v>
      </c>
      <c r="T1037" s="298">
        <f>IF(IF(Scharniere[[#This Row],[Anschrauben]]=1,1,IF(Scharniere[[#This Row],[Einpressen]]=1,2,IF(Scharniere[[#This Row],[Quick]]=1,3,IF(Scharniere[[#This Row],[Werkzeuglos]]=1,4,0))))=select!$A$769,1,0)</f>
        <v>1</v>
      </c>
      <c r="U103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7" s="359">
        <f>IF(AND(Scharniere[[#This Row],[Scharnierart]]=4,Scharniere[[#This Row],[Gruppenschlüssel]]=select!$A$981)=TRUE,1,0)</f>
        <v>0</v>
      </c>
      <c r="W1037" s="359">
        <f ca="1">IF(select!$O$1185&lt;6,1,0)</f>
        <v>1</v>
      </c>
      <c r="X1037" s="359">
        <f>IF(select!$A$1012=IF(Scharniere[[#This Row],[mit Dämpfung]]=1,1,IF(Scharniere[[#This Row],[ohne Dämpfung]]=1,2,IF(Scharniere[[#This Row],[ohne Feder]]=1,3,0))),1,0)</f>
        <v>1</v>
      </c>
      <c r="Y1037" s="359">
        <f>IF(Scharniere[[#This Row],[Bohrbild]]=select!$A$989,1,0)</f>
        <v>0</v>
      </c>
      <c r="Z1037" s="359">
        <f>IF(IF(Scharniere[[#This Row],[Anschrauben]]=1,1,IF(Scharniere[[#This Row],[Einpressen]]=1,2,IF(Scharniere[[#This Row],[Quick]]=1,3,IF(Scharniere[[#This Row],[Werkzeuglos]]=1,4,0))))=select!$A$1003,1,0)</f>
        <v>1</v>
      </c>
      <c r="AA103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7" s="359">
        <f ca="1">IF(select!$K$980="*",Scharniere[[#This Row],[AG Ges2]],Scharniere[[#This Row],[AG Ges1]])</f>
        <v>0</v>
      </c>
      <c r="AE1037" s="451">
        <f ca="1">IF(AND(Scharniere[[#This Row],[Scharnierart]]=select!$A$1485,Scharniere[[#This Row],[Gruppenschlüssel]]=select!$B$1485)=TRUE,1,0)</f>
        <v>0</v>
      </c>
      <c r="AF1037" s="451">
        <f ca="1">IF(AND(Scharniere[[#This Row],[Scharnierart]]=select!$A$1486,Scharniere[[#This Row],[Gruppenschlüssel]]=select!$B$1486)=TRUE,1,0)</f>
        <v>0</v>
      </c>
      <c r="AG1037" s="451">
        <f ca="1">IF(AND(Scharniere[[#This Row],[Scharnierart]]=select!$A$1487,Scharniere[[#This Row],[Gruppenschlüssel]]=select!$B$1487)=TRUE,1,0)</f>
        <v>0</v>
      </c>
      <c r="AH1037" s="451">
        <f ca="1">IF(AND(Scharniere[[#This Row],[Scharnierart]]=select!$A$1488,Scharniere[[#This Row],[Gruppenschlüssel]]=select!$B$1488)=TRUE,1,0)</f>
        <v>0</v>
      </c>
      <c r="AI1037" s="451">
        <f ca="1">IF(SUM(Scharniere[[#This Row],[konf Scharnier 1]:[konf Scharnier 4]])&gt;0,1,0)</f>
        <v>0</v>
      </c>
      <c r="AJ1037" s="451"/>
      <c r="AK1037" s="451"/>
      <c r="AL1037" s="451"/>
      <c r="AM1037" s="451"/>
      <c r="AN1037" s="451"/>
      <c r="AO1037" s="146">
        <v>3</v>
      </c>
      <c r="AP1037" s="146">
        <v>2</v>
      </c>
      <c r="AQ1037" s="71" t="str">
        <f ca="1">Sprache!$A$118</f>
        <v>Tiomos Scharnier T Click-on</v>
      </c>
      <c r="AR1037" t="s">
        <v>2295</v>
      </c>
      <c r="AS1037" t="str">
        <f ca="1">Sprache!$A$103</f>
        <v>Tiomos Click-On Scharniere</v>
      </c>
      <c r="AT1037" t="s">
        <v>1264</v>
      </c>
      <c r="AU1037" t="s">
        <v>3</v>
      </c>
      <c r="AV1037" t="s">
        <v>1264</v>
      </c>
      <c r="AW1037" s="71">
        <v>0</v>
      </c>
      <c r="AX1037">
        <v>1</v>
      </c>
      <c r="AY1037">
        <v>0</v>
      </c>
      <c r="AZ1037" s="71">
        <v>1</v>
      </c>
      <c r="BA1037">
        <v>0</v>
      </c>
      <c r="BB1037">
        <v>0</v>
      </c>
      <c r="BC1037">
        <v>0</v>
      </c>
      <c r="BD1037" s="144" t="s">
        <v>1661</v>
      </c>
      <c r="BF1037" s="10"/>
      <c r="BG1037"/>
    </row>
    <row r="1038" spans="1:59" ht="14.25" customHeight="1" x14ac:dyDescent="0.25">
      <c r="A1038" s="37" t="str">
        <f>LEFT(Scharniere[[#This Row],[ArtikelNR]],4)</f>
        <v>F045</v>
      </c>
      <c r="B1038" s="35" t="str">
        <f>MID(Scharniere[[#This Row],[ArtikelNR]],5,3)</f>
        <v>138</v>
      </c>
      <c r="C1038" s="37" t="str">
        <f>RIGHT(Scharniere[[#This Row],[ArtikelNR]],3)</f>
        <v>336</v>
      </c>
      <c r="D1038" s="35">
        <f>IF(AND(Scharniere[[#This Row],[Gruppenschlüssel]]=select!$A$44,Scharniere[[#This Row],[Scharnierart]]=1)=TRUE,1,0)</f>
        <v>0</v>
      </c>
      <c r="E103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8" s="35">
        <f>IF(select!$F$57=IF(Scharniere[[#This Row],[mit Dämpfung]]=1,1,IF(Scharniere[[#This Row],[ohne Dämpfung]]=1,2,IF(Scharniere[[#This Row],[ohne Feder]]=1,3,0))),1,0)</f>
        <v>0</v>
      </c>
      <c r="G1038" s="35">
        <f>IF(Scharniere[[#This Row],[Bohrbild]]=select!$V$43,1,0)</f>
        <v>0</v>
      </c>
      <c r="H1038" s="35">
        <f>IF(IF(Scharniere[[#This Row],[Anschrauben]]=1,1,IF(Scharniere[[#This Row],[Einpressen]]=1,2,IF(Scharniere[[#This Row],[Quick]]=1,3,IF(Scharniere[[#This Row],[Werkzeuglos]]=1,4,0))))=select!$F$48,1,0)</f>
        <v>1</v>
      </c>
      <c r="I103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8" s="149">
        <f>IF(AND(Scharniere[[#This Row],[Scharnierart]]=2,Scharniere[[#This Row],[Gruppenschlüssel]]=select!$A$318)=TRUE,1,0)</f>
        <v>0</v>
      </c>
      <c r="K1038" s="221">
        <f ca="1">IF(select!$O$424&lt;6,1,0)</f>
        <v>1</v>
      </c>
      <c r="L1038" s="221">
        <f>IF(select!$A$362=IF(Scharniere[[#This Row],[mit Dämpfung]]=1,1,IF(Scharniere[[#This Row],[ohne Dämpfung]]=1,2,IF(Scharniere[[#This Row],[ohne Feder]]=1,3,0))),1,0)</f>
        <v>0</v>
      </c>
      <c r="M1038" s="135">
        <f>IF(Scharniere[[#This Row],[Bohrbild]]=select!$O$334,1,0)</f>
        <v>0</v>
      </c>
      <c r="N1038" s="135">
        <f>IF(IF(Scharniere[[#This Row],[Anschrauben]]=1,1,IF(Scharniere[[#This Row],[Einpressen]]=1,2,IF(Scharniere[[#This Row],[Quick]]=1,3,IF(Scharniere[[#This Row],[Werkzeuglos]]=1,4,0))))=select!$E$362,1,0)</f>
        <v>0</v>
      </c>
      <c r="O103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8" s="298">
        <f>IF(AND(Scharniere[[#This Row],[Scharnierart]]=3,Scharniere[[#This Row],[Gruppenschlüssel]]=select!$A$747)=TRUE,1,0)</f>
        <v>0</v>
      </c>
      <c r="Q1038" s="298">
        <f ca="1">IF(select!$O$945&lt;6,1,0)</f>
        <v>1</v>
      </c>
      <c r="R1038" s="298">
        <f>IF(select!$A$778=IF(Scharniere[[#This Row],[mit Dämpfung]]=1,1,IF(Scharniere[[#This Row],[ohne Dämpfung]]=1,2,IF(Scharniere[[#This Row],[ohne Feder]]=1,3,0))),1,0)</f>
        <v>1</v>
      </c>
      <c r="S1038" s="298">
        <f>IF(Scharniere[[#This Row],[Bohrbild]]=select!$A$755,1,0)</f>
        <v>0</v>
      </c>
      <c r="T1038" s="298">
        <f>IF(IF(Scharniere[[#This Row],[Anschrauben]]=1,1,IF(Scharniere[[#This Row],[Einpressen]]=1,2,IF(Scharniere[[#This Row],[Quick]]=1,3,IF(Scharniere[[#This Row],[Werkzeuglos]]=1,4,0))))=select!$A$769,1,0)</f>
        <v>0</v>
      </c>
      <c r="U103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8" s="359">
        <f>IF(AND(Scharniere[[#This Row],[Scharnierart]]=4,Scharniere[[#This Row],[Gruppenschlüssel]]=select!$A$981)=TRUE,1,0)</f>
        <v>0</v>
      </c>
      <c r="W1038" s="359">
        <f ca="1">IF(select!$O$1185&lt;6,1,0)</f>
        <v>1</v>
      </c>
      <c r="X1038" s="359">
        <f>IF(select!$A$1012=IF(Scharniere[[#This Row],[mit Dämpfung]]=1,1,IF(Scharniere[[#This Row],[ohne Dämpfung]]=1,2,IF(Scharniere[[#This Row],[ohne Feder]]=1,3,0))),1,0)</f>
        <v>1</v>
      </c>
      <c r="Y1038" s="359">
        <f>IF(Scharniere[[#This Row],[Bohrbild]]=select!$A$989,1,0)</f>
        <v>0</v>
      </c>
      <c r="Z1038" s="359">
        <f>IF(IF(Scharniere[[#This Row],[Anschrauben]]=1,1,IF(Scharniere[[#This Row],[Einpressen]]=1,2,IF(Scharniere[[#This Row],[Quick]]=1,3,IF(Scharniere[[#This Row],[Werkzeuglos]]=1,4,0))))=select!$A$1003,1,0)</f>
        <v>0</v>
      </c>
      <c r="AA103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8" s="359">
        <f ca="1">IF(select!$K$980="*",Scharniere[[#This Row],[AG Ges2]],Scharniere[[#This Row],[AG Ges1]])</f>
        <v>0</v>
      </c>
      <c r="AE1038" s="451">
        <f ca="1">IF(AND(Scharniere[[#This Row],[Scharnierart]]=select!$A$1485,Scharniere[[#This Row],[Gruppenschlüssel]]=select!$B$1485)=TRUE,1,0)</f>
        <v>0</v>
      </c>
      <c r="AF1038" s="451">
        <f ca="1">IF(AND(Scharniere[[#This Row],[Scharnierart]]=select!$A$1486,Scharniere[[#This Row],[Gruppenschlüssel]]=select!$B$1486)=TRUE,1,0)</f>
        <v>0</v>
      </c>
      <c r="AG1038" s="451">
        <f ca="1">IF(AND(Scharniere[[#This Row],[Scharnierart]]=select!$A$1487,Scharniere[[#This Row],[Gruppenschlüssel]]=select!$B$1487)=TRUE,1,0)</f>
        <v>0</v>
      </c>
      <c r="AH1038" s="451">
        <f ca="1">IF(AND(Scharniere[[#This Row],[Scharnierart]]=select!$A$1488,Scharniere[[#This Row],[Gruppenschlüssel]]=select!$B$1488)=TRUE,1,0)</f>
        <v>0</v>
      </c>
      <c r="AI1038" s="451">
        <f ca="1">IF(SUM(Scharniere[[#This Row],[konf Scharnier 1]:[konf Scharnier 4]])&gt;0,1,0)</f>
        <v>0</v>
      </c>
      <c r="AJ1038" s="451"/>
      <c r="AK1038" s="451"/>
      <c r="AL1038" s="451"/>
      <c r="AM1038" s="451"/>
      <c r="AN1038" s="451"/>
      <c r="AO1038" s="146">
        <v>3</v>
      </c>
      <c r="AP1038" s="146">
        <v>2</v>
      </c>
      <c r="AQ1038" s="71" t="str">
        <f ca="1">Sprache!$A$118</f>
        <v>Tiomos Scharnier T Click-on</v>
      </c>
      <c r="AR1038" t="str">
        <f ca="1">"90° PCC, G-BB, "&amp;Sprache!$A$181&amp;", ni"</f>
        <v>90° PCC, G-BB, Dübel, ni</v>
      </c>
      <c r="AS1038" t="str">
        <f ca="1">Sprache!$A$103</f>
        <v>Tiomos Click-On Scharniere</v>
      </c>
      <c r="AT1038" t="s">
        <v>1264</v>
      </c>
      <c r="AU1038" t="s">
        <v>9</v>
      </c>
      <c r="AV1038" t="s">
        <v>1264</v>
      </c>
      <c r="AW1038" s="71">
        <v>0</v>
      </c>
      <c r="AX1038">
        <v>1</v>
      </c>
      <c r="AY1038">
        <v>0</v>
      </c>
      <c r="AZ1038" s="71">
        <v>0</v>
      </c>
      <c r="BA1038">
        <v>1</v>
      </c>
      <c r="BB1038">
        <v>0</v>
      </c>
      <c r="BC1038">
        <v>0</v>
      </c>
      <c r="BD1038" s="144" t="s">
        <v>1648</v>
      </c>
      <c r="BF1038" s="10"/>
      <c r="BG1038"/>
    </row>
    <row r="1039" spans="1:59" ht="14.25" customHeight="1" x14ac:dyDescent="0.25">
      <c r="A1039" s="37" t="str">
        <f>LEFT(Scharniere[[#This Row],[ArtikelNR]],4)</f>
        <v>F045</v>
      </c>
      <c r="B1039" s="35" t="str">
        <f>MID(Scharniere[[#This Row],[ArtikelNR]],5,3)</f>
        <v>138</v>
      </c>
      <c r="C1039" s="37" t="str">
        <f>RIGHT(Scharniere[[#This Row],[ArtikelNR]],3)</f>
        <v>335</v>
      </c>
      <c r="D1039" s="35">
        <f>IF(AND(Scharniere[[#This Row],[Gruppenschlüssel]]=select!$A$44,Scharniere[[#This Row],[Scharnierart]]=1)=TRUE,1,0)</f>
        <v>0</v>
      </c>
      <c r="E103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39" s="35">
        <f>IF(select!$F$57=IF(Scharniere[[#This Row],[mit Dämpfung]]=1,1,IF(Scharniere[[#This Row],[ohne Dämpfung]]=1,2,IF(Scharniere[[#This Row],[ohne Feder]]=1,3,0))),1,0)</f>
        <v>0</v>
      </c>
      <c r="G1039" s="35">
        <f>IF(Scharniere[[#This Row],[Bohrbild]]=select!$V$43,1,0)</f>
        <v>0</v>
      </c>
      <c r="H1039" s="35">
        <f>IF(IF(Scharniere[[#This Row],[Anschrauben]]=1,1,IF(Scharniere[[#This Row],[Einpressen]]=1,2,IF(Scharniere[[#This Row],[Quick]]=1,3,IF(Scharniere[[#This Row],[Werkzeuglos]]=1,4,0))))=select!$F$48,1,0)</f>
        <v>0</v>
      </c>
      <c r="I103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39" s="149">
        <f>IF(AND(Scharniere[[#This Row],[Scharnierart]]=2,Scharniere[[#This Row],[Gruppenschlüssel]]=select!$A$318)=TRUE,1,0)</f>
        <v>0</v>
      </c>
      <c r="K1039" s="221">
        <f ca="1">IF(select!$O$424&lt;6,1,0)</f>
        <v>1</v>
      </c>
      <c r="L1039" s="221">
        <f>IF(select!$A$362=IF(Scharniere[[#This Row],[mit Dämpfung]]=1,1,IF(Scharniere[[#This Row],[ohne Dämpfung]]=1,2,IF(Scharniere[[#This Row],[ohne Feder]]=1,3,0))),1,0)</f>
        <v>0</v>
      </c>
      <c r="M1039" s="135">
        <f>IF(Scharniere[[#This Row],[Bohrbild]]=select!$O$334,1,0)</f>
        <v>0</v>
      </c>
      <c r="N1039" s="135">
        <f>IF(IF(Scharniere[[#This Row],[Anschrauben]]=1,1,IF(Scharniere[[#This Row],[Einpressen]]=1,2,IF(Scharniere[[#This Row],[Quick]]=1,3,IF(Scharniere[[#This Row],[Werkzeuglos]]=1,4,0))))=select!$E$362,1,0)</f>
        <v>1</v>
      </c>
      <c r="O103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39" s="298">
        <f>IF(AND(Scharniere[[#This Row],[Scharnierart]]=3,Scharniere[[#This Row],[Gruppenschlüssel]]=select!$A$747)=TRUE,1,0)</f>
        <v>0</v>
      </c>
      <c r="Q1039" s="298">
        <f ca="1">IF(select!$O$945&lt;6,1,0)</f>
        <v>1</v>
      </c>
      <c r="R1039" s="298">
        <f>IF(select!$A$778=IF(Scharniere[[#This Row],[mit Dämpfung]]=1,1,IF(Scharniere[[#This Row],[ohne Dämpfung]]=1,2,IF(Scharniere[[#This Row],[ohne Feder]]=1,3,0))),1,0)</f>
        <v>1</v>
      </c>
      <c r="S1039" s="298">
        <f>IF(Scharniere[[#This Row],[Bohrbild]]=select!$A$755,1,0)</f>
        <v>0</v>
      </c>
      <c r="T1039" s="298">
        <f>IF(IF(Scharniere[[#This Row],[Anschrauben]]=1,1,IF(Scharniere[[#This Row],[Einpressen]]=1,2,IF(Scharniere[[#This Row],[Quick]]=1,3,IF(Scharniere[[#This Row],[Werkzeuglos]]=1,4,0))))=select!$A$769,1,0)</f>
        <v>1</v>
      </c>
      <c r="U103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39" s="359">
        <f>IF(AND(Scharniere[[#This Row],[Scharnierart]]=4,Scharniere[[#This Row],[Gruppenschlüssel]]=select!$A$981)=TRUE,1,0)</f>
        <v>0</v>
      </c>
      <c r="W1039" s="359">
        <f ca="1">IF(select!$O$1185&lt;6,1,0)</f>
        <v>1</v>
      </c>
      <c r="X1039" s="359">
        <f>IF(select!$A$1012=IF(Scharniere[[#This Row],[mit Dämpfung]]=1,1,IF(Scharniere[[#This Row],[ohne Dämpfung]]=1,2,IF(Scharniere[[#This Row],[ohne Feder]]=1,3,0))),1,0)</f>
        <v>1</v>
      </c>
      <c r="Y1039" s="359">
        <f>IF(Scharniere[[#This Row],[Bohrbild]]=select!$A$989,1,0)</f>
        <v>0</v>
      </c>
      <c r="Z1039" s="359">
        <f>IF(IF(Scharniere[[#This Row],[Anschrauben]]=1,1,IF(Scharniere[[#This Row],[Einpressen]]=1,2,IF(Scharniere[[#This Row],[Quick]]=1,3,IF(Scharniere[[#This Row],[Werkzeuglos]]=1,4,0))))=select!$A$1003,1,0)</f>
        <v>1</v>
      </c>
      <c r="AA103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3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3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39" s="359">
        <f ca="1">IF(select!$K$980="*",Scharniere[[#This Row],[AG Ges2]],Scharniere[[#This Row],[AG Ges1]])</f>
        <v>0</v>
      </c>
      <c r="AE1039" s="451">
        <f ca="1">IF(AND(Scharniere[[#This Row],[Scharnierart]]=select!$A$1485,Scharniere[[#This Row],[Gruppenschlüssel]]=select!$B$1485)=TRUE,1,0)</f>
        <v>0</v>
      </c>
      <c r="AF1039" s="451">
        <f ca="1">IF(AND(Scharniere[[#This Row],[Scharnierart]]=select!$A$1486,Scharniere[[#This Row],[Gruppenschlüssel]]=select!$B$1486)=TRUE,1,0)</f>
        <v>0</v>
      </c>
      <c r="AG1039" s="451">
        <f ca="1">IF(AND(Scharniere[[#This Row],[Scharnierart]]=select!$A$1487,Scharniere[[#This Row],[Gruppenschlüssel]]=select!$B$1487)=TRUE,1,0)</f>
        <v>0</v>
      </c>
      <c r="AH1039" s="451">
        <f ca="1">IF(AND(Scharniere[[#This Row],[Scharnierart]]=select!$A$1488,Scharniere[[#This Row],[Gruppenschlüssel]]=select!$B$1488)=TRUE,1,0)</f>
        <v>0</v>
      </c>
      <c r="AI1039" s="451">
        <f ca="1">IF(SUM(Scharniere[[#This Row],[konf Scharnier 1]:[konf Scharnier 4]])&gt;0,1,0)</f>
        <v>0</v>
      </c>
      <c r="AJ1039" s="451"/>
      <c r="AK1039" s="451"/>
      <c r="AL1039" s="451"/>
      <c r="AM1039" s="451"/>
      <c r="AN1039" s="451"/>
      <c r="AO1039" s="146">
        <v>3</v>
      </c>
      <c r="AP1039" s="146">
        <v>2</v>
      </c>
      <c r="AQ1039" s="71" t="str">
        <f ca="1">Sprache!$A$118</f>
        <v>Tiomos Scharnier T Click-on</v>
      </c>
      <c r="AR1039" t="s">
        <v>2296</v>
      </c>
      <c r="AS1039" t="str">
        <f ca="1">Sprache!$A$103</f>
        <v>Tiomos Click-On Scharniere</v>
      </c>
      <c r="AT1039" t="s">
        <v>1264</v>
      </c>
      <c r="AU1039" t="s">
        <v>9</v>
      </c>
      <c r="AV1039" t="s">
        <v>1264</v>
      </c>
      <c r="AW1039" s="71">
        <v>0</v>
      </c>
      <c r="AX1039">
        <v>1</v>
      </c>
      <c r="AY1039">
        <v>0</v>
      </c>
      <c r="AZ1039" s="71">
        <v>1</v>
      </c>
      <c r="BA1039">
        <v>0</v>
      </c>
      <c r="BB1039">
        <v>0</v>
      </c>
      <c r="BC1039">
        <v>0</v>
      </c>
      <c r="BD1039" s="144" t="s">
        <v>1647</v>
      </c>
      <c r="BF1039" s="10"/>
      <c r="BG1039"/>
    </row>
    <row r="1040" spans="1:59" ht="14.25" customHeight="1" x14ac:dyDescent="0.25">
      <c r="A1040" s="37" t="str">
        <f>LEFT(Scharniere[[#This Row],[ArtikelNR]],4)</f>
        <v>F045</v>
      </c>
      <c r="B1040" s="35" t="str">
        <f>MID(Scharniere[[#This Row],[ArtikelNR]],5,3)</f>
        <v>138</v>
      </c>
      <c r="C1040" s="37" t="str">
        <f>RIGHT(Scharniere[[#This Row],[ArtikelNR]],3)</f>
        <v>700</v>
      </c>
      <c r="D1040" s="35">
        <f>IF(AND(Scharniere[[#This Row],[Gruppenschlüssel]]=select!$A$44,Scharniere[[#This Row],[Scharnierart]]=1)=TRUE,1,0)</f>
        <v>0</v>
      </c>
      <c r="E104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0" s="35">
        <f>IF(select!$F$57=IF(Scharniere[[#This Row],[mit Dämpfung]]=1,1,IF(Scharniere[[#This Row],[ohne Dämpfung]]=1,2,IF(Scharniere[[#This Row],[ohne Feder]]=1,3,0))),1,0)</f>
        <v>0</v>
      </c>
      <c r="G1040" s="35">
        <f>IF(Scharniere[[#This Row],[Bohrbild]]=select!$V$43,1,0)</f>
        <v>0</v>
      </c>
      <c r="H1040" s="35">
        <f>IF(IF(Scharniere[[#This Row],[Anschrauben]]=1,1,IF(Scharniere[[#This Row],[Einpressen]]=1,2,IF(Scharniere[[#This Row],[Quick]]=1,3,IF(Scharniere[[#This Row],[Werkzeuglos]]=1,4,0))))=select!$F$48,1,0)</f>
        <v>1</v>
      </c>
      <c r="I104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0" s="149">
        <f>IF(AND(Scharniere[[#This Row],[Scharnierart]]=2,Scharniere[[#This Row],[Gruppenschlüssel]]=select!$A$318)=TRUE,1,0)</f>
        <v>0</v>
      </c>
      <c r="K1040" s="221">
        <f ca="1">IF(select!$O$424&lt;6,1,0)</f>
        <v>1</v>
      </c>
      <c r="L1040" s="221">
        <f>IF(select!$A$362=IF(Scharniere[[#This Row],[mit Dämpfung]]=1,1,IF(Scharniere[[#This Row],[ohne Dämpfung]]=1,2,IF(Scharniere[[#This Row],[ohne Feder]]=1,3,0))),1,0)</f>
        <v>0</v>
      </c>
      <c r="M1040" s="135">
        <f>IF(Scharniere[[#This Row],[Bohrbild]]=select!$O$334,1,0)</f>
        <v>0</v>
      </c>
      <c r="N1040" s="135">
        <f>IF(IF(Scharniere[[#This Row],[Anschrauben]]=1,1,IF(Scharniere[[#This Row],[Einpressen]]=1,2,IF(Scharniere[[#This Row],[Quick]]=1,3,IF(Scharniere[[#This Row],[Werkzeuglos]]=1,4,0))))=select!$E$362,1,0)</f>
        <v>0</v>
      </c>
      <c r="O104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0" s="298">
        <f>IF(AND(Scharniere[[#This Row],[Scharnierart]]=3,Scharniere[[#This Row],[Gruppenschlüssel]]=select!$A$747)=TRUE,1,0)</f>
        <v>0</v>
      </c>
      <c r="Q1040" s="298">
        <f ca="1">IF(select!$O$945&lt;6,1,0)</f>
        <v>1</v>
      </c>
      <c r="R1040" s="298">
        <f>IF(select!$A$778=IF(Scharniere[[#This Row],[mit Dämpfung]]=1,1,IF(Scharniere[[#This Row],[ohne Dämpfung]]=1,2,IF(Scharniere[[#This Row],[ohne Feder]]=1,3,0))),1,0)</f>
        <v>1</v>
      </c>
      <c r="S1040" s="298">
        <f>IF(Scharniere[[#This Row],[Bohrbild]]=select!$A$755,1,0)</f>
        <v>0</v>
      </c>
      <c r="T1040" s="298">
        <f>IF(IF(Scharniere[[#This Row],[Anschrauben]]=1,1,IF(Scharniere[[#This Row],[Einpressen]]=1,2,IF(Scharniere[[#This Row],[Quick]]=1,3,IF(Scharniere[[#This Row],[Werkzeuglos]]=1,4,0))))=select!$A$769,1,0)</f>
        <v>0</v>
      </c>
      <c r="U104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0" s="359">
        <f>IF(AND(Scharniere[[#This Row],[Scharnierart]]=4,Scharniere[[#This Row],[Gruppenschlüssel]]=select!$A$981)=TRUE,1,0)</f>
        <v>0</v>
      </c>
      <c r="W1040" s="359">
        <f ca="1">IF(select!$O$1185&lt;6,1,0)</f>
        <v>1</v>
      </c>
      <c r="X1040" s="359">
        <f>IF(select!$A$1012=IF(Scharniere[[#This Row],[mit Dämpfung]]=1,1,IF(Scharniere[[#This Row],[ohne Dämpfung]]=1,2,IF(Scharniere[[#This Row],[ohne Feder]]=1,3,0))),1,0)</f>
        <v>1</v>
      </c>
      <c r="Y1040" s="359">
        <f>IF(Scharniere[[#This Row],[Bohrbild]]=select!$A$989,1,0)</f>
        <v>0</v>
      </c>
      <c r="Z1040" s="359">
        <f>IF(IF(Scharniere[[#This Row],[Anschrauben]]=1,1,IF(Scharniere[[#This Row],[Einpressen]]=1,2,IF(Scharniere[[#This Row],[Quick]]=1,3,IF(Scharniere[[#This Row],[Werkzeuglos]]=1,4,0))))=select!$A$1003,1,0)</f>
        <v>0</v>
      </c>
      <c r="AA104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0" s="359">
        <f ca="1">IF(select!$K$980="*",Scharniere[[#This Row],[AG Ges2]],Scharniere[[#This Row],[AG Ges1]])</f>
        <v>0</v>
      </c>
      <c r="AE1040" s="451">
        <f ca="1">IF(AND(Scharniere[[#This Row],[Scharnierart]]=select!$A$1485,Scharniere[[#This Row],[Gruppenschlüssel]]=select!$B$1485)=TRUE,1,0)</f>
        <v>0</v>
      </c>
      <c r="AF1040" s="451">
        <f ca="1">IF(AND(Scharniere[[#This Row],[Scharnierart]]=select!$A$1486,Scharniere[[#This Row],[Gruppenschlüssel]]=select!$B$1486)=TRUE,1,0)</f>
        <v>0</v>
      </c>
      <c r="AG1040" s="451">
        <f ca="1">IF(AND(Scharniere[[#This Row],[Scharnierart]]=select!$A$1487,Scharniere[[#This Row],[Gruppenschlüssel]]=select!$B$1487)=TRUE,1,0)</f>
        <v>0</v>
      </c>
      <c r="AH1040" s="451">
        <f ca="1">IF(AND(Scharniere[[#This Row],[Scharnierart]]=select!$A$1488,Scharniere[[#This Row],[Gruppenschlüssel]]=select!$B$1488)=TRUE,1,0)</f>
        <v>0</v>
      </c>
      <c r="AI1040" s="451">
        <f ca="1">IF(SUM(Scharniere[[#This Row],[konf Scharnier 1]:[konf Scharnier 4]])&gt;0,1,0)</f>
        <v>0</v>
      </c>
      <c r="AJ1040" s="451"/>
      <c r="AK1040" s="451"/>
      <c r="AL1040" s="451"/>
      <c r="AM1040" s="451"/>
      <c r="AN1040" s="451"/>
      <c r="AO1040" s="146">
        <v>3</v>
      </c>
      <c r="AP1040" s="146">
        <v>2</v>
      </c>
      <c r="AQ1040" s="71" t="str">
        <f ca="1">Sprache!$A$118</f>
        <v>Tiomos Scharnier T Click-on</v>
      </c>
      <c r="AR1040" t="str">
        <f ca="1">"90° PCC, H-BB, "&amp;Sprache!$A$181&amp;", ni"</f>
        <v>90° PCC, H-BB, Dübel, ni</v>
      </c>
      <c r="AS1040" t="str">
        <f ca="1">Sprache!$A$103</f>
        <v>Tiomos Click-On Scharniere</v>
      </c>
      <c r="AT1040" t="s">
        <v>1264</v>
      </c>
      <c r="AU1040" t="s">
        <v>10</v>
      </c>
      <c r="AV1040" t="s">
        <v>1264</v>
      </c>
      <c r="AW1040" s="71">
        <v>0</v>
      </c>
      <c r="AX1040">
        <v>1</v>
      </c>
      <c r="AY1040">
        <v>0</v>
      </c>
      <c r="AZ1040" s="71">
        <v>0</v>
      </c>
      <c r="BA1040">
        <v>1</v>
      </c>
      <c r="BB1040">
        <v>0</v>
      </c>
      <c r="BC1040">
        <v>0</v>
      </c>
      <c r="BD1040" s="144" t="s">
        <v>1677</v>
      </c>
      <c r="BF1040" s="10"/>
      <c r="BG1040"/>
    </row>
    <row r="1041" spans="1:59" ht="14.25" customHeight="1" x14ac:dyDescent="0.25">
      <c r="A1041" s="37" t="str">
        <f>LEFT(Scharniere[[#This Row],[ArtikelNR]],4)</f>
        <v>F045</v>
      </c>
      <c r="B1041" s="35" t="str">
        <f>MID(Scharniere[[#This Row],[ArtikelNR]],5,3)</f>
        <v>138</v>
      </c>
      <c r="C1041" s="37" t="str">
        <f>RIGHT(Scharniere[[#This Row],[ArtikelNR]],3)</f>
        <v>699</v>
      </c>
      <c r="D1041" s="35">
        <f>IF(AND(Scharniere[[#This Row],[Gruppenschlüssel]]=select!$A$44,Scharniere[[#This Row],[Scharnierart]]=1)=TRUE,1,0)</f>
        <v>0</v>
      </c>
      <c r="E104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1" s="35">
        <f>IF(select!$F$57=IF(Scharniere[[#This Row],[mit Dämpfung]]=1,1,IF(Scharniere[[#This Row],[ohne Dämpfung]]=1,2,IF(Scharniere[[#This Row],[ohne Feder]]=1,3,0))),1,0)</f>
        <v>0</v>
      </c>
      <c r="G1041" s="35">
        <f>IF(Scharniere[[#This Row],[Bohrbild]]=select!$V$43,1,0)</f>
        <v>0</v>
      </c>
      <c r="H1041" s="35">
        <f>IF(IF(Scharniere[[#This Row],[Anschrauben]]=1,1,IF(Scharniere[[#This Row],[Einpressen]]=1,2,IF(Scharniere[[#This Row],[Quick]]=1,3,IF(Scharniere[[#This Row],[Werkzeuglos]]=1,4,0))))=select!$F$48,1,0)</f>
        <v>0</v>
      </c>
      <c r="I104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1" s="149">
        <f>IF(AND(Scharniere[[#This Row],[Scharnierart]]=2,Scharniere[[#This Row],[Gruppenschlüssel]]=select!$A$318)=TRUE,1,0)</f>
        <v>0</v>
      </c>
      <c r="K1041" s="221">
        <f ca="1">IF(select!$O$424&lt;6,1,0)</f>
        <v>1</v>
      </c>
      <c r="L1041" s="221">
        <f>IF(select!$A$362=IF(Scharniere[[#This Row],[mit Dämpfung]]=1,1,IF(Scharniere[[#This Row],[ohne Dämpfung]]=1,2,IF(Scharniere[[#This Row],[ohne Feder]]=1,3,0))),1,0)</f>
        <v>0</v>
      </c>
      <c r="M1041" s="135">
        <f>IF(Scharniere[[#This Row],[Bohrbild]]=select!$O$334,1,0)</f>
        <v>0</v>
      </c>
      <c r="N1041" s="135">
        <f>IF(IF(Scharniere[[#This Row],[Anschrauben]]=1,1,IF(Scharniere[[#This Row],[Einpressen]]=1,2,IF(Scharniere[[#This Row],[Quick]]=1,3,IF(Scharniere[[#This Row],[Werkzeuglos]]=1,4,0))))=select!$E$362,1,0)</f>
        <v>1</v>
      </c>
      <c r="O104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1" s="298">
        <f>IF(AND(Scharniere[[#This Row],[Scharnierart]]=3,Scharniere[[#This Row],[Gruppenschlüssel]]=select!$A$747)=TRUE,1,0)</f>
        <v>0</v>
      </c>
      <c r="Q1041" s="298">
        <f ca="1">IF(select!$O$945&lt;6,1,0)</f>
        <v>1</v>
      </c>
      <c r="R1041" s="298">
        <f>IF(select!$A$778=IF(Scharniere[[#This Row],[mit Dämpfung]]=1,1,IF(Scharniere[[#This Row],[ohne Dämpfung]]=1,2,IF(Scharniere[[#This Row],[ohne Feder]]=1,3,0))),1,0)</f>
        <v>1</v>
      </c>
      <c r="S1041" s="298">
        <f>IF(Scharniere[[#This Row],[Bohrbild]]=select!$A$755,1,0)</f>
        <v>0</v>
      </c>
      <c r="T1041" s="298">
        <f>IF(IF(Scharniere[[#This Row],[Anschrauben]]=1,1,IF(Scharniere[[#This Row],[Einpressen]]=1,2,IF(Scharniere[[#This Row],[Quick]]=1,3,IF(Scharniere[[#This Row],[Werkzeuglos]]=1,4,0))))=select!$A$769,1,0)</f>
        <v>1</v>
      </c>
      <c r="U104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1" s="359">
        <f>IF(AND(Scharniere[[#This Row],[Scharnierart]]=4,Scharniere[[#This Row],[Gruppenschlüssel]]=select!$A$981)=TRUE,1,0)</f>
        <v>0</v>
      </c>
      <c r="W1041" s="359">
        <f ca="1">IF(select!$O$1185&lt;6,1,0)</f>
        <v>1</v>
      </c>
      <c r="X1041" s="359">
        <f>IF(select!$A$1012=IF(Scharniere[[#This Row],[mit Dämpfung]]=1,1,IF(Scharniere[[#This Row],[ohne Dämpfung]]=1,2,IF(Scharniere[[#This Row],[ohne Feder]]=1,3,0))),1,0)</f>
        <v>1</v>
      </c>
      <c r="Y1041" s="359">
        <f>IF(Scharniere[[#This Row],[Bohrbild]]=select!$A$989,1,0)</f>
        <v>0</v>
      </c>
      <c r="Z1041" s="359">
        <f>IF(IF(Scharniere[[#This Row],[Anschrauben]]=1,1,IF(Scharniere[[#This Row],[Einpressen]]=1,2,IF(Scharniere[[#This Row],[Quick]]=1,3,IF(Scharniere[[#This Row],[Werkzeuglos]]=1,4,0))))=select!$A$1003,1,0)</f>
        <v>1</v>
      </c>
      <c r="AA104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1" s="359">
        <f ca="1">IF(select!$K$980="*",Scharniere[[#This Row],[AG Ges2]],Scharniere[[#This Row],[AG Ges1]])</f>
        <v>0</v>
      </c>
      <c r="AE1041" s="451">
        <f ca="1">IF(AND(Scharniere[[#This Row],[Scharnierart]]=select!$A$1485,Scharniere[[#This Row],[Gruppenschlüssel]]=select!$B$1485)=TRUE,1,0)</f>
        <v>0</v>
      </c>
      <c r="AF1041" s="451">
        <f ca="1">IF(AND(Scharniere[[#This Row],[Scharnierart]]=select!$A$1486,Scharniere[[#This Row],[Gruppenschlüssel]]=select!$B$1486)=TRUE,1,0)</f>
        <v>0</v>
      </c>
      <c r="AG1041" s="451">
        <f ca="1">IF(AND(Scharniere[[#This Row],[Scharnierart]]=select!$A$1487,Scharniere[[#This Row],[Gruppenschlüssel]]=select!$B$1487)=TRUE,1,0)</f>
        <v>0</v>
      </c>
      <c r="AH1041" s="451">
        <f ca="1">IF(AND(Scharniere[[#This Row],[Scharnierart]]=select!$A$1488,Scharniere[[#This Row],[Gruppenschlüssel]]=select!$B$1488)=TRUE,1,0)</f>
        <v>0</v>
      </c>
      <c r="AI1041" s="451">
        <f ca="1">IF(SUM(Scharniere[[#This Row],[konf Scharnier 1]:[konf Scharnier 4]])&gt;0,1,0)</f>
        <v>0</v>
      </c>
      <c r="AJ1041" s="451"/>
      <c r="AK1041" s="451"/>
      <c r="AL1041" s="451"/>
      <c r="AM1041" s="451"/>
      <c r="AN1041" s="451"/>
      <c r="AO1041" s="146">
        <v>3</v>
      </c>
      <c r="AP1041" s="146">
        <v>2</v>
      </c>
      <c r="AQ1041" s="71" t="str">
        <f ca="1">Sprache!$A$118</f>
        <v>Tiomos Scharnier T Click-on</v>
      </c>
      <c r="AR1041" t="s">
        <v>2297</v>
      </c>
      <c r="AS1041" t="str">
        <f ca="1">Sprache!$A$103</f>
        <v>Tiomos Click-On Scharniere</v>
      </c>
      <c r="AT1041" t="s">
        <v>1264</v>
      </c>
      <c r="AU1041" t="s">
        <v>10</v>
      </c>
      <c r="AV1041" t="s">
        <v>1264</v>
      </c>
      <c r="AW1041" s="71">
        <v>0</v>
      </c>
      <c r="AX1041">
        <v>1</v>
      </c>
      <c r="AY1041">
        <v>0</v>
      </c>
      <c r="AZ1041" s="71">
        <v>1</v>
      </c>
      <c r="BA1041">
        <v>0</v>
      </c>
      <c r="BB1041">
        <v>0</v>
      </c>
      <c r="BC1041">
        <v>0</v>
      </c>
      <c r="BD1041" s="144" t="s">
        <v>1676</v>
      </c>
      <c r="BF1041" s="10"/>
      <c r="BG1041"/>
    </row>
    <row r="1042" spans="1:59" ht="14.25" customHeight="1" x14ac:dyDescent="0.25">
      <c r="A1042" s="37" t="str">
        <f>LEFT(Scharniere[[#This Row],[ArtikelNR]],4)</f>
        <v>F045</v>
      </c>
      <c r="B1042" s="35" t="str">
        <f>MID(Scharniere[[#This Row],[ArtikelNR]],5,3)</f>
        <v>138</v>
      </c>
      <c r="C1042" s="37" t="str">
        <f>RIGHT(Scharniere[[#This Row],[ArtikelNR]],3)</f>
        <v>092</v>
      </c>
      <c r="D1042" s="35">
        <f>IF(AND(Scharniere[[#This Row],[Gruppenschlüssel]]=select!$A$44,Scharniere[[#This Row],[Scharnierart]]=1)=TRUE,1,0)</f>
        <v>0</v>
      </c>
      <c r="E104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2" s="35">
        <f>IF(select!$F$57=IF(Scharniere[[#This Row],[mit Dämpfung]]=1,1,IF(Scharniere[[#This Row],[ohne Dämpfung]]=1,2,IF(Scharniere[[#This Row],[ohne Feder]]=1,3,0))),1,0)</f>
        <v>0</v>
      </c>
      <c r="G1042" s="35">
        <f>IF(Scharniere[[#This Row],[Bohrbild]]=select!$V$43,1,0)</f>
        <v>1</v>
      </c>
      <c r="H1042" s="35">
        <f>IF(IF(Scharniere[[#This Row],[Anschrauben]]=1,1,IF(Scharniere[[#This Row],[Einpressen]]=1,2,IF(Scharniere[[#This Row],[Quick]]=1,3,IF(Scharniere[[#This Row],[Werkzeuglos]]=1,4,0))))=select!$F$48,1,0)</f>
        <v>1</v>
      </c>
      <c r="I104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2" s="149">
        <f>IF(AND(Scharniere[[#This Row],[Scharnierart]]=2,Scharniere[[#This Row],[Gruppenschlüssel]]=select!$A$318)=TRUE,1,0)</f>
        <v>0</v>
      </c>
      <c r="K1042" s="221">
        <f ca="1">IF(select!$O$424&lt;6,1,0)</f>
        <v>1</v>
      </c>
      <c r="L1042" s="221">
        <f>IF(select!$A$362=IF(Scharniere[[#This Row],[mit Dämpfung]]=1,1,IF(Scharniere[[#This Row],[ohne Dämpfung]]=1,2,IF(Scharniere[[#This Row],[ohne Feder]]=1,3,0))),1,0)</f>
        <v>0</v>
      </c>
      <c r="M1042" s="135">
        <f>IF(Scharniere[[#This Row],[Bohrbild]]=select!$O$334,1,0)</f>
        <v>1</v>
      </c>
      <c r="N1042" s="135">
        <f>IF(IF(Scharniere[[#This Row],[Anschrauben]]=1,1,IF(Scharniere[[#This Row],[Einpressen]]=1,2,IF(Scharniere[[#This Row],[Quick]]=1,3,IF(Scharniere[[#This Row],[Werkzeuglos]]=1,4,0))))=select!$E$362,1,0)</f>
        <v>0</v>
      </c>
      <c r="O104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2" s="298">
        <f>IF(AND(Scharniere[[#This Row],[Scharnierart]]=3,Scharniere[[#This Row],[Gruppenschlüssel]]=select!$A$747)=TRUE,1,0)</f>
        <v>0</v>
      </c>
      <c r="Q1042" s="298">
        <f ca="1">IF(select!$O$945&lt;6,1,0)</f>
        <v>1</v>
      </c>
      <c r="R1042" s="298">
        <f>IF(select!$A$778=IF(Scharniere[[#This Row],[mit Dämpfung]]=1,1,IF(Scharniere[[#This Row],[ohne Dämpfung]]=1,2,IF(Scharniere[[#This Row],[ohne Feder]]=1,3,0))),1,0)</f>
        <v>1</v>
      </c>
      <c r="S1042" s="298">
        <f>IF(Scharniere[[#This Row],[Bohrbild]]=select!$A$755,1,0)</f>
        <v>0</v>
      </c>
      <c r="T1042" s="298">
        <f>IF(IF(Scharniere[[#This Row],[Anschrauben]]=1,1,IF(Scharniere[[#This Row],[Einpressen]]=1,2,IF(Scharniere[[#This Row],[Quick]]=1,3,IF(Scharniere[[#This Row],[Werkzeuglos]]=1,4,0))))=select!$A$769,1,0)</f>
        <v>0</v>
      </c>
      <c r="U104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2" s="359">
        <f>IF(AND(Scharniere[[#This Row],[Scharnierart]]=4,Scharniere[[#This Row],[Gruppenschlüssel]]=select!$A$981)=TRUE,1,0)</f>
        <v>0</v>
      </c>
      <c r="W1042" s="359">
        <f ca="1">IF(select!$O$1185&lt;6,1,0)</f>
        <v>1</v>
      </c>
      <c r="X1042" s="359">
        <f>IF(select!$A$1012=IF(Scharniere[[#This Row],[mit Dämpfung]]=1,1,IF(Scharniere[[#This Row],[ohne Dämpfung]]=1,2,IF(Scharniere[[#This Row],[ohne Feder]]=1,3,0))),1,0)</f>
        <v>1</v>
      </c>
      <c r="Y1042" s="359">
        <f>IF(Scharniere[[#This Row],[Bohrbild]]=select!$A$989,1,0)</f>
        <v>0</v>
      </c>
      <c r="Z1042" s="359">
        <f>IF(IF(Scharniere[[#This Row],[Anschrauben]]=1,1,IF(Scharniere[[#This Row],[Einpressen]]=1,2,IF(Scharniere[[#This Row],[Quick]]=1,3,IF(Scharniere[[#This Row],[Werkzeuglos]]=1,4,0))))=select!$A$1003,1,0)</f>
        <v>0</v>
      </c>
      <c r="AA104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2" s="359">
        <f ca="1">IF(select!$K$980="*",Scharniere[[#This Row],[AG Ges2]],Scharniere[[#This Row],[AG Ges1]])</f>
        <v>0</v>
      </c>
      <c r="AE1042" s="451">
        <f ca="1">IF(AND(Scharniere[[#This Row],[Scharnierart]]=select!$A$1485,Scharniere[[#This Row],[Gruppenschlüssel]]=select!$B$1485)=TRUE,1,0)</f>
        <v>0</v>
      </c>
      <c r="AF1042" s="451">
        <f ca="1">IF(AND(Scharniere[[#This Row],[Scharnierart]]=select!$A$1486,Scharniere[[#This Row],[Gruppenschlüssel]]=select!$B$1486)=TRUE,1,0)</f>
        <v>0</v>
      </c>
      <c r="AG1042" s="451">
        <f ca="1">IF(AND(Scharniere[[#This Row],[Scharnierart]]=select!$A$1487,Scharniere[[#This Row],[Gruppenschlüssel]]=select!$B$1487)=TRUE,1,0)</f>
        <v>0</v>
      </c>
      <c r="AH1042" s="451">
        <f ca="1">IF(AND(Scharniere[[#This Row],[Scharnierart]]=select!$A$1488,Scharniere[[#This Row],[Gruppenschlüssel]]=select!$B$1488)=TRUE,1,0)</f>
        <v>0</v>
      </c>
      <c r="AI1042" s="451">
        <f ca="1">IF(SUM(Scharniere[[#This Row],[konf Scharnier 1]:[konf Scharnier 4]])&gt;0,1,0)</f>
        <v>0</v>
      </c>
      <c r="AJ1042" s="451"/>
      <c r="AK1042" s="451"/>
      <c r="AL1042" s="451"/>
      <c r="AM1042" s="451"/>
      <c r="AN1042" s="451"/>
      <c r="AO1042" s="146">
        <v>3</v>
      </c>
      <c r="AP1042" s="146">
        <v>2</v>
      </c>
      <c r="AQ1042" s="71" t="str">
        <f ca="1">Sprache!$A$118</f>
        <v>Tiomos Scharnier T Click-on</v>
      </c>
      <c r="AR1042" t="str">
        <f ca="1">"90° PCC, M-BB, "&amp;Sprache!$A$181&amp;", ni"</f>
        <v>90° PCC, M-BB, Dübel, ni</v>
      </c>
      <c r="AS1042" t="str">
        <f ca="1">Sprache!$A$103</f>
        <v>Tiomos Click-On Scharniere</v>
      </c>
      <c r="AT1042" t="s">
        <v>1264</v>
      </c>
      <c r="AU1042" t="s">
        <v>8</v>
      </c>
      <c r="AV1042" t="s">
        <v>1264</v>
      </c>
      <c r="AW1042" s="71">
        <v>0</v>
      </c>
      <c r="AX1042">
        <v>1</v>
      </c>
      <c r="AY1042">
        <v>0</v>
      </c>
      <c r="AZ1042" s="71">
        <v>0</v>
      </c>
      <c r="BA1042">
        <v>1</v>
      </c>
      <c r="BB1042">
        <v>0</v>
      </c>
      <c r="BC1042">
        <v>0</v>
      </c>
      <c r="BD1042" s="144" t="s">
        <v>1633</v>
      </c>
      <c r="BF1042" s="10"/>
      <c r="BG1042"/>
    </row>
    <row r="1043" spans="1:59" ht="14.25" customHeight="1" x14ac:dyDescent="0.25">
      <c r="A1043" s="37" t="str">
        <f>LEFT(Scharniere[[#This Row],[ArtikelNR]],4)</f>
        <v>F045</v>
      </c>
      <c r="B1043" s="35" t="str">
        <f>MID(Scharniere[[#This Row],[ArtikelNR]],5,3)</f>
        <v>138</v>
      </c>
      <c r="C1043" s="37" t="str">
        <f>RIGHT(Scharniere[[#This Row],[ArtikelNR]],3)</f>
        <v>091</v>
      </c>
      <c r="D1043" s="35">
        <f>IF(AND(Scharniere[[#This Row],[Gruppenschlüssel]]=select!$A$44,Scharniere[[#This Row],[Scharnierart]]=1)=TRUE,1,0)</f>
        <v>0</v>
      </c>
      <c r="E104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3" s="35">
        <f>IF(select!$F$57=IF(Scharniere[[#This Row],[mit Dämpfung]]=1,1,IF(Scharniere[[#This Row],[ohne Dämpfung]]=1,2,IF(Scharniere[[#This Row],[ohne Feder]]=1,3,0))),1,0)</f>
        <v>0</v>
      </c>
      <c r="G1043" s="35">
        <f>IF(Scharniere[[#This Row],[Bohrbild]]=select!$V$43,1,0)</f>
        <v>1</v>
      </c>
      <c r="H1043" s="35">
        <f>IF(IF(Scharniere[[#This Row],[Anschrauben]]=1,1,IF(Scharniere[[#This Row],[Einpressen]]=1,2,IF(Scharniere[[#This Row],[Quick]]=1,3,IF(Scharniere[[#This Row],[Werkzeuglos]]=1,4,0))))=select!$F$48,1,0)</f>
        <v>0</v>
      </c>
      <c r="I104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3" s="149">
        <f>IF(AND(Scharniere[[#This Row],[Scharnierart]]=2,Scharniere[[#This Row],[Gruppenschlüssel]]=select!$A$318)=TRUE,1,0)</f>
        <v>0</v>
      </c>
      <c r="K1043" s="221">
        <f ca="1">IF(select!$O$424&lt;6,1,0)</f>
        <v>1</v>
      </c>
      <c r="L1043" s="221">
        <f>IF(select!$A$362=IF(Scharniere[[#This Row],[mit Dämpfung]]=1,1,IF(Scharniere[[#This Row],[ohne Dämpfung]]=1,2,IF(Scharniere[[#This Row],[ohne Feder]]=1,3,0))),1,0)</f>
        <v>0</v>
      </c>
      <c r="M1043" s="135">
        <f>IF(Scharniere[[#This Row],[Bohrbild]]=select!$O$334,1,0)</f>
        <v>1</v>
      </c>
      <c r="N1043" s="135">
        <f>IF(IF(Scharniere[[#This Row],[Anschrauben]]=1,1,IF(Scharniere[[#This Row],[Einpressen]]=1,2,IF(Scharniere[[#This Row],[Quick]]=1,3,IF(Scharniere[[#This Row],[Werkzeuglos]]=1,4,0))))=select!$E$362,1,0)</f>
        <v>1</v>
      </c>
      <c r="O104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3" s="298">
        <f>IF(AND(Scharniere[[#This Row],[Scharnierart]]=3,Scharniere[[#This Row],[Gruppenschlüssel]]=select!$A$747)=TRUE,1,0)</f>
        <v>0</v>
      </c>
      <c r="Q1043" s="298">
        <f ca="1">IF(select!$O$945&lt;6,1,0)</f>
        <v>1</v>
      </c>
      <c r="R1043" s="298">
        <f>IF(select!$A$778=IF(Scharniere[[#This Row],[mit Dämpfung]]=1,1,IF(Scharniere[[#This Row],[ohne Dämpfung]]=1,2,IF(Scharniere[[#This Row],[ohne Feder]]=1,3,0))),1,0)</f>
        <v>1</v>
      </c>
      <c r="S1043" s="298">
        <f>IF(Scharniere[[#This Row],[Bohrbild]]=select!$A$755,1,0)</f>
        <v>0</v>
      </c>
      <c r="T1043" s="298">
        <f>IF(IF(Scharniere[[#This Row],[Anschrauben]]=1,1,IF(Scharniere[[#This Row],[Einpressen]]=1,2,IF(Scharniere[[#This Row],[Quick]]=1,3,IF(Scharniere[[#This Row],[Werkzeuglos]]=1,4,0))))=select!$A$769,1,0)</f>
        <v>1</v>
      </c>
      <c r="U104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3" s="359">
        <f>IF(AND(Scharniere[[#This Row],[Scharnierart]]=4,Scharniere[[#This Row],[Gruppenschlüssel]]=select!$A$981)=TRUE,1,0)</f>
        <v>0</v>
      </c>
      <c r="W1043" s="359">
        <f ca="1">IF(select!$O$1185&lt;6,1,0)</f>
        <v>1</v>
      </c>
      <c r="X1043" s="359">
        <f>IF(select!$A$1012=IF(Scharniere[[#This Row],[mit Dämpfung]]=1,1,IF(Scharniere[[#This Row],[ohne Dämpfung]]=1,2,IF(Scharniere[[#This Row],[ohne Feder]]=1,3,0))),1,0)</f>
        <v>1</v>
      </c>
      <c r="Y1043" s="359">
        <f>IF(Scharniere[[#This Row],[Bohrbild]]=select!$A$989,1,0)</f>
        <v>0</v>
      </c>
      <c r="Z1043" s="359">
        <f>IF(IF(Scharniere[[#This Row],[Anschrauben]]=1,1,IF(Scharniere[[#This Row],[Einpressen]]=1,2,IF(Scharniere[[#This Row],[Quick]]=1,3,IF(Scharniere[[#This Row],[Werkzeuglos]]=1,4,0))))=select!$A$1003,1,0)</f>
        <v>1</v>
      </c>
      <c r="AA104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3" s="359">
        <f ca="1">IF(select!$K$980="*",Scharniere[[#This Row],[AG Ges2]],Scharniere[[#This Row],[AG Ges1]])</f>
        <v>0</v>
      </c>
      <c r="AE1043" s="451">
        <f ca="1">IF(AND(Scharniere[[#This Row],[Scharnierart]]=select!$A$1485,Scharniere[[#This Row],[Gruppenschlüssel]]=select!$B$1485)=TRUE,1,0)</f>
        <v>0</v>
      </c>
      <c r="AF1043" s="451">
        <f ca="1">IF(AND(Scharniere[[#This Row],[Scharnierart]]=select!$A$1486,Scharniere[[#This Row],[Gruppenschlüssel]]=select!$B$1486)=TRUE,1,0)</f>
        <v>0</v>
      </c>
      <c r="AG1043" s="451">
        <f ca="1">IF(AND(Scharniere[[#This Row],[Scharnierart]]=select!$A$1487,Scharniere[[#This Row],[Gruppenschlüssel]]=select!$B$1487)=TRUE,1,0)</f>
        <v>0</v>
      </c>
      <c r="AH1043" s="451">
        <f ca="1">IF(AND(Scharniere[[#This Row],[Scharnierart]]=select!$A$1488,Scharniere[[#This Row],[Gruppenschlüssel]]=select!$B$1488)=TRUE,1,0)</f>
        <v>0</v>
      </c>
      <c r="AI1043" s="451">
        <f ca="1">IF(SUM(Scharniere[[#This Row],[konf Scharnier 1]:[konf Scharnier 4]])&gt;0,1,0)</f>
        <v>0</v>
      </c>
      <c r="AJ1043" s="451"/>
      <c r="AK1043" s="451"/>
      <c r="AL1043" s="451"/>
      <c r="AM1043" s="451"/>
      <c r="AN1043" s="451"/>
      <c r="AO1043" s="146">
        <v>3</v>
      </c>
      <c r="AP1043" s="146">
        <v>2</v>
      </c>
      <c r="AQ1043" s="71" t="str">
        <f ca="1">Sprache!$A$118</f>
        <v>Tiomos Scharnier T Click-on</v>
      </c>
      <c r="AR1043" t="s">
        <v>2298</v>
      </c>
      <c r="AS1043" t="str">
        <f ca="1">Sprache!$A$103</f>
        <v>Tiomos Click-On Scharniere</v>
      </c>
      <c r="AT1043" t="s">
        <v>1264</v>
      </c>
      <c r="AU1043" t="s">
        <v>8</v>
      </c>
      <c r="AV1043" t="s">
        <v>1264</v>
      </c>
      <c r="AW1043" s="71">
        <v>0</v>
      </c>
      <c r="AX1043">
        <v>1</v>
      </c>
      <c r="AY1043">
        <v>0</v>
      </c>
      <c r="AZ1043" s="71">
        <v>1</v>
      </c>
      <c r="BA1043">
        <v>0</v>
      </c>
      <c r="BB1043">
        <v>0</v>
      </c>
      <c r="BC1043">
        <v>0</v>
      </c>
      <c r="BD1043" s="144" t="s">
        <v>1632</v>
      </c>
      <c r="BF1043" s="10"/>
      <c r="BG1043"/>
    </row>
    <row r="1044" spans="1:59" ht="14.25" customHeight="1" x14ac:dyDescent="0.25">
      <c r="A1044" s="37" t="str">
        <f>LEFT(Scharniere[[#This Row],[ArtikelNR]],4)</f>
        <v>F045</v>
      </c>
      <c r="B1044" s="35" t="str">
        <f>MID(Scharniere[[#This Row],[ArtikelNR]],5,3)</f>
        <v>138</v>
      </c>
      <c r="C1044" s="37" t="str">
        <f>RIGHT(Scharniere[[#This Row],[ArtikelNR]],3)</f>
        <v>882</v>
      </c>
      <c r="D1044" s="35">
        <f>IF(AND(Scharniere[[#This Row],[Gruppenschlüssel]]=select!$A$44,Scharniere[[#This Row],[Scharnierart]]=1)=TRUE,1,0)</f>
        <v>0</v>
      </c>
      <c r="E104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4" s="35">
        <f>IF(select!$F$57=IF(Scharniere[[#This Row],[mit Dämpfung]]=1,1,IF(Scharniere[[#This Row],[ohne Dämpfung]]=1,2,IF(Scharniere[[#This Row],[ohne Feder]]=1,3,0))),1,0)</f>
        <v>0</v>
      </c>
      <c r="G1044" s="35">
        <f>IF(Scharniere[[#This Row],[Bohrbild]]=select!$V$43,1,0)</f>
        <v>0</v>
      </c>
      <c r="H1044" s="35">
        <f>IF(IF(Scharniere[[#This Row],[Anschrauben]]=1,1,IF(Scharniere[[#This Row],[Einpressen]]=1,2,IF(Scharniere[[#This Row],[Quick]]=1,3,IF(Scharniere[[#This Row],[Werkzeuglos]]=1,4,0))))=select!$F$48,1,0)</f>
        <v>1</v>
      </c>
      <c r="I104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4" s="149">
        <f>IF(AND(Scharniere[[#This Row],[Scharnierart]]=2,Scharniere[[#This Row],[Gruppenschlüssel]]=select!$A$318)=TRUE,1,0)</f>
        <v>0</v>
      </c>
      <c r="K1044" s="221">
        <f ca="1">IF(select!$O$424&lt;6,1,0)</f>
        <v>1</v>
      </c>
      <c r="L1044" s="221">
        <f>IF(select!$A$362=IF(Scharniere[[#This Row],[mit Dämpfung]]=1,1,IF(Scharniere[[#This Row],[ohne Dämpfung]]=1,2,IF(Scharniere[[#This Row],[ohne Feder]]=1,3,0))),1,0)</f>
        <v>0</v>
      </c>
      <c r="M1044" s="135">
        <f>IF(Scharniere[[#This Row],[Bohrbild]]=select!$O$334,1,0)</f>
        <v>0</v>
      </c>
      <c r="N1044" s="135">
        <f>IF(IF(Scharniere[[#This Row],[Anschrauben]]=1,1,IF(Scharniere[[#This Row],[Einpressen]]=1,2,IF(Scharniere[[#This Row],[Quick]]=1,3,IF(Scharniere[[#This Row],[Werkzeuglos]]=1,4,0))))=select!$E$362,1,0)</f>
        <v>0</v>
      </c>
      <c r="O104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4" s="298">
        <f>IF(AND(Scharniere[[#This Row],[Scharnierart]]=3,Scharniere[[#This Row],[Gruppenschlüssel]]=select!$A$747)=TRUE,1,0)</f>
        <v>0</v>
      </c>
      <c r="Q1044" s="298">
        <f ca="1">IF(select!$O$945&lt;6,1,0)</f>
        <v>1</v>
      </c>
      <c r="R1044" s="298">
        <f>IF(select!$A$778=IF(Scharniere[[#This Row],[mit Dämpfung]]=1,1,IF(Scharniere[[#This Row],[ohne Dämpfung]]=1,2,IF(Scharniere[[#This Row],[ohne Feder]]=1,3,0))),1,0)</f>
        <v>1</v>
      </c>
      <c r="S1044" s="298">
        <f>IF(Scharniere[[#This Row],[Bohrbild]]=select!$A$755,1,0)</f>
        <v>0</v>
      </c>
      <c r="T1044" s="298">
        <f>IF(IF(Scharniere[[#This Row],[Anschrauben]]=1,1,IF(Scharniere[[#This Row],[Einpressen]]=1,2,IF(Scharniere[[#This Row],[Quick]]=1,3,IF(Scharniere[[#This Row],[Werkzeuglos]]=1,4,0))))=select!$A$769,1,0)</f>
        <v>0</v>
      </c>
      <c r="U104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4" s="359">
        <f>IF(AND(Scharniere[[#This Row],[Scharnierart]]=4,Scharniere[[#This Row],[Gruppenschlüssel]]=select!$A$981)=TRUE,1,0)</f>
        <v>0</v>
      </c>
      <c r="W1044" s="359">
        <f ca="1">IF(select!$O$1185&lt;6,1,0)</f>
        <v>1</v>
      </c>
      <c r="X1044" s="359">
        <f>IF(select!$A$1012=IF(Scharniere[[#This Row],[mit Dämpfung]]=1,1,IF(Scharniere[[#This Row],[ohne Dämpfung]]=1,2,IF(Scharniere[[#This Row],[ohne Feder]]=1,3,0))),1,0)</f>
        <v>1</v>
      </c>
      <c r="Y1044" s="359">
        <f>IF(Scharniere[[#This Row],[Bohrbild]]=select!$A$989,1,0)</f>
        <v>0</v>
      </c>
      <c r="Z1044" s="359">
        <f>IF(IF(Scharniere[[#This Row],[Anschrauben]]=1,1,IF(Scharniere[[#This Row],[Einpressen]]=1,2,IF(Scharniere[[#This Row],[Quick]]=1,3,IF(Scharniere[[#This Row],[Werkzeuglos]]=1,4,0))))=select!$A$1003,1,0)</f>
        <v>0</v>
      </c>
      <c r="AA104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4" s="359">
        <f ca="1">IF(select!$K$980="*",Scharniere[[#This Row],[AG Ges2]],Scharniere[[#This Row],[AG Ges1]])</f>
        <v>0</v>
      </c>
      <c r="AE1044" s="451">
        <f ca="1">IF(AND(Scharniere[[#This Row],[Scharnierart]]=select!$A$1485,Scharniere[[#This Row],[Gruppenschlüssel]]=select!$B$1485)=TRUE,1,0)</f>
        <v>0</v>
      </c>
      <c r="AF1044" s="451">
        <f ca="1">IF(AND(Scharniere[[#This Row],[Scharnierart]]=select!$A$1486,Scharniere[[#This Row],[Gruppenschlüssel]]=select!$B$1486)=TRUE,1,0)</f>
        <v>0</v>
      </c>
      <c r="AG1044" s="451">
        <f ca="1">IF(AND(Scharniere[[#This Row],[Scharnierart]]=select!$A$1487,Scharniere[[#This Row],[Gruppenschlüssel]]=select!$B$1487)=TRUE,1,0)</f>
        <v>0</v>
      </c>
      <c r="AH1044" s="451">
        <f ca="1">IF(AND(Scharniere[[#This Row],[Scharnierart]]=select!$A$1488,Scharniere[[#This Row],[Gruppenschlüssel]]=select!$B$1488)=TRUE,1,0)</f>
        <v>0</v>
      </c>
      <c r="AI1044" s="451">
        <f ca="1">IF(SUM(Scharniere[[#This Row],[konf Scharnier 1]:[konf Scharnier 4]])&gt;0,1,0)</f>
        <v>0</v>
      </c>
      <c r="AJ1044" s="451"/>
      <c r="AK1044" s="451"/>
      <c r="AL1044" s="451"/>
      <c r="AM1044" s="451"/>
      <c r="AN1044" s="451"/>
      <c r="AO1044" s="146">
        <v>3</v>
      </c>
      <c r="AP1044" s="146">
        <v>2</v>
      </c>
      <c r="AQ1044" s="71" t="str">
        <f ca="1">Sprache!$A$118</f>
        <v>Tiomos Scharnier T Click-on</v>
      </c>
      <c r="AR1044" t="str">
        <f ca="1">"90° PCC, S-BB, "&amp;Sprache!$A$181&amp;", ni"</f>
        <v>90° PCC, S-BB, Dübel, ni</v>
      </c>
      <c r="AS1044" t="str">
        <f ca="1">Sprache!$A$103</f>
        <v>Tiomos Click-On Scharniere</v>
      </c>
      <c r="AT1044" t="s">
        <v>1264</v>
      </c>
      <c r="AU1044" t="s">
        <v>11</v>
      </c>
      <c r="AV1044" t="s">
        <v>1264</v>
      </c>
      <c r="AW1044" s="71">
        <v>0</v>
      </c>
      <c r="AX1044">
        <v>1</v>
      </c>
      <c r="AY1044">
        <v>0</v>
      </c>
      <c r="AZ1044" s="71">
        <v>0</v>
      </c>
      <c r="BA1044">
        <v>1</v>
      </c>
      <c r="BB1044">
        <v>0</v>
      </c>
      <c r="BC1044">
        <v>0</v>
      </c>
      <c r="BD1044" s="144" t="s">
        <v>1692</v>
      </c>
      <c r="BF1044" s="10"/>
      <c r="BG1044"/>
    </row>
    <row r="1045" spans="1:59" ht="14.25" customHeight="1" x14ac:dyDescent="0.25">
      <c r="A1045" s="37" t="str">
        <f>LEFT(Scharniere[[#This Row],[ArtikelNR]],4)</f>
        <v>F045</v>
      </c>
      <c r="B1045" s="35" t="str">
        <f>MID(Scharniere[[#This Row],[ArtikelNR]],5,3)</f>
        <v>138</v>
      </c>
      <c r="C1045" s="37" t="str">
        <f>RIGHT(Scharniere[[#This Row],[ArtikelNR]],3)</f>
        <v>881</v>
      </c>
      <c r="D1045" s="35">
        <f>IF(AND(Scharniere[[#This Row],[Gruppenschlüssel]]=select!$A$44,Scharniere[[#This Row],[Scharnierart]]=1)=TRUE,1,0)</f>
        <v>0</v>
      </c>
      <c r="E104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5" s="35">
        <f>IF(select!$F$57=IF(Scharniere[[#This Row],[mit Dämpfung]]=1,1,IF(Scharniere[[#This Row],[ohne Dämpfung]]=1,2,IF(Scharniere[[#This Row],[ohne Feder]]=1,3,0))),1,0)</f>
        <v>0</v>
      </c>
      <c r="G1045" s="35">
        <f>IF(Scharniere[[#This Row],[Bohrbild]]=select!$V$43,1,0)</f>
        <v>0</v>
      </c>
      <c r="H1045" s="35">
        <f>IF(IF(Scharniere[[#This Row],[Anschrauben]]=1,1,IF(Scharniere[[#This Row],[Einpressen]]=1,2,IF(Scharniere[[#This Row],[Quick]]=1,3,IF(Scharniere[[#This Row],[Werkzeuglos]]=1,4,0))))=select!$F$48,1,0)</f>
        <v>0</v>
      </c>
      <c r="I104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5" s="149">
        <f>IF(AND(Scharniere[[#This Row],[Scharnierart]]=2,Scharniere[[#This Row],[Gruppenschlüssel]]=select!$A$318)=TRUE,1,0)</f>
        <v>0</v>
      </c>
      <c r="K1045" s="221">
        <f ca="1">IF(select!$O$424&lt;6,1,0)</f>
        <v>1</v>
      </c>
      <c r="L1045" s="221">
        <f>IF(select!$A$362=IF(Scharniere[[#This Row],[mit Dämpfung]]=1,1,IF(Scharniere[[#This Row],[ohne Dämpfung]]=1,2,IF(Scharniere[[#This Row],[ohne Feder]]=1,3,0))),1,0)</f>
        <v>0</v>
      </c>
      <c r="M1045" s="135">
        <f>IF(Scharniere[[#This Row],[Bohrbild]]=select!$O$334,1,0)</f>
        <v>0</v>
      </c>
      <c r="N1045" s="135">
        <f>IF(IF(Scharniere[[#This Row],[Anschrauben]]=1,1,IF(Scharniere[[#This Row],[Einpressen]]=1,2,IF(Scharniere[[#This Row],[Quick]]=1,3,IF(Scharniere[[#This Row],[Werkzeuglos]]=1,4,0))))=select!$E$362,1,0)</f>
        <v>1</v>
      </c>
      <c r="O104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5" s="298">
        <f>IF(AND(Scharniere[[#This Row],[Scharnierart]]=3,Scharniere[[#This Row],[Gruppenschlüssel]]=select!$A$747)=TRUE,1,0)</f>
        <v>0</v>
      </c>
      <c r="Q1045" s="298">
        <f ca="1">IF(select!$O$945&lt;6,1,0)</f>
        <v>1</v>
      </c>
      <c r="R1045" s="298">
        <f>IF(select!$A$778=IF(Scharniere[[#This Row],[mit Dämpfung]]=1,1,IF(Scharniere[[#This Row],[ohne Dämpfung]]=1,2,IF(Scharniere[[#This Row],[ohne Feder]]=1,3,0))),1,0)</f>
        <v>1</v>
      </c>
      <c r="S1045" s="298">
        <f>IF(Scharniere[[#This Row],[Bohrbild]]=select!$A$755,1,0)</f>
        <v>0</v>
      </c>
      <c r="T1045" s="298">
        <f>IF(IF(Scharniere[[#This Row],[Anschrauben]]=1,1,IF(Scharniere[[#This Row],[Einpressen]]=1,2,IF(Scharniere[[#This Row],[Quick]]=1,3,IF(Scharniere[[#This Row],[Werkzeuglos]]=1,4,0))))=select!$A$769,1,0)</f>
        <v>1</v>
      </c>
      <c r="U104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5" s="359">
        <f>IF(AND(Scharniere[[#This Row],[Scharnierart]]=4,Scharniere[[#This Row],[Gruppenschlüssel]]=select!$A$981)=TRUE,1,0)</f>
        <v>0</v>
      </c>
      <c r="W1045" s="359">
        <f ca="1">IF(select!$O$1185&lt;6,1,0)</f>
        <v>1</v>
      </c>
      <c r="X1045" s="359">
        <f>IF(select!$A$1012=IF(Scharniere[[#This Row],[mit Dämpfung]]=1,1,IF(Scharniere[[#This Row],[ohne Dämpfung]]=1,2,IF(Scharniere[[#This Row],[ohne Feder]]=1,3,0))),1,0)</f>
        <v>1</v>
      </c>
      <c r="Y1045" s="359">
        <f>IF(Scharniere[[#This Row],[Bohrbild]]=select!$A$989,1,0)</f>
        <v>0</v>
      </c>
      <c r="Z1045" s="359">
        <f>IF(IF(Scharniere[[#This Row],[Anschrauben]]=1,1,IF(Scharniere[[#This Row],[Einpressen]]=1,2,IF(Scharniere[[#This Row],[Quick]]=1,3,IF(Scharniere[[#This Row],[Werkzeuglos]]=1,4,0))))=select!$A$1003,1,0)</f>
        <v>1</v>
      </c>
      <c r="AA104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5" s="359">
        <f ca="1">IF(select!$K$980="*",Scharniere[[#This Row],[AG Ges2]],Scharniere[[#This Row],[AG Ges1]])</f>
        <v>0</v>
      </c>
      <c r="AE1045" s="451">
        <f ca="1">IF(AND(Scharniere[[#This Row],[Scharnierart]]=select!$A$1485,Scharniere[[#This Row],[Gruppenschlüssel]]=select!$B$1485)=TRUE,1,0)</f>
        <v>0</v>
      </c>
      <c r="AF1045" s="451">
        <f ca="1">IF(AND(Scharniere[[#This Row],[Scharnierart]]=select!$A$1486,Scharniere[[#This Row],[Gruppenschlüssel]]=select!$B$1486)=TRUE,1,0)</f>
        <v>0</v>
      </c>
      <c r="AG1045" s="451">
        <f ca="1">IF(AND(Scharniere[[#This Row],[Scharnierart]]=select!$A$1487,Scharniere[[#This Row],[Gruppenschlüssel]]=select!$B$1487)=TRUE,1,0)</f>
        <v>0</v>
      </c>
      <c r="AH1045" s="451">
        <f ca="1">IF(AND(Scharniere[[#This Row],[Scharnierart]]=select!$A$1488,Scharniere[[#This Row],[Gruppenschlüssel]]=select!$B$1488)=TRUE,1,0)</f>
        <v>0</v>
      </c>
      <c r="AI1045" s="451">
        <f ca="1">IF(SUM(Scharniere[[#This Row],[konf Scharnier 1]:[konf Scharnier 4]])&gt;0,1,0)</f>
        <v>0</v>
      </c>
      <c r="AJ1045" s="451"/>
      <c r="AK1045" s="451"/>
      <c r="AL1045" s="451"/>
      <c r="AM1045" s="451"/>
      <c r="AN1045" s="451"/>
      <c r="AO1045" s="146">
        <v>3</v>
      </c>
      <c r="AP1045" s="146">
        <v>2</v>
      </c>
      <c r="AQ1045" s="71" t="str">
        <f ca="1">Sprache!$A$118</f>
        <v>Tiomos Scharnier T Click-on</v>
      </c>
      <c r="AR1045" t="s">
        <v>2299</v>
      </c>
      <c r="AS1045" t="str">
        <f ca="1">Sprache!$A$103</f>
        <v>Tiomos Click-On Scharniere</v>
      </c>
      <c r="AT1045" t="s">
        <v>1264</v>
      </c>
      <c r="AU1045" t="s">
        <v>11</v>
      </c>
      <c r="AV1045" t="s">
        <v>1264</v>
      </c>
      <c r="AW1045" s="71">
        <v>0</v>
      </c>
      <c r="AX1045">
        <v>1</v>
      </c>
      <c r="AY1045">
        <v>0</v>
      </c>
      <c r="AZ1045" s="71">
        <v>1</v>
      </c>
      <c r="BA1045">
        <v>0</v>
      </c>
      <c r="BB1045">
        <v>0</v>
      </c>
      <c r="BC1045">
        <v>0</v>
      </c>
      <c r="BD1045" s="144" t="s">
        <v>1691</v>
      </c>
      <c r="BF1045" s="10"/>
      <c r="BG1045"/>
    </row>
    <row r="1046" spans="1:59" ht="14.25" customHeight="1" x14ac:dyDescent="0.25">
      <c r="A1046" s="37" t="str">
        <f>LEFT(Scharniere[[#This Row],[ArtikelNR]],4)</f>
        <v>F045</v>
      </c>
      <c r="B1046" s="35" t="str">
        <f>MID(Scharniere[[#This Row],[ArtikelNR]],5,3)</f>
        <v>139</v>
      </c>
      <c r="C1046" s="37" t="str">
        <f>RIGHT(Scharniere[[#This Row],[ArtikelNR]],3)</f>
        <v>063</v>
      </c>
      <c r="D1046" s="35">
        <f>IF(AND(Scharniere[[#This Row],[Gruppenschlüssel]]=select!$A$44,Scharniere[[#This Row],[Scharnierart]]=1)=TRUE,1,0)</f>
        <v>0</v>
      </c>
      <c r="E104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6" s="35">
        <f>IF(select!$F$57=IF(Scharniere[[#This Row],[mit Dämpfung]]=1,1,IF(Scharniere[[#This Row],[ohne Dämpfung]]=1,2,IF(Scharniere[[#This Row],[ohne Feder]]=1,3,0))),1,0)</f>
        <v>0</v>
      </c>
      <c r="G1046" s="35">
        <f>IF(Scharniere[[#This Row],[Bohrbild]]=select!$V$43,1,0)</f>
        <v>0</v>
      </c>
      <c r="H1046" s="35">
        <f>IF(IF(Scharniere[[#This Row],[Anschrauben]]=1,1,IF(Scharniere[[#This Row],[Einpressen]]=1,2,IF(Scharniere[[#This Row],[Quick]]=1,3,IF(Scharniere[[#This Row],[Werkzeuglos]]=1,4,0))))=select!$F$48,1,0)</f>
        <v>0</v>
      </c>
      <c r="I104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6" s="149">
        <f>IF(AND(Scharniere[[#This Row],[Scharnierart]]=2,Scharniere[[#This Row],[Gruppenschlüssel]]=select!$A$318)=TRUE,1,0)</f>
        <v>0</v>
      </c>
      <c r="K1046" s="221">
        <f ca="1">IF(select!$O$424&lt;6,1,0)</f>
        <v>1</v>
      </c>
      <c r="L1046" s="221">
        <f>IF(select!$A$362=IF(Scharniere[[#This Row],[mit Dämpfung]]=1,1,IF(Scharniere[[#This Row],[ohne Dämpfung]]=1,2,IF(Scharniere[[#This Row],[ohne Feder]]=1,3,0))),1,0)</f>
        <v>0</v>
      </c>
      <c r="M1046" s="135">
        <f>IF(Scharniere[[#This Row],[Bohrbild]]=select!$O$334,1,0)</f>
        <v>0</v>
      </c>
      <c r="N1046" s="135">
        <f>IF(IF(Scharniere[[#This Row],[Anschrauben]]=1,1,IF(Scharniere[[#This Row],[Einpressen]]=1,2,IF(Scharniere[[#This Row],[Quick]]=1,3,IF(Scharniere[[#This Row],[Werkzeuglos]]=1,4,0))))=select!$E$362,1,0)</f>
        <v>1</v>
      </c>
      <c r="O104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6" s="298">
        <f>IF(AND(Scharniere[[#This Row],[Scharnierart]]=3,Scharniere[[#This Row],[Gruppenschlüssel]]=select!$A$747)=TRUE,1,0)</f>
        <v>0</v>
      </c>
      <c r="Q1046" s="298">
        <f ca="1">IF(select!$O$945&lt;6,1,0)</f>
        <v>1</v>
      </c>
      <c r="R1046" s="298">
        <f>IF(select!$A$778=IF(Scharniere[[#This Row],[mit Dämpfung]]=1,1,IF(Scharniere[[#This Row],[ohne Dämpfung]]=1,2,IF(Scharniere[[#This Row],[ohne Feder]]=1,3,0))),1,0)</f>
        <v>1</v>
      </c>
      <c r="S1046" s="298">
        <f>IF(Scharniere[[#This Row],[Bohrbild]]=select!$A$755,1,0)</f>
        <v>0</v>
      </c>
      <c r="T1046" s="298">
        <f>IF(IF(Scharniere[[#This Row],[Anschrauben]]=1,1,IF(Scharniere[[#This Row],[Einpressen]]=1,2,IF(Scharniere[[#This Row],[Quick]]=1,3,IF(Scharniere[[#This Row],[Werkzeuglos]]=1,4,0))))=select!$A$769,1,0)</f>
        <v>1</v>
      </c>
      <c r="U104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6" s="359">
        <f>IF(AND(Scharniere[[#This Row],[Scharnierart]]=4,Scharniere[[#This Row],[Gruppenschlüssel]]=select!$A$981)=TRUE,1,0)</f>
        <v>0</v>
      </c>
      <c r="W1046" s="359">
        <f ca="1">IF(select!$O$1185&lt;6,1,0)</f>
        <v>1</v>
      </c>
      <c r="X1046" s="359">
        <f>IF(select!$A$1012=IF(Scharniere[[#This Row],[mit Dämpfung]]=1,1,IF(Scharniere[[#This Row],[ohne Dämpfung]]=1,2,IF(Scharniere[[#This Row],[ohne Feder]]=1,3,0))),1,0)</f>
        <v>1</v>
      </c>
      <c r="Y1046" s="359">
        <f>IF(Scharniere[[#This Row],[Bohrbild]]=select!$A$989,1,0)</f>
        <v>0</v>
      </c>
      <c r="Z1046" s="359">
        <f>IF(IF(Scharniere[[#This Row],[Anschrauben]]=1,1,IF(Scharniere[[#This Row],[Einpressen]]=1,2,IF(Scharniere[[#This Row],[Quick]]=1,3,IF(Scharniere[[#This Row],[Werkzeuglos]]=1,4,0))))=select!$A$1003,1,0)</f>
        <v>1</v>
      </c>
      <c r="AA104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6" s="359">
        <f ca="1">IF(select!$K$980="*",Scharniere[[#This Row],[AG Ges2]],Scharniere[[#This Row],[AG Ges1]])</f>
        <v>0</v>
      </c>
      <c r="AE1046" s="451">
        <f ca="1">IF(AND(Scharniere[[#This Row],[Scharnierart]]=select!$A$1485,Scharniere[[#This Row],[Gruppenschlüssel]]=select!$B$1485)=TRUE,1,0)</f>
        <v>0</v>
      </c>
      <c r="AF1046" s="451">
        <f ca="1">IF(AND(Scharniere[[#This Row],[Scharnierart]]=select!$A$1486,Scharniere[[#This Row],[Gruppenschlüssel]]=select!$B$1486)=TRUE,1,0)</f>
        <v>0</v>
      </c>
      <c r="AG1046" s="451">
        <f ca="1">IF(AND(Scharniere[[#This Row],[Scharnierart]]=select!$A$1487,Scharniere[[#This Row],[Gruppenschlüssel]]=select!$B$1487)=TRUE,1,0)</f>
        <v>0</v>
      </c>
      <c r="AH1046" s="451">
        <f ca="1">IF(AND(Scharniere[[#This Row],[Scharnierart]]=select!$A$1488,Scharniere[[#This Row],[Gruppenschlüssel]]=select!$B$1488)=TRUE,1,0)</f>
        <v>0</v>
      </c>
      <c r="AI1046" s="451">
        <f ca="1">IF(SUM(Scharniere[[#This Row],[konf Scharnier 1]:[konf Scharnier 4]])&gt;0,1,0)</f>
        <v>0</v>
      </c>
      <c r="AJ1046" s="451"/>
      <c r="AK1046" s="451"/>
      <c r="AL1046" s="451"/>
      <c r="AM1046" s="451"/>
      <c r="AN1046" s="451"/>
      <c r="AO1046" s="146">
        <v>3</v>
      </c>
      <c r="AP1046" s="146">
        <v>3</v>
      </c>
      <c r="AQ1046" s="71" t="str">
        <f ca="1">Sprache!$A$118</f>
        <v>Tiomos Scharnier T Click-on</v>
      </c>
      <c r="AR1046" s="3" t="str">
        <f ca="1">"95°, "&amp;Sprache!$A$174&amp;", 36/7.5, K03, ni"</f>
        <v>95°, Mini, 36/7.5, K03, ni</v>
      </c>
      <c r="AS1046" t="str">
        <f ca="1">Sprache!$A$103</f>
        <v>Tiomos Click-On Scharniere</v>
      </c>
      <c r="AT1046">
        <v>3</v>
      </c>
      <c r="AU1046" s="778" t="s">
        <v>1693</v>
      </c>
      <c r="AV1046">
        <v>95</v>
      </c>
      <c r="AW1046" s="71">
        <v>0</v>
      </c>
      <c r="AX1046">
        <v>1</v>
      </c>
      <c r="AY1046">
        <v>0</v>
      </c>
      <c r="AZ1046" s="71">
        <v>1</v>
      </c>
      <c r="BA1046">
        <v>0</v>
      </c>
      <c r="BB1046">
        <v>0</v>
      </c>
      <c r="BC1046">
        <v>0</v>
      </c>
      <c r="BD1046" s="144" t="s">
        <v>1794</v>
      </c>
      <c r="BF1046" s="10"/>
      <c r="BG1046"/>
    </row>
    <row r="1047" spans="1:59" ht="14.25" customHeight="1" x14ac:dyDescent="0.25">
      <c r="A1047" s="37" t="str">
        <f>LEFT(Scharniere[[#This Row],[ArtikelNR]],4)</f>
        <v>F045</v>
      </c>
      <c r="B1047" s="35" t="str">
        <f>MID(Scharniere[[#This Row],[ArtikelNR]],5,3)</f>
        <v>139</v>
      </c>
      <c r="C1047" s="37" t="str">
        <f>RIGHT(Scharniere[[#This Row],[ArtikelNR]],3)</f>
        <v>064</v>
      </c>
      <c r="D1047" s="35">
        <f>IF(AND(Scharniere[[#This Row],[Gruppenschlüssel]]=select!$A$44,Scharniere[[#This Row],[Scharnierart]]=1)=TRUE,1,0)</f>
        <v>0</v>
      </c>
      <c r="E104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7" s="35">
        <f>IF(select!$F$57=IF(Scharniere[[#This Row],[mit Dämpfung]]=1,1,IF(Scharniere[[#This Row],[ohne Dämpfung]]=1,2,IF(Scharniere[[#This Row],[ohne Feder]]=1,3,0))),1,0)</f>
        <v>1</v>
      </c>
      <c r="G1047" s="35">
        <f>IF(Scharniere[[#This Row],[Bohrbild]]=select!$V$43,1,0)</f>
        <v>0</v>
      </c>
      <c r="H1047" s="35">
        <f>IF(IF(Scharniere[[#This Row],[Anschrauben]]=1,1,IF(Scharniere[[#This Row],[Einpressen]]=1,2,IF(Scharniere[[#This Row],[Quick]]=1,3,IF(Scharniere[[#This Row],[Werkzeuglos]]=1,4,0))))=select!$F$48,1,0)</f>
        <v>0</v>
      </c>
      <c r="I104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7" s="149">
        <f>IF(AND(Scharniere[[#This Row],[Scharnierart]]=2,Scharniere[[#This Row],[Gruppenschlüssel]]=select!$A$318)=TRUE,1,0)</f>
        <v>0</v>
      </c>
      <c r="K1047" s="221">
        <f ca="1">IF(select!$O$424&lt;6,1,0)</f>
        <v>1</v>
      </c>
      <c r="L1047" s="221">
        <f>IF(select!$A$362=IF(Scharniere[[#This Row],[mit Dämpfung]]=1,1,IF(Scharniere[[#This Row],[ohne Dämpfung]]=1,2,IF(Scharniere[[#This Row],[ohne Feder]]=1,3,0))),1,0)</f>
        <v>0</v>
      </c>
      <c r="M1047" s="135">
        <f>IF(Scharniere[[#This Row],[Bohrbild]]=select!$O$334,1,0)</f>
        <v>0</v>
      </c>
      <c r="N1047" s="135">
        <f>IF(IF(Scharniere[[#This Row],[Anschrauben]]=1,1,IF(Scharniere[[#This Row],[Einpressen]]=1,2,IF(Scharniere[[#This Row],[Quick]]=1,3,IF(Scharniere[[#This Row],[Werkzeuglos]]=1,4,0))))=select!$E$362,1,0)</f>
        <v>1</v>
      </c>
      <c r="O104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7" s="298">
        <f>IF(AND(Scharniere[[#This Row],[Scharnierart]]=3,Scharniere[[#This Row],[Gruppenschlüssel]]=select!$A$747)=TRUE,1,0)</f>
        <v>0</v>
      </c>
      <c r="Q1047" s="298">
        <f ca="1">IF(select!$O$945&lt;6,1,0)</f>
        <v>1</v>
      </c>
      <c r="R1047" s="298">
        <f>IF(select!$A$778=IF(Scharniere[[#This Row],[mit Dämpfung]]=1,1,IF(Scharniere[[#This Row],[ohne Dämpfung]]=1,2,IF(Scharniere[[#This Row],[ohne Feder]]=1,3,0))),1,0)</f>
        <v>0</v>
      </c>
      <c r="S1047" s="298">
        <f>IF(Scharniere[[#This Row],[Bohrbild]]=select!$A$755,1,0)</f>
        <v>0</v>
      </c>
      <c r="T1047" s="298">
        <f>IF(IF(Scharniere[[#This Row],[Anschrauben]]=1,1,IF(Scharniere[[#This Row],[Einpressen]]=1,2,IF(Scharniere[[#This Row],[Quick]]=1,3,IF(Scharniere[[#This Row],[Werkzeuglos]]=1,4,0))))=select!$A$769,1,0)</f>
        <v>1</v>
      </c>
      <c r="U104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7" s="359">
        <f>IF(AND(Scharniere[[#This Row],[Scharnierart]]=4,Scharniere[[#This Row],[Gruppenschlüssel]]=select!$A$981)=TRUE,1,0)</f>
        <v>0</v>
      </c>
      <c r="W1047" s="359">
        <f ca="1">IF(select!$O$1185&lt;6,1,0)</f>
        <v>1</v>
      </c>
      <c r="X1047" s="359">
        <f>IF(select!$A$1012=IF(Scharniere[[#This Row],[mit Dämpfung]]=1,1,IF(Scharniere[[#This Row],[ohne Dämpfung]]=1,2,IF(Scharniere[[#This Row],[ohne Feder]]=1,3,0))),1,0)</f>
        <v>0</v>
      </c>
      <c r="Y1047" s="359">
        <f>IF(Scharniere[[#This Row],[Bohrbild]]=select!$A$989,1,0)</f>
        <v>0</v>
      </c>
      <c r="Z1047" s="359">
        <f>IF(IF(Scharniere[[#This Row],[Anschrauben]]=1,1,IF(Scharniere[[#This Row],[Einpressen]]=1,2,IF(Scharniere[[#This Row],[Quick]]=1,3,IF(Scharniere[[#This Row],[Werkzeuglos]]=1,4,0))))=select!$A$1003,1,0)</f>
        <v>1</v>
      </c>
      <c r="AA104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7" s="359">
        <f ca="1">IF(select!$K$980="*",Scharniere[[#This Row],[AG Ges2]],Scharniere[[#This Row],[AG Ges1]])</f>
        <v>0</v>
      </c>
      <c r="AE1047" s="451">
        <f ca="1">IF(AND(Scharniere[[#This Row],[Scharnierart]]=select!$A$1485,Scharniere[[#This Row],[Gruppenschlüssel]]=select!$B$1485)=TRUE,1,0)</f>
        <v>0</v>
      </c>
      <c r="AF1047" s="451">
        <f ca="1">IF(AND(Scharniere[[#This Row],[Scharnierart]]=select!$A$1486,Scharniere[[#This Row],[Gruppenschlüssel]]=select!$B$1486)=TRUE,1,0)</f>
        <v>0</v>
      </c>
      <c r="AG1047" s="451">
        <f ca="1">IF(AND(Scharniere[[#This Row],[Scharnierart]]=select!$A$1487,Scharniere[[#This Row],[Gruppenschlüssel]]=select!$B$1487)=TRUE,1,0)</f>
        <v>0</v>
      </c>
      <c r="AH1047" s="451">
        <f ca="1">IF(AND(Scharniere[[#This Row],[Scharnierart]]=select!$A$1488,Scharniere[[#This Row],[Gruppenschlüssel]]=select!$B$1488)=TRUE,1,0)</f>
        <v>0</v>
      </c>
      <c r="AI1047" s="451">
        <f ca="1">IF(SUM(Scharniere[[#This Row],[konf Scharnier 1]:[konf Scharnier 4]])&gt;0,1,0)</f>
        <v>0</v>
      </c>
      <c r="AJ1047" s="451"/>
      <c r="AK1047" s="451"/>
      <c r="AL1047" s="451"/>
      <c r="AM1047" s="451"/>
      <c r="AN1047" s="451"/>
      <c r="AO1047" s="146">
        <v>3</v>
      </c>
      <c r="AP1047" s="146">
        <v>3</v>
      </c>
      <c r="AQ1047" s="71" t="str">
        <f ca="1">Sprache!$A$114</f>
        <v>Tiomos Scharnier TT Click-on</v>
      </c>
      <c r="AR1047" t="str">
        <f ca="1">"95°, "&amp;Sprache!$A$174&amp;", 36/7.5, K03, ni"</f>
        <v>95°, Mini, 36/7.5, K03, ni</v>
      </c>
      <c r="AS1047" t="str">
        <f ca="1">Sprache!$A$103</f>
        <v>Tiomos Click-On Scharniere</v>
      </c>
      <c r="AT1047">
        <v>3</v>
      </c>
      <c r="AU1047" t="s">
        <v>1693</v>
      </c>
      <c r="AV1047">
        <v>95</v>
      </c>
      <c r="AW1047" s="71">
        <v>0</v>
      </c>
      <c r="AX1047">
        <v>0</v>
      </c>
      <c r="AY1047">
        <v>1</v>
      </c>
      <c r="AZ1047" s="71">
        <v>1</v>
      </c>
      <c r="BA1047">
        <v>0</v>
      </c>
      <c r="BB1047">
        <v>0</v>
      </c>
      <c r="BC1047">
        <v>0</v>
      </c>
      <c r="BD1047" s="144" t="s">
        <v>1694</v>
      </c>
      <c r="BF1047" s="10"/>
      <c r="BG1047"/>
    </row>
    <row r="1048" spans="1:59" ht="14.25" customHeight="1" x14ac:dyDescent="0.25">
      <c r="A1048" s="37" t="str">
        <f>LEFT(Scharniere[[#This Row],[ArtikelNR]],4)</f>
        <v>F029</v>
      </c>
      <c r="B1048" s="35" t="str">
        <f>MID(Scharniere[[#This Row],[ArtikelNR]],5,3)</f>
        <v>140</v>
      </c>
      <c r="C1048" s="37" t="str">
        <f>RIGHT(Scharniere[[#This Row],[ArtikelNR]],3)</f>
        <v>338</v>
      </c>
      <c r="D1048" s="35">
        <f>IF(AND(Scharniere[[#This Row],[Gruppenschlüssel]]=select!$A$44,Scharniere[[#This Row],[Scharnierart]]=1)=TRUE,1,0)</f>
        <v>0</v>
      </c>
      <c r="E104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8" s="35">
        <f>IF(select!$F$57=IF(Scharniere[[#This Row],[mit Dämpfung]]=1,1,IF(Scharniere[[#This Row],[ohne Dämpfung]]=1,2,IF(Scharniere[[#This Row],[ohne Feder]]=1,3,0))),1,0)</f>
        <v>0</v>
      </c>
      <c r="G1048" s="35">
        <f>IF(Scharniere[[#This Row],[Bohrbild]]=select!$V$43,1,0)</f>
        <v>0</v>
      </c>
      <c r="H1048" s="35">
        <f>IF(IF(Scharniere[[#This Row],[Anschrauben]]=1,1,IF(Scharniere[[#This Row],[Einpressen]]=1,2,IF(Scharniere[[#This Row],[Quick]]=1,3,IF(Scharniere[[#This Row],[Werkzeuglos]]=1,4,0))))=select!$F$48,1,0)</f>
        <v>0</v>
      </c>
      <c r="I104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8" s="149">
        <f>IF(AND(Scharniere[[#This Row],[Scharnierart]]=2,Scharniere[[#This Row],[Gruppenschlüssel]]=select!$A$318)=TRUE,1,0)</f>
        <v>0</v>
      </c>
      <c r="K1048" s="221">
        <f ca="1">IF(select!$O$424&lt;6,1,0)</f>
        <v>1</v>
      </c>
      <c r="L1048" s="221">
        <f>IF(select!$A$362=IF(Scharniere[[#This Row],[mit Dämpfung]]=1,1,IF(Scharniere[[#This Row],[ohne Dämpfung]]=1,2,IF(Scharniere[[#This Row],[ohne Feder]]=1,3,0))),1,0)</f>
        <v>1</v>
      </c>
      <c r="M1048" s="135">
        <f>IF(Scharniere[[#This Row],[Bohrbild]]=select!$O$334,1,0)</f>
        <v>0</v>
      </c>
      <c r="N1048" s="135">
        <f>IF(IF(Scharniere[[#This Row],[Anschrauben]]=1,1,IF(Scharniere[[#This Row],[Einpressen]]=1,2,IF(Scharniere[[#This Row],[Quick]]=1,3,IF(Scharniere[[#This Row],[Werkzeuglos]]=1,4,0))))=select!$E$362,1,0)</f>
        <v>1</v>
      </c>
      <c r="O104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8" s="298">
        <f>IF(AND(Scharniere[[#This Row],[Scharnierart]]=3,Scharniere[[#This Row],[Gruppenschlüssel]]=select!$A$747)=TRUE,1,0)</f>
        <v>0</v>
      </c>
      <c r="Q1048" s="298">
        <f ca="1">IF(select!$O$945&lt;6,1,0)</f>
        <v>1</v>
      </c>
      <c r="R1048" s="298">
        <f>IF(select!$A$778=IF(Scharniere[[#This Row],[mit Dämpfung]]=1,1,IF(Scharniere[[#This Row],[ohne Dämpfung]]=1,2,IF(Scharniere[[#This Row],[ohne Feder]]=1,3,0))),1,0)</f>
        <v>0</v>
      </c>
      <c r="S1048" s="298">
        <f>IF(Scharniere[[#This Row],[Bohrbild]]=select!$A$755,1,0)</f>
        <v>0</v>
      </c>
      <c r="T1048" s="298">
        <f>IF(IF(Scharniere[[#This Row],[Anschrauben]]=1,1,IF(Scharniere[[#This Row],[Einpressen]]=1,2,IF(Scharniere[[#This Row],[Quick]]=1,3,IF(Scharniere[[#This Row],[Werkzeuglos]]=1,4,0))))=select!$A$769,1,0)</f>
        <v>1</v>
      </c>
      <c r="U104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8" s="359">
        <f>IF(AND(Scharniere[[#This Row],[Scharnierart]]=4,Scharniere[[#This Row],[Gruppenschlüssel]]=select!$A$981)=TRUE,1,0)</f>
        <v>0</v>
      </c>
      <c r="W1048" s="359">
        <f ca="1">IF(select!$O$1185&lt;6,1,0)</f>
        <v>1</v>
      </c>
      <c r="X1048" s="359">
        <f>IF(select!$A$1012=IF(Scharniere[[#This Row],[mit Dämpfung]]=1,1,IF(Scharniere[[#This Row],[ohne Dämpfung]]=1,2,IF(Scharniere[[#This Row],[ohne Feder]]=1,3,0))),1,0)</f>
        <v>0</v>
      </c>
      <c r="Y1048" s="359">
        <f>IF(Scharniere[[#This Row],[Bohrbild]]=select!$A$989,1,0)</f>
        <v>0</v>
      </c>
      <c r="Z1048" s="359">
        <f>IF(IF(Scharniere[[#This Row],[Anschrauben]]=1,1,IF(Scharniere[[#This Row],[Einpressen]]=1,2,IF(Scharniere[[#This Row],[Quick]]=1,3,IF(Scharniere[[#This Row],[Werkzeuglos]]=1,4,0))))=select!$A$1003,1,0)</f>
        <v>1</v>
      </c>
      <c r="AA104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8" s="359">
        <f ca="1">IF(select!$K$980="*",Scharniere[[#This Row],[AG Ges2]],Scharniere[[#This Row],[AG Ges1]])</f>
        <v>0</v>
      </c>
      <c r="AE1048" s="451">
        <f ca="1">IF(AND(Scharniere[[#This Row],[Scharnierart]]=select!$A$1485,Scharniere[[#This Row],[Gruppenschlüssel]]=select!$B$1485)=TRUE,1,0)</f>
        <v>0</v>
      </c>
      <c r="AF1048" s="451">
        <f ca="1">IF(AND(Scharniere[[#This Row],[Scharnierart]]=select!$A$1486,Scharniere[[#This Row],[Gruppenschlüssel]]=select!$B$1486)=TRUE,1,0)</f>
        <v>0</v>
      </c>
      <c r="AG1048" s="451">
        <f ca="1">IF(AND(Scharniere[[#This Row],[Scharnierart]]=select!$A$1487,Scharniere[[#This Row],[Gruppenschlüssel]]=select!$B$1487)=TRUE,1,0)</f>
        <v>0</v>
      </c>
      <c r="AH1048" s="451">
        <f ca="1">IF(AND(Scharniere[[#This Row],[Scharnierart]]=select!$A$1488,Scharniere[[#This Row],[Gruppenschlüssel]]=select!$B$1488)=TRUE,1,0)</f>
        <v>1</v>
      </c>
      <c r="AI1048" s="451">
        <f ca="1">IF(SUM(Scharniere[[#This Row],[konf Scharnier 1]:[konf Scharnier 4]])&gt;0,1,0)</f>
        <v>1</v>
      </c>
      <c r="AJ1048" s="451"/>
      <c r="AK1048" s="451"/>
      <c r="AL1048" s="451"/>
      <c r="AM1048" s="451"/>
      <c r="AN1048" s="451"/>
      <c r="AO1048" s="146">
        <v>3</v>
      </c>
      <c r="AP1048" s="146">
        <v>4</v>
      </c>
      <c r="AQ1048" s="71" t="str">
        <f ca="1">Sprache!$A$125</f>
        <v>Tiomos Scharnier TS M9 110°</v>
      </c>
      <c r="AR1048" t="s">
        <v>1583</v>
      </c>
      <c r="AS1048" t="str">
        <f ca="1">Sprache!$A$103</f>
        <v>Tiomos Click-On Scharniere</v>
      </c>
      <c r="AT1048">
        <v>14</v>
      </c>
      <c r="AU1048" t="s">
        <v>3</v>
      </c>
      <c r="AV1048">
        <v>110</v>
      </c>
      <c r="AW1048" s="71">
        <v>1</v>
      </c>
      <c r="AX1048">
        <v>0</v>
      </c>
      <c r="AY1048">
        <v>0</v>
      </c>
      <c r="AZ1048" s="71">
        <v>1</v>
      </c>
      <c r="BA1048">
        <v>0</v>
      </c>
      <c r="BB1048">
        <v>0</v>
      </c>
      <c r="BC1048">
        <v>0</v>
      </c>
      <c r="BD1048" s="144" t="s">
        <v>1584</v>
      </c>
      <c r="BF1048" s="10"/>
      <c r="BG1048"/>
    </row>
    <row r="1049" spans="1:59" ht="14.25" customHeight="1" x14ac:dyDescent="0.25">
      <c r="A1049" s="37" t="str">
        <f>LEFT(Scharniere[[#This Row],[ArtikelNR]],4)</f>
        <v>F047</v>
      </c>
      <c r="B1049" s="35" t="str">
        <f>MID(Scharniere[[#This Row],[ArtikelNR]],5,3)</f>
        <v>140</v>
      </c>
      <c r="C1049" s="37" t="str">
        <f>RIGHT(Scharniere[[#This Row],[ArtikelNR]],3)</f>
        <v>339</v>
      </c>
      <c r="D1049" s="35">
        <f>IF(AND(Scharniere[[#This Row],[Gruppenschlüssel]]=select!$A$44,Scharniere[[#This Row],[Scharnierart]]=1)=TRUE,1,0)</f>
        <v>0</v>
      </c>
      <c r="E104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49" s="35">
        <f>IF(select!$F$57=IF(Scharniere[[#This Row],[mit Dämpfung]]=1,1,IF(Scharniere[[#This Row],[ohne Dämpfung]]=1,2,IF(Scharniere[[#This Row],[ohne Feder]]=1,3,0))),1,0)</f>
        <v>0</v>
      </c>
      <c r="G1049" s="35">
        <f>IF(Scharniere[[#This Row],[Bohrbild]]=select!$V$43,1,0)</f>
        <v>0</v>
      </c>
      <c r="H1049" s="35">
        <f>IF(IF(Scharniere[[#This Row],[Anschrauben]]=1,1,IF(Scharniere[[#This Row],[Einpressen]]=1,2,IF(Scharniere[[#This Row],[Quick]]=1,3,IF(Scharniere[[#This Row],[Werkzeuglos]]=1,4,0))))=select!$F$48,1,0)</f>
        <v>0</v>
      </c>
      <c r="I104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49" s="149">
        <f>IF(AND(Scharniere[[#This Row],[Scharnierart]]=2,Scharniere[[#This Row],[Gruppenschlüssel]]=select!$A$318)=TRUE,1,0)</f>
        <v>0</v>
      </c>
      <c r="K1049" s="221">
        <f ca="1">IF(select!$O$424&lt;6,1,0)</f>
        <v>1</v>
      </c>
      <c r="L1049" s="221">
        <f>IF(select!$A$362=IF(Scharniere[[#This Row],[mit Dämpfung]]=1,1,IF(Scharniere[[#This Row],[ohne Dämpfung]]=1,2,IF(Scharniere[[#This Row],[ohne Feder]]=1,3,0))),1,0)</f>
        <v>0</v>
      </c>
      <c r="M1049" s="135">
        <f>IF(Scharniere[[#This Row],[Bohrbild]]=select!$O$334,1,0)</f>
        <v>0</v>
      </c>
      <c r="N1049" s="135">
        <f>IF(IF(Scharniere[[#This Row],[Anschrauben]]=1,1,IF(Scharniere[[#This Row],[Einpressen]]=1,2,IF(Scharniere[[#This Row],[Quick]]=1,3,IF(Scharniere[[#This Row],[Werkzeuglos]]=1,4,0))))=select!$E$362,1,0)</f>
        <v>1</v>
      </c>
      <c r="O104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49" s="298">
        <f>IF(AND(Scharniere[[#This Row],[Scharnierart]]=3,Scharniere[[#This Row],[Gruppenschlüssel]]=select!$A$747)=TRUE,1,0)</f>
        <v>0</v>
      </c>
      <c r="Q1049" s="298">
        <f ca="1">IF(select!$O$945&lt;6,1,0)</f>
        <v>1</v>
      </c>
      <c r="R1049" s="298">
        <f>IF(select!$A$778=IF(Scharniere[[#This Row],[mit Dämpfung]]=1,1,IF(Scharniere[[#This Row],[ohne Dämpfung]]=1,2,IF(Scharniere[[#This Row],[ohne Feder]]=1,3,0))),1,0)</f>
        <v>1</v>
      </c>
      <c r="S1049" s="298">
        <f>IF(Scharniere[[#This Row],[Bohrbild]]=select!$A$755,1,0)</f>
        <v>0</v>
      </c>
      <c r="T1049" s="298">
        <f>IF(IF(Scharniere[[#This Row],[Anschrauben]]=1,1,IF(Scharniere[[#This Row],[Einpressen]]=1,2,IF(Scharniere[[#This Row],[Quick]]=1,3,IF(Scharniere[[#This Row],[Werkzeuglos]]=1,4,0))))=select!$A$769,1,0)</f>
        <v>1</v>
      </c>
      <c r="U104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49" s="359">
        <f>IF(AND(Scharniere[[#This Row],[Scharnierart]]=4,Scharniere[[#This Row],[Gruppenschlüssel]]=select!$A$981)=TRUE,1,0)</f>
        <v>0</v>
      </c>
      <c r="W1049" s="359">
        <f ca="1">IF(select!$O$1185&lt;6,1,0)</f>
        <v>1</v>
      </c>
      <c r="X1049" s="359">
        <f>IF(select!$A$1012=IF(Scharniere[[#This Row],[mit Dämpfung]]=1,1,IF(Scharniere[[#This Row],[ohne Dämpfung]]=1,2,IF(Scharniere[[#This Row],[ohne Feder]]=1,3,0))),1,0)</f>
        <v>1</v>
      </c>
      <c r="Y1049" s="359">
        <f>IF(Scharniere[[#This Row],[Bohrbild]]=select!$A$989,1,0)</f>
        <v>0</v>
      </c>
      <c r="Z1049" s="359">
        <f>IF(IF(Scharniere[[#This Row],[Anschrauben]]=1,1,IF(Scharniere[[#This Row],[Einpressen]]=1,2,IF(Scharniere[[#This Row],[Quick]]=1,3,IF(Scharniere[[#This Row],[Werkzeuglos]]=1,4,0))))=select!$A$1003,1,0)</f>
        <v>1</v>
      </c>
      <c r="AA104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4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4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49" s="359">
        <f ca="1">IF(select!$K$980="*",Scharniere[[#This Row],[AG Ges2]],Scharniere[[#This Row],[AG Ges1]])</f>
        <v>0</v>
      </c>
      <c r="AE1049" s="451">
        <f ca="1">IF(AND(Scharniere[[#This Row],[Scharnierart]]=select!$A$1485,Scharniere[[#This Row],[Gruppenschlüssel]]=select!$B$1485)=TRUE,1,0)</f>
        <v>0</v>
      </c>
      <c r="AF1049" s="451">
        <f ca="1">IF(AND(Scharniere[[#This Row],[Scharnierart]]=select!$A$1486,Scharniere[[#This Row],[Gruppenschlüssel]]=select!$B$1486)=TRUE,1,0)</f>
        <v>0</v>
      </c>
      <c r="AG1049" s="451">
        <f ca="1">IF(AND(Scharniere[[#This Row],[Scharnierart]]=select!$A$1487,Scharniere[[#This Row],[Gruppenschlüssel]]=select!$B$1487)=TRUE,1,0)</f>
        <v>0</v>
      </c>
      <c r="AH1049" s="451">
        <f ca="1">IF(AND(Scharniere[[#This Row],[Scharnierart]]=select!$A$1488,Scharniere[[#This Row],[Gruppenschlüssel]]=select!$B$1488)=TRUE,1,0)</f>
        <v>1</v>
      </c>
      <c r="AI1049" s="451">
        <f ca="1">IF(SUM(Scharniere[[#This Row],[konf Scharnier 1]:[konf Scharnier 4]])&gt;0,1,0)</f>
        <v>1</v>
      </c>
      <c r="AJ1049" s="451"/>
      <c r="AK1049" s="451"/>
      <c r="AL1049" s="451"/>
      <c r="AM1049" s="451"/>
      <c r="AN1049" s="451"/>
      <c r="AO1049" s="146">
        <v>3</v>
      </c>
      <c r="AP1049" s="146">
        <v>4</v>
      </c>
      <c r="AQ1049" s="71" t="str">
        <f ca="1">Sprache!$A$121</f>
        <v>Tiomos Scharnier T M9 110°</v>
      </c>
      <c r="AR1049" t="s">
        <v>1583</v>
      </c>
      <c r="AS1049" t="str">
        <f ca="1">Sprache!$A$103</f>
        <v>Tiomos Click-On Scharniere</v>
      </c>
      <c r="AT1049">
        <v>14</v>
      </c>
      <c r="AU1049" t="s">
        <v>3</v>
      </c>
      <c r="AV1049">
        <v>110</v>
      </c>
      <c r="AW1049" s="71">
        <v>0</v>
      </c>
      <c r="AX1049">
        <v>1</v>
      </c>
      <c r="AY1049">
        <v>0</v>
      </c>
      <c r="AZ1049" s="71">
        <v>1</v>
      </c>
      <c r="BA1049">
        <v>0</v>
      </c>
      <c r="BB1049">
        <v>0</v>
      </c>
      <c r="BC1049">
        <v>0</v>
      </c>
      <c r="BD1049" s="144" t="s">
        <v>1746</v>
      </c>
      <c r="BF1049" s="71"/>
      <c r="BG1049"/>
    </row>
    <row r="1050" spans="1:59" ht="14.25" customHeight="1" x14ac:dyDescent="0.25">
      <c r="A1050" s="37" t="str">
        <f>LEFT(Scharniere[[#This Row],[ArtikelNR]],4)</f>
        <v>F049</v>
      </c>
      <c r="B1050" s="35" t="str">
        <f>MID(Scharniere[[#This Row],[ArtikelNR]],5,3)</f>
        <v>140</v>
      </c>
      <c r="C1050" s="37" t="str">
        <f>RIGHT(Scharniere[[#This Row],[ArtikelNR]],3)</f>
        <v>340</v>
      </c>
      <c r="D1050" s="35">
        <f>IF(AND(Scharniere[[#This Row],[Gruppenschlüssel]]=select!$A$44,Scharniere[[#This Row],[Scharnierart]]=1)=TRUE,1,0)</f>
        <v>0</v>
      </c>
      <c r="E105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0" s="35">
        <f>IF(select!$F$57=IF(Scharniere[[#This Row],[mit Dämpfung]]=1,1,IF(Scharniere[[#This Row],[ohne Dämpfung]]=1,2,IF(Scharniere[[#This Row],[ohne Feder]]=1,3,0))),1,0)</f>
        <v>1</v>
      </c>
      <c r="G1050" s="35">
        <f>IF(Scharniere[[#This Row],[Bohrbild]]=select!$V$43,1,0)</f>
        <v>0</v>
      </c>
      <c r="H1050" s="35">
        <f>IF(IF(Scharniere[[#This Row],[Anschrauben]]=1,1,IF(Scharniere[[#This Row],[Einpressen]]=1,2,IF(Scharniere[[#This Row],[Quick]]=1,3,IF(Scharniere[[#This Row],[Werkzeuglos]]=1,4,0))))=select!$F$48,1,0)</f>
        <v>0</v>
      </c>
      <c r="I105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0" s="149">
        <f>IF(AND(Scharniere[[#This Row],[Scharnierart]]=2,Scharniere[[#This Row],[Gruppenschlüssel]]=select!$A$318)=TRUE,1,0)</f>
        <v>0</v>
      </c>
      <c r="K1050" s="221">
        <f ca="1">IF(select!$O$424&lt;6,1,0)</f>
        <v>1</v>
      </c>
      <c r="L1050" s="221">
        <f>IF(select!$A$362=IF(Scharniere[[#This Row],[mit Dämpfung]]=1,1,IF(Scharniere[[#This Row],[ohne Dämpfung]]=1,2,IF(Scharniere[[#This Row],[ohne Feder]]=1,3,0))),1,0)</f>
        <v>0</v>
      </c>
      <c r="M1050" s="135">
        <f>IF(Scharniere[[#This Row],[Bohrbild]]=select!$O$334,1,0)</f>
        <v>0</v>
      </c>
      <c r="N1050" s="135">
        <f>IF(IF(Scharniere[[#This Row],[Anschrauben]]=1,1,IF(Scharniere[[#This Row],[Einpressen]]=1,2,IF(Scharniere[[#This Row],[Quick]]=1,3,IF(Scharniere[[#This Row],[Werkzeuglos]]=1,4,0))))=select!$E$362,1,0)</f>
        <v>1</v>
      </c>
      <c r="O105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0" s="298">
        <f>IF(AND(Scharniere[[#This Row],[Scharnierart]]=3,Scharniere[[#This Row],[Gruppenschlüssel]]=select!$A$747)=TRUE,1,0)</f>
        <v>0</v>
      </c>
      <c r="Q1050" s="298">
        <f ca="1">IF(select!$O$945&lt;6,1,0)</f>
        <v>1</v>
      </c>
      <c r="R1050" s="298">
        <f>IF(select!$A$778=IF(Scharniere[[#This Row],[mit Dämpfung]]=1,1,IF(Scharniere[[#This Row],[ohne Dämpfung]]=1,2,IF(Scharniere[[#This Row],[ohne Feder]]=1,3,0))),1,0)</f>
        <v>0</v>
      </c>
      <c r="S1050" s="298">
        <f>IF(Scharniere[[#This Row],[Bohrbild]]=select!$A$755,1,0)</f>
        <v>0</v>
      </c>
      <c r="T1050" s="298">
        <f>IF(IF(Scharniere[[#This Row],[Anschrauben]]=1,1,IF(Scharniere[[#This Row],[Einpressen]]=1,2,IF(Scharniere[[#This Row],[Quick]]=1,3,IF(Scharniere[[#This Row],[Werkzeuglos]]=1,4,0))))=select!$A$769,1,0)</f>
        <v>1</v>
      </c>
      <c r="U105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0" s="359">
        <f>IF(AND(Scharniere[[#This Row],[Scharnierart]]=4,Scharniere[[#This Row],[Gruppenschlüssel]]=select!$A$981)=TRUE,1,0)</f>
        <v>0</v>
      </c>
      <c r="W1050" s="359">
        <f ca="1">IF(select!$O$1185&lt;6,1,0)</f>
        <v>1</v>
      </c>
      <c r="X1050" s="359">
        <f>IF(select!$A$1012=IF(Scharniere[[#This Row],[mit Dämpfung]]=1,1,IF(Scharniere[[#This Row],[ohne Dämpfung]]=1,2,IF(Scharniere[[#This Row],[ohne Feder]]=1,3,0))),1,0)</f>
        <v>0</v>
      </c>
      <c r="Y1050" s="359">
        <f>IF(Scharniere[[#This Row],[Bohrbild]]=select!$A$989,1,0)</f>
        <v>0</v>
      </c>
      <c r="Z1050" s="359">
        <f>IF(IF(Scharniere[[#This Row],[Anschrauben]]=1,1,IF(Scharniere[[#This Row],[Einpressen]]=1,2,IF(Scharniere[[#This Row],[Quick]]=1,3,IF(Scharniere[[#This Row],[Werkzeuglos]]=1,4,0))))=select!$A$1003,1,0)</f>
        <v>1</v>
      </c>
      <c r="AA105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0" s="359">
        <f ca="1">IF(select!$K$980="*",Scharniere[[#This Row],[AG Ges2]],Scharniere[[#This Row],[AG Ges1]])</f>
        <v>0</v>
      </c>
      <c r="AE1050" s="451">
        <f ca="1">IF(AND(Scharniere[[#This Row],[Scharnierart]]=select!$A$1485,Scharniere[[#This Row],[Gruppenschlüssel]]=select!$B$1485)=TRUE,1,0)</f>
        <v>0</v>
      </c>
      <c r="AF1050" s="451">
        <f ca="1">IF(AND(Scharniere[[#This Row],[Scharnierart]]=select!$A$1486,Scharniere[[#This Row],[Gruppenschlüssel]]=select!$B$1486)=TRUE,1,0)</f>
        <v>0</v>
      </c>
      <c r="AG1050" s="451">
        <f ca="1">IF(AND(Scharniere[[#This Row],[Scharnierart]]=select!$A$1487,Scharniere[[#This Row],[Gruppenschlüssel]]=select!$B$1487)=TRUE,1,0)</f>
        <v>0</v>
      </c>
      <c r="AH1050" s="451">
        <f ca="1">IF(AND(Scharniere[[#This Row],[Scharnierart]]=select!$A$1488,Scharniere[[#This Row],[Gruppenschlüssel]]=select!$B$1488)=TRUE,1,0)</f>
        <v>1</v>
      </c>
      <c r="AI1050" s="451">
        <f ca="1">IF(SUM(Scharniere[[#This Row],[konf Scharnier 1]:[konf Scharnier 4]])&gt;0,1,0)</f>
        <v>1</v>
      </c>
      <c r="AJ1050" s="451"/>
      <c r="AK1050" s="451"/>
      <c r="AL1050" s="451"/>
      <c r="AM1050" s="451"/>
      <c r="AN1050" s="451"/>
      <c r="AO1050" s="146">
        <v>3</v>
      </c>
      <c r="AP1050" s="146">
        <v>4</v>
      </c>
      <c r="AQ1050" s="71" t="str">
        <f ca="1">Sprache!$A$128</f>
        <v>Tiomos Scharnier TT M9 110°</v>
      </c>
      <c r="AR1050" t="s">
        <v>1583</v>
      </c>
      <c r="AS1050" t="str">
        <f ca="1">Sprache!$A$103</f>
        <v>Tiomos Click-On Scharniere</v>
      </c>
      <c r="AT1050">
        <v>14</v>
      </c>
      <c r="AU1050" t="s">
        <v>3</v>
      </c>
      <c r="AV1050">
        <v>110</v>
      </c>
      <c r="AW1050" s="71">
        <v>0</v>
      </c>
      <c r="AX1050">
        <v>0</v>
      </c>
      <c r="AY1050">
        <v>1</v>
      </c>
      <c r="AZ1050" s="71">
        <v>1</v>
      </c>
      <c r="BA1050">
        <v>0</v>
      </c>
      <c r="BB1050">
        <v>0</v>
      </c>
      <c r="BC1050">
        <v>0</v>
      </c>
      <c r="BD1050" s="144" t="s">
        <v>1754</v>
      </c>
      <c r="BF1050" s="10"/>
      <c r="BG1050"/>
    </row>
    <row r="1051" spans="1:59" ht="14.25" customHeight="1" x14ac:dyDescent="0.25">
      <c r="A1051" s="37" t="str">
        <f>LEFT(Scharniere[[#This Row],[ArtikelNR]],4)</f>
        <v>F029</v>
      </c>
      <c r="B1051" s="35" t="str">
        <f>MID(Scharniere[[#This Row],[ArtikelNR]],5,3)</f>
        <v>140</v>
      </c>
      <c r="C1051" s="37" t="str">
        <f>RIGHT(Scharniere[[#This Row],[ArtikelNR]],3)</f>
        <v>334</v>
      </c>
      <c r="D1051" s="35">
        <f>IF(AND(Scharniere[[#This Row],[Gruppenschlüssel]]=select!$A$44,Scharniere[[#This Row],[Scharnierart]]=1)=TRUE,1,0)</f>
        <v>0</v>
      </c>
      <c r="E105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1" s="35">
        <f>IF(select!$F$57=IF(Scharniere[[#This Row],[mit Dämpfung]]=1,1,IF(Scharniere[[#This Row],[ohne Dämpfung]]=1,2,IF(Scharniere[[#This Row],[ohne Feder]]=1,3,0))),1,0)</f>
        <v>0</v>
      </c>
      <c r="G1051" s="35">
        <f>IF(Scharniere[[#This Row],[Bohrbild]]=select!$V$43,1,0)</f>
        <v>1</v>
      </c>
      <c r="H1051" s="35">
        <f>IF(IF(Scharniere[[#This Row],[Anschrauben]]=1,1,IF(Scharniere[[#This Row],[Einpressen]]=1,2,IF(Scharniere[[#This Row],[Quick]]=1,3,IF(Scharniere[[#This Row],[Werkzeuglos]]=1,4,0))))=select!$F$48,1,0)</f>
        <v>0</v>
      </c>
      <c r="I105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1" s="149">
        <f>IF(AND(Scharniere[[#This Row],[Scharnierart]]=2,Scharniere[[#This Row],[Gruppenschlüssel]]=select!$A$318)=TRUE,1,0)</f>
        <v>0</v>
      </c>
      <c r="K1051" s="221">
        <f ca="1">IF(select!$O$424&lt;6,1,0)</f>
        <v>1</v>
      </c>
      <c r="L1051" s="221">
        <f>IF(select!$A$362=IF(Scharniere[[#This Row],[mit Dämpfung]]=1,1,IF(Scharniere[[#This Row],[ohne Dämpfung]]=1,2,IF(Scharniere[[#This Row],[ohne Feder]]=1,3,0))),1,0)</f>
        <v>1</v>
      </c>
      <c r="M1051" s="135">
        <f>IF(Scharniere[[#This Row],[Bohrbild]]=select!$O$334,1,0)</f>
        <v>1</v>
      </c>
      <c r="N1051" s="135">
        <f>IF(IF(Scharniere[[#This Row],[Anschrauben]]=1,1,IF(Scharniere[[#This Row],[Einpressen]]=1,2,IF(Scharniere[[#This Row],[Quick]]=1,3,IF(Scharniere[[#This Row],[Werkzeuglos]]=1,4,0))))=select!$E$362,1,0)</f>
        <v>1</v>
      </c>
      <c r="O105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1" s="298">
        <f>IF(AND(Scharniere[[#This Row],[Scharnierart]]=3,Scharniere[[#This Row],[Gruppenschlüssel]]=select!$A$747)=TRUE,1,0)</f>
        <v>0</v>
      </c>
      <c r="Q1051" s="298">
        <f ca="1">IF(select!$O$945&lt;6,1,0)</f>
        <v>1</v>
      </c>
      <c r="R1051" s="298">
        <f>IF(select!$A$778=IF(Scharniere[[#This Row],[mit Dämpfung]]=1,1,IF(Scharniere[[#This Row],[ohne Dämpfung]]=1,2,IF(Scharniere[[#This Row],[ohne Feder]]=1,3,0))),1,0)</f>
        <v>0</v>
      </c>
      <c r="S1051" s="298">
        <f>IF(Scharniere[[#This Row],[Bohrbild]]=select!$A$755,1,0)</f>
        <v>0</v>
      </c>
      <c r="T1051" s="298">
        <f>IF(IF(Scharniere[[#This Row],[Anschrauben]]=1,1,IF(Scharniere[[#This Row],[Einpressen]]=1,2,IF(Scharniere[[#This Row],[Quick]]=1,3,IF(Scharniere[[#This Row],[Werkzeuglos]]=1,4,0))))=select!$A$769,1,0)</f>
        <v>1</v>
      </c>
      <c r="U105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1" s="359">
        <f>IF(AND(Scharniere[[#This Row],[Scharnierart]]=4,Scharniere[[#This Row],[Gruppenschlüssel]]=select!$A$981)=TRUE,1,0)</f>
        <v>0</v>
      </c>
      <c r="W1051" s="359">
        <f ca="1">IF(select!$O$1185&lt;6,1,0)</f>
        <v>1</v>
      </c>
      <c r="X1051" s="359">
        <f>IF(select!$A$1012=IF(Scharniere[[#This Row],[mit Dämpfung]]=1,1,IF(Scharniere[[#This Row],[ohne Dämpfung]]=1,2,IF(Scharniere[[#This Row],[ohne Feder]]=1,3,0))),1,0)</f>
        <v>0</v>
      </c>
      <c r="Y1051" s="359">
        <f>IF(Scharniere[[#This Row],[Bohrbild]]=select!$A$989,1,0)</f>
        <v>0</v>
      </c>
      <c r="Z1051" s="359">
        <f>IF(IF(Scharniere[[#This Row],[Anschrauben]]=1,1,IF(Scharniere[[#This Row],[Einpressen]]=1,2,IF(Scharniere[[#This Row],[Quick]]=1,3,IF(Scharniere[[#This Row],[Werkzeuglos]]=1,4,0))))=select!$A$1003,1,0)</f>
        <v>1</v>
      </c>
      <c r="AA105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1" s="359">
        <f ca="1">IF(select!$K$980="*",Scharniere[[#This Row],[AG Ges2]],Scharniere[[#This Row],[AG Ges1]])</f>
        <v>0</v>
      </c>
      <c r="AE1051" s="451">
        <f ca="1">IF(AND(Scharniere[[#This Row],[Scharnierart]]=select!$A$1485,Scharniere[[#This Row],[Gruppenschlüssel]]=select!$B$1485)=TRUE,1,0)</f>
        <v>0</v>
      </c>
      <c r="AF1051" s="451">
        <f ca="1">IF(AND(Scharniere[[#This Row],[Scharnierart]]=select!$A$1486,Scharniere[[#This Row],[Gruppenschlüssel]]=select!$B$1486)=TRUE,1,0)</f>
        <v>0</v>
      </c>
      <c r="AG1051" s="451">
        <f ca="1">IF(AND(Scharniere[[#This Row],[Scharnierart]]=select!$A$1487,Scharniere[[#This Row],[Gruppenschlüssel]]=select!$B$1487)=TRUE,1,0)</f>
        <v>0</v>
      </c>
      <c r="AH1051" s="451">
        <f ca="1">IF(AND(Scharniere[[#This Row],[Scharnierart]]=select!$A$1488,Scharniere[[#This Row],[Gruppenschlüssel]]=select!$B$1488)=TRUE,1,0)</f>
        <v>1</v>
      </c>
      <c r="AI1051" s="451">
        <f ca="1">IF(SUM(Scharniere[[#This Row],[konf Scharnier 1]:[konf Scharnier 4]])&gt;0,1,0)</f>
        <v>1</v>
      </c>
      <c r="AJ1051" s="451"/>
      <c r="AK1051" s="451"/>
      <c r="AL1051" s="451"/>
      <c r="AM1051" s="451"/>
      <c r="AN1051" s="451"/>
      <c r="AO1051" s="146">
        <v>3</v>
      </c>
      <c r="AP1051" s="146">
        <v>4</v>
      </c>
      <c r="AQ1051" s="71" t="str">
        <f ca="1">Sprache!$A$125</f>
        <v>Tiomos Scharnier TS M9 110°</v>
      </c>
      <c r="AR1051" t="s">
        <v>1796</v>
      </c>
      <c r="AS1051" t="str">
        <f ca="1">Sprache!$A$103</f>
        <v>Tiomos Click-On Scharniere</v>
      </c>
      <c r="AT1051">
        <v>14</v>
      </c>
      <c r="AU1051" t="s">
        <v>8</v>
      </c>
      <c r="AV1051" t="s">
        <v>23</v>
      </c>
      <c r="AW1051" s="71">
        <v>1</v>
      </c>
      <c r="AX1051">
        <v>0</v>
      </c>
      <c r="AY1051">
        <v>0</v>
      </c>
      <c r="AZ1051" s="71">
        <v>1</v>
      </c>
      <c r="BA1051">
        <v>0</v>
      </c>
      <c r="BB1051">
        <v>0</v>
      </c>
      <c r="BC1051">
        <v>0</v>
      </c>
      <c r="BD1051" s="144" t="s">
        <v>1785</v>
      </c>
      <c r="BF1051" s="71"/>
      <c r="BG1051"/>
    </row>
    <row r="1052" spans="1:59" ht="14.25" customHeight="1" x14ac:dyDescent="0.25">
      <c r="A1052" s="37" t="str">
        <f>LEFT(Scharniere[[#This Row],[ArtikelNR]],4)</f>
        <v>F047</v>
      </c>
      <c r="B1052" s="35" t="str">
        <f>MID(Scharniere[[#This Row],[ArtikelNR]],5,3)</f>
        <v>140</v>
      </c>
      <c r="C1052" s="37" t="str">
        <f>RIGHT(Scharniere[[#This Row],[ArtikelNR]],3)</f>
        <v>335</v>
      </c>
      <c r="D1052" s="35">
        <f>IF(AND(Scharniere[[#This Row],[Gruppenschlüssel]]=select!$A$44,Scharniere[[#This Row],[Scharnierart]]=1)=TRUE,1,0)</f>
        <v>0</v>
      </c>
      <c r="E105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2" s="35">
        <f>IF(select!$F$57=IF(Scharniere[[#This Row],[mit Dämpfung]]=1,1,IF(Scharniere[[#This Row],[ohne Dämpfung]]=1,2,IF(Scharniere[[#This Row],[ohne Feder]]=1,3,0))),1,0)</f>
        <v>0</v>
      </c>
      <c r="G1052" s="35">
        <f>IF(Scharniere[[#This Row],[Bohrbild]]=select!$V$43,1,0)</f>
        <v>1</v>
      </c>
      <c r="H1052" s="35">
        <f>IF(IF(Scharniere[[#This Row],[Anschrauben]]=1,1,IF(Scharniere[[#This Row],[Einpressen]]=1,2,IF(Scharniere[[#This Row],[Quick]]=1,3,IF(Scharniere[[#This Row],[Werkzeuglos]]=1,4,0))))=select!$F$48,1,0)</f>
        <v>0</v>
      </c>
      <c r="I105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2" s="149">
        <f>IF(AND(Scharniere[[#This Row],[Scharnierart]]=2,Scharniere[[#This Row],[Gruppenschlüssel]]=select!$A$318)=TRUE,1,0)</f>
        <v>0</v>
      </c>
      <c r="K1052" s="221">
        <f ca="1">IF(select!$O$424&lt;6,1,0)</f>
        <v>1</v>
      </c>
      <c r="L1052" s="221">
        <f>IF(select!$A$362=IF(Scharniere[[#This Row],[mit Dämpfung]]=1,1,IF(Scharniere[[#This Row],[ohne Dämpfung]]=1,2,IF(Scharniere[[#This Row],[ohne Feder]]=1,3,0))),1,0)</f>
        <v>0</v>
      </c>
      <c r="M1052" s="135">
        <f>IF(Scharniere[[#This Row],[Bohrbild]]=select!$O$334,1,0)</f>
        <v>1</v>
      </c>
      <c r="N1052" s="135">
        <f>IF(IF(Scharniere[[#This Row],[Anschrauben]]=1,1,IF(Scharniere[[#This Row],[Einpressen]]=1,2,IF(Scharniere[[#This Row],[Quick]]=1,3,IF(Scharniere[[#This Row],[Werkzeuglos]]=1,4,0))))=select!$E$362,1,0)</f>
        <v>1</v>
      </c>
      <c r="O105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2" s="298">
        <f>IF(AND(Scharniere[[#This Row],[Scharnierart]]=3,Scharniere[[#This Row],[Gruppenschlüssel]]=select!$A$747)=TRUE,1,0)</f>
        <v>0</v>
      </c>
      <c r="Q1052" s="298">
        <f ca="1">IF(select!$O$945&lt;6,1,0)</f>
        <v>1</v>
      </c>
      <c r="R1052" s="298">
        <f>IF(select!$A$778=IF(Scharniere[[#This Row],[mit Dämpfung]]=1,1,IF(Scharniere[[#This Row],[ohne Dämpfung]]=1,2,IF(Scharniere[[#This Row],[ohne Feder]]=1,3,0))),1,0)</f>
        <v>1</v>
      </c>
      <c r="S1052" s="298">
        <f>IF(Scharniere[[#This Row],[Bohrbild]]=select!$A$755,1,0)</f>
        <v>0</v>
      </c>
      <c r="T1052" s="298">
        <f>IF(IF(Scharniere[[#This Row],[Anschrauben]]=1,1,IF(Scharniere[[#This Row],[Einpressen]]=1,2,IF(Scharniere[[#This Row],[Quick]]=1,3,IF(Scharniere[[#This Row],[Werkzeuglos]]=1,4,0))))=select!$A$769,1,0)</f>
        <v>1</v>
      </c>
      <c r="U105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2" s="359">
        <f>IF(AND(Scharniere[[#This Row],[Scharnierart]]=4,Scharniere[[#This Row],[Gruppenschlüssel]]=select!$A$981)=TRUE,1,0)</f>
        <v>0</v>
      </c>
      <c r="W1052" s="359">
        <f ca="1">IF(select!$O$1185&lt;6,1,0)</f>
        <v>1</v>
      </c>
      <c r="X1052" s="359">
        <f>IF(select!$A$1012=IF(Scharniere[[#This Row],[mit Dämpfung]]=1,1,IF(Scharniere[[#This Row],[ohne Dämpfung]]=1,2,IF(Scharniere[[#This Row],[ohne Feder]]=1,3,0))),1,0)</f>
        <v>1</v>
      </c>
      <c r="Y1052" s="359">
        <f>IF(Scharniere[[#This Row],[Bohrbild]]=select!$A$989,1,0)</f>
        <v>0</v>
      </c>
      <c r="Z1052" s="359">
        <f>IF(IF(Scharniere[[#This Row],[Anschrauben]]=1,1,IF(Scharniere[[#This Row],[Einpressen]]=1,2,IF(Scharniere[[#This Row],[Quick]]=1,3,IF(Scharniere[[#This Row],[Werkzeuglos]]=1,4,0))))=select!$A$1003,1,0)</f>
        <v>1</v>
      </c>
      <c r="AA105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2" s="359">
        <f ca="1">IF(select!$K$980="*",Scharniere[[#This Row],[AG Ges2]],Scharniere[[#This Row],[AG Ges1]])</f>
        <v>0</v>
      </c>
      <c r="AE1052" s="451">
        <f ca="1">IF(AND(Scharniere[[#This Row],[Scharnierart]]=select!$A$1485,Scharniere[[#This Row],[Gruppenschlüssel]]=select!$B$1485)=TRUE,1,0)</f>
        <v>0</v>
      </c>
      <c r="AF1052" s="451">
        <f ca="1">IF(AND(Scharniere[[#This Row],[Scharnierart]]=select!$A$1486,Scharniere[[#This Row],[Gruppenschlüssel]]=select!$B$1486)=TRUE,1,0)</f>
        <v>0</v>
      </c>
      <c r="AG1052" s="451">
        <f ca="1">IF(AND(Scharniere[[#This Row],[Scharnierart]]=select!$A$1487,Scharniere[[#This Row],[Gruppenschlüssel]]=select!$B$1487)=TRUE,1,0)</f>
        <v>0</v>
      </c>
      <c r="AH1052" s="451">
        <f ca="1">IF(AND(Scharniere[[#This Row],[Scharnierart]]=select!$A$1488,Scharniere[[#This Row],[Gruppenschlüssel]]=select!$B$1488)=TRUE,1,0)</f>
        <v>1</v>
      </c>
      <c r="AI1052" s="451">
        <f ca="1">IF(SUM(Scharniere[[#This Row],[konf Scharnier 1]:[konf Scharnier 4]])&gt;0,1,0)</f>
        <v>1</v>
      </c>
      <c r="AJ1052" s="451"/>
      <c r="AK1052" s="451"/>
      <c r="AL1052" s="451"/>
      <c r="AM1052" s="451"/>
      <c r="AN1052" s="451"/>
      <c r="AO1052" s="146">
        <v>3</v>
      </c>
      <c r="AP1052" s="146">
        <v>4</v>
      </c>
      <c r="AQ1052" s="71" t="str">
        <f ca="1">Sprache!$A$121</f>
        <v>Tiomos Scharnier T M9 110°</v>
      </c>
      <c r="AR1052" t="s">
        <v>1796</v>
      </c>
      <c r="AS1052" t="str">
        <f ca="1">Sprache!$A$103</f>
        <v>Tiomos Click-On Scharniere</v>
      </c>
      <c r="AT1052">
        <v>14</v>
      </c>
      <c r="AU1052" t="s">
        <v>8</v>
      </c>
      <c r="AV1052">
        <v>110</v>
      </c>
      <c r="AW1052" s="71">
        <v>0</v>
      </c>
      <c r="AX1052">
        <v>1</v>
      </c>
      <c r="AY1052">
        <v>0</v>
      </c>
      <c r="AZ1052" s="71">
        <v>1</v>
      </c>
      <c r="BA1052">
        <v>0</v>
      </c>
      <c r="BB1052">
        <v>0</v>
      </c>
      <c r="BC1052">
        <v>0</v>
      </c>
      <c r="BD1052" s="144" t="s">
        <v>1745</v>
      </c>
      <c r="BF1052" s="10"/>
      <c r="BG1052"/>
    </row>
    <row r="1053" spans="1:59" ht="14.25" customHeight="1" x14ac:dyDescent="0.25">
      <c r="A1053" s="37" t="str">
        <f>LEFT(Scharniere[[#This Row],[ArtikelNR]],4)</f>
        <v>F049</v>
      </c>
      <c r="B1053" s="35" t="str">
        <f>MID(Scharniere[[#This Row],[ArtikelNR]],5,3)</f>
        <v>140</v>
      </c>
      <c r="C1053" s="37" t="str">
        <f>RIGHT(Scharniere[[#This Row],[ArtikelNR]],3)</f>
        <v>336</v>
      </c>
      <c r="D1053" s="35">
        <f>IF(AND(Scharniere[[#This Row],[Gruppenschlüssel]]=select!$A$44,Scharniere[[#This Row],[Scharnierart]]=1)=TRUE,1,0)</f>
        <v>0</v>
      </c>
      <c r="E105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3" s="35">
        <f>IF(select!$F$57=IF(Scharniere[[#This Row],[mit Dämpfung]]=1,1,IF(Scharniere[[#This Row],[ohne Dämpfung]]=1,2,IF(Scharniere[[#This Row],[ohne Feder]]=1,3,0))),1,0)</f>
        <v>1</v>
      </c>
      <c r="G1053" s="35">
        <f>IF(Scharniere[[#This Row],[Bohrbild]]=select!$V$43,1,0)</f>
        <v>1</v>
      </c>
      <c r="H1053" s="35">
        <f>IF(IF(Scharniere[[#This Row],[Anschrauben]]=1,1,IF(Scharniere[[#This Row],[Einpressen]]=1,2,IF(Scharniere[[#This Row],[Quick]]=1,3,IF(Scharniere[[#This Row],[Werkzeuglos]]=1,4,0))))=select!$F$48,1,0)</f>
        <v>0</v>
      </c>
      <c r="I105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3" s="149">
        <f>IF(AND(Scharniere[[#This Row],[Scharnierart]]=2,Scharniere[[#This Row],[Gruppenschlüssel]]=select!$A$318)=TRUE,1,0)</f>
        <v>0</v>
      </c>
      <c r="K1053" s="221">
        <f ca="1">IF(select!$O$424&lt;6,1,0)</f>
        <v>1</v>
      </c>
      <c r="L1053" s="221">
        <f>IF(select!$A$362=IF(Scharniere[[#This Row],[mit Dämpfung]]=1,1,IF(Scharniere[[#This Row],[ohne Dämpfung]]=1,2,IF(Scharniere[[#This Row],[ohne Feder]]=1,3,0))),1,0)</f>
        <v>0</v>
      </c>
      <c r="M1053" s="135">
        <f>IF(Scharniere[[#This Row],[Bohrbild]]=select!$O$334,1,0)</f>
        <v>1</v>
      </c>
      <c r="N1053" s="135">
        <f>IF(IF(Scharniere[[#This Row],[Anschrauben]]=1,1,IF(Scharniere[[#This Row],[Einpressen]]=1,2,IF(Scharniere[[#This Row],[Quick]]=1,3,IF(Scharniere[[#This Row],[Werkzeuglos]]=1,4,0))))=select!$E$362,1,0)</f>
        <v>1</v>
      </c>
      <c r="O105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3" s="298">
        <f>IF(AND(Scharniere[[#This Row],[Scharnierart]]=3,Scharniere[[#This Row],[Gruppenschlüssel]]=select!$A$747)=TRUE,1,0)</f>
        <v>0</v>
      </c>
      <c r="Q1053" s="298">
        <f ca="1">IF(select!$O$945&lt;6,1,0)</f>
        <v>1</v>
      </c>
      <c r="R1053" s="298">
        <f>IF(select!$A$778=IF(Scharniere[[#This Row],[mit Dämpfung]]=1,1,IF(Scharniere[[#This Row],[ohne Dämpfung]]=1,2,IF(Scharniere[[#This Row],[ohne Feder]]=1,3,0))),1,0)</f>
        <v>0</v>
      </c>
      <c r="S1053" s="298">
        <f>IF(Scharniere[[#This Row],[Bohrbild]]=select!$A$755,1,0)</f>
        <v>0</v>
      </c>
      <c r="T1053" s="298">
        <f>IF(IF(Scharniere[[#This Row],[Anschrauben]]=1,1,IF(Scharniere[[#This Row],[Einpressen]]=1,2,IF(Scharniere[[#This Row],[Quick]]=1,3,IF(Scharniere[[#This Row],[Werkzeuglos]]=1,4,0))))=select!$A$769,1,0)</f>
        <v>1</v>
      </c>
      <c r="U105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3" s="359">
        <f>IF(AND(Scharniere[[#This Row],[Scharnierart]]=4,Scharniere[[#This Row],[Gruppenschlüssel]]=select!$A$981)=TRUE,1,0)</f>
        <v>0</v>
      </c>
      <c r="W1053" s="359">
        <f ca="1">IF(select!$O$1185&lt;6,1,0)</f>
        <v>1</v>
      </c>
      <c r="X1053" s="359">
        <f>IF(select!$A$1012=IF(Scharniere[[#This Row],[mit Dämpfung]]=1,1,IF(Scharniere[[#This Row],[ohne Dämpfung]]=1,2,IF(Scharniere[[#This Row],[ohne Feder]]=1,3,0))),1,0)</f>
        <v>0</v>
      </c>
      <c r="Y1053" s="359">
        <f>IF(Scharniere[[#This Row],[Bohrbild]]=select!$A$989,1,0)</f>
        <v>0</v>
      </c>
      <c r="Z1053" s="359">
        <f>IF(IF(Scharniere[[#This Row],[Anschrauben]]=1,1,IF(Scharniere[[#This Row],[Einpressen]]=1,2,IF(Scharniere[[#This Row],[Quick]]=1,3,IF(Scharniere[[#This Row],[Werkzeuglos]]=1,4,0))))=select!$A$1003,1,0)</f>
        <v>1</v>
      </c>
      <c r="AA105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3" s="359">
        <f ca="1">IF(select!$K$980="*",Scharniere[[#This Row],[AG Ges2]],Scharniere[[#This Row],[AG Ges1]])</f>
        <v>0</v>
      </c>
      <c r="AE1053" s="451">
        <f ca="1">IF(AND(Scharniere[[#This Row],[Scharnierart]]=select!$A$1485,Scharniere[[#This Row],[Gruppenschlüssel]]=select!$B$1485)=TRUE,1,0)</f>
        <v>0</v>
      </c>
      <c r="AF1053" s="451">
        <f ca="1">IF(AND(Scharniere[[#This Row],[Scharnierart]]=select!$A$1486,Scharniere[[#This Row],[Gruppenschlüssel]]=select!$B$1486)=TRUE,1,0)</f>
        <v>0</v>
      </c>
      <c r="AG1053" s="451">
        <f ca="1">IF(AND(Scharniere[[#This Row],[Scharnierart]]=select!$A$1487,Scharniere[[#This Row],[Gruppenschlüssel]]=select!$B$1487)=TRUE,1,0)</f>
        <v>0</v>
      </c>
      <c r="AH1053" s="451">
        <f ca="1">IF(AND(Scharniere[[#This Row],[Scharnierart]]=select!$A$1488,Scharniere[[#This Row],[Gruppenschlüssel]]=select!$B$1488)=TRUE,1,0)</f>
        <v>1</v>
      </c>
      <c r="AI1053" s="451">
        <f ca="1">IF(SUM(Scharniere[[#This Row],[konf Scharnier 1]:[konf Scharnier 4]])&gt;0,1,0)</f>
        <v>1</v>
      </c>
      <c r="AJ1053" s="451"/>
      <c r="AK1053" s="451"/>
      <c r="AL1053" s="451"/>
      <c r="AM1053" s="451"/>
      <c r="AN1053" s="451"/>
      <c r="AO1053" s="146">
        <v>3</v>
      </c>
      <c r="AP1053" s="146">
        <v>4</v>
      </c>
      <c r="AQ1053" s="71" t="str">
        <f ca="1">Sprache!$A$128</f>
        <v>Tiomos Scharnier TT M9 110°</v>
      </c>
      <c r="AR1053" t="s">
        <v>1796</v>
      </c>
      <c r="AS1053" t="str">
        <f ca="1">Sprache!$A$103</f>
        <v>Tiomos Click-On Scharniere</v>
      </c>
      <c r="AT1053">
        <v>14</v>
      </c>
      <c r="AU1053" t="s">
        <v>8</v>
      </c>
      <c r="AV1053">
        <v>110</v>
      </c>
      <c r="AW1053" s="71">
        <v>0</v>
      </c>
      <c r="AX1053">
        <v>0</v>
      </c>
      <c r="AY1053">
        <v>1</v>
      </c>
      <c r="AZ1053" s="71">
        <v>1</v>
      </c>
      <c r="BA1053">
        <v>0</v>
      </c>
      <c r="BB1053">
        <v>0</v>
      </c>
      <c r="BC1053">
        <v>0</v>
      </c>
      <c r="BD1053" s="144" t="s">
        <v>1753</v>
      </c>
      <c r="BF1053" s="10"/>
      <c r="BG1053"/>
    </row>
    <row r="1054" spans="1:59" ht="14.25" customHeight="1" x14ac:dyDescent="0.25">
      <c r="A1054" s="37" t="str">
        <f>LEFT(Scharniere[[#This Row],[ArtikelNR]],4)</f>
        <v>F029</v>
      </c>
      <c r="B1054" s="35" t="str">
        <f>MID(Scharniere[[#This Row],[ArtikelNR]],5,3)</f>
        <v>140</v>
      </c>
      <c r="C1054" s="37" t="str">
        <f>RIGHT(Scharniere[[#This Row],[ArtikelNR]],3)</f>
        <v>341</v>
      </c>
      <c r="D1054" s="35">
        <f>IF(AND(Scharniere[[#This Row],[Gruppenschlüssel]]=select!$A$44,Scharniere[[#This Row],[Scharnierart]]=1)=TRUE,1,0)</f>
        <v>0</v>
      </c>
      <c r="E105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4" s="35">
        <f>IF(select!$F$57=IF(Scharniere[[#This Row],[mit Dämpfung]]=1,1,IF(Scharniere[[#This Row],[ohne Dämpfung]]=1,2,IF(Scharniere[[#This Row],[ohne Feder]]=1,3,0))),1,0)</f>
        <v>0</v>
      </c>
      <c r="G1054" s="35">
        <f>IF(Scharniere[[#This Row],[Bohrbild]]=select!$V$43,1,0)</f>
        <v>0</v>
      </c>
      <c r="H1054" s="35">
        <f>IF(IF(Scharniere[[#This Row],[Anschrauben]]=1,1,IF(Scharniere[[#This Row],[Einpressen]]=1,2,IF(Scharniere[[#This Row],[Quick]]=1,3,IF(Scharniere[[#This Row],[Werkzeuglos]]=1,4,0))))=select!$F$48,1,0)</f>
        <v>0</v>
      </c>
      <c r="I105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4" s="149">
        <f>IF(AND(Scharniere[[#This Row],[Scharnierart]]=2,Scharniere[[#This Row],[Gruppenschlüssel]]=select!$A$318)=TRUE,1,0)</f>
        <v>0</v>
      </c>
      <c r="K1054" s="221">
        <f ca="1">IF(select!$O$424&lt;6,1,0)</f>
        <v>1</v>
      </c>
      <c r="L1054" s="221">
        <f>IF(select!$A$362=IF(Scharniere[[#This Row],[mit Dämpfung]]=1,1,IF(Scharniere[[#This Row],[ohne Dämpfung]]=1,2,IF(Scharniere[[#This Row],[ohne Feder]]=1,3,0))),1,0)</f>
        <v>1</v>
      </c>
      <c r="M1054" s="135">
        <f>IF(Scharniere[[#This Row],[Bohrbild]]=select!$O$334,1,0)</f>
        <v>0</v>
      </c>
      <c r="N1054" s="135">
        <f>IF(IF(Scharniere[[#This Row],[Anschrauben]]=1,1,IF(Scharniere[[#This Row],[Einpressen]]=1,2,IF(Scharniere[[#This Row],[Quick]]=1,3,IF(Scharniere[[#This Row],[Werkzeuglos]]=1,4,0))))=select!$E$362,1,0)</f>
        <v>1</v>
      </c>
      <c r="O105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4" s="298">
        <f>IF(AND(Scharniere[[#This Row],[Scharnierart]]=3,Scharniere[[#This Row],[Gruppenschlüssel]]=select!$A$747)=TRUE,1,0)</f>
        <v>0</v>
      </c>
      <c r="Q1054" s="298">
        <f ca="1">IF(select!$O$945&lt;6,1,0)</f>
        <v>1</v>
      </c>
      <c r="R1054" s="298">
        <f>IF(select!$A$778=IF(Scharniere[[#This Row],[mit Dämpfung]]=1,1,IF(Scharniere[[#This Row],[ohne Dämpfung]]=1,2,IF(Scharniere[[#This Row],[ohne Feder]]=1,3,0))),1,0)</f>
        <v>0</v>
      </c>
      <c r="S1054" s="298">
        <f>IF(Scharniere[[#This Row],[Bohrbild]]=select!$A$755,1,0)</f>
        <v>0</v>
      </c>
      <c r="T1054" s="298">
        <f>IF(IF(Scharniere[[#This Row],[Anschrauben]]=1,1,IF(Scharniere[[#This Row],[Einpressen]]=1,2,IF(Scharniere[[#This Row],[Quick]]=1,3,IF(Scharniere[[#This Row],[Werkzeuglos]]=1,4,0))))=select!$A$769,1,0)</f>
        <v>1</v>
      </c>
      <c r="U105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4" s="359">
        <f>IF(AND(Scharniere[[#This Row],[Scharnierart]]=4,Scharniere[[#This Row],[Gruppenschlüssel]]=select!$A$981)=TRUE,1,0)</f>
        <v>0</v>
      </c>
      <c r="W1054" s="359">
        <f ca="1">IF(select!$O$1185&lt;6,1,0)</f>
        <v>1</v>
      </c>
      <c r="X1054" s="359">
        <f>IF(select!$A$1012=IF(Scharniere[[#This Row],[mit Dämpfung]]=1,1,IF(Scharniere[[#This Row],[ohne Dämpfung]]=1,2,IF(Scharniere[[#This Row],[ohne Feder]]=1,3,0))),1,0)</f>
        <v>0</v>
      </c>
      <c r="Y1054" s="359">
        <f>IF(Scharniere[[#This Row],[Bohrbild]]=select!$A$989,1,0)</f>
        <v>0</v>
      </c>
      <c r="Z1054" s="359">
        <f>IF(IF(Scharniere[[#This Row],[Anschrauben]]=1,1,IF(Scharniere[[#This Row],[Einpressen]]=1,2,IF(Scharniere[[#This Row],[Quick]]=1,3,IF(Scharniere[[#This Row],[Werkzeuglos]]=1,4,0))))=select!$A$1003,1,0)</f>
        <v>1</v>
      </c>
      <c r="AA105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4" s="359">
        <f ca="1">IF(select!$K$980="*",Scharniere[[#This Row],[AG Ges2]],Scharniere[[#This Row],[AG Ges1]])</f>
        <v>0</v>
      </c>
      <c r="AE1054" s="451">
        <f ca="1">IF(AND(Scharniere[[#This Row],[Scharnierart]]=select!$A$1485,Scharniere[[#This Row],[Gruppenschlüssel]]=select!$B$1485)=TRUE,1,0)</f>
        <v>0</v>
      </c>
      <c r="AF1054" s="451">
        <f ca="1">IF(AND(Scharniere[[#This Row],[Scharnierart]]=select!$A$1486,Scharniere[[#This Row],[Gruppenschlüssel]]=select!$B$1486)=TRUE,1,0)</f>
        <v>0</v>
      </c>
      <c r="AG1054" s="451">
        <f ca="1">IF(AND(Scharniere[[#This Row],[Scharnierart]]=select!$A$1487,Scharniere[[#This Row],[Gruppenschlüssel]]=select!$B$1487)=TRUE,1,0)</f>
        <v>0</v>
      </c>
      <c r="AH1054" s="451">
        <f ca="1">IF(AND(Scharniere[[#This Row],[Scharnierart]]=select!$A$1488,Scharniere[[#This Row],[Gruppenschlüssel]]=select!$B$1488)=TRUE,1,0)</f>
        <v>1</v>
      </c>
      <c r="AI1054" s="451">
        <f ca="1">IF(SUM(Scharniere[[#This Row],[konf Scharnier 1]:[konf Scharnier 4]])&gt;0,1,0)</f>
        <v>1</v>
      </c>
      <c r="AJ1054" s="451"/>
      <c r="AK1054" s="451"/>
      <c r="AL1054" s="451"/>
      <c r="AM1054" s="451"/>
      <c r="AN1054" s="451"/>
      <c r="AO1054" s="146">
        <v>3</v>
      </c>
      <c r="AP1054" s="146">
        <v>4</v>
      </c>
      <c r="AQ1054" s="71" t="str">
        <f ca="1">Sprache!$A$125</f>
        <v>Tiomos Scharnier TS M9 110°</v>
      </c>
      <c r="AR1054" t="s">
        <v>1797</v>
      </c>
      <c r="AS1054" t="str">
        <f ca="1">Sprache!$A$103</f>
        <v>Tiomos Click-On Scharniere</v>
      </c>
      <c r="AT1054">
        <v>14</v>
      </c>
      <c r="AU1054" t="s">
        <v>11</v>
      </c>
      <c r="AV1054">
        <v>110</v>
      </c>
      <c r="AW1054" s="71">
        <v>1</v>
      </c>
      <c r="AX1054">
        <v>0</v>
      </c>
      <c r="AY1054">
        <v>0</v>
      </c>
      <c r="AZ1054" s="71">
        <v>1</v>
      </c>
      <c r="BA1054">
        <v>0</v>
      </c>
      <c r="BB1054">
        <v>0</v>
      </c>
      <c r="BC1054">
        <v>0</v>
      </c>
      <c r="BD1054" s="144" t="s">
        <v>1585</v>
      </c>
      <c r="BF1054" s="10"/>
      <c r="BG1054"/>
    </row>
    <row r="1055" spans="1:59" ht="14.25" customHeight="1" x14ac:dyDescent="0.25">
      <c r="A1055" s="37" t="str">
        <f>LEFT(Scharniere[[#This Row],[ArtikelNR]],4)</f>
        <v>F047</v>
      </c>
      <c r="B1055" s="35" t="str">
        <f>MID(Scharniere[[#This Row],[ArtikelNR]],5,3)</f>
        <v>140</v>
      </c>
      <c r="C1055" s="37" t="str">
        <f>RIGHT(Scharniere[[#This Row],[ArtikelNR]],3)</f>
        <v>342</v>
      </c>
      <c r="D1055" s="35">
        <f>IF(AND(Scharniere[[#This Row],[Gruppenschlüssel]]=select!$A$44,Scharniere[[#This Row],[Scharnierart]]=1)=TRUE,1,0)</f>
        <v>0</v>
      </c>
      <c r="E105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5" s="35">
        <f>IF(select!$F$57=IF(Scharniere[[#This Row],[mit Dämpfung]]=1,1,IF(Scharniere[[#This Row],[ohne Dämpfung]]=1,2,IF(Scharniere[[#This Row],[ohne Feder]]=1,3,0))),1,0)</f>
        <v>0</v>
      </c>
      <c r="G1055" s="35">
        <f>IF(Scharniere[[#This Row],[Bohrbild]]=select!$V$43,1,0)</f>
        <v>0</v>
      </c>
      <c r="H1055" s="35">
        <f>IF(IF(Scharniere[[#This Row],[Anschrauben]]=1,1,IF(Scharniere[[#This Row],[Einpressen]]=1,2,IF(Scharniere[[#This Row],[Quick]]=1,3,IF(Scharniere[[#This Row],[Werkzeuglos]]=1,4,0))))=select!$F$48,1,0)</f>
        <v>0</v>
      </c>
      <c r="I105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5" s="149">
        <f>IF(AND(Scharniere[[#This Row],[Scharnierart]]=2,Scharniere[[#This Row],[Gruppenschlüssel]]=select!$A$318)=TRUE,1,0)</f>
        <v>0</v>
      </c>
      <c r="K1055" s="221">
        <f ca="1">IF(select!$O$424&lt;6,1,0)</f>
        <v>1</v>
      </c>
      <c r="L1055" s="221">
        <f>IF(select!$A$362=IF(Scharniere[[#This Row],[mit Dämpfung]]=1,1,IF(Scharniere[[#This Row],[ohne Dämpfung]]=1,2,IF(Scharniere[[#This Row],[ohne Feder]]=1,3,0))),1,0)</f>
        <v>0</v>
      </c>
      <c r="M1055" s="135">
        <f>IF(Scharniere[[#This Row],[Bohrbild]]=select!$O$334,1,0)</f>
        <v>0</v>
      </c>
      <c r="N1055" s="135">
        <f>IF(IF(Scharniere[[#This Row],[Anschrauben]]=1,1,IF(Scharniere[[#This Row],[Einpressen]]=1,2,IF(Scharniere[[#This Row],[Quick]]=1,3,IF(Scharniere[[#This Row],[Werkzeuglos]]=1,4,0))))=select!$E$362,1,0)</f>
        <v>1</v>
      </c>
      <c r="O105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5" s="298">
        <f>IF(AND(Scharniere[[#This Row],[Scharnierart]]=3,Scharniere[[#This Row],[Gruppenschlüssel]]=select!$A$747)=TRUE,1,0)</f>
        <v>0</v>
      </c>
      <c r="Q1055" s="298">
        <f ca="1">IF(select!$O$945&lt;6,1,0)</f>
        <v>1</v>
      </c>
      <c r="R1055" s="298">
        <f>IF(select!$A$778=IF(Scharniere[[#This Row],[mit Dämpfung]]=1,1,IF(Scharniere[[#This Row],[ohne Dämpfung]]=1,2,IF(Scharniere[[#This Row],[ohne Feder]]=1,3,0))),1,0)</f>
        <v>1</v>
      </c>
      <c r="S1055" s="298">
        <f>IF(Scharniere[[#This Row],[Bohrbild]]=select!$A$755,1,0)</f>
        <v>0</v>
      </c>
      <c r="T1055" s="298">
        <f>IF(IF(Scharniere[[#This Row],[Anschrauben]]=1,1,IF(Scharniere[[#This Row],[Einpressen]]=1,2,IF(Scharniere[[#This Row],[Quick]]=1,3,IF(Scharniere[[#This Row],[Werkzeuglos]]=1,4,0))))=select!$A$769,1,0)</f>
        <v>1</v>
      </c>
      <c r="U105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5" s="359">
        <f>IF(AND(Scharniere[[#This Row],[Scharnierart]]=4,Scharniere[[#This Row],[Gruppenschlüssel]]=select!$A$981)=TRUE,1,0)</f>
        <v>0</v>
      </c>
      <c r="W1055" s="359">
        <f ca="1">IF(select!$O$1185&lt;6,1,0)</f>
        <v>1</v>
      </c>
      <c r="X1055" s="359">
        <f>IF(select!$A$1012=IF(Scharniere[[#This Row],[mit Dämpfung]]=1,1,IF(Scharniere[[#This Row],[ohne Dämpfung]]=1,2,IF(Scharniere[[#This Row],[ohne Feder]]=1,3,0))),1,0)</f>
        <v>1</v>
      </c>
      <c r="Y1055" s="359">
        <f>IF(Scharniere[[#This Row],[Bohrbild]]=select!$A$989,1,0)</f>
        <v>0</v>
      </c>
      <c r="Z1055" s="359">
        <f>IF(IF(Scharniere[[#This Row],[Anschrauben]]=1,1,IF(Scharniere[[#This Row],[Einpressen]]=1,2,IF(Scharniere[[#This Row],[Quick]]=1,3,IF(Scharniere[[#This Row],[Werkzeuglos]]=1,4,0))))=select!$A$1003,1,0)</f>
        <v>1</v>
      </c>
      <c r="AA105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5" s="359">
        <f ca="1">IF(select!$K$980="*",Scharniere[[#This Row],[AG Ges2]],Scharniere[[#This Row],[AG Ges1]])</f>
        <v>0</v>
      </c>
      <c r="AE1055" s="451">
        <f ca="1">IF(AND(Scharniere[[#This Row],[Scharnierart]]=select!$A$1485,Scharniere[[#This Row],[Gruppenschlüssel]]=select!$B$1485)=TRUE,1,0)</f>
        <v>0</v>
      </c>
      <c r="AF1055" s="451">
        <f ca="1">IF(AND(Scharniere[[#This Row],[Scharnierart]]=select!$A$1486,Scharniere[[#This Row],[Gruppenschlüssel]]=select!$B$1486)=TRUE,1,0)</f>
        <v>0</v>
      </c>
      <c r="AG1055" s="451">
        <f ca="1">IF(AND(Scharniere[[#This Row],[Scharnierart]]=select!$A$1487,Scharniere[[#This Row],[Gruppenschlüssel]]=select!$B$1487)=TRUE,1,0)</f>
        <v>0</v>
      </c>
      <c r="AH1055" s="451">
        <f ca="1">IF(AND(Scharniere[[#This Row],[Scharnierart]]=select!$A$1488,Scharniere[[#This Row],[Gruppenschlüssel]]=select!$B$1488)=TRUE,1,0)</f>
        <v>1</v>
      </c>
      <c r="AI1055" s="451">
        <f ca="1">IF(SUM(Scharniere[[#This Row],[konf Scharnier 1]:[konf Scharnier 4]])&gt;0,1,0)</f>
        <v>1</v>
      </c>
      <c r="AJ1055" s="451"/>
      <c r="AK1055" s="451"/>
      <c r="AL1055" s="451"/>
      <c r="AM1055" s="451"/>
      <c r="AN1055" s="451"/>
      <c r="AO1055" s="146">
        <v>3</v>
      </c>
      <c r="AP1055" s="146">
        <v>4</v>
      </c>
      <c r="AQ1055" s="71" t="str">
        <f ca="1">Sprache!$A$121</f>
        <v>Tiomos Scharnier T M9 110°</v>
      </c>
      <c r="AR1055" t="s">
        <v>1797</v>
      </c>
      <c r="AS1055" t="str">
        <f ca="1">Sprache!$A$103</f>
        <v>Tiomos Click-On Scharniere</v>
      </c>
      <c r="AT1055">
        <v>14</v>
      </c>
      <c r="AU1055" t="s">
        <v>11</v>
      </c>
      <c r="AV1055">
        <v>110</v>
      </c>
      <c r="AW1055" s="71">
        <v>0</v>
      </c>
      <c r="AX1055">
        <v>1</v>
      </c>
      <c r="AY1055">
        <v>0</v>
      </c>
      <c r="AZ1055" s="71">
        <v>1</v>
      </c>
      <c r="BA1055">
        <v>0</v>
      </c>
      <c r="BB1055">
        <v>0</v>
      </c>
      <c r="BC1055">
        <v>0</v>
      </c>
      <c r="BD1055" s="144" t="s">
        <v>1747</v>
      </c>
      <c r="BF1055" s="10"/>
      <c r="BG1055"/>
    </row>
    <row r="1056" spans="1:59" ht="14.25" customHeight="1" x14ac:dyDescent="0.25">
      <c r="A1056" s="37" t="str">
        <f>LEFT(Scharniere[[#This Row],[ArtikelNR]],4)</f>
        <v>F049</v>
      </c>
      <c r="B1056" s="35" t="str">
        <f>MID(Scharniere[[#This Row],[ArtikelNR]],5,3)</f>
        <v>140</v>
      </c>
      <c r="C1056" s="37" t="str">
        <f>RIGHT(Scharniere[[#This Row],[ArtikelNR]],3)</f>
        <v>343</v>
      </c>
      <c r="D1056" s="35">
        <f>IF(AND(Scharniere[[#This Row],[Gruppenschlüssel]]=select!$A$44,Scharniere[[#This Row],[Scharnierart]]=1)=TRUE,1,0)</f>
        <v>0</v>
      </c>
      <c r="E105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6" s="35">
        <f>IF(select!$F$57=IF(Scharniere[[#This Row],[mit Dämpfung]]=1,1,IF(Scharniere[[#This Row],[ohne Dämpfung]]=1,2,IF(Scharniere[[#This Row],[ohne Feder]]=1,3,0))),1,0)</f>
        <v>1</v>
      </c>
      <c r="G1056" s="35">
        <f>IF(Scharniere[[#This Row],[Bohrbild]]=select!$V$43,1,0)</f>
        <v>0</v>
      </c>
      <c r="H1056" s="35">
        <f>IF(IF(Scharniere[[#This Row],[Anschrauben]]=1,1,IF(Scharniere[[#This Row],[Einpressen]]=1,2,IF(Scharniere[[#This Row],[Quick]]=1,3,IF(Scharniere[[#This Row],[Werkzeuglos]]=1,4,0))))=select!$F$48,1,0)</f>
        <v>0</v>
      </c>
      <c r="I105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6" s="149">
        <f>IF(AND(Scharniere[[#This Row],[Scharnierart]]=2,Scharniere[[#This Row],[Gruppenschlüssel]]=select!$A$318)=TRUE,1,0)</f>
        <v>0</v>
      </c>
      <c r="K1056" s="221">
        <f ca="1">IF(select!$O$424&lt;6,1,0)</f>
        <v>1</v>
      </c>
      <c r="L1056" s="221">
        <f>IF(select!$A$362=IF(Scharniere[[#This Row],[mit Dämpfung]]=1,1,IF(Scharniere[[#This Row],[ohne Dämpfung]]=1,2,IF(Scharniere[[#This Row],[ohne Feder]]=1,3,0))),1,0)</f>
        <v>0</v>
      </c>
      <c r="M1056" s="135">
        <f>IF(Scharniere[[#This Row],[Bohrbild]]=select!$O$334,1,0)</f>
        <v>0</v>
      </c>
      <c r="N1056" s="135">
        <f>IF(IF(Scharniere[[#This Row],[Anschrauben]]=1,1,IF(Scharniere[[#This Row],[Einpressen]]=1,2,IF(Scharniere[[#This Row],[Quick]]=1,3,IF(Scharniere[[#This Row],[Werkzeuglos]]=1,4,0))))=select!$E$362,1,0)</f>
        <v>1</v>
      </c>
      <c r="O105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6" s="298">
        <f>IF(AND(Scharniere[[#This Row],[Scharnierart]]=3,Scharniere[[#This Row],[Gruppenschlüssel]]=select!$A$747)=TRUE,1,0)</f>
        <v>0</v>
      </c>
      <c r="Q1056" s="298">
        <f ca="1">IF(select!$O$945&lt;6,1,0)</f>
        <v>1</v>
      </c>
      <c r="R1056" s="298">
        <f>IF(select!$A$778=IF(Scharniere[[#This Row],[mit Dämpfung]]=1,1,IF(Scharniere[[#This Row],[ohne Dämpfung]]=1,2,IF(Scharniere[[#This Row],[ohne Feder]]=1,3,0))),1,0)</f>
        <v>0</v>
      </c>
      <c r="S1056" s="298">
        <f>IF(Scharniere[[#This Row],[Bohrbild]]=select!$A$755,1,0)</f>
        <v>0</v>
      </c>
      <c r="T1056" s="298">
        <f>IF(IF(Scharniere[[#This Row],[Anschrauben]]=1,1,IF(Scharniere[[#This Row],[Einpressen]]=1,2,IF(Scharniere[[#This Row],[Quick]]=1,3,IF(Scharniere[[#This Row],[Werkzeuglos]]=1,4,0))))=select!$A$769,1,0)</f>
        <v>1</v>
      </c>
      <c r="U105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6" s="359">
        <f>IF(AND(Scharniere[[#This Row],[Scharnierart]]=4,Scharniere[[#This Row],[Gruppenschlüssel]]=select!$A$981)=TRUE,1,0)</f>
        <v>0</v>
      </c>
      <c r="W1056" s="359">
        <f ca="1">IF(select!$O$1185&lt;6,1,0)</f>
        <v>1</v>
      </c>
      <c r="X1056" s="359">
        <f>IF(select!$A$1012=IF(Scharniere[[#This Row],[mit Dämpfung]]=1,1,IF(Scharniere[[#This Row],[ohne Dämpfung]]=1,2,IF(Scharniere[[#This Row],[ohne Feder]]=1,3,0))),1,0)</f>
        <v>0</v>
      </c>
      <c r="Y1056" s="359">
        <f>IF(Scharniere[[#This Row],[Bohrbild]]=select!$A$989,1,0)</f>
        <v>0</v>
      </c>
      <c r="Z1056" s="359">
        <f>IF(IF(Scharniere[[#This Row],[Anschrauben]]=1,1,IF(Scharniere[[#This Row],[Einpressen]]=1,2,IF(Scharniere[[#This Row],[Quick]]=1,3,IF(Scharniere[[#This Row],[Werkzeuglos]]=1,4,0))))=select!$A$1003,1,0)</f>
        <v>1</v>
      </c>
      <c r="AA105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6" s="359">
        <f ca="1">IF(select!$K$980="*",Scharniere[[#This Row],[AG Ges2]],Scharniere[[#This Row],[AG Ges1]])</f>
        <v>0</v>
      </c>
      <c r="AE1056" s="451">
        <f ca="1">IF(AND(Scharniere[[#This Row],[Scharnierart]]=select!$A$1485,Scharniere[[#This Row],[Gruppenschlüssel]]=select!$B$1485)=TRUE,1,0)</f>
        <v>0</v>
      </c>
      <c r="AF1056" s="451">
        <f ca="1">IF(AND(Scharniere[[#This Row],[Scharnierart]]=select!$A$1486,Scharniere[[#This Row],[Gruppenschlüssel]]=select!$B$1486)=TRUE,1,0)</f>
        <v>0</v>
      </c>
      <c r="AG1056" s="451">
        <f ca="1">IF(AND(Scharniere[[#This Row],[Scharnierart]]=select!$A$1487,Scharniere[[#This Row],[Gruppenschlüssel]]=select!$B$1487)=TRUE,1,0)</f>
        <v>0</v>
      </c>
      <c r="AH1056" s="451">
        <f ca="1">IF(AND(Scharniere[[#This Row],[Scharnierart]]=select!$A$1488,Scharniere[[#This Row],[Gruppenschlüssel]]=select!$B$1488)=TRUE,1,0)</f>
        <v>1</v>
      </c>
      <c r="AI1056" s="451">
        <f ca="1">IF(SUM(Scharniere[[#This Row],[konf Scharnier 1]:[konf Scharnier 4]])&gt;0,1,0)</f>
        <v>1</v>
      </c>
      <c r="AJ1056" s="451"/>
      <c r="AK1056" s="451"/>
      <c r="AL1056" s="451"/>
      <c r="AM1056" s="451"/>
      <c r="AN1056" s="451"/>
      <c r="AO1056" s="146">
        <v>3</v>
      </c>
      <c r="AP1056" s="146">
        <v>4</v>
      </c>
      <c r="AQ1056" s="71" t="str">
        <f ca="1">Sprache!$A$128</f>
        <v>Tiomos Scharnier TT M9 110°</v>
      </c>
      <c r="AR1056" t="s">
        <v>1797</v>
      </c>
      <c r="AS1056" t="str">
        <f ca="1">Sprache!$A$103</f>
        <v>Tiomos Click-On Scharniere</v>
      </c>
      <c r="AT1056">
        <v>14</v>
      </c>
      <c r="AU1056" t="s">
        <v>11</v>
      </c>
      <c r="AV1056">
        <v>110</v>
      </c>
      <c r="AW1056" s="71">
        <v>0</v>
      </c>
      <c r="AX1056">
        <v>0</v>
      </c>
      <c r="AY1056">
        <v>1</v>
      </c>
      <c r="AZ1056" s="71">
        <v>1</v>
      </c>
      <c r="BA1056">
        <v>0</v>
      </c>
      <c r="BB1056">
        <v>0</v>
      </c>
      <c r="BC1056">
        <v>0</v>
      </c>
      <c r="BD1056" s="144" t="s">
        <v>1755</v>
      </c>
      <c r="BF1056" s="10"/>
      <c r="BG1056"/>
    </row>
    <row r="1057" spans="1:59" ht="14.25" customHeight="1" x14ac:dyDescent="0.25">
      <c r="A1057" s="37" t="str">
        <f>LEFT(Scharniere[[#This Row],[ArtikelNR]],4)</f>
        <v>F029</v>
      </c>
      <c r="B1057" s="35" t="str">
        <f>MID(Scharniere[[#This Row],[ArtikelNR]],5,3)</f>
        <v>140</v>
      </c>
      <c r="C1057" s="37" t="str">
        <f>RIGHT(Scharniere[[#This Row],[ArtikelNR]],3)</f>
        <v>331</v>
      </c>
      <c r="D1057" s="35">
        <f>IF(AND(Scharniere[[#This Row],[Gruppenschlüssel]]=select!$A$44,Scharniere[[#This Row],[Scharnierart]]=1)=TRUE,1,0)</f>
        <v>0</v>
      </c>
      <c r="E105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7" s="35">
        <f>IF(select!$F$57=IF(Scharniere[[#This Row],[mit Dämpfung]]=1,1,IF(Scharniere[[#This Row],[ohne Dämpfung]]=1,2,IF(Scharniere[[#This Row],[ohne Feder]]=1,3,0))),1,0)</f>
        <v>0</v>
      </c>
      <c r="G1057" s="35">
        <f>IF(Scharniere[[#This Row],[Bohrbild]]=select!$V$43,1,0)</f>
        <v>0</v>
      </c>
      <c r="H1057" s="35">
        <f>IF(IF(Scharniere[[#This Row],[Anschrauben]]=1,1,IF(Scharniere[[#This Row],[Einpressen]]=1,2,IF(Scharniere[[#This Row],[Quick]]=1,3,IF(Scharniere[[#This Row],[Werkzeuglos]]=1,4,0))))=select!$F$48,1,0)</f>
        <v>0</v>
      </c>
      <c r="I105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7" s="149">
        <f>IF(AND(Scharniere[[#This Row],[Scharnierart]]=2,Scharniere[[#This Row],[Gruppenschlüssel]]=select!$A$318)=TRUE,1,0)</f>
        <v>0</v>
      </c>
      <c r="K1057" s="221">
        <f ca="1">IF(select!$O$424&lt;6,1,0)</f>
        <v>1</v>
      </c>
      <c r="L1057" s="221">
        <f>IF(select!$A$362=IF(Scharniere[[#This Row],[mit Dämpfung]]=1,1,IF(Scharniere[[#This Row],[ohne Dämpfung]]=1,2,IF(Scharniere[[#This Row],[ohne Feder]]=1,3,0))),1,0)</f>
        <v>1</v>
      </c>
      <c r="M1057" s="135">
        <f>IF(Scharniere[[#This Row],[Bohrbild]]=select!$O$334,1,0)</f>
        <v>0</v>
      </c>
      <c r="N1057" s="135">
        <f>IF(IF(Scharniere[[#This Row],[Anschrauben]]=1,1,IF(Scharniere[[#This Row],[Einpressen]]=1,2,IF(Scharniere[[#This Row],[Quick]]=1,3,IF(Scharniere[[#This Row],[Werkzeuglos]]=1,4,0))))=select!$E$362,1,0)</f>
        <v>1</v>
      </c>
      <c r="O105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7" s="298">
        <f>IF(AND(Scharniere[[#This Row],[Scharnierart]]=3,Scharniere[[#This Row],[Gruppenschlüssel]]=select!$A$747)=TRUE,1,0)</f>
        <v>0</v>
      </c>
      <c r="Q1057" s="298">
        <f ca="1">IF(select!$O$945&lt;6,1,0)</f>
        <v>1</v>
      </c>
      <c r="R1057" s="298">
        <f>IF(select!$A$778=IF(Scharniere[[#This Row],[mit Dämpfung]]=1,1,IF(Scharniere[[#This Row],[ohne Dämpfung]]=1,2,IF(Scharniere[[#This Row],[ohne Feder]]=1,3,0))),1,0)</f>
        <v>0</v>
      </c>
      <c r="S1057" s="298">
        <f>IF(Scharniere[[#This Row],[Bohrbild]]=select!$A$755,1,0)</f>
        <v>1</v>
      </c>
      <c r="T1057" s="298">
        <f>IF(IF(Scharniere[[#This Row],[Anschrauben]]=1,1,IF(Scharniere[[#This Row],[Einpressen]]=1,2,IF(Scharniere[[#This Row],[Quick]]=1,3,IF(Scharniere[[#This Row],[Werkzeuglos]]=1,4,0))))=select!$A$769,1,0)</f>
        <v>1</v>
      </c>
      <c r="U105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7" s="359">
        <f>IF(AND(Scharniere[[#This Row],[Scharnierart]]=4,Scharniere[[#This Row],[Gruppenschlüssel]]=select!$A$981)=TRUE,1,0)</f>
        <v>0</v>
      </c>
      <c r="W1057" s="359">
        <f ca="1">IF(select!$O$1185&lt;6,1,0)</f>
        <v>1</v>
      </c>
      <c r="X1057" s="359">
        <f>IF(select!$A$1012=IF(Scharniere[[#This Row],[mit Dämpfung]]=1,1,IF(Scharniere[[#This Row],[ohne Dämpfung]]=1,2,IF(Scharniere[[#This Row],[ohne Feder]]=1,3,0))),1,0)</f>
        <v>0</v>
      </c>
      <c r="Y1057" s="359">
        <f>IF(Scharniere[[#This Row],[Bohrbild]]=select!$A$989,1,0)</f>
        <v>1</v>
      </c>
      <c r="Z1057" s="359">
        <f>IF(IF(Scharniere[[#This Row],[Anschrauben]]=1,1,IF(Scharniere[[#This Row],[Einpressen]]=1,2,IF(Scharniere[[#This Row],[Quick]]=1,3,IF(Scharniere[[#This Row],[Werkzeuglos]]=1,4,0))))=select!$A$1003,1,0)</f>
        <v>1</v>
      </c>
      <c r="AA105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7" s="359">
        <f ca="1">IF(select!$K$980="*",Scharniere[[#This Row],[AG Ges2]],Scharniere[[#This Row],[AG Ges1]])</f>
        <v>0</v>
      </c>
      <c r="AE1057" s="451">
        <f ca="1">IF(AND(Scharniere[[#This Row],[Scharnierart]]=select!$A$1485,Scharniere[[#This Row],[Gruppenschlüssel]]=select!$B$1485)=TRUE,1,0)</f>
        <v>0</v>
      </c>
      <c r="AF1057" s="451">
        <f ca="1">IF(AND(Scharniere[[#This Row],[Scharnierart]]=select!$A$1486,Scharniere[[#This Row],[Gruppenschlüssel]]=select!$B$1486)=TRUE,1,0)</f>
        <v>0</v>
      </c>
      <c r="AG1057" s="451">
        <f ca="1">IF(AND(Scharniere[[#This Row],[Scharnierart]]=select!$A$1487,Scharniere[[#This Row],[Gruppenschlüssel]]=select!$B$1487)=TRUE,1,0)</f>
        <v>0</v>
      </c>
      <c r="AH1057" s="451">
        <f ca="1">IF(AND(Scharniere[[#This Row],[Scharnierart]]=select!$A$1488,Scharniere[[#This Row],[Gruppenschlüssel]]=select!$B$1488)=TRUE,1,0)</f>
        <v>0</v>
      </c>
      <c r="AI1057" s="451">
        <f ca="1">IF(SUM(Scharniere[[#This Row],[konf Scharnier 1]:[konf Scharnier 4]])&gt;0,1,0)</f>
        <v>0</v>
      </c>
      <c r="AJ1057" s="451"/>
      <c r="AK1057" s="451"/>
      <c r="AL1057" s="451"/>
      <c r="AM1057" s="451"/>
      <c r="AN1057" s="451"/>
      <c r="AO1057" s="146">
        <v>3</v>
      </c>
      <c r="AP1057" s="146">
        <v>5</v>
      </c>
      <c r="AQ1057" s="71" t="str">
        <f ca="1">Sprache!$A$124</f>
        <v>Tiomos Scharnier TS M0 125°</v>
      </c>
      <c r="AR1057" t="s">
        <v>1740</v>
      </c>
      <c r="AS1057" t="str">
        <f ca="1">Sprache!$A$103</f>
        <v>Tiomos Click-On Scharniere</v>
      </c>
      <c r="AT1057">
        <v>14</v>
      </c>
      <c r="AU1057" t="s">
        <v>1264</v>
      </c>
      <c r="AV1057">
        <v>125</v>
      </c>
      <c r="AW1057" s="71">
        <v>1</v>
      </c>
      <c r="AX1057">
        <v>0</v>
      </c>
      <c r="AY1057">
        <v>0</v>
      </c>
      <c r="AZ1057" s="71">
        <v>1</v>
      </c>
      <c r="BA1057">
        <v>0</v>
      </c>
      <c r="BB1057">
        <v>0</v>
      </c>
      <c r="BC1057">
        <v>0</v>
      </c>
      <c r="BD1057" s="144" t="s">
        <v>1581</v>
      </c>
      <c r="BF1057" s="10"/>
      <c r="BG1057"/>
    </row>
    <row r="1058" spans="1:59" ht="14.25" customHeight="1" x14ac:dyDescent="0.25">
      <c r="A1058" s="37" t="str">
        <f>LEFT(Scharniere[[#This Row],[ArtikelNR]],4)</f>
        <v>F047</v>
      </c>
      <c r="B1058" s="35" t="str">
        <f>MID(Scharniere[[#This Row],[ArtikelNR]],5,3)</f>
        <v>140</v>
      </c>
      <c r="C1058" s="37" t="str">
        <f>RIGHT(Scharniere[[#This Row],[ArtikelNR]],3)</f>
        <v>332</v>
      </c>
      <c r="D1058" s="35">
        <f>IF(AND(Scharniere[[#This Row],[Gruppenschlüssel]]=select!$A$44,Scharniere[[#This Row],[Scharnierart]]=1)=TRUE,1,0)</f>
        <v>0</v>
      </c>
      <c r="E105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8" s="35">
        <f>IF(select!$F$57=IF(Scharniere[[#This Row],[mit Dämpfung]]=1,1,IF(Scharniere[[#This Row],[ohne Dämpfung]]=1,2,IF(Scharniere[[#This Row],[ohne Feder]]=1,3,0))),1,0)</f>
        <v>0</v>
      </c>
      <c r="G1058" s="35">
        <f>IF(Scharniere[[#This Row],[Bohrbild]]=select!$V$43,1,0)</f>
        <v>0</v>
      </c>
      <c r="H1058" s="35">
        <f>IF(IF(Scharniere[[#This Row],[Anschrauben]]=1,1,IF(Scharniere[[#This Row],[Einpressen]]=1,2,IF(Scharniere[[#This Row],[Quick]]=1,3,IF(Scharniere[[#This Row],[Werkzeuglos]]=1,4,0))))=select!$F$48,1,0)</f>
        <v>0</v>
      </c>
      <c r="I105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8" s="149">
        <f>IF(AND(Scharniere[[#This Row],[Scharnierart]]=2,Scharniere[[#This Row],[Gruppenschlüssel]]=select!$A$318)=TRUE,1,0)</f>
        <v>0</v>
      </c>
      <c r="K1058" s="221">
        <f ca="1">IF(select!$O$424&lt;6,1,0)</f>
        <v>1</v>
      </c>
      <c r="L1058" s="221">
        <f>IF(select!$A$362=IF(Scharniere[[#This Row],[mit Dämpfung]]=1,1,IF(Scharniere[[#This Row],[ohne Dämpfung]]=1,2,IF(Scharniere[[#This Row],[ohne Feder]]=1,3,0))),1,0)</f>
        <v>0</v>
      </c>
      <c r="M1058" s="135">
        <f>IF(Scharniere[[#This Row],[Bohrbild]]=select!$O$334,1,0)</f>
        <v>0</v>
      </c>
      <c r="N1058" s="135">
        <f>IF(IF(Scharniere[[#This Row],[Anschrauben]]=1,1,IF(Scharniere[[#This Row],[Einpressen]]=1,2,IF(Scharniere[[#This Row],[Quick]]=1,3,IF(Scharniere[[#This Row],[Werkzeuglos]]=1,4,0))))=select!$E$362,1,0)</f>
        <v>1</v>
      </c>
      <c r="O105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8" s="298">
        <f>IF(AND(Scharniere[[#This Row],[Scharnierart]]=3,Scharniere[[#This Row],[Gruppenschlüssel]]=select!$A$747)=TRUE,1,0)</f>
        <v>0</v>
      </c>
      <c r="Q1058" s="298">
        <f ca="1">IF(select!$O$945&lt;6,1,0)</f>
        <v>1</v>
      </c>
      <c r="R1058" s="298">
        <f>IF(select!$A$778=IF(Scharniere[[#This Row],[mit Dämpfung]]=1,1,IF(Scharniere[[#This Row],[ohne Dämpfung]]=1,2,IF(Scharniere[[#This Row],[ohne Feder]]=1,3,0))),1,0)</f>
        <v>1</v>
      </c>
      <c r="S1058" s="298">
        <f>IF(Scharniere[[#This Row],[Bohrbild]]=select!$A$755,1,0)</f>
        <v>1</v>
      </c>
      <c r="T1058" s="298">
        <f>IF(IF(Scharniere[[#This Row],[Anschrauben]]=1,1,IF(Scharniere[[#This Row],[Einpressen]]=1,2,IF(Scharniere[[#This Row],[Quick]]=1,3,IF(Scharniere[[#This Row],[Werkzeuglos]]=1,4,0))))=select!$A$769,1,0)</f>
        <v>1</v>
      </c>
      <c r="U105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8" s="359">
        <f>IF(AND(Scharniere[[#This Row],[Scharnierart]]=4,Scharniere[[#This Row],[Gruppenschlüssel]]=select!$A$981)=TRUE,1,0)</f>
        <v>0</v>
      </c>
      <c r="W1058" s="359">
        <f ca="1">IF(select!$O$1185&lt;6,1,0)</f>
        <v>1</v>
      </c>
      <c r="X1058" s="359">
        <f>IF(select!$A$1012=IF(Scharniere[[#This Row],[mit Dämpfung]]=1,1,IF(Scharniere[[#This Row],[ohne Dämpfung]]=1,2,IF(Scharniere[[#This Row],[ohne Feder]]=1,3,0))),1,0)</f>
        <v>1</v>
      </c>
      <c r="Y1058" s="359">
        <f>IF(Scharniere[[#This Row],[Bohrbild]]=select!$A$989,1,0)</f>
        <v>1</v>
      </c>
      <c r="Z1058" s="359">
        <f>IF(IF(Scharniere[[#This Row],[Anschrauben]]=1,1,IF(Scharniere[[#This Row],[Einpressen]]=1,2,IF(Scharniere[[#This Row],[Quick]]=1,3,IF(Scharniere[[#This Row],[Werkzeuglos]]=1,4,0))))=select!$A$1003,1,0)</f>
        <v>1</v>
      </c>
      <c r="AA105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8" s="359">
        <f ca="1">IF(select!$K$980="*",Scharniere[[#This Row],[AG Ges2]],Scharniere[[#This Row],[AG Ges1]])</f>
        <v>0</v>
      </c>
      <c r="AE1058" s="451">
        <f ca="1">IF(AND(Scharniere[[#This Row],[Scharnierart]]=select!$A$1485,Scharniere[[#This Row],[Gruppenschlüssel]]=select!$B$1485)=TRUE,1,0)</f>
        <v>0</v>
      </c>
      <c r="AF1058" s="451">
        <f ca="1">IF(AND(Scharniere[[#This Row],[Scharnierart]]=select!$A$1486,Scharniere[[#This Row],[Gruppenschlüssel]]=select!$B$1486)=TRUE,1,0)</f>
        <v>0</v>
      </c>
      <c r="AG1058" s="451">
        <f ca="1">IF(AND(Scharniere[[#This Row],[Scharnierart]]=select!$A$1487,Scharniere[[#This Row],[Gruppenschlüssel]]=select!$B$1487)=TRUE,1,0)</f>
        <v>0</v>
      </c>
      <c r="AH1058" s="451">
        <f ca="1">IF(AND(Scharniere[[#This Row],[Scharnierart]]=select!$A$1488,Scharniere[[#This Row],[Gruppenschlüssel]]=select!$B$1488)=TRUE,1,0)</f>
        <v>0</v>
      </c>
      <c r="AI1058" s="451">
        <f ca="1">IF(SUM(Scharniere[[#This Row],[konf Scharnier 1]:[konf Scharnier 4]])&gt;0,1,0)</f>
        <v>0</v>
      </c>
      <c r="AJ1058" s="451"/>
      <c r="AK1058" s="451"/>
      <c r="AL1058" s="451"/>
      <c r="AM1058" s="451"/>
      <c r="AN1058" s="451"/>
      <c r="AO1058" s="146">
        <v>3</v>
      </c>
      <c r="AP1058" s="146">
        <v>5</v>
      </c>
      <c r="AQ1058" s="71" t="str">
        <f ca="1">Sprache!A120</f>
        <v>Tiomos Scharnier T M0 125°</v>
      </c>
      <c r="AR1058" t="s">
        <v>1740</v>
      </c>
      <c r="AS1058" t="str">
        <f ca="1">Sprache!$A$103</f>
        <v>Tiomos Click-On Scharniere</v>
      </c>
      <c r="AT1058">
        <v>14</v>
      </c>
      <c r="AU1058" t="s">
        <v>1264</v>
      </c>
      <c r="AV1058">
        <v>125</v>
      </c>
      <c r="AW1058" s="71">
        <v>0</v>
      </c>
      <c r="AX1058">
        <v>1</v>
      </c>
      <c r="AY1058">
        <v>0</v>
      </c>
      <c r="AZ1058" s="71">
        <v>1</v>
      </c>
      <c r="BA1058">
        <v>0</v>
      </c>
      <c r="BB1058">
        <v>0</v>
      </c>
      <c r="BC1058">
        <v>0</v>
      </c>
      <c r="BD1058" s="144" t="s">
        <v>1743</v>
      </c>
      <c r="BF1058" s="10"/>
      <c r="BG1058"/>
    </row>
    <row r="1059" spans="1:59" ht="14.25" customHeight="1" x14ac:dyDescent="0.25">
      <c r="A1059" s="37" t="str">
        <f>LEFT(Scharniere[[#This Row],[ArtikelNR]],4)</f>
        <v>F049</v>
      </c>
      <c r="B1059" s="35" t="str">
        <f>MID(Scharniere[[#This Row],[ArtikelNR]],5,3)</f>
        <v>140</v>
      </c>
      <c r="C1059" s="37" t="str">
        <f>RIGHT(Scharniere[[#This Row],[ArtikelNR]],3)</f>
        <v>333</v>
      </c>
      <c r="D1059" s="35">
        <f>IF(AND(Scharniere[[#This Row],[Gruppenschlüssel]]=select!$A$44,Scharniere[[#This Row],[Scharnierart]]=1)=TRUE,1,0)</f>
        <v>0</v>
      </c>
      <c r="E105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59" s="35">
        <f>IF(select!$F$57=IF(Scharniere[[#This Row],[mit Dämpfung]]=1,1,IF(Scharniere[[#This Row],[ohne Dämpfung]]=1,2,IF(Scharniere[[#This Row],[ohne Feder]]=1,3,0))),1,0)</f>
        <v>1</v>
      </c>
      <c r="G1059" s="35">
        <f>IF(Scharniere[[#This Row],[Bohrbild]]=select!$V$43,1,0)</f>
        <v>0</v>
      </c>
      <c r="H1059" s="35">
        <f>IF(IF(Scharniere[[#This Row],[Anschrauben]]=1,1,IF(Scharniere[[#This Row],[Einpressen]]=1,2,IF(Scharniere[[#This Row],[Quick]]=1,3,IF(Scharniere[[#This Row],[Werkzeuglos]]=1,4,0))))=select!$F$48,1,0)</f>
        <v>0</v>
      </c>
      <c r="I105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59" s="149">
        <f>IF(AND(Scharniere[[#This Row],[Scharnierart]]=2,Scharniere[[#This Row],[Gruppenschlüssel]]=select!$A$318)=TRUE,1,0)</f>
        <v>0</v>
      </c>
      <c r="K1059" s="221">
        <f ca="1">IF(select!$O$424&lt;6,1,0)</f>
        <v>1</v>
      </c>
      <c r="L1059" s="221">
        <f>IF(select!$A$362=IF(Scharniere[[#This Row],[mit Dämpfung]]=1,1,IF(Scharniere[[#This Row],[ohne Dämpfung]]=1,2,IF(Scharniere[[#This Row],[ohne Feder]]=1,3,0))),1,0)</f>
        <v>0</v>
      </c>
      <c r="M1059" s="135">
        <f>IF(Scharniere[[#This Row],[Bohrbild]]=select!$O$334,1,0)</f>
        <v>0</v>
      </c>
      <c r="N1059" s="135">
        <f>IF(IF(Scharniere[[#This Row],[Anschrauben]]=1,1,IF(Scharniere[[#This Row],[Einpressen]]=1,2,IF(Scharniere[[#This Row],[Quick]]=1,3,IF(Scharniere[[#This Row],[Werkzeuglos]]=1,4,0))))=select!$E$362,1,0)</f>
        <v>1</v>
      </c>
      <c r="O105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59" s="298">
        <f>IF(AND(Scharniere[[#This Row],[Scharnierart]]=3,Scharniere[[#This Row],[Gruppenschlüssel]]=select!$A$747)=TRUE,1,0)</f>
        <v>0</v>
      </c>
      <c r="Q1059" s="298">
        <f ca="1">IF(select!$O$945&lt;6,1,0)</f>
        <v>1</v>
      </c>
      <c r="R1059" s="298">
        <f>IF(select!$A$778=IF(Scharniere[[#This Row],[mit Dämpfung]]=1,1,IF(Scharniere[[#This Row],[ohne Dämpfung]]=1,2,IF(Scharniere[[#This Row],[ohne Feder]]=1,3,0))),1,0)</f>
        <v>0</v>
      </c>
      <c r="S1059" s="298">
        <f>IF(Scharniere[[#This Row],[Bohrbild]]=select!$A$755,1,0)</f>
        <v>1</v>
      </c>
      <c r="T1059" s="298">
        <f>IF(IF(Scharniere[[#This Row],[Anschrauben]]=1,1,IF(Scharniere[[#This Row],[Einpressen]]=1,2,IF(Scharniere[[#This Row],[Quick]]=1,3,IF(Scharniere[[#This Row],[Werkzeuglos]]=1,4,0))))=select!$A$769,1,0)</f>
        <v>1</v>
      </c>
      <c r="U105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59" s="359">
        <f>IF(AND(Scharniere[[#This Row],[Scharnierart]]=4,Scharniere[[#This Row],[Gruppenschlüssel]]=select!$A$981)=TRUE,1,0)</f>
        <v>0</v>
      </c>
      <c r="W1059" s="359">
        <f ca="1">IF(select!$O$1185&lt;6,1,0)</f>
        <v>1</v>
      </c>
      <c r="X1059" s="359">
        <f>IF(select!$A$1012=IF(Scharniere[[#This Row],[mit Dämpfung]]=1,1,IF(Scharniere[[#This Row],[ohne Dämpfung]]=1,2,IF(Scharniere[[#This Row],[ohne Feder]]=1,3,0))),1,0)</f>
        <v>0</v>
      </c>
      <c r="Y1059" s="359">
        <f>IF(Scharniere[[#This Row],[Bohrbild]]=select!$A$989,1,0)</f>
        <v>1</v>
      </c>
      <c r="Z1059" s="359">
        <f>IF(IF(Scharniere[[#This Row],[Anschrauben]]=1,1,IF(Scharniere[[#This Row],[Einpressen]]=1,2,IF(Scharniere[[#This Row],[Quick]]=1,3,IF(Scharniere[[#This Row],[Werkzeuglos]]=1,4,0))))=select!$A$1003,1,0)</f>
        <v>1</v>
      </c>
      <c r="AA105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5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5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59" s="359">
        <f ca="1">IF(select!$K$980="*",Scharniere[[#This Row],[AG Ges2]],Scharniere[[#This Row],[AG Ges1]])</f>
        <v>0</v>
      </c>
      <c r="AE1059" s="451">
        <f ca="1">IF(AND(Scharniere[[#This Row],[Scharnierart]]=select!$A$1485,Scharniere[[#This Row],[Gruppenschlüssel]]=select!$B$1485)=TRUE,1,0)</f>
        <v>0</v>
      </c>
      <c r="AF1059" s="451">
        <f ca="1">IF(AND(Scharniere[[#This Row],[Scharnierart]]=select!$A$1486,Scharniere[[#This Row],[Gruppenschlüssel]]=select!$B$1486)=TRUE,1,0)</f>
        <v>0</v>
      </c>
      <c r="AG1059" s="451">
        <f ca="1">IF(AND(Scharniere[[#This Row],[Scharnierart]]=select!$A$1487,Scharniere[[#This Row],[Gruppenschlüssel]]=select!$B$1487)=TRUE,1,0)</f>
        <v>0</v>
      </c>
      <c r="AH1059" s="451">
        <f ca="1">IF(AND(Scharniere[[#This Row],[Scharnierart]]=select!$A$1488,Scharniere[[#This Row],[Gruppenschlüssel]]=select!$B$1488)=TRUE,1,0)</f>
        <v>0</v>
      </c>
      <c r="AI1059" s="451">
        <f ca="1">IF(SUM(Scharniere[[#This Row],[konf Scharnier 1]:[konf Scharnier 4]])&gt;0,1,0)</f>
        <v>0</v>
      </c>
      <c r="AJ1059" s="451"/>
      <c r="AK1059" s="451"/>
      <c r="AL1059" s="451"/>
      <c r="AM1059" s="451"/>
      <c r="AN1059" s="451"/>
      <c r="AO1059" s="146">
        <v>3</v>
      </c>
      <c r="AP1059" s="146">
        <v>5</v>
      </c>
      <c r="AQ1059" s="71" t="str">
        <f ca="1">Sprache!A127</f>
        <v>Tiomos Scharnier TT M0 125°</v>
      </c>
      <c r="AR1059" t="s">
        <v>1740</v>
      </c>
      <c r="AS1059" t="str">
        <f ca="1">Sprache!$A$103</f>
        <v>Tiomos Click-On Scharniere</v>
      </c>
      <c r="AT1059">
        <v>14</v>
      </c>
      <c r="AU1059" t="s">
        <v>1264</v>
      </c>
      <c r="AV1059">
        <v>125</v>
      </c>
      <c r="AW1059" s="71">
        <v>0</v>
      </c>
      <c r="AX1059">
        <v>0</v>
      </c>
      <c r="AY1059">
        <v>1</v>
      </c>
      <c r="AZ1059" s="71">
        <v>1</v>
      </c>
      <c r="BA1059">
        <v>0</v>
      </c>
      <c r="BB1059">
        <v>0</v>
      </c>
      <c r="BC1059">
        <v>0</v>
      </c>
      <c r="BD1059" s="144" t="s">
        <v>1751</v>
      </c>
      <c r="BF1059" s="10"/>
      <c r="BG1059"/>
    </row>
    <row r="1060" spans="1:59" ht="14.25" customHeight="1" x14ac:dyDescent="0.25">
      <c r="A1060" s="37" t="str">
        <f>LEFT(Scharniere[[#This Row],[ArtikelNR]],4)</f>
        <v>F045</v>
      </c>
      <c r="B1060" s="35" t="str">
        <f>MID(Scharniere[[#This Row],[ArtikelNR]],5,3)</f>
        <v>138</v>
      </c>
      <c r="C1060" s="37" t="str">
        <f>RIGHT(Scharniere[[#This Row],[ArtikelNR]],3)</f>
        <v>079</v>
      </c>
      <c r="D1060" s="35">
        <f>IF(AND(Scharniere[[#This Row],[Gruppenschlüssel]]=select!$A$44,Scharniere[[#This Row],[Scharnierart]]=1)=TRUE,1,0)</f>
        <v>0</v>
      </c>
      <c r="E106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60" s="35">
        <f>IF(select!$F$57=IF(Scharniere[[#This Row],[mit Dämpfung]]=1,1,IF(Scharniere[[#This Row],[ohne Dämpfung]]=1,2,IF(Scharniere[[#This Row],[ohne Feder]]=1,3,0))),1,0)</f>
        <v>0</v>
      </c>
      <c r="G1060" s="35">
        <f>IF(Scharniere[[#This Row],[Bohrbild]]=select!$V$43,1,0)</f>
        <v>0</v>
      </c>
      <c r="H1060" s="35">
        <f>IF(IF(Scharniere[[#This Row],[Anschrauben]]=1,1,IF(Scharniere[[#This Row],[Einpressen]]=1,2,IF(Scharniere[[#This Row],[Quick]]=1,3,IF(Scharniere[[#This Row],[Werkzeuglos]]=1,4,0))))=select!$F$48,1,0)</f>
        <v>0</v>
      </c>
      <c r="I106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0" s="149">
        <f>IF(AND(Scharniere[[#This Row],[Scharnierart]]=2,Scharniere[[#This Row],[Gruppenschlüssel]]=select!$A$318)=TRUE,1,0)</f>
        <v>0</v>
      </c>
      <c r="K1060" s="221">
        <f ca="1">IF(select!$O$424&lt;6,1,0)</f>
        <v>1</v>
      </c>
      <c r="L1060" s="221">
        <f>IF(select!$A$362=IF(Scharniere[[#This Row],[mit Dämpfung]]=1,1,IF(Scharniere[[#This Row],[ohne Dämpfung]]=1,2,IF(Scharniere[[#This Row],[ohne Feder]]=1,3,0))),1,0)</f>
        <v>0</v>
      </c>
      <c r="M1060" s="135">
        <f>IF(Scharniere[[#This Row],[Bohrbild]]=select!$O$334,1,0)</f>
        <v>0</v>
      </c>
      <c r="N1060" s="135">
        <f>IF(IF(Scharniere[[#This Row],[Anschrauben]]=1,1,IF(Scharniere[[#This Row],[Einpressen]]=1,2,IF(Scharniere[[#This Row],[Quick]]=1,3,IF(Scharniere[[#This Row],[Werkzeuglos]]=1,4,0))))=select!$E$362,1,0)</f>
        <v>1</v>
      </c>
      <c r="O106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0" s="298">
        <f>IF(AND(Scharniere[[#This Row],[Scharnierart]]=3,Scharniere[[#This Row],[Gruppenschlüssel]]=select!$A$747)=TRUE,1,0)</f>
        <v>0</v>
      </c>
      <c r="Q1060" s="298">
        <f ca="1">IF(select!$O$945&lt;6,1,0)</f>
        <v>1</v>
      </c>
      <c r="R1060" s="298">
        <f>IF(select!$A$778=IF(Scharniere[[#This Row],[mit Dämpfung]]=1,1,IF(Scharniere[[#This Row],[ohne Dämpfung]]=1,2,IF(Scharniere[[#This Row],[ohne Feder]]=1,3,0))),1,0)</f>
        <v>1</v>
      </c>
      <c r="S1060" s="298">
        <f>IF(Scharniere[[#This Row],[Bohrbild]]=select!$A$755,1,0)</f>
        <v>1</v>
      </c>
      <c r="T1060" s="298">
        <f>IF(IF(Scharniere[[#This Row],[Anschrauben]]=1,1,IF(Scharniere[[#This Row],[Einpressen]]=1,2,IF(Scharniere[[#This Row],[Quick]]=1,3,IF(Scharniere[[#This Row],[Werkzeuglos]]=1,4,0))))=select!$A$769,1,0)</f>
        <v>1</v>
      </c>
      <c r="U106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0" s="359">
        <f>IF(AND(Scharniere[[#This Row],[Scharnierart]]=4,Scharniere[[#This Row],[Gruppenschlüssel]]=select!$A$981)=TRUE,1,0)</f>
        <v>1</v>
      </c>
      <c r="W1060" s="359">
        <f ca="1">IF(select!$O$1185&lt;6,1,0)</f>
        <v>1</v>
      </c>
      <c r="X1060" s="359">
        <f>IF(select!$A$1012=IF(Scharniere[[#This Row],[mit Dämpfung]]=1,1,IF(Scharniere[[#This Row],[ohne Dämpfung]]=1,2,IF(Scharniere[[#This Row],[ohne Feder]]=1,3,0))),1,0)</f>
        <v>1</v>
      </c>
      <c r="Y1060" s="359">
        <f>IF(Scharniere[[#This Row],[Bohrbild]]=select!$A$989,1,0)</f>
        <v>1</v>
      </c>
      <c r="Z1060" s="359">
        <f>IF(IF(Scharniere[[#This Row],[Anschrauben]]=1,1,IF(Scharniere[[#This Row],[Einpressen]]=1,2,IF(Scharniere[[#This Row],[Quick]]=1,3,IF(Scharniere[[#This Row],[Werkzeuglos]]=1,4,0))))=select!$A$1003,1,0)</f>
        <v>1</v>
      </c>
      <c r="AA106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0" s="359">
        <f ca="1">IF(Scharniere[[#This Row],[AG Scharnier]]+Scharniere[[#This Row],[AG MPL Möglich]]+Scharniere[[#This Row],[AG Dämpfung]]+Scharniere[[#This Row],[AG Bohrbild]]+Scharniere[[#This Row],[AG Befest]]=5,1,0)</f>
        <v>1</v>
      </c>
      <c r="AC106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0" s="359">
        <f ca="1">IF(select!$K$980="*",Scharniere[[#This Row],[AG Ges2]],Scharniere[[#This Row],[AG Ges1]])</f>
        <v>1</v>
      </c>
      <c r="AE1060" s="451">
        <f ca="1">IF(AND(Scharniere[[#This Row],[Scharnierart]]=select!$A$1485,Scharniere[[#This Row],[Gruppenschlüssel]]=select!$B$1485)=TRUE,1,0)</f>
        <v>0</v>
      </c>
      <c r="AF1060" s="451">
        <f ca="1">IF(AND(Scharniere[[#This Row],[Scharnierart]]=select!$A$1486,Scharniere[[#This Row],[Gruppenschlüssel]]=select!$B$1486)=TRUE,1,0)</f>
        <v>0</v>
      </c>
      <c r="AG1060" s="451">
        <f ca="1">IF(AND(Scharniere[[#This Row],[Scharnierart]]=select!$A$1487,Scharniere[[#This Row],[Gruppenschlüssel]]=select!$B$1487)=TRUE,1,0)</f>
        <v>0</v>
      </c>
      <c r="AH1060" s="451">
        <f ca="1">IF(AND(Scharniere[[#This Row],[Scharnierart]]=select!$A$1488,Scharniere[[#This Row],[Gruppenschlüssel]]=select!$B$1488)=TRUE,1,0)</f>
        <v>0</v>
      </c>
      <c r="AI1060" s="451">
        <f ca="1">IF(SUM(Scharniere[[#This Row],[konf Scharnier 1]:[konf Scharnier 4]])&gt;0,1,0)</f>
        <v>0</v>
      </c>
      <c r="AJ1060" s="451"/>
      <c r="AK1060" s="451"/>
      <c r="AL1060" s="451"/>
      <c r="AM1060" s="451"/>
      <c r="AN1060" s="451"/>
      <c r="AO1060" s="146">
        <v>4</v>
      </c>
      <c r="AP1060" s="146">
        <v>1</v>
      </c>
      <c r="AQ1060" s="71" t="str">
        <f ca="1">Sprache!$A$118</f>
        <v>Tiomos Scharnier T Click-on</v>
      </c>
      <c r="AR1060" t="s">
        <v>1786</v>
      </c>
      <c r="AS1060" t="str">
        <f ca="1">Sprache!$A$103</f>
        <v>Tiomos Click-On Scharniere</v>
      </c>
      <c r="AT1060">
        <v>3</v>
      </c>
      <c r="AU1060" t="s">
        <v>1264</v>
      </c>
      <c r="AV1060">
        <v>95</v>
      </c>
      <c r="AW1060" s="71">
        <v>0</v>
      </c>
      <c r="AX1060">
        <v>1</v>
      </c>
      <c r="AY1060">
        <v>0</v>
      </c>
      <c r="AZ1060" s="71">
        <v>1</v>
      </c>
      <c r="BA1060">
        <v>0</v>
      </c>
      <c r="BB1060">
        <v>0</v>
      </c>
      <c r="BC1060">
        <v>0</v>
      </c>
      <c r="BD1060" s="144" t="s">
        <v>1787</v>
      </c>
      <c r="BF1060" s="10"/>
      <c r="BG1060"/>
    </row>
    <row r="1061" spans="1:59" ht="14.25" customHeight="1" x14ac:dyDescent="0.25">
      <c r="A1061" s="37" t="str">
        <f>LEFT(Scharniere[[#This Row],[ArtikelNR]],4)</f>
        <v>F029</v>
      </c>
      <c r="B1061" s="35" t="str">
        <f>MID(Scharniere[[#This Row],[ArtikelNR]],5,3)</f>
        <v>140</v>
      </c>
      <c r="C1061" s="37" t="str">
        <f>RIGHT(Scharniere[[#This Row],[ArtikelNR]],3)</f>
        <v>325</v>
      </c>
      <c r="D1061" s="35">
        <f>IF(AND(Scharniere[[#This Row],[Gruppenschlüssel]]=select!$A$44,Scharniere[[#This Row],[Scharnierart]]=1)=TRUE,1,0)</f>
        <v>0</v>
      </c>
      <c r="E106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61" s="35">
        <f>IF(select!$F$57=IF(Scharniere[[#This Row],[mit Dämpfung]]=1,1,IF(Scharniere[[#This Row],[ohne Dämpfung]]=1,2,IF(Scharniere[[#This Row],[ohne Feder]]=1,3,0))),1,0)</f>
        <v>0</v>
      </c>
      <c r="G1061" s="35">
        <f>IF(Scharniere[[#This Row],[Bohrbild]]=select!$V$43,1,0)</f>
        <v>0</v>
      </c>
      <c r="H1061" s="35">
        <f>IF(IF(Scharniere[[#This Row],[Anschrauben]]=1,1,IF(Scharniere[[#This Row],[Einpressen]]=1,2,IF(Scharniere[[#This Row],[Quick]]=1,3,IF(Scharniere[[#This Row],[Werkzeuglos]]=1,4,0))))=select!$F$48,1,0)</f>
        <v>0</v>
      </c>
      <c r="I106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1" s="149">
        <f>IF(AND(Scharniere[[#This Row],[Scharnierart]]=2,Scharniere[[#This Row],[Gruppenschlüssel]]=select!$A$318)=TRUE,1,0)</f>
        <v>0</v>
      </c>
      <c r="K1061" s="221">
        <f ca="1">IF(select!$O$424&lt;6,1,0)</f>
        <v>1</v>
      </c>
      <c r="L1061" s="221">
        <f>IF(select!$A$362=IF(Scharniere[[#This Row],[mit Dämpfung]]=1,1,IF(Scharniere[[#This Row],[ohne Dämpfung]]=1,2,IF(Scharniere[[#This Row],[ohne Feder]]=1,3,0))),1,0)</f>
        <v>1</v>
      </c>
      <c r="M1061" s="135">
        <f>IF(Scharniere[[#This Row],[Bohrbild]]=select!$O$334,1,0)</f>
        <v>0</v>
      </c>
      <c r="N1061" s="135">
        <f>IF(IF(Scharniere[[#This Row],[Anschrauben]]=1,1,IF(Scharniere[[#This Row],[Einpressen]]=1,2,IF(Scharniere[[#This Row],[Quick]]=1,3,IF(Scharniere[[#This Row],[Werkzeuglos]]=1,4,0))))=select!$E$362,1,0)</f>
        <v>1</v>
      </c>
      <c r="O106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1" s="298">
        <f>IF(AND(Scharniere[[#This Row],[Scharnierart]]=3,Scharniere[[#This Row],[Gruppenschlüssel]]=select!$A$747)=TRUE,1,0)</f>
        <v>0</v>
      </c>
      <c r="Q1061" s="298">
        <f ca="1">IF(select!$O$945&lt;6,1,0)</f>
        <v>1</v>
      </c>
      <c r="R1061" s="298">
        <f>IF(select!$A$778=IF(Scharniere[[#This Row],[mit Dämpfung]]=1,1,IF(Scharniere[[#This Row],[ohne Dämpfung]]=1,2,IF(Scharniere[[#This Row],[ohne Feder]]=1,3,0))),1,0)</f>
        <v>0</v>
      </c>
      <c r="S1061" s="298">
        <f>IF(Scharniere[[#This Row],[Bohrbild]]=select!$A$755,1,0)</f>
        <v>1</v>
      </c>
      <c r="T1061" s="298">
        <f>IF(IF(Scharniere[[#This Row],[Anschrauben]]=1,1,IF(Scharniere[[#This Row],[Einpressen]]=1,2,IF(Scharniere[[#This Row],[Quick]]=1,3,IF(Scharniere[[#This Row],[Werkzeuglos]]=1,4,0))))=select!$A$769,1,0)</f>
        <v>1</v>
      </c>
      <c r="U106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1" s="359">
        <f>IF(AND(Scharniere[[#This Row],[Scharnierart]]=4,Scharniere[[#This Row],[Gruppenschlüssel]]=select!$A$981)=TRUE,1,0)</f>
        <v>0</v>
      </c>
      <c r="W1061" s="359">
        <f ca="1">IF(select!$O$1185&lt;6,1,0)</f>
        <v>1</v>
      </c>
      <c r="X1061" s="359">
        <f>IF(select!$A$1012=IF(Scharniere[[#This Row],[mit Dämpfung]]=1,1,IF(Scharniere[[#This Row],[ohne Dämpfung]]=1,2,IF(Scharniere[[#This Row],[ohne Feder]]=1,3,0))),1,0)</f>
        <v>0</v>
      </c>
      <c r="Y1061" s="359">
        <f>IF(Scharniere[[#This Row],[Bohrbild]]=select!$A$989,1,0)</f>
        <v>1</v>
      </c>
      <c r="Z1061" s="359">
        <f>IF(IF(Scharniere[[#This Row],[Anschrauben]]=1,1,IF(Scharniere[[#This Row],[Einpressen]]=1,2,IF(Scharniere[[#This Row],[Quick]]=1,3,IF(Scharniere[[#This Row],[Werkzeuglos]]=1,4,0))))=select!$A$1003,1,0)</f>
        <v>1</v>
      </c>
      <c r="AA106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1" s="359">
        <f ca="1">IF(select!$K$980="*",Scharniere[[#This Row],[AG Ges2]],Scharniere[[#This Row],[AG Ges1]])</f>
        <v>0</v>
      </c>
      <c r="AE1061" s="451">
        <f ca="1">IF(AND(Scharniere[[#This Row],[Scharnierart]]=select!$A$1485,Scharniere[[#This Row],[Gruppenschlüssel]]=select!$B$1485)=TRUE,1,0)</f>
        <v>0</v>
      </c>
      <c r="AF1061" s="451">
        <f ca="1">IF(AND(Scharniere[[#This Row],[Scharnierart]]=select!$A$1486,Scharniere[[#This Row],[Gruppenschlüssel]]=select!$B$1486)=TRUE,1,0)</f>
        <v>0</v>
      </c>
      <c r="AG1061" s="451">
        <f ca="1">IF(AND(Scharniere[[#This Row],[Scharnierart]]=select!$A$1487,Scharniere[[#This Row],[Gruppenschlüssel]]=select!$B$1487)=TRUE,1,0)</f>
        <v>0</v>
      </c>
      <c r="AH1061" s="451">
        <f ca="1">IF(AND(Scharniere[[#This Row],[Scharnierart]]=select!$A$1488,Scharniere[[#This Row],[Gruppenschlüssel]]=select!$B$1488)=TRUE,1,0)</f>
        <v>0</v>
      </c>
      <c r="AI1061" s="451">
        <f ca="1">IF(SUM(Scharniere[[#This Row],[konf Scharnier 1]:[konf Scharnier 4]])&gt;0,1,0)</f>
        <v>0</v>
      </c>
      <c r="AJ1061" s="451"/>
      <c r="AK1061" s="451"/>
      <c r="AL1061" s="451"/>
      <c r="AM1061" s="451"/>
      <c r="AN1061" s="451"/>
      <c r="AO1061" s="146">
        <v>4</v>
      </c>
      <c r="AP1061" s="146">
        <v>2</v>
      </c>
      <c r="AQ1061" s="71" t="str">
        <f ca="1">Sprache!$A$130</f>
        <v>Tiomos Scharnier TS Mirro 125°</v>
      </c>
      <c r="AR1061" t="s">
        <v>1740</v>
      </c>
      <c r="AS1061" t="str">
        <f ca="1">Sprache!$A$103</f>
        <v>Tiomos Click-On Scharniere</v>
      </c>
      <c r="AT1061">
        <v>14</v>
      </c>
      <c r="AU1061" t="s">
        <v>1264</v>
      </c>
      <c r="AV1061">
        <v>125</v>
      </c>
      <c r="AW1061" s="71">
        <v>1</v>
      </c>
      <c r="AX1061">
        <v>0</v>
      </c>
      <c r="AY1061">
        <v>0</v>
      </c>
      <c r="AZ1061" s="71">
        <v>1</v>
      </c>
      <c r="BA1061">
        <v>0</v>
      </c>
      <c r="BB1061">
        <v>0</v>
      </c>
      <c r="BC1061">
        <v>0</v>
      </c>
      <c r="BD1061" s="144" t="s">
        <v>1784</v>
      </c>
      <c r="BF1061" s="10"/>
      <c r="BG1061"/>
    </row>
    <row r="1062" spans="1:59" ht="14.25" customHeight="1" x14ac:dyDescent="0.25">
      <c r="A1062" s="37" t="str">
        <f>LEFT(Scharniere[[#This Row],[ArtikelNR]],4)</f>
        <v>F047</v>
      </c>
      <c r="B1062" s="35" t="str">
        <f>MID(Scharniere[[#This Row],[ArtikelNR]],5,3)</f>
        <v>140</v>
      </c>
      <c r="C1062" s="37" t="str">
        <f>RIGHT(Scharniere[[#This Row],[ArtikelNR]],3)</f>
        <v>326</v>
      </c>
      <c r="D1062" s="35">
        <f>IF(AND(Scharniere[[#This Row],[Gruppenschlüssel]]=select!$A$44,Scharniere[[#This Row],[Scharnierart]]=1)=TRUE,1,0)</f>
        <v>0</v>
      </c>
      <c r="E106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62" s="35">
        <f>IF(select!$F$57=IF(Scharniere[[#This Row],[mit Dämpfung]]=1,1,IF(Scharniere[[#This Row],[ohne Dämpfung]]=1,2,IF(Scharniere[[#This Row],[ohne Feder]]=1,3,0))),1,0)</f>
        <v>0</v>
      </c>
      <c r="G1062" s="35">
        <f>IF(Scharniere[[#This Row],[Bohrbild]]=select!$V$43,1,0)</f>
        <v>0</v>
      </c>
      <c r="H1062" s="35">
        <f>IF(IF(Scharniere[[#This Row],[Anschrauben]]=1,1,IF(Scharniere[[#This Row],[Einpressen]]=1,2,IF(Scharniere[[#This Row],[Quick]]=1,3,IF(Scharniere[[#This Row],[Werkzeuglos]]=1,4,0))))=select!$F$48,1,0)</f>
        <v>0</v>
      </c>
      <c r="I106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2" s="149">
        <f>IF(AND(Scharniere[[#This Row],[Scharnierart]]=2,Scharniere[[#This Row],[Gruppenschlüssel]]=select!$A$318)=TRUE,1,0)</f>
        <v>0</v>
      </c>
      <c r="K1062" s="221">
        <f ca="1">IF(select!$O$424&lt;6,1,0)</f>
        <v>1</v>
      </c>
      <c r="L1062" s="221">
        <f>IF(select!$A$362=IF(Scharniere[[#This Row],[mit Dämpfung]]=1,1,IF(Scharniere[[#This Row],[ohne Dämpfung]]=1,2,IF(Scharniere[[#This Row],[ohne Feder]]=1,3,0))),1,0)</f>
        <v>0</v>
      </c>
      <c r="M1062" s="135">
        <f>IF(Scharniere[[#This Row],[Bohrbild]]=select!$O$334,1,0)</f>
        <v>0</v>
      </c>
      <c r="N1062" s="135">
        <f>IF(IF(Scharniere[[#This Row],[Anschrauben]]=1,1,IF(Scharniere[[#This Row],[Einpressen]]=1,2,IF(Scharniere[[#This Row],[Quick]]=1,3,IF(Scharniere[[#This Row],[Werkzeuglos]]=1,4,0))))=select!$E$362,1,0)</f>
        <v>1</v>
      </c>
      <c r="O106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2" s="298">
        <f>IF(AND(Scharniere[[#This Row],[Scharnierart]]=3,Scharniere[[#This Row],[Gruppenschlüssel]]=select!$A$747)=TRUE,1,0)</f>
        <v>0</v>
      </c>
      <c r="Q1062" s="298">
        <f ca="1">IF(select!$O$945&lt;6,1,0)</f>
        <v>1</v>
      </c>
      <c r="R1062" s="298">
        <f>IF(select!$A$778=IF(Scharniere[[#This Row],[mit Dämpfung]]=1,1,IF(Scharniere[[#This Row],[ohne Dämpfung]]=1,2,IF(Scharniere[[#This Row],[ohne Feder]]=1,3,0))),1,0)</f>
        <v>1</v>
      </c>
      <c r="S1062" s="298">
        <f>IF(Scharniere[[#This Row],[Bohrbild]]=select!$A$755,1,0)</f>
        <v>1</v>
      </c>
      <c r="T1062" s="298">
        <f>IF(IF(Scharniere[[#This Row],[Anschrauben]]=1,1,IF(Scharniere[[#This Row],[Einpressen]]=1,2,IF(Scharniere[[#This Row],[Quick]]=1,3,IF(Scharniere[[#This Row],[Werkzeuglos]]=1,4,0))))=select!$A$769,1,0)</f>
        <v>1</v>
      </c>
      <c r="U106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2" s="359">
        <f>IF(AND(Scharniere[[#This Row],[Scharnierart]]=4,Scharniere[[#This Row],[Gruppenschlüssel]]=select!$A$981)=TRUE,1,0)</f>
        <v>0</v>
      </c>
      <c r="W1062" s="359">
        <f ca="1">IF(select!$O$1185&lt;6,1,0)</f>
        <v>1</v>
      </c>
      <c r="X1062" s="359">
        <f>IF(select!$A$1012=IF(Scharniere[[#This Row],[mit Dämpfung]]=1,1,IF(Scharniere[[#This Row],[ohne Dämpfung]]=1,2,IF(Scharniere[[#This Row],[ohne Feder]]=1,3,0))),1,0)</f>
        <v>1</v>
      </c>
      <c r="Y1062" s="359">
        <f>IF(Scharniere[[#This Row],[Bohrbild]]=select!$A$989,1,0)</f>
        <v>1</v>
      </c>
      <c r="Z1062" s="359">
        <f>IF(IF(Scharniere[[#This Row],[Anschrauben]]=1,1,IF(Scharniere[[#This Row],[Einpressen]]=1,2,IF(Scharniere[[#This Row],[Quick]]=1,3,IF(Scharniere[[#This Row],[Werkzeuglos]]=1,4,0))))=select!$A$1003,1,0)</f>
        <v>1</v>
      </c>
      <c r="AA106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2" s="359">
        <f ca="1">IF(select!$K$980="*",Scharniere[[#This Row],[AG Ges2]],Scharniere[[#This Row],[AG Ges1]])</f>
        <v>0</v>
      </c>
      <c r="AE1062" s="451">
        <f ca="1">IF(AND(Scharniere[[#This Row],[Scharnierart]]=select!$A$1485,Scharniere[[#This Row],[Gruppenschlüssel]]=select!$B$1485)=TRUE,1,0)</f>
        <v>0</v>
      </c>
      <c r="AF1062" s="451">
        <f ca="1">IF(AND(Scharniere[[#This Row],[Scharnierart]]=select!$A$1486,Scharniere[[#This Row],[Gruppenschlüssel]]=select!$B$1486)=TRUE,1,0)</f>
        <v>0</v>
      </c>
      <c r="AG1062" s="451">
        <f ca="1">IF(AND(Scharniere[[#This Row],[Scharnierart]]=select!$A$1487,Scharniere[[#This Row],[Gruppenschlüssel]]=select!$B$1487)=TRUE,1,0)</f>
        <v>0</v>
      </c>
      <c r="AH1062" s="451">
        <f ca="1">IF(AND(Scharniere[[#This Row],[Scharnierart]]=select!$A$1488,Scharniere[[#This Row],[Gruppenschlüssel]]=select!$B$1488)=TRUE,1,0)</f>
        <v>0</v>
      </c>
      <c r="AI1062" s="451">
        <f ca="1">IF(SUM(Scharniere[[#This Row],[konf Scharnier 1]:[konf Scharnier 4]])&gt;0,1,0)</f>
        <v>0</v>
      </c>
      <c r="AJ1062" s="451"/>
      <c r="AK1062" s="451"/>
      <c r="AL1062" s="451"/>
      <c r="AM1062" s="451"/>
      <c r="AN1062" s="451"/>
      <c r="AO1062" s="146">
        <v>4</v>
      </c>
      <c r="AP1062" s="146">
        <v>2</v>
      </c>
      <c r="AQ1062" s="71" t="str">
        <f ca="1">Sprache!$A$122</f>
        <v>Tiomos Scharnier T Mirro 125°</v>
      </c>
      <c r="AR1062" t="s">
        <v>1740</v>
      </c>
      <c r="AS1062" t="str">
        <f ca="1">Sprache!$A$103</f>
        <v>Tiomos Click-On Scharniere</v>
      </c>
      <c r="AT1062">
        <v>14</v>
      </c>
      <c r="AU1062" t="s">
        <v>1264</v>
      </c>
      <c r="AV1062">
        <v>125</v>
      </c>
      <c r="AW1062" s="71">
        <v>0</v>
      </c>
      <c r="AX1062">
        <v>1</v>
      </c>
      <c r="AY1062">
        <v>0</v>
      </c>
      <c r="AZ1062" s="71">
        <v>1</v>
      </c>
      <c r="BA1062">
        <v>0</v>
      </c>
      <c r="BB1062">
        <v>0</v>
      </c>
      <c r="BC1062">
        <v>0</v>
      </c>
      <c r="BD1062" s="144" t="s">
        <v>1741</v>
      </c>
      <c r="BF1062" s="10"/>
      <c r="BG1062"/>
    </row>
    <row r="1063" spans="1:59" ht="14.25" customHeight="1" x14ac:dyDescent="0.25">
      <c r="A1063" s="37" t="str">
        <f>LEFT(Scharniere[[#This Row],[ArtikelNR]],4)</f>
        <v>F049</v>
      </c>
      <c r="B1063" s="35" t="str">
        <f>MID(Scharniere[[#This Row],[ArtikelNR]],5,3)</f>
        <v>140</v>
      </c>
      <c r="C1063" s="37" t="str">
        <f>RIGHT(Scharniere[[#This Row],[ArtikelNR]],3)</f>
        <v>327</v>
      </c>
      <c r="D1063" s="35">
        <f>IF(AND(Scharniere[[#This Row],[Gruppenschlüssel]]=select!$A$44,Scharniere[[#This Row],[Scharnierart]]=1)=TRUE,1,0)</f>
        <v>0</v>
      </c>
      <c r="E106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63" s="35">
        <f>IF(select!$F$57=IF(Scharniere[[#This Row],[mit Dämpfung]]=1,1,IF(Scharniere[[#This Row],[ohne Dämpfung]]=1,2,IF(Scharniere[[#This Row],[ohne Feder]]=1,3,0))),1,0)</f>
        <v>1</v>
      </c>
      <c r="G1063" s="35">
        <f>IF(Scharniere[[#This Row],[Bohrbild]]=select!$V$43,1,0)</f>
        <v>0</v>
      </c>
      <c r="H1063" s="35">
        <f>IF(IF(Scharniere[[#This Row],[Anschrauben]]=1,1,IF(Scharniere[[#This Row],[Einpressen]]=1,2,IF(Scharniere[[#This Row],[Quick]]=1,3,IF(Scharniere[[#This Row],[Werkzeuglos]]=1,4,0))))=select!$F$48,1,0)</f>
        <v>0</v>
      </c>
      <c r="I106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3" s="149">
        <f>IF(AND(Scharniere[[#This Row],[Scharnierart]]=2,Scharniere[[#This Row],[Gruppenschlüssel]]=select!$A$318)=TRUE,1,0)</f>
        <v>0</v>
      </c>
      <c r="K1063" s="221">
        <f ca="1">IF(select!$O$424&lt;6,1,0)</f>
        <v>1</v>
      </c>
      <c r="L1063" s="221">
        <f>IF(select!$A$362=IF(Scharniere[[#This Row],[mit Dämpfung]]=1,1,IF(Scharniere[[#This Row],[ohne Dämpfung]]=1,2,IF(Scharniere[[#This Row],[ohne Feder]]=1,3,0))),1,0)</f>
        <v>0</v>
      </c>
      <c r="M1063" s="135">
        <f>IF(Scharniere[[#This Row],[Bohrbild]]=select!$O$334,1,0)</f>
        <v>0</v>
      </c>
      <c r="N1063" s="135">
        <f>IF(IF(Scharniere[[#This Row],[Anschrauben]]=1,1,IF(Scharniere[[#This Row],[Einpressen]]=1,2,IF(Scharniere[[#This Row],[Quick]]=1,3,IF(Scharniere[[#This Row],[Werkzeuglos]]=1,4,0))))=select!$E$362,1,0)</f>
        <v>1</v>
      </c>
      <c r="O106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3" s="298">
        <f>IF(AND(Scharniere[[#This Row],[Scharnierart]]=3,Scharniere[[#This Row],[Gruppenschlüssel]]=select!$A$747)=TRUE,1,0)</f>
        <v>0</v>
      </c>
      <c r="Q1063" s="298">
        <f ca="1">IF(select!$O$945&lt;6,1,0)</f>
        <v>1</v>
      </c>
      <c r="R1063" s="298">
        <f>IF(select!$A$778=IF(Scharniere[[#This Row],[mit Dämpfung]]=1,1,IF(Scharniere[[#This Row],[ohne Dämpfung]]=1,2,IF(Scharniere[[#This Row],[ohne Feder]]=1,3,0))),1,0)</f>
        <v>0</v>
      </c>
      <c r="S1063" s="298">
        <f>IF(Scharniere[[#This Row],[Bohrbild]]=select!$A$755,1,0)</f>
        <v>1</v>
      </c>
      <c r="T1063" s="298">
        <f>IF(IF(Scharniere[[#This Row],[Anschrauben]]=1,1,IF(Scharniere[[#This Row],[Einpressen]]=1,2,IF(Scharniere[[#This Row],[Quick]]=1,3,IF(Scharniere[[#This Row],[Werkzeuglos]]=1,4,0))))=select!$A$769,1,0)</f>
        <v>1</v>
      </c>
      <c r="U106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3" s="359">
        <f>IF(AND(Scharniere[[#This Row],[Scharnierart]]=4,Scharniere[[#This Row],[Gruppenschlüssel]]=select!$A$981)=TRUE,1,0)</f>
        <v>0</v>
      </c>
      <c r="W1063" s="359">
        <f ca="1">IF(select!$O$1185&lt;6,1,0)</f>
        <v>1</v>
      </c>
      <c r="X1063" s="359">
        <f>IF(select!$A$1012=IF(Scharniere[[#This Row],[mit Dämpfung]]=1,1,IF(Scharniere[[#This Row],[ohne Dämpfung]]=1,2,IF(Scharniere[[#This Row],[ohne Feder]]=1,3,0))),1,0)</f>
        <v>0</v>
      </c>
      <c r="Y1063" s="359">
        <f>IF(Scharniere[[#This Row],[Bohrbild]]=select!$A$989,1,0)</f>
        <v>1</v>
      </c>
      <c r="Z1063" s="359">
        <f>IF(IF(Scharniere[[#This Row],[Anschrauben]]=1,1,IF(Scharniere[[#This Row],[Einpressen]]=1,2,IF(Scharniere[[#This Row],[Quick]]=1,3,IF(Scharniere[[#This Row],[Werkzeuglos]]=1,4,0))))=select!$A$1003,1,0)</f>
        <v>1</v>
      </c>
      <c r="AA106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3" s="359">
        <f ca="1">IF(select!$K$980="*",Scharniere[[#This Row],[AG Ges2]],Scharniere[[#This Row],[AG Ges1]])</f>
        <v>0</v>
      </c>
      <c r="AE1063" s="451">
        <f ca="1">IF(AND(Scharniere[[#This Row],[Scharnierart]]=select!$A$1485,Scharniere[[#This Row],[Gruppenschlüssel]]=select!$B$1485)=TRUE,1,0)</f>
        <v>0</v>
      </c>
      <c r="AF1063" s="451">
        <f ca="1">IF(AND(Scharniere[[#This Row],[Scharnierart]]=select!$A$1486,Scharniere[[#This Row],[Gruppenschlüssel]]=select!$B$1486)=TRUE,1,0)</f>
        <v>0</v>
      </c>
      <c r="AG1063" s="451">
        <f ca="1">IF(AND(Scharniere[[#This Row],[Scharnierart]]=select!$A$1487,Scharniere[[#This Row],[Gruppenschlüssel]]=select!$B$1487)=TRUE,1,0)</f>
        <v>0</v>
      </c>
      <c r="AH1063" s="451">
        <f ca="1">IF(AND(Scharniere[[#This Row],[Scharnierart]]=select!$A$1488,Scharniere[[#This Row],[Gruppenschlüssel]]=select!$B$1488)=TRUE,1,0)</f>
        <v>0</v>
      </c>
      <c r="AI1063" s="451">
        <f ca="1">IF(SUM(Scharniere[[#This Row],[konf Scharnier 1]:[konf Scharnier 4]])&gt;0,1,0)</f>
        <v>0</v>
      </c>
      <c r="AJ1063" s="451"/>
      <c r="AK1063" s="451"/>
      <c r="AL1063" s="451"/>
      <c r="AM1063" s="451"/>
      <c r="AN1063" s="451"/>
      <c r="AO1063" s="146">
        <v>4</v>
      </c>
      <c r="AP1063" s="146">
        <v>2</v>
      </c>
      <c r="AQ1063" s="71" t="str">
        <f ca="1">Sprache!$A$129</f>
        <v>Tiomos Scharnier TT Mirro 125°</v>
      </c>
      <c r="AR1063" t="s">
        <v>1740</v>
      </c>
      <c r="AS1063" t="str">
        <f ca="1">Sprache!$A$103</f>
        <v>Tiomos Click-On Scharniere</v>
      </c>
      <c r="AT1063">
        <v>14</v>
      </c>
      <c r="AU1063" t="s">
        <v>1264</v>
      </c>
      <c r="AV1063">
        <v>125</v>
      </c>
      <c r="AW1063" s="71">
        <v>0</v>
      </c>
      <c r="AX1063">
        <v>0</v>
      </c>
      <c r="AY1063">
        <v>1</v>
      </c>
      <c r="AZ1063" s="71">
        <v>1</v>
      </c>
      <c r="BA1063">
        <v>0</v>
      </c>
      <c r="BB1063">
        <v>0</v>
      </c>
      <c r="BC1063">
        <v>0</v>
      </c>
      <c r="BD1063" s="144" t="s">
        <v>1749</v>
      </c>
      <c r="BF1063" s="10"/>
      <c r="BG1063"/>
    </row>
    <row r="1064" spans="1:59" ht="14.25" customHeight="1" x14ac:dyDescent="0.25">
      <c r="A1064" s="37" t="str">
        <f>LEFT(Scharniere[[#This Row],[ArtikelNR]],4)</f>
        <v>F028</v>
      </c>
      <c r="B1064" s="35" t="str">
        <f>MID(Scharniere[[#This Row],[ArtikelNR]],5,3)</f>
        <v>138</v>
      </c>
      <c r="C1064" s="37" t="str">
        <f>RIGHT(Scharniere[[#This Row],[ArtikelNR]],3)</f>
        <v>157</v>
      </c>
      <c r="D1064" s="35">
        <f>IF(AND(Scharniere[[#This Row],[Gruppenschlüssel]]=select!$A$44,Scharniere[[#This Row],[Scharnierart]]=1)=TRUE,1,0)</f>
        <v>0</v>
      </c>
      <c r="E106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4" s="35">
        <f>IF(select!$F$57=IF(Scharniere[[#This Row],[mit Dämpfung]]=1,1,IF(Scharniere[[#This Row],[ohne Dämpfung]]=1,2,IF(Scharniere[[#This Row],[ohne Feder]]=1,3,0))),1,0)</f>
        <v>0</v>
      </c>
      <c r="G1064" s="35">
        <f>IF(Scharniere[[#This Row],[Bohrbild]]=select!$V$43,1,0)</f>
        <v>0</v>
      </c>
      <c r="H1064" s="35">
        <f>IF(IF(Scharniere[[#This Row],[Anschrauben]]=1,1,IF(Scharniere[[#This Row],[Einpressen]]=1,2,IF(Scharniere[[#This Row],[Quick]]=1,3,IF(Scharniere[[#This Row],[Werkzeuglos]]=1,4,0))))=select!$F$48,1,0)</f>
        <v>0</v>
      </c>
      <c r="I106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4" s="149">
        <f>IF(AND(Scharniere[[#This Row],[Scharnierart]]=2,Scharniere[[#This Row],[Gruppenschlüssel]]=select!$A$318)=TRUE,1,0)</f>
        <v>0</v>
      </c>
      <c r="K1064" s="221">
        <f ca="1">IF(select!$O$424&lt;6,1,0)</f>
        <v>1</v>
      </c>
      <c r="L1064" s="221">
        <f>IF(select!$A$362=IF(Scharniere[[#This Row],[mit Dämpfung]]=1,1,IF(Scharniere[[#This Row],[ohne Dämpfung]]=1,2,IF(Scharniere[[#This Row],[ohne Feder]]=1,3,0))),1,0)</f>
        <v>1</v>
      </c>
      <c r="M1064" s="135">
        <f>IF(Scharniere[[#This Row],[Bohrbild]]=select!$O$334,1,0)</f>
        <v>0</v>
      </c>
      <c r="N1064" s="135">
        <f>IF(IF(Scharniere[[#This Row],[Anschrauben]]=1,1,IF(Scharniere[[#This Row],[Einpressen]]=1,2,IF(Scharniere[[#This Row],[Quick]]=1,3,IF(Scharniere[[#This Row],[Werkzeuglos]]=1,4,0))))=select!$E$362,1,0)</f>
        <v>1</v>
      </c>
      <c r="O106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4" s="298">
        <f>IF(AND(Scharniere[[#This Row],[Scharnierart]]=3,Scharniere[[#This Row],[Gruppenschlüssel]]=select!$A$747)=TRUE,1,0)</f>
        <v>0</v>
      </c>
      <c r="Q1064" s="298">
        <f ca="1">IF(select!$O$945&lt;6,1,0)</f>
        <v>1</v>
      </c>
      <c r="R1064" s="298">
        <f>IF(select!$A$778=IF(Scharniere[[#This Row],[mit Dämpfung]]=1,1,IF(Scharniere[[#This Row],[ohne Dämpfung]]=1,2,IF(Scharniere[[#This Row],[ohne Feder]]=1,3,0))),1,0)</f>
        <v>0</v>
      </c>
      <c r="S1064" s="298">
        <f>IF(Scharniere[[#This Row],[Bohrbild]]=select!$A$755,1,0)</f>
        <v>1</v>
      </c>
      <c r="T1064" s="298">
        <f>IF(IF(Scharniere[[#This Row],[Anschrauben]]=1,1,IF(Scharniere[[#This Row],[Einpressen]]=1,2,IF(Scharniere[[#This Row],[Quick]]=1,3,IF(Scharniere[[#This Row],[Werkzeuglos]]=1,4,0))))=select!$A$769,1,0)</f>
        <v>1</v>
      </c>
      <c r="U106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4" s="359">
        <f>IF(AND(Scharniere[[#This Row],[Scharnierart]]=4,Scharniere[[#This Row],[Gruppenschlüssel]]=select!$A$981)=TRUE,1,0)</f>
        <v>0</v>
      </c>
      <c r="W1064" s="359">
        <f ca="1">IF(select!$O$1185&lt;6,1,0)</f>
        <v>1</v>
      </c>
      <c r="X1064" s="359">
        <f>IF(select!$A$1012=IF(Scharniere[[#This Row],[mit Dämpfung]]=1,1,IF(Scharniere[[#This Row],[ohne Dämpfung]]=1,2,IF(Scharniere[[#This Row],[ohne Feder]]=1,3,0))),1,0)</f>
        <v>0</v>
      </c>
      <c r="Y1064" s="359">
        <f>IF(Scharniere[[#This Row],[Bohrbild]]=select!$A$989,1,0)</f>
        <v>1</v>
      </c>
      <c r="Z1064" s="359">
        <f>IF(IF(Scharniere[[#This Row],[Anschrauben]]=1,1,IF(Scharniere[[#This Row],[Einpressen]]=1,2,IF(Scharniere[[#This Row],[Quick]]=1,3,IF(Scharniere[[#This Row],[Werkzeuglos]]=1,4,0))))=select!$A$1003,1,0)</f>
        <v>1</v>
      </c>
      <c r="AA106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4" s="359">
        <f ca="1">IF(select!$K$980="*",Scharniere[[#This Row],[AG Ges2]],Scharniere[[#This Row],[AG Ges1]])</f>
        <v>0</v>
      </c>
      <c r="AE1064" s="451">
        <f ca="1">IF(AND(Scharniere[[#This Row],[Scharnierart]]=select!$A$1485,Scharniere[[#This Row],[Gruppenschlüssel]]=select!$B$1485)=TRUE,1,0)</f>
        <v>0</v>
      </c>
      <c r="AF1064" s="451">
        <f ca="1">IF(AND(Scharniere[[#This Row],[Scharnierart]]=select!$A$1486,Scharniere[[#This Row],[Gruppenschlüssel]]=select!$B$1486)=TRUE,1,0)</f>
        <v>0</v>
      </c>
      <c r="AG1064" s="451">
        <f ca="1">IF(AND(Scharniere[[#This Row],[Scharnierart]]=select!$A$1487,Scharniere[[#This Row],[Gruppenschlüssel]]=select!$B$1487)=TRUE,1,0)</f>
        <v>0</v>
      </c>
      <c r="AH1064" s="451">
        <f ca="1">IF(AND(Scharniere[[#This Row],[Scharnierart]]=select!$A$1488,Scharniere[[#This Row],[Gruppenschlüssel]]=select!$B$1488)=TRUE,1,0)</f>
        <v>0</v>
      </c>
      <c r="AI1064" s="451">
        <f ca="1">IF(SUM(Scharniere[[#This Row],[konf Scharnier 1]:[konf Scharnier 4]])&gt;0,1,0)</f>
        <v>0</v>
      </c>
      <c r="AJ1064" s="451"/>
      <c r="AK1064" s="451"/>
      <c r="AL1064" s="451"/>
      <c r="AM1064" s="451"/>
      <c r="AN1064" s="451"/>
      <c r="AO1064" s="146">
        <v>4</v>
      </c>
      <c r="AP1064" s="146">
        <v>3</v>
      </c>
      <c r="AQ1064" s="71" t="str">
        <f ca="1">Sprache!$A$112</f>
        <v>Tiomos Scharnier TS Click-on</v>
      </c>
      <c r="AR1064" t="s">
        <v>1531</v>
      </c>
      <c r="AS1064" t="str">
        <f ca="1">Sprache!$A$103</f>
        <v>Tiomos Click-On Scharniere</v>
      </c>
      <c r="AT1064">
        <v>19</v>
      </c>
      <c r="AU1064" t="s">
        <v>1264</v>
      </c>
      <c r="AV1064">
        <v>110</v>
      </c>
      <c r="AW1064" s="71">
        <v>1</v>
      </c>
      <c r="AX1064">
        <v>0</v>
      </c>
      <c r="AY1064">
        <v>0</v>
      </c>
      <c r="AZ1064" s="71">
        <v>1</v>
      </c>
      <c r="BA1064">
        <v>0</v>
      </c>
      <c r="BB1064">
        <v>0</v>
      </c>
      <c r="BC1064">
        <v>0</v>
      </c>
      <c r="BD1064" s="144" t="s">
        <v>1532</v>
      </c>
      <c r="BF1064" s="10"/>
      <c r="BG1064"/>
    </row>
    <row r="1065" spans="1:59" ht="14.25" customHeight="1" x14ac:dyDescent="0.25">
      <c r="A1065" s="37" t="str">
        <f>LEFT(Scharniere[[#This Row],[ArtikelNR]],4)</f>
        <v>F045</v>
      </c>
      <c r="B1065" s="35" t="str">
        <f>MID(Scharniere[[#This Row],[ArtikelNR]],5,3)</f>
        <v>138</v>
      </c>
      <c r="C1065" s="37" t="str">
        <f>RIGHT(Scharniere[[#This Row],[ArtikelNR]],3)</f>
        <v>064</v>
      </c>
      <c r="D1065" s="35">
        <f>IF(AND(Scharniere[[#This Row],[Gruppenschlüssel]]=select!$A$44,Scharniere[[#This Row],[Scharnierart]]=1)=TRUE,1,0)</f>
        <v>0</v>
      </c>
      <c r="E106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5" s="35">
        <f>IF(select!$F$57=IF(Scharniere[[#This Row],[mit Dämpfung]]=1,1,IF(Scharniere[[#This Row],[ohne Dämpfung]]=1,2,IF(Scharniere[[#This Row],[ohne Feder]]=1,3,0))),1,0)</f>
        <v>0</v>
      </c>
      <c r="G1065" s="35">
        <f>IF(Scharniere[[#This Row],[Bohrbild]]=select!$V$43,1,0)</f>
        <v>0</v>
      </c>
      <c r="H1065" s="35">
        <f>IF(IF(Scharniere[[#This Row],[Anschrauben]]=1,1,IF(Scharniere[[#This Row],[Einpressen]]=1,2,IF(Scharniere[[#This Row],[Quick]]=1,3,IF(Scharniere[[#This Row],[Werkzeuglos]]=1,4,0))))=select!$F$48,1,0)</f>
        <v>0</v>
      </c>
      <c r="I106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5" s="149">
        <f>IF(AND(Scharniere[[#This Row],[Scharnierart]]=2,Scharniere[[#This Row],[Gruppenschlüssel]]=select!$A$318)=TRUE,1,0)</f>
        <v>0</v>
      </c>
      <c r="K1065" s="221">
        <f ca="1">IF(select!$O$424&lt;6,1,0)</f>
        <v>1</v>
      </c>
      <c r="L1065" s="221">
        <f>IF(select!$A$362=IF(Scharniere[[#This Row],[mit Dämpfung]]=1,1,IF(Scharniere[[#This Row],[ohne Dämpfung]]=1,2,IF(Scharniere[[#This Row],[ohne Feder]]=1,3,0))),1,0)</f>
        <v>0</v>
      </c>
      <c r="M1065" s="135">
        <f>IF(Scharniere[[#This Row],[Bohrbild]]=select!$O$334,1,0)</f>
        <v>0</v>
      </c>
      <c r="N1065" s="135">
        <f>IF(IF(Scharniere[[#This Row],[Anschrauben]]=1,1,IF(Scharniere[[#This Row],[Einpressen]]=1,2,IF(Scharniere[[#This Row],[Quick]]=1,3,IF(Scharniere[[#This Row],[Werkzeuglos]]=1,4,0))))=select!$E$362,1,0)</f>
        <v>1</v>
      </c>
      <c r="O106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5" s="298">
        <f>IF(AND(Scharniere[[#This Row],[Scharnierart]]=3,Scharniere[[#This Row],[Gruppenschlüssel]]=select!$A$747)=TRUE,1,0)</f>
        <v>0</v>
      </c>
      <c r="Q1065" s="298">
        <f ca="1">IF(select!$O$945&lt;6,1,0)</f>
        <v>1</v>
      </c>
      <c r="R1065" s="298">
        <f>IF(select!$A$778=IF(Scharniere[[#This Row],[mit Dämpfung]]=1,1,IF(Scharniere[[#This Row],[ohne Dämpfung]]=1,2,IF(Scharniere[[#This Row],[ohne Feder]]=1,3,0))),1,0)</f>
        <v>1</v>
      </c>
      <c r="S1065" s="298">
        <f>IF(Scharniere[[#This Row],[Bohrbild]]=select!$A$755,1,0)</f>
        <v>1</v>
      </c>
      <c r="T1065" s="298">
        <f>IF(IF(Scharniere[[#This Row],[Anschrauben]]=1,1,IF(Scharniere[[#This Row],[Einpressen]]=1,2,IF(Scharniere[[#This Row],[Quick]]=1,3,IF(Scharniere[[#This Row],[Werkzeuglos]]=1,4,0))))=select!$A$769,1,0)</f>
        <v>1</v>
      </c>
      <c r="U106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5" s="359">
        <f>IF(AND(Scharniere[[#This Row],[Scharnierart]]=4,Scharniere[[#This Row],[Gruppenschlüssel]]=select!$A$981)=TRUE,1,0)</f>
        <v>0</v>
      </c>
      <c r="W1065" s="359">
        <f ca="1">IF(select!$O$1185&lt;6,1,0)</f>
        <v>1</v>
      </c>
      <c r="X1065" s="359">
        <f>IF(select!$A$1012=IF(Scharniere[[#This Row],[mit Dämpfung]]=1,1,IF(Scharniere[[#This Row],[ohne Dämpfung]]=1,2,IF(Scharniere[[#This Row],[ohne Feder]]=1,3,0))),1,0)</f>
        <v>1</v>
      </c>
      <c r="Y1065" s="359">
        <f>IF(Scharniere[[#This Row],[Bohrbild]]=select!$A$989,1,0)</f>
        <v>1</v>
      </c>
      <c r="Z1065" s="359">
        <f>IF(IF(Scharniere[[#This Row],[Anschrauben]]=1,1,IF(Scharniere[[#This Row],[Einpressen]]=1,2,IF(Scharniere[[#This Row],[Quick]]=1,3,IF(Scharniere[[#This Row],[Werkzeuglos]]=1,4,0))))=select!$A$1003,1,0)</f>
        <v>1</v>
      </c>
      <c r="AA106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5" s="359">
        <f ca="1">IF(select!$K$980="*",Scharniere[[#This Row],[AG Ges2]],Scharniere[[#This Row],[AG Ges1]])</f>
        <v>0</v>
      </c>
      <c r="AE1065" s="451">
        <f ca="1">IF(AND(Scharniere[[#This Row],[Scharnierart]]=select!$A$1485,Scharniere[[#This Row],[Gruppenschlüssel]]=select!$B$1485)=TRUE,1,0)</f>
        <v>0</v>
      </c>
      <c r="AF1065" s="451">
        <f ca="1">IF(AND(Scharniere[[#This Row],[Scharnierart]]=select!$A$1486,Scharniere[[#This Row],[Gruppenschlüssel]]=select!$B$1486)=TRUE,1,0)</f>
        <v>0</v>
      </c>
      <c r="AG1065" s="451">
        <f ca="1">IF(AND(Scharniere[[#This Row],[Scharnierart]]=select!$A$1487,Scharniere[[#This Row],[Gruppenschlüssel]]=select!$B$1487)=TRUE,1,0)</f>
        <v>0</v>
      </c>
      <c r="AH1065" s="451">
        <f ca="1">IF(AND(Scharniere[[#This Row],[Scharnierart]]=select!$A$1488,Scharniere[[#This Row],[Gruppenschlüssel]]=select!$B$1488)=TRUE,1,0)</f>
        <v>0</v>
      </c>
      <c r="AI1065" s="451">
        <f ca="1">IF(SUM(Scharniere[[#This Row],[konf Scharnier 1]:[konf Scharnier 4]])&gt;0,1,0)</f>
        <v>0</v>
      </c>
      <c r="AJ1065" s="451"/>
      <c r="AK1065" s="451"/>
      <c r="AL1065" s="451"/>
      <c r="AM1065" s="451"/>
      <c r="AN1065" s="451"/>
      <c r="AO1065" s="146">
        <v>4</v>
      </c>
      <c r="AP1065" s="146">
        <v>3</v>
      </c>
      <c r="AQ1065" s="71" t="str">
        <f ca="1">Sprache!$A$118</f>
        <v>Tiomos Scharnier T Click-on</v>
      </c>
      <c r="AR1065" t="s">
        <v>1531</v>
      </c>
      <c r="AS1065" t="str">
        <f ca="1">Sprache!$A$103</f>
        <v>Tiomos Click-On Scharniere</v>
      </c>
      <c r="AT1065">
        <v>19</v>
      </c>
      <c r="AU1065" t="s">
        <v>1264</v>
      </c>
      <c r="AV1065">
        <v>110</v>
      </c>
      <c r="AW1065" s="71">
        <v>0</v>
      </c>
      <c r="AX1065">
        <v>1</v>
      </c>
      <c r="AY1065">
        <v>0</v>
      </c>
      <c r="AZ1065" s="71">
        <v>1</v>
      </c>
      <c r="BA1065">
        <v>0</v>
      </c>
      <c r="BB1065">
        <v>0</v>
      </c>
      <c r="BC1065">
        <v>0</v>
      </c>
      <c r="BD1065" s="144" t="s">
        <v>1631</v>
      </c>
      <c r="BF1065" s="10"/>
      <c r="BG1065"/>
    </row>
    <row r="1066" spans="1:59" ht="14.25" customHeight="1" x14ac:dyDescent="0.25">
      <c r="A1066" s="37" t="str">
        <f>LEFT(Scharniere[[#This Row],[ArtikelNR]],4)</f>
        <v>F046</v>
      </c>
      <c r="B1066" s="35" t="str">
        <f>MID(Scharniere[[#This Row],[ArtikelNR]],5,3)</f>
        <v>138</v>
      </c>
      <c r="C1066" s="37" t="str">
        <f>RIGHT(Scharniere[[#This Row],[ArtikelNR]],3)</f>
        <v>248</v>
      </c>
      <c r="D1066" s="35">
        <f>IF(AND(Scharniere[[#This Row],[Gruppenschlüssel]]=select!$A$44,Scharniere[[#This Row],[Scharnierart]]=1)=TRUE,1,0)</f>
        <v>0</v>
      </c>
      <c r="E106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6" s="35">
        <f>IF(select!$F$57=IF(Scharniere[[#This Row],[mit Dämpfung]]=1,1,IF(Scharniere[[#This Row],[ohne Dämpfung]]=1,2,IF(Scharniere[[#This Row],[ohne Feder]]=1,3,0))),1,0)</f>
        <v>1</v>
      </c>
      <c r="G1066" s="35">
        <f>IF(Scharniere[[#This Row],[Bohrbild]]=select!$V$43,1,0)</f>
        <v>0</v>
      </c>
      <c r="H1066" s="35">
        <f>IF(IF(Scharniere[[#This Row],[Anschrauben]]=1,1,IF(Scharniere[[#This Row],[Einpressen]]=1,2,IF(Scharniere[[#This Row],[Quick]]=1,3,IF(Scharniere[[#This Row],[Werkzeuglos]]=1,4,0))))=select!$F$48,1,0)</f>
        <v>0</v>
      </c>
      <c r="I106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6" s="149">
        <f>IF(AND(Scharniere[[#This Row],[Scharnierart]]=2,Scharniere[[#This Row],[Gruppenschlüssel]]=select!$A$318)=TRUE,1,0)</f>
        <v>0</v>
      </c>
      <c r="K1066" s="221">
        <f ca="1">IF(select!$O$424&lt;6,1,0)</f>
        <v>1</v>
      </c>
      <c r="L1066" s="221">
        <f>IF(select!$A$362=IF(Scharniere[[#This Row],[mit Dämpfung]]=1,1,IF(Scharniere[[#This Row],[ohne Dämpfung]]=1,2,IF(Scharniere[[#This Row],[ohne Feder]]=1,3,0))),1,0)</f>
        <v>0</v>
      </c>
      <c r="M1066" s="135">
        <f>IF(Scharniere[[#This Row],[Bohrbild]]=select!$O$334,1,0)</f>
        <v>0</v>
      </c>
      <c r="N1066" s="135">
        <f>IF(IF(Scharniere[[#This Row],[Anschrauben]]=1,1,IF(Scharniere[[#This Row],[Einpressen]]=1,2,IF(Scharniere[[#This Row],[Quick]]=1,3,IF(Scharniere[[#This Row],[Werkzeuglos]]=1,4,0))))=select!$E$362,1,0)</f>
        <v>1</v>
      </c>
      <c r="O106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6" s="298">
        <f>IF(AND(Scharniere[[#This Row],[Scharnierart]]=3,Scharniere[[#This Row],[Gruppenschlüssel]]=select!$A$747)=TRUE,1,0)</f>
        <v>0</v>
      </c>
      <c r="Q1066" s="298">
        <f ca="1">IF(select!$O$945&lt;6,1,0)</f>
        <v>1</v>
      </c>
      <c r="R1066" s="298">
        <f>IF(select!$A$778=IF(Scharniere[[#This Row],[mit Dämpfung]]=1,1,IF(Scharniere[[#This Row],[ohne Dämpfung]]=1,2,IF(Scharniere[[#This Row],[ohne Feder]]=1,3,0))),1,0)</f>
        <v>0</v>
      </c>
      <c r="S1066" s="298">
        <f>IF(Scharniere[[#This Row],[Bohrbild]]=select!$A$755,1,0)</f>
        <v>1</v>
      </c>
      <c r="T1066" s="298">
        <f>IF(IF(Scharniere[[#This Row],[Anschrauben]]=1,1,IF(Scharniere[[#This Row],[Einpressen]]=1,2,IF(Scharniere[[#This Row],[Quick]]=1,3,IF(Scharniere[[#This Row],[Werkzeuglos]]=1,4,0))))=select!$A$769,1,0)</f>
        <v>1</v>
      </c>
      <c r="U106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6" s="359">
        <f>IF(AND(Scharniere[[#This Row],[Scharnierart]]=4,Scharniere[[#This Row],[Gruppenschlüssel]]=select!$A$981)=TRUE,1,0)</f>
        <v>0</v>
      </c>
      <c r="W1066" s="359">
        <f ca="1">IF(select!$O$1185&lt;6,1,0)</f>
        <v>1</v>
      </c>
      <c r="X1066" s="359">
        <f>IF(select!$A$1012=IF(Scharniere[[#This Row],[mit Dämpfung]]=1,1,IF(Scharniere[[#This Row],[ohne Dämpfung]]=1,2,IF(Scharniere[[#This Row],[ohne Feder]]=1,3,0))),1,0)</f>
        <v>0</v>
      </c>
      <c r="Y1066" s="359">
        <f>IF(Scharniere[[#This Row],[Bohrbild]]=select!$A$989,1,0)</f>
        <v>1</v>
      </c>
      <c r="Z1066" s="359">
        <f>IF(IF(Scharniere[[#This Row],[Anschrauben]]=1,1,IF(Scharniere[[#This Row],[Einpressen]]=1,2,IF(Scharniere[[#This Row],[Quick]]=1,3,IF(Scharniere[[#This Row],[Werkzeuglos]]=1,4,0))))=select!$A$1003,1,0)</f>
        <v>1</v>
      </c>
      <c r="AA106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6" s="359">
        <f ca="1">IF(select!$K$980="*",Scharniere[[#This Row],[AG Ges2]],Scharniere[[#This Row],[AG Ges1]])</f>
        <v>0</v>
      </c>
      <c r="AE1066" s="451">
        <f ca="1">IF(AND(Scharniere[[#This Row],[Scharnierart]]=select!$A$1485,Scharniere[[#This Row],[Gruppenschlüssel]]=select!$B$1485)=TRUE,1,0)</f>
        <v>0</v>
      </c>
      <c r="AF1066" s="451">
        <f ca="1">IF(AND(Scharniere[[#This Row],[Scharnierart]]=select!$A$1486,Scharniere[[#This Row],[Gruppenschlüssel]]=select!$B$1486)=TRUE,1,0)</f>
        <v>0</v>
      </c>
      <c r="AG1066" s="451">
        <f ca="1">IF(AND(Scharniere[[#This Row],[Scharnierart]]=select!$A$1487,Scharniere[[#This Row],[Gruppenschlüssel]]=select!$B$1487)=TRUE,1,0)</f>
        <v>0</v>
      </c>
      <c r="AH1066" s="451">
        <f ca="1">IF(AND(Scharniere[[#This Row],[Scharnierart]]=select!$A$1488,Scharniere[[#This Row],[Gruppenschlüssel]]=select!$B$1488)=TRUE,1,0)</f>
        <v>0</v>
      </c>
      <c r="AI1066" s="451">
        <f ca="1">IF(SUM(Scharniere[[#This Row],[konf Scharnier 1]:[konf Scharnier 4]])&gt;0,1,0)</f>
        <v>0</v>
      </c>
      <c r="AJ1066" s="451"/>
      <c r="AK1066" s="451"/>
      <c r="AL1066" s="451"/>
      <c r="AM1066" s="451"/>
      <c r="AN1066" s="451"/>
      <c r="AO1066" s="146">
        <v>4</v>
      </c>
      <c r="AP1066" s="146">
        <v>3</v>
      </c>
      <c r="AQ1066" s="71" t="str">
        <f ca="1">Sprache!$A$114</f>
        <v>Tiomos Scharnier TT Click-on</v>
      </c>
      <c r="AR1066" t="s">
        <v>1531</v>
      </c>
      <c r="AS1066" t="str">
        <f ca="1">Sprache!$A$103</f>
        <v>Tiomos Click-On Scharniere</v>
      </c>
      <c r="AT1066">
        <v>19</v>
      </c>
      <c r="AU1066" t="s">
        <v>1264</v>
      </c>
      <c r="AV1066">
        <v>110</v>
      </c>
      <c r="AW1066" s="71">
        <v>0</v>
      </c>
      <c r="AX1066">
        <v>0</v>
      </c>
      <c r="AY1066">
        <v>1</v>
      </c>
      <c r="AZ1066" s="71">
        <v>1</v>
      </c>
      <c r="BA1066">
        <v>0</v>
      </c>
      <c r="BB1066">
        <v>0</v>
      </c>
      <c r="BC1066">
        <v>0</v>
      </c>
      <c r="BD1066" s="144" t="s">
        <v>1710</v>
      </c>
      <c r="BF1066" s="34"/>
      <c r="BG1066"/>
    </row>
    <row r="1067" spans="1:59" ht="14.25" customHeight="1" x14ac:dyDescent="0.25">
      <c r="A1067" s="37" t="str">
        <f>LEFT(Scharniere[[#This Row],[ArtikelNR]],4)</f>
        <v>F028</v>
      </c>
      <c r="B1067" s="35" t="str">
        <f>MID(Scharniere[[#This Row],[ArtikelNR]],5,3)</f>
        <v>138</v>
      </c>
      <c r="C1067" s="37" t="str">
        <f>RIGHT(Scharniere[[#This Row],[ArtikelNR]],3)</f>
        <v>156</v>
      </c>
      <c r="D1067" s="35">
        <f>IF(AND(Scharniere[[#This Row],[Gruppenschlüssel]]=select!$A$44,Scharniere[[#This Row],[Scharnierart]]=1)=TRUE,1,0)</f>
        <v>0</v>
      </c>
      <c r="E106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7" s="35">
        <f>IF(select!$F$57=IF(Scharniere[[#This Row],[mit Dämpfung]]=1,1,IF(Scharniere[[#This Row],[ohne Dämpfung]]=1,2,IF(Scharniere[[#This Row],[ohne Feder]]=1,3,0))),1,0)</f>
        <v>0</v>
      </c>
      <c r="G1067" s="35">
        <f>IF(Scharniere[[#This Row],[Bohrbild]]=select!$V$43,1,0)</f>
        <v>0</v>
      </c>
      <c r="H1067" s="35">
        <f>IF(IF(Scharniere[[#This Row],[Anschrauben]]=1,1,IF(Scharniere[[#This Row],[Einpressen]]=1,2,IF(Scharniere[[#This Row],[Quick]]=1,3,IF(Scharniere[[#This Row],[Werkzeuglos]]=1,4,0))))=select!$F$48,1,0)</f>
        <v>0</v>
      </c>
      <c r="I106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7" s="149">
        <f>IF(AND(Scharniere[[#This Row],[Scharnierart]]=2,Scharniere[[#This Row],[Gruppenschlüssel]]=select!$A$318)=TRUE,1,0)</f>
        <v>0</v>
      </c>
      <c r="K1067" s="221">
        <f ca="1">IF(select!$O$424&lt;6,1,0)</f>
        <v>1</v>
      </c>
      <c r="L1067" s="221">
        <f>IF(select!$A$362=IF(Scharniere[[#This Row],[mit Dämpfung]]=1,1,IF(Scharniere[[#This Row],[ohne Dämpfung]]=1,2,IF(Scharniere[[#This Row],[ohne Feder]]=1,3,0))),1,0)</f>
        <v>1</v>
      </c>
      <c r="M1067" s="135">
        <f>IF(Scharniere[[#This Row],[Bohrbild]]=select!$O$334,1,0)</f>
        <v>0</v>
      </c>
      <c r="N1067" s="135">
        <f>IF(IF(Scharniere[[#This Row],[Anschrauben]]=1,1,IF(Scharniere[[#This Row],[Einpressen]]=1,2,IF(Scharniere[[#This Row],[Quick]]=1,3,IF(Scharniere[[#This Row],[Werkzeuglos]]=1,4,0))))=select!$E$362,1,0)</f>
        <v>1</v>
      </c>
      <c r="O106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7" s="298">
        <f>IF(AND(Scharniere[[#This Row],[Scharnierart]]=3,Scharniere[[#This Row],[Gruppenschlüssel]]=select!$A$747)=TRUE,1,0)</f>
        <v>0</v>
      </c>
      <c r="Q1067" s="298">
        <f ca="1">IF(select!$O$945&lt;6,1,0)</f>
        <v>1</v>
      </c>
      <c r="R1067" s="298">
        <f>IF(select!$A$778=IF(Scharniere[[#This Row],[mit Dämpfung]]=1,1,IF(Scharniere[[#This Row],[ohne Dämpfung]]=1,2,IF(Scharniere[[#This Row],[ohne Feder]]=1,3,0))),1,0)</f>
        <v>0</v>
      </c>
      <c r="S1067" s="298">
        <f>IF(Scharniere[[#This Row],[Bohrbild]]=select!$A$755,1,0)</f>
        <v>1</v>
      </c>
      <c r="T1067" s="298">
        <f>IF(IF(Scharniere[[#This Row],[Anschrauben]]=1,1,IF(Scharniere[[#This Row],[Einpressen]]=1,2,IF(Scharniere[[#This Row],[Quick]]=1,3,IF(Scharniere[[#This Row],[Werkzeuglos]]=1,4,0))))=select!$A$769,1,0)</f>
        <v>1</v>
      </c>
      <c r="U106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7" s="359">
        <f>IF(AND(Scharniere[[#This Row],[Scharnierart]]=4,Scharniere[[#This Row],[Gruppenschlüssel]]=select!$A$981)=TRUE,1,0)</f>
        <v>0</v>
      </c>
      <c r="W1067" s="359">
        <f ca="1">IF(select!$O$1185&lt;6,1,0)</f>
        <v>1</v>
      </c>
      <c r="X1067" s="359">
        <f>IF(select!$A$1012=IF(Scharniere[[#This Row],[mit Dämpfung]]=1,1,IF(Scharniere[[#This Row],[ohne Dämpfung]]=1,2,IF(Scharniere[[#This Row],[ohne Feder]]=1,3,0))),1,0)</f>
        <v>0</v>
      </c>
      <c r="Y1067" s="359">
        <f>IF(Scharniere[[#This Row],[Bohrbild]]=select!$A$989,1,0)</f>
        <v>1</v>
      </c>
      <c r="Z1067" s="359">
        <f>IF(IF(Scharniere[[#This Row],[Anschrauben]]=1,1,IF(Scharniere[[#This Row],[Einpressen]]=1,2,IF(Scharniere[[#This Row],[Quick]]=1,3,IF(Scharniere[[#This Row],[Werkzeuglos]]=1,4,0))))=select!$A$1003,1,0)</f>
        <v>1</v>
      </c>
      <c r="AA106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7" s="359">
        <f ca="1">IF(select!$K$980="*",Scharniere[[#This Row],[AG Ges2]],Scharniere[[#This Row],[AG Ges1]])</f>
        <v>0</v>
      </c>
      <c r="AE1067" s="451">
        <f ca="1">IF(AND(Scharniere[[#This Row],[Scharnierart]]=select!$A$1485,Scharniere[[#This Row],[Gruppenschlüssel]]=select!$B$1485)=TRUE,1,0)</f>
        <v>0</v>
      </c>
      <c r="AF1067" s="451">
        <f ca="1">IF(AND(Scharniere[[#This Row],[Scharnierart]]=select!$A$1486,Scharniere[[#This Row],[Gruppenschlüssel]]=select!$B$1486)=TRUE,1,0)</f>
        <v>0</v>
      </c>
      <c r="AG1067" s="451">
        <f ca="1">IF(AND(Scharniere[[#This Row],[Scharnierart]]=select!$A$1487,Scharniere[[#This Row],[Gruppenschlüssel]]=select!$B$1487)=TRUE,1,0)</f>
        <v>0</v>
      </c>
      <c r="AH1067" s="451">
        <f ca="1">IF(AND(Scharniere[[#This Row],[Scharnierart]]=select!$A$1488,Scharniere[[#This Row],[Gruppenschlüssel]]=select!$B$1488)=TRUE,1,0)</f>
        <v>0</v>
      </c>
      <c r="AI1067" s="451">
        <f ca="1">IF(SUM(Scharniere[[#This Row],[konf Scharnier 1]:[konf Scharnier 4]])&gt;0,1,0)</f>
        <v>0</v>
      </c>
      <c r="AJ1067" s="451"/>
      <c r="AK1067" s="451"/>
      <c r="AL1067" s="451"/>
      <c r="AM1067" s="451"/>
      <c r="AN1067" s="451"/>
      <c r="AO1067" s="146">
        <v>4</v>
      </c>
      <c r="AP1067" s="146">
        <v>3</v>
      </c>
      <c r="AQ1067" s="71" t="str">
        <f ca="1">Sprache!$A$112</f>
        <v>Tiomos Scharnier TS Click-on</v>
      </c>
      <c r="AR1067" t="s">
        <v>1955</v>
      </c>
      <c r="AS1067" t="str">
        <f ca="1">Sprache!$A$103</f>
        <v>Tiomos Click-On Scharniere</v>
      </c>
      <c r="AT1067">
        <v>9.5</v>
      </c>
      <c r="AU1067" t="s">
        <v>1264</v>
      </c>
      <c r="AV1067">
        <v>110</v>
      </c>
      <c r="AW1067" s="71">
        <v>1</v>
      </c>
      <c r="AX1067">
        <v>0</v>
      </c>
      <c r="AY1067">
        <v>0</v>
      </c>
      <c r="AZ1067" s="71">
        <v>1</v>
      </c>
      <c r="BA1067">
        <v>0</v>
      </c>
      <c r="BB1067">
        <v>0</v>
      </c>
      <c r="BC1067">
        <v>0</v>
      </c>
      <c r="BD1067" s="144" t="s">
        <v>1530</v>
      </c>
      <c r="BF1067" s="34"/>
      <c r="BG1067"/>
    </row>
    <row r="1068" spans="1:59" ht="14.25" customHeight="1" x14ac:dyDescent="0.25">
      <c r="A1068" s="37" t="str">
        <f>LEFT(Scharniere[[#This Row],[ArtikelNR]],4)</f>
        <v>F045</v>
      </c>
      <c r="B1068" s="35" t="str">
        <f>MID(Scharniere[[#This Row],[ArtikelNR]],5,3)</f>
        <v>138</v>
      </c>
      <c r="C1068" s="37" t="str">
        <f>RIGHT(Scharniere[[#This Row],[ArtikelNR]],3)</f>
        <v>063</v>
      </c>
      <c r="D1068" s="35">
        <f>IF(AND(Scharniere[[#This Row],[Gruppenschlüssel]]=select!$A$44,Scharniere[[#This Row],[Scharnierart]]=1)=TRUE,1,0)</f>
        <v>0</v>
      </c>
      <c r="E106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8" s="35">
        <f>IF(select!$F$57=IF(Scharniere[[#This Row],[mit Dämpfung]]=1,1,IF(Scharniere[[#This Row],[ohne Dämpfung]]=1,2,IF(Scharniere[[#This Row],[ohne Feder]]=1,3,0))),1,0)</f>
        <v>0</v>
      </c>
      <c r="G1068" s="35">
        <f>IF(Scharniere[[#This Row],[Bohrbild]]=select!$V$43,1,0)</f>
        <v>0</v>
      </c>
      <c r="H1068" s="35">
        <f>IF(IF(Scharniere[[#This Row],[Anschrauben]]=1,1,IF(Scharniere[[#This Row],[Einpressen]]=1,2,IF(Scharniere[[#This Row],[Quick]]=1,3,IF(Scharniere[[#This Row],[Werkzeuglos]]=1,4,0))))=select!$F$48,1,0)</f>
        <v>0</v>
      </c>
      <c r="I106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8" s="149">
        <f>IF(AND(Scharniere[[#This Row],[Scharnierart]]=2,Scharniere[[#This Row],[Gruppenschlüssel]]=select!$A$318)=TRUE,1,0)</f>
        <v>0</v>
      </c>
      <c r="K1068" s="221">
        <f ca="1">IF(select!$O$424&lt;6,1,0)</f>
        <v>1</v>
      </c>
      <c r="L1068" s="221">
        <f>IF(select!$A$362=IF(Scharniere[[#This Row],[mit Dämpfung]]=1,1,IF(Scharniere[[#This Row],[ohne Dämpfung]]=1,2,IF(Scharniere[[#This Row],[ohne Feder]]=1,3,0))),1,0)</f>
        <v>0</v>
      </c>
      <c r="M1068" s="135">
        <f>IF(Scharniere[[#This Row],[Bohrbild]]=select!$O$334,1,0)</f>
        <v>0</v>
      </c>
      <c r="N1068" s="135">
        <f>IF(IF(Scharniere[[#This Row],[Anschrauben]]=1,1,IF(Scharniere[[#This Row],[Einpressen]]=1,2,IF(Scharniere[[#This Row],[Quick]]=1,3,IF(Scharniere[[#This Row],[Werkzeuglos]]=1,4,0))))=select!$E$362,1,0)</f>
        <v>1</v>
      </c>
      <c r="O106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8" s="298">
        <f>IF(AND(Scharniere[[#This Row],[Scharnierart]]=3,Scharniere[[#This Row],[Gruppenschlüssel]]=select!$A$747)=TRUE,1,0)</f>
        <v>0</v>
      </c>
      <c r="Q1068" s="298">
        <f ca="1">IF(select!$O$945&lt;6,1,0)</f>
        <v>1</v>
      </c>
      <c r="R1068" s="298">
        <f>IF(select!$A$778=IF(Scharniere[[#This Row],[mit Dämpfung]]=1,1,IF(Scharniere[[#This Row],[ohne Dämpfung]]=1,2,IF(Scharniere[[#This Row],[ohne Feder]]=1,3,0))),1,0)</f>
        <v>1</v>
      </c>
      <c r="S1068" s="298">
        <f>IF(Scharniere[[#This Row],[Bohrbild]]=select!$A$755,1,0)</f>
        <v>1</v>
      </c>
      <c r="T1068" s="298">
        <f>IF(IF(Scharniere[[#This Row],[Anschrauben]]=1,1,IF(Scharniere[[#This Row],[Einpressen]]=1,2,IF(Scharniere[[#This Row],[Quick]]=1,3,IF(Scharniere[[#This Row],[Werkzeuglos]]=1,4,0))))=select!$A$769,1,0)</f>
        <v>1</v>
      </c>
      <c r="U106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8" s="359">
        <f>IF(AND(Scharniere[[#This Row],[Scharnierart]]=4,Scharniere[[#This Row],[Gruppenschlüssel]]=select!$A$981)=TRUE,1,0)</f>
        <v>0</v>
      </c>
      <c r="W1068" s="359">
        <f ca="1">IF(select!$O$1185&lt;6,1,0)</f>
        <v>1</v>
      </c>
      <c r="X1068" s="359">
        <f>IF(select!$A$1012=IF(Scharniere[[#This Row],[mit Dämpfung]]=1,1,IF(Scharniere[[#This Row],[ohne Dämpfung]]=1,2,IF(Scharniere[[#This Row],[ohne Feder]]=1,3,0))),1,0)</f>
        <v>1</v>
      </c>
      <c r="Y1068" s="359">
        <f>IF(Scharniere[[#This Row],[Bohrbild]]=select!$A$989,1,0)</f>
        <v>1</v>
      </c>
      <c r="Z1068" s="359">
        <f>IF(IF(Scharniere[[#This Row],[Anschrauben]]=1,1,IF(Scharniere[[#This Row],[Einpressen]]=1,2,IF(Scharniere[[#This Row],[Quick]]=1,3,IF(Scharniere[[#This Row],[Werkzeuglos]]=1,4,0))))=select!$A$1003,1,0)</f>
        <v>1</v>
      </c>
      <c r="AA106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8" s="359">
        <f ca="1">IF(select!$K$980="*",Scharniere[[#This Row],[AG Ges2]],Scharniere[[#This Row],[AG Ges1]])</f>
        <v>0</v>
      </c>
      <c r="AE1068" s="451">
        <f ca="1">IF(AND(Scharniere[[#This Row],[Scharnierart]]=select!$A$1485,Scharniere[[#This Row],[Gruppenschlüssel]]=select!$B$1485)=TRUE,1,0)</f>
        <v>0</v>
      </c>
      <c r="AF1068" s="451">
        <f ca="1">IF(AND(Scharniere[[#This Row],[Scharnierart]]=select!$A$1486,Scharniere[[#This Row],[Gruppenschlüssel]]=select!$B$1486)=TRUE,1,0)</f>
        <v>0</v>
      </c>
      <c r="AG1068" s="451">
        <f ca="1">IF(AND(Scharniere[[#This Row],[Scharnierart]]=select!$A$1487,Scharniere[[#This Row],[Gruppenschlüssel]]=select!$B$1487)=TRUE,1,0)</f>
        <v>0</v>
      </c>
      <c r="AH1068" s="451">
        <f ca="1">IF(AND(Scharniere[[#This Row],[Scharnierart]]=select!$A$1488,Scharniere[[#This Row],[Gruppenschlüssel]]=select!$B$1488)=TRUE,1,0)</f>
        <v>0</v>
      </c>
      <c r="AI1068" s="451">
        <f ca="1">IF(SUM(Scharniere[[#This Row],[konf Scharnier 1]:[konf Scharnier 4]])&gt;0,1,0)</f>
        <v>0</v>
      </c>
      <c r="AJ1068" s="451"/>
      <c r="AK1068" s="451"/>
      <c r="AL1068" s="451"/>
      <c r="AM1068" s="451"/>
      <c r="AN1068" s="451"/>
      <c r="AO1068" s="146">
        <v>4</v>
      </c>
      <c r="AP1068" s="146">
        <v>3</v>
      </c>
      <c r="AQ1068" s="71" t="str">
        <f ca="1">Sprache!$A$118</f>
        <v>Tiomos Scharnier T Click-on</v>
      </c>
      <c r="AR1068" t="s">
        <v>1955</v>
      </c>
      <c r="AS1068" t="str">
        <f ca="1">Sprache!$A$103</f>
        <v>Tiomos Click-On Scharniere</v>
      </c>
      <c r="AT1068">
        <v>9.5</v>
      </c>
      <c r="AU1068" t="s">
        <v>1264</v>
      </c>
      <c r="AV1068">
        <v>110</v>
      </c>
      <c r="AW1068" s="71">
        <v>0</v>
      </c>
      <c r="AX1068">
        <v>1</v>
      </c>
      <c r="AY1068">
        <v>0</v>
      </c>
      <c r="AZ1068" s="71">
        <v>1</v>
      </c>
      <c r="BA1068">
        <v>0</v>
      </c>
      <c r="BB1068">
        <v>0</v>
      </c>
      <c r="BC1068">
        <v>0</v>
      </c>
      <c r="BD1068" s="144" t="s">
        <v>1630</v>
      </c>
      <c r="BF1068" s="34"/>
      <c r="BG1068"/>
    </row>
    <row r="1069" spans="1:59" ht="14.25" customHeight="1" x14ac:dyDescent="0.25">
      <c r="A1069" s="37" t="str">
        <f>LEFT(Scharniere[[#This Row],[ArtikelNR]],4)</f>
        <v>F046</v>
      </c>
      <c r="B1069" s="35" t="str">
        <f>MID(Scharniere[[#This Row],[ArtikelNR]],5,3)</f>
        <v>138</v>
      </c>
      <c r="C1069" s="37" t="str">
        <f>RIGHT(Scharniere[[#This Row],[ArtikelNR]],3)</f>
        <v>247</v>
      </c>
      <c r="D1069" s="35">
        <f>IF(AND(Scharniere[[#This Row],[Gruppenschlüssel]]=select!$A$44,Scharniere[[#This Row],[Scharnierart]]=1)=TRUE,1,0)</f>
        <v>0</v>
      </c>
      <c r="E1069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69" s="35">
        <f>IF(select!$F$57=IF(Scharniere[[#This Row],[mit Dämpfung]]=1,1,IF(Scharniere[[#This Row],[ohne Dämpfung]]=1,2,IF(Scharniere[[#This Row],[ohne Feder]]=1,3,0))),1,0)</f>
        <v>1</v>
      </c>
      <c r="G1069" s="35">
        <f>IF(Scharniere[[#This Row],[Bohrbild]]=select!$V$43,1,0)</f>
        <v>0</v>
      </c>
      <c r="H1069" s="35">
        <f>IF(IF(Scharniere[[#This Row],[Anschrauben]]=1,1,IF(Scharniere[[#This Row],[Einpressen]]=1,2,IF(Scharniere[[#This Row],[Quick]]=1,3,IF(Scharniere[[#This Row],[Werkzeuglos]]=1,4,0))))=select!$F$48,1,0)</f>
        <v>0</v>
      </c>
      <c r="I1069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69" s="149">
        <f>IF(AND(Scharniere[[#This Row],[Scharnierart]]=2,Scharniere[[#This Row],[Gruppenschlüssel]]=select!$A$318)=TRUE,1,0)</f>
        <v>0</v>
      </c>
      <c r="K1069" s="221">
        <f ca="1">IF(select!$O$424&lt;6,1,0)</f>
        <v>1</v>
      </c>
      <c r="L1069" s="221">
        <f>IF(select!$A$362=IF(Scharniere[[#This Row],[mit Dämpfung]]=1,1,IF(Scharniere[[#This Row],[ohne Dämpfung]]=1,2,IF(Scharniere[[#This Row],[ohne Feder]]=1,3,0))),1,0)</f>
        <v>0</v>
      </c>
      <c r="M1069" s="135">
        <f>IF(Scharniere[[#This Row],[Bohrbild]]=select!$O$334,1,0)</f>
        <v>0</v>
      </c>
      <c r="N1069" s="135">
        <f>IF(IF(Scharniere[[#This Row],[Anschrauben]]=1,1,IF(Scharniere[[#This Row],[Einpressen]]=1,2,IF(Scharniere[[#This Row],[Quick]]=1,3,IF(Scharniere[[#This Row],[Werkzeuglos]]=1,4,0))))=select!$E$362,1,0)</f>
        <v>1</v>
      </c>
      <c r="O1069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69" s="298">
        <f>IF(AND(Scharniere[[#This Row],[Scharnierart]]=3,Scharniere[[#This Row],[Gruppenschlüssel]]=select!$A$747)=TRUE,1,0)</f>
        <v>0</v>
      </c>
      <c r="Q1069" s="298">
        <f ca="1">IF(select!$O$945&lt;6,1,0)</f>
        <v>1</v>
      </c>
      <c r="R1069" s="298">
        <f>IF(select!$A$778=IF(Scharniere[[#This Row],[mit Dämpfung]]=1,1,IF(Scharniere[[#This Row],[ohne Dämpfung]]=1,2,IF(Scharniere[[#This Row],[ohne Feder]]=1,3,0))),1,0)</f>
        <v>0</v>
      </c>
      <c r="S1069" s="298">
        <f>IF(Scharniere[[#This Row],[Bohrbild]]=select!$A$755,1,0)</f>
        <v>1</v>
      </c>
      <c r="T1069" s="298">
        <f>IF(IF(Scharniere[[#This Row],[Anschrauben]]=1,1,IF(Scharniere[[#This Row],[Einpressen]]=1,2,IF(Scharniere[[#This Row],[Quick]]=1,3,IF(Scharniere[[#This Row],[Werkzeuglos]]=1,4,0))))=select!$A$769,1,0)</f>
        <v>1</v>
      </c>
      <c r="U1069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69" s="359">
        <f>IF(AND(Scharniere[[#This Row],[Scharnierart]]=4,Scharniere[[#This Row],[Gruppenschlüssel]]=select!$A$981)=TRUE,1,0)</f>
        <v>0</v>
      </c>
      <c r="W1069" s="359">
        <f ca="1">IF(select!$O$1185&lt;6,1,0)</f>
        <v>1</v>
      </c>
      <c r="X1069" s="359">
        <f>IF(select!$A$1012=IF(Scharniere[[#This Row],[mit Dämpfung]]=1,1,IF(Scharniere[[#This Row],[ohne Dämpfung]]=1,2,IF(Scharniere[[#This Row],[ohne Feder]]=1,3,0))),1,0)</f>
        <v>0</v>
      </c>
      <c r="Y1069" s="359">
        <f>IF(Scharniere[[#This Row],[Bohrbild]]=select!$A$989,1,0)</f>
        <v>1</v>
      </c>
      <c r="Z1069" s="359">
        <f>IF(IF(Scharniere[[#This Row],[Anschrauben]]=1,1,IF(Scharniere[[#This Row],[Einpressen]]=1,2,IF(Scharniere[[#This Row],[Quick]]=1,3,IF(Scharniere[[#This Row],[Werkzeuglos]]=1,4,0))))=select!$A$1003,1,0)</f>
        <v>1</v>
      </c>
      <c r="AA1069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69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69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69" s="359">
        <f ca="1">IF(select!$K$980="*",Scharniere[[#This Row],[AG Ges2]],Scharniere[[#This Row],[AG Ges1]])</f>
        <v>0</v>
      </c>
      <c r="AE1069" s="451">
        <f ca="1">IF(AND(Scharniere[[#This Row],[Scharnierart]]=select!$A$1485,Scharniere[[#This Row],[Gruppenschlüssel]]=select!$B$1485)=TRUE,1,0)</f>
        <v>0</v>
      </c>
      <c r="AF1069" s="451">
        <f ca="1">IF(AND(Scharniere[[#This Row],[Scharnierart]]=select!$A$1486,Scharniere[[#This Row],[Gruppenschlüssel]]=select!$B$1486)=TRUE,1,0)</f>
        <v>0</v>
      </c>
      <c r="AG1069" s="451">
        <f ca="1">IF(AND(Scharniere[[#This Row],[Scharnierart]]=select!$A$1487,Scharniere[[#This Row],[Gruppenschlüssel]]=select!$B$1487)=TRUE,1,0)</f>
        <v>0</v>
      </c>
      <c r="AH1069" s="451">
        <f ca="1">IF(AND(Scharniere[[#This Row],[Scharnierart]]=select!$A$1488,Scharniere[[#This Row],[Gruppenschlüssel]]=select!$B$1488)=TRUE,1,0)</f>
        <v>0</v>
      </c>
      <c r="AI1069" s="451">
        <f ca="1">IF(SUM(Scharniere[[#This Row],[konf Scharnier 1]:[konf Scharnier 4]])&gt;0,1,0)</f>
        <v>0</v>
      </c>
      <c r="AJ1069" s="451"/>
      <c r="AK1069" s="451"/>
      <c r="AL1069" s="451"/>
      <c r="AM1069" s="451"/>
      <c r="AN1069" s="451"/>
      <c r="AO1069" s="146">
        <v>4</v>
      </c>
      <c r="AP1069" s="146">
        <v>3</v>
      </c>
      <c r="AQ1069" s="71" t="str">
        <f ca="1">Sprache!$A$114</f>
        <v>Tiomos Scharnier TT Click-on</v>
      </c>
      <c r="AR1069" t="s">
        <v>1955</v>
      </c>
      <c r="AS1069" t="str">
        <f ca="1">Sprache!$A$103</f>
        <v>Tiomos Click-On Scharniere</v>
      </c>
      <c r="AT1069">
        <v>9.5</v>
      </c>
      <c r="AU1069" t="s">
        <v>1264</v>
      </c>
      <c r="AV1069">
        <v>110</v>
      </c>
      <c r="AW1069" s="71">
        <v>0</v>
      </c>
      <c r="AX1069">
        <v>0</v>
      </c>
      <c r="AY1069">
        <v>1</v>
      </c>
      <c r="AZ1069" s="71">
        <v>1</v>
      </c>
      <c r="BA1069">
        <v>0</v>
      </c>
      <c r="BB1069">
        <v>0</v>
      </c>
      <c r="BC1069">
        <v>0</v>
      </c>
      <c r="BD1069" s="144" t="s">
        <v>1709</v>
      </c>
      <c r="BF1069" s="34"/>
      <c r="BG1069"/>
    </row>
    <row r="1070" spans="1:59" ht="14.25" customHeight="1" x14ac:dyDescent="0.25">
      <c r="A1070" s="37" t="str">
        <f>LEFT(Scharniere[[#This Row],[ArtikelNR]],4)</f>
        <v>F028</v>
      </c>
      <c r="B1070" s="35" t="str">
        <f>MID(Scharniere[[#This Row],[ArtikelNR]],5,3)</f>
        <v>138</v>
      </c>
      <c r="C1070" s="37" t="str">
        <f>RIGHT(Scharniere[[#This Row],[ArtikelNR]],3)</f>
        <v>155</v>
      </c>
      <c r="D1070" s="35">
        <f>IF(AND(Scharniere[[#This Row],[Gruppenschlüssel]]=select!$A$44,Scharniere[[#This Row],[Scharnierart]]=1)=TRUE,1,0)</f>
        <v>0</v>
      </c>
      <c r="E1070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0" s="35">
        <f>IF(select!$F$57=IF(Scharniere[[#This Row],[mit Dämpfung]]=1,1,IF(Scharniere[[#This Row],[ohne Dämpfung]]=1,2,IF(Scharniere[[#This Row],[ohne Feder]]=1,3,0))),1,0)</f>
        <v>0</v>
      </c>
      <c r="G1070" s="35">
        <f>IF(Scharniere[[#This Row],[Bohrbild]]=select!$V$43,1,0)</f>
        <v>0</v>
      </c>
      <c r="H1070" s="35">
        <f>IF(IF(Scharniere[[#This Row],[Anschrauben]]=1,1,IF(Scharniere[[#This Row],[Einpressen]]=1,2,IF(Scharniere[[#This Row],[Quick]]=1,3,IF(Scharniere[[#This Row],[Werkzeuglos]]=1,4,0))))=select!$F$48,1,0)</f>
        <v>0</v>
      </c>
      <c r="I1070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0" s="149">
        <f>IF(AND(Scharniere[[#This Row],[Scharnierart]]=2,Scharniere[[#This Row],[Gruppenschlüssel]]=select!$A$318)=TRUE,1,0)</f>
        <v>0</v>
      </c>
      <c r="K1070" s="221">
        <f ca="1">IF(select!$O$424&lt;6,1,0)</f>
        <v>1</v>
      </c>
      <c r="L1070" s="221">
        <f>IF(select!$A$362=IF(Scharniere[[#This Row],[mit Dämpfung]]=1,1,IF(Scharniere[[#This Row],[ohne Dämpfung]]=1,2,IF(Scharniere[[#This Row],[ohne Feder]]=1,3,0))),1,0)</f>
        <v>1</v>
      </c>
      <c r="M1070" s="135">
        <f>IF(Scharniere[[#This Row],[Bohrbild]]=select!$O$334,1,0)</f>
        <v>0</v>
      </c>
      <c r="N1070" s="135">
        <f>IF(IF(Scharniere[[#This Row],[Anschrauben]]=1,1,IF(Scharniere[[#This Row],[Einpressen]]=1,2,IF(Scharniere[[#This Row],[Quick]]=1,3,IF(Scharniere[[#This Row],[Werkzeuglos]]=1,4,0))))=select!$E$362,1,0)</f>
        <v>1</v>
      </c>
      <c r="O1070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0" s="298">
        <f>IF(AND(Scharniere[[#This Row],[Scharnierart]]=3,Scharniere[[#This Row],[Gruppenschlüssel]]=select!$A$747)=TRUE,1,0)</f>
        <v>0</v>
      </c>
      <c r="Q1070" s="298">
        <f ca="1">IF(select!$O$945&lt;6,1,0)</f>
        <v>1</v>
      </c>
      <c r="R1070" s="298">
        <f>IF(select!$A$778=IF(Scharniere[[#This Row],[mit Dämpfung]]=1,1,IF(Scharniere[[#This Row],[ohne Dämpfung]]=1,2,IF(Scharniere[[#This Row],[ohne Feder]]=1,3,0))),1,0)</f>
        <v>0</v>
      </c>
      <c r="S1070" s="298">
        <f>IF(Scharniere[[#This Row],[Bohrbild]]=select!$A$755,1,0)</f>
        <v>1</v>
      </c>
      <c r="T1070" s="298">
        <f>IF(IF(Scharniere[[#This Row],[Anschrauben]]=1,1,IF(Scharniere[[#This Row],[Einpressen]]=1,2,IF(Scharniere[[#This Row],[Quick]]=1,3,IF(Scharniere[[#This Row],[Werkzeuglos]]=1,4,0))))=select!$A$769,1,0)</f>
        <v>1</v>
      </c>
      <c r="U1070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0" s="359">
        <f>IF(AND(Scharniere[[#This Row],[Scharnierart]]=4,Scharniere[[#This Row],[Gruppenschlüssel]]=select!$A$981)=TRUE,1,0)</f>
        <v>0</v>
      </c>
      <c r="W1070" s="359">
        <f ca="1">IF(select!$O$1185&lt;6,1,0)</f>
        <v>1</v>
      </c>
      <c r="X1070" s="359">
        <f>IF(select!$A$1012=IF(Scharniere[[#This Row],[mit Dämpfung]]=1,1,IF(Scharniere[[#This Row],[ohne Dämpfung]]=1,2,IF(Scharniere[[#This Row],[ohne Feder]]=1,3,0))),1,0)</f>
        <v>0</v>
      </c>
      <c r="Y1070" s="359">
        <f>IF(Scharniere[[#This Row],[Bohrbild]]=select!$A$989,1,0)</f>
        <v>1</v>
      </c>
      <c r="Z1070" s="359">
        <f>IF(IF(Scharniere[[#This Row],[Anschrauben]]=1,1,IF(Scharniere[[#This Row],[Einpressen]]=1,2,IF(Scharniere[[#This Row],[Quick]]=1,3,IF(Scharniere[[#This Row],[Werkzeuglos]]=1,4,0))))=select!$A$1003,1,0)</f>
        <v>1</v>
      </c>
      <c r="AA1070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0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0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0" s="359">
        <f ca="1">IF(select!$K$980="*",Scharniere[[#This Row],[AG Ges2]],Scharniere[[#This Row],[AG Ges1]])</f>
        <v>0</v>
      </c>
      <c r="AE1070" s="451">
        <f ca="1">IF(AND(Scharniere[[#This Row],[Scharnierart]]=select!$A$1485,Scharniere[[#This Row],[Gruppenschlüssel]]=select!$B$1485)=TRUE,1,0)</f>
        <v>0</v>
      </c>
      <c r="AF1070" s="451">
        <f ca="1">IF(AND(Scharniere[[#This Row],[Scharnierart]]=select!$A$1486,Scharniere[[#This Row],[Gruppenschlüssel]]=select!$B$1486)=TRUE,1,0)</f>
        <v>0</v>
      </c>
      <c r="AG1070" s="451">
        <f ca="1">IF(AND(Scharniere[[#This Row],[Scharnierart]]=select!$A$1487,Scharniere[[#This Row],[Gruppenschlüssel]]=select!$B$1487)=TRUE,1,0)</f>
        <v>0</v>
      </c>
      <c r="AH1070" s="451">
        <f ca="1">IF(AND(Scharniere[[#This Row],[Scharnierart]]=select!$A$1488,Scharniere[[#This Row],[Gruppenschlüssel]]=select!$B$1488)=TRUE,1,0)</f>
        <v>0</v>
      </c>
      <c r="AI1070" s="451">
        <f ca="1">IF(SUM(Scharniere[[#This Row],[konf Scharnier 1]:[konf Scharnier 4]])&gt;0,1,0)</f>
        <v>0</v>
      </c>
      <c r="AJ1070" s="451"/>
      <c r="AK1070" s="451"/>
      <c r="AL1070" s="451"/>
      <c r="AM1070" s="451"/>
      <c r="AN1070" s="451"/>
      <c r="AO1070" s="146">
        <v>4</v>
      </c>
      <c r="AP1070" s="146">
        <v>3</v>
      </c>
      <c r="AQ1070" s="71" t="str">
        <f ca="1">Sprache!$A$112</f>
        <v>Tiomos Scharnier TS Click-on</v>
      </c>
      <c r="AR1070" t="s">
        <v>1528</v>
      </c>
      <c r="AS1070" t="str">
        <f ca="1">Sprache!$A$103</f>
        <v>Tiomos Click-On Scharniere</v>
      </c>
      <c r="AT1070">
        <v>3</v>
      </c>
      <c r="AU1070" t="s">
        <v>1264</v>
      </c>
      <c r="AV1070">
        <v>110</v>
      </c>
      <c r="AW1070" s="71">
        <v>1</v>
      </c>
      <c r="AX1070">
        <v>0</v>
      </c>
      <c r="AY1070">
        <v>0</v>
      </c>
      <c r="AZ1070" s="71">
        <v>1</v>
      </c>
      <c r="BA1070">
        <v>0</v>
      </c>
      <c r="BB1070">
        <v>0</v>
      </c>
      <c r="BC1070">
        <v>0</v>
      </c>
      <c r="BD1070" s="144" t="s">
        <v>1529</v>
      </c>
      <c r="BF1070" s="34"/>
      <c r="BG1070"/>
    </row>
    <row r="1071" spans="1:59" ht="14.25" customHeight="1" x14ac:dyDescent="0.25">
      <c r="A1071" s="37" t="str">
        <f>LEFT(Scharniere[[#This Row],[ArtikelNR]],4)</f>
        <v>F045</v>
      </c>
      <c r="B1071" s="35" t="str">
        <f>MID(Scharniere[[#This Row],[ArtikelNR]],5,3)</f>
        <v>138</v>
      </c>
      <c r="C1071" s="37" t="str">
        <f>RIGHT(Scharniere[[#This Row],[ArtikelNR]],3)</f>
        <v>062</v>
      </c>
      <c r="D1071" s="35">
        <f>IF(AND(Scharniere[[#This Row],[Gruppenschlüssel]]=select!$A$44,Scharniere[[#This Row],[Scharnierart]]=1)=TRUE,1,0)</f>
        <v>0</v>
      </c>
      <c r="E1071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1" s="35">
        <f>IF(select!$F$57=IF(Scharniere[[#This Row],[mit Dämpfung]]=1,1,IF(Scharniere[[#This Row],[ohne Dämpfung]]=1,2,IF(Scharniere[[#This Row],[ohne Feder]]=1,3,0))),1,0)</f>
        <v>0</v>
      </c>
      <c r="G1071" s="35">
        <f>IF(Scharniere[[#This Row],[Bohrbild]]=select!$V$43,1,0)</f>
        <v>0</v>
      </c>
      <c r="H1071" s="35">
        <f>IF(IF(Scharniere[[#This Row],[Anschrauben]]=1,1,IF(Scharniere[[#This Row],[Einpressen]]=1,2,IF(Scharniere[[#This Row],[Quick]]=1,3,IF(Scharniere[[#This Row],[Werkzeuglos]]=1,4,0))))=select!$F$48,1,0)</f>
        <v>0</v>
      </c>
      <c r="I1071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1" s="149">
        <f>IF(AND(Scharniere[[#This Row],[Scharnierart]]=2,Scharniere[[#This Row],[Gruppenschlüssel]]=select!$A$318)=TRUE,1,0)</f>
        <v>0</v>
      </c>
      <c r="K1071" s="221">
        <f ca="1">IF(select!$O$424&lt;6,1,0)</f>
        <v>1</v>
      </c>
      <c r="L1071" s="221">
        <f>IF(select!$A$362=IF(Scharniere[[#This Row],[mit Dämpfung]]=1,1,IF(Scharniere[[#This Row],[ohne Dämpfung]]=1,2,IF(Scharniere[[#This Row],[ohne Feder]]=1,3,0))),1,0)</f>
        <v>0</v>
      </c>
      <c r="M1071" s="135">
        <f>IF(Scharniere[[#This Row],[Bohrbild]]=select!$O$334,1,0)</f>
        <v>0</v>
      </c>
      <c r="N1071" s="135">
        <f>IF(IF(Scharniere[[#This Row],[Anschrauben]]=1,1,IF(Scharniere[[#This Row],[Einpressen]]=1,2,IF(Scharniere[[#This Row],[Quick]]=1,3,IF(Scharniere[[#This Row],[Werkzeuglos]]=1,4,0))))=select!$E$362,1,0)</f>
        <v>1</v>
      </c>
      <c r="O1071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1" s="298">
        <f>IF(AND(Scharniere[[#This Row],[Scharnierart]]=3,Scharniere[[#This Row],[Gruppenschlüssel]]=select!$A$747)=TRUE,1,0)</f>
        <v>0</v>
      </c>
      <c r="Q1071" s="298">
        <f ca="1">IF(select!$O$945&lt;6,1,0)</f>
        <v>1</v>
      </c>
      <c r="R1071" s="298">
        <f>IF(select!$A$778=IF(Scharniere[[#This Row],[mit Dämpfung]]=1,1,IF(Scharniere[[#This Row],[ohne Dämpfung]]=1,2,IF(Scharniere[[#This Row],[ohne Feder]]=1,3,0))),1,0)</f>
        <v>1</v>
      </c>
      <c r="S1071" s="298">
        <f>IF(Scharniere[[#This Row],[Bohrbild]]=select!$A$755,1,0)</f>
        <v>1</v>
      </c>
      <c r="T1071" s="298">
        <f>IF(IF(Scharniere[[#This Row],[Anschrauben]]=1,1,IF(Scharniere[[#This Row],[Einpressen]]=1,2,IF(Scharniere[[#This Row],[Quick]]=1,3,IF(Scharniere[[#This Row],[Werkzeuglos]]=1,4,0))))=select!$A$769,1,0)</f>
        <v>1</v>
      </c>
      <c r="U1071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1" s="359">
        <f>IF(AND(Scharniere[[#This Row],[Scharnierart]]=4,Scharniere[[#This Row],[Gruppenschlüssel]]=select!$A$981)=TRUE,1,0)</f>
        <v>0</v>
      </c>
      <c r="W1071" s="359">
        <f ca="1">IF(select!$O$1185&lt;6,1,0)</f>
        <v>1</v>
      </c>
      <c r="X1071" s="359">
        <f>IF(select!$A$1012=IF(Scharniere[[#This Row],[mit Dämpfung]]=1,1,IF(Scharniere[[#This Row],[ohne Dämpfung]]=1,2,IF(Scharniere[[#This Row],[ohne Feder]]=1,3,0))),1,0)</f>
        <v>1</v>
      </c>
      <c r="Y1071" s="359">
        <f>IF(Scharniere[[#This Row],[Bohrbild]]=select!$A$989,1,0)</f>
        <v>1</v>
      </c>
      <c r="Z1071" s="359">
        <f>IF(IF(Scharniere[[#This Row],[Anschrauben]]=1,1,IF(Scharniere[[#This Row],[Einpressen]]=1,2,IF(Scharniere[[#This Row],[Quick]]=1,3,IF(Scharniere[[#This Row],[Werkzeuglos]]=1,4,0))))=select!$A$1003,1,0)</f>
        <v>1</v>
      </c>
      <c r="AA1071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1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1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1" s="359">
        <f ca="1">IF(select!$K$980="*",Scharniere[[#This Row],[AG Ges2]],Scharniere[[#This Row],[AG Ges1]])</f>
        <v>0</v>
      </c>
      <c r="AE1071" s="451">
        <f ca="1">IF(AND(Scharniere[[#This Row],[Scharnierart]]=select!$A$1485,Scharniere[[#This Row],[Gruppenschlüssel]]=select!$B$1485)=TRUE,1,0)</f>
        <v>0</v>
      </c>
      <c r="AF1071" s="451">
        <f ca="1">IF(AND(Scharniere[[#This Row],[Scharnierart]]=select!$A$1486,Scharniere[[#This Row],[Gruppenschlüssel]]=select!$B$1486)=TRUE,1,0)</f>
        <v>0</v>
      </c>
      <c r="AG1071" s="451">
        <f ca="1">IF(AND(Scharniere[[#This Row],[Scharnierart]]=select!$A$1487,Scharniere[[#This Row],[Gruppenschlüssel]]=select!$B$1487)=TRUE,1,0)</f>
        <v>0</v>
      </c>
      <c r="AH1071" s="451">
        <f ca="1">IF(AND(Scharniere[[#This Row],[Scharnierart]]=select!$A$1488,Scharniere[[#This Row],[Gruppenschlüssel]]=select!$B$1488)=TRUE,1,0)</f>
        <v>0</v>
      </c>
      <c r="AI1071" s="451">
        <f ca="1">IF(SUM(Scharniere[[#This Row],[konf Scharnier 1]:[konf Scharnier 4]])&gt;0,1,0)</f>
        <v>0</v>
      </c>
      <c r="AJ1071" s="451"/>
      <c r="AK1071" s="451"/>
      <c r="AL1071" s="451"/>
      <c r="AM1071" s="451"/>
      <c r="AN1071" s="451"/>
      <c r="AO1071" s="146">
        <v>4</v>
      </c>
      <c r="AP1071" s="146">
        <v>3</v>
      </c>
      <c r="AQ1071" s="71" t="str">
        <f ca="1">Sprache!$A$118</f>
        <v>Tiomos Scharnier T Click-on</v>
      </c>
      <c r="AR1071" t="s">
        <v>1528</v>
      </c>
      <c r="AS1071" t="str">
        <f ca="1">Sprache!$A$103</f>
        <v>Tiomos Click-On Scharniere</v>
      </c>
      <c r="AT1071">
        <v>3</v>
      </c>
      <c r="AU1071" t="s">
        <v>1264</v>
      </c>
      <c r="AV1071">
        <v>110</v>
      </c>
      <c r="AW1071" s="71">
        <v>0</v>
      </c>
      <c r="AX1071">
        <v>1</v>
      </c>
      <c r="AY1071">
        <v>0</v>
      </c>
      <c r="AZ1071" s="71">
        <v>1</v>
      </c>
      <c r="BA1071">
        <v>0</v>
      </c>
      <c r="BB1071">
        <v>0</v>
      </c>
      <c r="BC1071">
        <v>0</v>
      </c>
      <c r="BD1071" s="144" t="s">
        <v>1629</v>
      </c>
      <c r="BF1071" s="34"/>
      <c r="BG1071"/>
    </row>
    <row r="1072" spans="1:59" ht="14.25" customHeight="1" x14ac:dyDescent="0.25">
      <c r="A1072" s="37" t="str">
        <f>LEFT(Scharniere[[#This Row],[ArtikelNR]],4)</f>
        <v>F046</v>
      </c>
      <c r="B1072" s="35" t="str">
        <f>MID(Scharniere[[#This Row],[ArtikelNR]],5,3)</f>
        <v>138</v>
      </c>
      <c r="C1072" s="37" t="str">
        <f>RIGHT(Scharniere[[#This Row],[ArtikelNR]],3)</f>
        <v>246</v>
      </c>
      <c r="D1072" s="35">
        <f>IF(AND(Scharniere[[#This Row],[Gruppenschlüssel]]=select!$A$44,Scharniere[[#This Row],[Scharnierart]]=1)=TRUE,1,0)</f>
        <v>0</v>
      </c>
      <c r="E1072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2" s="35">
        <f>IF(select!$F$57=IF(Scharniere[[#This Row],[mit Dämpfung]]=1,1,IF(Scharniere[[#This Row],[ohne Dämpfung]]=1,2,IF(Scharniere[[#This Row],[ohne Feder]]=1,3,0))),1,0)</f>
        <v>1</v>
      </c>
      <c r="G1072" s="35">
        <f>IF(Scharniere[[#This Row],[Bohrbild]]=select!$V$43,1,0)</f>
        <v>0</v>
      </c>
      <c r="H1072" s="35">
        <f>IF(IF(Scharniere[[#This Row],[Anschrauben]]=1,1,IF(Scharniere[[#This Row],[Einpressen]]=1,2,IF(Scharniere[[#This Row],[Quick]]=1,3,IF(Scharniere[[#This Row],[Werkzeuglos]]=1,4,0))))=select!$F$48,1,0)</f>
        <v>0</v>
      </c>
      <c r="I1072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2" s="149">
        <f>IF(AND(Scharniere[[#This Row],[Scharnierart]]=2,Scharniere[[#This Row],[Gruppenschlüssel]]=select!$A$318)=TRUE,1,0)</f>
        <v>0</v>
      </c>
      <c r="K1072" s="221">
        <f ca="1">IF(select!$O$424&lt;6,1,0)</f>
        <v>1</v>
      </c>
      <c r="L1072" s="221">
        <f>IF(select!$A$362=IF(Scharniere[[#This Row],[mit Dämpfung]]=1,1,IF(Scharniere[[#This Row],[ohne Dämpfung]]=1,2,IF(Scharniere[[#This Row],[ohne Feder]]=1,3,0))),1,0)</f>
        <v>0</v>
      </c>
      <c r="M1072" s="135">
        <f>IF(Scharniere[[#This Row],[Bohrbild]]=select!$O$334,1,0)</f>
        <v>0</v>
      </c>
      <c r="N1072" s="135">
        <f>IF(IF(Scharniere[[#This Row],[Anschrauben]]=1,1,IF(Scharniere[[#This Row],[Einpressen]]=1,2,IF(Scharniere[[#This Row],[Quick]]=1,3,IF(Scharniere[[#This Row],[Werkzeuglos]]=1,4,0))))=select!$E$362,1,0)</f>
        <v>1</v>
      </c>
      <c r="O1072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2" s="298">
        <f>IF(AND(Scharniere[[#This Row],[Scharnierart]]=3,Scharniere[[#This Row],[Gruppenschlüssel]]=select!$A$747)=TRUE,1,0)</f>
        <v>0</v>
      </c>
      <c r="Q1072" s="298">
        <f ca="1">IF(select!$O$945&lt;6,1,0)</f>
        <v>1</v>
      </c>
      <c r="R1072" s="298">
        <f>IF(select!$A$778=IF(Scharniere[[#This Row],[mit Dämpfung]]=1,1,IF(Scharniere[[#This Row],[ohne Dämpfung]]=1,2,IF(Scharniere[[#This Row],[ohne Feder]]=1,3,0))),1,0)</f>
        <v>0</v>
      </c>
      <c r="S1072" s="298">
        <f>IF(Scharniere[[#This Row],[Bohrbild]]=select!$A$755,1,0)</f>
        <v>1</v>
      </c>
      <c r="T1072" s="298">
        <f>IF(IF(Scharniere[[#This Row],[Anschrauben]]=1,1,IF(Scharniere[[#This Row],[Einpressen]]=1,2,IF(Scharniere[[#This Row],[Quick]]=1,3,IF(Scharniere[[#This Row],[Werkzeuglos]]=1,4,0))))=select!$A$769,1,0)</f>
        <v>1</v>
      </c>
      <c r="U1072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2" s="359">
        <f>IF(AND(Scharniere[[#This Row],[Scharnierart]]=4,Scharniere[[#This Row],[Gruppenschlüssel]]=select!$A$981)=TRUE,1,0)</f>
        <v>0</v>
      </c>
      <c r="W1072" s="359">
        <f ca="1">IF(select!$O$1185&lt;6,1,0)</f>
        <v>1</v>
      </c>
      <c r="X1072" s="359">
        <f>IF(select!$A$1012=IF(Scharniere[[#This Row],[mit Dämpfung]]=1,1,IF(Scharniere[[#This Row],[ohne Dämpfung]]=1,2,IF(Scharniere[[#This Row],[ohne Feder]]=1,3,0))),1,0)</f>
        <v>0</v>
      </c>
      <c r="Y1072" s="359">
        <f>IF(Scharniere[[#This Row],[Bohrbild]]=select!$A$989,1,0)</f>
        <v>1</v>
      </c>
      <c r="Z1072" s="359">
        <f>IF(IF(Scharniere[[#This Row],[Anschrauben]]=1,1,IF(Scharniere[[#This Row],[Einpressen]]=1,2,IF(Scharniere[[#This Row],[Quick]]=1,3,IF(Scharniere[[#This Row],[Werkzeuglos]]=1,4,0))))=select!$A$1003,1,0)</f>
        <v>1</v>
      </c>
      <c r="AA1072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2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2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2" s="359">
        <f ca="1">IF(select!$K$980="*",Scharniere[[#This Row],[AG Ges2]],Scharniere[[#This Row],[AG Ges1]])</f>
        <v>0</v>
      </c>
      <c r="AE1072" s="451">
        <f ca="1">IF(AND(Scharniere[[#This Row],[Scharnierart]]=select!$A$1485,Scharniere[[#This Row],[Gruppenschlüssel]]=select!$B$1485)=TRUE,1,0)</f>
        <v>0</v>
      </c>
      <c r="AF1072" s="451">
        <f ca="1">IF(AND(Scharniere[[#This Row],[Scharnierart]]=select!$A$1486,Scharniere[[#This Row],[Gruppenschlüssel]]=select!$B$1486)=TRUE,1,0)</f>
        <v>0</v>
      </c>
      <c r="AG1072" s="451">
        <f ca="1">IF(AND(Scharniere[[#This Row],[Scharnierart]]=select!$A$1487,Scharniere[[#This Row],[Gruppenschlüssel]]=select!$B$1487)=TRUE,1,0)</f>
        <v>0</v>
      </c>
      <c r="AH1072" s="451">
        <f ca="1">IF(AND(Scharniere[[#This Row],[Scharnierart]]=select!$A$1488,Scharniere[[#This Row],[Gruppenschlüssel]]=select!$B$1488)=TRUE,1,0)</f>
        <v>0</v>
      </c>
      <c r="AI1072" s="451">
        <f ca="1">IF(SUM(Scharniere[[#This Row],[konf Scharnier 1]:[konf Scharnier 4]])&gt;0,1,0)</f>
        <v>0</v>
      </c>
      <c r="AJ1072" s="451"/>
      <c r="AK1072" s="451"/>
      <c r="AL1072" s="451"/>
      <c r="AM1072" s="451"/>
      <c r="AN1072" s="451"/>
      <c r="AO1072" s="146">
        <v>4</v>
      </c>
      <c r="AP1072" s="146">
        <v>3</v>
      </c>
      <c r="AQ1072" s="71" t="str">
        <f ca="1">Sprache!$A$114</f>
        <v>Tiomos Scharnier TT Click-on</v>
      </c>
      <c r="AR1072" t="s">
        <v>1528</v>
      </c>
      <c r="AS1072" t="str">
        <f ca="1">Sprache!$A$103</f>
        <v>Tiomos Click-On Scharniere</v>
      </c>
      <c r="AT1072">
        <v>3</v>
      </c>
      <c r="AU1072" t="s">
        <v>1264</v>
      </c>
      <c r="AV1072">
        <v>110</v>
      </c>
      <c r="AW1072" s="71">
        <v>0</v>
      </c>
      <c r="AX1072">
        <v>0</v>
      </c>
      <c r="AY1072">
        <v>1</v>
      </c>
      <c r="AZ1072" s="71">
        <v>1</v>
      </c>
      <c r="BA1072">
        <v>0</v>
      </c>
      <c r="BB1072">
        <v>0</v>
      </c>
      <c r="BC1072">
        <v>0</v>
      </c>
      <c r="BD1072" s="144" t="s">
        <v>1708</v>
      </c>
      <c r="BF1072" s="34"/>
      <c r="BG1072"/>
    </row>
    <row r="1073" spans="1:59" ht="14.25" customHeight="1" x14ac:dyDescent="0.25">
      <c r="A1073" s="37" t="str">
        <f>LEFT(Scharniere[[#This Row],[ArtikelNR]],4)</f>
        <v>F028</v>
      </c>
      <c r="B1073" s="35" t="str">
        <f>MID(Scharniere[[#This Row],[ArtikelNR]],5,3)</f>
        <v>138</v>
      </c>
      <c r="C1073" s="37" t="str">
        <f>RIGHT(Scharniere[[#This Row],[ArtikelNR]],3)</f>
        <v>154</v>
      </c>
      <c r="D1073" s="35">
        <f>IF(AND(Scharniere[[#This Row],[Gruppenschlüssel]]=select!$A$44,Scharniere[[#This Row],[Scharnierart]]=1)=TRUE,1,0)</f>
        <v>0</v>
      </c>
      <c r="E1073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73" s="35">
        <f>IF(select!$F$57=IF(Scharniere[[#This Row],[mit Dämpfung]]=1,1,IF(Scharniere[[#This Row],[ohne Dämpfung]]=1,2,IF(Scharniere[[#This Row],[ohne Feder]]=1,3,0))),1,0)</f>
        <v>0</v>
      </c>
      <c r="G1073" s="35">
        <f>IF(Scharniere[[#This Row],[Bohrbild]]=select!$V$43,1,0)</f>
        <v>0</v>
      </c>
      <c r="H1073" s="35">
        <f>IF(IF(Scharniere[[#This Row],[Anschrauben]]=1,1,IF(Scharniere[[#This Row],[Einpressen]]=1,2,IF(Scharniere[[#This Row],[Quick]]=1,3,IF(Scharniere[[#This Row],[Werkzeuglos]]=1,4,0))))=select!$F$48,1,0)</f>
        <v>0</v>
      </c>
      <c r="I1073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3" s="149">
        <f>IF(AND(Scharniere[[#This Row],[Scharnierart]]=2,Scharniere[[#This Row],[Gruppenschlüssel]]=select!$A$318)=TRUE,1,0)</f>
        <v>0</v>
      </c>
      <c r="K1073" s="221">
        <f ca="1">IF(select!$O$424&lt;6,1,0)</f>
        <v>1</v>
      </c>
      <c r="L1073" s="221">
        <f>IF(select!$A$362=IF(Scharniere[[#This Row],[mit Dämpfung]]=1,1,IF(Scharniere[[#This Row],[ohne Dämpfung]]=1,2,IF(Scharniere[[#This Row],[ohne Feder]]=1,3,0))),1,0)</f>
        <v>1</v>
      </c>
      <c r="M1073" s="135">
        <f>IF(Scharniere[[#This Row],[Bohrbild]]=select!$O$334,1,0)</f>
        <v>0</v>
      </c>
      <c r="N1073" s="135">
        <f>IF(IF(Scharniere[[#This Row],[Anschrauben]]=1,1,IF(Scharniere[[#This Row],[Einpressen]]=1,2,IF(Scharniere[[#This Row],[Quick]]=1,3,IF(Scharniere[[#This Row],[Werkzeuglos]]=1,4,0))))=select!$E$362,1,0)</f>
        <v>1</v>
      </c>
      <c r="O1073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3" s="298">
        <f>IF(AND(Scharniere[[#This Row],[Scharnierart]]=3,Scharniere[[#This Row],[Gruppenschlüssel]]=select!$A$747)=TRUE,1,0)</f>
        <v>0</v>
      </c>
      <c r="Q1073" s="298">
        <f ca="1">IF(select!$O$945&lt;6,1,0)</f>
        <v>1</v>
      </c>
      <c r="R1073" s="298">
        <f>IF(select!$A$778=IF(Scharniere[[#This Row],[mit Dämpfung]]=1,1,IF(Scharniere[[#This Row],[ohne Dämpfung]]=1,2,IF(Scharniere[[#This Row],[ohne Feder]]=1,3,0))),1,0)</f>
        <v>0</v>
      </c>
      <c r="S1073" s="298">
        <f>IF(Scharniere[[#This Row],[Bohrbild]]=select!$A$755,1,0)</f>
        <v>1</v>
      </c>
      <c r="T1073" s="298">
        <f>IF(IF(Scharniere[[#This Row],[Anschrauben]]=1,1,IF(Scharniere[[#This Row],[Einpressen]]=1,2,IF(Scharniere[[#This Row],[Quick]]=1,3,IF(Scharniere[[#This Row],[Werkzeuglos]]=1,4,0))))=select!$A$769,1,0)</f>
        <v>1</v>
      </c>
      <c r="U1073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3" s="359">
        <f>IF(AND(Scharniere[[#This Row],[Scharnierart]]=4,Scharniere[[#This Row],[Gruppenschlüssel]]=select!$A$981)=TRUE,1,0)</f>
        <v>0</v>
      </c>
      <c r="W1073" s="359">
        <f ca="1">IF(select!$O$1185&lt;6,1,0)</f>
        <v>1</v>
      </c>
      <c r="X1073" s="359">
        <f>IF(select!$A$1012=IF(Scharniere[[#This Row],[mit Dämpfung]]=1,1,IF(Scharniere[[#This Row],[ohne Dämpfung]]=1,2,IF(Scharniere[[#This Row],[ohne Feder]]=1,3,0))),1,0)</f>
        <v>0</v>
      </c>
      <c r="Y1073" s="359">
        <f>IF(Scharniere[[#This Row],[Bohrbild]]=select!$A$989,1,0)</f>
        <v>1</v>
      </c>
      <c r="Z1073" s="359">
        <f>IF(IF(Scharniere[[#This Row],[Anschrauben]]=1,1,IF(Scharniere[[#This Row],[Einpressen]]=1,2,IF(Scharniere[[#This Row],[Quick]]=1,3,IF(Scharniere[[#This Row],[Werkzeuglos]]=1,4,0))))=select!$A$1003,1,0)</f>
        <v>1</v>
      </c>
      <c r="AA1073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3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3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3" s="359">
        <f ca="1">IF(select!$K$980="*",Scharniere[[#This Row],[AG Ges2]],Scharniere[[#This Row],[AG Ges1]])</f>
        <v>0</v>
      </c>
      <c r="AE1073" s="451">
        <f ca="1">IF(AND(Scharniere[[#This Row],[Scharnierart]]=select!$A$1485,Scharniere[[#This Row],[Gruppenschlüssel]]=select!$B$1485)=TRUE,1,0)</f>
        <v>0</v>
      </c>
      <c r="AF1073" s="451">
        <f ca="1">IF(AND(Scharniere[[#This Row],[Scharnierart]]=select!$A$1486,Scharniere[[#This Row],[Gruppenschlüssel]]=select!$B$1486)=TRUE,1,0)</f>
        <v>0</v>
      </c>
      <c r="AG1073" s="451">
        <f ca="1">IF(AND(Scharniere[[#This Row],[Scharnierart]]=select!$A$1487,Scharniere[[#This Row],[Gruppenschlüssel]]=select!$B$1487)=TRUE,1,0)</f>
        <v>0</v>
      </c>
      <c r="AH1073" s="451">
        <f ca="1">IF(AND(Scharniere[[#This Row],[Scharnierart]]=select!$A$1488,Scharniere[[#This Row],[Gruppenschlüssel]]=select!$B$1488)=TRUE,1,0)</f>
        <v>0</v>
      </c>
      <c r="AI1073" s="451">
        <f ca="1">IF(SUM(Scharniere[[#This Row],[konf Scharnier 1]:[konf Scharnier 4]])&gt;0,1,0)</f>
        <v>0</v>
      </c>
      <c r="AJ1073" s="451"/>
      <c r="AK1073" s="451"/>
      <c r="AL1073" s="451"/>
      <c r="AM1073" s="451"/>
      <c r="AN1073" s="451"/>
      <c r="AO1073" s="146">
        <v>4</v>
      </c>
      <c r="AP1073" s="146">
        <v>3</v>
      </c>
      <c r="AQ1073" s="71" t="str">
        <f ca="1">Sprache!$A$112</f>
        <v>Tiomos Scharnier TS Click-on</v>
      </c>
      <c r="AR1073" t="s">
        <v>1526</v>
      </c>
      <c r="AS1073" t="str">
        <f ca="1">Sprache!$A$103</f>
        <v>Tiomos Click-On Scharniere</v>
      </c>
      <c r="AT1073">
        <v>0</v>
      </c>
      <c r="AU1073" t="s">
        <v>1264</v>
      </c>
      <c r="AV1073">
        <v>110</v>
      </c>
      <c r="AW1073" s="71">
        <v>1</v>
      </c>
      <c r="AX1073">
        <v>0</v>
      </c>
      <c r="AY1073">
        <v>0</v>
      </c>
      <c r="AZ1073" s="71">
        <v>1</v>
      </c>
      <c r="BA1073">
        <v>0</v>
      </c>
      <c r="BB1073">
        <v>0</v>
      </c>
      <c r="BC1073">
        <v>0</v>
      </c>
      <c r="BD1073" s="144" t="s">
        <v>1527</v>
      </c>
      <c r="BF1073" s="34"/>
      <c r="BG1073"/>
    </row>
    <row r="1074" spans="1:59" ht="14.25" customHeight="1" x14ac:dyDescent="0.25">
      <c r="A1074" s="37" t="str">
        <f>LEFT(Scharniere[[#This Row],[ArtikelNR]],4)</f>
        <v>F045</v>
      </c>
      <c r="B1074" s="35" t="str">
        <f>MID(Scharniere[[#This Row],[ArtikelNR]],5,3)</f>
        <v>138</v>
      </c>
      <c r="C1074" s="37" t="str">
        <f>RIGHT(Scharniere[[#This Row],[ArtikelNR]],3)</f>
        <v>061</v>
      </c>
      <c r="D1074" s="35">
        <f>IF(AND(Scharniere[[#This Row],[Gruppenschlüssel]]=select!$A$44,Scharniere[[#This Row],[Scharnierart]]=1)=TRUE,1,0)</f>
        <v>0</v>
      </c>
      <c r="E1074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74" s="35">
        <f>IF(select!$F$57=IF(Scharniere[[#This Row],[mit Dämpfung]]=1,1,IF(Scharniere[[#This Row],[ohne Dämpfung]]=1,2,IF(Scharniere[[#This Row],[ohne Feder]]=1,3,0))),1,0)</f>
        <v>0</v>
      </c>
      <c r="G1074" s="35">
        <f>IF(Scharniere[[#This Row],[Bohrbild]]=select!$V$43,1,0)</f>
        <v>0</v>
      </c>
      <c r="H1074" s="35">
        <f>IF(IF(Scharniere[[#This Row],[Anschrauben]]=1,1,IF(Scharniere[[#This Row],[Einpressen]]=1,2,IF(Scharniere[[#This Row],[Quick]]=1,3,IF(Scharniere[[#This Row],[Werkzeuglos]]=1,4,0))))=select!$F$48,1,0)</f>
        <v>0</v>
      </c>
      <c r="I1074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4" s="149">
        <f>IF(AND(Scharniere[[#This Row],[Scharnierart]]=2,Scharniere[[#This Row],[Gruppenschlüssel]]=select!$A$318)=TRUE,1,0)</f>
        <v>0</v>
      </c>
      <c r="K1074" s="221">
        <f ca="1">IF(select!$O$424&lt;6,1,0)</f>
        <v>1</v>
      </c>
      <c r="L1074" s="221">
        <f>IF(select!$A$362=IF(Scharniere[[#This Row],[mit Dämpfung]]=1,1,IF(Scharniere[[#This Row],[ohne Dämpfung]]=1,2,IF(Scharniere[[#This Row],[ohne Feder]]=1,3,0))),1,0)</f>
        <v>0</v>
      </c>
      <c r="M1074" s="135">
        <f>IF(Scharniere[[#This Row],[Bohrbild]]=select!$O$334,1,0)</f>
        <v>0</v>
      </c>
      <c r="N1074" s="135">
        <f>IF(IF(Scharniere[[#This Row],[Anschrauben]]=1,1,IF(Scharniere[[#This Row],[Einpressen]]=1,2,IF(Scharniere[[#This Row],[Quick]]=1,3,IF(Scharniere[[#This Row],[Werkzeuglos]]=1,4,0))))=select!$E$362,1,0)</f>
        <v>1</v>
      </c>
      <c r="O1074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4" s="298">
        <f>IF(AND(Scharniere[[#This Row],[Scharnierart]]=3,Scharniere[[#This Row],[Gruppenschlüssel]]=select!$A$747)=TRUE,1,0)</f>
        <v>0</v>
      </c>
      <c r="Q1074" s="298">
        <f ca="1">IF(select!$O$945&lt;6,1,0)</f>
        <v>1</v>
      </c>
      <c r="R1074" s="298">
        <f>IF(select!$A$778=IF(Scharniere[[#This Row],[mit Dämpfung]]=1,1,IF(Scharniere[[#This Row],[ohne Dämpfung]]=1,2,IF(Scharniere[[#This Row],[ohne Feder]]=1,3,0))),1,0)</f>
        <v>1</v>
      </c>
      <c r="S1074" s="298">
        <f>IF(Scharniere[[#This Row],[Bohrbild]]=select!$A$755,1,0)</f>
        <v>1</v>
      </c>
      <c r="T1074" s="298">
        <f>IF(IF(Scharniere[[#This Row],[Anschrauben]]=1,1,IF(Scharniere[[#This Row],[Einpressen]]=1,2,IF(Scharniere[[#This Row],[Quick]]=1,3,IF(Scharniere[[#This Row],[Werkzeuglos]]=1,4,0))))=select!$A$769,1,0)</f>
        <v>1</v>
      </c>
      <c r="U1074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4" s="359">
        <f>IF(AND(Scharniere[[#This Row],[Scharnierart]]=4,Scharniere[[#This Row],[Gruppenschlüssel]]=select!$A$981)=TRUE,1,0)</f>
        <v>0</v>
      </c>
      <c r="W1074" s="359">
        <f ca="1">IF(select!$O$1185&lt;6,1,0)</f>
        <v>1</v>
      </c>
      <c r="X1074" s="359">
        <f>IF(select!$A$1012=IF(Scharniere[[#This Row],[mit Dämpfung]]=1,1,IF(Scharniere[[#This Row],[ohne Dämpfung]]=1,2,IF(Scharniere[[#This Row],[ohne Feder]]=1,3,0))),1,0)</f>
        <v>1</v>
      </c>
      <c r="Y1074" s="359">
        <f>IF(Scharniere[[#This Row],[Bohrbild]]=select!$A$989,1,0)</f>
        <v>1</v>
      </c>
      <c r="Z1074" s="359">
        <f>IF(IF(Scharniere[[#This Row],[Anschrauben]]=1,1,IF(Scharniere[[#This Row],[Einpressen]]=1,2,IF(Scharniere[[#This Row],[Quick]]=1,3,IF(Scharniere[[#This Row],[Werkzeuglos]]=1,4,0))))=select!$A$1003,1,0)</f>
        <v>1</v>
      </c>
      <c r="AA1074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4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4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4" s="359">
        <f ca="1">IF(select!$K$980="*",Scharniere[[#This Row],[AG Ges2]],Scharniere[[#This Row],[AG Ges1]])</f>
        <v>0</v>
      </c>
      <c r="AE1074" s="451">
        <f ca="1">IF(AND(Scharniere[[#This Row],[Scharnierart]]=select!$A$1485,Scharniere[[#This Row],[Gruppenschlüssel]]=select!$B$1485)=TRUE,1,0)</f>
        <v>0</v>
      </c>
      <c r="AF1074" s="451">
        <f ca="1">IF(AND(Scharniere[[#This Row],[Scharnierart]]=select!$A$1486,Scharniere[[#This Row],[Gruppenschlüssel]]=select!$B$1486)=TRUE,1,0)</f>
        <v>0</v>
      </c>
      <c r="AG1074" s="451">
        <f ca="1">IF(AND(Scharniere[[#This Row],[Scharnierart]]=select!$A$1487,Scharniere[[#This Row],[Gruppenschlüssel]]=select!$B$1487)=TRUE,1,0)</f>
        <v>0</v>
      </c>
      <c r="AH1074" s="451">
        <f ca="1">IF(AND(Scharniere[[#This Row],[Scharnierart]]=select!$A$1488,Scharniere[[#This Row],[Gruppenschlüssel]]=select!$B$1488)=TRUE,1,0)</f>
        <v>0</v>
      </c>
      <c r="AI1074" s="451">
        <f ca="1">IF(SUM(Scharniere[[#This Row],[konf Scharnier 1]:[konf Scharnier 4]])&gt;0,1,0)</f>
        <v>0</v>
      </c>
      <c r="AJ1074" s="451"/>
      <c r="AK1074" s="451"/>
      <c r="AL1074" s="451"/>
      <c r="AM1074" s="451"/>
      <c r="AN1074" s="451"/>
      <c r="AO1074" s="146">
        <v>4</v>
      </c>
      <c r="AP1074" s="146">
        <v>3</v>
      </c>
      <c r="AQ1074" s="71" t="str">
        <f ca="1">Sprache!$A$118</f>
        <v>Tiomos Scharnier T Click-on</v>
      </c>
      <c r="AR1074" t="s">
        <v>1526</v>
      </c>
      <c r="AS1074" t="str">
        <f ca="1">Sprache!$A$103</f>
        <v>Tiomos Click-On Scharniere</v>
      </c>
      <c r="AT1074">
        <v>0</v>
      </c>
      <c r="AU1074" t="s">
        <v>1264</v>
      </c>
      <c r="AV1074">
        <v>110</v>
      </c>
      <c r="AW1074" s="71">
        <v>0</v>
      </c>
      <c r="AX1074">
        <v>1</v>
      </c>
      <c r="AY1074">
        <v>0</v>
      </c>
      <c r="AZ1074" s="71">
        <v>1</v>
      </c>
      <c r="BA1074">
        <v>0</v>
      </c>
      <c r="BB1074">
        <v>0</v>
      </c>
      <c r="BC1074">
        <v>0</v>
      </c>
      <c r="BD1074" s="144" t="s">
        <v>1628</v>
      </c>
      <c r="BF1074" s="34"/>
      <c r="BG1074"/>
    </row>
    <row r="1075" spans="1:59" ht="14.25" customHeight="1" x14ac:dyDescent="0.25">
      <c r="A1075" s="37" t="str">
        <f>LEFT(Scharniere[[#This Row],[ArtikelNR]],4)</f>
        <v>F046</v>
      </c>
      <c r="B1075" s="35" t="str">
        <f>MID(Scharniere[[#This Row],[ArtikelNR]],5,3)</f>
        <v>138</v>
      </c>
      <c r="C1075" s="37" t="str">
        <f>RIGHT(Scharniere[[#This Row],[ArtikelNR]],3)</f>
        <v>245</v>
      </c>
      <c r="D1075" s="35">
        <f>IF(AND(Scharniere[[#This Row],[Gruppenschlüssel]]=select!$A$44,Scharniere[[#This Row],[Scharnierart]]=1)=TRUE,1,0)</f>
        <v>0</v>
      </c>
      <c r="E1075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1</v>
      </c>
      <c r="F1075" s="35">
        <f>IF(select!$F$57=IF(Scharniere[[#This Row],[mit Dämpfung]]=1,1,IF(Scharniere[[#This Row],[ohne Dämpfung]]=1,2,IF(Scharniere[[#This Row],[ohne Feder]]=1,3,0))),1,0)</f>
        <v>1</v>
      </c>
      <c r="G1075" s="35">
        <f>IF(Scharniere[[#This Row],[Bohrbild]]=select!$V$43,1,0)</f>
        <v>0</v>
      </c>
      <c r="H1075" s="35">
        <f>IF(IF(Scharniere[[#This Row],[Anschrauben]]=1,1,IF(Scharniere[[#This Row],[Einpressen]]=1,2,IF(Scharniere[[#This Row],[Quick]]=1,3,IF(Scharniere[[#This Row],[Werkzeuglos]]=1,4,0))))=select!$F$48,1,0)</f>
        <v>0</v>
      </c>
      <c r="I1075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5" s="149">
        <f>IF(AND(Scharniere[[#This Row],[Scharnierart]]=2,Scharniere[[#This Row],[Gruppenschlüssel]]=select!$A$318)=TRUE,1,0)</f>
        <v>0</v>
      </c>
      <c r="K1075" s="221">
        <f ca="1">IF(select!$O$424&lt;6,1,0)</f>
        <v>1</v>
      </c>
      <c r="L1075" s="221">
        <f>IF(select!$A$362=IF(Scharniere[[#This Row],[mit Dämpfung]]=1,1,IF(Scharniere[[#This Row],[ohne Dämpfung]]=1,2,IF(Scharniere[[#This Row],[ohne Feder]]=1,3,0))),1,0)</f>
        <v>0</v>
      </c>
      <c r="M1075" s="135">
        <f>IF(Scharniere[[#This Row],[Bohrbild]]=select!$O$334,1,0)</f>
        <v>0</v>
      </c>
      <c r="N1075" s="135">
        <f>IF(IF(Scharniere[[#This Row],[Anschrauben]]=1,1,IF(Scharniere[[#This Row],[Einpressen]]=1,2,IF(Scharniere[[#This Row],[Quick]]=1,3,IF(Scharniere[[#This Row],[Werkzeuglos]]=1,4,0))))=select!$E$362,1,0)</f>
        <v>1</v>
      </c>
      <c r="O1075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5" s="298">
        <f>IF(AND(Scharniere[[#This Row],[Scharnierart]]=3,Scharniere[[#This Row],[Gruppenschlüssel]]=select!$A$747)=TRUE,1,0)</f>
        <v>0</v>
      </c>
      <c r="Q1075" s="298">
        <f ca="1">IF(select!$O$945&lt;6,1,0)</f>
        <v>1</v>
      </c>
      <c r="R1075" s="298">
        <f>IF(select!$A$778=IF(Scharniere[[#This Row],[mit Dämpfung]]=1,1,IF(Scharniere[[#This Row],[ohne Dämpfung]]=1,2,IF(Scharniere[[#This Row],[ohne Feder]]=1,3,0))),1,0)</f>
        <v>0</v>
      </c>
      <c r="S1075" s="298">
        <f>IF(Scharniere[[#This Row],[Bohrbild]]=select!$A$755,1,0)</f>
        <v>1</v>
      </c>
      <c r="T1075" s="298">
        <f>IF(IF(Scharniere[[#This Row],[Anschrauben]]=1,1,IF(Scharniere[[#This Row],[Einpressen]]=1,2,IF(Scharniere[[#This Row],[Quick]]=1,3,IF(Scharniere[[#This Row],[Werkzeuglos]]=1,4,0))))=select!$A$769,1,0)</f>
        <v>1</v>
      </c>
      <c r="U1075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5" s="359">
        <f>IF(AND(Scharniere[[#This Row],[Scharnierart]]=4,Scharniere[[#This Row],[Gruppenschlüssel]]=select!$A$981)=TRUE,1,0)</f>
        <v>0</v>
      </c>
      <c r="W1075" s="359">
        <f ca="1">IF(select!$O$1185&lt;6,1,0)</f>
        <v>1</v>
      </c>
      <c r="X1075" s="359">
        <f>IF(select!$A$1012=IF(Scharniere[[#This Row],[mit Dämpfung]]=1,1,IF(Scharniere[[#This Row],[ohne Dämpfung]]=1,2,IF(Scharniere[[#This Row],[ohne Feder]]=1,3,0))),1,0)</f>
        <v>0</v>
      </c>
      <c r="Y1075" s="359">
        <f>IF(Scharniere[[#This Row],[Bohrbild]]=select!$A$989,1,0)</f>
        <v>1</v>
      </c>
      <c r="Z1075" s="359">
        <f>IF(IF(Scharniere[[#This Row],[Anschrauben]]=1,1,IF(Scharniere[[#This Row],[Einpressen]]=1,2,IF(Scharniere[[#This Row],[Quick]]=1,3,IF(Scharniere[[#This Row],[Werkzeuglos]]=1,4,0))))=select!$A$1003,1,0)</f>
        <v>1</v>
      </c>
      <c r="AA1075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5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5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5" s="359">
        <f ca="1">IF(select!$K$980="*",Scharniere[[#This Row],[AG Ges2]],Scharniere[[#This Row],[AG Ges1]])</f>
        <v>0</v>
      </c>
      <c r="AE1075" s="451">
        <f ca="1">IF(AND(Scharniere[[#This Row],[Scharnierart]]=select!$A$1485,Scharniere[[#This Row],[Gruppenschlüssel]]=select!$B$1485)=TRUE,1,0)</f>
        <v>0</v>
      </c>
      <c r="AF1075" s="451">
        <f ca="1">IF(AND(Scharniere[[#This Row],[Scharnierart]]=select!$A$1486,Scharniere[[#This Row],[Gruppenschlüssel]]=select!$B$1486)=TRUE,1,0)</f>
        <v>0</v>
      </c>
      <c r="AG1075" s="451">
        <f ca="1">IF(AND(Scharniere[[#This Row],[Scharnierart]]=select!$A$1487,Scharniere[[#This Row],[Gruppenschlüssel]]=select!$B$1487)=TRUE,1,0)</f>
        <v>0</v>
      </c>
      <c r="AH1075" s="451">
        <f ca="1">IF(AND(Scharniere[[#This Row],[Scharnierart]]=select!$A$1488,Scharniere[[#This Row],[Gruppenschlüssel]]=select!$B$1488)=TRUE,1,0)</f>
        <v>0</v>
      </c>
      <c r="AI1075" s="451">
        <f ca="1">IF(SUM(Scharniere[[#This Row],[konf Scharnier 1]:[konf Scharnier 4]])&gt;0,1,0)</f>
        <v>0</v>
      </c>
      <c r="AJ1075" s="451"/>
      <c r="AK1075" s="451"/>
      <c r="AL1075" s="451"/>
      <c r="AM1075" s="451"/>
      <c r="AN1075" s="451"/>
      <c r="AO1075" s="146">
        <v>4</v>
      </c>
      <c r="AP1075" s="146">
        <v>3</v>
      </c>
      <c r="AQ1075" s="71" t="str">
        <f ca="1">Sprache!$A$114</f>
        <v>Tiomos Scharnier TT Click-on</v>
      </c>
      <c r="AR1075" t="s">
        <v>1526</v>
      </c>
      <c r="AS1075" t="str">
        <f ca="1">Sprache!$A$103</f>
        <v>Tiomos Click-On Scharniere</v>
      </c>
      <c r="AT1075">
        <v>0</v>
      </c>
      <c r="AU1075" t="s">
        <v>1264</v>
      </c>
      <c r="AV1075">
        <v>110</v>
      </c>
      <c r="AW1075" s="71">
        <v>0</v>
      </c>
      <c r="AX1075">
        <v>0</v>
      </c>
      <c r="AY1075">
        <v>1</v>
      </c>
      <c r="AZ1075" s="71">
        <v>1</v>
      </c>
      <c r="BA1075">
        <v>0</v>
      </c>
      <c r="BB1075">
        <v>0</v>
      </c>
      <c r="BC1075">
        <v>0</v>
      </c>
      <c r="BD1075" s="144" t="s">
        <v>1707</v>
      </c>
      <c r="BF1075" s="34"/>
      <c r="BG1075"/>
    </row>
    <row r="1076" spans="1:59" ht="14.25" customHeight="1" x14ac:dyDescent="0.25">
      <c r="A1076" s="37" t="str">
        <f>LEFT(Scharniere[[#This Row],[ArtikelNR]],4)</f>
        <v>F029</v>
      </c>
      <c r="B1076" s="35" t="str">
        <f>MID(Scharniere[[#This Row],[ArtikelNR]],5,3)</f>
        <v>140</v>
      </c>
      <c r="C1076" s="37" t="str">
        <f>RIGHT(Scharniere[[#This Row],[ArtikelNR]],3)</f>
        <v>331</v>
      </c>
      <c r="D1076" s="35">
        <f>IF(AND(Scharniere[[#This Row],[Gruppenschlüssel]]=select!$A$44,Scharniere[[#This Row],[Scharnierart]]=1)=TRUE,1,0)</f>
        <v>0</v>
      </c>
      <c r="E1076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6" s="35">
        <f>IF(select!$F$57=IF(Scharniere[[#This Row],[mit Dämpfung]]=1,1,IF(Scharniere[[#This Row],[ohne Dämpfung]]=1,2,IF(Scharniere[[#This Row],[ohne Feder]]=1,3,0))),1,0)</f>
        <v>0</v>
      </c>
      <c r="G1076" s="35">
        <f>IF(Scharniere[[#This Row],[Bohrbild]]=select!$V$43,1,0)</f>
        <v>0</v>
      </c>
      <c r="H1076" s="35">
        <f>IF(IF(Scharniere[[#This Row],[Anschrauben]]=1,1,IF(Scharniere[[#This Row],[Einpressen]]=1,2,IF(Scharniere[[#This Row],[Quick]]=1,3,IF(Scharniere[[#This Row],[Werkzeuglos]]=1,4,0))))=select!$F$48,1,0)</f>
        <v>0</v>
      </c>
      <c r="I1076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6" s="149">
        <f>IF(AND(Scharniere[[#This Row],[Scharnierart]]=2,Scharniere[[#This Row],[Gruppenschlüssel]]=select!$A$318)=TRUE,1,0)</f>
        <v>0</v>
      </c>
      <c r="K1076" s="221">
        <f ca="1">IF(select!$O$424&lt;6,1,0)</f>
        <v>1</v>
      </c>
      <c r="L1076" s="221">
        <f>IF(select!$A$362=IF(Scharniere[[#This Row],[mit Dämpfung]]=1,1,IF(Scharniere[[#This Row],[ohne Dämpfung]]=1,2,IF(Scharniere[[#This Row],[ohne Feder]]=1,3,0))),1,0)</f>
        <v>1</v>
      </c>
      <c r="M1076" s="135">
        <f>IF(Scharniere[[#This Row],[Bohrbild]]=select!$O$334,1,0)</f>
        <v>0</v>
      </c>
      <c r="N1076" s="135">
        <f>IF(IF(Scharniere[[#This Row],[Anschrauben]]=1,1,IF(Scharniere[[#This Row],[Einpressen]]=1,2,IF(Scharniere[[#This Row],[Quick]]=1,3,IF(Scharniere[[#This Row],[Werkzeuglos]]=1,4,0))))=select!$E$362,1,0)</f>
        <v>1</v>
      </c>
      <c r="O1076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6" s="298">
        <f>IF(AND(Scharniere[[#This Row],[Scharnierart]]=3,Scharniere[[#This Row],[Gruppenschlüssel]]=select!$A$747)=TRUE,1,0)</f>
        <v>0</v>
      </c>
      <c r="Q1076" s="298">
        <f ca="1">IF(select!$O$945&lt;6,1,0)</f>
        <v>1</v>
      </c>
      <c r="R1076" s="298">
        <f>IF(select!$A$778=IF(Scharniere[[#This Row],[mit Dämpfung]]=1,1,IF(Scharniere[[#This Row],[ohne Dämpfung]]=1,2,IF(Scharniere[[#This Row],[ohne Feder]]=1,3,0))),1,0)</f>
        <v>0</v>
      </c>
      <c r="S1076" s="298">
        <f>IF(Scharniere[[#This Row],[Bohrbild]]=select!$A$755,1,0)</f>
        <v>1</v>
      </c>
      <c r="T1076" s="298">
        <f>IF(IF(Scharniere[[#This Row],[Anschrauben]]=1,1,IF(Scharniere[[#This Row],[Einpressen]]=1,2,IF(Scharniere[[#This Row],[Quick]]=1,3,IF(Scharniere[[#This Row],[Werkzeuglos]]=1,4,0))))=select!$A$769,1,0)</f>
        <v>1</v>
      </c>
      <c r="U1076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6" s="359">
        <f>IF(AND(Scharniere[[#This Row],[Scharnierart]]=4,Scharniere[[#This Row],[Gruppenschlüssel]]=select!$A$981)=TRUE,1,0)</f>
        <v>0</v>
      </c>
      <c r="W1076" s="359">
        <f ca="1">IF(select!$O$1185&lt;6,1,0)</f>
        <v>1</v>
      </c>
      <c r="X1076" s="359">
        <f>IF(select!$A$1012=IF(Scharniere[[#This Row],[mit Dämpfung]]=1,1,IF(Scharniere[[#This Row],[ohne Dämpfung]]=1,2,IF(Scharniere[[#This Row],[ohne Feder]]=1,3,0))),1,0)</f>
        <v>0</v>
      </c>
      <c r="Y1076" s="359">
        <f>IF(Scharniere[[#This Row],[Bohrbild]]=select!$A$989,1,0)</f>
        <v>1</v>
      </c>
      <c r="Z1076" s="359">
        <f>IF(IF(Scharniere[[#This Row],[Anschrauben]]=1,1,IF(Scharniere[[#This Row],[Einpressen]]=1,2,IF(Scharniere[[#This Row],[Quick]]=1,3,IF(Scharniere[[#This Row],[Werkzeuglos]]=1,4,0))))=select!$A$1003,1,0)</f>
        <v>1</v>
      </c>
      <c r="AA1076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6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6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6" s="359">
        <f ca="1">IF(select!$K$980="*",Scharniere[[#This Row],[AG Ges2]],Scharniere[[#This Row],[AG Ges1]])</f>
        <v>0</v>
      </c>
      <c r="AE1076" s="451">
        <f ca="1">IF(AND(Scharniere[[#This Row],[Scharnierart]]=select!$A$1485,Scharniere[[#This Row],[Gruppenschlüssel]]=select!$B$1485)=TRUE,1,0)</f>
        <v>0</v>
      </c>
      <c r="AF1076" s="451">
        <f ca="1">IF(AND(Scharniere[[#This Row],[Scharnierart]]=select!$A$1486,Scharniere[[#This Row],[Gruppenschlüssel]]=select!$B$1486)=TRUE,1,0)</f>
        <v>0</v>
      </c>
      <c r="AG1076" s="451">
        <f ca="1">IF(AND(Scharniere[[#This Row],[Scharnierart]]=select!$A$1487,Scharniere[[#This Row],[Gruppenschlüssel]]=select!$B$1487)=TRUE,1,0)</f>
        <v>0</v>
      </c>
      <c r="AH1076" s="451">
        <f ca="1">IF(AND(Scharniere[[#This Row],[Scharnierart]]=select!$A$1488,Scharniere[[#This Row],[Gruppenschlüssel]]=select!$B$1488)=TRUE,1,0)</f>
        <v>0</v>
      </c>
      <c r="AI1076" s="451">
        <f ca="1">IF(SUM(Scharniere[[#This Row],[konf Scharnier 1]:[konf Scharnier 4]])&gt;0,1,0)</f>
        <v>0</v>
      </c>
      <c r="AJ1076" s="451"/>
      <c r="AK1076" s="451"/>
      <c r="AL1076" s="451"/>
      <c r="AM1076" s="451"/>
      <c r="AN1076" s="451"/>
      <c r="AO1076" s="146">
        <v>4</v>
      </c>
      <c r="AP1076" s="146">
        <v>4</v>
      </c>
      <c r="AQ1076" s="71" t="str">
        <f ca="1">Sprache!$A$124</f>
        <v>Tiomos Scharnier TS M0 125°</v>
      </c>
      <c r="AR1076" t="s">
        <v>1740</v>
      </c>
      <c r="AS1076" t="str">
        <f ca="1">Sprache!$A$103</f>
        <v>Tiomos Click-On Scharniere</v>
      </c>
      <c r="AT1076">
        <v>14</v>
      </c>
      <c r="AU1076" t="s">
        <v>1264</v>
      </c>
      <c r="AV1076">
        <v>125</v>
      </c>
      <c r="AW1076" s="71">
        <v>1</v>
      </c>
      <c r="AX1076">
        <v>0</v>
      </c>
      <c r="AY1076">
        <v>0</v>
      </c>
      <c r="AZ1076" s="71">
        <v>1</v>
      </c>
      <c r="BA1076">
        <v>0</v>
      </c>
      <c r="BB1076">
        <v>0</v>
      </c>
      <c r="BC1076">
        <v>0</v>
      </c>
      <c r="BD1076" s="144" t="s">
        <v>1581</v>
      </c>
      <c r="BF1076" s="34"/>
      <c r="BG1076"/>
    </row>
    <row r="1077" spans="1:59" ht="14.25" customHeight="1" x14ac:dyDescent="0.25">
      <c r="A1077" s="37" t="str">
        <f>LEFT(Scharniere[[#This Row],[ArtikelNR]],4)</f>
        <v>F047</v>
      </c>
      <c r="B1077" s="35" t="str">
        <f>MID(Scharniere[[#This Row],[ArtikelNR]],5,3)</f>
        <v>140</v>
      </c>
      <c r="C1077" s="37" t="str">
        <f>RIGHT(Scharniere[[#This Row],[ArtikelNR]],3)</f>
        <v>332</v>
      </c>
      <c r="D1077" s="35">
        <f>IF(AND(Scharniere[[#This Row],[Gruppenschlüssel]]=select!$A$44,Scharniere[[#This Row],[Scharnierart]]=1)=TRUE,1,0)</f>
        <v>0</v>
      </c>
      <c r="E1077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7" s="35">
        <f>IF(select!$F$57=IF(Scharniere[[#This Row],[mit Dämpfung]]=1,1,IF(Scharniere[[#This Row],[ohne Dämpfung]]=1,2,IF(Scharniere[[#This Row],[ohne Feder]]=1,3,0))),1,0)</f>
        <v>0</v>
      </c>
      <c r="G1077" s="35">
        <f>IF(Scharniere[[#This Row],[Bohrbild]]=select!$V$43,1,0)</f>
        <v>0</v>
      </c>
      <c r="H1077" s="35">
        <f>IF(IF(Scharniere[[#This Row],[Anschrauben]]=1,1,IF(Scharniere[[#This Row],[Einpressen]]=1,2,IF(Scharniere[[#This Row],[Quick]]=1,3,IF(Scharniere[[#This Row],[Werkzeuglos]]=1,4,0))))=select!$F$48,1,0)</f>
        <v>0</v>
      </c>
      <c r="I1077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7" s="149">
        <f>IF(AND(Scharniere[[#This Row],[Scharnierart]]=2,Scharniere[[#This Row],[Gruppenschlüssel]]=select!$A$318)=TRUE,1,0)</f>
        <v>0</v>
      </c>
      <c r="K1077" s="221">
        <f ca="1">IF(select!$O$424&lt;6,1,0)</f>
        <v>1</v>
      </c>
      <c r="L1077" s="221">
        <f>IF(select!$A$362=IF(Scharniere[[#This Row],[mit Dämpfung]]=1,1,IF(Scharniere[[#This Row],[ohne Dämpfung]]=1,2,IF(Scharniere[[#This Row],[ohne Feder]]=1,3,0))),1,0)</f>
        <v>0</v>
      </c>
      <c r="M1077" s="135">
        <f>IF(Scharniere[[#This Row],[Bohrbild]]=select!$O$334,1,0)</f>
        <v>0</v>
      </c>
      <c r="N1077" s="135">
        <f>IF(IF(Scharniere[[#This Row],[Anschrauben]]=1,1,IF(Scharniere[[#This Row],[Einpressen]]=1,2,IF(Scharniere[[#This Row],[Quick]]=1,3,IF(Scharniere[[#This Row],[Werkzeuglos]]=1,4,0))))=select!$E$362,1,0)</f>
        <v>1</v>
      </c>
      <c r="O1077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7" s="298">
        <f>IF(AND(Scharniere[[#This Row],[Scharnierart]]=3,Scharniere[[#This Row],[Gruppenschlüssel]]=select!$A$747)=TRUE,1,0)</f>
        <v>0</v>
      </c>
      <c r="Q1077" s="298">
        <f ca="1">IF(select!$O$945&lt;6,1,0)</f>
        <v>1</v>
      </c>
      <c r="R1077" s="298">
        <f>IF(select!$A$778=IF(Scharniere[[#This Row],[mit Dämpfung]]=1,1,IF(Scharniere[[#This Row],[ohne Dämpfung]]=1,2,IF(Scharniere[[#This Row],[ohne Feder]]=1,3,0))),1,0)</f>
        <v>1</v>
      </c>
      <c r="S1077" s="298">
        <f>IF(Scharniere[[#This Row],[Bohrbild]]=select!$A$755,1,0)</f>
        <v>1</v>
      </c>
      <c r="T1077" s="298">
        <f>IF(IF(Scharniere[[#This Row],[Anschrauben]]=1,1,IF(Scharniere[[#This Row],[Einpressen]]=1,2,IF(Scharniere[[#This Row],[Quick]]=1,3,IF(Scharniere[[#This Row],[Werkzeuglos]]=1,4,0))))=select!$A$769,1,0)</f>
        <v>1</v>
      </c>
      <c r="U1077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7" s="359">
        <f>IF(AND(Scharniere[[#This Row],[Scharnierart]]=4,Scharniere[[#This Row],[Gruppenschlüssel]]=select!$A$981)=TRUE,1,0)</f>
        <v>0</v>
      </c>
      <c r="W1077" s="359">
        <f ca="1">IF(select!$O$1185&lt;6,1,0)</f>
        <v>1</v>
      </c>
      <c r="X1077" s="359">
        <f>IF(select!$A$1012=IF(Scharniere[[#This Row],[mit Dämpfung]]=1,1,IF(Scharniere[[#This Row],[ohne Dämpfung]]=1,2,IF(Scharniere[[#This Row],[ohne Feder]]=1,3,0))),1,0)</f>
        <v>1</v>
      </c>
      <c r="Y1077" s="359">
        <f>IF(Scharniere[[#This Row],[Bohrbild]]=select!$A$989,1,0)</f>
        <v>1</v>
      </c>
      <c r="Z1077" s="359">
        <f>IF(IF(Scharniere[[#This Row],[Anschrauben]]=1,1,IF(Scharniere[[#This Row],[Einpressen]]=1,2,IF(Scharniere[[#This Row],[Quick]]=1,3,IF(Scharniere[[#This Row],[Werkzeuglos]]=1,4,0))))=select!$A$1003,1,0)</f>
        <v>1</v>
      </c>
      <c r="AA1077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7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7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7" s="359">
        <f ca="1">IF(select!$K$980="*",Scharniere[[#This Row],[AG Ges2]],Scharniere[[#This Row],[AG Ges1]])</f>
        <v>0</v>
      </c>
      <c r="AE1077" s="451">
        <f ca="1">IF(AND(Scharniere[[#This Row],[Scharnierart]]=select!$A$1485,Scharniere[[#This Row],[Gruppenschlüssel]]=select!$B$1485)=TRUE,1,0)</f>
        <v>0</v>
      </c>
      <c r="AF1077" s="451">
        <f ca="1">IF(AND(Scharniere[[#This Row],[Scharnierart]]=select!$A$1486,Scharniere[[#This Row],[Gruppenschlüssel]]=select!$B$1486)=TRUE,1,0)</f>
        <v>0</v>
      </c>
      <c r="AG1077" s="451">
        <f ca="1">IF(AND(Scharniere[[#This Row],[Scharnierart]]=select!$A$1487,Scharniere[[#This Row],[Gruppenschlüssel]]=select!$B$1487)=TRUE,1,0)</f>
        <v>0</v>
      </c>
      <c r="AH1077" s="451">
        <f ca="1">IF(AND(Scharniere[[#This Row],[Scharnierart]]=select!$A$1488,Scharniere[[#This Row],[Gruppenschlüssel]]=select!$B$1488)=TRUE,1,0)</f>
        <v>0</v>
      </c>
      <c r="AI1077" s="451">
        <f ca="1">IF(SUM(Scharniere[[#This Row],[konf Scharnier 1]:[konf Scharnier 4]])&gt;0,1,0)</f>
        <v>0</v>
      </c>
      <c r="AJ1077" s="451"/>
      <c r="AK1077" s="451"/>
      <c r="AL1077" s="451"/>
      <c r="AM1077" s="451"/>
      <c r="AN1077" s="451"/>
      <c r="AO1077" s="146">
        <v>4</v>
      </c>
      <c r="AP1077" s="146">
        <v>4</v>
      </c>
      <c r="AQ1077" s="71" t="str">
        <f ca="1">Sprache!A120</f>
        <v>Tiomos Scharnier T M0 125°</v>
      </c>
      <c r="AR1077" t="s">
        <v>1740</v>
      </c>
      <c r="AS1077" t="str">
        <f ca="1">Sprache!$A$103</f>
        <v>Tiomos Click-On Scharniere</v>
      </c>
      <c r="AT1077">
        <v>14</v>
      </c>
      <c r="AU1077" s="34" t="s">
        <v>1264</v>
      </c>
      <c r="AV1077">
        <v>125</v>
      </c>
      <c r="AW1077" s="71">
        <v>0</v>
      </c>
      <c r="AX1077">
        <v>1</v>
      </c>
      <c r="AY1077">
        <v>0</v>
      </c>
      <c r="AZ1077" s="71">
        <v>1</v>
      </c>
      <c r="BA1077">
        <v>0</v>
      </c>
      <c r="BB1077">
        <v>0</v>
      </c>
      <c r="BC1077">
        <v>0</v>
      </c>
      <c r="BD1077" s="144" t="s">
        <v>1743</v>
      </c>
      <c r="BF1077" s="34"/>
      <c r="BG1077"/>
    </row>
    <row r="1078" spans="1:59" ht="14.25" customHeight="1" x14ac:dyDescent="0.25">
      <c r="A1078" s="37" t="str">
        <f>LEFT(Scharniere[[#This Row],[ArtikelNR]],4)</f>
        <v>F049</v>
      </c>
      <c r="B1078" s="35" t="str">
        <f>MID(Scharniere[[#This Row],[ArtikelNR]],5,3)</f>
        <v>140</v>
      </c>
      <c r="C1078" s="37" t="str">
        <f>RIGHT(Scharniere[[#This Row],[ArtikelNR]],3)</f>
        <v>333</v>
      </c>
      <c r="D1078" s="35">
        <f>IF(AND(Scharniere[[#This Row],[Gruppenschlüssel]]=select!$A$44,Scharniere[[#This Row],[Scharnierart]]=1)=TRUE,1,0)</f>
        <v>0</v>
      </c>
      <c r="E1078" s="35">
        <f ca="1">IF(select!$F$183=Scharniere[[#This Row],[Kröpfung]],1,IF(select!$F$183=-1000,IF(OR(Scharniere[[#This Row],[Kröpfung]]=select!$G$178,Scharniere[[#This Row],[Kröpfung]]=select!$G$179,Scharniere[[#This Row],[Kröpfung]]=select!$G$180,Scharniere[[#This Row],[Kröpfung]]=select!$G$181)=TRUE,1,0),0))</f>
        <v>0</v>
      </c>
      <c r="F1078" s="35">
        <f>IF(select!$F$57=IF(Scharniere[[#This Row],[mit Dämpfung]]=1,1,IF(Scharniere[[#This Row],[ohne Dämpfung]]=1,2,IF(Scharniere[[#This Row],[ohne Feder]]=1,3,0))),1,0)</f>
        <v>1</v>
      </c>
      <c r="G1078" s="35">
        <f>IF(Scharniere[[#This Row],[Bohrbild]]=select!$V$43,1,0)</f>
        <v>0</v>
      </c>
      <c r="H1078" s="35">
        <f>IF(IF(Scharniere[[#This Row],[Anschrauben]]=1,1,IF(Scharniere[[#This Row],[Einpressen]]=1,2,IF(Scharniere[[#This Row],[Quick]]=1,3,IF(Scharniere[[#This Row],[Werkzeuglos]]=1,4,0))))=select!$F$48,1,0)</f>
        <v>0</v>
      </c>
      <c r="I1078" s="35">
        <f ca="1">IF(Scharniere[[#This Row],[Winkel_sel]]+Scharniere[[#This Row],[Kröpfung_sel]]+Scharniere[[#This Row],[Däpfung_sel]]+Scharniere[[#This Row],[Bohrbild_sel]]+Scharniere[[#This Row],[Scharnierbefestigung]]=5,1,0)</f>
        <v>0</v>
      </c>
      <c r="J1078" s="149">
        <f>IF(AND(Scharniere[[#This Row],[Scharnierart]]=2,Scharniere[[#This Row],[Gruppenschlüssel]]=select!$A$318)=TRUE,1,0)</f>
        <v>0</v>
      </c>
      <c r="K1078" s="221">
        <f ca="1">IF(select!$O$424&lt;6,1,0)</f>
        <v>1</v>
      </c>
      <c r="L1078" s="221">
        <f>IF(select!$A$362=IF(Scharniere[[#This Row],[mit Dämpfung]]=1,1,IF(Scharniere[[#This Row],[ohne Dämpfung]]=1,2,IF(Scharniere[[#This Row],[ohne Feder]]=1,3,0))),1,0)</f>
        <v>0</v>
      </c>
      <c r="M1078" s="135">
        <f>IF(Scharniere[[#This Row],[Bohrbild]]=select!$O$334,1,0)</f>
        <v>0</v>
      </c>
      <c r="N1078" s="135">
        <f>IF(IF(Scharniere[[#This Row],[Anschrauben]]=1,1,IF(Scharniere[[#This Row],[Einpressen]]=1,2,IF(Scharniere[[#This Row],[Quick]]=1,3,IF(Scharniere[[#This Row],[Werkzeuglos]]=1,4,0))))=select!$E$362,1,0)</f>
        <v>1</v>
      </c>
      <c r="O1078" s="135">
        <f ca="1">IF(Scharniere[[#This Row],[montageplatte möglich]]+Scharniere[[#This Row],[Dämpfung_Winkel]]+Scharniere[[#This Row],[Bohrbild_Winkel]]+Scharniere[[#This Row],[Schbefest_Winkel]]+Scharniere[[#This Row],[winkelscharnier]]=5,1,0)</f>
        <v>0</v>
      </c>
      <c r="P1078" s="298">
        <f>IF(AND(Scharniere[[#This Row],[Scharnierart]]=3,Scharniere[[#This Row],[Gruppenschlüssel]]=select!$A$747)=TRUE,1,0)</f>
        <v>0</v>
      </c>
      <c r="Q1078" s="298">
        <f ca="1">IF(select!$O$945&lt;6,1,0)</f>
        <v>1</v>
      </c>
      <c r="R1078" s="298">
        <f>IF(select!$A$778=IF(Scharniere[[#This Row],[mit Dämpfung]]=1,1,IF(Scharniere[[#This Row],[ohne Dämpfung]]=1,2,IF(Scharniere[[#This Row],[ohne Feder]]=1,3,0))),1,0)</f>
        <v>0</v>
      </c>
      <c r="S1078" s="298">
        <f>IF(Scharniere[[#This Row],[Bohrbild]]=select!$A$755,1,0)</f>
        <v>1</v>
      </c>
      <c r="T1078" s="298">
        <f>IF(IF(Scharniere[[#This Row],[Anschrauben]]=1,1,IF(Scharniere[[#This Row],[Einpressen]]=1,2,IF(Scharniere[[#This Row],[Quick]]=1,3,IF(Scharniere[[#This Row],[Werkzeuglos]]=1,4,0))))=select!$A$769,1,0)</f>
        <v>1</v>
      </c>
      <c r="U1078" s="298">
        <f ca="1">IF(Scharniere[[#This Row],[Spezialscharnier]]+Scharniere[[#This Row],[mpl spezial mögl]]+Scharniere[[#This Row],[spezial dämpf]]+Scharniere[[#This Row],[spezial bohrbild]]+Scharniere[[#This Row],[spezial befest]]=5,1,0)</f>
        <v>0</v>
      </c>
      <c r="V1078" s="359">
        <f>IF(AND(Scharniere[[#This Row],[Scharnierart]]=4,Scharniere[[#This Row],[Gruppenschlüssel]]=select!$A$981)=TRUE,1,0)</f>
        <v>0</v>
      </c>
      <c r="W1078" s="359">
        <f ca="1">IF(select!$O$1185&lt;6,1,0)</f>
        <v>1</v>
      </c>
      <c r="X1078" s="359">
        <f>IF(select!$A$1012=IF(Scharniere[[#This Row],[mit Dämpfung]]=1,1,IF(Scharniere[[#This Row],[ohne Dämpfung]]=1,2,IF(Scharniere[[#This Row],[ohne Feder]]=1,3,0))),1,0)</f>
        <v>0</v>
      </c>
      <c r="Y1078" s="359">
        <f>IF(Scharniere[[#This Row],[Bohrbild]]=select!$A$989,1,0)</f>
        <v>1</v>
      </c>
      <c r="Z1078" s="359">
        <f>IF(IF(Scharniere[[#This Row],[Anschrauben]]=1,1,IF(Scharniere[[#This Row],[Einpressen]]=1,2,IF(Scharniere[[#This Row],[Quick]]=1,3,IF(Scharniere[[#This Row],[Werkzeuglos]]=1,4,0))))=select!$A$1003,1,0)</f>
        <v>1</v>
      </c>
      <c r="AA1078" s="361">
        <f ca="1">IF(select!$F$1326=Scharniere[[#This Row],[Kröpfung]],1,IF(select!$F$1326=-1000,IF(OR(Scharniere[[#This Row],[Kröpfung]]=select!$G$1321,Scharniere[[#This Row],[Kröpfung]]=select!$G$1322,Scharniere[[#This Row],[Kröpfung]]=select!$G$1323,Scharniere[[#This Row],[Kröpfung]]=select!$G$1324)=TRUE,1,0),0))</f>
        <v>0</v>
      </c>
      <c r="AB1078" s="359">
        <f ca="1">IF(Scharniere[[#This Row],[AG Scharnier]]+Scharniere[[#This Row],[AG MPL Möglich]]+Scharniere[[#This Row],[AG Dämpfung]]+Scharniere[[#This Row],[AG Bohrbild]]+Scharniere[[#This Row],[AG Befest]]=5,1,0)</f>
        <v>0</v>
      </c>
      <c r="AC1078" s="361">
        <f ca="1">IF(Scharniere[[#This Row],[AG Scharnier]]+Scharniere[[#This Row],[AG MPL Möglich]]+Scharniere[[#This Row],[AG Kröpfung]]+Scharniere[[#This Row],[AG Dämpfung]]+Scharniere[[#This Row],[AG Bohrbild]]+Scharniere[[#This Row],[AG Befest]]=6,1,0)</f>
        <v>0</v>
      </c>
      <c r="AD1078" s="359">
        <f ca="1">IF(select!$K$980="*",Scharniere[[#This Row],[AG Ges2]],Scharniere[[#This Row],[AG Ges1]])</f>
        <v>0</v>
      </c>
      <c r="AE1078" s="451">
        <f ca="1">IF(AND(Scharniere[[#This Row],[Scharnierart]]=select!$A$1485,Scharniere[[#This Row],[Gruppenschlüssel]]=select!$B$1485)=TRUE,1,0)</f>
        <v>0</v>
      </c>
      <c r="AF1078" s="451">
        <f ca="1">IF(AND(Scharniere[[#This Row],[Scharnierart]]=select!$A$1486,Scharniere[[#This Row],[Gruppenschlüssel]]=select!$B$1486)=TRUE,1,0)</f>
        <v>0</v>
      </c>
      <c r="AG1078" s="451">
        <f ca="1">IF(AND(Scharniere[[#This Row],[Scharnierart]]=select!$A$1487,Scharniere[[#This Row],[Gruppenschlüssel]]=select!$B$1487)=TRUE,1,0)</f>
        <v>0</v>
      </c>
      <c r="AH1078" s="451">
        <f ca="1">IF(AND(Scharniere[[#This Row],[Scharnierart]]=select!$A$1488,Scharniere[[#This Row],[Gruppenschlüssel]]=select!$B$1488)=TRUE,1,0)</f>
        <v>0</v>
      </c>
      <c r="AI1078" s="451">
        <f ca="1">IF(SUM(Scharniere[[#This Row],[konf Scharnier 1]:[konf Scharnier 4]])&gt;0,1,0)</f>
        <v>0</v>
      </c>
      <c r="AJ1078" s="451"/>
      <c r="AK1078" s="451"/>
      <c r="AL1078" s="451"/>
      <c r="AM1078" s="451"/>
      <c r="AN1078" s="451"/>
      <c r="AO1078" s="146">
        <v>4</v>
      </c>
      <c r="AP1078" s="146">
        <v>4</v>
      </c>
      <c r="AQ1078" s="71" t="str">
        <f ca="1">Sprache!A127</f>
        <v>Tiomos Scharnier TT M0 125°</v>
      </c>
      <c r="AR1078" t="s">
        <v>1740</v>
      </c>
      <c r="AS1078" t="str">
        <f ca="1">Sprache!$A$103</f>
        <v>Tiomos Click-On Scharniere</v>
      </c>
      <c r="AT1078">
        <v>14</v>
      </c>
      <c r="AU1078" t="s">
        <v>1264</v>
      </c>
      <c r="AV1078">
        <v>125</v>
      </c>
      <c r="AW1078" s="71">
        <v>0</v>
      </c>
      <c r="AX1078">
        <v>0</v>
      </c>
      <c r="AY1078">
        <v>1</v>
      </c>
      <c r="AZ1078" s="71">
        <v>1</v>
      </c>
      <c r="BA1078">
        <v>0</v>
      </c>
      <c r="BB1078">
        <v>0</v>
      </c>
      <c r="BC1078">
        <v>0</v>
      </c>
      <c r="BD1078" s="144" t="s">
        <v>1751</v>
      </c>
      <c r="BF1078" s="34"/>
      <c r="BG1078"/>
    </row>
    <row r="1079" spans="1:59" ht="14.25" customHeight="1" x14ac:dyDescent="0.25">
      <c r="A1079" s="832" t="s">
        <v>880</v>
      </c>
      <c r="B1079" s="833"/>
      <c r="C1079" s="832"/>
      <c r="D1079" s="833"/>
      <c r="E1079" s="833"/>
      <c r="F1079" s="833"/>
      <c r="G1079" s="833"/>
      <c r="H1079" s="833"/>
      <c r="I1079" s="833"/>
      <c r="J1079" s="834"/>
      <c r="K1079" s="834"/>
      <c r="L1079" s="835"/>
      <c r="M1079" s="836"/>
      <c r="N1079" s="836"/>
      <c r="O1079" s="836"/>
      <c r="P1079" s="837"/>
      <c r="Q1079" s="837"/>
      <c r="R1079" s="837"/>
      <c r="S1079" s="837"/>
      <c r="T1079" s="837"/>
      <c r="U1079" s="837"/>
      <c r="V1079" s="838"/>
      <c r="W1079" s="838"/>
      <c r="X1079" s="838"/>
      <c r="Y1079" s="838"/>
      <c r="Z1079" s="838"/>
      <c r="AA1079" s="839"/>
      <c r="AB1079" s="838"/>
      <c r="AC1079" s="839"/>
      <c r="AD1079" s="838"/>
      <c r="AE1079" s="840"/>
      <c r="AF1079" s="840"/>
      <c r="AG1079" s="840"/>
      <c r="AH1079" s="840"/>
      <c r="AI1079" s="840"/>
      <c r="AJ1079" s="841"/>
      <c r="AK1079" s="841"/>
      <c r="AL1079" s="841"/>
      <c r="AM1079" s="841"/>
      <c r="AN1079" s="841"/>
      <c r="AO1079" s="842"/>
      <c r="AP1079" s="842"/>
      <c r="AQ1079" s="71"/>
      <c r="AR1079"/>
      <c r="AS1079"/>
      <c r="AT1079"/>
      <c r="AW1079" s="71"/>
      <c r="AX1079"/>
      <c r="AZ1079" s="71"/>
      <c r="BC1079"/>
      <c r="BD1079" s="843">
        <f>SUBTOTAL(103,Scharniere[ArtikelNR])</f>
        <v>1077</v>
      </c>
      <c r="BG1079"/>
    </row>
  </sheetData>
  <pageMargins left="0.7" right="0.7" top="0.78740157499999996" bottom="0.78740157499999996" header="0.3" footer="0.3"/>
  <pageSetup paperSize="9" orientation="portrait" horizontalDpi="0" verticalDpi="0" r:id="rId1"/>
  <legacy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61">
    <tabColor rgb="FF92D050"/>
  </sheetPr>
  <dimension ref="A1:BJ113"/>
  <sheetViews>
    <sheetView workbookViewId="0">
      <selection activeCell="AA8" sqref="AA8"/>
    </sheetView>
  </sheetViews>
  <sheetFormatPr baseColWidth="10" defaultRowHeight="13.5" customHeight="1" outlineLevelCol="1" x14ac:dyDescent="0.25"/>
  <cols>
    <col min="1" max="1" width="5.7109375" style="24" customWidth="1"/>
    <col min="2" max="2" width="4" bestFit="1" customWidth="1"/>
    <col min="3" max="3" width="4" style="24" customWidth="1"/>
    <col min="4" max="4" width="4" style="19" customWidth="1" outlineLevel="1"/>
    <col min="5" max="5" width="3.5703125" style="19" customWidth="1" outlineLevel="1"/>
    <col min="6" max="6" width="1.140625" style="19" customWidth="1" outlineLevel="1"/>
    <col min="7" max="7" width="3.28515625" style="19" customWidth="1" outlineLevel="1"/>
    <col min="8" max="8" width="3.42578125" style="19" customWidth="1" outlineLevel="1"/>
    <col min="9" max="12" width="3.28515625" style="19" customWidth="1" outlineLevel="1"/>
    <col min="13" max="13" width="3.5703125" style="19" customWidth="1" outlineLevel="1"/>
    <col min="14" max="14" width="3.28515625" style="33" customWidth="1" outlineLevel="1"/>
    <col min="15" max="15" width="4.28515625" style="67" customWidth="1" outlineLevel="1"/>
    <col min="16" max="16" width="3.28515625" style="81" customWidth="1" outlineLevel="1"/>
    <col min="17" max="18" width="3.28515625" style="67" customWidth="1" outlineLevel="1"/>
    <col min="19" max="19" width="4.42578125" style="67" customWidth="1" outlineLevel="1"/>
    <col min="20" max="20" width="3" style="295" customWidth="1" outlineLevel="1"/>
    <col min="21" max="27" width="3" style="67" customWidth="1" outlineLevel="1"/>
    <col min="28" max="29" width="3.140625" style="67" customWidth="1" outlineLevel="1"/>
    <col min="30" max="30" width="3" style="67" customWidth="1" outlineLevel="1"/>
    <col min="31" max="31" width="4.28515625" style="67" customWidth="1" outlineLevel="1"/>
    <col min="32" max="41" width="3" style="67" customWidth="1" outlineLevel="1"/>
    <col min="42" max="42" width="35.28515625" style="67" customWidth="1"/>
    <col min="43" max="43" width="30.28515625" style="26" customWidth="1"/>
    <col min="44" max="44" width="27.28515625" bestFit="1" customWidth="1"/>
    <col min="45" max="45" width="27" bestFit="1" customWidth="1"/>
    <col min="46" max="46" width="3.28515625" style="18" customWidth="1"/>
    <col min="47" max="47" width="3.7109375" style="18" bestFit="1" customWidth="1"/>
    <col min="48" max="49" width="3.7109375" style="18" customWidth="1"/>
    <col min="50" max="53" width="3.7109375" style="2" bestFit="1" customWidth="1"/>
    <col min="54" max="55" width="3.7109375" style="2" customWidth="1"/>
    <col min="56" max="56" width="3.7109375" style="2" bestFit="1" customWidth="1"/>
    <col min="57" max="58" width="3.7109375" bestFit="1" customWidth="1"/>
    <col min="59" max="61" width="3.7109375" customWidth="1"/>
    <col min="62" max="62" width="3.7109375" bestFit="1" customWidth="1"/>
    <col min="63" max="63" width="14.42578125" customWidth="1"/>
    <col min="64" max="64" width="2.7109375" customWidth="1"/>
  </cols>
  <sheetData>
    <row r="1" spans="1:62" s="17" customFormat="1" ht="147" customHeight="1" x14ac:dyDescent="0.25">
      <c r="A1" s="23" t="s">
        <v>869</v>
      </c>
      <c r="B1" s="17" t="s">
        <v>870</v>
      </c>
      <c r="C1" s="23" t="s">
        <v>871</v>
      </c>
      <c r="D1" s="27" t="s">
        <v>1376</v>
      </c>
      <c r="E1" s="27" t="s">
        <v>873</v>
      </c>
      <c r="F1" s="27" t="s">
        <v>894</v>
      </c>
      <c r="G1" s="27" t="s">
        <v>2252</v>
      </c>
      <c r="H1" s="27" t="s">
        <v>878</v>
      </c>
      <c r="I1" s="27" t="s">
        <v>874</v>
      </c>
      <c r="J1" s="27" t="s">
        <v>875</v>
      </c>
      <c r="K1" s="27" t="s">
        <v>876</v>
      </c>
      <c r="L1" s="27" t="s">
        <v>877</v>
      </c>
      <c r="M1" s="27" t="s">
        <v>1345</v>
      </c>
      <c r="N1" s="32" t="s">
        <v>879</v>
      </c>
      <c r="O1" s="128" t="s">
        <v>1422</v>
      </c>
      <c r="P1" s="169" t="s">
        <v>1435</v>
      </c>
      <c r="Q1" s="128" t="s">
        <v>1434</v>
      </c>
      <c r="R1" s="128" t="s">
        <v>1485</v>
      </c>
      <c r="S1" s="128" t="s">
        <v>1436</v>
      </c>
      <c r="T1" s="294" t="s">
        <v>1825</v>
      </c>
      <c r="U1" s="293" t="s">
        <v>1826</v>
      </c>
      <c r="V1" s="293" t="s">
        <v>1827</v>
      </c>
      <c r="W1" s="293" t="s">
        <v>1828</v>
      </c>
      <c r="X1" s="293" t="s">
        <v>1829</v>
      </c>
      <c r="Y1" s="352" t="s">
        <v>1870</v>
      </c>
      <c r="Z1" s="352" t="s">
        <v>1871</v>
      </c>
      <c r="AA1" s="352" t="s">
        <v>1872</v>
      </c>
      <c r="AB1" s="352" t="s">
        <v>1873</v>
      </c>
      <c r="AC1" s="352" t="s">
        <v>1888</v>
      </c>
      <c r="AD1" s="352" t="s">
        <v>1874</v>
      </c>
      <c r="AE1" s="352" t="s">
        <v>1875</v>
      </c>
      <c r="AF1" s="352" t="s">
        <v>1877</v>
      </c>
      <c r="AG1" s="352" t="s">
        <v>1878</v>
      </c>
      <c r="AH1" s="352" t="s">
        <v>1889</v>
      </c>
      <c r="AI1" s="352" t="s">
        <v>1890</v>
      </c>
      <c r="AJ1" s="352" t="s">
        <v>1876</v>
      </c>
      <c r="AK1" s="455" t="s">
        <v>2058</v>
      </c>
      <c r="AL1" s="455" t="s">
        <v>2059</v>
      </c>
      <c r="AM1" s="455" t="s">
        <v>2060</v>
      </c>
      <c r="AN1" s="455" t="s">
        <v>2125</v>
      </c>
      <c r="AO1" s="455" t="s">
        <v>2126</v>
      </c>
      <c r="AP1" s="25" t="s">
        <v>54</v>
      </c>
      <c r="AQ1" s="12" t="s">
        <v>55</v>
      </c>
      <c r="AR1" s="12" t="s">
        <v>56</v>
      </c>
      <c r="AS1" s="28" t="s">
        <v>52</v>
      </c>
      <c r="AT1" s="28" t="s">
        <v>51</v>
      </c>
      <c r="AU1" s="28" t="s">
        <v>1360</v>
      </c>
      <c r="AV1" s="28" t="s">
        <v>1373</v>
      </c>
      <c r="AW1" s="29" t="s">
        <v>727</v>
      </c>
      <c r="AX1" s="29" t="s">
        <v>728</v>
      </c>
      <c r="AY1" s="29" t="s">
        <v>729</v>
      </c>
      <c r="AZ1" s="29" t="s">
        <v>730</v>
      </c>
      <c r="BA1" s="29" t="s">
        <v>731</v>
      </c>
      <c r="BB1" s="29" t="s">
        <v>2312</v>
      </c>
      <c r="BC1" s="29" t="s">
        <v>2313</v>
      </c>
      <c r="BD1" s="15" t="s">
        <v>40</v>
      </c>
      <c r="BE1" s="15" t="s">
        <v>41</v>
      </c>
      <c r="BF1" s="15" t="s">
        <v>1358</v>
      </c>
      <c r="BG1" s="15" t="s">
        <v>1361</v>
      </c>
      <c r="BH1" s="85" t="s">
        <v>1370</v>
      </c>
      <c r="BI1" s="16" t="s">
        <v>42</v>
      </c>
      <c r="BJ1" s="14" t="s">
        <v>726</v>
      </c>
    </row>
    <row r="2" spans="1:62" ht="13.5" customHeight="1" x14ac:dyDescent="0.25">
      <c r="A2" s="24" t="str">
        <f t="shared" ref="A2:A33" si="0">LEFT(BJ2,4)</f>
        <v>F058</v>
      </c>
      <c r="B2" t="str">
        <f t="shared" ref="B2:B33" si="1">MID(BJ2,5,3)</f>
        <v>139</v>
      </c>
      <c r="C2" s="24" t="str">
        <f t="shared" ref="C2:C33" si="2">RIGHT(BJ2,3)</f>
        <v>720</v>
      </c>
      <c r="D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2" s="19">
        <f>IF(Montageplatten[[#This Row],[37/32]]=1,1,IF(Montageplatten[[#This Row],[28/32]]=1,2,0))</f>
        <v>1</v>
      </c>
      <c r="G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2" s="19">
        <f>IF(Montageplatten[[#This Row],[Typ]]+Montageplatten[[#This Row],[Befestigung]]=2,1,0)</f>
        <v>1</v>
      </c>
      <c r="I2" s="19">
        <f>IF(Montageplatten[[#This Row],[Randbedingungen]]+IF(Montageplatten[[#This Row],[Höhe]]=select!$B$70,1,0)=2,1,0)</f>
        <v>0</v>
      </c>
      <c r="J2" s="19">
        <f>IF(Montageplatten[[#This Row],[Randbedingungen]]+IF(Montageplatten[[#This Row],[Höhe]]=select!$D$70,1,0)=2,1,0)</f>
        <v>0</v>
      </c>
      <c r="K2" s="19">
        <f>IF(Montageplatten[[#This Row],[Randbedingungen]]+IF(Montageplatten[[#This Row],[Höhe]]=select!$F$70,1,0)=2,1,0)</f>
        <v>0</v>
      </c>
      <c r="L2" s="19">
        <f>IF(Montageplatten[[#This Row],[Randbedingungen]]+IF(Montageplatten[[#This Row],[Höhe]]=select!$H$70,1,0)=2,1,0)</f>
        <v>0</v>
      </c>
      <c r="M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" s="67">
        <f>IF(select!$M$317=Montageplatten[[#This Row],[Höhe]],1,0)</f>
        <v>1</v>
      </c>
      <c r="P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2" s="67">
        <f>IF(Montageplatten[[#This Row],[Typ_winkel]]+Montageplatten[[#This Row],[Befest_Winkel]]=2,1,0)</f>
        <v>1</v>
      </c>
      <c r="S2" s="67">
        <f>IF(Montageplatten[[#This Row],[MPH Winkel]]+Montageplatten[[#This Row],[Typ_winkel]]+Montageplatten[[#This Row],[Befest_Winkel]]=3,1,0)</f>
        <v>1</v>
      </c>
      <c r="T2" s="295">
        <f ca="1">IF(select!$M$746=Montageplatten[[#This Row],[Höhe]],1,0)</f>
        <v>0</v>
      </c>
      <c r="U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2" s="67">
        <f>IF(Montageplatten[[#This Row],[Typ Spezial]]+Montageplatten[[#This Row],[Befest Spezial]]=2,1,0)</f>
        <v>1</v>
      </c>
      <c r="X2" s="67">
        <f ca="1">IF(Montageplatten[[#This Row],[MPH Spezial]]+Montageplatten[[#This Row],[Typ Spezial]]+Montageplatten[[#This Row],[Befest Spezial]]=3,1,0)</f>
        <v>0</v>
      </c>
      <c r="Y2" s="67" t="e">
        <f ca="1">IF(Montageplatten[[#This Row],[AG Rand]]+IF(Montageplatten[[#This Row],[Höhe]]=select!$C$1212,1,0)=2,1,0)</f>
        <v>#VALUE!</v>
      </c>
      <c r="Z2" s="67" t="e">
        <f ca="1">IF(Montageplatten[[#This Row],[AG Rand]]+IF(Montageplatten[[#This Row],[Höhe]]=select!$E$1212,1,0)=2,1,0)</f>
        <v>#VALUE!</v>
      </c>
      <c r="AA2" s="67" t="e">
        <f ca="1">IF(Montageplatten[[#This Row],[AG Rand]]+IF(Montageplatten[[#This Row],[Höhe]]=select!$G$1212,1,0)=2,1,0)</f>
        <v>#VALUE!</v>
      </c>
      <c r="AB2" s="67" t="e">
        <f ca="1">IF(Montageplatten[[#This Row],[AG Rand]]+IF(Montageplatten[[#This Row],[Höhe]]=select!$I$1212,1,0)=2,1,0)</f>
        <v>#VALUE!</v>
      </c>
      <c r="AC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2" s="67">
        <f>IF(Montageplatten[[#This Row],[AG Typ]]+Montageplatten[[#This Row],[AG Bef]]=2,1,0)</f>
        <v>1</v>
      </c>
      <c r="AG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" s="67">
        <f ca="1">IF(Montageplatten[[#This Row],[AG MPH]]+Montageplatten[[#This Row],[AG Typ]]+Montageplatten[[#This Row],[AG Bef]]=3,1,0)</f>
        <v>0</v>
      </c>
      <c r="AJ2" s="67">
        <f ca="1">IF(select!$K$980="*",Montageplatten[[#This Row],[AG Ges2]],Montageplatten[[#This Row],[AG Ges1]])</f>
        <v>0</v>
      </c>
      <c r="AK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2" s="67">
        <f>IF(Montageplatten[[#This Row],[konf Typ]]+Montageplatten[[#This Row],[konf Befest]]=2,1,0)</f>
        <v>1</v>
      </c>
      <c r="AN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" s="67">
        <f ca="1">IF(Montageplatten[[#This Row],[konf Rahmenbed]]+Montageplatten[[#This Row],[konf MPH]]=2,1,0)</f>
        <v>0</v>
      </c>
      <c r="AP2" s="26" t="str">
        <f ca="1">Sprache!$A$137</f>
        <v>Eco Kreuz Mtg-Platte</v>
      </c>
      <c r="AQ2" t="s">
        <v>734</v>
      </c>
      <c r="AR2" t="str">
        <f ca="1">Sprache!$A$134</f>
        <v>Tiomos Montageplatten</v>
      </c>
      <c r="AS2" s="18">
        <v>1</v>
      </c>
      <c r="AT2" s="18">
        <v>0</v>
      </c>
      <c r="AU2" s="18">
        <v>0</v>
      </c>
      <c r="AV2" s="18">
        <v>0</v>
      </c>
      <c r="AW2" s="2">
        <v>0</v>
      </c>
      <c r="AX2" s="2">
        <v>1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-2</v>
      </c>
      <c r="BJ2" s="11" t="s">
        <v>732</v>
      </c>
    </row>
    <row r="3" spans="1:62" ht="13.5" customHeight="1" x14ac:dyDescent="0.25">
      <c r="A3" s="24" t="str">
        <f t="shared" si="0"/>
        <v>F058</v>
      </c>
      <c r="B3" t="str">
        <f t="shared" si="1"/>
        <v>139</v>
      </c>
      <c r="C3" s="24" t="str">
        <f t="shared" si="2"/>
        <v>725</v>
      </c>
      <c r="D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" s="19">
        <f>IF(Montageplatten[[#This Row],[37/32]]=1,1,IF(Montageplatten[[#This Row],[28/32]]=1,2,0))</f>
        <v>1</v>
      </c>
      <c r="G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" s="19">
        <f>IF(Montageplatten[[#This Row],[Typ]]+Montageplatten[[#This Row],[Befestigung]]=2,1,0)</f>
        <v>0</v>
      </c>
      <c r="I3" s="19">
        <f>IF(Montageplatten[[#This Row],[Randbedingungen]]+IF(Montageplatten[[#This Row],[Höhe]]=select!$B$70,1,0)=2,1,0)</f>
        <v>0</v>
      </c>
      <c r="J3" s="19">
        <f>IF(Montageplatten[[#This Row],[Randbedingungen]]+IF(Montageplatten[[#This Row],[Höhe]]=select!$D$70,1,0)=2,1,0)</f>
        <v>0</v>
      </c>
      <c r="K3" s="19">
        <f>IF(Montageplatten[[#This Row],[Randbedingungen]]+IF(Montageplatten[[#This Row],[Höhe]]=select!$F$70,1,0)=2,1,0)</f>
        <v>0</v>
      </c>
      <c r="L3" s="19">
        <f>IF(Montageplatten[[#This Row],[Randbedingungen]]+IF(Montageplatten[[#This Row],[Höhe]]=select!$H$70,1,0)=2,1,0)</f>
        <v>0</v>
      </c>
      <c r="M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" s="67">
        <f>IF(select!$M$317=Montageplatten[[#This Row],[Höhe]],1,0)</f>
        <v>1</v>
      </c>
      <c r="P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" s="67">
        <f>IF(Montageplatten[[#This Row],[Typ_winkel]]+Montageplatten[[#This Row],[Befest_Winkel]]=2,1,0)</f>
        <v>0</v>
      </c>
      <c r="S3" s="67">
        <f>IF(Montageplatten[[#This Row],[MPH Winkel]]+Montageplatten[[#This Row],[Typ_winkel]]+Montageplatten[[#This Row],[Befest_Winkel]]=3,1,0)</f>
        <v>0</v>
      </c>
      <c r="T3" s="295">
        <f ca="1">IF(select!$M$746=Montageplatten[[#This Row],[Höhe]],1,0)</f>
        <v>0</v>
      </c>
      <c r="U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" s="67">
        <f>IF(Montageplatten[[#This Row],[Typ Spezial]]+Montageplatten[[#This Row],[Befest Spezial]]=2,1,0)</f>
        <v>0</v>
      </c>
      <c r="X3" s="67">
        <f ca="1">IF(Montageplatten[[#This Row],[MPH Spezial]]+Montageplatten[[#This Row],[Typ Spezial]]+Montageplatten[[#This Row],[Befest Spezial]]=3,1,0)</f>
        <v>0</v>
      </c>
      <c r="Y3" s="67" t="e">
        <f ca="1">IF(Montageplatten[[#This Row],[AG Rand]]+IF(Montageplatten[[#This Row],[Höhe]]=select!$C$1212,1,0)=2,1,0)</f>
        <v>#VALUE!</v>
      </c>
      <c r="Z3" s="67" t="e">
        <f ca="1">IF(Montageplatten[[#This Row],[AG Rand]]+IF(Montageplatten[[#This Row],[Höhe]]=select!$E$1212,1,0)=2,1,0)</f>
        <v>#VALUE!</v>
      </c>
      <c r="AA3" s="67" t="e">
        <f ca="1">IF(Montageplatten[[#This Row],[AG Rand]]+IF(Montageplatten[[#This Row],[Höhe]]=select!$G$1212,1,0)=2,1,0)</f>
        <v>#VALUE!</v>
      </c>
      <c r="AB3" s="67" t="e">
        <f ca="1">IF(Montageplatten[[#This Row],[AG Rand]]+IF(Montageplatten[[#This Row],[Höhe]]=select!$I$1212,1,0)=2,1,0)</f>
        <v>#VALUE!</v>
      </c>
      <c r="AC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" s="67">
        <f>IF(Montageplatten[[#This Row],[AG Typ]]+Montageplatten[[#This Row],[AG Bef]]=2,1,0)</f>
        <v>0</v>
      </c>
      <c r="AG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" s="67">
        <f ca="1">IF(Montageplatten[[#This Row],[AG MPH]]+Montageplatten[[#This Row],[AG Typ]]+Montageplatten[[#This Row],[AG Bef]]=3,1,0)</f>
        <v>0</v>
      </c>
      <c r="AJ3" s="67">
        <f ca="1">IF(select!$K$980="*",Montageplatten[[#This Row],[AG Ges2]],Montageplatten[[#This Row],[AG Ges1]])</f>
        <v>0</v>
      </c>
      <c r="AK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" s="67">
        <f>IF(Montageplatten[[#This Row],[konf Typ]]+Montageplatten[[#This Row],[konf Befest]]=2,1,0)</f>
        <v>0</v>
      </c>
      <c r="AN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" s="67">
        <f ca="1">IF(Montageplatten[[#This Row],[konf Rahmenbed]]+Montageplatten[[#This Row],[konf MPH]]=2,1,0)</f>
        <v>0</v>
      </c>
      <c r="AP3" s="26" t="str">
        <f ca="1">Sprache!$A$137</f>
        <v>Eco Kreuz Mtg-Platte</v>
      </c>
      <c r="AQ3" t="s">
        <v>744</v>
      </c>
      <c r="AR3" t="str">
        <f ca="1">Sprache!$A$134</f>
        <v>Tiomos Montageplatten</v>
      </c>
      <c r="AS3" s="18">
        <v>1</v>
      </c>
      <c r="AT3" s="18">
        <v>0</v>
      </c>
      <c r="AU3" s="18">
        <v>0</v>
      </c>
      <c r="AV3" s="18">
        <v>0</v>
      </c>
      <c r="AW3" s="2">
        <v>1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-2</v>
      </c>
      <c r="BJ3" s="861" t="s">
        <v>743</v>
      </c>
    </row>
    <row r="4" spans="1:62" ht="13.5" customHeight="1" x14ac:dyDescent="0.25">
      <c r="A4" s="24" t="str">
        <f t="shared" si="0"/>
        <v>F058</v>
      </c>
      <c r="B4" t="str">
        <f t="shared" si="1"/>
        <v>139</v>
      </c>
      <c r="C4" s="24" t="str">
        <f t="shared" si="2"/>
        <v>735</v>
      </c>
      <c r="D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" s="19">
        <f>IF(Montageplatten[[#This Row],[37/32]]=1,1,IF(Montageplatten[[#This Row],[28/32]]=1,2,0))</f>
        <v>1</v>
      </c>
      <c r="G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" s="19">
        <f>IF(Montageplatten[[#This Row],[Typ]]+Montageplatten[[#This Row],[Befestigung]]=2,1,0)</f>
        <v>0</v>
      </c>
      <c r="I4" s="19">
        <f>IF(Montageplatten[[#This Row],[Randbedingungen]]+IF(Montageplatten[[#This Row],[Höhe]]=select!$B$70,1,0)=2,1,0)</f>
        <v>0</v>
      </c>
      <c r="J4" s="19">
        <f>IF(Montageplatten[[#This Row],[Randbedingungen]]+IF(Montageplatten[[#This Row],[Höhe]]=select!$D$70,1,0)=2,1,0)</f>
        <v>0</v>
      </c>
      <c r="K4" s="19">
        <f>IF(Montageplatten[[#This Row],[Randbedingungen]]+IF(Montageplatten[[#This Row],[Höhe]]=select!$F$70,1,0)=2,1,0)</f>
        <v>0</v>
      </c>
      <c r="L4" s="19">
        <f>IF(Montageplatten[[#This Row],[Randbedingungen]]+IF(Montageplatten[[#This Row],[Höhe]]=select!$H$70,1,0)=2,1,0)</f>
        <v>0</v>
      </c>
      <c r="M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" s="67">
        <f>IF(select!$M$317=Montageplatten[[#This Row],[Höhe]],1,0)</f>
        <v>1</v>
      </c>
      <c r="P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" s="67">
        <f>IF(Montageplatten[[#This Row],[Typ_winkel]]+Montageplatten[[#This Row],[Befest_Winkel]]=2,1,0)</f>
        <v>0</v>
      </c>
      <c r="S4" s="67">
        <f>IF(Montageplatten[[#This Row],[MPH Winkel]]+Montageplatten[[#This Row],[Typ_winkel]]+Montageplatten[[#This Row],[Befest_Winkel]]=3,1,0)</f>
        <v>0</v>
      </c>
      <c r="T4" s="295">
        <f ca="1">IF(select!$M$746=Montageplatten[[#This Row],[Höhe]],1,0)</f>
        <v>0</v>
      </c>
      <c r="U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" s="67">
        <f>IF(Montageplatten[[#This Row],[Typ Spezial]]+Montageplatten[[#This Row],[Befest Spezial]]=2,1,0)</f>
        <v>0</v>
      </c>
      <c r="X4" s="67">
        <f ca="1">IF(Montageplatten[[#This Row],[MPH Spezial]]+Montageplatten[[#This Row],[Typ Spezial]]+Montageplatten[[#This Row],[Befest Spezial]]=3,1,0)</f>
        <v>0</v>
      </c>
      <c r="Y4" s="67" t="e">
        <f ca="1">IF(Montageplatten[[#This Row],[AG Rand]]+IF(Montageplatten[[#This Row],[Höhe]]=select!$C$1212,1,0)=2,1,0)</f>
        <v>#VALUE!</v>
      </c>
      <c r="Z4" s="67" t="e">
        <f ca="1">IF(Montageplatten[[#This Row],[AG Rand]]+IF(Montageplatten[[#This Row],[Höhe]]=select!$E$1212,1,0)=2,1,0)</f>
        <v>#VALUE!</v>
      </c>
      <c r="AA4" s="67" t="e">
        <f ca="1">IF(Montageplatten[[#This Row],[AG Rand]]+IF(Montageplatten[[#This Row],[Höhe]]=select!$G$1212,1,0)=2,1,0)</f>
        <v>#VALUE!</v>
      </c>
      <c r="AB4" s="67" t="e">
        <f ca="1">IF(Montageplatten[[#This Row],[AG Rand]]+IF(Montageplatten[[#This Row],[Höhe]]=select!$I$1212,1,0)=2,1,0)</f>
        <v>#VALUE!</v>
      </c>
      <c r="AC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" s="67">
        <f>IF(Montageplatten[[#This Row],[AG Typ]]+Montageplatten[[#This Row],[AG Bef]]=2,1,0)</f>
        <v>0</v>
      </c>
      <c r="AG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" s="67">
        <f ca="1">IF(Montageplatten[[#This Row],[AG MPH]]+Montageplatten[[#This Row],[AG Typ]]+Montageplatten[[#This Row],[AG Bef]]=3,1,0)</f>
        <v>0</v>
      </c>
      <c r="AJ4" s="67">
        <f ca="1">IF(select!$K$980="*",Montageplatten[[#This Row],[AG Ges2]],Montageplatten[[#This Row],[AG Ges1]])</f>
        <v>0</v>
      </c>
      <c r="AK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" s="67">
        <f>IF(Montageplatten[[#This Row],[konf Typ]]+Montageplatten[[#This Row],[konf Befest]]=2,1,0)</f>
        <v>0</v>
      </c>
      <c r="AN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" s="67">
        <f ca="1">IF(Montageplatten[[#This Row],[konf Rahmenbed]]+Montageplatten[[#This Row],[konf MPH]]=2,1,0)</f>
        <v>0</v>
      </c>
      <c r="AP4" s="26" t="str">
        <f ca="1">Sprache!$A$137</f>
        <v>Eco Kreuz Mtg-Platte</v>
      </c>
      <c r="AQ4" t="s">
        <v>753</v>
      </c>
      <c r="AR4" t="str">
        <f ca="1">Sprache!$A$134</f>
        <v>Tiomos Montageplatten</v>
      </c>
      <c r="AS4" s="18">
        <v>1</v>
      </c>
      <c r="AT4" s="18">
        <v>0</v>
      </c>
      <c r="AU4" s="18">
        <v>0</v>
      </c>
      <c r="AV4" s="18">
        <v>0</v>
      </c>
      <c r="AW4" s="2">
        <v>0</v>
      </c>
      <c r="AX4" s="2">
        <v>0</v>
      </c>
      <c r="AY4" s="2">
        <v>0</v>
      </c>
      <c r="AZ4" s="2">
        <v>1</v>
      </c>
      <c r="BA4" s="2">
        <v>0</v>
      </c>
      <c r="BB4" s="2">
        <v>0</v>
      </c>
      <c r="BC4" s="2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-2</v>
      </c>
      <c r="BJ4" s="861" t="s">
        <v>752</v>
      </c>
    </row>
    <row r="5" spans="1:62" ht="13.5" customHeight="1" x14ac:dyDescent="0.25">
      <c r="A5" s="24" t="str">
        <f t="shared" si="0"/>
        <v>F058</v>
      </c>
      <c r="B5" t="str">
        <f t="shared" si="1"/>
        <v>139</v>
      </c>
      <c r="C5" s="24" t="str">
        <f t="shared" si="2"/>
        <v>785</v>
      </c>
      <c r="D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" s="19">
        <f>IF(Montageplatten[[#This Row],[37/32]]=1,1,IF(Montageplatten[[#This Row],[28/32]]=1,2,0))</f>
        <v>2</v>
      </c>
      <c r="G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" s="19">
        <f>IF(Montageplatten[[#This Row],[Typ]]+Montageplatten[[#This Row],[Befestigung]]=2,1,0)</f>
        <v>0</v>
      </c>
      <c r="I5" s="19">
        <f>IF(Montageplatten[[#This Row],[Randbedingungen]]+IF(Montageplatten[[#This Row],[Höhe]]=select!$B$70,1,0)=2,1,0)</f>
        <v>0</v>
      </c>
      <c r="J5" s="19">
        <f>IF(Montageplatten[[#This Row],[Randbedingungen]]+IF(Montageplatten[[#This Row],[Höhe]]=select!$D$70,1,0)=2,1,0)</f>
        <v>0</v>
      </c>
      <c r="K5" s="19">
        <f>IF(Montageplatten[[#This Row],[Randbedingungen]]+IF(Montageplatten[[#This Row],[Höhe]]=select!$F$70,1,0)=2,1,0)</f>
        <v>0</v>
      </c>
      <c r="L5" s="19">
        <f>IF(Montageplatten[[#This Row],[Randbedingungen]]+IF(Montageplatten[[#This Row],[Höhe]]=select!$H$70,1,0)=2,1,0)</f>
        <v>0</v>
      </c>
      <c r="M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" s="67">
        <f>IF(select!$M$317=Montageplatten[[#This Row],[Höhe]],1,0)</f>
        <v>1</v>
      </c>
      <c r="P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" s="67">
        <f>IF(Montageplatten[[#This Row],[Typ_winkel]]+Montageplatten[[#This Row],[Befest_Winkel]]=2,1,0)</f>
        <v>0</v>
      </c>
      <c r="S5" s="67">
        <f>IF(Montageplatten[[#This Row],[MPH Winkel]]+Montageplatten[[#This Row],[Typ_winkel]]+Montageplatten[[#This Row],[Befest_Winkel]]=3,1,0)</f>
        <v>0</v>
      </c>
      <c r="T5" s="295">
        <f ca="1">IF(select!$M$746=Montageplatten[[#This Row],[Höhe]],1,0)</f>
        <v>0</v>
      </c>
      <c r="U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" s="67">
        <f>IF(Montageplatten[[#This Row],[Typ Spezial]]+Montageplatten[[#This Row],[Befest Spezial]]=2,1,0)</f>
        <v>0</v>
      </c>
      <c r="X5" s="67">
        <f ca="1">IF(Montageplatten[[#This Row],[MPH Spezial]]+Montageplatten[[#This Row],[Typ Spezial]]+Montageplatten[[#This Row],[Befest Spezial]]=3,1,0)</f>
        <v>0</v>
      </c>
      <c r="Y5" s="67" t="e">
        <f ca="1">IF(Montageplatten[[#This Row],[AG Rand]]+IF(Montageplatten[[#This Row],[Höhe]]=select!$C$1212,1,0)=2,1,0)</f>
        <v>#VALUE!</v>
      </c>
      <c r="Z5" s="67" t="e">
        <f ca="1">IF(Montageplatten[[#This Row],[AG Rand]]+IF(Montageplatten[[#This Row],[Höhe]]=select!$E$1212,1,0)=2,1,0)</f>
        <v>#VALUE!</v>
      </c>
      <c r="AA5" s="67" t="e">
        <f ca="1">IF(Montageplatten[[#This Row],[AG Rand]]+IF(Montageplatten[[#This Row],[Höhe]]=select!$G$1212,1,0)=2,1,0)</f>
        <v>#VALUE!</v>
      </c>
      <c r="AB5" s="67" t="e">
        <f ca="1">IF(Montageplatten[[#This Row],[AG Rand]]+IF(Montageplatten[[#This Row],[Höhe]]=select!$I$1212,1,0)=2,1,0)</f>
        <v>#VALUE!</v>
      </c>
      <c r="AC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" s="67">
        <f>IF(Montageplatten[[#This Row],[AG Typ]]+Montageplatten[[#This Row],[AG Bef]]=2,1,0)</f>
        <v>0</v>
      </c>
      <c r="AG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" s="67">
        <f ca="1">IF(Montageplatten[[#This Row],[AG MPH]]+Montageplatten[[#This Row],[AG Typ]]+Montageplatten[[#This Row],[AG Bef]]=3,1,0)</f>
        <v>0</v>
      </c>
      <c r="AJ5" s="67">
        <f ca="1">IF(select!$K$980="*",Montageplatten[[#This Row],[AG Ges2]],Montageplatten[[#This Row],[AG Ges1]])</f>
        <v>0</v>
      </c>
      <c r="AK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" s="67">
        <f>IF(Montageplatten[[#This Row],[konf Typ]]+Montageplatten[[#This Row],[konf Befest]]=2,1,0)</f>
        <v>0</v>
      </c>
      <c r="AN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" s="67">
        <f ca="1">IF(Montageplatten[[#This Row],[konf Rahmenbed]]+Montageplatten[[#This Row],[konf MPH]]=2,1,0)</f>
        <v>0</v>
      </c>
      <c r="AP5" s="26" t="str">
        <f ca="1">Sprache!$A$137</f>
        <v>Eco Kreuz Mtg-Platte</v>
      </c>
      <c r="AQ5" t="s">
        <v>778</v>
      </c>
      <c r="AR5" t="str">
        <f ca="1">Sprache!$A$134</f>
        <v>Tiomos Montageplatten</v>
      </c>
      <c r="AS5" s="18">
        <v>1</v>
      </c>
      <c r="AT5" s="18">
        <v>0</v>
      </c>
      <c r="AU5" s="18">
        <v>0</v>
      </c>
      <c r="AV5" s="18">
        <v>0</v>
      </c>
      <c r="AW5" s="2">
        <v>0</v>
      </c>
      <c r="AX5" s="2">
        <v>0</v>
      </c>
      <c r="AY5" s="2">
        <v>0</v>
      </c>
      <c r="AZ5" s="2">
        <v>1</v>
      </c>
      <c r="BA5" s="2">
        <v>0</v>
      </c>
      <c r="BB5" s="2">
        <v>0</v>
      </c>
      <c r="BC5" s="2">
        <v>0</v>
      </c>
      <c r="BD5">
        <v>0</v>
      </c>
      <c r="BE5">
        <v>1</v>
      </c>
      <c r="BF5">
        <v>0</v>
      </c>
      <c r="BG5">
        <v>0</v>
      </c>
      <c r="BH5">
        <v>0</v>
      </c>
      <c r="BI5">
        <v>-2</v>
      </c>
      <c r="BJ5" s="861" t="s">
        <v>777</v>
      </c>
    </row>
    <row r="6" spans="1:62" ht="13.5" customHeight="1" x14ac:dyDescent="0.25">
      <c r="A6" s="24" t="str">
        <f t="shared" si="0"/>
        <v>F058</v>
      </c>
      <c r="B6" t="str">
        <f t="shared" si="1"/>
        <v>139</v>
      </c>
      <c r="C6" s="24" t="str">
        <f t="shared" si="2"/>
        <v>857</v>
      </c>
      <c r="D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" s="19">
        <f>IF(Montageplatten[[#This Row],[37/32]]=1,1,IF(Montageplatten[[#This Row],[28/32]]=1,2,0))</f>
        <v>1</v>
      </c>
      <c r="G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" s="19">
        <f>IF(Montageplatten[[#This Row],[Typ]]+Montageplatten[[#This Row],[Befestigung]]=2,1,0)</f>
        <v>0</v>
      </c>
      <c r="I6" s="19">
        <f>IF(Montageplatten[[#This Row],[Randbedingungen]]+IF(Montageplatten[[#This Row],[Höhe]]=select!$B$70,1,0)=2,1,0)</f>
        <v>0</v>
      </c>
      <c r="J6" s="19">
        <f>IF(Montageplatten[[#This Row],[Randbedingungen]]+IF(Montageplatten[[#This Row],[Höhe]]=select!$D$70,1,0)=2,1,0)</f>
        <v>0</v>
      </c>
      <c r="K6" s="19">
        <f>IF(Montageplatten[[#This Row],[Randbedingungen]]+IF(Montageplatten[[#This Row],[Höhe]]=select!$F$70,1,0)=2,1,0)</f>
        <v>0</v>
      </c>
      <c r="L6" s="19">
        <f>IF(Montageplatten[[#This Row],[Randbedingungen]]+IF(Montageplatten[[#This Row],[Höhe]]=select!$H$70,1,0)=2,1,0)</f>
        <v>0</v>
      </c>
      <c r="M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" s="67">
        <f>IF(select!$M$317=Montageplatten[[#This Row],[Höhe]],1,0)</f>
        <v>1</v>
      </c>
      <c r="P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" s="67">
        <f>IF(Montageplatten[[#This Row],[Typ_winkel]]+Montageplatten[[#This Row],[Befest_Winkel]]=2,1,0)</f>
        <v>0</v>
      </c>
      <c r="S6" s="67">
        <f>IF(Montageplatten[[#This Row],[MPH Winkel]]+Montageplatten[[#This Row],[Typ_winkel]]+Montageplatten[[#This Row],[Befest_Winkel]]=3,1,0)</f>
        <v>0</v>
      </c>
      <c r="T6" s="295">
        <f ca="1">IF(select!$M$746=Montageplatten[[#This Row],[Höhe]],1,0)</f>
        <v>0</v>
      </c>
      <c r="U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" s="67">
        <f>IF(Montageplatten[[#This Row],[Typ Spezial]]+Montageplatten[[#This Row],[Befest Spezial]]=2,1,0)</f>
        <v>0</v>
      </c>
      <c r="X6" s="67">
        <f ca="1">IF(Montageplatten[[#This Row],[MPH Spezial]]+Montageplatten[[#This Row],[Typ Spezial]]+Montageplatten[[#This Row],[Befest Spezial]]=3,1,0)</f>
        <v>0</v>
      </c>
      <c r="Y6" s="67" t="e">
        <f ca="1">IF(Montageplatten[[#This Row],[AG Rand]]+IF(Montageplatten[[#This Row],[Höhe]]=select!$C$1212,1,0)=2,1,0)</f>
        <v>#VALUE!</v>
      </c>
      <c r="Z6" s="67" t="e">
        <f ca="1">IF(Montageplatten[[#This Row],[AG Rand]]+IF(Montageplatten[[#This Row],[Höhe]]=select!$E$1212,1,0)=2,1,0)</f>
        <v>#VALUE!</v>
      </c>
      <c r="AA6" s="67" t="e">
        <f ca="1">IF(Montageplatten[[#This Row],[AG Rand]]+IF(Montageplatten[[#This Row],[Höhe]]=select!$G$1212,1,0)=2,1,0)</f>
        <v>#VALUE!</v>
      </c>
      <c r="AB6" s="67" t="e">
        <f ca="1">IF(Montageplatten[[#This Row],[AG Rand]]+IF(Montageplatten[[#This Row],[Höhe]]=select!$I$1212,1,0)=2,1,0)</f>
        <v>#VALUE!</v>
      </c>
      <c r="AC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" s="67">
        <f>IF(Montageplatten[[#This Row],[AG Typ]]+Montageplatten[[#This Row],[AG Bef]]=2,1,0)</f>
        <v>0</v>
      </c>
      <c r="AG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" s="67">
        <f ca="1">IF(Montageplatten[[#This Row],[AG MPH]]+Montageplatten[[#This Row],[AG Typ]]+Montageplatten[[#This Row],[AG Bef]]=3,1,0)</f>
        <v>0</v>
      </c>
      <c r="AJ6" s="67">
        <f ca="1">IF(select!$K$980="*",Montageplatten[[#This Row],[AG Ges2]],Montageplatten[[#This Row],[AG Ges1]])</f>
        <v>0</v>
      </c>
      <c r="AK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" s="67">
        <f>IF(Montageplatten[[#This Row],[konf Typ]]+Montageplatten[[#This Row],[konf Befest]]=2,1,0)</f>
        <v>0</v>
      </c>
      <c r="AN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" s="67">
        <f ca="1">IF(Montageplatten[[#This Row],[konf Rahmenbed]]+Montageplatten[[#This Row],[konf MPH]]=2,1,0)</f>
        <v>0</v>
      </c>
      <c r="AP6" s="26" t="str">
        <f ca="1">Sprache!$A$137</f>
        <v>Eco Kreuz Mtg-Platte</v>
      </c>
      <c r="AQ6" t="s">
        <v>801</v>
      </c>
      <c r="AR6" t="str">
        <f ca="1">Sprache!$A$134</f>
        <v>Tiomos Montageplatten</v>
      </c>
      <c r="AS6" s="18">
        <v>1</v>
      </c>
      <c r="AT6" s="18">
        <v>0</v>
      </c>
      <c r="AU6" s="18">
        <v>0</v>
      </c>
      <c r="AV6" s="18">
        <v>0</v>
      </c>
      <c r="AW6" s="2">
        <v>0</v>
      </c>
      <c r="AX6" s="2">
        <v>0</v>
      </c>
      <c r="AY6" s="2">
        <v>0</v>
      </c>
      <c r="AZ6" s="2">
        <v>0</v>
      </c>
      <c r="BA6" s="2">
        <v>1</v>
      </c>
      <c r="BB6" s="2">
        <v>0</v>
      </c>
      <c r="BC6" s="2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-2</v>
      </c>
      <c r="BJ6" s="861" t="s">
        <v>800</v>
      </c>
    </row>
    <row r="7" spans="1:62" ht="13.5" customHeight="1" x14ac:dyDescent="0.25">
      <c r="A7" s="24" t="str">
        <f t="shared" si="0"/>
        <v>F058</v>
      </c>
      <c r="B7" t="str">
        <f t="shared" si="1"/>
        <v>139</v>
      </c>
      <c r="C7" s="24" t="str">
        <f t="shared" si="2"/>
        <v>741</v>
      </c>
      <c r="D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" s="19">
        <f>IF(Montageplatten[[#This Row],[37/32]]=1,1,IF(Montageplatten[[#This Row],[28/32]]=1,2,0))</f>
        <v>1</v>
      </c>
      <c r="G7" s="19">
        <f>IF(OR(select!$B$70=Montageplatten[[#This Row],[Höhe]],select!$D$70=Montageplatten[[#This Row],[Höhe]],select!$F$70=Montageplatten[[#This Row],[Höhe]],select!$H$70=Montageplatten[[#This Row],[Höhe]])=TRUE,1,0)</f>
        <v>1</v>
      </c>
      <c r="H7" s="19">
        <f>IF(Montageplatten[[#This Row],[Typ]]+Montageplatten[[#This Row],[Befestigung]]=2,1,0)</f>
        <v>0</v>
      </c>
      <c r="I7" s="19">
        <f>IF(Montageplatten[[#This Row],[Randbedingungen]]+IF(Montageplatten[[#This Row],[Höhe]]=select!$B$70,1,0)=2,1,0)</f>
        <v>0</v>
      </c>
      <c r="J7" s="19">
        <f>IF(Montageplatten[[#This Row],[Randbedingungen]]+IF(Montageplatten[[#This Row],[Höhe]]=select!$D$70,1,0)=2,1,0)</f>
        <v>0</v>
      </c>
      <c r="K7" s="19">
        <f>IF(Montageplatten[[#This Row],[Randbedingungen]]+IF(Montageplatten[[#This Row],[Höhe]]=select!$F$70,1,0)=2,1,0)</f>
        <v>0</v>
      </c>
      <c r="L7" s="19">
        <f>IF(Montageplatten[[#This Row],[Randbedingungen]]+IF(Montageplatten[[#This Row],[Höhe]]=select!$H$70,1,0)=2,1,0)</f>
        <v>0</v>
      </c>
      <c r="M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" s="67">
        <f>IF(select!$M$317=Montageplatten[[#This Row],[Höhe]],1,0)</f>
        <v>0</v>
      </c>
      <c r="P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" s="67">
        <f>IF(Montageplatten[[#This Row],[Typ_winkel]]+Montageplatten[[#This Row],[Befest_Winkel]]=2,1,0)</f>
        <v>0</v>
      </c>
      <c r="S7" s="67">
        <f>IF(Montageplatten[[#This Row],[MPH Winkel]]+Montageplatten[[#This Row],[Typ_winkel]]+Montageplatten[[#This Row],[Befest_Winkel]]=3,1,0)</f>
        <v>0</v>
      </c>
      <c r="T7" s="295">
        <f ca="1">IF(select!$M$746=Montageplatten[[#This Row],[Höhe]],1,0)</f>
        <v>0</v>
      </c>
      <c r="U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" s="67">
        <f>IF(Montageplatten[[#This Row],[Typ Spezial]]+Montageplatten[[#This Row],[Befest Spezial]]=2,1,0)</f>
        <v>0</v>
      </c>
      <c r="X7" s="67">
        <f ca="1">IF(Montageplatten[[#This Row],[MPH Spezial]]+Montageplatten[[#This Row],[Typ Spezial]]+Montageplatten[[#This Row],[Befest Spezial]]=3,1,0)</f>
        <v>0</v>
      </c>
      <c r="Y7" s="67" t="e">
        <f ca="1">IF(Montageplatten[[#This Row],[AG Rand]]+IF(Montageplatten[[#This Row],[Höhe]]=select!$C$1212,1,0)=2,1,0)</f>
        <v>#VALUE!</v>
      </c>
      <c r="Z7" s="67" t="e">
        <f ca="1">IF(Montageplatten[[#This Row],[AG Rand]]+IF(Montageplatten[[#This Row],[Höhe]]=select!$E$1212,1,0)=2,1,0)</f>
        <v>#VALUE!</v>
      </c>
      <c r="AA7" s="67" t="e">
        <f ca="1">IF(Montageplatten[[#This Row],[AG Rand]]+IF(Montageplatten[[#This Row],[Höhe]]=select!$G$1212,1,0)=2,1,0)</f>
        <v>#VALUE!</v>
      </c>
      <c r="AB7" s="67" t="e">
        <f ca="1">IF(Montageplatten[[#This Row],[AG Rand]]+IF(Montageplatten[[#This Row],[Höhe]]=select!$I$1212,1,0)=2,1,0)</f>
        <v>#VALUE!</v>
      </c>
      <c r="AC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" s="67">
        <f>IF(Montageplatten[[#This Row],[AG Typ]]+Montageplatten[[#This Row],[AG Bef]]=2,1,0)</f>
        <v>0</v>
      </c>
      <c r="AG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" s="67">
        <f ca="1">IF(Montageplatten[[#This Row],[AG MPH]]+Montageplatten[[#This Row],[AG Typ]]+Montageplatten[[#This Row],[AG Bef]]=3,1,0)</f>
        <v>0</v>
      </c>
      <c r="AJ7" s="67">
        <f ca="1">IF(select!$K$980="*",Montageplatten[[#This Row],[AG Ges2]],Montageplatten[[#This Row],[AG Ges1]])</f>
        <v>0</v>
      </c>
      <c r="AK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" s="67">
        <f>IF(Montageplatten[[#This Row],[konf Typ]]+Montageplatten[[#This Row],[konf Befest]]=2,1,0)</f>
        <v>0</v>
      </c>
      <c r="AN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" s="67">
        <f ca="1">IF(Montageplatten[[#This Row],[konf Rahmenbed]]+Montageplatten[[#This Row],[konf MPH]]=2,1,0)</f>
        <v>0</v>
      </c>
      <c r="AP7" s="862" t="s">
        <v>733</v>
      </c>
      <c r="AQ7" t="s">
        <v>2314</v>
      </c>
      <c r="AR7" t="s">
        <v>735</v>
      </c>
      <c r="AS7" s="18">
        <v>1</v>
      </c>
      <c r="AT7" s="18">
        <v>0</v>
      </c>
      <c r="AU7" s="18">
        <v>0</v>
      </c>
      <c r="AV7" s="18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</v>
      </c>
      <c r="BC7" s="2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 s="861" t="s">
        <v>2315</v>
      </c>
    </row>
    <row r="8" spans="1:62" ht="13.5" customHeight="1" x14ac:dyDescent="0.25">
      <c r="A8" s="24" t="str">
        <f t="shared" si="0"/>
        <v>F058</v>
      </c>
      <c r="B8" t="str">
        <f t="shared" si="1"/>
        <v>139</v>
      </c>
      <c r="C8" s="24" t="str">
        <f t="shared" si="2"/>
        <v>766</v>
      </c>
      <c r="D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" s="19">
        <f>IF(Montageplatten[[#This Row],[37/32]]=1,1,IF(Montageplatten[[#This Row],[28/32]]=1,2,0))</f>
        <v>1</v>
      </c>
      <c r="G8" s="19">
        <f>IF(OR(select!$B$70=Montageplatten[[#This Row],[Höhe]],select!$D$70=Montageplatten[[#This Row],[Höhe]],select!$F$70=Montageplatten[[#This Row],[Höhe]],select!$H$70=Montageplatten[[#This Row],[Höhe]])=TRUE,1,0)</f>
        <v>1</v>
      </c>
      <c r="H8" s="19">
        <f>IF(Montageplatten[[#This Row],[Typ]]+Montageplatten[[#This Row],[Befestigung]]=2,1,0)</f>
        <v>0</v>
      </c>
      <c r="I8" s="19">
        <f>IF(Montageplatten[[#This Row],[Randbedingungen]]+IF(Montageplatten[[#This Row],[Höhe]]=select!$B$70,1,0)=2,1,0)</f>
        <v>0</v>
      </c>
      <c r="J8" s="19">
        <f>IF(Montageplatten[[#This Row],[Randbedingungen]]+IF(Montageplatten[[#This Row],[Höhe]]=select!$D$70,1,0)=2,1,0)</f>
        <v>0</v>
      </c>
      <c r="K8" s="19">
        <f>IF(Montageplatten[[#This Row],[Randbedingungen]]+IF(Montageplatten[[#This Row],[Höhe]]=select!$F$70,1,0)=2,1,0)</f>
        <v>0</v>
      </c>
      <c r="L8" s="19">
        <f>IF(Montageplatten[[#This Row],[Randbedingungen]]+IF(Montageplatten[[#This Row],[Höhe]]=select!$H$70,1,0)=2,1,0)</f>
        <v>0</v>
      </c>
      <c r="M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" s="67">
        <f>IF(select!$M$317=Montageplatten[[#This Row],[Höhe]],1,0)</f>
        <v>0</v>
      </c>
      <c r="P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" s="67">
        <f>IF(Montageplatten[[#This Row],[Typ_winkel]]+Montageplatten[[#This Row],[Befest_Winkel]]=2,1,0)</f>
        <v>0</v>
      </c>
      <c r="S8" s="67">
        <f>IF(Montageplatten[[#This Row],[MPH Winkel]]+Montageplatten[[#This Row],[Typ_winkel]]+Montageplatten[[#This Row],[Befest_Winkel]]=3,1,0)</f>
        <v>0</v>
      </c>
      <c r="T8" s="295">
        <f ca="1">IF(select!$M$746=Montageplatten[[#This Row],[Höhe]],1,0)</f>
        <v>0</v>
      </c>
      <c r="U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" s="67">
        <f>IF(Montageplatten[[#This Row],[Typ Spezial]]+Montageplatten[[#This Row],[Befest Spezial]]=2,1,0)</f>
        <v>0</v>
      </c>
      <c r="X8" s="67">
        <f ca="1">IF(Montageplatten[[#This Row],[MPH Spezial]]+Montageplatten[[#This Row],[Typ Spezial]]+Montageplatten[[#This Row],[Befest Spezial]]=3,1,0)</f>
        <v>0</v>
      </c>
      <c r="Y8" s="67" t="e">
        <f ca="1">IF(Montageplatten[[#This Row],[AG Rand]]+IF(Montageplatten[[#This Row],[Höhe]]=select!$C$1212,1,0)=2,1,0)</f>
        <v>#VALUE!</v>
      </c>
      <c r="Z8" s="67" t="e">
        <f ca="1">IF(Montageplatten[[#This Row],[AG Rand]]+IF(Montageplatten[[#This Row],[Höhe]]=select!$E$1212,1,0)=2,1,0)</f>
        <v>#VALUE!</v>
      </c>
      <c r="AA8" s="67" t="e">
        <f ca="1">IF(Montageplatten[[#This Row],[AG Rand]]+IF(Montageplatten[[#This Row],[Höhe]]=select!$G$1212,1,0)=2,1,0)</f>
        <v>#VALUE!</v>
      </c>
      <c r="AB8" s="67" t="e">
        <f ca="1">IF(Montageplatten[[#This Row],[AG Rand]]+IF(Montageplatten[[#This Row],[Höhe]]=select!$I$1212,1,0)=2,1,0)</f>
        <v>#VALUE!</v>
      </c>
      <c r="AC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" s="67">
        <f>IF(Montageplatten[[#This Row],[AG Typ]]+Montageplatten[[#This Row],[AG Bef]]=2,1,0)</f>
        <v>0</v>
      </c>
      <c r="AG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" s="67">
        <f ca="1">IF(Montageplatten[[#This Row],[AG MPH]]+Montageplatten[[#This Row],[AG Typ]]+Montageplatten[[#This Row],[AG Bef]]=3,1,0)</f>
        <v>0</v>
      </c>
      <c r="AJ8" s="67">
        <f ca="1">IF(select!$K$980="*",Montageplatten[[#This Row],[AG Ges2]],Montageplatten[[#This Row],[AG Ges1]])</f>
        <v>0</v>
      </c>
      <c r="AK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" s="67">
        <f>IF(Montageplatten[[#This Row],[konf Typ]]+Montageplatten[[#This Row],[konf Befest]]=2,1,0)</f>
        <v>0</v>
      </c>
      <c r="AN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" s="67">
        <f ca="1">IF(Montageplatten[[#This Row],[konf Rahmenbed]]+Montageplatten[[#This Row],[konf MPH]]=2,1,0)</f>
        <v>0</v>
      </c>
      <c r="AP8" s="862" t="s">
        <v>762</v>
      </c>
      <c r="AQ8" t="s">
        <v>2314</v>
      </c>
      <c r="AR8" t="s">
        <v>735</v>
      </c>
      <c r="AS8" s="18">
        <v>1</v>
      </c>
      <c r="AT8" s="18">
        <v>0</v>
      </c>
      <c r="AU8" s="18">
        <v>0</v>
      </c>
      <c r="AV8" s="18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 s="861" t="s">
        <v>2321</v>
      </c>
    </row>
    <row r="9" spans="1:62" ht="13.5" customHeight="1" x14ac:dyDescent="0.25">
      <c r="A9" s="24" t="str">
        <f t="shared" si="0"/>
        <v>F058</v>
      </c>
      <c r="B9" t="str">
        <f t="shared" si="1"/>
        <v>139</v>
      </c>
      <c r="C9" s="24" t="str">
        <f t="shared" si="2"/>
        <v>927</v>
      </c>
      <c r="D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" s="19">
        <f>IF(Montageplatten[[#This Row],[37/32]]=1,1,IF(Montageplatten[[#This Row],[28/32]]=1,2,0))</f>
        <v>1</v>
      </c>
      <c r="G9" s="19">
        <f>IF(OR(select!$B$70=Montageplatten[[#This Row],[Höhe]],select!$D$70=Montageplatten[[#This Row],[Höhe]],select!$F$70=Montageplatten[[#This Row],[Höhe]],select!$H$70=Montageplatten[[#This Row],[Höhe]])=TRUE,1,0)</f>
        <v>1</v>
      </c>
      <c r="H9" s="19">
        <f>IF(Montageplatten[[#This Row],[Typ]]+Montageplatten[[#This Row],[Befestigung]]=2,1,0)</f>
        <v>0</v>
      </c>
      <c r="I9" s="19">
        <f>IF(Montageplatten[[#This Row],[Randbedingungen]]+IF(Montageplatten[[#This Row],[Höhe]]=select!$B$70,1,0)=2,1,0)</f>
        <v>0</v>
      </c>
      <c r="J9" s="19">
        <f>IF(Montageplatten[[#This Row],[Randbedingungen]]+IF(Montageplatten[[#This Row],[Höhe]]=select!$D$70,1,0)=2,1,0)</f>
        <v>0</v>
      </c>
      <c r="K9" s="19">
        <f>IF(Montageplatten[[#This Row],[Randbedingungen]]+IF(Montageplatten[[#This Row],[Höhe]]=select!$F$70,1,0)=2,1,0)</f>
        <v>0</v>
      </c>
      <c r="L9" s="19">
        <f>IF(Montageplatten[[#This Row],[Randbedingungen]]+IF(Montageplatten[[#This Row],[Höhe]]=select!$H$70,1,0)=2,1,0)</f>
        <v>0</v>
      </c>
      <c r="M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" s="67">
        <f>IF(select!$M$317=Montageplatten[[#This Row],[Höhe]],1,0)</f>
        <v>0</v>
      </c>
      <c r="P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" s="67">
        <f>IF(Montageplatten[[#This Row],[Typ_winkel]]+Montageplatten[[#This Row],[Befest_Winkel]]=2,1,0)</f>
        <v>0</v>
      </c>
      <c r="S9" s="67">
        <f>IF(Montageplatten[[#This Row],[MPH Winkel]]+Montageplatten[[#This Row],[Typ_winkel]]+Montageplatten[[#This Row],[Befest_Winkel]]=3,1,0)</f>
        <v>0</v>
      </c>
      <c r="T9" s="295">
        <f ca="1">IF(select!$M$746=Montageplatten[[#This Row],[Höhe]],1,0)</f>
        <v>0</v>
      </c>
      <c r="U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" s="67">
        <f>IF(Montageplatten[[#This Row],[Typ Spezial]]+Montageplatten[[#This Row],[Befest Spezial]]=2,1,0)</f>
        <v>0</v>
      </c>
      <c r="X9" s="67">
        <f ca="1">IF(Montageplatten[[#This Row],[MPH Spezial]]+Montageplatten[[#This Row],[Typ Spezial]]+Montageplatten[[#This Row],[Befest Spezial]]=3,1,0)</f>
        <v>0</v>
      </c>
      <c r="Y9" s="67" t="e">
        <f ca="1">IF(Montageplatten[[#This Row],[AG Rand]]+IF(Montageplatten[[#This Row],[Höhe]]=select!$C$1212,1,0)=2,1,0)</f>
        <v>#VALUE!</v>
      </c>
      <c r="Z9" s="67" t="e">
        <f ca="1">IF(Montageplatten[[#This Row],[AG Rand]]+IF(Montageplatten[[#This Row],[Höhe]]=select!$E$1212,1,0)=2,1,0)</f>
        <v>#VALUE!</v>
      </c>
      <c r="AA9" s="67" t="e">
        <f ca="1">IF(Montageplatten[[#This Row],[AG Rand]]+IF(Montageplatten[[#This Row],[Höhe]]=select!$G$1212,1,0)=2,1,0)</f>
        <v>#VALUE!</v>
      </c>
      <c r="AB9" s="67" t="e">
        <f ca="1">IF(Montageplatten[[#This Row],[AG Rand]]+IF(Montageplatten[[#This Row],[Höhe]]=select!$I$1212,1,0)=2,1,0)</f>
        <v>#VALUE!</v>
      </c>
      <c r="AC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" s="67">
        <f>IF(Montageplatten[[#This Row],[AG Typ]]+Montageplatten[[#This Row],[AG Bef]]=2,1,0)</f>
        <v>0</v>
      </c>
      <c r="AG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" s="67">
        <f ca="1">IF(Montageplatten[[#This Row],[AG MPH]]+Montageplatten[[#This Row],[AG Typ]]+Montageplatten[[#This Row],[AG Bef]]=3,1,0)</f>
        <v>0</v>
      </c>
      <c r="AJ9" s="67">
        <f ca="1">IF(select!$K$980="*",Montageplatten[[#This Row],[AG Ges2]],Montageplatten[[#This Row],[AG Ges1]])</f>
        <v>0</v>
      </c>
      <c r="AK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" s="67">
        <f>IF(Montageplatten[[#This Row],[konf Typ]]+Montageplatten[[#This Row],[konf Befest]]=2,1,0)</f>
        <v>0</v>
      </c>
      <c r="AN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" s="67">
        <f ca="1">IF(Montageplatten[[#This Row],[konf Rahmenbed]]+Montageplatten[[#This Row],[konf MPH]]=2,1,0)</f>
        <v>0</v>
      </c>
      <c r="AP9" s="862" t="s">
        <v>733</v>
      </c>
      <c r="AQ9" t="s">
        <v>2325</v>
      </c>
      <c r="AR9" t="s">
        <v>735</v>
      </c>
      <c r="AS9" s="18">
        <v>1</v>
      </c>
      <c r="AT9" s="18">
        <v>0</v>
      </c>
      <c r="AU9" s="18">
        <v>0</v>
      </c>
      <c r="AV9" s="18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1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  <c r="BJ9" s="861" t="s">
        <v>2326</v>
      </c>
    </row>
    <row r="10" spans="1:62" ht="13.5" customHeight="1" x14ac:dyDescent="0.25">
      <c r="A10" s="24" t="str">
        <f t="shared" si="0"/>
        <v>F058</v>
      </c>
      <c r="B10" t="str">
        <f t="shared" si="1"/>
        <v>139</v>
      </c>
      <c r="C10" s="24" t="str">
        <f t="shared" si="2"/>
        <v>931</v>
      </c>
      <c r="D1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" s="19">
        <f>IF(Montageplatten[[#This Row],[37/32]]=1,1,IF(Montageplatten[[#This Row],[28/32]]=1,2,0))</f>
        <v>1</v>
      </c>
      <c r="G10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0" s="19">
        <f>IF(Montageplatten[[#This Row],[Typ]]+Montageplatten[[#This Row],[Befestigung]]=2,1,0)</f>
        <v>0</v>
      </c>
      <c r="I10" s="19">
        <f>IF(Montageplatten[[#This Row],[Randbedingungen]]+IF(Montageplatten[[#This Row],[Höhe]]=select!$B$70,1,0)=2,1,0)</f>
        <v>0</v>
      </c>
      <c r="J10" s="19">
        <f>IF(Montageplatten[[#This Row],[Randbedingungen]]+IF(Montageplatten[[#This Row],[Höhe]]=select!$D$70,1,0)=2,1,0)</f>
        <v>0</v>
      </c>
      <c r="K10" s="19">
        <f>IF(Montageplatten[[#This Row],[Randbedingungen]]+IF(Montageplatten[[#This Row],[Höhe]]=select!$F$70,1,0)=2,1,0)</f>
        <v>0</v>
      </c>
      <c r="L10" s="19">
        <f>IF(Montageplatten[[#This Row],[Randbedingungen]]+IF(Montageplatten[[#This Row],[Höhe]]=select!$H$70,1,0)=2,1,0)</f>
        <v>0</v>
      </c>
      <c r="M1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" s="67">
        <f>IF(select!$M$317=Montageplatten[[#This Row],[Höhe]],1,0)</f>
        <v>0</v>
      </c>
      <c r="P1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" s="67">
        <f>IF(Montageplatten[[#This Row],[Typ_winkel]]+Montageplatten[[#This Row],[Befest_Winkel]]=2,1,0)</f>
        <v>0</v>
      </c>
      <c r="S10" s="67">
        <f>IF(Montageplatten[[#This Row],[MPH Winkel]]+Montageplatten[[#This Row],[Typ_winkel]]+Montageplatten[[#This Row],[Befest_Winkel]]=3,1,0)</f>
        <v>0</v>
      </c>
      <c r="T10" s="295">
        <f ca="1">IF(select!$M$746=Montageplatten[[#This Row],[Höhe]],1,0)</f>
        <v>0</v>
      </c>
      <c r="U1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" s="67">
        <f>IF(Montageplatten[[#This Row],[Typ Spezial]]+Montageplatten[[#This Row],[Befest Spezial]]=2,1,0)</f>
        <v>0</v>
      </c>
      <c r="X10" s="67">
        <f ca="1">IF(Montageplatten[[#This Row],[MPH Spezial]]+Montageplatten[[#This Row],[Typ Spezial]]+Montageplatten[[#This Row],[Befest Spezial]]=3,1,0)</f>
        <v>0</v>
      </c>
      <c r="Y10" s="67" t="e">
        <f ca="1">IF(Montageplatten[[#This Row],[AG Rand]]+IF(Montageplatten[[#This Row],[Höhe]]=select!$C$1212,1,0)=2,1,0)</f>
        <v>#VALUE!</v>
      </c>
      <c r="Z10" s="67" t="e">
        <f ca="1">IF(Montageplatten[[#This Row],[AG Rand]]+IF(Montageplatten[[#This Row],[Höhe]]=select!$E$1212,1,0)=2,1,0)</f>
        <v>#VALUE!</v>
      </c>
      <c r="AA10" s="67" t="e">
        <f ca="1">IF(Montageplatten[[#This Row],[AG Rand]]+IF(Montageplatten[[#This Row],[Höhe]]=select!$G$1212,1,0)=2,1,0)</f>
        <v>#VALUE!</v>
      </c>
      <c r="AB10" s="67" t="e">
        <f ca="1">IF(Montageplatten[[#This Row],[AG Rand]]+IF(Montageplatten[[#This Row],[Höhe]]=select!$I$1212,1,0)=2,1,0)</f>
        <v>#VALUE!</v>
      </c>
      <c r="AC1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" s="67">
        <f>IF(Montageplatten[[#This Row],[AG Typ]]+Montageplatten[[#This Row],[AG Bef]]=2,1,0)</f>
        <v>0</v>
      </c>
      <c r="AG1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" s="67">
        <f ca="1">IF(Montageplatten[[#This Row],[AG MPH]]+Montageplatten[[#This Row],[AG Typ]]+Montageplatten[[#This Row],[AG Bef]]=3,1,0)</f>
        <v>0</v>
      </c>
      <c r="AJ10" s="67">
        <f ca="1">IF(select!$K$980="*",Montageplatten[[#This Row],[AG Ges2]],Montageplatten[[#This Row],[AG Ges1]])</f>
        <v>0</v>
      </c>
      <c r="AK1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" s="67">
        <f>IF(Montageplatten[[#This Row],[konf Typ]]+Montageplatten[[#This Row],[konf Befest]]=2,1,0)</f>
        <v>0</v>
      </c>
      <c r="AN1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" s="67">
        <f ca="1">IF(Montageplatten[[#This Row],[konf Rahmenbed]]+Montageplatten[[#This Row],[konf MPH]]=2,1,0)</f>
        <v>0</v>
      </c>
      <c r="AP10" s="862" t="s">
        <v>762</v>
      </c>
      <c r="AQ10" t="s">
        <v>2325</v>
      </c>
      <c r="AR10" t="s">
        <v>735</v>
      </c>
      <c r="AS10" s="18">
        <v>1</v>
      </c>
      <c r="AT10" s="18">
        <v>0</v>
      </c>
      <c r="AU10" s="18">
        <v>0</v>
      </c>
      <c r="AV10" s="18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 s="861" t="s">
        <v>2332</v>
      </c>
    </row>
    <row r="11" spans="1:62" ht="13.5" customHeight="1" x14ac:dyDescent="0.25">
      <c r="A11" s="24" t="str">
        <f t="shared" si="0"/>
        <v>F058</v>
      </c>
      <c r="B11" t="str">
        <f t="shared" si="1"/>
        <v>139</v>
      </c>
      <c r="C11" s="24" t="str">
        <f t="shared" si="2"/>
        <v>721</v>
      </c>
      <c r="D1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1" s="19">
        <f>IF(Montageplatten[[#This Row],[37/32]]=1,1,IF(Montageplatten[[#This Row],[28/32]]=1,2,0))</f>
        <v>1</v>
      </c>
      <c r="G11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1" s="19">
        <f>IF(Montageplatten[[#This Row],[Typ]]+Montageplatten[[#This Row],[Befestigung]]=2,1,0)</f>
        <v>1</v>
      </c>
      <c r="I11" s="19">
        <f>IF(Montageplatten[[#This Row],[Randbedingungen]]+IF(Montageplatten[[#This Row],[Höhe]]=select!$B$70,1,0)=2,1,0)</f>
        <v>0</v>
      </c>
      <c r="J11" s="19">
        <f>IF(Montageplatten[[#This Row],[Randbedingungen]]+IF(Montageplatten[[#This Row],[Höhe]]=select!$D$70,1,0)=2,1,0)</f>
        <v>0</v>
      </c>
      <c r="K11" s="19">
        <f>IF(Montageplatten[[#This Row],[Randbedingungen]]+IF(Montageplatten[[#This Row],[Höhe]]=select!$F$70,1,0)=2,1,0)</f>
        <v>0</v>
      </c>
      <c r="L11" s="19">
        <f>IF(Montageplatten[[#This Row],[Randbedingungen]]+IF(Montageplatten[[#This Row],[Höhe]]=select!$H$70,1,0)=2,1,0)</f>
        <v>1</v>
      </c>
      <c r="M1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1" s="33">
        <f ca="1">IF(Montageplatten[[#This Row],[Kröpfung 3]]+Montageplatten[[#This Row],[Kröpfung 0]]+Montageplatten[[#This Row],[Kröpfung 9,5]]+Montageplatten[[#This Row],[Kröpfung 19]]+Montageplatten[[#This Row],[auswahl K]]=2,1,0)</f>
        <v>1</v>
      </c>
      <c r="O11" s="67">
        <f>IF(select!$M$317=Montageplatten[[#This Row],[Höhe]],1,0)</f>
        <v>0</v>
      </c>
      <c r="P1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1" s="67">
        <f>IF(Montageplatten[[#This Row],[Typ_winkel]]+Montageplatten[[#This Row],[Befest_Winkel]]=2,1,0)</f>
        <v>1</v>
      </c>
      <c r="S11" s="67">
        <f>IF(Montageplatten[[#This Row],[MPH Winkel]]+Montageplatten[[#This Row],[Typ_winkel]]+Montageplatten[[#This Row],[Befest_Winkel]]=3,1,0)</f>
        <v>0</v>
      </c>
      <c r="T11" s="295">
        <f ca="1">IF(select!$M$746=Montageplatten[[#This Row],[Höhe]],1,0)</f>
        <v>0</v>
      </c>
      <c r="U1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1" s="67">
        <f>IF(Montageplatten[[#This Row],[Typ Spezial]]+Montageplatten[[#This Row],[Befest Spezial]]=2,1,0)</f>
        <v>1</v>
      </c>
      <c r="X11" s="67">
        <f ca="1">IF(Montageplatten[[#This Row],[MPH Spezial]]+Montageplatten[[#This Row],[Typ Spezial]]+Montageplatten[[#This Row],[Befest Spezial]]=3,1,0)</f>
        <v>0</v>
      </c>
      <c r="Y11" s="67" t="e">
        <f ca="1">IF(Montageplatten[[#This Row],[AG Rand]]+IF(Montageplatten[[#This Row],[Höhe]]=select!$C$1212,1,0)=2,1,0)</f>
        <v>#VALUE!</v>
      </c>
      <c r="Z11" s="67" t="e">
        <f ca="1">IF(Montageplatten[[#This Row],[AG Rand]]+IF(Montageplatten[[#This Row],[Höhe]]=select!$E$1212,1,0)=2,1,0)</f>
        <v>#VALUE!</v>
      </c>
      <c r="AA11" s="67" t="e">
        <f ca="1">IF(Montageplatten[[#This Row],[AG Rand]]+IF(Montageplatten[[#This Row],[Höhe]]=select!$G$1212,1,0)=2,1,0)</f>
        <v>#VALUE!</v>
      </c>
      <c r="AB11" s="67" t="e">
        <f ca="1">IF(Montageplatten[[#This Row],[AG Rand]]+IF(Montageplatten[[#This Row],[Höhe]]=select!$I$1212,1,0)=2,1,0)</f>
        <v>#VALUE!</v>
      </c>
      <c r="AC1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1" s="67">
        <f>IF(Montageplatten[[#This Row],[AG Typ]]+Montageplatten[[#This Row],[AG Bef]]=2,1,0)</f>
        <v>1</v>
      </c>
      <c r="AG1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1" s="67">
        <f ca="1">IF(Montageplatten[[#This Row],[AG MPH]]+Montageplatten[[#This Row],[AG Typ]]+Montageplatten[[#This Row],[AG Bef]]=3,1,0)</f>
        <v>0</v>
      </c>
      <c r="AJ11" s="67">
        <f ca="1">IF(select!$K$980="*",Montageplatten[[#This Row],[AG Ges2]],Montageplatten[[#This Row],[AG Ges1]])</f>
        <v>0</v>
      </c>
      <c r="AK1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1" s="67">
        <f>IF(Montageplatten[[#This Row],[konf Typ]]+Montageplatten[[#This Row],[konf Befest]]=2,1,0)</f>
        <v>1</v>
      </c>
      <c r="AN1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1" s="67">
        <f ca="1">IF(Montageplatten[[#This Row],[konf Rahmenbed]]+Montageplatten[[#This Row],[konf MPH]]=2,1,0)</f>
        <v>0</v>
      </c>
      <c r="AP11" s="26" t="str">
        <f ca="1">Sprache!$A$137</f>
        <v>Eco Kreuz Mtg-Platte</v>
      </c>
      <c r="AQ11" t="s">
        <v>737</v>
      </c>
      <c r="AR11" t="str">
        <f ca="1">Sprache!$A$134</f>
        <v>Tiomos Montageplatten</v>
      </c>
      <c r="AS11" s="18">
        <v>1</v>
      </c>
      <c r="AT11" s="18">
        <v>0</v>
      </c>
      <c r="AU11" s="18">
        <v>0</v>
      </c>
      <c r="AV11" s="18">
        <v>0</v>
      </c>
      <c r="AW11" s="2">
        <v>0</v>
      </c>
      <c r="AX11" s="2">
        <v>1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 s="861" t="s">
        <v>736</v>
      </c>
    </row>
    <row r="12" spans="1:62" ht="13.5" customHeight="1" x14ac:dyDescent="0.25">
      <c r="A12" s="24" t="str">
        <f t="shared" si="0"/>
        <v>F058</v>
      </c>
      <c r="B12" t="str">
        <f t="shared" si="1"/>
        <v>139</v>
      </c>
      <c r="C12" s="24" t="str">
        <f t="shared" si="2"/>
        <v>726</v>
      </c>
      <c r="D1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2" s="19">
        <f>IF(Montageplatten[[#This Row],[37/32]]=1,1,IF(Montageplatten[[#This Row],[28/32]]=1,2,0))</f>
        <v>1</v>
      </c>
      <c r="G12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2" s="19">
        <f>IF(Montageplatten[[#This Row],[Typ]]+Montageplatten[[#This Row],[Befestigung]]=2,1,0)</f>
        <v>0</v>
      </c>
      <c r="I12" s="19">
        <f>IF(Montageplatten[[#This Row],[Randbedingungen]]+IF(Montageplatten[[#This Row],[Höhe]]=select!$B$70,1,0)=2,1,0)</f>
        <v>0</v>
      </c>
      <c r="J12" s="19">
        <f>IF(Montageplatten[[#This Row],[Randbedingungen]]+IF(Montageplatten[[#This Row],[Höhe]]=select!$D$70,1,0)=2,1,0)</f>
        <v>0</v>
      </c>
      <c r="K12" s="19">
        <f>IF(Montageplatten[[#This Row],[Randbedingungen]]+IF(Montageplatten[[#This Row],[Höhe]]=select!$F$70,1,0)=2,1,0)</f>
        <v>0</v>
      </c>
      <c r="L12" s="19">
        <f>IF(Montageplatten[[#This Row],[Randbedingungen]]+IF(Montageplatten[[#This Row],[Höhe]]=select!$H$70,1,0)=2,1,0)</f>
        <v>0</v>
      </c>
      <c r="M1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2" s="67">
        <f>IF(select!$M$317=Montageplatten[[#This Row],[Höhe]],1,0)</f>
        <v>0</v>
      </c>
      <c r="P1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2" s="67">
        <f>IF(Montageplatten[[#This Row],[Typ_winkel]]+Montageplatten[[#This Row],[Befest_Winkel]]=2,1,0)</f>
        <v>0</v>
      </c>
      <c r="S12" s="67">
        <f>IF(Montageplatten[[#This Row],[MPH Winkel]]+Montageplatten[[#This Row],[Typ_winkel]]+Montageplatten[[#This Row],[Befest_Winkel]]=3,1,0)</f>
        <v>0</v>
      </c>
      <c r="T12" s="295">
        <f ca="1">IF(select!$M$746=Montageplatten[[#This Row],[Höhe]],1,0)</f>
        <v>0</v>
      </c>
      <c r="U1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2" s="67">
        <f>IF(Montageplatten[[#This Row],[Typ Spezial]]+Montageplatten[[#This Row],[Befest Spezial]]=2,1,0)</f>
        <v>0</v>
      </c>
      <c r="X12" s="67">
        <f ca="1">IF(Montageplatten[[#This Row],[MPH Spezial]]+Montageplatten[[#This Row],[Typ Spezial]]+Montageplatten[[#This Row],[Befest Spezial]]=3,1,0)</f>
        <v>0</v>
      </c>
      <c r="Y12" s="67" t="e">
        <f ca="1">IF(Montageplatten[[#This Row],[AG Rand]]+IF(Montageplatten[[#This Row],[Höhe]]=select!$C$1212,1,0)=2,1,0)</f>
        <v>#VALUE!</v>
      </c>
      <c r="Z12" s="67" t="e">
        <f ca="1">IF(Montageplatten[[#This Row],[AG Rand]]+IF(Montageplatten[[#This Row],[Höhe]]=select!$E$1212,1,0)=2,1,0)</f>
        <v>#VALUE!</v>
      </c>
      <c r="AA12" s="67" t="e">
        <f ca="1">IF(Montageplatten[[#This Row],[AG Rand]]+IF(Montageplatten[[#This Row],[Höhe]]=select!$G$1212,1,0)=2,1,0)</f>
        <v>#VALUE!</v>
      </c>
      <c r="AB12" s="67" t="e">
        <f ca="1">IF(Montageplatten[[#This Row],[AG Rand]]+IF(Montageplatten[[#This Row],[Höhe]]=select!$I$1212,1,0)=2,1,0)</f>
        <v>#VALUE!</v>
      </c>
      <c r="AC1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2" s="67">
        <f>IF(Montageplatten[[#This Row],[AG Typ]]+Montageplatten[[#This Row],[AG Bef]]=2,1,0)</f>
        <v>0</v>
      </c>
      <c r="AG1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2" s="67">
        <f ca="1">IF(Montageplatten[[#This Row],[AG MPH]]+Montageplatten[[#This Row],[AG Typ]]+Montageplatten[[#This Row],[AG Bef]]=3,1,0)</f>
        <v>0</v>
      </c>
      <c r="AJ12" s="67">
        <f ca="1">IF(select!$K$980="*",Montageplatten[[#This Row],[AG Ges2]],Montageplatten[[#This Row],[AG Ges1]])</f>
        <v>0</v>
      </c>
      <c r="AK1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2" s="67">
        <f>IF(Montageplatten[[#This Row],[konf Typ]]+Montageplatten[[#This Row],[konf Befest]]=2,1,0)</f>
        <v>0</v>
      </c>
      <c r="AN1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2" s="67">
        <f ca="1">IF(Montageplatten[[#This Row],[konf Rahmenbed]]+Montageplatten[[#This Row],[konf MPH]]=2,1,0)</f>
        <v>0</v>
      </c>
      <c r="AP12" s="26" t="str">
        <f ca="1">Sprache!$A$137</f>
        <v>Eco Kreuz Mtg-Platte</v>
      </c>
      <c r="AQ12" t="s">
        <v>746</v>
      </c>
      <c r="AR12" t="str">
        <f ca="1">Sprache!$A$134</f>
        <v>Tiomos Montageplatten</v>
      </c>
      <c r="AS12" s="18">
        <v>1</v>
      </c>
      <c r="AT12" s="18">
        <v>0</v>
      </c>
      <c r="AU12" s="18">
        <v>0</v>
      </c>
      <c r="AV12" s="18">
        <v>0</v>
      </c>
      <c r="AW12" s="2">
        <v>1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>
        <v>1</v>
      </c>
      <c r="BE12">
        <v>0</v>
      </c>
      <c r="BF12">
        <v>0</v>
      </c>
      <c r="BG12">
        <v>0</v>
      </c>
      <c r="BH12">
        <v>0</v>
      </c>
      <c r="BI12">
        <v>0</v>
      </c>
      <c r="BJ12" s="861" t="s">
        <v>745</v>
      </c>
    </row>
    <row r="13" spans="1:62" ht="13.5" customHeight="1" x14ac:dyDescent="0.25">
      <c r="A13" s="24" t="str">
        <f t="shared" si="0"/>
        <v>F058</v>
      </c>
      <c r="B13" t="str">
        <f t="shared" si="1"/>
        <v>139</v>
      </c>
      <c r="C13" s="24" t="str">
        <f t="shared" si="2"/>
        <v>736</v>
      </c>
      <c r="D1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3" s="19">
        <f>IF(Montageplatten[[#This Row],[37/32]]=1,1,IF(Montageplatten[[#This Row],[28/32]]=1,2,0))</f>
        <v>1</v>
      </c>
      <c r="G13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3" s="19">
        <f>IF(Montageplatten[[#This Row],[Typ]]+Montageplatten[[#This Row],[Befestigung]]=2,1,0)</f>
        <v>0</v>
      </c>
      <c r="I13" s="19">
        <f>IF(Montageplatten[[#This Row],[Randbedingungen]]+IF(Montageplatten[[#This Row],[Höhe]]=select!$B$70,1,0)=2,1,0)</f>
        <v>0</v>
      </c>
      <c r="J13" s="19">
        <f>IF(Montageplatten[[#This Row],[Randbedingungen]]+IF(Montageplatten[[#This Row],[Höhe]]=select!$D$70,1,0)=2,1,0)</f>
        <v>0</v>
      </c>
      <c r="K13" s="19">
        <f>IF(Montageplatten[[#This Row],[Randbedingungen]]+IF(Montageplatten[[#This Row],[Höhe]]=select!$F$70,1,0)=2,1,0)</f>
        <v>0</v>
      </c>
      <c r="L13" s="19">
        <f>IF(Montageplatten[[#This Row],[Randbedingungen]]+IF(Montageplatten[[#This Row],[Höhe]]=select!$H$70,1,0)=2,1,0)</f>
        <v>0</v>
      </c>
      <c r="M1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3" s="67">
        <f>IF(select!$M$317=Montageplatten[[#This Row],[Höhe]],1,0)</f>
        <v>0</v>
      </c>
      <c r="P1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3" s="67">
        <f>IF(Montageplatten[[#This Row],[Typ_winkel]]+Montageplatten[[#This Row],[Befest_Winkel]]=2,1,0)</f>
        <v>0</v>
      </c>
      <c r="S13" s="67">
        <f>IF(Montageplatten[[#This Row],[MPH Winkel]]+Montageplatten[[#This Row],[Typ_winkel]]+Montageplatten[[#This Row],[Befest_Winkel]]=3,1,0)</f>
        <v>0</v>
      </c>
      <c r="T13" s="295">
        <f ca="1">IF(select!$M$746=Montageplatten[[#This Row],[Höhe]],1,0)</f>
        <v>0</v>
      </c>
      <c r="U1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3" s="67">
        <f>IF(Montageplatten[[#This Row],[Typ Spezial]]+Montageplatten[[#This Row],[Befest Spezial]]=2,1,0)</f>
        <v>0</v>
      </c>
      <c r="X13" s="67">
        <f ca="1">IF(Montageplatten[[#This Row],[MPH Spezial]]+Montageplatten[[#This Row],[Typ Spezial]]+Montageplatten[[#This Row],[Befest Spezial]]=3,1,0)</f>
        <v>0</v>
      </c>
      <c r="Y13" s="67" t="e">
        <f ca="1">IF(Montageplatten[[#This Row],[AG Rand]]+IF(Montageplatten[[#This Row],[Höhe]]=select!$C$1212,1,0)=2,1,0)</f>
        <v>#VALUE!</v>
      </c>
      <c r="Z13" s="67" t="e">
        <f ca="1">IF(Montageplatten[[#This Row],[AG Rand]]+IF(Montageplatten[[#This Row],[Höhe]]=select!$E$1212,1,0)=2,1,0)</f>
        <v>#VALUE!</v>
      </c>
      <c r="AA13" s="67" t="e">
        <f ca="1">IF(Montageplatten[[#This Row],[AG Rand]]+IF(Montageplatten[[#This Row],[Höhe]]=select!$G$1212,1,0)=2,1,0)</f>
        <v>#VALUE!</v>
      </c>
      <c r="AB13" s="67" t="e">
        <f ca="1">IF(Montageplatten[[#This Row],[AG Rand]]+IF(Montageplatten[[#This Row],[Höhe]]=select!$I$1212,1,0)=2,1,0)</f>
        <v>#VALUE!</v>
      </c>
      <c r="AC1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3" s="67">
        <f>IF(Montageplatten[[#This Row],[AG Typ]]+Montageplatten[[#This Row],[AG Bef]]=2,1,0)</f>
        <v>0</v>
      </c>
      <c r="AG1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3" s="67">
        <f ca="1">IF(Montageplatten[[#This Row],[AG MPH]]+Montageplatten[[#This Row],[AG Typ]]+Montageplatten[[#This Row],[AG Bef]]=3,1,0)</f>
        <v>0</v>
      </c>
      <c r="AJ13" s="67">
        <f ca="1">IF(select!$K$980="*",Montageplatten[[#This Row],[AG Ges2]],Montageplatten[[#This Row],[AG Ges1]])</f>
        <v>0</v>
      </c>
      <c r="AK1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3" s="67">
        <f>IF(Montageplatten[[#This Row],[konf Typ]]+Montageplatten[[#This Row],[konf Befest]]=2,1,0)</f>
        <v>0</v>
      </c>
      <c r="AN1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3" s="67">
        <f ca="1">IF(Montageplatten[[#This Row],[konf Rahmenbed]]+Montageplatten[[#This Row],[konf MPH]]=2,1,0)</f>
        <v>0</v>
      </c>
      <c r="AP13" s="26" t="str">
        <f ca="1">Sprache!$A$137</f>
        <v>Eco Kreuz Mtg-Platte</v>
      </c>
      <c r="AQ13" t="s">
        <v>755</v>
      </c>
      <c r="AR13" t="str">
        <f ca="1">Sprache!$A$134</f>
        <v>Tiomos Montageplatten</v>
      </c>
      <c r="AS13" s="18">
        <v>1</v>
      </c>
      <c r="AT13" s="18">
        <v>0</v>
      </c>
      <c r="AU13" s="18">
        <v>0</v>
      </c>
      <c r="AV13" s="18">
        <v>0</v>
      </c>
      <c r="AW13" s="2">
        <v>0</v>
      </c>
      <c r="AX13" s="2">
        <v>0</v>
      </c>
      <c r="AY13" s="2">
        <v>0</v>
      </c>
      <c r="AZ13" s="2">
        <v>1</v>
      </c>
      <c r="BA13" s="2">
        <v>0</v>
      </c>
      <c r="BB13" s="2">
        <v>0</v>
      </c>
      <c r="BC13" s="2">
        <v>0</v>
      </c>
      <c r="BD13">
        <v>1</v>
      </c>
      <c r="BE13">
        <v>0</v>
      </c>
      <c r="BF13">
        <v>0</v>
      </c>
      <c r="BG13">
        <v>0</v>
      </c>
      <c r="BH13">
        <v>0</v>
      </c>
      <c r="BI13">
        <v>0</v>
      </c>
      <c r="BJ13" s="861" t="s">
        <v>754</v>
      </c>
    </row>
    <row r="14" spans="1:62" ht="13.5" customHeight="1" x14ac:dyDescent="0.25">
      <c r="A14" s="24" t="str">
        <f t="shared" si="0"/>
        <v>F058</v>
      </c>
      <c r="B14" t="str">
        <f t="shared" si="1"/>
        <v>139</v>
      </c>
      <c r="C14" s="24" t="str">
        <f t="shared" si="2"/>
        <v>831</v>
      </c>
      <c r="D14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1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4" s="49">
        <f>IF(Montageplatten[[#This Row],[37/32]]=1,1,IF(Montageplatten[[#This Row],[28/32]]=1,2,0))</f>
        <v>0</v>
      </c>
      <c r="G14" s="49">
        <f>IF(OR(select!$B$70=Montageplatten[[#This Row],[Höhe]],select!$D$70=Montageplatten[[#This Row],[Höhe]],select!$F$70=Montageplatten[[#This Row],[Höhe]],select!$H$70=Montageplatten[[#This Row],[Höhe]])=TRUE,1,0)</f>
        <v>1</v>
      </c>
      <c r="H14" s="19">
        <f>IF(Montageplatten[[#This Row],[Typ]]+Montageplatten[[#This Row],[Befestigung]]=2,1,0)</f>
        <v>0</v>
      </c>
      <c r="I14" s="19">
        <f>IF(Montageplatten[[#This Row],[Randbedingungen]]+IF(Montageplatten[[#This Row],[Höhe]]=select!$B$70,1,0)=2,1,0)</f>
        <v>0</v>
      </c>
      <c r="J14" s="19">
        <f>IF(Montageplatten[[#This Row],[Randbedingungen]]+IF(Montageplatten[[#This Row],[Höhe]]=select!$D$70,1,0)=2,1,0)</f>
        <v>0</v>
      </c>
      <c r="K14" s="19">
        <f>IF(Montageplatten[[#This Row],[Randbedingungen]]+IF(Montageplatten[[#This Row],[Höhe]]=select!$F$70,1,0)=2,1,0)</f>
        <v>0</v>
      </c>
      <c r="L14" s="19">
        <f>IF(Montageplatten[[#This Row],[Randbedingungen]]+IF(Montageplatten[[#This Row],[Höhe]]=select!$H$70,1,0)=2,1,0)</f>
        <v>0</v>
      </c>
      <c r="M1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4" s="67">
        <f>IF(select!$M$317=Montageplatten[[#This Row],[Höhe]],1,0)</f>
        <v>0</v>
      </c>
      <c r="P14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1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4" s="67">
        <f>IF(Montageplatten[[#This Row],[Typ_winkel]]+Montageplatten[[#This Row],[Befest_Winkel]]=2,1,0)</f>
        <v>0</v>
      </c>
      <c r="S14" s="67">
        <f>IF(Montageplatten[[#This Row],[MPH Winkel]]+Montageplatten[[#This Row],[Typ_winkel]]+Montageplatten[[#This Row],[Befest_Winkel]]=3,1,0)</f>
        <v>0</v>
      </c>
      <c r="T14" s="295">
        <f ca="1">IF(select!$M$746=Montageplatten[[#This Row],[Höhe]],1,0)</f>
        <v>0</v>
      </c>
      <c r="U14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1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4" s="67">
        <f>IF(Montageplatten[[#This Row],[Typ Spezial]]+Montageplatten[[#This Row],[Befest Spezial]]=2,1,0)</f>
        <v>0</v>
      </c>
      <c r="X14" s="67">
        <f ca="1">IF(Montageplatten[[#This Row],[MPH Spezial]]+Montageplatten[[#This Row],[Typ Spezial]]+Montageplatten[[#This Row],[Befest Spezial]]=3,1,0)</f>
        <v>0</v>
      </c>
      <c r="Y14" s="67" t="e">
        <f ca="1">IF(Montageplatten[[#This Row],[AG Rand]]+IF(Montageplatten[[#This Row],[Höhe]]=select!$C$1212,1,0)=2,1,0)</f>
        <v>#VALUE!</v>
      </c>
      <c r="Z14" s="67" t="e">
        <f ca="1">IF(Montageplatten[[#This Row],[AG Rand]]+IF(Montageplatten[[#This Row],[Höhe]]=select!$E$1212,1,0)=2,1,0)</f>
        <v>#VALUE!</v>
      </c>
      <c r="AA14" s="67" t="e">
        <f ca="1">IF(Montageplatten[[#This Row],[AG Rand]]+IF(Montageplatten[[#This Row],[Höhe]]=select!$G$1212,1,0)=2,1,0)</f>
        <v>#VALUE!</v>
      </c>
      <c r="AB14" s="67" t="e">
        <f ca="1">IF(Montageplatten[[#This Row],[AG Rand]]+IF(Montageplatten[[#This Row],[Höhe]]=select!$I$1212,1,0)=2,1,0)</f>
        <v>#VALUE!</v>
      </c>
      <c r="AC1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4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1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4" s="67">
        <f>IF(Montageplatten[[#This Row],[AG Typ]]+Montageplatten[[#This Row],[AG Bef]]=2,1,0)</f>
        <v>0</v>
      </c>
      <c r="AG1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4" s="67">
        <f ca="1">IF(Montageplatten[[#This Row],[AG MPH]]+Montageplatten[[#This Row],[AG Typ]]+Montageplatten[[#This Row],[AG Bef]]=3,1,0)</f>
        <v>0</v>
      </c>
      <c r="AJ14" s="67">
        <f ca="1">IF(select!$K$980="*",Montageplatten[[#This Row],[AG Ges2]],Montageplatten[[#This Row],[AG Ges1]])</f>
        <v>0</v>
      </c>
      <c r="AK14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1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4" s="67">
        <f>IF(Montageplatten[[#This Row],[konf Typ]]+Montageplatten[[#This Row],[konf Befest]]=2,1,0)</f>
        <v>0</v>
      </c>
      <c r="AN1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4" s="67">
        <f ca="1">IF(Montageplatten[[#This Row],[konf Rahmenbed]]+Montageplatten[[#This Row],[konf MPH]]=2,1,0)</f>
        <v>0</v>
      </c>
      <c r="AP14" s="26" t="s">
        <v>1371</v>
      </c>
      <c r="AQ14" t="s">
        <v>1372</v>
      </c>
      <c r="AR14" t="str">
        <f ca="1">Sprache!$A$134</f>
        <v>Tiomos Montageplatten</v>
      </c>
      <c r="AS14" s="18">
        <v>0</v>
      </c>
      <c r="AT14" s="18">
        <v>0</v>
      </c>
      <c r="AU14" s="18">
        <v>0</v>
      </c>
      <c r="AV14" s="18">
        <v>1</v>
      </c>
      <c r="AW14" s="2">
        <v>0</v>
      </c>
      <c r="AX14" s="2">
        <v>1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0</v>
      </c>
      <c r="BJ14" s="861" t="s">
        <v>1374</v>
      </c>
    </row>
    <row r="15" spans="1:62" ht="13.5" customHeight="1" x14ac:dyDescent="0.25">
      <c r="A15" s="24" t="str">
        <f t="shared" si="0"/>
        <v>F058</v>
      </c>
      <c r="B15" t="str">
        <f t="shared" si="1"/>
        <v>139</v>
      </c>
      <c r="C15" s="24" t="str">
        <f t="shared" si="2"/>
        <v>746</v>
      </c>
      <c r="D1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5" s="19">
        <f>IF(Montageplatten[[#This Row],[37/32]]=1,1,IF(Montageplatten[[#This Row],[28/32]]=1,2,0))</f>
        <v>1</v>
      </c>
      <c r="G15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5" s="19">
        <f>IF(Montageplatten[[#This Row],[Typ]]+Montageplatten[[#This Row],[Befestigung]]=2,1,0)</f>
        <v>1</v>
      </c>
      <c r="I15" s="19">
        <f>IF(Montageplatten[[#This Row],[Randbedingungen]]+IF(Montageplatten[[#This Row],[Höhe]]=select!$B$70,1,0)=2,1,0)</f>
        <v>0</v>
      </c>
      <c r="J15" s="19">
        <f>IF(Montageplatten[[#This Row],[Randbedingungen]]+IF(Montageplatten[[#This Row],[Höhe]]=select!$D$70,1,0)=2,1,0)</f>
        <v>0</v>
      </c>
      <c r="K15" s="19">
        <f>IF(Montageplatten[[#This Row],[Randbedingungen]]+IF(Montageplatten[[#This Row],[Höhe]]=select!$F$70,1,0)=2,1,0)</f>
        <v>0</v>
      </c>
      <c r="L15" s="19">
        <f>IF(Montageplatten[[#This Row],[Randbedingungen]]+IF(Montageplatten[[#This Row],[Höhe]]=select!$H$70,1,0)=2,1,0)</f>
        <v>1</v>
      </c>
      <c r="M1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5" s="33">
        <f ca="1">IF(Montageplatten[[#This Row],[Kröpfung 3]]+Montageplatten[[#This Row],[Kröpfung 0]]+Montageplatten[[#This Row],[Kröpfung 9,5]]+Montageplatten[[#This Row],[Kröpfung 19]]+Montageplatten[[#This Row],[auswahl K]]=2,1,0)</f>
        <v>1</v>
      </c>
      <c r="O15" s="67">
        <f>IF(select!$M$317=Montageplatten[[#This Row],[Höhe]],1,0)</f>
        <v>0</v>
      </c>
      <c r="P1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5" s="67">
        <f>IF(Montageplatten[[#This Row],[Typ_winkel]]+Montageplatten[[#This Row],[Befest_Winkel]]=2,1,0)</f>
        <v>1</v>
      </c>
      <c r="S15" s="67">
        <f>IF(Montageplatten[[#This Row],[MPH Winkel]]+Montageplatten[[#This Row],[Typ_winkel]]+Montageplatten[[#This Row],[Befest_Winkel]]=3,1,0)</f>
        <v>0</v>
      </c>
      <c r="T15" s="295">
        <f ca="1">IF(select!$M$746=Montageplatten[[#This Row],[Höhe]],1,0)</f>
        <v>0</v>
      </c>
      <c r="U1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5" s="67">
        <f>IF(Montageplatten[[#This Row],[Typ Spezial]]+Montageplatten[[#This Row],[Befest Spezial]]=2,1,0)</f>
        <v>1</v>
      </c>
      <c r="X15" s="67">
        <f ca="1">IF(Montageplatten[[#This Row],[MPH Spezial]]+Montageplatten[[#This Row],[Typ Spezial]]+Montageplatten[[#This Row],[Befest Spezial]]=3,1,0)</f>
        <v>0</v>
      </c>
      <c r="Y15" s="67" t="e">
        <f ca="1">IF(Montageplatten[[#This Row],[AG Rand]]+IF(Montageplatten[[#This Row],[Höhe]]=select!$C$1212,1,0)=2,1,0)</f>
        <v>#VALUE!</v>
      </c>
      <c r="Z15" s="67" t="e">
        <f ca="1">IF(Montageplatten[[#This Row],[AG Rand]]+IF(Montageplatten[[#This Row],[Höhe]]=select!$E$1212,1,0)=2,1,0)</f>
        <v>#VALUE!</v>
      </c>
      <c r="AA15" s="67" t="e">
        <f ca="1">IF(Montageplatten[[#This Row],[AG Rand]]+IF(Montageplatten[[#This Row],[Höhe]]=select!$G$1212,1,0)=2,1,0)</f>
        <v>#VALUE!</v>
      </c>
      <c r="AB15" s="67" t="e">
        <f ca="1">IF(Montageplatten[[#This Row],[AG Rand]]+IF(Montageplatten[[#This Row],[Höhe]]=select!$I$1212,1,0)=2,1,0)</f>
        <v>#VALUE!</v>
      </c>
      <c r="AC1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5" s="67">
        <f>IF(Montageplatten[[#This Row],[AG Typ]]+Montageplatten[[#This Row],[AG Bef]]=2,1,0)</f>
        <v>1</v>
      </c>
      <c r="AG1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5" s="67">
        <f ca="1">IF(Montageplatten[[#This Row],[AG MPH]]+Montageplatten[[#This Row],[AG Typ]]+Montageplatten[[#This Row],[AG Bef]]=3,1,0)</f>
        <v>0</v>
      </c>
      <c r="AJ15" s="67">
        <f ca="1">IF(select!$K$980="*",Montageplatten[[#This Row],[AG Ges2]],Montageplatten[[#This Row],[AG Ges1]])</f>
        <v>0</v>
      </c>
      <c r="AK1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5" s="67">
        <f>IF(Montageplatten[[#This Row],[konf Typ]]+Montageplatten[[#This Row],[konf Befest]]=2,1,0)</f>
        <v>1</v>
      </c>
      <c r="AN1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5" s="67">
        <f ca="1">IF(Montageplatten[[#This Row],[konf Rahmenbed]]+Montageplatten[[#This Row],[konf MPH]]=2,1,0)</f>
        <v>0</v>
      </c>
      <c r="AP15" s="26" t="str">
        <f ca="1">Sprache!$A$136</f>
        <v>1D Kreuz Mtg-Platte</v>
      </c>
      <c r="AQ15" t="s">
        <v>737</v>
      </c>
      <c r="AR15" t="str">
        <f ca="1">Sprache!$A$134</f>
        <v>Tiomos Montageplatten</v>
      </c>
      <c r="AS15" s="18">
        <v>1</v>
      </c>
      <c r="AT15" s="18">
        <v>0</v>
      </c>
      <c r="AU15" s="18">
        <v>0</v>
      </c>
      <c r="AV15" s="18">
        <v>0</v>
      </c>
      <c r="AW15" s="2">
        <v>0</v>
      </c>
      <c r="AX15" s="2">
        <v>1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 s="861" t="s">
        <v>761</v>
      </c>
    </row>
    <row r="16" spans="1:62" ht="13.5" customHeight="1" x14ac:dyDescent="0.25">
      <c r="A16" s="24" t="str">
        <f t="shared" si="0"/>
        <v>F058</v>
      </c>
      <c r="B16" t="str">
        <f t="shared" si="1"/>
        <v>139</v>
      </c>
      <c r="C16" s="24" t="str">
        <f t="shared" si="2"/>
        <v>751</v>
      </c>
      <c r="D1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6" s="19">
        <f>IF(Montageplatten[[#This Row],[37/32]]=1,1,IF(Montageplatten[[#This Row],[28/32]]=1,2,0))</f>
        <v>1</v>
      </c>
      <c r="G16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6" s="19">
        <f>IF(Montageplatten[[#This Row],[Typ]]+Montageplatten[[#This Row],[Befestigung]]=2,1,0)</f>
        <v>0</v>
      </c>
      <c r="I16" s="19">
        <f>IF(Montageplatten[[#This Row],[Randbedingungen]]+IF(Montageplatten[[#This Row],[Höhe]]=select!$B$70,1,0)=2,1,0)</f>
        <v>0</v>
      </c>
      <c r="J16" s="19">
        <f>IF(Montageplatten[[#This Row],[Randbedingungen]]+IF(Montageplatten[[#This Row],[Höhe]]=select!$D$70,1,0)=2,1,0)</f>
        <v>0</v>
      </c>
      <c r="K16" s="19">
        <f>IF(Montageplatten[[#This Row],[Randbedingungen]]+IF(Montageplatten[[#This Row],[Höhe]]=select!$F$70,1,0)=2,1,0)</f>
        <v>0</v>
      </c>
      <c r="L16" s="19">
        <f>IF(Montageplatten[[#This Row],[Randbedingungen]]+IF(Montageplatten[[#This Row],[Höhe]]=select!$H$70,1,0)=2,1,0)</f>
        <v>0</v>
      </c>
      <c r="M1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6" s="67">
        <f>IF(select!$M$317=Montageplatten[[#This Row],[Höhe]],1,0)</f>
        <v>0</v>
      </c>
      <c r="P1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6" s="67">
        <f>IF(Montageplatten[[#This Row],[Typ_winkel]]+Montageplatten[[#This Row],[Befest_Winkel]]=2,1,0)</f>
        <v>0</v>
      </c>
      <c r="S16" s="67">
        <f>IF(Montageplatten[[#This Row],[MPH Winkel]]+Montageplatten[[#This Row],[Typ_winkel]]+Montageplatten[[#This Row],[Befest_Winkel]]=3,1,0)</f>
        <v>0</v>
      </c>
      <c r="T16" s="295">
        <f ca="1">IF(select!$M$746=Montageplatten[[#This Row],[Höhe]],1,0)</f>
        <v>0</v>
      </c>
      <c r="U1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6" s="67">
        <f>IF(Montageplatten[[#This Row],[Typ Spezial]]+Montageplatten[[#This Row],[Befest Spezial]]=2,1,0)</f>
        <v>0</v>
      </c>
      <c r="X16" s="67">
        <f ca="1">IF(Montageplatten[[#This Row],[MPH Spezial]]+Montageplatten[[#This Row],[Typ Spezial]]+Montageplatten[[#This Row],[Befest Spezial]]=3,1,0)</f>
        <v>0</v>
      </c>
      <c r="Y16" s="67" t="e">
        <f ca="1">IF(Montageplatten[[#This Row],[AG Rand]]+IF(Montageplatten[[#This Row],[Höhe]]=select!$C$1212,1,0)=2,1,0)</f>
        <v>#VALUE!</v>
      </c>
      <c r="Z16" s="67" t="e">
        <f ca="1">IF(Montageplatten[[#This Row],[AG Rand]]+IF(Montageplatten[[#This Row],[Höhe]]=select!$E$1212,1,0)=2,1,0)</f>
        <v>#VALUE!</v>
      </c>
      <c r="AA16" s="67" t="e">
        <f ca="1">IF(Montageplatten[[#This Row],[AG Rand]]+IF(Montageplatten[[#This Row],[Höhe]]=select!$G$1212,1,0)=2,1,0)</f>
        <v>#VALUE!</v>
      </c>
      <c r="AB16" s="67" t="e">
        <f ca="1">IF(Montageplatten[[#This Row],[AG Rand]]+IF(Montageplatten[[#This Row],[Höhe]]=select!$I$1212,1,0)=2,1,0)</f>
        <v>#VALUE!</v>
      </c>
      <c r="AC1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6" s="67">
        <f>IF(Montageplatten[[#This Row],[AG Typ]]+Montageplatten[[#This Row],[AG Bef]]=2,1,0)</f>
        <v>0</v>
      </c>
      <c r="AG1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6" s="67">
        <f ca="1">IF(Montageplatten[[#This Row],[AG MPH]]+Montageplatten[[#This Row],[AG Typ]]+Montageplatten[[#This Row],[AG Bef]]=3,1,0)</f>
        <v>0</v>
      </c>
      <c r="AJ16" s="67">
        <f ca="1">IF(select!$K$980="*",Montageplatten[[#This Row],[AG Ges2]],Montageplatten[[#This Row],[AG Ges1]])</f>
        <v>0</v>
      </c>
      <c r="AK1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6" s="67">
        <f>IF(Montageplatten[[#This Row],[konf Typ]]+Montageplatten[[#This Row],[konf Befest]]=2,1,0)</f>
        <v>0</v>
      </c>
      <c r="AN1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6" s="67">
        <f ca="1">IF(Montageplatten[[#This Row],[konf Rahmenbed]]+Montageplatten[[#This Row],[konf MPH]]=2,1,0)</f>
        <v>0</v>
      </c>
      <c r="AP16" s="26" t="str">
        <f ca="1">Sprache!$A$136</f>
        <v>1D Kreuz Mtg-Platte</v>
      </c>
      <c r="AQ16" t="s">
        <v>746</v>
      </c>
      <c r="AR16" t="str">
        <f ca="1">Sprache!$A$134</f>
        <v>Tiomos Montageplatten</v>
      </c>
      <c r="AS16" s="18">
        <v>1</v>
      </c>
      <c r="AT16" s="18">
        <v>0</v>
      </c>
      <c r="AU16" s="18">
        <v>0</v>
      </c>
      <c r="AV16" s="18">
        <v>0</v>
      </c>
      <c r="AW16" s="2">
        <v>1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 s="861" t="s">
        <v>43</v>
      </c>
    </row>
    <row r="17" spans="1:62" ht="13.5" customHeight="1" x14ac:dyDescent="0.25">
      <c r="A17" s="24" t="str">
        <f t="shared" si="0"/>
        <v>F058</v>
      </c>
      <c r="B17" t="str">
        <f t="shared" si="1"/>
        <v>139</v>
      </c>
      <c r="C17" s="24" t="str">
        <f t="shared" si="2"/>
        <v>756</v>
      </c>
      <c r="D1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7" s="19">
        <f>IF(Montageplatten[[#This Row],[37/32]]=1,1,IF(Montageplatten[[#This Row],[28/32]]=1,2,0))</f>
        <v>1</v>
      </c>
      <c r="G17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7" s="19">
        <f>IF(Montageplatten[[#This Row],[Typ]]+Montageplatten[[#This Row],[Befestigung]]=2,1,0)</f>
        <v>0</v>
      </c>
      <c r="I17" s="19">
        <f>IF(Montageplatten[[#This Row],[Randbedingungen]]+IF(Montageplatten[[#This Row],[Höhe]]=select!$B$70,1,0)=2,1,0)</f>
        <v>0</v>
      </c>
      <c r="J17" s="19">
        <f>IF(Montageplatten[[#This Row],[Randbedingungen]]+IF(Montageplatten[[#This Row],[Höhe]]=select!$D$70,1,0)=2,1,0)</f>
        <v>0</v>
      </c>
      <c r="K17" s="19">
        <f>IF(Montageplatten[[#This Row],[Randbedingungen]]+IF(Montageplatten[[#This Row],[Höhe]]=select!$F$70,1,0)=2,1,0)</f>
        <v>0</v>
      </c>
      <c r="L17" s="19">
        <f>IF(Montageplatten[[#This Row],[Randbedingungen]]+IF(Montageplatten[[#This Row],[Höhe]]=select!$H$70,1,0)=2,1,0)</f>
        <v>0</v>
      </c>
      <c r="M1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7" s="67">
        <f>IF(select!$M$317=Montageplatten[[#This Row],[Höhe]],1,0)</f>
        <v>0</v>
      </c>
      <c r="P1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7" s="67">
        <f>IF(Montageplatten[[#This Row],[Typ_winkel]]+Montageplatten[[#This Row],[Befest_Winkel]]=2,1,0)</f>
        <v>0</v>
      </c>
      <c r="S17" s="67">
        <f>IF(Montageplatten[[#This Row],[MPH Winkel]]+Montageplatten[[#This Row],[Typ_winkel]]+Montageplatten[[#This Row],[Befest_Winkel]]=3,1,0)</f>
        <v>0</v>
      </c>
      <c r="T17" s="295">
        <f ca="1">IF(select!$M$746=Montageplatten[[#This Row],[Höhe]],1,0)</f>
        <v>0</v>
      </c>
      <c r="U1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7" s="67">
        <f>IF(Montageplatten[[#This Row],[Typ Spezial]]+Montageplatten[[#This Row],[Befest Spezial]]=2,1,0)</f>
        <v>0</v>
      </c>
      <c r="X17" s="67">
        <f ca="1">IF(Montageplatten[[#This Row],[MPH Spezial]]+Montageplatten[[#This Row],[Typ Spezial]]+Montageplatten[[#This Row],[Befest Spezial]]=3,1,0)</f>
        <v>0</v>
      </c>
      <c r="Y17" s="67" t="e">
        <f ca="1">IF(Montageplatten[[#This Row],[AG Rand]]+IF(Montageplatten[[#This Row],[Höhe]]=select!$C$1212,1,0)=2,1,0)</f>
        <v>#VALUE!</v>
      </c>
      <c r="Z17" s="67" t="e">
        <f ca="1">IF(Montageplatten[[#This Row],[AG Rand]]+IF(Montageplatten[[#This Row],[Höhe]]=select!$E$1212,1,0)=2,1,0)</f>
        <v>#VALUE!</v>
      </c>
      <c r="AA17" s="67" t="e">
        <f ca="1">IF(Montageplatten[[#This Row],[AG Rand]]+IF(Montageplatten[[#This Row],[Höhe]]=select!$G$1212,1,0)=2,1,0)</f>
        <v>#VALUE!</v>
      </c>
      <c r="AB17" s="67" t="e">
        <f ca="1">IF(Montageplatten[[#This Row],[AG Rand]]+IF(Montageplatten[[#This Row],[Höhe]]=select!$I$1212,1,0)=2,1,0)</f>
        <v>#VALUE!</v>
      </c>
      <c r="AC1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7" s="67">
        <f>IF(Montageplatten[[#This Row],[AG Typ]]+Montageplatten[[#This Row],[AG Bef]]=2,1,0)</f>
        <v>0</v>
      </c>
      <c r="AG1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7" s="67">
        <f ca="1">IF(Montageplatten[[#This Row],[AG MPH]]+Montageplatten[[#This Row],[AG Typ]]+Montageplatten[[#This Row],[AG Bef]]=3,1,0)</f>
        <v>0</v>
      </c>
      <c r="AJ17" s="67">
        <f ca="1">IF(select!$K$980="*",Montageplatten[[#This Row],[AG Ges2]],Montageplatten[[#This Row],[AG Ges1]])</f>
        <v>0</v>
      </c>
      <c r="AK1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7" s="67">
        <f>IF(Montageplatten[[#This Row],[konf Typ]]+Montageplatten[[#This Row],[konf Befest]]=2,1,0)</f>
        <v>0</v>
      </c>
      <c r="AN1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7" s="67">
        <f ca="1">IF(Montageplatten[[#This Row],[konf Rahmenbed]]+Montageplatten[[#This Row],[konf MPH]]=2,1,0)</f>
        <v>0</v>
      </c>
      <c r="AP17" s="26" t="str">
        <f ca="1">Sprache!$A$136</f>
        <v>1D Kreuz Mtg-Platte</v>
      </c>
      <c r="AQ17" t="s">
        <v>767</v>
      </c>
      <c r="AR17" t="str">
        <f ca="1">Sprache!$A$134</f>
        <v>Tiomos Montageplatten</v>
      </c>
      <c r="AS17" s="18">
        <v>1</v>
      </c>
      <c r="AT17" s="18">
        <v>0</v>
      </c>
      <c r="AU17" s="18">
        <v>0</v>
      </c>
      <c r="AV17" s="18">
        <v>0</v>
      </c>
      <c r="AW17" s="2">
        <v>0</v>
      </c>
      <c r="AX17" s="2">
        <v>0</v>
      </c>
      <c r="AY17" s="2">
        <v>1</v>
      </c>
      <c r="AZ17" s="2">
        <v>0</v>
      </c>
      <c r="BA17" s="2">
        <v>0</v>
      </c>
      <c r="BB17" s="2">
        <v>0</v>
      </c>
      <c r="BC17" s="2">
        <v>0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 s="861" t="s">
        <v>766</v>
      </c>
    </row>
    <row r="18" spans="1:62" ht="13.5" customHeight="1" x14ac:dyDescent="0.25">
      <c r="A18" s="24" t="str">
        <f t="shared" si="0"/>
        <v>F058</v>
      </c>
      <c r="B18" t="str">
        <f t="shared" si="1"/>
        <v>139</v>
      </c>
      <c r="C18" s="24" t="str">
        <f t="shared" si="2"/>
        <v>761</v>
      </c>
      <c r="D1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8" s="19">
        <f>IF(Montageplatten[[#This Row],[37/32]]=1,1,IF(Montageplatten[[#This Row],[28/32]]=1,2,0))</f>
        <v>1</v>
      </c>
      <c r="G18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8" s="19">
        <f>IF(Montageplatten[[#This Row],[Typ]]+Montageplatten[[#This Row],[Befestigung]]=2,1,0)</f>
        <v>0</v>
      </c>
      <c r="I18" s="19">
        <f>IF(Montageplatten[[#This Row],[Randbedingungen]]+IF(Montageplatten[[#This Row],[Höhe]]=select!$B$70,1,0)=2,1,0)</f>
        <v>0</v>
      </c>
      <c r="J18" s="19">
        <f>IF(Montageplatten[[#This Row],[Randbedingungen]]+IF(Montageplatten[[#This Row],[Höhe]]=select!$D$70,1,0)=2,1,0)</f>
        <v>0</v>
      </c>
      <c r="K18" s="19">
        <f>IF(Montageplatten[[#This Row],[Randbedingungen]]+IF(Montageplatten[[#This Row],[Höhe]]=select!$F$70,1,0)=2,1,0)</f>
        <v>0</v>
      </c>
      <c r="L18" s="19">
        <f>IF(Montageplatten[[#This Row],[Randbedingungen]]+IF(Montageplatten[[#This Row],[Höhe]]=select!$H$70,1,0)=2,1,0)</f>
        <v>0</v>
      </c>
      <c r="M1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8" s="67">
        <f>IF(select!$M$317=Montageplatten[[#This Row],[Höhe]],1,0)</f>
        <v>0</v>
      </c>
      <c r="P1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8" s="67">
        <f>IF(Montageplatten[[#This Row],[Typ_winkel]]+Montageplatten[[#This Row],[Befest_Winkel]]=2,1,0)</f>
        <v>0</v>
      </c>
      <c r="S18" s="67">
        <f>IF(Montageplatten[[#This Row],[MPH Winkel]]+Montageplatten[[#This Row],[Typ_winkel]]+Montageplatten[[#This Row],[Befest_Winkel]]=3,1,0)</f>
        <v>0</v>
      </c>
      <c r="T18" s="295">
        <f ca="1">IF(select!$M$746=Montageplatten[[#This Row],[Höhe]],1,0)</f>
        <v>0</v>
      </c>
      <c r="U1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8" s="67">
        <f>IF(Montageplatten[[#This Row],[Typ Spezial]]+Montageplatten[[#This Row],[Befest Spezial]]=2,1,0)</f>
        <v>0</v>
      </c>
      <c r="X18" s="67">
        <f ca="1">IF(Montageplatten[[#This Row],[MPH Spezial]]+Montageplatten[[#This Row],[Typ Spezial]]+Montageplatten[[#This Row],[Befest Spezial]]=3,1,0)</f>
        <v>0</v>
      </c>
      <c r="Y18" s="67" t="e">
        <f ca="1">IF(Montageplatten[[#This Row],[AG Rand]]+IF(Montageplatten[[#This Row],[Höhe]]=select!$C$1212,1,0)=2,1,0)</f>
        <v>#VALUE!</v>
      </c>
      <c r="Z18" s="67" t="e">
        <f ca="1">IF(Montageplatten[[#This Row],[AG Rand]]+IF(Montageplatten[[#This Row],[Höhe]]=select!$E$1212,1,0)=2,1,0)</f>
        <v>#VALUE!</v>
      </c>
      <c r="AA18" s="67" t="e">
        <f ca="1">IF(Montageplatten[[#This Row],[AG Rand]]+IF(Montageplatten[[#This Row],[Höhe]]=select!$G$1212,1,0)=2,1,0)</f>
        <v>#VALUE!</v>
      </c>
      <c r="AB18" s="67" t="e">
        <f ca="1">IF(Montageplatten[[#This Row],[AG Rand]]+IF(Montageplatten[[#This Row],[Höhe]]=select!$I$1212,1,0)=2,1,0)</f>
        <v>#VALUE!</v>
      </c>
      <c r="AC1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8" s="67">
        <f>IF(Montageplatten[[#This Row],[AG Typ]]+Montageplatten[[#This Row],[AG Bef]]=2,1,0)</f>
        <v>0</v>
      </c>
      <c r="AG1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8" s="67">
        <f ca="1">IF(Montageplatten[[#This Row],[AG MPH]]+Montageplatten[[#This Row],[AG Typ]]+Montageplatten[[#This Row],[AG Bef]]=3,1,0)</f>
        <v>0</v>
      </c>
      <c r="AJ18" s="67">
        <f ca="1">IF(select!$K$980="*",Montageplatten[[#This Row],[AG Ges2]],Montageplatten[[#This Row],[AG Ges1]])</f>
        <v>0</v>
      </c>
      <c r="AK1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8" s="67">
        <f>IF(Montageplatten[[#This Row],[konf Typ]]+Montageplatten[[#This Row],[konf Befest]]=2,1,0)</f>
        <v>0</v>
      </c>
      <c r="AN1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8" s="67">
        <f ca="1">IF(Montageplatten[[#This Row],[konf Rahmenbed]]+Montageplatten[[#This Row],[konf MPH]]=2,1,0)</f>
        <v>0</v>
      </c>
      <c r="AP18" s="26" t="str">
        <f ca="1">Sprache!$A$136</f>
        <v>1D Kreuz Mtg-Platte</v>
      </c>
      <c r="AQ18" t="str">
        <f ca="1">"H 00, "&amp;Sprache!A71&amp;", ni /37"</f>
        <v>H 00, vorm. Euro, ni /37</v>
      </c>
      <c r="AR18" t="str">
        <f ca="1">Sprache!$A$134</f>
        <v>Tiomos Montageplatten</v>
      </c>
      <c r="AS18" s="18">
        <v>1</v>
      </c>
      <c r="AT18" s="18">
        <v>0</v>
      </c>
      <c r="AU18" s="18">
        <v>0</v>
      </c>
      <c r="AV18" s="18">
        <v>0</v>
      </c>
      <c r="AW18" s="2">
        <v>0</v>
      </c>
      <c r="AX18" s="2">
        <v>0</v>
      </c>
      <c r="AY18" s="2">
        <v>0</v>
      </c>
      <c r="AZ18" s="2">
        <v>1</v>
      </c>
      <c r="BA18" s="2">
        <v>0</v>
      </c>
      <c r="BB18" s="2">
        <v>0</v>
      </c>
      <c r="BC18" s="2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 s="861" t="s">
        <v>773</v>
      </c>
    </row>
    <row r="19" spans="1:62" ht="13.5" customHeight="1" x14ac:dyDescent="0.25">
      <c r="A19" s="24" t="str">
        <f t="shared" si="0"/>
        <v>F058</v>
      </c>
      <c r="B19" t="str">
        <f t="shared" si="1"/>
        <v>139</v>
      </c>
      <c r="C19" s="24" t="str">
        <f t="shared" si="2"/>
        <v>786</v>
      </c>
      <c r="D1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9" s="19">
        <f>IF(Montageplatten[[#This Row],[37/32]]=1,1,IF(Montageplatten[[#This Row],[28/32]]=1,2,0))</f>
        <v>2</v>
      </c>
      <c r="G19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9" s="19">
        <f>IF(Montageplatten[[#This Row],[Typ]]+Montageplatten[[#This Row],[Befestigung]]=2,1,0)</f>
        <v>0</v>
      </c>
      <c r="I19" s="19">
        <f>IF(Montageplatten[[#This Row],[Randbedingungen]]+IF(Montageplatten[[#This Row],[Höhe]]=select!$B$70,1,0)=2,1,0)</f>
        <v>0</v>
      </c>
      <c r="J19" s="19">
        <f>IF(Montageplatten[[#This Row],[Randbedingungen]]+IF(Montageplatten[[#This Row],[Höhe]]=select!$D$70,1,0)=2,1,0)</f>
        <v>0</v>
      </c>
      <c r="K19" s="19">
        <f>IF(Montageplatten[[#This Row],[Randbedingungen]]+IF(Montageplatten[[#This Row],[Höhe]]=select!$F$70,1,0)=2,1,0)</f>
        <v>0</v>
      </c>
      <c r="L19" s="19">
        <f>IF(Montageplatten[[#This Row],[Randbedingungen]]+IF(Montageplatten[[#This Row],[Höhe]]=select!$H$70,1,0)=2,1,0)</f>
        <v>0</v>
      </c>
      <c r="M1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9" s="67">
        <f>IF(select!$M$317=Montageplatten[[#This Row],[Höhe]],1,0)</f>
        <v>0</v>
      </c>
      <c r="P1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9" s="67">
        <f>IF(Montageplatten[[#This Row],[Typ_winkel]]+Montageplatten[[#This Row],[Befest_Winkel]]=2,1,0)</f>
        <v>0</v>
      </c>
      <c r="S19" s="67">
        <f>IF(Montageplatten[[#This Row],[MPH Winkel]]+Montageplatten[[#This Row],[Typ_winkel]]+Montageplatten[[#This Row],[Befest_Winkel]]=3,1,0)</f>
        <v>0</v>
      </c>
      <c r="T19" s="295">
        <f ca="1">IF(select!$M$746=Montageplatten[[#This Row],[Höhe]],1,0)</f>
        <v>0</v>
      </c>
      <c r="U1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9" s="67">
        <f>IF(Montageplatten[[#This Row],[Typ Spezial]]+Montageplatten[[#This Row],[Befest Spezial]]=2,1,0)</f>
        <v>0</v>
      </c>
      <c r="X19" s="67">
        <f ca="1">IF(Montageplatten[[#This Row],[MPH Spezial]]+Montageplatten[[#This Row],[Typ Spezial]]+Montageplatten[[#This Row],[Befest Spezial]]=3,1,0)</f>
        <v>0</v>
      </c>
      <c r="Y19" s="67" t="e">
        <f ca="1">IF(Montageplatten[[#This Row],[AG Rand]]+IF(Montageplatten[[#This Row],[Höhe]]=select!$C$1212,1,0)=2,1,0)</f>
        <v>#VALUE!</v>
      </c>
      <c r="Z19" s="67" t="e">
        <f ca="1">IF(Montageplatten[[#This Row],[AG Rand]]+IF(Montageplatten[[#This Row],[Höhe]]=select!$E$1212,1,0)=2,1,0)</f>
        <v>#VALUE!</v>
      </c>
      <c r="AA19" s="67" t="e">
        <f ca="1">IF(Montageplatten[[#This Row],[AG Rand]]+IF(Montageplatten[[#This Row],[Höhe]]=select!$G$1212,1,0)=2,1,0)</f>
        <v>#VALUE!</v>
      </c>
      <c r="AB19" s="67" t="e">
        <f ca="1">IF(Montageplatten[[#This Row],[AG Rand]]+IF(Montageplatten[[#This Row],[Höhe]]=select!$I$1212,1,0)=2,1,0)</f>
        <v>#VALUE!</v>
      </c>
      <c r="AC1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9" s="67">
        <f>IF(Montageplatten[[#This Row],[AG Typ]]+Montageplatten[[#This Row],[AG Bef]]=2,1,0)</f>
        <v>0</v>
      </c>
      <c r="AG1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9" s="67">
        <f ca="1">IF(Montageplatten[[#This Row],[AG MPH]]+Montageplatten[[#This Row],[AG Typ]]+Montageplatten[[#This Row],[AG Bef]]=3,1,0)</f>
        <v>0</v>
      </c>
      <c r="AJ19" s="67">
        <f ca="1">IF(select!$K$980="*",Montageplatten[[#This Row],[AG Ges2]],Montageplatten[[#This Row],[AG Ges1]])</f>
        <v>0</v>
      </c>
      <c r="AK1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9" s="67">
        <f>IF(Montageplatten[[#This Row],[konf Typ]]+Montageplatten[[#This Row],[konf Befest]]=2,1,0)</f>
        <v>0</v>
      </c>
      <c r="AN1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9" s="67">
        <f ca="1">IF(Montageplatten[[#This Row],[konf Rahmenbed]]+Montageplatten[[#This Row],[konf MPH]]=2,1,0)</f>
        <v>0</v>
      </c>
      <c r="AP19" s="26" t="str">
        <f ca="1">Sprache!$A$137</f>
        <v>Eco Kreuz Mtg-Platte</v>
      </c>
      <c r="AQ19" t="s">
        <v>780</v>
      </c>
      <c r="AR19" t="str">
        <f ca="1">Sprache!$A$134</f>
        <v>Tiomos Montageplatten</v>
      </c>
      <c r="AS19" s="18">
        <v>1</v>
      </c>
      <c r="AT19" s="18">
        <v>0</v>
      </c>
      <c r="AU19" s="18">
        <v>0</v>
      </c>
      <c r="AV19" s="18">
        <v>0</v>
      </c>
      <c r="AW19" s="2">
        <v>0</v>
      </c>
      <c r="AX19" s="2">
        <v>0</v>
      </c>
      <c r="AY19" s="2">
        <v>0</v>
      </c>
      <c r="AZ19" s="2">
        <v>1</v>
      </c>
      <c r="BA19" s="2">
        <v>0</v>
      </c>
      <c r="BB19" s="2">
        <v>0</v>
      </c>
      <c r="BC19" s="2">
        <v>0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0</v>
      </c>
      <c r="BJ19" s="11" t="s">
        <v>779</v>
      </c>
    </row>
    <row r="20" spans="1:62" ht="13.5" customHeight="1" x14ac:dyDescent="0.25">
      <c r="A20" s="24" t="str">
        <f t="shared" si="0"/>
        <v>F058</v>
      </c>
      <c r="B20" t="str">
        <f t="shared" si="1"/>
        <v>139</v>
      </c>
      <c r="C20" s="24" t="str">
        <f t="shared" si="2"/>
        <v>796</v>
      </c>
      <c r="D2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20" s="19">
        <f>IF(Montageplatten[[#This Row],[37/32]]=1,1,IF(Montageplatten[[#This Row],[28/32]]=1,2,0))</f>
        <v>2</v>
      </c>
      <c r="G20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0" s="19">
        <f>IF(Montageplatten[[#This Row],[Typ]]+Montageplatten[[#This Row],[Befestigung]]=2,1,0)</f>
        <v>1</v>
      </c>
      <c r="I20" s="19">
        <f>IF(Montageplatten[[#This Row],[Randbedingungen]]+IF(Montageplatten[[#This Row],[Höhe]]=select!$B$70,1,0)=2,1,0)</f>
        <v>0</v>
      </c>
      <c r="J20" s="19">
        <f>IF(Montageplatten[[#This Row],[Randbedingungen]]+IF(Montageplatten[[#This Row],[Höhe]]=select!$D$70,1,0)=2,1,0)</f>
        <v>0</v>
      </c>
      <c r="K20" s="19">
        <f>IF(Montageplatten[[#This Row],[Randbedingungen]]+IF(Montageplatten[[#This Row],[Höhe]]=select!$F$70,1,0)=2,1,0)</f>
        <v>0</v>
      </c>
      <c r="L20" s="19">
        <f>IF(Montageplatten[[#This Row],[Randbedingungen]]+IF(Montageplatten[[#This Row],[Höhe]]=select!$H$70,1,0)=2,1,0)</f>
        <v>1</v>
      </c>
      <c r="M2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0" s="33">
        <f ca="1">IF(Montageplatten[[#This Row],[Kröpfung 3]]+Montageplatten[[#This Row],[Kröpfung 0]]+Montageplatten[[#This Row],[Kröpfung 9,5]]+Montageplatten[[#This Row],[Kröpfung 19]]+Montageplatten[[#This Row],[auswahl K]]=2,1,0)</f>
        <v>1</v>
      </c>
      <c r="O20" s="67">
        <f>IF(select!$M$317=Montageplatten[[#This Row],[Höhe]],1,0)</f>
        <v>0</v>
      </c>
      <c r="P2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20" s="67">
        <f>IF(Montageplatten[[#This Row],[Typ_winkel]]+Montageplatten[[#This Row],[Befest_Winkel]]=2,1,0)</f>
        <v>1</v>
      </c>
      <c r="S20" s="67">
        <f>IF(Montageplatten[[#This Row],[MPH Winkel]]+Montageplatten[[#This Row],[Typ_winkel]]+Montageplatten[[#This Row],[Befest_Winkel]]=3,1,0)</f>
        <v>0</v>
      </c>
      <c r="T20" s="295">
        <f ca="1">IF(select!$M$746=Montageplatten[[#This Row],[Höhe]],1,0)</f>
        <v>0</v>
      </c>
      <c r="U2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20" s="67">
        <f>IF(Montageplatten[[#This Row],[Typ Spezial]]+Montageplatten[[#This Row],[Befest Spezial]]=2,1,0)</f>
        <v>1</v>
      </c>
      <c r="X20" s="67">
        <f ca="1">IF(Montageplatten[[#This Row],[MPH Spezial]]+Montageplatten[[#This Row],[Typ Spezial]]+Montageplatten[[#This Row],[Befest Spezial]]=3,1,0)</f>
        <v>0</v>
      </c>
      <c r="Y20" s="67" t="e">
        <f ca="1">IF(Montageplatten[[#This Row],[AG Rand]]+IF(Montageplatten[[#This Row],[Höhe]]=select!$C$1212,1,0)=2,1,0)</f>
        <v>#VALUE!</v>
      </c>
      <c r="Z20" s="67" t="e">
        <f ca="1">IF(Montageplatten[[#This Row],[AG Rand]]+IF(Montageplatten[[#This Row],[Höhe]]=select!$E$1212,1,0)=2,1,0)</f>
        <v>#VALUE!</v>
      </c>
      <c r="AA20" s="67" t="e">
        <f ca="1">IF(Montageplatten[[#This Row],[AG Rand]]+IF(Montageplatten[[#This Row],[Höhe]]=select!$G$1212,1,0)=2,1,0)</f>
        <v>#VALUE!</v>
      </c>
      <c r="AB20" s="67" t="e">
        <f ca="1">IF(Montageplatten[[#This Row],[AG Rand]]+IF(Montageplatten[[#This Row],[Höhe]]=select!$I$1212,1,0)=2,1,0)</f>
        <v>#VALUE!</v>
      </c>
      <c r="AC2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20" s="67">
        <f>IF(Montageplatten[[#This Row],[AG Typ]]+Montageplatten[[#This Row],[AG Bef]]=2,1,0)</f>
        <v>1</v>
      </c>
      <c r="AG2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0" s="67">
        <f ca="1">IF(Montageplatten[[#This Row],[AG MPH]]+Montageplatten[[#This Row],[AG Typ]]+Montageplatten[[#This Row],[AG Bef]]=3,1,0)</f>
        <v>0</v>
      </c>
      <c r="AJ20" s="67">
        <f ca="1">IF(select!$K$980="*",Montageplatten[[#This Row],[AG Ges2]],Montageplatten[[#This Row],[AG Ges1]])</f>
        <v>0</v>
      </c>
      <c r="AK2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20" s="67">
        <f>IF(Montageplatten[[#This Row],[konf Typ]]+Montageplatten[[#This Row],[konf Befest]]=2,1,0)</f>
        <v>1</v>
      </c>
      <c r="AN2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0" s="67">
        <f ca="1">IF(Montageplatten[[#This Row],[konf Rahmenbed]]+Montageplatten[[#This Row],[konf MPH]]=2,1,0)</f>
        <v>0</v>
      </c>
      <c r="AP20" s="26" t="str">
        <f ca="1">Sprache!$A$136</f>
        <v>1D Kreuz Mtg-Platte</v>
      </c>
      <c r="AQ20" t="s">
        <v>786</v>
      </c>
      <c r="AR20" t="str">
        <f ca="1">Sprache!$A$134</f>
        <v>Tiomos Montageplatten</v>
      </c>
      <c r="AS20" s="18">
        <v>1</v>
      </c>
      <c r="AT20" s="18">
        <v>0</v>
      </c>
      <c r="AU20" s="18">
        <v>0</v>
      </c>
      <c r="AV20" s="18">
        <v>0</v>
      </c>
      <c r="AW20" s="2">
        <v>0</v>
      </c>
      <c r="AX20" s="2">
        <v>1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 s="11" t="s">
        <v>47</v>
      </c>
    </row>
    <row r="21" spans="1:62" ht="13.5" customHeight="1" x14ac:dyDescent="0.25">
      <c r="A21" s="24" t="str">
        <f t="shared" si="0"/>
        <v>F058</v>
      </c>
      <c r="B21" t="str">
        <f t="shared" si="1"/>
        <v>139</v>
      </c>
      <c r="C21" s="24" t="str">
        <f t="shared" si="2"/>
        <v>801</v>
      </c>
      <c r="D2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1" s="19">
        <f>IF(Montageplatten[[#This Row],[37/32]]=1,1,IF(Montageplatten[[#This Row],[28/32]]=1,2,0))</f>
        <v>2</v>
      </c>
      <c r="G21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1" s="19">
        <f>IF(Montageplatten[[#This Row],[Typ]]+Montageplatten[[#This Row],[Befestigung]]=2,1,0)</f>
        <v>0</v>
      </c>
      <c r="I21" s="19">
        <f>IF(Montageplatten[[#This Row],[Randbedingungen]]+IF(Montageplatten[[#This Row],[Höhe]]=select!$B$70,1,0)=2,1,0)</f>
        <v>0</v>
      </c>
      <c r="J21" s="19">
        <f>IF(Montageplatten[[#This Row],[Randbedingungen]]+IF(Montageplatten[[#This Row],[Höhe]]=select!$D$70,1,0)=2,1,0)</f>
        <v>0</v>
      </c>
      <c r="K21" s="19">
        <f>IF(Montageplatten[[#This Row],[Randbedingungen]]+IF(Montageplatten[[#This Row],[Höhe]]=select!$F$70,1,0)=2,1,0)</f>
        <v>0</v>
      </c>
      <c r="L21" s="19">
        <f>IF(Montageplatten[[#This Row],[Randbedingungen]]+IF(Montageplatten[[#This Row],[Höhe]]=select!$H$70,1,0)=2,1,0)</f>
        <v>0</v>
      </c>
      <c r="M2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1" s="67">
        <f>IF(select!$M$317=Montageplatten[[#This Row],[Höhe]],1,0)</f>
        <v>0</v>
      </c>
      <c r="P2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1" s="67">
        <f>IF(Montageplatten[[#This Row],[Typ_winkel]]+Montageplatten[[#This Row],[Befest_Winkel]]=2,1,0)</f>
        <v>0</v>
      </c>
      <c r="S21" s="67">
        <f>IF(Montageplatten[[#This Row],[MPH Winkel]]+Montageplatten[[#This Row],[Typ_winkel]]+Montageplatten[[#This Row],[Befest_Winkel]]=3,1,0)</f>
        <v>0</v>
      </c>
      <c r="T21" s="295">
        <f ca="1">IF(select!$M$746=Montageplatten[[#This Row],[Höhe]],1,0)</f>
        <v>0</v>
      </c>
      <c r="U2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1" s="67">
        <f>IF(Montageplatten[[#This Row],[Typ Spezial]]+Montageplatten[[#This Row],[Befest Spezial]]=2,1,0)</f>
        <v>0</v>
      </c>
      <c r="X21" s="67">
        <f ca="1">IF(Montageplatten[[#This Row],[MPH Spezial]]+Montageplatten[[#This Row],[Typ Spezial]]+Montageplatten[[#This Row],[Befest Spezial]]=3,1,0)</f>
        <v>0</v>
      </c>
      <c r="Y21" s="67" t="e">
        <f ca="1">IF(Montageplatten[[#This Row],[AG Rand]]+IF(Montageplatten[[#This Row],[Höhe]]=select!$C$1212,1,0)=2,1,0)</f>
        <v>#VALUE!</v>
      </c>
      <c r="Z21" s="67" t="e">
        <f ca="1">IF(Montageplatten[[#This Row],[AG Rand]]+IF(Montageplatten[[#This Row],[Höhe]]=select!$E$1212,1,0)=2,1,0)</f>
        <v>#VALUE!</v>
      </c>
      <c r="AA21" s="67" t="e">
        <f ca="1">IF(Montageplatten[[#This Row],[AG Rand]]+IF(Montageplatten[[#This Row],[Höhe]]=select!$G$1212,1,0)=2,1,0)</f>
        <v>#VALUE!</v>
      </c>
      <c r="AB21" s="67" t="e">
        <f ca="1">IF(Montageplatten[[#This Row],[AG Rand]]+IF(Montageplatten[[#This Row],[Höhe]]=select!$I$1212,1,0)=2,1,0)</f>
        <v>#VALUE!</v>
      </c>
      <c r="AC2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1" s="67">
        <f>IF(Montageplatten[[#This Row],[AG Typ]]+Montageplatten[[#This Row],[AG Bef]]=2,1,0)</f>
        <v>0</v>
      </c>
      <c r="AG2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1" s="67">
        <f ca="1">IF(Montageplatten[[#This Row],[AG MPH]]+Montageplatten[[#This Row],[AG Typ]]+Montageplatten[[#This Row],[AG Bef]]=3,1,0)</f>
        <v>0</v>
      </c>
      <c r="AJ21" s="67">
        <f ca="1">IF(select!$K$980="*",Montageplatten[[#This Row],[AG Ges2]],Montageplatten[[#This Row],[AG Ges1]])</f>
        <v>0</v>
      </c>
      <c r="AK2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1" s="67">
        <f>IF(Montageplatten[[#This Row],[konf Typ]]+Montageplatten[[#This Row],[konf Befest]]=2,1,0)</f>
        <v>0</v>
      </c>
      <c r="AN2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1" s="67">
        <f ca="1">IF(Montageplatten[[#This Row],[konf Rahmenbed]]+Montageplatten[[#This Row],[konf MPH]]=2,1,0)</f>
        <v>0</v>
      </c>
      <c r="AP21" s="26" t="str">
        <f ca="1">Sprache!$A$136</f>
        <v>1D Kreuz Mtg-Platte</v>
      </c>
      <c r="AQ21" t="s">
        <v>790</v>
      </c>
      <c r="AR21" t="str">
        <f ca="1">Sprache!$A$134</f>
        <v>Tiomos Montageplatten</v>
      </c>
      <c r="AS21" s="18">
        <v>1</v>
      </c>
      <c r="AT21" s="18">
        <v>0</v>
      </c>
      <c r="AU21" s="18">
        <v>0</v>
      </c>
      <c r="AV21" s="18">
        <v>0</v>
      </c>
      <c r="AW21" s="2">
        <v>1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 s="11" t="s">
        <v>789</v>
      </c>
    </row>
    <row r="22" spans="1:62" ht="13.5" customHeight="1" x14ac:dyDescent="0.25">
      <c r="A22" s="24" t="str">
        <f t="shared" si="0"/>
        <v>F058</v>
      </c>
      <c r="B22" t="str">
        <f t="shared" si="1"/>
        <v>139</v>
      </c>
      <c r="C22" s="24" t="str">
        <f t="shared" si="2"/>
        <v>811</v>
      </c>
      <c r="D2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2" s="19">
        <f>IF(Montageplatten[[#This Row],[37/32]]=1,1,IF(Montageplatten[[#This Row],[28/32]]=1,2,0))</f>
        <v>2</v>
      </c>
      <c r="G22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2" s="19">
        <f>IF(Montageplatten[[#This Row],[Typ]]+Montageplatten[[#This Row],[Befestigung]]=2,1,0)</f>
        <v>0</v>
      </c>
      <c r="I22" s="19">
        <f>IF(Montageplatten[[#This Row],[Randbedingungen]]+IF(Montageplatten[[#This Row],[Höhe]]=select!$B$70,1,0)=2,1,0)</f>
        <v>0</v>
      </c>
      <c r="J22" s="19">
        <f>IF(Montageplatten[[#This Row],[Randbedingungen]]+IF(Montageplatten[[#This Row],[Höhe]]=select!$D$70,1,0)=2,1,0)</f>
        <v>0</v>
      </c>
      <c r="K22" s="19">
        <f>IF(Montageplatten[[#This Row],[Randbedingungen]]+IF(Montageplatten[[#This Row],[Höhe]]=select!$F$70,1,0)=2,1,0)</f>
        <v>0</v>
      </c>
      <c r="L22" s="19">
        <f>IF(Montageplatten[[#This Row],[Randbedingungen]]+IF(Montageplatten[[#This Row],[Höhe]]=select!$H$70,1,0)=2,1,0)</f>
        <v>0</v>
      </c>
      <c r="M2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2" s="67">
        <f>IF(select!$M$317=Montageplatten[[#This Row],[Höhe]],1,0)</f>
        <v>0</v>
      </c>
      <c r="P2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2" s="67">
        <f>IF(Montageplatten[[#This Row],[Typ_winkel]]+Montageplatten[[#This Row],[Befest_Winkel]]=2,1,0)</f>
        <v>0</v>
      </c>
      <c r="S22" s="67">
        <f>IF(Montageplatten[[#This Row],[MPH Winkel]]+Montageplatten[[#This Row],[Typ_winkel]]+Montageplatten[[#This Row],[Befest_Winkel]]=3,1,0)</f>
        <v>0</v>
      </c>
      <c r="T22" s="295">
        <f ca="1">IF(select!$M$746=Montageplatten[[#This Row],[Höhe]],1,0)</f>
        <v>0</v>
      </c>
      <c r="U2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2" s="67">
        <f>IF(Montageplatten[[#This Row],[Typ Spezial]]+Montageplatten[[#This Row],[Befest Spezial]]=2,1,0)</f>
        <v>0</v>
      </c>
      <c r="X22" s="67">
        <f ca="1">IF(Montageplatten[[#This Row],[MPH Spezial]]+Montageplatten[[#This Row],[Typ Spezial]]+Montageplatten[[#This Row],[Befest Spezial]]=3,1,0)</f>
        <v>0</v>
      </c>
      <c r="Y22" s="67" t="e">
        <f ca="1">IF(Montageplatten[[#This Row],[AG Rand]]+IF(Montageplatten[[#This Row],[Höhe]]=select!$C$1212,1,0)=2,1,0)</f>
        <v>#VALUE!</v>
      </c>
      <c r="Z22" s="67" t="e">
        <f ca="1">IF(Montageplatten[[#This Row],[AG Rand]]+IF(Montageplatten[[#This Row],[Höhe]]=select!$E$1212,1,0)=2,1,0)</f>
        <v>#VALUE!</v>
      </c>
      <c r="AA22" s="67" t="e">
        <f ca="1">IF(Montageplatten[[#This Row],[AG Rand]]+IF(Montageplatten[[#This Row],[Höhe]]=select!$G$1212,1,0)=2,1,0)</f>
        <v>#VALUE!</v>
      </c>
      <c r="AB22" s="67" t="e">
        <f ca="1">IF(Montageplatten[[#This Row],[AG Rand]]+IF(Montageplatten[[#This Row],[Höhe]]=select!$I$1212,1,0)=2,1,0)</f>
        <v>#VALUE!</v>
      </c>
      <c r="AC2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2" s="67">
        <f>IF(Montageplatten[[#This Row],[AG Typ]]+Montageplatten[[#This Row],[AG Bef]]=2,1,0)</f>
        <v>0</v>
      </c>
      <c r="AG2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2" s="67">
        <f ca="1">IF(Montageplatten[[#This Row],[AG MPH]]+Montageplatten[[#This Row],[AG Typ]]+Montageplatten[[#This Row],[AG Bef]]=3,1,0)</f>
        <v>0</v>
      </c>
      <c r="AJ22" s="67">
        <f ca="1">IF(select!$K$980="*",Montageplatten[[#This Row],[AG Ges2]],Montageplatten[[#This Row],[AG Ges1]])</f>
        <v>0</v>
      </c>
      <c r="AK2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2" s="67">
        <f>IF(Montageplatten[[#This Row],[konf Typ]]+Montageplatten[[#This Row],[konf Befest]]=2,1,0)</f>
        <v>0</v>
      </c>
      <c r="AN2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2" s="67">
        <f ca="1">IF(Montageplatten[[#This Row],[konf Rahmenbed]]+Montageplatten[[#This Row],[konf MPH]]=2,1,0)</f>
        <v>0</v>
      </c>
      <c r="AP22" s="26" t="str">
        <f ca="1">Sprache!$A$136</f>
        <v>1D Kreuz Mtg-Platte</v>
      </c>
      <c r="AQ22" t="str">
        <f ca="1">"H 00, "&amp;Sprache!A71&amp;", ni /28"</f>
        <v>H 00, vorm. Euro, ni /28</v>
      </c>
      <c r="AR22" t="str">
        <f ca="1">Sprache!$A$134</f>
        <v>Tiomos Montageplatten</v>
      </c>
      <c r="AS22" s="18">
        <v>1</v>
      </c>
      <c r="AT22" s="18">
        <v>0</v>
      </c>
      <c r="AU22" s="18">
        <v>0</v>
      </c>
      <c r="AV22" s="18">
        <v>0</v>
      </c>
      <c r="AW22" s="2">
        <v>0</v>
      </c>
      <c r="AX22" s="2">
        <v>0</v>
      </c>
      <c r="AY22" s="2">
        <v>0</v>
      </c>
      <c r="AZ22" s="2">
        <v>1</v>
      </c>
      <c r="BA22" s="2">
        <v>0</v>
      </c>
      <c r="BB22" s="2">
        <v>0</v>
      </c>
      <c r="BC22" s="2">
        <v>0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 s="11" t="s">
        <v>796</v>
      </c>
    </row>
    <row r="23" spans="1:62" ht="13.5" customHeight="1" x14ac:dyDescent="0.25">
      <c r="A23" s="24" t="str">
        <f t="shared" si="0"/>
        <v>F058</v>
      </c>
      <c r="B23" t="str">
        <f t="shared" si="1"/>
        <v>139</v>
      </c>
      <c r="C23" s="24" t="str">
        <f t="shared" si="2"/>
        <v>858</v>
      </c>
      <c r="D2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3" s="19">
        <f>IF(Montageplatten[[#This Row],[37/32]]=1,1,IF(Montageplatten[[#This Row],[28/32]]=1,2,0))</f>
        <v>1</v>
      </c>
      <c r="G23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3" s="19">
        <f>IF(Montageplatten[[#This Row],[Typ]]+Montageplatten[[#This Row],[Befestigung]]=2,1,0)</f>
        <v>0</v>
      </c>
      <c r="I23" s="19">
        <f>IF(Montageplatten[[#This Row],[Randbedingungen]]+IF(Montageplatten[[#This Row],[Höhe]]=select!$B$70,1,0)=2,1,0)</f>
        <v>0</v>
      </c>
      <c r="J23" s="19">
        <f>IF(Montageplatten[[#This Row],[Randbedingungen]]+IF(Montageplatten[[#This Row],[Höhe]]=select!$D$70,1,0)=2,1,0)</f>
        <v>0</v>
      </c>
      <c r="K23" s="19">
        <f>IF(Montageplatten[[#This Row],[Randbedingungen]]+IF(Montageplatten[[#This Row],[Höhe]]=select!$F$70,1,0)=2,1,0)</f>
        <v>0</v>
      </c>
      <c r="L23" s="19">
        <f>IF(Montageplatten[[#This Row],[Randbedingungen]]+IF(Montageplatten[[#This Row],[Höhe]]=select!$H$70,1,0)=2,1,0)</f>
        <v>0</v>
      </c>
      <c r="M2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3" s="67">
        <f>IF(select!$M$317=Montageplatten[[#This Row],[Höhe]],1,0)</f>
        <v>0</v>
      </c>
      <c r="P2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3" s="67">
        <f>IF(Montageplatten[[#This Row],[Typ_winkel]]+Montageplatten[[#This Row],[Befest_Winkel]]=2,1,0)</f>
        <v>0</v>
      </c>
      <c r="S23" s="67">
        <f>IF(Montageplatten[[#This Row],[MPH Winkel]]+Montageplatten[[#This Row],[Typ_winkel]]+Montageplatten[[#This Row],[Befest_Winkel]]=3,1,0)</f>
        <v>0</v>
      </c>
      <c r="T23" s="295">
        <f ca="1">IF(select!$M$746=Montageplatten[[#This Row],[Höhe]],1,0)</f>
        <v>0</v>
      </c>
      <c r="U2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3" s="67">
        <f>IF(Montageplatten[[#This Row],[Typ Spezial]]+Montageplatten[[#This Row],[Befest Spezial]]=2,1,0)</f>
        <v>0</v>
      </c>
      <c r="X23" s="67">
        <f ca="1">IF(Montageplatten[[#This Row],[MPH Spezial]]+Montageplatten[[#This Row],[Typ Spezial]]+Montageplatten[[#This Row],[Befest Spezial]]=3,1,0)</f>
        <v>0</v>
      </c>
      <c r="Y23" s="67" t="e">
        <f ca="1">IF(Montageplatten[[#This Row],[AG Rand]]+IF(Montageplatten[[#This Row],[Höhe]]=select!$C$1212,1,0)=2,1,0)</f>
        <v>#VALUE!</v>
      </c>
      <c r="Z23" s="67" t="e">
        <f ca="1">IF(Montageplatten[[#This Row],[AG Rand]]+IF(Montageplatten[[#This Row],[Höhe]]=select!$E$1212,1,0)=2,1,0)</f>
        <v>#VALUE!</v>
      </c>
      <c r="AA23" s="67" t="e">
        <f ca="1">IF(Montageplatten[[#This Row],[AG Rand]]+IF(Montageplatten[[#This Row],[Höhe]]=select!$G$1212,1,0)=2,1,0)</f>
        <v>#VALUE!</v>
      </c>
      <c r="AB23" s="67" t="e">
        <f ca="1">IF(Montageplatten[[#This Row],[AG Rand]]+IF(Montageplatten[[#This Row],[Höhe]]=select!$I$1212,1,0)=2,1,0)</f>
        <v>#VALUE!</v>
      </c>
      <c r="AC2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3" s="67">
        <f>IF(Montageplatten[[#This Row],[AG Typ]]+Montageplatten[[#This Row],[AG Bef]]=2,1,0)</f>
        <v>0</v>
      </c>
      <c r="AG2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3" s="67">
        <f ca="1">IF(Montageplatten[[#This Row],[AG MPH]]+Montageplatten[[#This Row],[AG Typ]]+Montageplatten[[#This Row],[AG Bef]]=3,1,0)</f>
        <v>0</v>
      </c>
      <c r="AJ23" s="67">
        <f ca="1">IF(select!$K$980="*",Montageplatten[[#This Row],[AG Ges2]],Montageplatten[[#This Row],[AG Ges1]])</f>
        <v>0</v>
      </c>
      <c r="AK2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3" s="67">
        <f>IF(Montageplatten[[#This Row],[konf Typ]]+Montageplatten[[#This Row],[konf Befest]]=2,1,0)</f>
        <v>0</v>
      </c>
      <c r="AN2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3" s="67">
        <f ca="1">IF(Montageplatten[[#This Row],[konf Rahmenbed]]+Montageplatten[[#This Row],[konf MPH]]=2,1,0)</f>
        <v>0</v>
      </c>
      <c r="AP23" s="26" t="str">
        <f ca="1">Sprache!$A$137</f>
        <v>Eco Kreuz Mtg-Platte</v>
      </c>
      <c r="AQ23" t="s">
        <v>803</v>
      </c>
      <c r="AR23" t="str">
        <f ca="1">Sprache!$A$134</f>
        <v>Tiomos Montageplatten</v>
      </c>
      <c r="AS23" s="18">
        <v>1</v>
      </c>
      <c r="AT23" s="18">
        <v>0</v>
      </c>
      <c r="AU23" s="18">
        <v>0</v>
      </c>
      <c r="AV23" s="18">
        <v>0</v>
      </c>
      <c r="AW23" s="2">
        <v>0</v>
      </c>
      <c r="AX23" s="2">
        <v>0</v>
      </c>
      <c r="AY23" s="2">
        <v>0</v>
      </c>
      <c r="AZ23" s="2">
        <v>0</v>
      </c>
      <c r="BA23" s="2">
        <v>1</v>
      </c>
      <c r="BB23" s="2">
        <v>0</v>
      </c>
      <c r="BC23" s="2">
        <v>0</v>
      </c>
      <c r="BD23">
        <v>1</v>
      </c>
      <c r="BE23">
        <v>0</v>
      </c>
      <c r="BF23">
        <v>0</v>
      </c>
      <c r="BG23">
        <v>0</v>
      </c>
      <c r="BH23">
        <v>0</v>
      </c>
      <c r="BI23">
        <v>0</v>
      </c>
      <c r="BJ23" s="11" t="s">
        <v>802</v>
      </c>
    </row>
    <row r="24" spans="1:62" ht="13.5" customHeight="1" x14ac:dyDescent="0.25">
      <c r="A24" s="24" t="str">
        <f t="shared" si="0"/>
        <v>F058</v>
      </c>
      <c r="B24" t="str">
        <f t="shared" si="1"/>
        <v>139</v>
      </c>
      <c r="C24" s="24" t="str">
        <f t="shared" si="2"/>
        <v>863</v>
      </c>
      <c r="D2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4" s="19">
        <f>IF(Montageplatten[[#This Row],[37/32]]=1,1,IF(Montageplatten[[#This Row],[28/32]]=1,2,0))</f>
        <v>1</v>
      </c>
      <c r="G24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4" s="19">
        <f>IF(Montageplatten[[#This Row],[Typ]]+Montageplatten[[#This Row],[Befestigung]]=2,1,0)</f>
        <v>0</v>
      </c>
      <c r="I24" s="19">
        <f>IF(Montageplatten[[#This Row],[Randbedingungen]]+IF(Montageplatten[[#This Row],[Höhe]]=select!$B$70,1,0)=2,1,0)</f>
        <v>0</v>
      </c>
      <c r="J24" s="19">
        <f>IF(Montageplatten[[#This Row],[Randbedingungen]]+IF(Montageplatten[[#This Row],[Höhe]]=select!$D$70,1,0)=2,1,0)</f>
        <v>0</v>
      </c>
      <c r="K24" s="19">
        <f>IF(Montageplatten[[#This Row],[Randbedingungen]]+IF(Montageplatten[[#This Row],[Höhe]]=select!$F$70,1,0)=2,1,0)</f>
        <v>0</v>
      </c>
      <c r="L24" s="19">
        <f>IF(Montageplatten[[#This Row],[Randbedingungen]]+IF(Montageplatten[[#This Row],[Höhe]]=select!$H$70,1,0)=2,1,0)</f>
        <v>0</v>
      </c>
      <c r="M2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4" s="67">
        <f>IF(select!$M$317=Montageplatten[[#This Row],[Höhe]],1,0)</f>
        <v>0</v>
      </c>
      <c r="P2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4" s="67">
        <f>IF(Montageplatten[[#This Row],[Typ_winkel]]+Montageplatten[[#This Row],[Befest_Winkel]]=2,1,0)</f>
        <v>0</v>
      </c>
      <c r="S24" s="67">
        <f>IF(Montageplatten[[#This Row],[MPH Winkel]]+Montageplatten[[#This Row],[Typ_winkel]]+Montageplatten[[#This Row],[Befest_Winkel]]=3,1,0)</f>
        <v>0</v>
      </c>
      <c r="T24" s="295">
        <f ca="1">IF(select!$M$746=Montageplatten[[#This Row],[Höhe]],1,0)</f>
        <v>0</v>
      </c>
      <c r="U2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4" s="67">
        <f>IF(Montageplatten[[#This Row],[Typ Spezial]]+Montageplatten[[#This Row],[Befest Spezial]]=2,1,0)</f>
        <v>0</v>
      </c>
      <c r="X24" s="67">
        <f ca="1">IF(Montageplatten[[#This Row],[MPH Spezial]]+Montageplatten[[#This Row],[Typ Spezial]]+Montageplatten[[#This Row],[Befest Spezial]]=3,1,0)</f>
        <v>0</v>
      </c>
      <c r="Y24" s="67" t="e">
        <f ca="1">IF(Montageplatten[[#This Row],[AG Rand]]+IF(Montageplatten[[#This Row],[Höhe]]=select!$C$1212,1,0)=2,1,0)</f>
        <v>#VALUE!</v>
      </c>
      <c r="Z24" s="67" t="e">
        <f ca="1">IF(Montageplatten[[#This Row],[AG Rand]]+IF(Montageplatten[[#This Row],[Höhe]]=select!$E$1212,1,0)=2,1,0)</f>
        <v>#VALUE!</v>
      </c>
      <c r="AA24" s="67" t="e">
        <f ca="1">IF(Montageplatten[[#This Row],[AG Rand]]+IF(Montageplatten[[#This Row],[Höhe]]=select!$G$1212,1,0)=2,1,0)</f>
        <v>#VALUE!</v>
      </c>
      <c r="AB24" s="67" t="e">
        <f ca="1">IF(Montageplatten[[#This Row],[AG Rand]]+IF(Montageplatten[[#This Row],[Höhe]]=select!$I$1212,1,0)=2,1,0)</f>
        <v>#VALUE!</v>
      </c>
      <c r="AC2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4" s="67">
        <f>IF(Montageplatten[[#This Row],[AG Typ]]+Montageplatten[[#This Row],[AG Bef]]=2,1,0)</f>
        <v>0</v>
      </c>
      <c r="AG2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4" s="67">
        <f ca="1">IF(Montageplatten[[#This Row],[AG MPH]]+Montageplatten[[#This Row],[AG Typ]]+Montageplatten[[#This Row],[AG Bef]]=3,1,0)</f>
        <v>0</v>
      </c>
      <c r="AJ24" s="67">
        <f ca="1">IF(select!$K$980="*",Montageplatten[[#This Row],[AG Ges2]],Montageplatten[[#This Row],[AG Ges1]])</f>
        <v>0</v>
      </c>
      <c r="AK2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4" s="67">
        <f>IF(Montageplatten[[#This Row],[konf Typ]]+Montageplatten[[#This Row],[konf Befest]]=2,1,0)</f>
        <v>0</v>
      </c>
      <c r="AN2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4" s="67">
        <f ca="1">IF(Montageplatten[[#This Row],[konf Rahmenbed]]+Montageplatten[[#This Row],[konf MPH]]=2,1,0)</f>
        <v>0</v>
      </c>
      <c r="AP24" s="26" t="str">
        <f ca="1">Sprache!$A$136</f>
        <v>1D Kreuz Mtg-Platte</v>
      </c>
      <c r="AQ24" t="str">
        <f ca="1">"H 00, "&amp;Sprache!A72&amp;", ni /37"</f>
        <v>H 00, vorm. Euro kurz, ni /37</v>
      </c>
      <c r="AR24" t="str">
        <f ca="1">Sprache!$A$134</f>
        <v>Tiomos Montageplatten</v>
      </c>
      <c r="AS24" s="18">
        <v>1</v>
      </c>
      <c r="AT24" s="18">
        <v>0</v>
      </c>
      <c r="AU24" s="18">
        <v>0</v>
      </c>
      <c r="AV24" s="18">
        <v>0</v>
      </c>
      <c r="AW24" s="2">
        <v>0</v>
      </c>
      <c r="AX24" s="2">
        <v>0</v>
      </c>
      <c r="AY24" s="2">
        <v>0</v>
      </c>
      <c r="AZ24" s="2">
        <v>0</v>
      </c>
      <c r="BA24" s="2">
        <v>1</v>
      </c>
      <c r="BB24" s="2">
        <v>0</v>
      </c>
      <c r="BC24" s="2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 s="11" t="s">
        <v>809</v>
      </c>
    </row>
    <row r="25" spans="1:62" ht="13.5" customHeight="1" x14ac:dyDescent="0.25">
      <c r="A25" s="24" t="str">
        <f t="shared" si="0"/>
        <v>F059</v>
      </c>
      <c r="B25" t="str">
        <f t="shared" si="1"/>
        <v>139</v>
      </c>
      <c r="C25" s="24" t="str">
        <f t="shared" si="2"/>
        <v>701</v>
      </c>
      <c r="D25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2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25" s="19">
        <f>IF(Montageplatten[[#This Row],[37/32]]=1,1,IF(Montageplatten[[#This Row],[28/32]]=1,2,0))</f>
        <v>0</v>
      </c>
      <c r="G25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5" s="19">
        <f>IF(Montageplatten[[#This Row],[Typ]]+Montageplatten[[#This Row],[Befestigung]]=2,1,0)</f>
        <v>0</v>
      </c>
      <c r="I25" s="19">
        <f>IF(Montageplatten[[#This Row],[Randbedingungen]]+IF(Montageplatten[[#This Row],[Höhe]]=select!$B$70,1,0)=2,1,0)</f>
        <v>0</v>
      </c>
      <c r="J25" s="19">
        <f>IF(Montageplatten[[#This Row],[Randbedingungen]]+IF(Montageplatten[[#This Row],[Höhe]]=select!$D$70,1,0)=2,1,0)</f>
        <v>0</v>
      </c>
      <c r="K25" s="19">
        <f>IF(Montageplatten[[#This Row],[Randbedingungen]]+IF(Montageplatten[[#This Row],[Höhe]]=select!$F$70,1,0)=2,1,0)</f>
        <v>0</v>
      </c>
      <c r="L25" s="19">
        <f>IF(Montageplatten[[#This Row],[Randbedingungen]]+IF(Montageplatten[[#This Row],[Höhe]]=select!$H$70,1,0)=2,1,0)</f>
        <v>0</v>
      </c>
      <c r="M2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5" s="67">
        <f>IF(select!$M$317=Montageplatten[[#This Row],[Höhe]],1,0)</f>
        <v>0</v>
      </c>
      <c r="P25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2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25" s="67">
        <f>IF(Montageplatten[[#This Row],[Typ_winkel]]+Montageplatten[[#This Row],[Befest_Winkel]]=2,1,0)</f>
        <v>0</v>
      </c>
      <c r="S25" s="67">
        <f>IF(Montageplatten[[#This Row],[MPH Winkel]]+Montageplatten[[#This Row],[Typ_winkel]]+Montageplatten[[#This Row],[Befest_Winkel]]=3,1,0)</f>
        <v>0</v>
      </c>
      <c r="T25" s="295">
        <f ca="1">IF(select!$M$746=Montageplatten[[#This Row],[Höhe]],1,0)</f>
        <v>0</v>
      </c>
      <c r="U25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2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25" s="67">
        <f>IF(Montageplatten[[#This Row],[Typ Spezial]]+Montageplatten[[#This Row],[Befest Spezial]]=2,1,0)</f>
        <v>0</v>
      </c>
      <c r="X25" s="67">
        <f ca="1">IF(Montageplatten[[#This Row],[MPH Spezial]]+Montageplatten[[#This Row],[Typ Spezial]]+Montageplatten[[#This Row],[Befest Spezial]]=3,1,0)</f>
        <v>0</v>
      </c>
      <c r="Y25" s="67" t="e">
        <f ca="1">IF(Montageplatten[[#This Row],[AG Rand]]+IF(Montageplatten[[#This Row],[Höhe]]=select!$C$1212,1,0)=2,1,0)</f>
        <v>#VALUE!</v>
      </c>
      <c r="Z25" s="67" t="e">
        <f ca="1">IF(Montageplatten[[#This Row],[AG Rand]]+IF(Montageplatten[[#This Row],[Höhe]]=select!$E$1212,1,0)=2,1,0)</f>
        <v>#VALUE!</v>
      </c>
      <c r="AA25" s="67" t="e">
        <f ca="1">IF(Montageplatten[[#This Row],[AG Rand]]+IF(Montageplatten[[#This Row],[Höhe]]=select!$G$1212,1,0)=2,1,0)</f>
        <v>#VALUE!</v>
      </c>
      <c r="AB25" s="67" t="e">
        <f ca="1">IF(Montageplatten[[#This Row],[AG Rand]]+IF(Montageplatten[[#This Row],[Höhe]]=select!$I$1212,1,0)=2,1,0)</f>
        <v>#VALUE!</v>
      </c>
      <c r="AC2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5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2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25" s="67">
        <f>IF(Montageplatten[[#This Row],[AG Typ]]+Montageplatten[[#This Row],[AG Bef]]=2,1,0)</f>
        <v>0</v>
      </c>
      <c r="AG2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5" s="67">
        <f ca="1">IF(Montageplatten[[#This Row],[AG MPH]]+Montageplatten[[#This Row],[AG Typ]]+Montageplatten[[#This Row],[AG Bef]]=3,1,0)</f>
        <v>0</v>
      </c>
      <c r="AJ25" s="67">
        <f ca="1">IF(select!$K$980="*",Montageplatten[[#This Row],[AG Ges2]],Montageplatten[[#This Row],[AG Ges1]])</f>
        <v>0</v>
      </c>
      <c r="AK25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2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25" s="67">
        <f>IF(Montageplatten[[#This Row],[konf Typ]]+Montageplatten[[#This Row],[konf Befest]]=2,1,0)</f>
        <v>0</v>
      </c>
      <c r="AN2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5" s="67">
        <f ca="1">IF(Montageplatten[[#This Row],[konf Rahmenbed]]+Montageplatten[[#This Row],[konf MPH]]=2,1,0)</f>
        <v>0</v>
      </c>
      <c r="AP25" s="26" t="str">
        <f ca="1">Sprache!$A$139</f>
        <v>1D Linear Mtg-Platte</v>
      </c>
      <c r="AQ25" t="s">
        <v>844</v>
      </c>
      <c r="AR25" t="str">
        <f ca="1">Sprache!$A$134</f>
        <v>Tiomos Montageplatten</v>
      </c>
      <c r="AS25" s="18">
        <v>0</v>
      </c>
      <c r="AT25" s="18">
        <v>1</v>
      </c>
      <c r="AU25" s="18">
        <v>0</v>
      </c>
      <c r="AV25" s="18">
        <v>0</v>
      </c>
      <c r="AW25" s="2">
        <v>0</v>
      </c>
      <c r="AX25" s="2">
        <v>1</v>
      </c>
      <c r="AY25" s="2">
        <v>1</v>
      </c>
      <c r="AZ25" s="2">
        <v>0</v>
      </c>
      <c r="BA25" s="2">
        <v>0</v>
      </c>
      <c r="BB25" s="2">
        <v>0</v>
      </c>
      <c r="BC25" s="2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  <c r="BJ25" s="11" t="s">
        <v>843</v>
      </c>
    </row>
    <row r="26" spans="1:62" ht="13.5" customHeight="1" x14ac:dyDescent="0.25">
      <c r="A26" s="24" t="str">
        <f t="shared" si="0"/>
        <v>F059</v>
      </c>
      <c r="B26" t="str">
        <f t="shared" si="1"/>
        <v>139</v>
      </c>
      <c r="C26" s="24" t="str">
        <f t="shared" si="2"/>
        <v>706</v>
      </c>
      <c r="D26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2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6" s="19">
        <f>IF(Montageplatten[[#This Row],[37/32]]=1,1,IF(Montageplatten[[#This Row],[28/32]]=1,2,0))</f>
        <v>0</v>
      </c>
      <c r="G26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6" s="19">
        <f>IF(Montageplatten[[#This Row],[Typ]]+Montageplatten[[#This Row],[Befestigung]]=2,1,0)</f>
        <v>0</v>
      </c>
      <c r="I26" s="19">
        <f>IF(Montageplatten[[#This Row],[Randbedingungen]]+IF(Montageplatten[[#This Row],[Höhe]]=select!$B$70,1,0)=2,1,0)</f>
        <v>0</v>
      </c>
      <c r="J26" s="19">
        <f>IF(Montageplatten[[#This Row],[Randbedingungen]]+IF(Montageplatten[[#This Row],[Höhe]]=select!$D$70,1,0)=2,1,0)</f>
        <v>0</v>
      </c>
      <c r="K26" s="19">
        <f>IF(Montageplatten[[#This Row],[Randbedingungen]]+IF(Montageplatten[[#This Row],[Höhe]]=select!$F$70,1,0)=2,1,0)</f>
        <v>0</v>
      </c>
      <c r="L26" s="19">
        <f>IF(Montageplatten[[#This Row],[Randbedingungen]]+IF(Montageplatten[[#This Row],[Höhe]]=select!$H$70,1,0)=2,1,0)</f>
        <v>0</v>
      </c>
      <c r="M2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6" s="67">
        <f>IF(select!$M$317=Montageplatten[[#This Row],[Höhe]],1,0)</f>
        <v>0</v>
      </c>
      <c r="P26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2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6" s="67">
        <f>IF(Montageplatten[[#This Row],[Typ_winkel]]+Montageplatten[[#This Row],[Befest_Winkel]]=2,1,0)</f>
        <v>0</v>
      </c>
      <c r="S26" s="67">
        <f>IF(Montageplatten[[#This Row],[MPH Winkel]]+Montageplatten[[#This Row],[Typ_winkel]]+Montageplatten[[#This Row],[Befest_Winkel]]=3,1,0)</f>
        <v>0</v>
      </c>
      <c r="T26" s="295">
        <f ca="1">IF(select!$M$746=Montageplatten[[#This Row],[Höhe]],1,0)</f>
        <v>0</v>
      </c>
      <c r="U26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2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6" s="67">
        <f>IF(Montageplatten[[#This Row],[Typ Spezial]]+Montageplatten[[#This Row],[Befest Spezial]]=2,1,0)</f>
        <v>0</v>
      </c>
      <c r="X26" s="67">
        <f ca="1">IF(Montageplatten[[#This Row],[MPH Spezial]]+Montageplatten[[#This Row],[Typ Spezial]]+Montageplatten[[#This Row],[Befest Spezial]]=3,1,0)</f>
        <v>0</v>
      </c>
      <c r="Y26" s="67" t="e">
        <f ca="1">IF(Montageplatten[[#This Row],[AG Rand]]+IF(Montageplatten[[#This Row],[Höhe]]=select!$C$1212,1,0)=2,1,0)</f>
        <v>#VALUE!</v>
      </c>
      <c r="Z26" s="67" t="e">
        <f ca="1">IF(Montageplatten[[#This Row],[AG Rand]]+IF(Montageplatten[[#This Row],[Höhe]]=select!$E$1212,1,0)=2,1,0)</f>
        <v>#VALUE!</v>
      </c>
      <c r="AA26" s="67" t="e">
        <f ca="1">IF(Montageplatten[[#This Row],[AG Rand]]+IF(Montageplatten[[#This Row],[Höhe]]=select!$G$1212,1,0)=2,1,0)</f>
        <v>#VALUE!</v>
      </c>
      <c r="AB26" s="67" t="e">
        <f ca="1">IF(Montageplatten[[#This Row],[AG Rand]]+IF(Montageplatten[[#This Row],[Höhe]]=select!$I$1212,1,0)=2,1,0)</f>
        <v>#VALUE!</v>
      </c>
      <c r="AC2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6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2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6" s="67">
        <f>IF(Montageplatten[[#This Row],[AG Typ]]+Montageplatten[[#This Row],[AG Bef]]=2,1,0)</f>
        <v>0</v>
      </c>
      <c r="AG2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6" s="67">
        <f ca="1">IF(Montageplatten[[#This Row],[AG MPH]]+Montageplatten[[#This Row],[AG Typ]]+Montageplatten[[#This Row],[AG Bef]]=3,1,0)</f>
        <v>0</v>
      </c>
      <c r="AJ26" s="67">
        <f ca="1">IF(select!$K$980="*",Montageplatten[[#This Row],[AG Ges2]],Montageplatten[[#This Row],[AG Ges1]])</f>
        <v>0</v>
      </c>
      <c r="AK26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2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6" s="67">
        <f>IF(Montageplatten[[#This Row],[konf Typ]]+Montageplatten[[#This Row],[konf Befest]]=2,1,0)</f>
        <v>0</v>
      </c>
      <c r="AN2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6" s="67">
        <f ca="1">IF(Montageplatten[[#This Row],[konf Rahmenbed]]+Montageplatten[[#This Row],[konf MPH]]=2,1,0)</f>
        <v>0</v>
      </c>
      <c r="AP26" s="26" t="str">
        <f ca="1">Sprache!$A$139</f>
        <v>1D Linear Mtg-Platte</v>
      </c>
      <c r="AQ26" t="s">
        <v>851</v>
      </c>
      <c r="AR26" t="str">
        <f ca="1">Sprache!$A$134</f>
        <v>Tiomos Montageplatten</v>
      </c>
      <c r="AS26" s="18">
        <v>0</v>
      </c>
      <c r="AT26" s="18">
        <v>1</v>
      </c>
      <c r="AU26" s="18">
        <v>0</v>
      </c>
      <c r="AV26" s="18">
        <v>0</v>
      </c>
      <c r="AW26" s="2">
        <v>1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 s="11" t="s">
        <v>850</v>
      </c>
    </row>
    <row r="27" spans="1:62" ht="13.5" customHeight="1" x14ac:dyDescent="0.25">
      <c r="A27" s="24" t="str">
        <f t="shared" si="0"/>
        <v>F059</v>
      </c>
      <c r="B27" t="str">
        <f t="shared" si="1"/>
        <v>139</v>
      </c>
      <c r="C27" s="24" t="str">
        <f t="shared" si="2"/>
        <v>711</v>
      </c>
      <c r="D27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2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7" s="19">
        <f>IF(Montageplatten[[#This Row],[37/32]]=1,1,IF(Montageplatten[[#This Row],[28/32]]=1,2,0))</f>
        <v>0</v>
      </c>
      <c r="G27" s="19">
        <f>IF(OR(select!$B$70=Montageplatten[[#This Row],[Höhe]],select!$D$70=Montageplatten[[#This Row],[Höhe]],select!$F$70=Montageplatten[[#This Row],[Höhe]],select!$H$70=Montageplatten[[#This Row],[Höhe]])=TRUE,1,0)</f>
        <v>1</v>
      </c>
      <c r="H27" s="19">
        <f>IF(Montageplatten[[#This Row],[Typ]]+Montageplatten[[#This Row],[Befestigung]]=2,1,0)</f>
        <v>0</v>
      </c>
      <c r="I27" s="19">
        <f>IF(Montageplatten[[#This Row],[Randbedingungen]]+IF(Montageplatten[[#This Row],[Höhe]]=select!$B$70,1,0)=2,1,0)</f>
        <v>0</v>
      </c>
      <c r="J27" s="19">
        <f>IF(Montageplatten[[#This Row],[Randbedingungen]]+IF(Montageplatten[[#This Row],[Höhe]]=select!$D$70,1,0)=2,1,0)</f>
        <v>0</v>
      </c>
      <c r="K27" s="19">
        <f>IF(Montageplatten[[#This Row],[Randbedingungen]]+IF(Montageplatten[[#This Row],[Höhe]]=select!$F$70,1,0)=2,1,0)</f>
        <v>0</v>
      </c>
      <c r="L27" s="19">
        <f>IF(Montageplatten[[#This Row],[Randbedingungen]]+IF(Montageplatten[[#This Row],[Höhe]]=select!$H$70,1,0)=2,1,0)</f>
        <v>0</v>
      </c>
      <c r="M2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7" s="67">
        <f>IF(select!$M$317=Montageplatten[[#This Row],[Höhe]],1,0)</f>
        <v>0</v>
      </c>
      <c r="P27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2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7" s="67">
        <f>IF(Montageplatten[[#This Row],[Typ_winkel]]+Montageplatten[[#This Row],[Befest_Winkel]]=2,1,0)</f>
        <v>0</v>
      </c>
      <c r="S27" s="67">
        <f>IF(Montageplatten[[#This Row],[MPH Winkel]]+Montageplatten[[#This Row],[Typ_winkel]]+Montageplatten[[#This Row],[Befest_Winkel]]=3,1,0)</f>
        <v>0</v>
      </c>
      <c r="T27" s="295">
        <f ca="1">IF(select!$M$746=Montageplatten[[#This Row],[Höhe]],1,0)</f>
        <v>0</v>
      </c>
      <c r="U27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2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7" s="67">
        <f>IF(Montageplatten[[#This Row],[Typ Spezial]]+Montageplatten[[#This Row],[Befest Spezial]]=2,1,0)</f>
        <v>0</v>
      </c>
      <c r="X27" s="67">
        <f ca="1">IF(Montageplatten[[#This Row],[MPH Spezial]]+Montageplatten[[#This Row],[Typ Spezial]]+Montageplatten[[#This Row],[Befest Spezial]]=3,1,0)</f>
        <v>0</v>
      </c>
      <c r="Y27" s="67" t="e">
        <f ca="1">IF(Montageplatten[[#This Row],[AG Rand]]+IF(Montageplatten[[#This Row],[Höhe]]=select!$C$1212,1,0)=2,1,0)</f>
        <v>#VALUE!</v>
      </c>
      <c r="Z27" s="67" t="e">
        <f ca="1">IF(Montageplatten[[#This Row],[AG Rand]]+IF(Montageplatten[[#This Row],[Höhe]]=select!$E$1212,1,0)=2,1,0)</f>
        <v>#VALUE!</v>
      </c>
      <c r="AA27" s="67" t="e">
        <f ca="1">IF(Montageplatten[[#This Row],[AG Rand]]+IF(Montageplatten[[#This Row],[Höhe]]=select!$G$1212,1,0)=2,1,0)</f>
        <v>#VALUE!</v>
      </c>
      <c r="AB27" s="67" t="e">
        <f ca="1">IF(Montageplatten[[#This Row],[AG Rand]]+IF(Montageplatten[[#This Row],[Höhe]]=select!$I$1212,1,0)=2,1,0)</f>
        <v>#VALUE!</v>
      </c>
      <c r="AC2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7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2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7" s="67">
        <f>IF(Montageplatten[[#This Row],[AG Typ]]+Montageplatten[[#This Row],[AG Bef]]=2,1,0)</f>
        <v>0</v>
      </c>
      <c r="AG2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7" s="67">
        <f ca="1">IF(Montageplatten[[#This Row],[AG MPH]]+Montageplatten[[#This Row],[AG Typ]]+Montageplatten[[#This Row],[AG Bef]]=3,1,0)</f>
        <v>0</v>
      </c>
      <c r="AJ27" s="67">
        <f ca="1">IF(select!$K$980="*",Montageplatten[[#This Row],[AG Ges2]],Montageplatten[[#This Row],[AG Ges1]])</f>
        <v>0</v>
      </c>
      <c r="AK27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2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7" s="67">
        <f>IF(Montageplatten[[#This Row],[konf Typ]]+Montageplatten[[#This Row],[konf Befest]]=2,1,0)</f>
        <v>0</v>
      </c>
      <c r="AN2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7" s="67">
        <f ca="1">IF(Montageplatten[[#This Row],[konf Rahmenbed]]+Montageplatten[[#This Row],[konf MPH]]=2,1,0)</f>
        <v>0</v>
      </c>
      <c r="AP27" s="26" t="str">
        <f ca="1">Sprache!$A$139</f>
        <v>1D Linear Mtg-Platte</v>
      </c>
      <c r="AQ27" t="str">
        <f ca="1">"H 00, "&amp;Sprache!A71&amp;", ni"</f>
        <v>H 00, vorm. Euro, ni</v>
      </c>
      <c r="AR27" t="str">
        <f ca="1">Sprache!$A$134</f>
        <v>Tiomos Montageplatten</v>
      </c>
      <c r="AS27" s="18">
        <v>0</v>
      </c>
      <c r="AT27" s="18">
        <v>1</v>
      </c>
      <c r="AU27" s="18">
        <v>0</v>
      </c>
      <c r="AV27" s="18">
        <v>0</v>
      </c>
      <c r="AW27" s="2">
        <v>0</v>
      </c>
      <c r="AX27" s="2">
        <v>0</v>
      </c>
      <c r="AY27" s="2">
        <v>0</v>
      </c>
      <c r="AZ27" s="2">
        <v>1</v>
      </c>
      <c r="BA27" s="2">
        <v>0</v>
      </c>
      <c r="BB27" s="2">
        <v>0</v>
      </c>
      <c r="BC27" s="2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 s="11" t="s">
        <v>857</v>
      </c>
    </row>
    <row r="28" spans="1:62" ht="13.5" customHeight="1" x14ac:dyDescent="0.25">
      <c r="A28" s="24" t="str">
        <f t="shared" si="0"/>
        <v>F058</v>
      </c>
      <c r="B28" t="str">
        <f t="shared" si="1"/>
        <v>139</v>
      </c>
      <c r="C28" s="24" t="str">
        <f t="shared" si="2"/>
        <v>825</v>
      </c>
      <c r="D28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2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28" s="19">
        <f>IF(Montageplatten[[#This Row],[37/32]]=1,1,IF(Montageplatten[[#This Row],[28/32]]=1,2,0))</f>
        <v>0</v>
      </c>
      <c r="G2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28" s="19">
        <f>IF(Montageplatten[[#This Row],[Typ]]+Montageplatten[[#This Row],[Befestigung]]=2,1,0)</f>
        <v>0</v>
      </c>
      <c r="I28" s="19">
        <f>IF(Montageplatten[[#This Row],[Randbedingungen]]+IF(Montageplatten[[#This Row],[Höhe]]=select!$B$70,1,0)=2,1,0)</f>
        <v>0</v>
      </c>
      <c r="J28" s="19">
        <f>IF(Montageplatten[[#This Row],[Randbedingungen]]+IF(Montageplatten[[#This Row],[Höhe]]=select!$D$70,1,0)=2,1,0)</f>
        <v>0</v>
      </c>
      <c r="K28" s="19">
        <f>IF(Montageplatten[[#This Row],[Randbedingungen]]+IF(Montageplatten[[#This Row],[Höhe]]=select!$F$70,1,0)=2,1,0)</f>
        <v>0</v>
      </c>
      <c r="L28" s="19">
        <f>IF(Montageplatten[[#This Row],[Randbedingungen]]+IF(Montageplatten[[#This Row],[Höhe]]=select!$H$70,1,0)=2,1,0)</f>
        <v>0</v>
      </c>
      <c r="M2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8" s="67">
        <f>IF(select!$M$317=Montageplatten[[#This Row],[Höhe]],1,0)</f>
        <v>0</v>
      </c>
      <c r="P28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2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28" s="67">
        <f>IF(Montageplatten[[#This Row],[Typ_winkel]]+Montageplatten[[#This Row],[Befest_Winkel]]=2,1,0)</f>
        <v>0</v>
      </c>
      <c r="S28" s="67">
        <f>IF(Montageplatten[[#This Row],[MPH Winkel]]+Montageplatten[[#This Row],[Typ_winkel]]+Montageplatten[[#This Row],[Befest_Winkel]]=3,1,0)</f>
        <v>0</v>
      </c>
      <c r="T28" s="295">
        <f ca="1">IF(select!$M$746=Montageplatten[[#This Row],[Höhe]],1,0)</f>
        <v>0</v>
      </c>
      <c r="U28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2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28" s="67">
        <f>IF(Montageplatten[[#This Row],[Typ Spezial]]+Montageplatten[[#This Row],[Befest Spezial]]=2,1,0)</f>
        <v>0</v>
      </c>
      <c r="X28" s="67">
        <f ca="1">IF(Montageplatten[[#This Row],[MPH Spezial]]+Montageplatten[[#This Row],[Typ Spezial]]+Montageplatten[[#This Row],[Befest Spezial]]=3,1,0)</f>
        <v>0</v>
      </c>
      <c r="Y28" s="67" t="e">
        <f ca="1">IF(Montageplatten[[#This Row],[AG Rand]]+IF(Montageplatten[[#This Row],[Höhe]]=select!$C$1212,1,0)=2,1,0)</f>
        <v>#VALUE!</v>
      </c>
      <c r="Z28" s="67" t="e">
        <f ca="1">IF(Montageplatten[[#This Row],[AG Rand]]+IF(Montageplatten[[#This Row],[Höhe]]=select!$E$1212,1,0)=2,1,0)</f>
        <v>#VALUE!</v>
      </c>
      <c r="AA28" s="67" t="e">
        <f ca="1">IF(Montageplatten[[#This Row],[AG Rand]]+IF(Montageplatten[[#This Row],[Höhe]]=select!$G$1212,1,0)=2,1,0)</f>
        <v>#VALUE!</v>
      </c>
      <c r="AB28" s="67" t="e">
        <f ca="1">IF(Montageplatten[[#This Row],[AG Rand]]+IF(Montageplatten[[#This Row],[Höhe]]=select!$I$1212,1,0)=2,1,0)</f>
        <v>#VALUE!</v>
      </c>
      <c r="AC2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8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2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28" s="67">
        <f>IF(Montageplatten[[#This Row],[AG Typ]]+Montageplatten[[#This Row],[AG Bef]]=2,1,0)</f>
        <v>0</v>
      </c>
      <c r="AG2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8" s="67">
        <f ca="1">IF(Montageplatten[[#This Row],[AG MPH]]+Montageplatten[[#This Row],[AG Typ]]+Montageplatten[[#This Row],[AG Bef]]=3,1,0)</f>
        <v>0</v>
      </c>
      <c r="AJ28" s="67">
        <f ca="1">IF(select!$K$980="*",Montageplatten[[#This Row],[AG Ges2]],Montageplatten[[#This Row],[AG Ges1]])</f>
        <v>0</v>
      </c>
      <c r="AK28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2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28" s="67">
        <f>IF(Montageplatten[[#This Row],[konf Typ]]+Montageplatten[[#This Row],[konf Befest]]=2,1,0)</f>
        <v>0</v>
      </c>
      <c r="AN2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8" s="67">
        <f ca="1">IF(Montageplatten[[#This Row],[konf Rahmenbed]]+Montageplatten[[#This Row],[konf MPH]]=2,1,0)</f>
        <v>0</v>
      </c>
      <c r="AP28" s="26" t="str">
        <f ca="1">Sprache!A142</f>
        <v>1D Delta Mtg-Platte</v>
      </c>
      <c r="AQ28" t="s">
        <v>1857</v>
      </c>
      <c r="AR28" t="str">
        <f ca="1">Sprache!$A$134</f>
        <v>Tiomos Montageplatten</v>
      </c>
      <c r="AS28" s="18">
        <v>0</v>
      </c>
      <c r="AT28" s="18">
        <v>0</v>
      </c>
      <c r="AU28" s="18">
        <v>1</v>
      </c>
      <c r="AV28" s="18">
        <v>0</v>
      </c>
      <c r="AW28" s="2">
        <v>0</v>
      </c>
      <c r="AX28" s="2">
        <v>1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1.5</v>
      </c>
      <c r="BJ28" s="11" t="s">
        <v>1363</v>
      </c>
    </row>
    <row r="29" spans="1:62" ht="13.5" customHeight="1" x14ac:dyDescent="0.25">
      <c r="A29" s="24" t="str">
        <f t="shared" si="0"/>
        <v>F058</v>
      </c>
      <c r="B29" t="str">
        <f t="shared" si="1"/>
        <v>139</v>
      </c>
      <c r="C29" s="24" t="str">
        <f t="shared" si="2"/>
        <v>742</v>
      </c>
      <c r="D2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2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29" s="19">
        <f>IF(Montageplatten[[#This Row],[37/32]]=1,1,IF(Montageplatten[[#This Row],[28/32]]=1,2,0))</f>
        <v>1</v>
      </c>
      <c r="G2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29" s="19">
        <f>IF(Montageplatten[[#This Row],[Typ]]+Montageplatten[[#This Row],[Befestigung]]=2,1,0)</f>
        <v>0</v>
      </c>
      <c r="I29" s="19">
        <f>IF(Montageplatten[[#This Row],[Randbedingungen]]+IF(Montageplatten[[#This Row],[Höhe]]=select!$B$70,1,0)=2,1,0)</f>
        <v>0</v>
      </c>
      <c r="J29" s="19">
        <f>IF(Montageplatten[[#This Row],[Randbedingungen]]+IF(Montageplatten[[#This Row],[Höhe]]=select!$D$70,1,0)=2,1,0)</f>
        <v>0</v>
      </c>
      <c r="K29" s="19">
        <f>IF(Montageplatten[[#This Row],[Randbedingungen]]+IF(Montageplatten[[#This Row],[Höhe]]=select!$F$70,1,0)=2,1,0)</f>
        <v>0</v>
      </c>
      <c r="L29" s="19">
        <f>IF(Montageplatten[[#This Row],[Randbedingungen]]+IF(Montageplatten[[#This Row],[Höhe]]=select!$H$70,1,0)=2,1,0)</f>
        <v>0</v>
      </c>
      <c r="M2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2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29" s="67">
        <f>IF(select!$M$317=Montageplatten[[#This Row],[Höhe]],1,0)</f>
        <v>0</v>
      </c>
      <c r="P2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2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29" s="67">
        <f>IF(Montageplatten[[#This Row],[Typ_winkel]]+Montageplatten[[#This Row],[Befest_Winkel]]=2,1,0)</f>
        <v>0</v>
      </c>
      <c r="S29" s="67">
        <f>IF(Montageplatten[[#This Row],[MPH Winkel]]+Montageplatten[[#This Row],[Typ_winkel]]+Montageplatten[[#This Row],[Befest_Winkel]]=3,1,0)</f>
        <v>0</v>
      </c>
      <c r="T29" s="295">
        <f ca="1">IF(select!$M$746=Montageplatten[[#This Row],[Höhe]],1,0)</f>
        <v>0</v>
      </c>
      <c r="U2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2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29" s="67">
        <f>IF(Montageplatten[[#This Row],[Typ Spezial]]+Montageplatten[[#This Row],[Befest Spezial]]=2,1,0)</f>
        <v>0</v>
      </c>
      <c r="X29" s="67">
        <f ca="1">IF(Montageplatten[[#This Row],[MPH Spezial]]+Montageplatten[[#This Row],[Typ Spezial]]+Montageplatten[[#This Row],[Befest Spezial]]=3,1,0)</f>
        <v>0</v>
      </c>
      <c r="Y29" s="67" t="e">
        <f ca="1">IF(Montageplatten[[#This Row],[AG Rand]]+IF(Montageplatten[[#This Row],[Höhe]]=select!$C$1212,1,0)=2,1,0)</f>
        <v>#VALUE!</v>
      </c>
      <c r="Z29" s="67" t="e">
        <f ca="1">IF(Montageplatten[[#This Row],[AG Rand]]+IF(Montageplatten[[#This Row],[Höhe]]=select!$E$1212,1,0)=2,1,0)</f>
        <v>#VALUE!</v>
      </c>
      <c r="AA29" s="67" t="e">
        <f ca="1">IF(Montageplatten[[#This Row],[AG Rand]]+IF(Montageplatten[[#This Row],[Höhe]]=select!$G$1212,1,0)=2,1,0)</f>
        <v>#VALUE!</v>
      </c>
      <c r="AB29" s="67" t="e">
        <f ca="1">IF(Montageplatten[[#This Row],[AG Rand]]+IF(Montageplatten[[#This Row],[Höhe]]=select!$I$1212,1,0)=2,1,0)</f>
        <v>#VALUE!</v>
      </c>
      <c r="AC2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2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2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29" s="67">
        <f>IF(Montageplatten[[#This Row],[AG Typ]]+Montageplatten[[#This Row],[AG Bef]]=2,1,0)</f>
        <v>0</v>
      </c>
      <c r="AG2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2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29" s="67">
        <f ca="1">IF(Montageplatten[[#This Row],[AG MPH]]+Montageplatten[[#This Row],[AG Typ]]+Montageplatten[[#This Row],[AG Bef]]=3,1,0)</f>
        <v>0</v>
      </c>
      <c r="AJ29" s="67">
        <f ca="1">IF(select!$K$980="*",Montageplatten[[#This Row],[AG Ges2]],Montageplatten[[#This Row],[AG Ges1]])</f>
        <v>0</v>
      </c>
      <c r="AK2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2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29" s="67">
        <f>IF(Montageplatten[[#This Row],[konf Typ]]+Montageplatten[[#This Row],[konf Befest]]=2,1,0)</f>
        <v>0</v>
      </c>
      <c r="AN2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29" s="67">
        <f ca="1">IF(Montageplatten[[#This Row],[konf Rahmenbed]]+Montageplatten[[#This Row],[konf MPH]]=2,1,0)</f>
        <v>0</v>
      </c>
      <c r="AP29" s="862" t="s">
        <v>733</v>
      </c>
      <c r="AQ29" t="s">
        <v>2316</v>
      </c>
      <c r="AR29" t="s">
        <v>735</v>
      </c>
      <c r="AS29" s="18">
        <v>1</v>
      </c>
      <c r="AT29" s="18">
        <v>0</v>
      </c>
      <c r="AU29" s="18">
        <v>0</v>
      </c>
      <c r="AV29" s="18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1</v>
      </c>
      <c r="BC29" s="2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2</v>
      </c>
      <c r="BJ29" s="11" t="s">
        <v>2317</v>
      </c>
    </row>
    <row r="30" spans="1:62" ht="13.5" customHeight="1" x14ac:dyDescent="0.25">
      <c r="A30" s="24" t="str">
        <f t="shared" si="0"/>
        <v>F058</v>
      </c>
      <c r="B30" t="str">
        <f t="shared" si="1"/>
        <v>139</v>
      </c>
      <c r="C30" s="24" t="str">
        <f t="shared" si="2"/>
        <v>767</v>
      </c>
      <c r="D3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0" s="19">
        <f>IF(Montageplatten[[#This Row],[37/32]]=1,1,IF(Montageplatten[[#This Row],[28/32]]=1,2,0))</f>
        <v>1</v>
      </c>
      <c r="G3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0" s="19">
        <f>IF(Montageplatten[[#This Row],[Typ]]+Montageplatten[[#This Row],[Befestigung]]=2,1,0)</f>
        <v>0</v>
      </c>
      <c r="I30" s="19">
        <f>IF(Montageplatten[[#This Row],[Randbedingungen]]+IF(Montageplatten[[#This Row],[Höhe]]=select!$B$70,1,0)=2,1,0)</f>
        <v>0</v>
      </c>
      <c r="J30" s="19">
        <f>IF(Montageplatten[[#This Row],[Randbedingungen]]+IF(Montageplatten[[#This Row],[Höhe]]=select!$D$70,1,0)=2,1,0)</f>
        <v>0</v>
      </c>
      <c r="K30" s="19">
        <f>IF(Montageplatten[[#This Row],[Randbedingungen]]+IF(Montageplatten[[#This Row],[Höhe]]=select!$F$70,1,0)=2,1,0)</f>
        <v>0</v>
      </c>
      <c r="L30" s="19">
        <f>IF(Montageplatten[[#This Row],[Randbedingungen]]+IF(Montageplatten[[#This Row],[Höhe]]=select!$H$70,1,0)=2,1,0)</f>
        <v>0</v>
      </c>
      <c r="M3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0" s="67">
        <f>IF(select!$M$317=Montageplatten[[#This Row],[Höhe]],1,0)</f>
        <v>0</v>
      </c>
      <c r="P3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0" s="67">
        <f>IF(Montageplatten[[#This Row],[Typ_winkel]]+Montageplatten[[#This Row],[Befest_Winkel]]=2,1,0)</f>
        <v>0</v>
      </c>
      <c r="S30" s="67">
        <f>IF(Montageplatten[[#This Row],[MPH Winkel]]+Montageplatten[[#This Row],[Typ_winkel]]+Montageplatten[[#This Row],[Befest_Winkel]]=3,1,0)</f>
        <v>0</v>
      </c>
      <c r="T30" s="295">
        <f ca="1">IF(select!$M$746=Montageplatten[[#This Row],[Höhe]],1,0)</f>
        <v>0</v>
      </c>
      <c r="U3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0" s="67">
        <f>IF(Montageplatten[[#This Row],[Typ Spezial]]+Montageplatten[[#This Row],[Befest Spezial]]=2,1,0)</f>
        <v>0</v>
      </c>
      <c r="X30" s="67">
        <f ca="1">IF(Montageplatten[[#This Row],[MPH Spezial]]+Montageplatten[[#This Row],[Typ Spezial]]+Montageplatten[[#This Row],[Befest Spezial]]=3,1,0)</f>
        <v>0</v>
      </c>
      <c r="Y30" s="67" t="e">
        <f ca="1">IF(Montageplatten[[#This Row],[AG Rand]]+IF(Montageplatten[[#This Row],[Höhe]]=select!$C$1212,1,0)=2,1,0)</f>
        <v>#VALUE!</v>
      </c>
      <c r="Z30" s="67" t="e">
        <f ca="1">IF(Montageplatten[[#This Row],[AG Rand]]+IF(Montageplatten[[#This Row],[Höhe]]=select!$E$1212,1,0)=2,1,0)</f>
        <v>#VALUE!</v>
      </c>
      <c r="AA30" s="67" t="e">
        <f ca="1">IF(Montageplatten[[#This Row],[AG Rand]]+IF(Montageplatten[[#This Row],[Höhe]]=select!$G$1212,1,0)=2,1,0)</f>
        <v>#VALUE!</v>
      </c>
      <c r="AB30" s="67" t="e">
        <f ca="1">IF(Montageplatten[[#This Row],[AG Rand]]+IF(Montageplatten[[#This Row],[Höhe]]=select!$I$1212,1,0)=2,1,0)</f>
        <v>#VALUE!</v>
      </c>
      <c r="AC3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0" s="67">
        <f>IF(Montageplatten[[#This Row],[AG Typ]]+Montageplatten[[#This Row],[AG Bef]]=2,1,0)</f>
        <v>0</v>
      </c>
      <c r="AG3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0" s="67">
        <f ca="1">IF(Montageplatten[[#This Row],[AG MPH]]+Montageplatten[[#This Row],[AG Typ]]+Montageplatten[[#This Row],[AG Bef]]=3,1,0)</f>
        <v>0</v>
      </c>
      <c r="AJ30" s="67">
        <f ca="1">IF(select!$K$980="*",Montageplatten[[#This Row],[AG Ges2]],Montageplatten[[#This Row],[AG Ges1]])</f>
        <v>0</v>
      </c>
      <c r="AK3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0" s="67">
        <f>IF(Montageplatten[[#This Row],[konf Typ]]+Montageplatten[[#This Row],[konf Befest]]=2,1,0)</f>
        <v>0</v>
      </c>
      <c r="AN3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0" s="67">
        <f ca="1">IF(Montageplatten[[#This Row],[konf Rahmenbed]]+Montageplatten[[#This Row],[konf MPH]]=2,1,0)</f>
        <v>0</v>
      </c>
      <c r="AP30" s="862" t="s">
        <v>762</v>
      </c>
      <c r="AQ30" t="s">
        <v>2316</v>
      </c>
      <c r="AR30" t="s">
        <v>735</v>
      </c>
      <c r="AS30" s="18">
        <v>1</v>
      </c>
      <c r="AT30" s="18">
        <v>0</v>
      </c>
      <c r="AU30" s="18">
        <v>0</v>
      </c>
      <c r="AV30" s="18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0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2</v>
      </c>
      <c r="BJ30" s="11" t="s">
        <v>2322</v>
      </c>
    </row>
    <row r="31" spans="1:62" ht="13.5" customHeight="1" x14ac:dyDescent="0.25">
      <c r="A31" s="24" t="str">
        <f t="shared" si="0"/>
        <v>F058</v>
      </c>
      <c r="B31" t="str">
        <f t="shared" si="1"/>
        <v>139</v>
      </c>
      <c r="C31" s="24" t="str">
        <f t="shared" si="2"/>
        <v>928</v>
      </c>
      <c r="D3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1" s="19">
        <f>IF(Montageplatten[[#This Row],[37/32]]=1,1,IF(Montageplatten[[#This Row],[28/32]]=1,2,0))</f>
        <v>1</v>
      </c>
      <c r="G3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1" s="19">
        <f>IF(Montageplatten[[#This Row],[Typ]]+Montageplatten[[#This Row],[Befestigung]]=2,1,0)</f>
        <v>0</v>
      </c>
      <c r="I31" s="19">
        <f>IF(Montageplatten[[#This Row],[Randbedingungen]]+IF(Montageplatten[[#This Row],[Höhe]]=select!$B$70,1,0)=2,1,0)</f>
        <v>0</v>
      </c>
      <c r="J31" s="19">
        <f>IF(Montageplatten[[#This Row],[Randbedingungen]]+IF(Montageplatten[[#This Row],[Höhe]]=select!$D$70,1,0)=2,1,0)</f>
        <v>0</v>
      </c>
      <c r="K31" s="19">
        <f>IF(Montageplatten[[#This Row],[Randbedingungen]]+IF(Montageplatten[[#This Row],[Höhe]]=select!$F$70,1,0)=2,1,0)</f>
        <v>0</v>
      </c>
      <c r="L31" s="19">
        <f>IF(Montageplatten[[#This Row],[Randbedingungen]]+IF(Montageplatten[[#This Row],[Höhe]]=select!$H$70,1,0)=2,1,0)</f>
        <v>0</v>
      </c>
      <c r="M3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1" s="67">
        <f>IF(select!$M$317=Montageplatten[[#This Row],[Höhe]],1,0)</f>
        <v>0</v>
      </c>
      <c r="P3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1" s="67">
        <f>IF(Montageplatten[[#This Row],[Typ_winkel]]+Montageplatten[[#This Row],[Befest_Winkel]]=2,1,0)</f>
        <v>0</v>
      </c>
      <c r="S31" s="67">
        <f>IF(Montageplatten[[#This Row],[MPH Winkel]]+Montageplatten[[#This Row],[Typ_winkel]]+Montageplatten[[#This Row],[Befest_Winkel]]=3,1,0)</f>
        <v>0</v>
      </c>
      <c r="T31" s="295">
        <f ca="1">IF(select!$M$746=Montageplatten[[#This Row],[Höhe]],1,0)</f>
        <v>0</v>
      </c>
      <c r="U3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1" s="67">
        <f>IF(Montageplatten[[#This Row],[Typ Spezial]]+Montageplatten[[#This Row],[Befest Spezial]]=2,1,0)</f>
        <v>0</v>
      </c>
      <c r="X31" s="67">
        <f ca="1">IF(Montageplatten[[#This Row],[MPH Spezial]]+Montageplatten[[#This Row],[Typ Spezial]]+Montageplatten[[#This Row],[Befest Spezial]]=3,1,0)</f>
        <v>0</v>
      </c>
      <c r="Y31" s="67" t="e">
        <f ca="1">IF(Montageplatten[[#This Row],[AG Rand]]+IF(Montageplatten[[#This Row],[Höhe]]=select!$C$1212,1,0)=2,1,0)</f>
        <v>#VALUE!</v>
      </c>
      <c r="Z31" s="67" t="e">
        <f ca="1">IF(Montageplatten[[#This Row],[AG Rand]]+IF(Montageplatten[[#This Row],[Höhe]]=select!$E$1212,1,0)=2,1,0)</f>
        <v>#VALUE!</v>
      </c>
      <c r="AA31" s="67" t="e">
        <f ca="1">IF(Montageplatten[[#This Row],[AG Rand]]+IF(Montageplatten[[#This Row],[Höhe]]=select!$G$1212,1,0)=2,1,0)</f>
        <v>#VALUE!</v>
      </c>
      <c r="AB31" s="67" t="e">
        <f ca="1">IF(Montageplatten[[#This Row],[AG Rand]]+IF(Montageplatten[[#This Row],[Höhe]]=select!$I$1212,1,0)=2,1,0)</f>
        <v>#VALUE!</v>
      </c>
      <c r="AC3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1" s="67">
        <f>IF(Montageplatten[[#This Row],[AG Typ]]+Montageplatten[[#This Row],[AG Bef]]=2,1,0)</f>
        <v>0</v>
      </c>
      <c r="AG3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1" s="67">
        <f ca="1">IF(Montageplatten[[#This Row],[AG MPH]]+Montageplatten[[#This Row],[AG Typ]]+Montageplatten[[#This Row],[AG Bef]]=3,1,0)</f>
        <v>0</v>
      </c>
      <c r="AJ31" s="67">
        <f ca="1">IF(select!$K$980="*",Montageplatten[[#This Row],[AG Ges2]],Montageplatten[[#This Row],[AG Ges1]])</f>
        <v>0</v>
      </c>
      <c r="AK3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1" s="67">
        <f>IF(Montageplatten[[#This Row],[konf Typ]]+Montageplatten[[#This Row],[konf Befest]]=2,1,0)</f>
        <v>0</v>
      </c>
      <c r="AN3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1" s="67">
        <f ca="1">IF(Montageplatten[[#This Row],[konf Rahmenbed]]+Montageplatten[[#This Row],[konf MPH]]=2,1,0)</f>
        <v>0</v>
      </c>
      <c r="AP31" s="862" t="s">
        <v>733</v>
      </c>
      <c r="AQ31" t="s">
        <v>2327</v>
      </c>
      <c r="AR31" t="s">
        <v>735</v>
      </c>
      <c r="AS31" s="18">
        <v>1</v>
      </c>
      <c r="AT31" s="18">
        <v>0</v>
      </c>
      <c r="AU31" s="18">
        <v>0</v>
      </c>
      <c r="AV31" s="18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1</v>
      </c>
      <c r="BD31">
        <v>1</v>
      </c>
      <c r="BE31">
        <v>0</v>
      </c>
      <c r="BF31">
        <v>0</v>
      </c>
      <c r="BG31">
        <v>0</v>
      </c>
      <c r="BH31">
        <v>0</v>
      </c>
      <c r="BI31">
        <v>2</v>
      </c>
      <c r="BJ31" s="11" t="s">
        <v>2328</v>
      </c>
    </row>
    <row r="32" spans="1:62" ht="13.5" customHeight="1" x14ac:dyDescent="0.25">
      <c r="A32" s="24" t="str">
        <f t="shared" si="0"/>
        <v>F058</v>
      </c>
      <c r="B32" t="str">
        <f t="shared" si="1"/>
        <v>139</v>
      </c>
      <c r="C32" s="24" t="str">
        <f t="shared" si="2"/>
        <v>932</v>
      </c>
      <c r="D3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2" s="19">
        <f>IF(Montageplatten[[#This Row],[37/32]]=1,1,IF(Montageplatten[[#This Row],[28/32]]=1,2,0))</f>
        <v>1</v>
      </c>
      <c r="G3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2" s="19">
        <f>IF(Montageplatten[[#This Row],[Typ]]+Montageplatten[[#This Row],[Befestigung]]=2,1,0)</f>
        <v>0</v>
      </c>
      <c r="I32" s="19">
        <f>IF(Montageplatten[[#This Row],[Randbedingungen]]+IF(Montageplatten[[#This Row],[Höhe]]=select!$B$70,1,0)=2,1,0)</f>
        <v>0</v>
      </c>
      <c r="J32" s="19">
        <f>IF(Montageplatten[[#This Row],[Randbedingungen]]+IF(Montageplatten[[#This Row],[Höhe]]=select!$D$70,1,0)=2,1,0)</f>
        <v>0</v>
      </c>
      <c r="K32" s="19">
        <f>IF(Montageplatten[[#This Row],[Randbedingungen]]+IF(Montageplatten[[#This Row],[Höhe]]=select!$F$70,1,0)=2,1,0)</f>
        <v>0</v>
      </c>
      <c r="L32" s="19">
        <f>IF(Montageplatten[[#This Row],[Randbedingungen]]+IF(Montageplatten[[#This Row],[Höhe]]=select!$H$70,1,0)=2,1,0)</f>
        <v>0</v>
      </c>
      <c r="M3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2" s="67">
        <f>IF(select!$M$317=Montageplatten[[#This Row],[Höhe]],1,0)</f>
        <v>0</v>
      </c>
      <c r="P3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2" s="67">
        <f>IF(Montageplatten[[#This Row],[Typ_winkel]]+Montageplatten[[#This Row],[Befest_Winkel]]=2,1,0)</f>
        <v>0</v>
      </c>
      <c r="S32" s="67">
        <f>IF(Montageplatten[[#This Row],[MPH Winkel]]+Montageplatten[[#This Row],[Typ_winkel]]+Montageplatten[[#This Row],[Befest_Winkel]]=3,1,0)</f>
        <v>0</v>
      </c>
      <c r="T32" s="295">
        <f ca="1">IF(select!$M$746=Montageplatten[[#This Row],[Höhe]],1,0)</f>
        <v>0</v>
      </c>
      <c r="U3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2" s="67">
        <f>IF(Montageplatten[[#This Row],[Typ Spezial]]+Montageplatten[[#This Row],[Befest Spezial]]=2,1,0)</f>
        <v>0</v>
      </c>
      <c r="X32" s="67">
        <f ca="1">IF(Montageplatten[[#This Row],[MPH Spezial]]+Montageplatten[[#This Row],[Typ Spezial]]+Montageplatten[[#This Row],[Befest Spezial]]=3,1,0)</f>
        <v>0</v>
      </c>
      <c r="Y32" s="67" t="e">
        <f ca="1">IF(Montageplatten[[#This Row],[AG Rand]]+IF(Montageplatten[[#This Row],[Höhe]]=select!$C$1212,1,0)=2,1,0)</f>
        <v>#VALUE!</v>
      </c>
      <c r="Z32" s="67" t="e">
        <f ca="1">IF(Montageplatten[[#This Row],[AG Rand]]+IF(Montageplatten[[#This Row],[Höhe]]=select!$E$1212,1,0)=2,1,0)</f>
        <v>#VALUE!</v>
      </c>
      <c r="AA32" s="67" t="e">
        <f ca="1">IF(Montageplatten[[#This Row],[AG Rand]]+IF(Montageplatten[[#This Row],[Höhe]]=select!$G$1212,1,0)=2,1,0)</f>
        <v>#VALUE!</v>
      </c>
      <c r="AB32" s="67" t="e">
        <f ca="1">IF(Montageplatten[[#This Row],[AG Rand]]+IF(Montageplatten[[#This Row],[Höhe]]=select!$I$1212,1,0)=2,1,0)</f>
        <v>#VALUE!</v>
      </c>
      <c r="AC3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2" s="67">
        <f>IF(Montageplatten[[#This Row],[AG Typ]]+Montageplatten[[#This Row],[AG Bef]]=2,1,0)</f>
        <v>0</v>
      </c>
      <c r="AG3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2" s="67">
        <f ca="1">IF(Montageplatten[[#This Row],[AG MPH]]+Montageplatten[[#This Row],[AG Typ]]+Montageplatten[[#This Row],[AG Bef]]=3,1,0)</f>
        <v>0</v>
      </c>
      <c r="AJ32" s="67">
        <f ca="1">IF(select!$K$980="*",Montageplatten[[#This Row],[AG Ges2]],Montageplatten[[#This Row],[AG Ges1]])</f>
        <v>0</v>
      </c>
      <c r="AK3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2" s="67">
        <f>IF(Montageplatten[[#This Row],[konf Typ]]+Montageplatten[[#This Row],[konf Befest]]=2,1,0)</f>
        <v>0</v>
      </c>
      <c r="AN3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2" s="67">
        <f ca="1">IF(Montageplatten[[#This Row],[konf Rahmenbed]]+Montageplatten[[#This Row],[konf MPH]]=2,1,0)</f>
        <v>0</v>
      </c>
      <c r="AP32" s="862" t="s">
        <v>762</v>
      </c>
      <c r="AQ32" t="s">
        <v>2327</v>
      </c>
      <c r="AR32" t="s">
        <v>735</v>
      </c>
      <c r="AS32" s="18">
        <v>1</v>
      </c>
      <c r="AT32" s="18">
        <v>0</v>
      </c>
      <c r="AU32" s="18">
        <v>0</v>
      </c>
      <c r="AV32" s="18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1</v>
      </c>
      <c r="BD32">
        <v>1</v>
      </c>
      <c r="BE32">
        <v>0</v>
      </c>
      <c r="BF32">
        <v>0</v>
      </c>
      <c r="BG32">
        <v>0</v>
      </c>
      <c r="BH32">
        <v>0</v>
      </c>
      <c r="BI32">
        <v>2</v>
      </c>
      <c r="BJ32" s="11" t="s">
        <v>2333</v>
      </c>
    </row>
    <row r="33" spans="1:62" ht="13.5" customHeight="1" x14ac:dyDescent="0.25">
      <c r="A33" s="24" t="str">
        <f t="shared" si="0"/>
        <v>F058</v>
      </c>
      <c r="B33" t="str">
        <f t="shared" si="1"/>
        <v>139</v>
      </c>
      <c r="C33" s="24" t="str">
        <f t="shared" si="2"/>
        <v>722</v>
      </c>
      <c r="D3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33" s="19">
        <f>IF(Montageplatten[[#This Row],[37/32]]=1,1,IF(Montageplatten[[#This Row],[28/32]]=1,2,0))</f>
        <v>1</v>
      </c>
      <c r="G3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3" s="19">
        <f>IF(Montageplatten[[#This Row],[Typ]]+Montageplatten[[#This Row],[Befestigung]]=2,1,0)</f>
        <v>1</v>
      </c>
      <c r="I33" s="19">
        <f>IF(Montageplatten[[#This Row],[Randbedingungen]]+IF(Montageplatten[[#This Row],[Höhe]]=select!$B$70,1,0)=2,1,0)</f>
        <v>0</v>
      </c>
      <c r="J33" s="19">
        <f>IF(Montageplatten[[#This Row],[Randbedingungen]]+IF(Montageplatten[[#This Row],[Höhe]]=select!$D$70,1,0)=2,1,0)</f>
        <v>0</v>
      </c>
      <c r="K33" s="19">
        <f>IF(Montageplatten[[#This Row],[Randbedingungen]]+IF(Montageplatten[[#This Row],[Höhe]]=select!$F$70,1,0)=2,1,0)</f>
        <v>0</v>
      </c>
      <c r="L33" s="19">
        <f>IF(Montageplatten[[#This Row],[Randbedingungen]]+IF(Montageplatten[[#This Row],[Höhe]]=select!$H$70,1,0)=2,1,0)</f>
        <v>0</v>
      </c>
      <c r="M3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3" s="67">
        <f>IF(select!$M$317=Montageplatten[[#This Row],[Höhe]],1,0)</f>
        <v>0</v>
      </c>
      <c r="P3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33" s="67">
        <f>IF(Montageplatten[[#This Row],[Typ_winkel]]+Montageplatten[[#This Row],[Befest_Winkel]]=2,1,0)</f>
        <v>1</v>
      </c>
      <c r="S33" s="67">
        <f>IF(Montageplatten[[#This Row],[MPH Winkel]]+Montageplatten[[#This Row],[Typ_winkel]]+Montageplatten[[#This Row],[Befest_Winkel]]=3,1,0)</f>
        <v>0</v>
      </c>
      <c r="T33" s="295">
        <f ca="1">IF(select!$M$746=Montageplatten[[#This Row],[Höhe]],1,0)</f>
        <v>0</v>
      </c>
      <c r="U3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33" s="67">
        <f>IF(Montageplatten[[#This Row],[Typ Spezial]]+Montageplatten[[#This Row],[Befest Spezial]]=2,1,0)</f>
        <v>1</v>
      </c>
      <c r="X33" s="67">
        <f ca="1">IF(Montageplatten[[#This Row],[MPH Spezial]]+Montageplatten[[#This Row],[Typ Spezial]]+Montageplatten[[#This Row],[Befest Spezial]]=3,1,0)</f>
        <v>0</v>
      </c>
      <c r="Y33" s="67" t="e">
        <f ca="1">IF(Montageplatten[[#This Row],[AG Rand]]+IF(Montageplatten[[#This Row],[Höhe]]=select!$C$1212,1,0)=2,1,0)</f>
        <v>#VALUE!</v>
      </c>
      <c r="Z33" s="67" t="e">
        <f ca="1">IF(Montageplatten[[#This Row],[AG Rand]]+IF(Montageplatten[[#This Row],[Höhe]]=select!$E$1212,1,0)=2,1,0)</f>
        <v>#VALUE!</v>
      </c>
      <c r="AA33" s="67" t="e">
        <f ca="1">IF(Montageplatten[[#This Row],[AG Rand]]+IF(Montageplatten[[#This Row],[Höhe]]=select!$G$1212,1,0)=2,1,0)</f>
        <v>#VALUE!</v>
      </c>
      <c r="AB33" s="67" t="e">
        <f ca="1">IF(Montageplatten[[#This Row],[AG Rand]]+IF(Montageplatten[[#This Row],[Höhe]]=select!$I$1212,1,0)=2,1,0)</f>
        <v>#VALUE!</v>
      </c>
      <c r="AC3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33" s="67">
        <f>IF(Montageplatten[[#This Row],[AG Typ]]+Montageplatten[[#This Row],[AG Bef]]=2,1,0)</f>
        <v>1</v>
      </c>
      <c r="AG3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3" s="67">
        <f ca="1">IF(Montageplatten[[#This Row],[AG MPH]]+Montageplatten[[#This Row],[AG Typ]]+Montageplatten[[#This Row],[AG Bef]]=3,1,0)</f>
        <v>0</v>
      </c>
      <c r="AJ33" s="67">
        <f ca="1">IF(select!$K$980="*",Montageplatten[[#This Row],[AG Ges2]],Montageplatten[[#This Row],[AG Ges1]])</f>
        <v>0</v>
      </c>
      <c r="AK3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33" s="67">
        <f>IF(Montageplatten[[#This Row],[konf Typ]]+Montageplatten[[#This Row],[konf Befest]]=2,1,0)</f>
        <v>1</v>
      </c>
      <c r="AN3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3" s="67">
        <f ca="1">IF(Montageplatten[[#This Row],[konf Rahmenbed]]+Montageplatten[[#This Row],[konf MPH]]=2,1,0)</f>
        <v>0</v>
      </c>
      <c r="AP33" s="26" t="str">
        <f ca="1">Sprache!$A$137</f>
        <v>Eco Kreuz Mtg-Platte</v>
      </c>
      <c r="AQ33" t="s">
        <v>739</v>
      </c>
      <c r="AR33" t="str">
        <f ca="1">Sprache!$A$134</f>
        <v>Tiomos Montageplatten</v>
      </c>
      <c r="AS33" s="18">
        <v>1</v>
      </c>
      <c r="AT33" s="18">
        <v>0</v>
      </c>
      <c r="AU33" s="18">
        <v>0</v>
      </c>
      <c r="AV33" s="18">
        <v>0</v>
      </c>
      <c r="AW33" s="2">
        <v>0</v>
      </c>
      <c r="AX33" s="2">
        <v>1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>
        <v>1</v>
      </c>
      <c r="BE33">
        <v>0</v>
      </c>
      <c r="BF33">
        <v>0</v>
      </c>
      <c r="BG33">
        <v>0</v>
      </c>
      <c r="BH33">
        <v>0</v>
      </c>
      <c r="BI33">
        <v>2</v>
      </c>
      <c r="BJ33" s="11" t="s">
        <v>738</v>
      </c>
    </row>
    <row r="34" spans="1:62" ht="13.5" customHeight="1" x14ac:dyDescent="0.25">
      <c r="A34" s="24" t="str">
        <f t="shared" ref="A34:A65" si="3">LEFT(BJ34,4)</f>
        <v>F058</v>
      </c>
      <c r="B34" t="str">
        <f t="shared" ref="B34:B65" si="4">MID(BJ34,5,3)</f>
        <v>139</v>
      </c>
      <c r="C34" s="24" t="str">
        <f t="shared" ref="C34:C65" si="5">RIGHT(BJ34,3)</f>
        <v>727</v>
      </c>
      <c r="D3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4" s="19">
        <f>IF(Montageplatten[[#This Row],[37/32]]=1,1,IF(Montageplatten[[#This Row],[28/32]]=1,2,0))</f>
        <v>1</v>
      </c>
      <c r="G3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4" s="19">
        <f>IF(Montageplatten[[#This Row],[Typ]]+Montageplatten[[#This Row],[Befestigung]]=2,1,0)</f>
        <v>0</v>
      </c>
      <c r="I34" s="19">
        <f>IF(Montageplatten[[#This Row],[Randbedingungen]]+IF(Montageplatten[[#This Row],[Höhe]]=select!$B$70,1,0)=2,1,0)</f>
        <v>0</v>
      </c>
      <c r="J34" s="19">
        <f>IF(Montageplatten[[#This Row],[Randbedingungen]]+IF(Montageplatten[[#This Row],[Höhe]]=select!$D$70,1,0)=2,1,0)</f>
        <v>0</v>
      </c>
      <c r="K34" s="19">
        <f>IF(Montageplatten[[#This Row],[Randbedingungen]]+IF(Montageplatten[[#This Row],[Höhe]]=select!$F$70,1,0)=2,1,0)</f>
        <v>0</v>
      </c>
      <c r="L34" s="19">
        <f>IF(Montageplatten[[#This Row],[Randbedingungen]]+IF(Montageplatten[[#This Row],[Höhe]]=select!$H$70,1,0)=2,1,0)</f>
        <v>0</v>
      </c>
      <c r="M3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4" s="67">
        <f>IF(select!$M$317=Montageplatten[[#This Row],[Höhe]],1,0)</f>
        <v>0</v>
      </c>
      <c r="P3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4" s="67">
        <f>IF(Montageplatten[[#This Row],[Typ_winkel]]+Montageplatten[[#This Row],[Befest_Winkel]]=2,1,0)</f>
        <v>0</v>
      </c>
      <c r="S34" s="67">
        <f>IF(Montageplatten[[#This Row],[MPH Winkel]]+Montageplatten[[#This Row],[Typ_winkel]]+Montageplatten[[#This Row],[Befest_Winkel]]=3,1,0)</f>
        <v>0</v>
      </c>
      <c r="T34" s="295">
        <f ca="1">IF(select!$M$746=Montageplatten[[#This Row],[Höhe]],1,0)</f>
        <v>0</v>
      </c>
      <c r="U3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4" s="67">
        <f>IF(Montageplatten[[#This Row],[Typ Spezial]]+Montageplatten[[#This Row],[Befest Spezial]]=2,1,0)</f>
        <v>0</v>
      </c>
      <c r="X34" s="67">
        <f ca="1">IF(Montageplatten[[#This Row],[MPH Spezial]]+Montageplatten[[#This Row],[Typ Spezial]]+Montageplatten[[#This Row],[Befest Spezial]]=3,1,0)</f>
        <v>0</v>
      </c>
      <c r="Y34" s="67" t="e">
        <f ca="1">IF(Montageplatten[[#This Row],[AG Rand]]+IF(Montageplatten[[#This Row],[Höhe]]=select!$C$1212,1,0)=2,1,0)</f>
        <v>#VALUE!</v>
      </c>
      <c r="Z34" s="67" t="e">
        <f ca="1">IF(Montageplatten[[#This Row],[AG Rand]]+IF(Montageplatten[[#This Row],[Höhe]]=select!$E$1212,1,0)=2,1,0)</f>
        <v>#VALUE!</v>
      </c>
      <c r="AA34" s="67" t="e">
        <f ca="1">IF(Montageplatten[[#This Row],[AG Rand]]+IF(Montageplatten[[#This Row],[Höhe]]=select!$G$1212,1,0)=2,1,0)</f>
        <v>#VALUE!</v>
      </c>
      <c r="AB34" s="67" t="e">
        <f ca="1">IF(Montageplatten[[#This Row],[AG Rand]]+IF(Montageplatten[[#This Row],[Höhe]]=select!$I$1212,1,0)=2,1,0)</f>
        <v>#VALUE!</v>
      </c>
      <c r="AC3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4" s="67">
        <f>IF(Montageplatten[[#This Row],[AG Typ]]+Montageplatten[[#This Row],[AG Bef]]=2,1,0)</f>
        <v>0</v>
      </c>
      <c r="AG3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4" s="67">
        <f ca="1">IF(Montageplatten[[#This Row],[AG MPH]]+Montageplatten[[#This Row],[AG Typ]]+Montageplatten[[#This Row],[AG Bef]]=3,1,0)</f>
        <v>0</v>
      </c>
      <c r="AJ34" s="67">
        <f ca="1">IF(select!$K$980="*",Montageplatten[[#This Row],[AG Ges2]],Montageplatten[[#This Row],[AG Ges1]])</f>
        <v>0</v>
      </c>
      <c r="AK3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4" s="67">
        <f>IF(Montageplatten[[#This Row],[konf Typ]]+Montageplatten[[#This Row],[konf Befest]]=2,1,0)</f>
        <v>0</v>
      </c>
      <c r="AN3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4" s="67">
        <f ca="1">IF(Montageplatten[[#This Row],[konf Rahmenbed]]+Montageplatten[[#This Row],[konf MPH]]=2,1,0)</f>
        <v>0</v>
      </c>
      <c r="AP34" s="26" t="str">
        <f ca="1">Sprache!$A$137</f>
        <v>Eco Kreuz Mtg-Platte</v>
      </c>
      <c r="AQ34" t="s">
        <v>748</v>
      </c>
      <c r="AR34" t="str">
        <f ca="1">Sprache!$A$134</f>
        <v>Tiomos Montageplatten</v>
      </c>
      <c r="AS34" s="18">
        <v>1</v>
      </c>
      <c r="AT34" s="18">
        <v>0</v>
      </c>
      <c r="AU34" s="18">
        <v>0</v>
      </c>
      <c r="AV34" s="18">
        <v>0</v>
      </c>
      <c r="AW34" s="2">
        <v>1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2</v>
      </c>
      <c r="BJ34" s="11" t="s">
        <v>747</v>
      </c>
    </row>
    <row r="35" spans="1:62" ht="13.5" customHeight="1" x14ac:dyDescent="0.25">
      <c r="A35" s="24" t="str">
        <f t="shared" si="3"/>
        <v>F058</v>
      </c>
      <c r="B35" t="str">
        <f t="shared" si="4"/>
        <v>139</v>
      </c>
      <c r="C35" s="24" t="str">
        <f t="shared" si="5"/>
        <v>737</v>
      </c>
      <c r="D3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5" s="19">
        <f>IF(Montageplatten[[#This Row],[37/32]]=1,1,IF(Montageplatten[[#This Row],[28/32]]=1,2,0))</f>
        <v>1</v>
      </c>
      <c r="G3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5" s="19">
        <f>IF(Montageplatten[[#This Row],[Typ]]+Montageplatten[[#This Row],[Befestigung]]=2,1,0)</f>
        <v>0</v>
      </c>
      <c r="I35" s="19">
        <f>IF(Montageplatten[[#This Row],[Randbedingungen]]+IF(Montageplatten[[#This Row],[Höhe]]=select!$B$70,1,0)=2,1,0)</f>
        <v>0</v>
      </c>
      <c r="J35" s="19">
        <f>IF(Montageplatten[[#This Row],[Randbedingungen]]+IF(Montageplatten[[#This Row],[Höhe]]=select!$D$70,1,0)=2,1,0)</f>
        <v>0</v>
      </c>
      <c r="K35" s="19">
        <f>IF(Montageplatten[[#This Row],[Randbedingungen]]+IF(Montageplatten[[#This Row],[Höhe]]=select!$F$70,1,0)=2,1,0)</f>
        <v>0</v>
      </c>
      <c r="L35" s="19">
        <f>IF(Montageplatten[[#This Row],[Randbedingungen]]+IF(Montageplatten[[#This Row],[Höhe]]=select!$H$70,1,0)=2,1,0)</f>
        <v>0</v>
      </c>
      <c r="M3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5" s="67">
        <f>IF(select!$M$317=Montageplatten[[#This Row],[Höhe]],1,0)</f>
        <v>0</v>
      </c>
      <c r="P3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5" s="67">
        <f>IF(Montageplatten[[#This Row],[Typ_winkel]]+Montageplatten[[#This Row],[Befest_Winkel]]=2,1,0)</f>
        <v>0</v>
      </c>
      <c r="S35" s="67">
        <f>IF(Montageplatten[[#This Row],[MPH Winkel]]+Montageplatten[[#This Row],[Typ_winkel]]+Montageplatten[[#This Row],[Befest_Winkel]]=3,1,0)</f>
        <v>0</v>
      </c>
      <c r="T35" s="295">
        <f ca="1">IF(select!$M$746=Montageplatten[[#This Row],[Höhe]],1,0)</f>
        <v>0</v>
      </c>
      <c r="U3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5" s="67">
        <f>IF(Montageplatten[[#This Row],[Typ Spezial]]+Montageplatten[[#This Row],[Befest Spezial]]=2,1,0)</f>
        <v>0</v>
      </c>
      <c r="X35" s="67">
        <f ca="1">IF(Montageplatten[[#This Row],[MPH Spezial]]+Montageplatten[[#This Row],[Typ Spezial]]+Montageplatten[[#This Row],[Befest Spezial]]=3,1,0)</f>
        <v>0</v>
      </c>
      <c r="Y35" s="67" t="e">
        <f ca="1">IF(Montageplatten[[#This Row],[AG Rand]]+IF(Montageplatten[[#This Row],[Höhe]]=select!$C$1212,1,0)=2,1,0)</f>
        <v>#VALUE!</v>
      </c>
      <c r="Z35" s="67" t="e">
        <f ca="1">IF(Montageplatten[[#This Row],[AG Rand]]+IF(Montageplatten[[#This Row],[Höhe]]=select!$E$1212,1,0)=2,1,0)</f>
        <v>#VALUE!</v>
      </c>
      <c r="AA35" s="67" t="e">
        <f ca="1">IF(Montageplatten[[#This Row],[AG Rand]]+IF(Montageplatten[[#This Row],[Höhe]]=select!$G$1212,1,0)=2,1,0)</f>
        <v>#VALUE!</v>
      </c>
      <c r="AB35" s="67" t="e">
        <f ca="1">IF(Montageplatten[[#This Row],[AG Rand]]+IF(Montageplatten[[#This Row],[Höhe]]=select!$I$1212,1,0)=2,1,0)</f>
        <v>#VALUE!</v>
      </c>
      <c r="AC3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5" s="67">
        <f>IF(Montageplatten[[#This Row],[AG Typ]]+Montageplatten[[#This Row],[AG Bef]]=2,1,0)</f>
        <v>0</v>
      </c>
      <c r="AG3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5" s="67">
        <f ca="1">IF(Montageplatten[[#This Row],[AG MPH]]+Montageplatten[[#This Row],[AG Typ]]+Montageplatten[[#This Row],[AG Bef]]=3,1,0)</f>
        <v>0</v>
      </c>
      <c r="AJ35" s="67">
        <f ca="1">IF(select!$K$980="*",Montageplatten[[#This Row],[AG Ges2]],Montageplatten[[#This Row],[AG Ges1]])</f>
        <v>0</v>
      </c>
      <c r="AK3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5" s="67">
        <f>IF(Montageplatten[[#This Row],[konf Typ]]+Montageplatten[[#This Row],[konf Befest]]=2,1,0)</f>
        <v>0</v>
      </c>
      <c r="AN3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5" s="67">
        <f ca="1">IF(Montageplatten[[#This Row],[konf Rahmenbed]]+Montageplatten[[#This Row],[konf MPH]]=2,1,0)</f>
        <v>0</v>
      </c>
      <c r="AP35" s="26" t="str">
        <f ca="1">Sprache!$A$137</f>
        <v>Eco Kreuz Mtg-Platte</v>
      </c>
      <c r="AQ35" t="s">
        <v>757</v>
      </c>
      <c r="AR35" t="str">
        <f ca="1">Sprache!$A$134</f>
        <v>Tiomos Montageplatten</v>
      </c>
      <c r="AS35" s="18">
        <v>1</v>
      </c>
      <c r="AT35" s="18">
        <v>0</v>
      </c>
      <c r="AU35" s="18">
        <v>0</v>
      </c>
      <c r="AV35" s="18">
        <v>0</v>
      </c>
      <c r="AW35" s="2">
        <v>0</v>
      </c>
      <c r="AX35" s="2">
        <v>0</v>
      </c>
      <c r="AY35" s="2">
        <v>0</v>
      </c>
      <c r="AZ35" s="2">
        <v>1</v>
      </c>
      <c r="BA35" s="2">
        <v>0</v>
      </c>
      <c r="BB35" s="2">
        <v>0</v>
      </c>
      <c r="BC35" s="2">
        <v>0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2</v>
      </c>
      <c r="BJ35" s="11" t="s">
        <v>756</v>
      </c>
    </row>
    <row r="36" spans="1:62" ht="13.5" customHeight="1" x14ac:dyDescent="0.25">
      <c r="A36" s="24" t="str">
        <f t="shared" si="3"/>
        <v>F058</v>
      </c>
      <c r="B36" t="str">
        <f t="shared" si="4"/>
        <v>139</v>
      </c>
      <c r="C36" s="24" t="str">
        <f t="shared" si="5"/>
        <v>747</v>
      </c>
      <c r="D3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36" s="19">
        <f>IF(Montageplatten[[#This Row],[37/32]]=1,1,IF(Montageplatten[[#This Row],[28/32]]=1,2,0))</f>
        <v>1</v>
      </c>
      <c r="G3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6" s="19">
        <f>IF(Montageplatten[[#This Row],[Typ]]+Montageplatten[[#This Row],[Befestigung]]=2,1,0)</f>
        <v>1</v>
      </c>
      <c r="I36" s="19">
        <f>IF(Montageplatten[[#This Row],[Randbedingungen]]+IF(Montageplatten[[#This Row],[Höhe]]=select!$B$70,1,0)=2,1,0)</f>
        <v>0</v>
      </c>
      <c r="J36" s="19">
        <f>IF(Montageplatten[[#This Row],[Randbedingungen]]+IF(Montageplatten[[#This Row],[Höhe]]=select!$D$70,1,0)=2,1,0)</f>
        <v>0</v>
      </c>
      <c r="K36" s="19">
        <f>IF(Montageplatten[[#This Row],[Randbedingungen]]+IF(Montageplatten[[#This Row],[Höhe]]=select!$F$70,1,0)=2,1,0)</f>
        <v>0</v>
      </c>
      <c r="L36" s="19">
        <f>IF(Montageplatten[[#This Row],[Randbedingungen]]+IF(Montageplatten[[#This Row],[Höhe]]=select!$H$70,1,0)=2,1,0)</f>
        <v>0</v>
      </c>
      <c r="M3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6" s="67">
        <f>IF(select!$M$317=Montageplatten[[#This Row],[Höhe]],1,0)</f>
        <v>0</v>
      </c>
      <c r="P3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36" s="67">
        <f>IF(Montageplatten[[#This Row],[Typ_winkel]]+Montageplatten[[#This Row],[Befest_Winkel]]=2,1,0)</f>
        <v>1</v>
      </c>
      <c r="S36" s="67">
        <f>IF(Montageplatten[[#This Row],[MPH Winkel]]+Montageplatten[[#This Row],[Typ_winkel]]+Montageplatten[[#This Row],[Befest_Winkel]]=3,1,0)</f>
        <v>0</v>
      </c>
      <c r="T36" s="295">
        <f ca="1">IF(select!$M$746=Montageplatten[[#This Row],[Höhe]],1,0)</f>
        <v>0</v>
      </c>
      <c r="U3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36" s="67">
        <f>IF(Montageplatten[[#This Row],[Typ Spezial]]+Montageplatten[[#This Row],[Befest Spezial]]=2,1,0)</f>
        <v>1</v>
      </c>
      <c r="X36" s="67">
        <f ca="1">IF(Montageplatten[[#This Row],[MPH Spezial]]+Montageplatten[[#This Row],[Typ Spezial]]+Montageplatten[[#This Row],[Befest Spezial]]=3,1,0)</f>
        <v>0</v>
      </c>
      <c r="Y36" s="67" t="e">
        <f ca="1">IF(Montageplatten[[#This Row],[AG Rand]]+IF(Montageplatten[[#This Row],[Höhe]]=select!$C$1212,1,0)=2,1,0)</f>
        <v>#VALUE!</v>
      </c>
      <c r="Z36" s="67" t="e">
        <f ca="1">IF(Montageplatten[[#This Row],[AG Rand]]+IF(Montageplatten[[#This Row],[Höhe]]=select!$E$1212,1,0)=2,1,0)</f>
        <v>#VALUE!</v>
      </c>
      <c r="AA36" s="67" t="e">
        <f ca="1">IF(Montageplatten[[#This Row],[AG Rand]]+IF(Montageplatten[[#This Row],[Höhe]]=select!$G$1212,1,0)=2,1,0)</f>
        <v>#VALUE!</v>
      </c>
      <c r="AB36" s="67" t="e">
        <f ca="1">IF(Montageplatten[[#This Row],[AG Rand]]+IF(Montageplatten[[#This Row],[Höhe]]=select!$I$1212,1,0)=2,1,0)</f>
        <v>#VALUE!</v>
      </c>
      <c r="AC3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36" s="67">
        <f>IF(Montageplatten[[#This Row],[AG Typ]]+Montageplatten[[#This Row],[AG Bef]]=2,1,0)</f>
        <v>1</v>
      </c>
      <c r="AG3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6" s="67">
        <f ca="1">IF(Montageplatten[[#This Row],[AG MPH]]+Montageplatten[[#This Row],[AG Typ]]+Montageplatten[[#This Row],[AG Bef]]=3,1,0)</f>
        <v>0</v>
      </c>
      <c r="AJ36" s="67">
        <f ca="1">IF(select!$K$980="*",Montageplatten[[#This Row],[AG Ges2]],Montageplatten[[#This Row],[AG Ges1]])</f>
        <v>0</v>
      </c>
      <c r="AK3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36" s="67">
        <f>IF(Montageplatten[[#This Row],[konf Typ]]+Montageplatten[[#This Row],[konf Befest]]=2,1,0)</f>
        <v>1</v>
      </c>
      <c r="AN3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6" s="67">
        <f ca="1">IF(Montageplatten[[#This Row],[konf Rahmenbed]]+Montageplatten[[#This Row],[konf MPH]]=2,1,0)</f>
        <v>0</v>
      </c>
      <c r="AP36" s="26" t="str">
        <f ca="1">Sprache!$A$136</f>
        <v>1D Kreuz Mtg-Platte</v>
      </c>
      <c r="AQ36" t="s">
        <v>739</v>
      </c>
      <c r="AR36" t="str">
        <f ca="1">Sprache!$A$134</f>
        <v>Tiomos Montageplatten</v>
      </c>
      <c r="AS36" s="18">
        <v>1</v>
      </c>
      <c r="AT36" s="18">
        <v>0</v>
      </c>
      <c r="AU36" s="18">
        <v>0</v>
      </c>
      <c r="AV36" s="18">
        <v>0</v>
      </c>
      <c r="AW36" s="2">
        <v>0</v>
      </c>
      <c r="AX36" s="2">
        <v>1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2</v>
      </c>
      <c r="BJ36" s="11" t="s">
        <v>763</v>
      </c>
    </row>
    <row r="37" spans="1:62" ht="13.5" customHeight="1" x14ac:dyDescent="0.25">
      <c r="A37" s="24" t="str">
        <f t="shared" si="3"/>
        <v>F058</v>
      </c>
      <c r="B37" t="str">
        <f t="shared" si="4"/>
        <v>139</v>
      </c>
      <c r="C37" s="24" t="str">
        <f t="shared" si="5"/>
        <v>752</v>
      </c>
      <c r="D3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7" s="19">
        <f>IF(Montageplatten[[#This Row],[37/32]]=1,1,IF(Montageplatten[[#This Row],[28/32]]=1,2,0))</f>
        <v>1</v>
      </c>
      <c r="G3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7" s="19">
        <f>IF(Montageplatten[[#This Row],[Typ]]+Montageplatten[[#This Row],[Befestigung]]=2,1,0)</f>
        <v>0</v>
      </c>
      <c r="I37" s="19">
        <f>IF(Montageplatten[[#This Row],[Randbedingungen]]+IF(Montageplatten[[#This Row],[Höhe]]=select!$B$70,1,0)=2,1,0)</f>
        <v>0</v>
      </c>
      <c r="J37" s="19">
        <f>IF(Montageplatten[[#This Row],[Randbedingungen]]+IF(Montageplatten[[#This Row],[Höhe]]=select!$D$70,1,0)=2,1,0)</f>
        <v>0</v>
      </c>
      <c r="K37" s="19">
        <f>IF(Montageplatten[[#This Row],[Randbedingungen]]+IF(Montageplatten[[#This Row],[Höhe]]=select!$F$70,1,0)=2,1,0)</f>
        <v>0</v>
      </c>
      <c r="L37" s="19">
        <f>IF(Montageplatten[[#This Row],[Randbedingungen]]+IF(Montageplatten[[#This Row],[Höhe]]=select!$H$70,1,0)=2,1,0)</f>
        <v>0</v>
      </c>
      <c r="M3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7" s="67">
        <f>IF(select!$M$317=Montageplatten[[#This Row],[Höhe]],1,0)</f>
        <v>0</v>
      </c>
      <c r="P3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7" s="67">
        <f>IF(Montageplatten[[#This Row],[Typ_winkel]]+Montageplatten[[#This Row],[Befest_Winkel]]=2,1,0)</f>
        <v>0</v>
      </c>
      <c r="S37" s="67">
        <f>IF(Montageplatten[[#This Row],[MPH Winkel]]+Montageplatten[[#This Row],[Typ_winkel]]+Montageplatten[[#This Row],[Befest_Winkel]]=3,1,0)</f>
        <v>0</v>
      </c>
      <c r="T37" s="295">
        <f ca="1">IF(select!$M$746=Montageplatten[[#This Row],[Höhe]],1,0)</f>
        <v>0</v>
      </c>
      <c r="U3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7" s="67">
        <f>IF(Montageplatten[[#This Row],[Typ Spezial]]+Montageplatten[[#This Row],[Befest Spezial]]=2,1,0)</f>
        <v>0</v>
      </c>
      <c r="X37" s="67">
        <f ca="1">IF(Montageplatten[[#This Row],[MPH Spezial]]+Montageplatten[[#This Row],[Typ Spezial]]+Montageplatten[[#This Row],[Befest Spezial]]=3,1,0)</f>
        <v>0</v>
      </c>
      <c r="Y37" s="67" t="e">
        <f ca="1">IF(Montageplatten[[#This Row],[AG Rand]]+IF(Montageplatten[[#This Row],[Höhe]]=select!$C$1212,1,0)=2,1,0)</f>
        <v>#VALUE!</v>
      </c>
      <c r="Z37" s="67" t="e">
        <f ca="1">IF(Montageplatten[[#This Row],[AG Rand]]+IF(Montageplatten[[#This Row],[Höhe]]=select!$E$1212,1,0)=2,1,0)</f>
        <v>#VALUE!</v>
      </c>
      <c r="AA37" s="67" t="e">
        <f ca="1">IF(Montageplatten[[#This Row],[AG Rand]]+IF(Montageplatten[[#This Row],[Höhe]]=select!$G$1212,1,0)=2,1,0)</f>
        <v>#VALUE!</v>
      </c>
      <c r="AB37" s="67" t="e">
        <f ca="1">IF(Montageplatten[[#This Row],[AG Rand]]+IF(Montageplatten[[#This Row],[Höhe]]=select!$I$1212,1,0)=2,1,0)</f>
        <v>#VALUE!</v>
      </c>
      <c r="AC3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7" s="67">
        <f>IF(Montageplatten[[#This Row],[AG Typ]]+Montageplatten[[#This Row],[AG Bef]]=2,1,0)</f>
        <v>0</v>
      </c>
      <c r="AG3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7" s="67">
        <f ca="1">IF(Montageplatten[[#This Row],[AG MPH]]+Montageplatten[[#This Row],[AG Typ]]+Montageplatten[[#This Row],[AG Bef]]=3,1,0)</f>
        <v>0</v>
      </c>
      <c r="AJ37" s="67">
        <f ca="1">IF(select!$K$980="*",Montageplatten[[#This Row],[AG Ges2]],Montageplatten[[#This Row],[AG Ges1]])</f>
        <v>0</v>
      </c>
      <c r="AK3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7" s="67">
        <f>IF(Montageplatten[[#This Row],[konf Typ]]+Montageplatten[[#This Row],[konf Befest]]=2,1,0)</f>
        <v>0</v>
      </c>
      <c r="AN3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7" s="67">
        <f ca="1">IF(Montageplatten[[#This Row],[konf Rahmenbed]]+Montageplatten[[#This Row],[konf MPH]]=2,1,0)</f>
        <v>0</v>
      </c>
      <c r="AP37" s="26" t="str">
        <f ca="1">Sprache!$A$136</f>
        <v>1D Kreuz Mtg-Platte</v>
      </c>
      <c r="AQ37" t="s">
        <v>748</v>
      </c>
      <c r="AR37" t="str">
        <f ca="1">Sprache!$A$134</f>
        <v>Tiomos Montageplatten</v>
      </c>
      <c r="AS37" s="18">
        <v>1</v>
      </c>
      <c r="AT37" s="18">
        <v>0</v>
      </c>
      <c r="AU37" s="18">
        <v>0</v>
      </c>
      <c r="AV37" s="18">
        <v>0</v>
      </c>
      <c r="AW37" s="2">
        <v>1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2</v>
      </c>
      <c r="BJ37" s="11" t="s">
        <v>44</v>
      </c>
    </row>
    <row r="38" spans="1:62" ht="13.5" customHeight="1" x14ac:dyDescent="0.25">
      <c r="A38" s="24" t="str">
        <f t="shared" si="3"/>
        <v>F058</v>
      </c>
      <c r="B38" t="str">
        <f t="shared" si="4"/>
        <v>139</v>
      </c>
      <c r="C38" s="24" t="str">
        <f t="shared" si="5"/>
        <v>757</v>
      </c>
      <c r="D3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8" s="19">
        <f>IF(Montageplatten[[#This Row],[37/32]]=1,1,IF(Montageplatten[[#This Row],[28/32]]=1,2,0))</f>
        <v>1</v>
      </c>
      <c r="G3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8" s="19">
        <f>IF(Montageplatten[[#This Row],[Typ]]+Montageplatten[[#This Row],[Befestigung]]=2,1,0)</f>
        <v>0</v>
      </c>
      <c r="I38" s="19">
        <f>IF(Montageplatten[[#This Row],[Randbedingungen]]+IF(Montageplatten[[#This Row],[Höhe]]=select!$B$70,1,0)=2,1,0)</f>
        <v>0</v>
      </c>
      <c r="J38" s="19">
        <f>IF(Montageplatten[[#This Row],[Randbedingungen]]+IF(Montageplatten[[#This Row],[Höhe]]=select!$D$70,1,0)=2,1,0)</f>
        <v>0</v>
      </c>
      <c r="K38" s="19">
        <f>IF(Montageplatten[[#This Row],[Randbedingungen]]+IF(Montageplatten[[#This Row],[Höhe]]=select!$F$70,1,0)=2,1,0)</f>
        <v>0</v>
      </c>
      <c r="L38" s="19">
        <f>IF(Montageplatten[[#This Row],[Randbedingungen]]+IF(Montageplatten[[#This Row],[Höhe]]=select!$H$70,1,0)=2,1,0)</f>
        <v>0</v>
      </c>
      <c r="M3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8" s="67">
        <f>IF(select!$M$317=Montageplatten[[#This Row],[Höhe]],1,0)</f>
        <v>0</v>
      </c>
      <c r="P3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8" s="67">
        <f>IF(Montageplatten[[#This Row],[Typ_winkel]]+Montageplatten[[#This Row],[Befest_Winkel]]=2,1,0)</f>
        <v>0</v>
      </c>
      <c r="S38" s="67">
        <f>IF(Montageplatten[[#This Row],[MPH Winkel]]+Montageplatten[[#This Row],[Typ_winkel]]+Montageplatten[[#This Row],[Befest_Winkel]]=3,1,0)</f>
        <v>0</v>
      </c>
      <c r="T38" s="295">
        <f ca="1">IF(select!$M$746=Montageplatten[[#This Row],[Höhe]],1,0)</f>
        <v>0</v>
      </c>
      <c r="U3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8" s="67">
        <f>IF(Montageplatten[[#This Row],[Typ Spezial]]+Montageplatten[[#This Row],[Befest Spezial]]=2,1,0)</f>
        <v>0</v>
      </c>
      <c r="X38" s="67">
        <f ca="1">IF(Montageplatten[[#This Row],[MPH Spezial]]+Montageplatten[[#This Row],[Typ Spezial]]+Montageplatten[[#This Row],[Befest Spezial]]=3,1,0)</f>
        <v>0</v>
      </c>
      <c r="Y38" s="67" t="e">
        <f ca="1">IF(Montageplatten[[#This Row],[AG Rand]]+IF(Montageplatten[[#This Row],[Höhe]]=select!$C$1212,1,0)=2,1,0)</f>
        <v>#VALUE!</v>
      </c>
      <c r="Z38" s="67" t="e">
        <f ca="1">IF(Montageplatten[[#This Row],[AG Rand]]+IF(Montageplatten[[#This Row],[Höhe]]=select!$E$1212,1,0)=2,1,0)</f>
        <v>#VALUE!</v>
      </c>
      <c r="AA38" s="67" t="e">
        <f ca="1">IF(Montageplatten[[#This Row],[AG Rand]]+IF(Montageplatten[[#This Row],[Höhe]]=select!$G$1212,1,0)=2,1,0)</f>
        <v>#VALUE!</v>
      </c>
      <c r="AB38" s="67" t="e">
        <f ca="1">IF(Montageplatten[[#This Row],[AG Rand]]+IF(Montageplatten[[#This Row],[Höhe]]=select!$I$1212,1,0)=2,1,0)</f>
        <v>#VALUE!</v>
      </c>
      <c r="AC3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8" s="67">
        <f>IF(Montageplatten[[#This Row],[AG Typ]]+Montageplatten[[#This Row],[AG Bef]]=2,1,0)</f>
        <v>0</v>
      </c>
      <c r="AG3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8" s="67">
        <f ca="1">IF(Montageplatten[[#This Row],[AG MPH]]+Montageplatten[[#This Row],[AG Typ]]+Montageplatten[[#This Row],[AG Bef]]=3,1,0)</f>
        <v>0</v>
      </c>
      <c r="AJ38" s="67">
        <f ca="1">IF(select!$K$980="*",Montageplatten[[#This Row],[AG Ges2]],Montageplatten[[#This Row],[AG Ges1]])</f>
        <v>0</v>
      </c>
      <c r="AK3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8" s="67">
        <f>IF(Montageplatten[[#This Row],[konf Typ]]+Montageplatten[[#This Row],[konf Befest]]=2,1,0)</f>
        <v>0</v>
      </c>
      <c r="AN3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8" s="67">
        <f ca="1">IF(Montageplatten[[#This Row],[konf Rahmenbed]]+Montageplatten[[#This Row],[konf MPH]]=2,1,0)</f>
        <v>0</v>
      </c>
      <c r="AP38" s="26" t="str">
        <f ca="1">Sprache!$A$136</f>
        <v>1D Kreuz Mtg-Platte</v>
      </c>
      <c r="AQ38" t="s">
        <v>769</v>
      </c>
      <c r="AR38" t="str">
        <f ca="1">Sprache!$A$134</f>
        <v>Tiomos Montageplatten</v>
      </c>
      <c r="AS38" s="18">
        <v>1</v>
      </c>
      <c r="AT38" s="18">
        <v>0</v>
      </c>
      <c r="AU38" s="18">
        <v>0</v>
      </c>
      <c r="AV38" s="18">
        <v>0</v>
      </c>
      <c r="AW38" s="2">
        <v>0</v>
      </c>
      <c r="AX38" s="2">
        <v>0</v>
      </c>
      <c r="AY38" s="2">
        <v>1</v>
      </c>
      <c r="AZ38" s="2">
        <v>0</v>
      </c>
      <c r="BA38" s="2">
        <v>0</v>
      </c>
      <c r="BB38" s="2">
        <v>0</v>
      </c>
      <c r="BC38" s="2">
        <v>0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2</v>
      </c>
      <c r="BJ38" s="11" t="s">
        <v>768</v>
      </c>
    </row>
    <row r="39" spans="1:62" ht="13.5" customHeight="1" x14ac:dyDescent="0.25">
      <c r="A39" s="24" t="str">
        <f t="shared" si="3"/>
        <v>F058</v>
      </c>
      <c r="B39" t="str">
        <f t="shared" si="4"/>
        <v>139</v>
      </c>
      <c r="C39" s="24" t="str">
        <f t="shared" si="5"/>
        <v>762</v>
      </c>
      <c r="D3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3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39" s="19">
        <f>IF(Montageplatten[[#This Row],[37/32]]=1,1,IF(Montageplatten[[#This Row],[28/32]]=1,2,0))</f>
        <v>1</v>
      </c>
      <c r="G3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39" s="19">
        <f>IF(Montageplatten[[#This Row],[Typ]]+Montageplatten[[#This Row],[Befestigung]]=2,1,0)</f>
        <v>0</v>
      </c>
      <c r="I39" s="19">
        <f>IF(Montageplatten[[#This Row],[Randbedingungen]]+IF(Montageplatten[[#This Row],[Höhe]]=select!$B$70,1,0)=2,1,0)</f>
        <v>0</v>
      </c>
      <c r="J39" s="19">
        <f>IF(Montageplatten[[#This Row],[Randbedingungen]]+IF(Montageplatten[[#This Row],[Höhe]]=select!$D$70,1,0)=2,1,0)</f>
        <v>0</v>
      </c>
      <c r="K39" s="19">
        <f>IF(Montageplatten[[#This Row],[Randbedingungen]]+IF(Montageplatten[[#This Row],[Höhe]]=select!$F$70,1,0)=2,1,0)</f>
        <v>0</v>
      </c>
      <c r="L39" s="19">
        <f>IF(Montageplatten[[#This Row],[Randbedingungen]]+IF(Montageplatten[[#This Row],[Höhe]]=select!$H$70,1,0)=2,1,0)</f>
        <v>0</v>
      </c>
      <c r="M3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3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39" s="67">
        <f>IF(select!$M$317=Montageplatten[[#This Row],[Höhe]],1,0)</f>
        <v>0</v>
      </c>
      <c r="P3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3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39" s="67">
        <f>IF(Montageplatten[[#This Row],[Typ_winkel]]+Montageplatten[[#This Row],[Befest_Winkel]]=2,1,0)</f>
        <v>0</v>
      </c>
      <c r="S39" s="67">
        <f>IF(Montageplatten[[#This Row],[MPH Winkel]]+Montageplatten[[#This Row],[Typ_winkel]]+Montageplatten[[#This Row],[Befest_Winkel]]=3,1,0)</f>
        <v>0</v>
      </c>
      <c r="T39" s="295">
        <f ca="1">IF(select!$M$746=Montageplatten[[#This Row],[Höhe]],1,0)</f>
        <v>0</v>
      </c>
      <c r="U3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3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39" s="67">
        <f>IF(Montageplatten[[#This Row],[Typ Spezial]]+Montageplatten[[#This Row],[Befest Spezial]]=2,1,0)</f>
        <v>0</v>
      </c>
      <c r="X39" s="67">
        <f ca="1">IF(Montageplatten[[#This Row],[MPH Spezial]]+Montageplatten[[#This Row],[Typ Spezial]]+Montageplatten[[#This Row],[Befest Spezial]]=3,1,0)</f>
        <v>0</v>
      </c>
      <c r="Y39" s="67" t="e">
        <f ca="1">IF(Montageplatten[[#This Row],[AG Rand]]+IF(Montageplatten[[#This Row],[Höhe]]=select!$C$1212,1,0)=2,1,0)</f>
        <v>#VALUE!</v>
      </c>
      <c r="Z39" s="67" t="e">
        <f ca="1">IF(Montageplatten[[#This Row],[AG Rand]]+IF(Montageplatten[[#This Row],[Höhe]]=select!$E$1212,1,0)=2,1,0)</f>
        <v>#VALUE!</v>
      </c>
      <c r="AA39" s="67" t="e">
        <f ca="1">IF(Montageplatten[[#This Row],[AG Rand]]+IF(Montageplatten[[#This Row],[Höhe]]=select!$G$1212,1,0)=2,1,0)</f>
        <v>#VALUE!</v>
      </c>
      <c r="AB39" s="67" t="e">
        <f ca="1">IF(Montageplatten[[#This Row],[AG Rand]]+IF(Montageplatten[[#This Row],[Höhe]]=select!$I$1212,1,0)=2,1,0)</f>
        <v>#VALUE!</v>
      </c>
      <c r="AC3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3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3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39" s="67">
        <f>IF(Montageplatten[[#This Row],[AG Typ]]+Montageplatten[[#This Row],[AG Bef]]=2,1,0)</f>
        <v>0</v>
      </c>
      <c r="AG3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3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39" s="67">
        <f ca="1">IF(Montageplatten[[#This Row],[AG MPH]]+Montageplatten[[#This Row],[AG Typ]]+Montageplatten[[#This Row],[AG Bef]]=3,1,0)</f>
        <v>0</v>
      </c>
      <c r="AJ39" s="67">
        <f ca="1">IF(select!$K$980="*",Montageplatten[[#This Row],[AG Ges2]],Montageplatten[[#This Row],[AG Ges1]])</f>
        <v>0</v>
      </c>
      <c r="AK3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3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39" s="67">
        <f>IF(Montageplatten[[#This Row],[konf Typ]]+Montageplatten[[#This Row],[konf Befest]]=2,1,0)</f>
        <v>0</v>
      </c>
      <c r="AN3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39" s="67">
        <f ca="1">IF(Montageplatten[[#This Row],[konf Rahmenbed]]+Montageplatten[[#This Row],[konf MPH]]=2,1,0)</f>
        <v>0</v>
      </c>
      <c r="AP39" s="26" t="str">
        <f ca="1">Sprache!$A$136</f>
        <v>1D Kreuz Mtg-Platte</v>
      </c>
      <c r="AQ39" t="str">
        <f ca="1">"H 02, "&amp;Sprache!A71&amp;", ni /37"</f>
        <v>H 02, vorm. Euro, ni /37</v>
      </c>
      <c r="AR39" t="str">
        <f ca="1">Sprache!$A$134</f>
        <v>Tiomos Montageplatten</v>
      </c>
      <c r="AS39" s="18">
        <v>1</v>
      </c>
      <c r="AT39" s="18">
        <v>0</v>
      </c>
      <c r="AU39" s="18">
        <v>0</v>
      </c>
      <c r="AV39" s="18">
        <v>0</v>
      </c>
      <c r="AW39" s="2">
        <v>0</v>
      </c>
      <c r="AX39" s="2">
        <v>0</v>
      </c>
      <c r="AY39" s="2">
        <v>0</v>
      </c>
      <c r="AZ39" s="2">
        <v>1</v>
      </c>
      <c r="BA39" s="2">
        <v>0</v>
      </c>
      <c r="BB39" s="2">
        <v>0</v>
      </c>
      <c r="BC39" s="2">
        <v>0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2</v>
      </c>
      <c r="BJ39" s="11" t="s">
        <v>774</v>
      </c>
    </row>
    <row r="40" spans="1:62" ht="13.5" customHeight="1" x14ac:dyDescent="0.25">
      <c r="A40" s="24" t="str">
        <f t="shared" si="3"/>
        <v>F058</v>
      </c>
      <c r="B40" t="str">
        <f t="shared" si="4"/>
        <v>139</v>
      </c>
      <c r="C40" s="24" t="str">
        <f t="shared" si="5"/>
        <v>787</v>
      </c>
      <c r="D4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0" s="19">
        <f>IF(Montageplatten[[#This Row],[37/32]]=1,1,IF(Montageplatten[[#This Row],[28/32]]=1,2,0))</f>
        <v>2</v>
      </c>
      <c r="G4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0" s="19">
        <f>IF(Montageplatten[[#This Row],[Typ]]+Montageplatten[[#This Row],[Befestigung]]=2,1,0)</f>
        <v>0</v>
      </c>
      <c r="I40" s="19">
        <f>IF(Montageplatten[[#This Row],[Randbedingungen]]+IF(Montageplatten[[#This Row],[Höhe]]=select!$B$70,1,0)=2,1,0)</f>
        <v>0</v>
      </c>
      <c r="J40" s="19">
        <f>IF(Montageplatten[[#This Row],[Randbedingungen]]+IF(Montageplatten[[#This Row],[Höhe]]=select!$D$70,1,0)=2,1,0)</f>
        <v>0</v>
      </c>
      <c r="K40" s="19">
        <f>IF(Montageplatten[[#This Row],[Randbedingungen]]+IF(Montageplatten[[#This Row],[Höhe]]=select!$F$70,1,0)=2,1,0)</f>
        <v>0</v>
      </c>
      <c r="L40" s="19">
        <f>IF(Montageplatten[[#This Row],[Randbedingungen]]+IF(Montageplatten[[#This Row],[Höhe]]=select!$H$70,1,0)=2,1,0)</f>
        <v>0</v>
      </c>
      <c r="M4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0" s="67">
        <f>IF(select!$M$317=Montageplatten[[#This Row],[Höhe]],1,0)</f>
        <v>0</v>
      </c>
      <c r="P4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0" s="67">
        <f>IF(Montageplatten[[#This Row],[Typ_winkel]]+Montageplatten[[#This Row],[Befest_Winkel]]=2,1,0)</f>
        <v>0</v>
      </c>
      <c r="S40" s="67">
        <f>IF(Montageplatten[[#This Row],[MPH Winkel]]+Montageplatten[[#This Row],[Typ_winkel]]+Montageplatten[[#This Row],[Befest_Winkel]]=3,1,0)</f>
        <v>0</v>
      </c>
      <c r="T40" s="295">
        <f ca="1">IF(select!$M$746=Montageplatten[[#This Row],[Höhe]],1,0)</f>
        <v>0</v>
      </c>
      <c r="U4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0" s="67">
        <f>IF(Montageplatten[[#This Row],[Typ Spezial]]+Montageplatten[[#This Row],[Befest Spezial]]=2,1,0)</f>
        <v>0</v>
      </c>
      <c r="X40" s="67">
        <f ca="1">IF(Montageplatten[[#This Row],[MPH Spezial]]+Montageplatten[[#This Row],[Typ Spezial]]+Montageplatten[[#This Row],[Befest Spezial]]=3,1,0)</f>
        <v>0</v>
      </c>
      <c r="Y40" s="67" t="e">
        <f ca="1">IF(Montageplatten[[#This Row],[AG Rand]]+IF(Montageplatten[[#This Row],[Höhe]]=select!$C$1212,1,0)=2,1,0)</f>
        <v>#VALUE!</v>
      </c>
      <c r="Z40" s="67" t="e">
        <f ca="1">IF(Montageplatten[[#This Row],[AG Rand]]+IF(Montageplatten[[#This Row],[Höhe]]=select!$E$1212,1,0)=2,1,0)</f>
        <v>#VALUE!</v>
      </c>
      <c r="AA40" s="67" t="e">
        <f ca="1">IF(Montageplatten[[#This Row],[AG Rand]]+IF(Montageplatten[[#This Row],[Höhe]]=select!$G$1212,1,0)=2,1,0)</f>
        <v>#VALUE!</v>
      </c>
      <c r="AB40" s="67" t="e">
        <f ca="1">IF(Montageplatten[[#This Row],[AG Rand]]+IF(Montageplatten[[#This Row],[Höhe]]=select!$I$1212,1,0)=2,1,0)</f>
        <v>#VALUE!</v>
      </c>
      <c r="AC4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0" s="67">
        <f>IF(Montageplatten[[#This Row],[AG Typ]]+Montageplatten[[#This Row],[AG Bef]]=2,1,0)</f>
        <v>0</v>
      </c>
      <c r="AG4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0" s="67">
        <f ca="1">IF(Montageplatten[[#This Row],[AG MPH]]+Montageplatten[[#This Row],[AG Typ]]+Montageplatten[[#This Row],[AG Bef]]=3,1,0)</f>
        <v>0</v>
      </c>
      <c r="AJ40" s="67">
        <f ca="1">IF(select!$K$980="*",Montageplatten[[#This Row],[AG Ges2]],Montageplatten[[#This Row],[AG Ges1]])</f>
        <v>0</v>
      </c>
      <c r="AK4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0" s="67">
        <f>IF(Montageplatten[[#This Row],[konf Typ]]+Montageplatten[[#This Row],[konf Befest]]=2,1,0)</f>
        <v>0</v>
      </c>
      <c r="AN4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0" s="67">
        <f ca="1">IF(Montageplatten[[#This Row],[konf Rahmenbed]]+Montageplatten[[#This Row],[konf MPH]]=2,1,0)</f>
        <v>0</v>
      </c>
      <c r="AP40" s="26" t="str">
        <f ca="1">Sprache!$A$137</f>
        <v>Eco Kreuz Mtg-Platte</v>
      </c>
      <c r="AQ40" t="s">
        <v>782</v>
      </c>
      <c r="AR40" t="str">
        <f ca="1">Sprache!$A$134</f>
        <v>Tiomos Montageplatten</v>
      </c>
      <c r="AS40" s="18">
        <v>1</v>
      </c>
      <c r="AT40" s="18">
        <v>0</v>
      </c>
      <c r="AU40" s="18">
        <v>0</v>
      </c>
      <c r="AV40" s="18">
        <v>0</v>
      </c>
      <c r="AW40" s="2">
        <v>0</v>
      </c>
      <c r="AX40" s="2">
        <v>0</v>
      </c>
      <c r="AY40" s="2">
        <v>0</v>
      </c>
      <c r="AZ40" s="2">
        <v>1</v>
      </c>
      <c r="BA40" s="2">
        <v>0</v>
      </c>
      <c r="BB40" s="2">
        <v>0</v>
      </c>
      <c r="BC40" s="2">
        <v>0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2</v>
      </c>
      <c r="BJ40" s="11" t="s">
        <v>781</v>
      </c>
    </row>
    <row r="41" spans="1:62" ht="13.5" customHeight="1" x14ac:dyDescent="0.25">
      <c r="A41" s="24" t="str">
        <f t="shared" si="3"/>
        <v>F058</v>
      </c>
      <c r="B41" t="str">
        <f t="shared" si="4"/>
        <v>139</v>
      </c>
      <c r="C41" s="24" t="str">
        <f t="shared" si="5"/>
        <v>797</v>
      </c>
      <c r="D4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41" s="19">
        <f>IF(Montageplatten[[#This Row],[37/32]]=1,1,IF(Montageplatten[[#This Row],[28/32]]=1,2,0))</f>
        <v>2</v>
      </c>
      <c r="G4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1" s="19">
        <f>IF(Montageplatten[[#This Row],[Typ]]+Montageplatten[[#This Row],[Befestigung]]=2,1,0)</f>
        <v>1</v>
      </c>
      <c r="I41" s="19">
        <f>IF(Montageplatten[[#This Row],[Randbedingungen]]+IF(Montageplatten[[#This Row],[Höhe]]=select!$B$70,1,0)=2,1,0)</f>
        <v>0</v>
      </c>
      <c r="J41" s="19">
        <f>IF(Montageplatten[[#This Row],[Randbedingungen]]+IF(Montageplatten[[#This Row],[Höhe]]=select!$D$70,1,0)=2,1,0)</f>
        <v>0</v>
      </c>
      <c r="K41" s="19">
        <f>IF(Montageplatten[[#This Row],[Randbedingungen]]+IF(Montageplatten[[#This Row],[Höhe]]=select!$F$70,1,0)=2,1,0)</f>
        <v>0</v>
      </c>
      <c r="L41" s="19">
        <f>IF(Montageplatten[[#This Row],[Randbedingungen]]+IF(Montageplatten[[#This Row],[Höhe]]=select!$H$70,1,0)=2,1,0)</f>
        <v>0</v>
      </c>
      <c r="M4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1" s="67">
        <f>IF(select!$M$317=Montageplatten[[#This Row],[Höhe]],1,0)</f>
        <v>0</v>
      </c>
      <c r="P4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41" s="67">
        <f>IF(Montageplatten[[#This Row],[Typ_winkel]]+Montageplatten[[#This Row],[Befest_Winkel]]=2,1,0)</f>
        <v>1</v>
      </c>
      <c r="S41" s="67">
        <f>IF(Montageplatten[[#This Row],[MPH Winkel]]+Montageplatten[[#This Row],[Typ_winkel]]+Montageplatten[[#This Row],[Befest_Winkel]]=3,1,0)</f>
        <v>0</v>
      </c>
      <c r="T41" s="295">
        <f ca="1">IF(select!$M$746=Montageplatten[[#This Row],[Höhe]],1,0)</f>
        <v>0</v>
      </c>
      <c r="U4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41" s="67">
        <f>IF(Montageplatten[[#This Row],[Typ Spezial]]+Montageplatten[[#This Row],[Befest Spezial]]=2,1,0)</f>
        <v>1</v>
      </c>
      <c r="X41" s="67">
        <f ca="1">IF(Montageplatten[[#This Row],[MPH Spezial]]+Montageplatten[[#This Row],[Typ Spezial]]+Montageplatten[[#This Row],[Befest Spezial]]=3,1,0)</f>
        <v>0</v>
      </c>
      <c r="Y41" s="67" t="e">
        <f ca="1">IF(Montageplatten[[#This Row],[AG Rand]]+IF(Montageplatten[[#This Row],[Höhe]]=select!$C$1212,1,0)=2,1,0)</f>
        <v>#VALUE!</v>
      </c>
      <c r="Z41" s="67" t="e">
        <f ca="1">IF(Montageplatten[[#This Row],[AG Rand]]+IF(Montageplatten[[#This Row],[Höhe]]=select!$E$1212,1,0)=2,1,0)</f>
        <v>#VALUE!</v>
      </c>
      <c r="AA41" s="67" t="e">
        <f ca="1">IF(Montageplatten[[#This Row],[AG Rand]]+IF(Montageplatten[[#This Row],[Höhe]]=select!$G$1212,1,0)=2,1,0)</f>
        <v>#VALUE!</v>
      </c>
      <c r="AB41" s="67" t="e">
        <f ca="1">IF(Montageplatten[[#This Row],[AG Rand]]+IF(Montageplatten[[#This Row],[Höhe]]=select!$I$1212,1,0)=2,1,0)</f>
        <v>#VALUE!</v>
      </c>
      <c r="AC4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41" s="67">
        <f>IF(Montageplatten[[#This Row],[AG Typ]]+Montageplatten[[#This Row],[AG Bef]]=2,1,0)</f>
        <v>1</v>
      </c>
      <c r="AG4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1" s="67">
        <f ca="1">IF(Montageplatten[[#This Row],[AG MPH]]+Montageplatten[[#This Row],[AG Typ]]+Montageplatten[[#This Row],[AG Bef]]=3,1,0)</f>
        <v>0</v>
      </c>
      <c r="AJ41" s="67">
        <f ca="1">IF(select!$K$980="*",Montageplatten[[#This Row],[AG Ges2]],Montageplatten[[#This Row],[AG Ges1]])</f>
        <v>0</v>
      </c>
      <c r="AK4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41" s="67">
        <f>IF(Montageplatten[[#This Row],[konf Typ]]+Montageplatten[[#This Row],[konf Befest]]=2,1,0)</f>
        <v>1</v>
      </c>
      <c r="AN4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1" s="67">
        <f ca="1">IF(Montageplatten[[#This Row],[konf Rahmenbed]]+Montageplatten[[#This Row],[konf MPH]]=2,1,0)</f>
        <v>0</v>
      </c>
      <c r="AP41" s="26" t="str">
        <f ca="1">Sprache!$A$136</f>
        <v>1D Kreuz Mtg-Platte</v>
      </c>
      <c r="AQ41" t="s">
        <v>787</v>
      </c>
      <c r="AR41" t="str">
        <f ca="1">Sprache!$A$134</f>
        <v>Tiomos Montageplatten</v>
      </c>
      <c r="AS41" s="18">
        <v>1</v>
      </c>
      <c r="AT41" s="18">
        <v>0</v>
      </c>
      <c r="AU41" s="18">
        <v>0</v>
      </c>
      <c r="AV41" s="18">
        <v>0</v>
      </c>
      <c r="AW41" s="2">
        <v>0</v>
      </c>
      <c r="AX41" s="2">
        <v>1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2</v>
      </c>
      <c r="BJ41" s="11" t="s">
        <v>48</v>
      </c>
    </row>
    <row r="42" spans="1:62" ht="13.5" customHeight="1" x14ac:dyDescent="0.25">
      <c r="A42" s="24" t="str">
        <f t="shared" si="3"/>
        <v>F058</v>
      </c>
      <c r="B42" t="str">
        <f t="shared" si="4"/>
        <v>139</v>
      </c>
      <c r="C42" s="24" t="str">
        <f t="shared" si="5"/>
        <v>802</v>
      </c>
      <c r="D4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2" s="19">
        <f>IF(Montageplatten[[#This Row],[37/32]]=1,1,IF(Montageplatten[[#This Row],[28/32]]=1,2,0))</f>
        <v>2</v>
      </c>
      <c r="G4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2" s="19">
        <f>IF(Montageplatten[[#This Row],[Typ]]+Montageplatten[[#This Row],[Befestigung]]=2,1,0)</f>
        <v>0</v>
      </c>
      <c r="I42" s="19">
        <f>IF(Montageplatten[[#This Row],[Randbedingungen]]+IF(Montageplatten[[#This Row],[Höhe]]=select!$B$70,1,0)=2,1,0)</f>
        <v>0</v>
      </c>
      <c r="J42" s="19">
        <f>IF(Montageplatten[[#This Row],[Randbedingungen]]+IF(Montageplatten[[#This Row],[Höhe]]=select!$D$70,1,0)=2,1,0)</f>
        <v>0</v>
      </c>
      <c r="K42" s="19">
        <f>IF(Montageplatten[[#This Row],[Randbedingungen]]+IF(Montageplatten[[#This Row],[Höhe]]=select!$F$70,1,0)=2,1,0)</f>
        <v>0</v>
      </c>
      <c r="L42" s="19">
        <f>IF(Montageplatten[[#This Row],[Randbedingungen]]+IF(Montageplatten[[#This Row],[Höhe]]=select!$H$70,1,0)=2,1,0)</f>
        <v>0</v>
      </c>
      <c r="M4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2" s="67">
        <f>IF(select!$M$317=Montageplatten[[#This Row],[Höhe]],1,0)</f>
        <v>0</v>
      </c>
      <c r="P4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2" s="67">
        <f>IF(Montageplatten[[#This Row],[Typ_winkel]]+Montageplatten[[#This Row],[Befest_Winkel]]=2,1,0)</f>
        <v>0</v>
      </c>
      <c r="S42" s="67">
        <f>IF(Montageplatten[[#This Row],[MPH Winkel]]+Montageplatten[[#This Row],[Typ_winkel]]+Montageplatten[[#This Row],[Befest_Winkel]]=3,1,0)</f>
        <v>0</v>
      </c>
      <c r="T42" s="295">
        <f ca="1">IF(select!$M$746=Montageplatten[[#This Row],[Höhe]],1,0)</f>
        <v>0</v>
      </c>
      <c r="U4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2" s="67">
        <f>IF(Montageplatten[[#This Row],[Typ Spezial]]+Montageplatten[[#This Row],[Befest Spezial]]=2,1,0)</f>
        <v>0</v>
      </c>
      <c r="X42" s="67">
        <f ca="1">IF(Montageplatten[[#This Row],[MPH Spezial]]+Montageplatten[[#This Row],[Typ Spezial]]+Montageplatten[[#This Row],[Befest Spezial]]=3,1,0)</f>
        <v>0</v>
      </c>
      <c r="Y42" s="67" t="e">
        <f ca="1">IF(Montageplatten[[#This Row],[AG Rand]]+IF(Montageplatten[[#This Row],[Höhe]]=select!$C$1212,1,0)=2,1,0)</f>
        <v>#VALUE!</v>
      </c>
      <c r="Z42" s="67" t="e">
        <f ca="1">IF(Montageplatten[[#This Row],[AG Rand]]+IF(Montageplatten[[#This Row],[Höhe]]=select!$E$1212,1,0)=2,1,0)</f>
        <v>#VALUE!</v>
      </c>
      <c r="AA42" s="67" t="e">
        <f ca="1">IF(Montageplatten[[#This Row],[AG Rand]]+IF(Montageplatten[[#This Row],[Höhe]]=select!$G$1212,1,0)=2,1,0)</f>
        <v>#VALUE!</v>
      </c>
      <c r="AB42" s="67" t="e">
        <f ca="1">IF(Montageplatten[[#This Row],[AG Rand]]+IF(Montageplatten[[#This Row],[Höhe]]=select!$I$1212,1,0)=2,1,0)</f>
        <v>#VALUE!</v>
      </c>
      <c r="AC4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2" s="67">
        <f>IF(Montageplatten[[#This Row],[AG Typ]]+Montageplatten[[#This Row],[AG Bef]]=2,1,0)</f>
        <v>0</v>
      </c>
      <c r="AG4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2" s="67">
        <f ca="1">IF(Montageplatten[[#This Row],[AG MPH]]+Montageplatten[[#This Row],[AG Typ]]+Montageplatten[[#This Row],[AG Bef]]=3,1,0)</f>
        <v>0</v>
      </c>
      <c r="AJ42" s="67">
        <f ca="1">IF(select!$K$980="*",Montageplatten[[#This Row],[AG Ges2]],Montageplatten[[#This Row],[AG Ges1]])</f>
        <v>0</v>
      </c>
      <c r="AK4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2" s="67">
        <f>IF(Montageplatten[[#This Row],[konf Typ]]+Montageplatten[[#This Row],[konf Befest]]=2,1,0)</f>
        <v>0</v>
      </c>
      <c r="AN4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2" s="67">
        <f ca="1">IF(Montageplatten[[#This Row],[konf Rahmenbed]]+Montageplatten[[#This Row],[konf MPH]]=2,1,0)</f>
        <v>0</v>
      </c>
      <c r="AP42" s="26" t="str">
        <f ca="1">Sprache!$A$136</f>
        <v>1D Kreuz Mtg-Platte</v>
      </c>
      <c r="AQ42" t="s">
        <v>792</v>
      </c>
      <c r="AR42" t="str">
        <f ca="1">Sprache!$A$134</f>
        <v>Tiomos Montageplatten</v>
      </c>
      <c r="AS42" s="18">
        <v>1</v>
      </c>
      <c r="AT42" s="18">
        <v>0</v>
      </c>
      <c r="AU42" s="18">
        <v>0</v>
      </c>
      <c r="AV42" s="18">
        <v>0</v>
      </c>
      <c r="AW42" s="2">
        <v>1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2</v>
      </c>
      <c r="BJ42" s="11" t="s">
        <v>791</v>
      </c>
    </row>
    <row r="43" spans="1:62" ht="13.5" customHeight="1" x14ac:dyDescent="0.25">
      <c r="A43" s="24" t="str">
        <f t="shared" si="3"/>
        <v>F058</v>
      </c>
      <c r="B43" t="str">
        <f t="shared" si="4"/>
        <v>139</v>
      </c>
      <c r="C43" s="24" t="str">
        <f t="shared" si="5"/>
        <v>812</v>
      </c>
      <c r="D4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3" s="19">
        <f>IF(Montageplatten[[#This Row],[37/32]]=1,1,IF(Montageplatten[[#This Row],[28/32]]=1,2,0))</f>
        <v>2</v>
      </c>
      <c r="G4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3" s="19">
        <f>IF(Montageplatten[[#This Row],[Typ]]+Montageplatten[[#This Row],[Befestigung]]=2,1,0)</f>
        <v>0</v>
      </c>
      <c r="I43" s="19">
        <f>IF(Montageplatten[[#This Row],[Randbedingungen]]+IF(Montageplatten[[#This Row],[Höhe]]=select!$B$70,1,0)=2,1,0)</f>
        <v>0</v>
      </c>
      <c r="J43" s="19">
        <f>IF(Montageplatten[[#This Row],[Randbedingungen]]+IF(Montageplatten[[#This Row],[Höhe]]=select!$D$70,1,0)=2,1,0)</f>
        <v>0</v>
      </c>
      <c r="K43" s="19">
        <f>IF(Montageplatten[[#This Row],[Randbedingungen]]+IF(Montageplatten[[#This Row],[Höhe]]=select!$F$70,1,0)=2,1,0)</f>
        <v>0</v>
      </c>
      <c r="L43" s="19">
        <f>IF(Montageplatten[[#This Row],[Randbedingungen]]+IF(Montageplatten[[#This Row],[Höhe]]=select!$H$70,1,0)=2,1,0)</f>
        <v>0</v>
      </c>
      <c r="M4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3" s="67">
        <f>IF(select!$M$317=Montageplatten[[#This Row],[Höhe]],1,0)</f>
        <v>0</v>
      </c>
      <c r="P4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3" s="67">
        <f>IF(Montageplatten[[#This Row],[Typ_winkel]]+Montageplatten[[#This Row],[Befest_Winkel]]=2,1,0)</f>
        <v>0</v>
      </c>
      <c r="S43" s="67">
        <f>IF(Montageplatten[[#This Row],[MPH Winkel]]+Montageplatten[[#This Row],[Typ_winkel]]+Montageplatten[[#This Row],[Befest_Winkel]]=3,1,0)</f>
        <v>0</v>
      </c>
      <c r="T43" s="295">
        <f ca="1">IF(select!$M$746=Montageplatten[[#This Row],[Höhe]],1,0)</f>
        <v>0</v>
      </c>
      <c r="U4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3" s="67">
        <f>IF(Montageplatten[[#This Row],[Typ Spezial]]+Montageplatten[[#This Row],[Befest Spezial]]=2,1,0)</f>
        <v>0</v>
      </c>
      <c r="X43" s="67">
        <f ca="1">IF(Montageplatten[[#This Row],[MPH Spezial]]+Montageplatten[[#This Row],[Typ Spezial]]+Montageplatten[[#This Row],[Befest Spezial]]=3,1,0)</f>
        <v>0</v>
      </c>
      <c r="Y43" s="67" t="e">
        <f ca="1">IF(Montageplatten[[#This Row],[AG Rand]]+IF(Montageplatten[[#This Row],[Höhe]]=select!$C$1212,1,0)=2,1,0)</f>
        <v>#VALUE!</v>
      </c>
      <c r="Z43" s="67" t="e">
        <f ca="1">IF(Montageplatten[[#This Row],[AG Rand]]+IF(Montageplatten[[#This Row],[Höhe]]=select!$E$1212,1,0)=2,1,0)</f>
        <v>#VALUE!</v>
      </c>
      <c r="AA43" s="67" t="e">
        <f ca="1">IF(Montageplatten[[#This Row],[AG Rand]]+IF(Montageplatten[[#This Row],[Höhe]]=select!$G$1212,1,0)=2,1,0)</f>
        <v>#VALUE!</v>
      </c>
      <c r="AB43" s="67" t="e">
        <f ca="1">IF(Montageplatten[[#This Row],[AG Rand]]+IF(Montageplatten[[#This Row],[Höhe]]=select!$I$1212,1,0)=2,1,0)</f>
        <v>#VALUE!</v>
      </c>
      <c r="AC4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3" s="67">
        <f>IF(Montageplatten[[#This Row],[AG Typ]]+Montageplatten[[#This Row],[AG Bef]]=2,1,0)</f>
        <v>0</v>
      </c>
      <c r="AG4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3" s="67">
        <f ca="1">IF(Montageplatten[[#This Row],[AG MPH]]+Montageplatten[[#This Row],[AG Typ]]+Montageplatten[[#This Row],[AG Bef]]=3,1,0)</f>
        <v>0</v>
      </c>
      <c r="AJ43" s="67">
        <f ca="1">IF(select!$K$980="*",Montageplatten[[#This Row],[AG Ges2]],Montageplatten[[#This Row],[AG Ges1]])</f>
        <v>0</v>
      </c>
      <c r="AK4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3" s="67">
        <f>IF(Montageplatten[[#This Row],[konf Typ]]+Montageplatten[[#This Row],[konf Befest]]=2,1,0)</f>
        <v>0</v>
      </c>
      <c r="AN4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3" s="67">
        <f ca="1">IF(Montageplatten[[#This Row],[konf Rahmenbed]]+Montageplatten[[#This Row],[konf MPH]]=2,1,0)</f>
        <v>0</v>
      </c>
      <c r="AP43" s="26" t="str">
        <f ca="1">Sprache!$A$136</f>
        <v>1D Kreuz Mtg-Platte</v>
      </c>
      <c r="AQ43" t="str">
        <f ca="1">"H 02, "&amp;Sprache!A71&amp;", ni /28"</f>
        <v>H 02, vorm. Euro, ni /28</v>
      </c>
      <c r="AR43" t="str">
        <f ca="1">Sprache!$A$134</f>
        <v>Tiomos Montageplatten</v>
      </c>
      <c r="AS43" s="18">
        <v>1</v>
      </c>
      <c r="AT43" s="18">
        <v>0</v>
      </c>
      <c r="AU43" s="18">
        <v>0</v>
      </c>
      <c r="AV43" s="18">
        <v>0</v>
      </c>
      <c r="AW43" s="2">
        <v>0</v>
      </c>
      <c r="AX43" s="2">
        <v>0</v>
      </c>
      <c r="AY43" s="2">
        <v>0</v>
      </c>
      <c r="AZ43" s="2">
        <v>1</v>
      </c>
      <c r="BA43" s="2">
        <v>0</v>
      </c>
      <c r="BB43" s="2">
        <v>0</v>
      </c>
      <c r="BC43" s="2">
        <v>0</v>
      </c>
      <c r="BD43">
        <v>0</v>
      </c>
      <c r="BE43">
        <v>1</v>
      </c>
      <c r="BF43">
        <v>0</v>
      </c>
      <c r="BG43">
        <v>0</v>
      </c>
      <c r="BH43">
        <v>0</v>
      </c>
      <c r="BI43">
        <v>2</v>
      </c>
      <c r="BJ43" s="11" t="s">
        <v>797</v>
      </c>
    </row>
    <row r="44" spans="1:62" ht="13.5" customHeight="1" x14ac:dyDescent="0.25">
      <c r="A44" s="24" t="str">
        <f t="shared" si="3"/>
        <v>F058</v>
      </c>
      <c r="B44" t="str">
        <f t="shared" si="4"/>
        <v>139</v>
      </c>
      <c r="C44" s="24" t="str">
        <f t="shared" si="5"/>
        <v>859</v>
      </c>
      <c r="D4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4" s="19">
        <f>IF(Montageplatten[[#This Row],[37/32]]=1,1,IF(Montageplatten[[#This Row],[28/32]]=1,2,0))</f>
        <v>1</v>
      </c>
      <c r="G4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4" s="19">
        <f>IF(Montageplatten[[#This Row],[Typ]]+Montageplatten[[#This Row],[Befestigung]]=2,1,0)</f>
        <v>0</v>
      </c>
      <c r="I44" s="19">
        <f>IF(Montageplatten[[#This Row],[Randbedingungen]]+IF(Montageplatten[[#This Row],[Höhe]]=select!$B$70,1,0)=2,1,0)</f>
        <v>0</v>
      </c>
      <c r="J44" s="19">
        <f>IF(Montageplatten[[#This Row],[Randbedingungen]]+IF(Montageplatten[[#This Row],[Höhe]]=select!$D$70,1,0)=2,1,0)</f>
        <v>0</v>
      </c>
      <c r="K44" s="19">
        <f>IF(Montageplatten[[#This Row],[Randbedingungen]]+IF(Montageplatten[[#This Row],[Höhe]]=select!$F$70,1,0)=2,1,0)</f>
        <v>0</v>
      </c>
      <c r="L44" s="19">
        <f>IF(Montageplatten[[#This Row],[Randbedingungen]]+IF(Montageplatten[[#This Row],[Höhe]]=select!$H$70,1,0)=2,1,0)</f>
        <v>0</v>
      </c>
      <c r="M4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4" s="67">
        <f>IF(select!$M$317=Montageplatten[[#This Row],[Höhe]],1,0)</f>
        <v>0</v>
      </c>
      <c r="P4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4" s="67">
        <f>IF(Montageplatten[[#This Row],[Typ_winkel]]+Montageplatten[[#This Row],[Befest_Winkel]]=2,1,0)</f>
        <v>0</v>
      </c>
      <c r="S44" s="67">
        <f>IF(Montageplatten[[#This Row],[MPH Winkel]]+Montageplatten[[#This Row],[Typ_winkel]]+Montageplatten[[#This Row],[Befest_Winkel]]=3,1,0)</f>
        <v>0</v>
      </c>
      <c r="T44" s="295">
        <f ca="1">IF(select!$M$746=Montageplatten[[#This Row],[Höhe]],1,0)</f>
        <v>0</v>
      </c>
      <c r="U4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4" s="67">
        <f>IF(Montageplatten[[#This Row],[Typ Spezial]]+Montageplatten[[#This Row],[Befest Spezial]]=2,1,0)</f>
        <v>0</v>
      </c>
      <c r="X44" s="67">
        <f ca="1">IF(Montageplatten[[#This Row],[MPH Spezial]]+Montageplatten[[#This Row],[Typ Spezial]]+Montageplatten[[#This Row],[Befest Spezial]]=3,1,0)</f>
        <v>0</v>
      </c>
      <c r="Y44" s="67" t="e">
        <f ca="1">IF(Montageplatten[[#This Row],[AG Rand]]+IF(Montageplatten[[#This Row],[Höhe]]=select!$C$1212,1,0)=2,1,0)</f>
        <v>#VALUE!</v>
      </c>
      <c r="Z44" s="67" t="e">
        <f ca="1">IF(Montageplatten[[#This Row],[AG Rand]]+IF(Montageplatten[[#This Row],[Höhe]]=select!$E$1212,1,0)=2,1,0)</f>
        <v>#VALUE!</v>
      </c>
      <c r="AA44" s="67" t="e">
        <f ca="1">IF(Montageplatten[[#This Row],[AG Rand]]+IF(Montageplatten[[#This Row],[Höhe]]=select!$G$1212,1,0)=2,1,0)</f>
        <v>#VALUE!</v>
      </c>
      <c r="AB44" s="67" t="e">
        <f ca="1">IF(Montageplatten[[#This Row],[AG Rand]]+IF(Montageplatten[[#This Row],[Höhe]]=select!$I$1212,1,0)=2,1,0)</f>
        <v>#VALUE!</v>
      </c>
      <c r="AC4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4" s="67">
        <f>IF(Montageplatten[[#This Row],[AG Typ]]+Montageplatten[[#This Row],[AG Bef]]=2,1,0)</f>
        <v>0</v>
      </c>
      <c r="AG4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4" s="67">
        <f ca="1">IF(Montageplatten[[#This Row],[AG MPH]]+Montageplatten[[#This Row],[AG Typ]]+Montageplatten[[#This Row],[AG Bef]]=3,1,0)</f>
        <v>0</v>
      </c>
      <c r="AJ44" s="67">
        <f ca="1">IF(select!$K$980="*",Montageplatten[[#This Row],[AG Ges2]],Montageplatten[[#This Row],[AG Ges1]])</f>
        <v>0</v>
      </c>
      <c r="AK4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4" s="67">
        <f>IF(Montageplatten[[#This Row],[konf Typ]]+Montageplatten[[#This Row],[konf Befest]]=2,1,0)</f>
        <v>0</v>
      </c>
      <c r="AN4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4" s="67">
        <f ca="1">IF(Montageplatten[[#This Row],[konf Rahmenbed]]+Montageplatten[[#This Row],[konf MPH]]=2,1,0)</f>
        <v>0</v>
      </c>
      <c r="AP44" s="26" t="str">
        <f ca="1">Sprache!$A$137</f>
        <v>Eco Kreuz Mtg-Platte</v>
      </c>
      <c r="AQ44" t="s">
        <v>805</v>
      </c>
      <c r="AR44" t="str">
        <f ca="1">Sprache!$A$134</f>
        <v>Tiomos Montageplatten</v>
      </c>
      <c r="AS44" s="18">
        <v>1</v>
      </c>
      <c r="AT44" s="18">
        <v>0</v>
      </c>
      <c r="AU44" s="18">
        <v>0</v>
      </c>
      <c r="AV44" s="18">
        <v>0</v>
      </c>
      <c r="AW44" s="2">
        <v>0</v>
      </c>
      <c r="AX44" s="2">
        <v>0</v>
      </c>
      <c r="AY44" s="2">
        <v>0</v>
      </c>
      <c r="AZ44" s="2">
        <v>0</v>
      </c>
      <c r="BA44" s="2">
        <v>1</v>
      </c>
      <c r="BB44" s="2">
        <v>0</v>
      </c>
      <c r="BC44" s="2">
        <v>0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2</v>
      </c>
      <c r="BJ44" s="11" t="s">
        <v>804</v>
      </c>
    </row>
    <row r="45" spans="1:62" ht="13.5" customHeight="1" x14ac:dyDescent="0.25">
      <c r="A45" s="24" t="str">
        <f t="shared" si="3"/>
        <v>F058</v>
      </c>
      <c r="B45" t="str">
        <f t="shared" si="4"/>
        <v>139</v>
      </c>
      <c r="C45" s="24" t="str">
        <f t="shared" si="5"/>
        <v>864</v>
      </c>
      <c r="D4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5" s="19">
        <f>IF(Montageplatten[[#This Row],[37/32]]=1,1,IF(Montageplatten[[#This Row],[28/32]]=1,2,0))</f>
        <v>1</v>
      </c>
      <c r="G4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5" s="19">
        <f>IF(Montageplatten[[#This Row],[Typ]]+Montageplatten[[#This Row],[Befestigung]]=2,1,0)</f>
        <v>0</v>
      </c>
      <c r="I45" s="19">
        <f>IF(Montageplatten[[#This Row],[Randbedingungen]]+IF(Montageplatten[[#This Row],[Höhe]]=select!$B$70,1,0)=2,1,0)</f>
        <v>0</v>
      </c>
      <c r="J45" s="19">
        <f>IF(Montageplatten[[#This Row],[Randbedingungen]]+IF(Montageplatten[[#This Row],[Höhe]]=select!$D$70,1,0)=2,1,0)</f>
        <v>0</v>
      </c>
      <c r="K45" s="19">
        <f>IF(Montageplatten[[#This Row],[Randbedingungen]]+IF(Montageplatten[[#This Row],[Höhe]]=select!$F$70,1,0)=2,1,0)</f>
        <v>0</v>
      </c>
      <c r="L45" s="19">
        <f>IF(Montageplatten[[#This Row],[Randbedingungen]]+IF(Montageplatten[[#This Row],[Höhe]]=select!$H$70,1,0)=2,1,0)</f>
        <v>0</v>
      </c>
      <c r="M4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5" s="67">
        <f>IF(select!$M$317=Montageplatten[[#This Row],[Höhe]],1,0)</f>
        <v>0</v>
      </c>
      <c r="P4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5" s="67">
        <f>IF(Montageplatten[[#This Row],[Typ_winkel]]+Montageplatten[[#This Row],[Befest_Winkel]]=2,1,0)</f>
        <v>0</v>
      </c>
      <c r="S45" s="67">
        <f>IF(Montageplatten[[#This Row],[MPH Winkel]]+Montageplatten[[#This Row],[Typ_winkel]]+Montageplatten[[#This Row],[Befest_Winkel]]=3,1,0)</f>
        <v>0</v>
      </c>
      <c r="T45" s="295">
        <f ca="1">IF(select!$M$746=Montageplatten[[#This Row],[Höhe]],1,0)</f>
        <v>0</v>
      </c>
      <c r="U4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5" s="67">
        <f>IF(Montageplatten[[#This Row],[Typ Spezial]]+Montageplatten[[#This Row],[Befest Spezial]]=2,1,0)</f>
        <v>0</v>
      </c>
      <c r="X45" s="67">
        <f ca="1">IF(Montageplatten[[#This Row],[MPH Spezial]]+Montageplatten[[#This Row],[Typ Spezial]]+Montageplatten[[#This Row],[Befest Spezial]]=3,1,0)</f>
        <v>0</v>
      </c>
      <c r="Y45" s="67" t="e">
        <f ca="1">IF(Montageplatten[[#This Row],[AG Rand]]+IF(Montageplatten[[#This Row],[Höhe]]=select!$C$1212,1,0)=2,1,0)</f>
        <v>#VALUE!</v>
      </c>
      <c r="Z45" s="67" t="e">
        <f ca="1">IF(Montageplatten[[#This Row],[AG Rand]]+IF(Montageplatten[[#This Row],[Höhe]]=select!$E$1212,1,0)=2,1,0)</f>
        <v>#VALUE!</v>
      </c>
      <c r="AA45" s="67" t="e">
        <f ca="1">IF(Montageplatten[[#This Row],[AG Rand]]+IF(Montageplatten[[#This Row],[Höhe]]=select!$G$1212,1,0)=2,1,0)</f>
        <v>#VALUE!</v>
      </c>
      <c r="AB45" s="67" t="e">
        <f ca="1">IF(Montageplatten[[#This Row],[AG Rand]]+IF(Montageplatten[[#This Row],[Höhe]]=select!$I$1212,1,0)=2,1,0)</f>
        <v>#VALUE!</v>
      </c>
      <c r="AC4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5" s="67">
        <f>IF(Montageplatten[[#This Row],[AG Typ]]+Montageplatten[[#This Row],[AG Bef]]=2,1,0)</f>
        <v>0</v>
      </c>
      <c r="AG4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5" s="67">
        <f ca="1">IF(Montageplatten[[#This Row],[AG MPH]]+Montageplatten[[#This Row],[AG Typ]]+Montageplatten[[#This Row],[AG Bef]]=3,1,0)</f>
        <v>0</v>
      </c>
      <c r="AJ45" s="67">
        <f ca="1">IF(select!$K$980="*",Montageplatten[[#This Row],[AG Ges2]],Montageplatten[[#This Row],[AG Ges1]])</f>
        <v>0</v>
      </c>
      <c r="AK4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5" s="67">
        <f>IF(Montageplatten[[#This Row],[konf Typ]]+Montageplatten[[#This Row],[konf Befest]]=2,1,0)</f>
        <v>0</v>
      </c>
      <c r="AN4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5" s="67">
        <f ca="1">IF(Montageplatten[[#This Row],[konf Rahmenbed]]+Montageplatten[[#This Row],[konf MPH]]=2,1,0)</f>
        <v>0</v>
      </c>
      <c r="AP45" s="26" t="str">
        <f ca="1">Sprache!$A$136</f>
        <v>1D Kreuz Mtg-Platte</v>
      </c>
      <c r="AQ45" t="str">
        <f ca="1">"H 02, "&amp;Sprache!A72&amp;", ni /37"</f>
        <v>H 02, vorm. Euro kurz, ni /37</v>
      </c>
      <c r="AR45" t="str">
        <f ca="1">Sprache!$A$134</f>
        <v>Tiomos Montageplatten</v>
      </c>
      <c r="AS45" s="18">
        <v>1</v>
      </c>
      <c r="AT45" s="18">
        <v>0</v>
      </c>
      <c r="AU45" s="18">
        <v>0</v>
      </c>
      <c r="AV45" s="18">
        <v>0</v>
      </c>
      <c r="AW45" s="2">
        <v>0</v>
      </c>
      <c r="AX45" s="2">
        <v>0</v>
      </c>
      <c r="AY45" s="2">
        <v>0</v>
      </c>
      <c r="AZ45" s="2">
        <v>0</v>
      </c>
      <c r="BA45" s="2">
        <v>1</v>
      </c>
      <c r="BB45" s="2">
        <v>0</v>
      </c>
      <c r="BC45" s="2">
        <v>0</v>
      </c>
      <c r="BD45">
        <v>1</v>
      </c>
      <c r="BE45">
        <v>0</v>
      </c>
      <c r="BF45">
        <v>0</v>
      </c>
      <c r="BG45">
        <v>0</v>
      </c>
      <c r="BH45">
        <v>0</v>
      </c>
      <c r="BI45">
        <v>2</v>
      </c>
      <c r="BJ45" s="11" t="s">
        <v>810</v>
      </c>
    </row>
    <row r="46" spans="1:62" ht="13.5" customHeight="1" x14ac:dyDescent="0.25">
      <c r="A46" s="24" t="str">
        <f t="shared" si="3"/>
        <v>F059</v>
      </c>
      <c r="B46" t="str">
        <f t="shared" si="4"/>
        <v>139</v>
      </c>
      <c r="C46" s="24" t="str">
        <f t="shared" si="5"/>
        <v>702</v>
      </c>
      <c r="D46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4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46" s="19">
        <f>IF(Montageplatten[[#This Row],[37/32]]=1,1,IF(Montageplatten[[#This Row],[28/32]]=1,2,0))</f>
        <v>0</v>
      </c>
      <c r="G4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6" s="19">
        <f>IF(Montageplatten[[#This Row],[Typ]]+Montageplatten[[#This Row],[Befestigung]]=2,1,0)</f>
        <v>0</v>
      </c>
      <c r="I46" s="19">
        <f>IF(Montageplatten[[#This Row],[Randbedingungen]]+IF(Montageplatten[[#This Row],[Höhe]]=select!$B$70,1,0)=2,1,0)</f>
        <v>0</v>
      </c>
      <c r="J46" s="19">
        <f>IF(Montageplatten[[#This Row],[Randbedingungen]]+IF(Montageplatten[[#This Row],[Höhe]]=select!$D$70,1,0)=2,1,0)</f>
        <v>0</v>
      </c>
      <c r="K46" s="19">
        <f>IF(Montageplatten[[#This Row],[Randbedingungen]]+IF(Montageplatten[[#This Row],[Höhe]]=select!$F$70,1,0)=2,1,0)</f>
        <v>0</v>
      </c>
      <c r="L46" s="19">
        <f>IF(Montageplatten[[#This Row],[Randbedingungen]]+IF(Montageplatten[[#This Row],[Höhe]]=select!$H$70,1,0)=2,1,0)</f>
        <v>0</v>
      </c>
      <c r="M4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6" s="67">
        <f>IF(select!$M$317=Montageplatten[[#This Row],[Höhe]],1,0)</f>
        <v>0</v>
      </c>
      <c r="P46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4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46" s="67">
        <f>IF(Montageplatten[[#This Row],[Typ_winkel]]+Montageplatten[[#This Row],[Befest_Winkel]]=2,1,0)</f>
        <v>0</v>
      </c>
      <c r="S46" s="67">
        <f>IF(Montageplatten[[#This Row],[MPH Winkel]]+Montageplatten[[#This Row],[Typ_winkel]]+Montageplatten[[#This Row],[Befest_Winkel]]=3,1,0)</f>
        <v>0</v>
      </c>
      <c r="T46" s="295">
        <f ca="1">IF(select!$M$746=Montageplatten[[#This Row],[Höhe]],1,0)</f>
        <v>0</v>
      </c>
      <c r="U46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4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46" s="67">
        <f>IF(Montageplatten[[#This Row],[Typ Spezial]]+Montageplatten[[#This Row],[Befest Spezial]]=2,1,0)</f>
        <v>0</v>
      </c>
      <c r="X46" s="67">
        <f ca="1">IF(Montageplatten[[#This Row],[MPH Spezial]]+Montageplatten[[#This Row],[Typ Spezial]]+Montageplatten[[#This Row],[Befest Spezial]]=3,1,0)</f>
        <v>0</v>
      </c>
      <c r="Y46" s="67" t="e">
        <f ca="1">IF(Montageplatten[[#This Row],[AG Rand]]+IF(Montageplatten[[#This Row],[Höhe]]=select!$C$1212,1,0)=2,1,0)</f>
        <v>#VALUE!</v>
      </c>
      <c r="Z46" s="67" t="e">
        <f ca="1">IF(Montageplatten[[#This Row],[AG Rand]]+IF(Montageplatten[[#This Row],[Höhe]]=select!$E$1212,1,0)=2,1,0)</f>
        <v>#VALUE!</v>
      </c>
      <c r="AA46" s="67" t="e">
        <f ca="1">IF(Montageplatten[[#This Row],[AG Rand]]+IF(Montageplatten[[#This Row],[Höhe]]=select!$G$1212,1,0)=2,1,0)</f>
        <v>#VALUE!</v>
      </c>
      <c r="AB46" s="67" t="e">
        <f ca="1">IF(Montageplatten[[#This Row],[AG Rand]]+IF(Montageplatten[[#This Row],[Höhe]]=select!$I$1212,1,0)=2,1,0)</f>
        <v>#VALUE!</v>
      </c>
      <c r="AC4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6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4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46" s="67">
        <f>IF(Montageplatten[[#This Row],[AG Typ]]+Montageplatten[[#This Row],[AG Bef]]=2,1,0)</f>
        <v>0</v>
      </c>
      <c r="AG4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6" s="67">
        <f ca="1">IF(Montageplatten[[#This Row],[AG MPH]]+Montageplatten[[#This Row],[AG Typ]]+Montageplatten[[#This Row],[AG Bef]]=3,1,0)</f>
        <v>0</v>
      </c>
      <c r="AJ46" s="67">
        <f ca="1">IF(select!$K$980="*",Montageplatten[[#This Row],[AG Ges2]],Montageplatten[[#This Row],[AG Ges1]])</f>
        <v>0</v>
      </c>
      <c r="AK46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4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46" s="67">
        <f>IF(Montageplatten[[#This Row],[konf Typ]]+Montageplatten[[#This Row],[konf Befest]]=2,1,0)</f>
        <v>0</v>
      </c>
      <c r="AN4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6" s="67">
        <f ca="1">IF(Montageplatten[[#This Row],[konf Rahmenbed]]+Montageplatten[[#This Row],[konf MPH]]=2,1,0)</f>
        <v>0</v>
      </c>
      <c r="AP46" s="26" t="str">
        <f ca="1">Sprache!$A$139</f>
        <v>1D Linear Mtg-Platte</v>
      </c>
      <c r="AQ46" t="s">
        <v>846</v>
      </c>
      <c r="AR46" t="str">
        <f ca="1">Sprache!$A$134</f>
        <v>Tiomos Montageplatten</v>
      </c>
      <c r="AS46" s="18">
        <v>0</v>
      </c>
      <c r="AT46" s="18">
        <v>1</v>
      </c>
      <c r="AU46" s="18">
        <v>0</v>
      </c>
      <c r="AV46" s="18">
        <v>0</v>
      </c>
      <c r="AW46" s="2">
        <v>0</v>
      </c>
      <c r="AX46" s="2">
        <v>1</v>
      </c>
      <c r="AY46" s="2">
        <v>1</v>
      </c>
      <c r="AZ46" s="2">
        <v>0</v>
      </c>
      <c r="BA46" s="2">
        <v>0</v>
      </c>
      <c r="BB46" s="2">
        <v>0</v>
      </c>
      <c r="BC46" s="2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2</v>
      </c>
      <c r="BJ46" s="11" t="s">
        <v>845</v>
      </c>
    </row>
    <row r="47" spans="1:62" ht="13.5" customHeight="1" x14ac:dyDescent="0.25">
      <c r="A47" s="24" t="str">
        <f t="shared" si="3"/>
        <v>F059</v>
      </c>
      <c r="B47" t="str">
        <f t="shared" si="4"/>
        <v>139</v>
      </c>
      <c r="C47" s="24" t="str">
        <f t="shared" si="5"/>
        <v>707</v>
      </c>
      <c r="D47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4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7" s="19">
        <f>IF(Montageplatten[[#This Row],[37/32]]=1,1,IF(Montageplatten[[#This Row],[28/32]]=1,2,0))</f>
        <v>0</v>
      </c>
      <c r="G4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7" s="19">
        <f>IF(Montageplatten[[#This Row],[Typ]]+Montageplatten[[#This Row],[Befestigung]]=2,1,0)</f>
        <v>0</v>
      </c>
      <c r="I47" s="19">
        <f>IF(Montageplatten[[#This Row],[Randbedingungen]]+IF(Montageplatten[[#This Row],[Höhe]]=select!$B$70,1,0)=2,1,0)</f>
        <v>0</v>
      </c>
      <c r="J47" s="19">
        <f>IF(Montageplatten[[#This Row],[Randbedingungen]]+IF(Montageplatten[[#This Row],[Höhe]]=select!$D$70,1,0)=2,1,0)</f>
        <v>0</v>
      </c>
      <c r="K47" s="19">
        <f>IF(Montageplatten[[#This Row],[Randbedingungen]]+IF(Montageplatten[[#This Row],[Höhe]]=select!$F$70,1,0)=2,1,0)</f>
        <v>0</v>
      </c>
      <c r="L47" s="19">
        <f>IF(Montageplatten[[#This Row],[Randbedingungen]]+IF(Montageplatten[[#This Row],[Höhe]]=select!$H$70,1,0)=2,1,0)</f>
        <v>0</v>
      </c>
      <c r="M4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7" s="67">
        <f>IF(select!$M$317=Montageplatten[[#This Row],[Höhe]],1,0)</f>
        <v>0</v>
      </c>
      <c r="P47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4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7" s="67">
        <f>IF(Montageplatten[[#This Row],[Typ_winkel]]+Montageplatten[[#This Row],[Befest_Winkel]]=2,1,0)</f>
        <v>0</v>
      </c>
      <c r="S47" s="67">
        <f>IF(Montageplatten[[#This Row],[MPH Winkel]]+Montageplatten[[#This Row],[Typ_winkel]]+Montageplatten[[#This Row],[Befest_Winkel]]=3,1,0)</f>
        <v>0</v>
      </c>
      <c r="T47" s="295">
        <f ca="1">IF(select!$M$746=Montageplatten[[#This Row],[Höhe]],1,0)</f>
        <v>0</v>
      </c>
      <c r="U47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4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7" s="67">
        <f>IF(Montageplatten[[#This Row],[Typ Spezial]]+Montageplatten[[#This Row],[Befest Spezial]]=2,1,0)</f>
        <v>0</v>
      </c>
      <c r="X47" s="67">
        <f ca="1">IF(Montageplatten[[#This Row],[MPH Spezial]]+Montageplatten[[#This Row],[Typ Spezial]]+Montageplatten[[#This Row],[Befest Spezial]]=3,1,0)</f>
        <v>0</v>
      </c>
      <c r="Y47" s="67" t="e">
        <f ca="1">IF(Montageplatten[[#This Row],[AG Rand]]+IF(Montageplatten[[#This Row],[Höhe]]=select!$C$1212,1,0)=2,1,0)</f>
        <v>#VALUE!</v>
      </c>
      <c r="Z47" s="67" t="e">
        <f ca="1">IF(Montageplatten[[#This Row],[AG Rand]]+IF(Montageplatten[[#This Row],[Höhe]]=select!$E$1212,1,0)=2,1,0)</f>
        <v>#VALUE!</v>
      </c>
      <c r="AA47" s="67" t="e">
        <f ca="1">IF(Montageplatten[[#This Row],[AG Rand]]+IF(Montageplatten[[#This Row],[Höhe]]=select!$G$1212,1,0)=2,1,0)</f>
        <v>#VALUE!</v>
      </c>
      <c r="AB47" s="67" t="e">
        <f ca="1">IF(Montageplatten[[#This Row],[AG Rand]]+IF(Montageplatten[[#This Row],[Höhe]]=select!$I$1212,1,0)=2,1,0)</f>
        <v>#VALUE!</v>
      </c>
      <c r="AC4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7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4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7" s="67">
        <f>IF(Montageplatten[[#This Row],[AG Typ]]+Montageplatten[[#This Row],[AG Bef]]=2,1,0)</f>
        <v>0</v>
      </c>
      <c r="AG4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7" s="67">
        <f ca="1">IF(Montageplatten[[#This Row],[AG MPH]]+Montageplatten[[#This Row],[AG Typ]]+Montageplatten[[#This Row],[AG Bef]]=3,1,0)</f>
        <v>0</v>
      </c>
      <c r="AJ47" s="67">
        <f ca="1">IF(select!$K$980="*",Montageplatten[[#This Row],[AG Ges2]],Montageplatten[[#This Row],[AG Ges1]])</f>
        <v>0</v>
      </c>
      <c r="AK47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4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7" s="67">
        <f>IF(Montageplatten[[#This Row],[konf Typ]]+Montageplatten[[#This Row],[konf Befest]]=2,1,0)</f>
        <v>0</v>
      </c>
      <c r="AN4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7" s="67">
        <f ca="1">IF(Montageplatten[[#This Row],[konf Rahmenbed]]+Montageplatten[[#This Row],[konf MPH]]=2,1,0)</f>
        <v>0</v>
      </c>
      <c r="AP47" s="26" t="str">
        <f ca="1">Sprache!$A$139</f>
        <v>1D Linear Mtg-Platte</v>
      </c>
      <c r="AQ47" t="s">
        <v>853</v>
      </c>
      <c r="AR47" t="str">
        <f ca="1">Sprache!$A$134</f>
        <v>Tiomos Montageplatten</v>
      </c>
      <c r="AS47" s="18">
        <v>0</v>
      </c>
      <c r="AT47" s="18">
        <v>1</v>
      </c>
      <c r="AU47" s="18">
        <v>0</v>
      </c>
      <c r="AV47" s="18">
        <v>0</v>
      </c>
      <c r="AW47" s="2">
        <v>1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2</v>
      </c>
      <c r="BJ47" s="11" t="s">
        <v>852</v>
      </c>
    </row>
    <row r="48" spans="1:62" ht="13.5" customHeight="1" x14ac:dyDescent="0.25">
      <c r="A48" s="24" t="str">
        <f t="shared" si="3"/>
        <v>F059</v>
      </c>
      <c r="B48" t="str">
        <f t="shared" si="4"/>
        <v>139</v>
      </c>
      <c r="C48" s="24" t="str">
        <f t="shared" si="5"/>
        <v>712</v>
      </c>
      <c r="D48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4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8" s="19">
        <f>IF(Montageplatten[[#This Row],[37/32]]=1,1,IF(Montageplatten[[#This Row],[28/32]]=1,2,0))</f>
        <v>0</v>
      </c>
      <c r="G4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8" s="19">
        <f>IF(Montageplatten[[#This Row],[Typ]]+Montageplatten[[#This Row],[Befestigung]]=2,1,0)</f>
        <v>0</v>
      </c>
      <c r="I48" s="19">
        <f>IF(Montageplatten[[#This Row],[Randbedingungen]]+IF(Montageplatten[[#This Row],[Höhe]]=select!$B$70,1,0)=2,1,0)</f>
        <v>0</v>
      </c>
      <c r="J48" s="19">
        <f>IF(Montageplatten[[#This Row],[Randbedingungen]]+IF(Montageplatten[[#This Row],[Höhe]]=select!$D$70,1,0)=2,1,0)</f>
        <v>0</v>
      </c>
      <c r="K48" s="19">
        <f>IF(Montageplatten[[#This Row],[Randbedingungen]]+IF(Montageplatten[[#This Row],[Höhe]]=select!$F$70,1,0)=2,1,0)</f>
        <v>0</v>
      </c>
      <c r="L48" s="19">
        <f>IF(Montageplatten[[#This Row],[Randbedingungen]]+IF(Montageplatten[[#This Row],[Höhe]]=select!$H$70,1,0)=2,1,0)</f>
        <v>0</v>
      </c>
      <c r="M4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8" s="67">
        <f>IF(select!$M$317=Montageplatten[[#This Row],[Höhe]],1,0)</f>
        <v>0</v>
      </c>
      <c r="P48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4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8" s="67">
        <f>IF(Montageplatten[[#This Row],[Typ_winkel]]+Montageplatten[[#This Row],[Befest_Winkel]]=2,1,0)</f>
        <v>0</v>
      </c>
      <c r="S48" s="67">
        <f>IF(Montageplatten[[#This Row],[MPH Winkel]]+Montageplatten[[#This Row],[Typ_winkel]]+Montageplatten[[#This Row],[Befest_Winkel]]=3,1,0)</f>
        <v>0</v>
      </c>
      <c r="T48" s="295">
        <f ca="1">IF(select!$M$746=Montageplatten[[#This Row],[Höhe]],1,0)</f>
        <v>0</v>
      </c>
      <c r="U48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4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8" s="67">
        <f>IF(Montageplatten[[#This Row],[Typ Spezial]]+Montageplatten[[#This Row],[Befest Spezial]]=2,1,0)</f>
        <v>0</v>
      </c>
      <c r="X48" s="67">
        <f ca="1">IF(Montageplatten[[#This Row],[MPH Spezial]]+Montageplatten[[#This Row],[Typ Spezial]]+Montageplatten[[#This Row],[Befest Spezial]]=3,1,0)</f>
        <v>0</v>
      </c>
      <c r="Y48" s="67" t="e">
        <f ca="1">IF(Montageplatten[[#This Row],[AG Rand]]+IF(Montageplatten[[#This Row],[Höhe]]=select!$C$1212,1,0)=2,1,0)</f>
        <v>#VALUE!</v>
      </c>
      <c r="Z48" s="67" t="e">
        <f ca="1">IF(Montageplatten[[#This Row],[AG Rand]]+IF(Montageplatten[[#This Row],[Höhe]]=select!$E$1212,1,0)=2,1,0)</f>
        <v>#VALUE!</v>
      </c>
      <c r="AA48" s="67" t="e">
        <f ca="1">IF(Montageplatten[[#This Row],[AG Rand]]+IF(Montageplatten[[#This Row],[Höhe]]=select!$G$1212,1,0)=2,1,0)</f>
        <v>#VALUE!</v>
      </c>
      <c r="AB48" s="67" t="e">
        <f ca="1">IF(Montageplatten[[#This Row],[AG Rand]]+IF(Montageplatten[[#This Row],[Höhe]]=select!$I$1212,1,0)=2,1,0)</f>
        <v>#VALUE!</v>
      </c>
      <c r="AC4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8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4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8" s="67">
        <f>IF(Montageplatten[[#This Row],[AG Typ]]+Montageplatten[[#This Row],[AG Bef]]=2,1,0)</f>
        <v>0</v>
      </c>
      <c r="AG4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8" s="67">
        <f ca="1">IF(Montageplatten[[#This Row],[AG MPH]]+Montageplatten[[#This Row],[AG Typ]]+Montageplatten[[#This Row],[AG Bef]]=3,1,0)</f>
        <v>0</v>
      </c>
      <c r="AJ48" s="67">
        <f ca="1">IF(select!$K$980="*",Montageplatten[[#This Row],[AG Ges2]],Montageplatten[[#This Row],[AG Ges1]])</f>
        <v>0</v>
      </c>
      <c r="AK48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4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8" s="67">
        <f>IF(Montageplatten[[#This Row],[konf Typ]]+Montageplatten[[#This Row],[konf Befest]]=2,1,0)</f>
        <v>0</v>
      </c>
      <c r="AN4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8" s="67">
        <f ca="1">IF(Montageplatten[[#This Row],[konf Rahmenbed]]+Montageplatten[[#This Row],[konf MPH]]=2,1,0)</f>
        <v>0</v>
      </c>
      <c r="AP48" s="26" t="str">
        <f ca="1">Sprache!$A$139</f>
        <v>1D Linear Mtg-Platte</v>
      </c>
      <c r="AQ48" t="str">
        <f ca="1">"H 02, "&amp;Sprache!A71&amp;", ni"</f>
        <v>H 02, vorm. Euro, ni</v>
      </c>
      <c r="AR48" t="str">
        <f ca="1">Sprache!$A$134</f>
        <v>Tiomos Montageplatten</v>
      </c>
      <c r="AS48" s="18">
        <v>0</v>
      </c>
      <c r="AT48" s="18">
        <v>1</v>
      </c>
      <c r="AU48" s="18">
        <v>0</v>
      </c>
      <c r="AV48" s="18">
        <v>0</v>
      </c>
      <c r="AW48" s="2">
        <v>0</v>
      </c>
      <c r="AX48" s="2">
        <v>0</v>
      </c>
      <c r="AY48" s="2">
        <v>0</v>
      </c>
      <c r="AZ48" s="2">
        <v>1</v>
      </c>
      <c r="BA48" s="2">
        <v>0</v>
      </c>
      <c r="BB48" s="2">
        <v>0</v>
      </c>
      <c r="BC48" s="2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2</v>
      </c>
      <c r="BJ48" s="11" t="s">
        <v>858</v>
      </c>
    </row>
    <row r="49" spans="1:62" ht="13.5" customHeight="1" x14ac:dyDescent="0.25">
      <c r="A49" s="24" t="str">
        <f t="shared" si="3"/>
        <v>F058</v>
      </c>
      <c r="B49" t="str">
        <f t="shared" si="4"/>
        <v>139</v>
      </c>
      <c r="C49" s="24" t="str">
        <f t="shared" si="5"/>
        <v>743</v>
      </c>
      <c r="D4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4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49" s="19">
        <f>IF(Montageplatten[[#This Row],[37/32]]=1,1,IF(Montageplatten[[#This Row],[28/32]]=1,2,0))</f>
        <v>1</v>
      </c>
      <c r="G4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49" s="19">
        <f>IF(Montageplatten[[#This Row],[Typ]]+Montageplatten[[#This Row],[Befestigung]]=2,1,0)</f>
        <v>0</v>
      </c>
      <c r="I49" s="19">
        <f>IF(Montageplatten[[#This Row],[Randbedingungen]]+IF(Montageplatten[[#This Row],[Höhe]]=select!$B$70,1,0)=2,1,0)</f>
        <v>0</v>
      </c>
      <c r="J49" s="19">
        <f>IF(Montageplatten[[#This Row],[Randbedingungen]]+IF(Montageplatten[[#This Row],[Höhe]]=select!$D$70,1,0)=2,1,0)</f>
        <v>0</v>
      </c>
      <c r="K49" s="19">
        <f>IF(Montageplatten[[#This Row],[Randbedingungen]]+IF(Montageplatten[[#This Row],[Höhe]]=select!$F$70,1,0)=2,1,0)</f>
        <v>0</v>
      </c>
      <c r="L49" s="19">
        <f>IF(Montageplatten[[#This Row],[Randbedingungen]]+IF(Montageplatten[[#This Row],[Höhe]]=select!$H$70,1,0)=2,1,0)</f>
        <v>0</v>
      </c>
      <c r="M4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4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49" s="67">
        <f>IF(select!$M$317=Montageplatten[[#This Row],[Höhe]],1,0)</f>
        <v>0</v>
      </c>
      <c r="P4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4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49" s="67">
        <f>IF(Montageplatten[[#This Row],[Typ_winkel]]+Montageplatten[[#This Row],[Befest_Winkel]]=2,1,0)</f>
        <v>0</v>
      </c>
      <c r="S49" s="67">
        <f>IF(Montageplatten[[#This Row],[MPH Winkel]]+Montageplatten[[#This Row],[Typ_winkel]]+Montageplatten[[#This Row],[Befest_Winkel]]=3,1,0)</f>
        <v>0</v>
      </c>
      <c r="T49" s="295">
        <f ca="1">IF(select!$M$746=Montageplatten[[#This Row],[Höhe]],1,0)</f>
        <v>0</v>
      </c>
      <c r="U4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4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49" s="67">
        <f>IF(Montageplatten[[#This Row],[Typ Spezial]]+Montageplatten[[#This Row],[Befest Spezial]]=2,1,0)</f>
        <v>0</v>
      </c>
      <c r="X49" s="67">
        <f ca="1">IF(Montageplatten[[#This Row],[MPH Spezial]]+Montageplatten[[#This Row],[Typ Spezial]]+Montageplatten[[#This Row],[Befest Spezial]]=3,1,0)</f>
        <v>0</v>
      </c>
      <c r="Y49" s="67" t="e">
        <f ca="1">IF(Montageplatten[[#This Row],[AG Rand]]+IF(Montageplatten[[#This Row],[Höhe]]=select!$C$1212,1,0)=2,1,0)</f>
        <v>#VALUE!</v>
      </c>
      <c r="Z49" s="67" t="e">
        <f ca="1">IF(Montageplatten[[#This Row],[AG Rand]]+IF(Montageplatten[[#This Row],[Höhe]]=select!$E$1212,1,0)=2,1,0)</f>
        <v>#VALUE!</v>
      </c>
      <c r="AA49" s="67" t="e">
        <f ca="1">IF(Montageplatten[[#This Row],[AG Rand]]+IF(Montageplatten[[#This Row],[Höhe]]=select!$G$1212,1,0)=2,1,0)</f>
        <v>#VALUE!</v>
      </c>
      <c r="AB49" s="67" t="e">
        <f ca="1">IF(Montageplatten[[#This Row],[AG Rand]]+IF(Montageplatten[[#This Row],[Höhe]]=select!$I$1212,1,0)=2,1,0)</f>
        <v>#VALUE!</v>
      </c>
      <c r="AC4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4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4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49" s="67">
        <f>IF(Montageplatten[[#This Row],[AG Typ]]+Montageplatten[[#This Row],[AG Bef]]=2,1,0)</f>
        <v>0</v>
      </c>
      <c r="AG4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4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49" s="67">
        <f ca="1">IF(Montageplatten[[#This Row],[AG MPH]]+Montageplatten[[#This Row],[AG Typ]]+Montageplatten[[#This Row],[AG Bef]]=3,1,0)</f>
        <v>0</v>
      </c>
      <c r="AJ49" s="67">
        <f ca="1">IF(select!$K$980="*",Montageplatten[[#This Row],[AG Ges2]],Montageplatten[[#This Row],[AG Ges1]])</f>
        <v>0</v>
      </c>
      <c r="AK4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4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49" s="67">
        <f>IF(Montageplatten[[#This Row],[konf Typ]]+Montageplatten[[#This Row],[konf Befest]]=2,1,0)</f>
        <v>0</v>
      </c>
      <c r="AN4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49" s="67">
        <f ca="1">IF(Montageplatten[[#This Row],[konf Rahmenbed]]+Montageplatten[[#This Row],[konf MPH]]=2,1,0)</f>
        <v>0</v>
      </c>
      <c r="AP49" s="862" t="s">
        <v>733</v>
      </c>
      <c r="AQ49" t="s">
        <v>2318</v>
      </c>
      <c r="AR49" t="s">
        <v>735</v>
      </c>
      <c r="AS49" s="18">
        <v>1</v>
      </c>
      <c r="AT49" s="18">
        <v>0</v>
      </c>
      <c r="AU49" s="18">
        <v>0</v>
      </c>
      <c r="AV49" s="18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1</v>
      </c>
      <c r="BC49" s="2">
        <v>0</v>
      </c>
      <c r="BD49">
        <v>1</v>
      </c>
      <c r="BE49">
        <v>0</v>
      </c>
      <c r="BF49">
        <v>0</v>
      </c>
      <c r="BG49">
        <v>0</v>
      </c>
      <c r="BH49">
        <v>0</v>
      </c>
      <c r="BI49">
        <v>3</v>
      </c>
      <c r="BJ49" s="11" t="s">
        <v>2319</v>
      </c>
    </row>
    <row r="50" spans="1:62" ht="13.5" customHeight="1" x14ac:dyDescent="0.25">
      <c r="A50" s="24" t="str">
        <f t="shared" si="3"/>
        <v>F058</v>
      </c>
      <c r="B50" t="str">
        <f t="shared" si="4"/>
        <v>139</v>
      </c>
      <c r="C50" s="24" t="str">
        <f t="shared" si="5"/>
        <v>768</v>
      </c>
      <c r="D5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0" s="19">
        <f>IF(Montageplatten[[#This Row],[37/32]]=1,1,IF(Montageplatten[[#This Row],[28/32]]=1,2,0))</f>
        <v>1</v>
      </c>
      <c r="G5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0" s="19">
        <f>IF(Montageplatten[[#This Row],[Typ]]+Montageplatten[[#This Row],[Befestigung]]=2,1,0)</f>
        <v>0</v>
      </c>
      <c r="I50" s="19">
        <f>IF(Montageplatten[[#This Row],[Randbedingungen]]+IF(Montageplatten[[#This Row],[Höhe]]=select!$B$70,1,0)=2,1,0)</f>
        <v>0</v>
      </c>
      <c r="J50" s="19">
        <f>IF(Montageplatten[[#This Row],[Randbedingungen]]+IF(Montageplatten[[#This Row],[Höhe]]=select!$D$70,1,0)=2,1,0)</f>
        <v>0</v>
      </c>
      <c r="K50" s="19">
        <f>IF(Montageplatten[[#This Row],[Randbedingungen]]+IF(Montageplatten[[#This Row],[Höhe]]=select!$F$70,1,0)=2,1,0)</f>
        <v>0</v>
      </c>
      <c r="L50" s="19">
        <f>IF(Montageplatten[[#This Row],[Randbedingungen]]+IF(Montageplatten[[#This Row],[Höhe]]=select!$H$70,1,0)=2,1,0)</f>
        <v>0</v>
      </c>
      <c r="M5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0" s="67">
        <f>IF(select!$M$317=Montageplatten[[#This Row],[Höhe]],1,0)</f>
        <v>0</v>
      </c>
      <c r="P5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0" s="67">
        <f>IF(Montageplatten[[#This Row],[Typ_winkel]]+Montageplatten[[#This Row],[Befest_Winkel]]=2,1,0)</f>
        <v>0</v>
      </c>
      <c r="S50" s="67">
        <f>IF(Montageplatten[[#This Row],[MPH Winkel]]+Montageplatten[[#This Row],[Typ_winkel]]+Montageplatten[[#This Row],[Befest_Winkel]]=3,1,0)</f>
        <v>0</v>
      </c>
      <c r="T50" s="295">
        <f ca="1">IF(select!$M$746=Montageplatten[[#This Row],[Höhe]],1,0)</f>
        <v>0</v>
      </c>
      <c r="U5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0" s="67">
        <f>IF(Montageplatten[[#This Row],[Typ Spezial]]+Montageplatten[[#This Row],[Befest Spezial]]=2,1,0)</f>
        <v>0</v>
      </c>
      <c r="X50" s="67">
        <f ca="1">IF(Montageplatten[[#This Row],[MPH Spezial]]+Montageplatten[[#This Row],[Typ Spezial]]+Montageplatten[[#This Row],[Befest Spezial]]=3,1,0)</f>
        <v>0</v>
      </c>
      <c r="Y50" s="67" t="e">
        <f ca="1">IF(Montageplatten[[#This Row],[AG Rand]]+IF(Montageplatten[[#This Row],[Höhe]]=select!$C$1212,1,0)=2,1,0)</f>
        <v>#VALUE!</v>
      </c>
      <c r="Z50" s="67" t="e">
        <f ca="1">IF(Montageplatten[[#This Row],[AG Rand]]+IF(Montageplatten[[#This Row],[Höhe]]=select!$E$1212,1,0)=2,1,0)</f>
        <v>#VALUE!</v>
      </c>
      <c r="AA50" s="67" t="e">
        <f ca="1">IF(Montageplatten[[#This Row],[AG Rand]]+IF(Montageplatten[[#This Row],[Höhe]]=select!$G$1212,1,0)=2,1,0)</f>
        <v>#VALUE!</v>
      </c>
      <c r="AB50" s="67" t="e">
        <f ca="1">IF(Montageplatten[[#This Row],[AG Rand]]+IF(Montageplatten[[#This Row],[Höhe]]=select!$I$1212,1,0)=2,1,0)</f>
        <v>#VALUE!</v>
      </c>
      <c r="AC5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0" s="67">
        <f>IF(Montageplatten[[#This Row],[AG Typ]]+Montageplatten[[#This Row],[AG Bef]]=2,1,0)</f>
        <v>0</v>
      </c>
      <c r="AG5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0" s="67">
        <f ca="1">IF(Montageplatten[[#This Row],[AG MPH]]+Montageplatten[[#This Row],[AG Typ]]+Montageplatten[[#This Row],[AG Bef]]=3,1,0)</f>
        <v>0</v>
      </c>
      <c r="AJ50" s="67">
        <f ca="1">IF(select!$K$980="*",Montageplatten[[#This Row],[AG Ges2]],Montageplatten[[#This Row],[AG Ges1]])</f>
        <v>0</v>
      </c>
      <c r="AK5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0" s="67">
        <f>IF(Montageplatten[[#This Row],[konf Typ]]+Montageplatten[[#This Row],[konf Befest]]=2,1,0)</f>
        <v>0</v>
      </c>
      <c r="AN5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0" s="67">
        <f ca="1">IF(Montageplatten[[#This Row],[konf Rahmenbed]]+Montageplatten[[#This Row],[konf MPH]]=2,1,0)</f>
        <v>0</v>
      </c>
      <c r="AP50" s="862" t="s">
        <v>762</v>
      </c>
      <c r="AQ50" t="s">
        <v>2318</v>
      </c>
      <c r="AR50" t="s">
        <v>735</v>
      </c>
      <c r="AS50" s="18">
        <v>1</v>
      </c>
      <c r="AT50" s="18">
        <v>0</v>
      </c>
      <c r="AU50" s="18">
        <v>0</v>
      </c>
      <c r="AV50" s="18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1</v>
      </c>
      <c r="BC50" s="2">
        <v>0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3</v>
      </c>
      <c r="BJ50" s="11" t="s">
        <v>2323</v>
      </c>
    </row>
    <row r="51" spans="1:62" ht="13.5" customHeight="1" x14ac:dyDescent="0.25">
      <c r="A51" s="24" t="str">
        <f t="shared" si="3"/>
        <v>F058</v>
      </c>
      <c r="B51" t="str">
        <f t="shared" si="4"/>
        <v>139</v>
      </c>
      <c r="C51" s="24" t="str">
        <f t="shared" si="5"/>
        <v>929</v>
      </c>
      <c r="D5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1" s="19">
        <f>IF(Montageplatten[[#This Row],[37/32]]=1,1,IF(Montageplatten[[#This Row],[28/32]]=1,2,0))</f>
        <v>1</v>
      </c>
      <c r="G5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1" s="19">
        <f>IF(Montageplatten[[#This Row],[Typ]]+Montageplatten[[#This Row],[Befestigung]]=2,1,0)</f>
        <v>0</v>
      </c>
      <c r="I51" s="19">
        <f>IF(Montageplatten[[#This Row],[Randbedingungen]]+IF(Montageplatten[[#This Row],[Höhe]]=select!$B$70,1,0)=2,1,0)</f>
        <v>0</v>
      </c>
      <c r="J51" s="19">
        <f>IF(Montageplatten[[#This Row],[Randbedingungen]]+IF(Montageplatten[[#This Row],[Höhe]]=select!$D$70,1,0)=2,1,0)</f>
        <v>0</v>
      </c>
      <c r="K51" s="19">
        <f>IF(Montageplatten[[#This Row],[Randbedingungen]]+IF(Montageplatten[[#This Row],[Höhe]]=select!$F$70,1,0)=2,1,0)</f>
        <v>0</v>
      </c>
      <c r="L51" s="19">
        <f>IF(Montageplatten[[#This Row],[Randbedingungen]]+IF(Montageplatten[[#This Row],[Höhe]]=select!$H$70,1,0)=2,1,0)</f>
        <v>0</v>
      </c>
      <c r="M5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1" s="67">
        <f>IF(select!$M$317=Montageplatten[[#This Row],[Höhe]],1,0)</f>
        <v>0</v>
      </c>
      <c r="P5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1" s="67">
        <f>IF(Montageplatten[[#This Row],[Typ_winkel]]+Montageplatten[[#This Row],[Befest_Winkel]]=2,1,0)</f>
        <v>0</v>
      </c>
      <c r="S51" s="67">
        <f>IF(Montageplatten[[#This Row],[MPH Winkel]]+Montageplatten[[#This Row],[Typ_winkel]]+Montageplatten[[#This Row],[Befest_Winkel]]=3,1,0)</f>
        <v>0</v>
      </c>
      <c r="T51" s="295">
        <f ca="1">IF(select!$M$746=Montageplatten[[#This Row],[Höhe]],1,0)</f>
        <v>0</v>
      </c>
      <c r="U5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1" s="67">
        <f>IF(Montageplatten[[#This Row],[Typ Spezial]]+Montageplatten[[#This Row],[Befest Spezial]]=2,1,0)</f>
        <v>0</v>
      </c>
      <c r="X51" s="67">
        <f ca="1">IF(Montageplatten[[#This Row],[MPH Spezial]]+Montageplatten[[#This Row],[Typ Spezial]]+Montageplatten[[#This Row],[Befest Spezial]]=3,1,0)</f>
        <v>0</v>
      </c>
      <c r="Y51" s="67" t="e">
        <f ca="1">IF(Montageplatten[[#This Row],[AG Rand]]+IF(Montageplatten[[#This Row],[Höhe]]=select!$C$1212,1,0)=2,1,0)</f>
        <v>#VALUE!</v>
      </c>
      <c r="Z51" s="67" t="e">
        <f ca="1">IF(Montageplatten[[#This Row],[AG Rand]]+IF(Montageplatten[[#This Row],[Höhe]]=select!$E$1212,1,0)=2,1,0)</f>
        <v>#VALUE!</v>
      </c>
      <c r="AA51" s="67" t="e">
        <f ca="1">IF(Montageplatten[[#This Row],[AG Rand]]+IF(Montageplatten[[#This Row],[Höhe]]=select!$G$1212,1,0)=2,1,0)</f>
        <v>#VALUE!</v>
      </c>
      <c r="AB51" s="67" t="e">
        <f ca="1">IF(Montageplatten[[#This Row],[AG Rand]]+IF(Montageplatten[[#This Row],[Höhe]]=select!$I$1212,1,0)=2,1,0)</f>
        <v>#VALUE!</v>
      </c>
      <c r="AC5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1" s="67">
        <f>IF(Montageplatten[[#This Row],[AG Typ]]+Montageplatten[[#This Row],[AG Bef]]=2,1,0)</f>
        <v>0</v>
      </c>
      <c r="AG5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1" s="67">
        <f ca="1">IF(Montageplatten[[#This Row],[AG MPH]]+Montageplatten[[#This Row],[AG Typ]]+Montageplatten[[#This Row],[AG Bef]]=3,1,0)</f>
        <v>0</v>
      </c>
      <c r="AJ51" s="67">
        <f ca="1">IF(select!$K$980="*",Montageplatten[[#This Row],[AG Ges2]],Montageplatten[[#This Row],[AG Ges1]])</f>
        <v>0</v>
      </c>
      <c r="AK5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1" s="67">
        <f>IF(Montageplatten[[#This Row],[konf Typ]]+Montageplatten[[#This Row],[konf Befest]]=2,1,0)</f>
        <v>0</v>
      </c>
      <c r="AN5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1" s="67">
        <f ca="1">IF(Montageplatten[[#This Row],[konf Rahmenbed]]+Montageplatten[[#This Row],[konf MPH]]=2,1,0)</f>
        <v>0</v>
      </c>
      <c r="AP51" s="862" t="s">
        <v>733</v>
      </c>
      <c r="AQ51" t="s">
        <v>2329</v>
      </c>
      <c r="AR51" t="s">
        <v>735</v>
      </c>
      <c r="AS51" s="18">
        <v>1</v>
      </c>
      <c r="AT51" s="18">
        <v>0</v>
      </c>
      <c r="AU51" s="18">
        <v>0</v>
      </c>
      <c r="AV51" s="18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1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3</v>
      </c>
      <c r="BJ51" s="11" t="s">
        <v>2330</v>
      </c>
    </row>
    <row r="52" spans="1:62" ht="13.5" customHeight="1" x14ac:dyDescent="0.25">
      <c r="A52" s="24" t="str">
        <f t="shared" si="3"/>
        <v>F058</v>
      </c>
      <c r="B52" t="str">
        <f t="shared" si="4"/>
        <v>139</v>
      </c>
      <c r="C52" s="24" t="str">
        <f t="shared" si="5"/>
        <v>933</v>
      </c>
      <c r="D5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2" s="19">
        <f>IF(Montageplatten[[#This Row],[37/32]]=1,1,IF(Montageplatten[[#This Row],[28/32]]=1,2,0))</f>
        <v>1</v>
      </c>
      <c r="G5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2" s="19">
        <f>IF(Montageplatten[[#This Row],[Typ]]+Montageplatten[[#This Row],[Befestigung]]=2,1,0)</f>
        <v>0</v>
      </c>
      <c r="I52" s="19">
        <f>IF(Montageplatten[[#This Row],[Randbedingungen]]+IF(Montageplatten[[#This Row],[Höhe]]=select!$B$70,1,0)=2,1,0)</f>
        <v>0</v>
      </c>
      <c r="J52" s="19">
        <f>IF(Montageplatten[[#This Row],[Randbedingungen]]+IF(Montageplatten[[#This Row],[Höhe]]=select!$D$70,1,0)=2,1,0)</f>
        <v>0</v>
      </c>
      <c r="K52" s="19">
        <f>IF(Montageplatten[[#This Row],[Randbedingungen]]+IF(Montageplatten[[#This Row],[Höhe]]=select!$F$70,1,0)=2,1,0)</f>
        <v>0</v>
      </c>
      <c r="L52" s="19">
        <f>IF(Montageplatten[[#This Row],[Randbedingungen]]+IF(Montageplatten[[#This Row],[Höhe]]=select!$H$70,1,0)=2,1,0)</f>
        <v>0</v>
      </c>
      <c r="M5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2" s="67">
        <f>IF(select!$M$317=Montageplatten[[#This Row],[Höhe]],1,0)</f>
        <v>0</v>
      </c>
      <c r="P5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2" s="67">
        <f>IF(Montageplatten[[#This Row],[Typ_winkel]]+Montageplatten[[#This Row],[Befest_Winkel]]=2,1,0)</f>
        <v>0</v>
      </c>
      <c r="S52" s="67">
        <f>IF(Montageplatten[[#This Row],[MPH Winkel]]+Montageplatten[[#This Row],[Typ_winkel]]+Montageplatten[[#This Row],[Befest_Winkel]]=3,1,0)</f>
        <v>0</v>
      </c>
      <c r="T52" s="295">
        <f ca="1">IF(select!$M$746=Montageplatten[[#This Row],[Höhe]],1,0)</f>
        <v>0</v>
      </c>
      <c r="U5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2" s="67">
        <f>IF(Montageplatten[[#This Row],[Typ Spezial]]+Montageplatten[[#This Row],[Befest Spezial]]=2,1,0)</f>
        <v>0</v>
      </c>
      <c r="X52" s="67">
        <f ca="1">IF(Montageplatten[[#This Row],[MPH Spezial]]+Montageplatten[[#This Row],[Typ Spezial]]+Montageplatten[[#This Row],[Befest Spezial]]=3,1,0)</f>
        <v>0</v>
      </c>
      <c r="Y52" s="67" t="e">
        <f ca="1">IF(Montageplatten[[#This Row],[AG Rand]]+IF(Montageplatten[[#This Row],[Höhe]]=select!$C$1212,1,0)=2,1,0)</f>
        <v>#VALUE!</v>
      </c>
      <c r="Z52" s="67" t="e">
        <f ca="1">IF(Montageplatten[[#This Row],[AG Rand]]+IF(Montageplatten[[#This Row],[Höhe]]=select!$E$1212,1,0)=2,1,0)</f>
        <v>#VALUE!</v>
      </c>
      <c r="AA52" s="67" t="e">
        <f ca="1">IF(Montageplatten[[#This Row],[AG Rand]]+IF(Montageplatten[[#This Row],[Höhe]]=select!$G$1212,1,0)=2,1,0)</f>
        <v>#VALUE!</v>
      </c>
      <c r="AB52" s="67" t="e">
        <f ca="1">IF(Montageplatten[[#This Row],[AG Rand]]+IF(Montageplatten[[#This Row],[Höhe]]=select!$I$1212,1,0)=2,1,0)</f>
        <v>#VALUE!</v>
      </c>
      <c r="AC5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2" s="67">
        <f>IF(Montageplatten[[#This Row],[AG Typ]]+Montageplatten[[#This Row],[AG Bef]]=2,1,0)</f>
        <v>0</v>
      </c>
      <c r="AG5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2" s="67">
        <f ca="1">IF(Montageplatten[[#This Row],[AG MPH]]+Montageplatten[[#This Row],[AG Typ]]+Montageplatten[[#This Row],[AG Bef]]=3,1,0)</f>
        <v>0</v>
      </c>
      <c r="AJ52" s="67">
        <f ca="1">IF(select!$K$980="*",Montageplatten[[#This Row],[AG Ges2]],Montageplatten[[#This Row],[AG Ges1]])</f>
        <v>0</v>
      </c>
      <c r="AK5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2" s="67">
        <f>IF(Montageplatten[[#This Row],[konf Typ]]+Montageplatten[[#This Row],[konf Befest]]=2,1,0)</f>
        <v>0</v>
      </c>
      <c r="AN5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2" s="67">
        <f ca="1">IF(Montageplatten[[#This Row],[konf Rahmenbed]]+Montageplatten[[#This Row],[konf MPH]]=2,1,0)</f>
        <v>0</v>
      </c>
      <c r="AP52" s="862" t="s">
        <v>762</v>
      </c>
      <c r="AQ52" t="s">
        <v>2329</v>
      </c>
      <c r="AR52" t="s">
        <v>735</v>
      </c>
      <c r="AS52" s="18">
        <v>1</v>
      </c>
      <c r="AT52" s="18">
        <v>0</v>
      </c>
      <c r="AU52" s="18">
        <v>0</v>
      </c>
      <c r="AV52" s="18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1</v>
      </c>
      <c r="BD52">
        <v>1</v>
      </c>
      <c r="BE52">
        <v>0</v>
      </c>
      <c r="BF52">
        <v>0</v>
      </c>
      <c r="BG52">
        <v>0</v>
      </c>
      <c r="BH52">
        <v>0</v>
      </c>
      <c r="BI52">
        <v>3</v>
      </c>
      <c r="BJ52" s="11" t="s">
        <v>2334</v>
      </c>
    </row>
    <row r="53" spans="1:62" ht="13.5" customHeight="1" x14ac:dyDescent="0.25">
      <c r="A53" s="24" t="str">
        <f t="shared" si="3"/>
        <v>F058</v>
      </c>
      <c r="B53" t="str">
        <f t="shared" si="4"/>
        <v>139</v>
      </c>
      <c r="C53" s="24" t="str">
        <f t="shared" si="5"/>
        <v>723</v>
      </c>
      <c r="D5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53" s="19">
        <f>IF(Montageplatten[[#This Row],[37/32]]=1,1,IF(Montageplatten[[#This Row],[28/32]]=1,2,0))</f>
        <v>1</v>
      </c>
      <c r="G5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3" s="19">
        <f>IF(Montageplatten[[#This Row],[Typ]]+Montageplatten[[#This Row],[Befestigung]]=2,1,0)</f>
        <v>1</v>
      </c>
      <c r="I53" s="19">
        <f>IF(Montageplatten[[#This Row],[Randbedingungen]]+IF(Montageplatten[[#This Row],[Höhe]]=select!$B$70,1,0)=2,1,0)</f>
        <v>0</v>
      </c>
      <c r="J53" s="19">
        <f>IF(Montageplatten[[#This Row],[Randbedingungen]]+IF(Montageplatten[[#This Row],[Höhe]]=select!$D$70,1,0)=2,1,0)</f>
        <v>0</v>
      </c>
      <c r="K53" s="19">
        <f>IF(Montageplatten[[#This Row],[Randbedingungen]]+IF(Montageplatten[[#This Row],[Höhe]]=select!$F$70,1,0)=2,1,0)</f>
        <v>0</v>
      </c>
      <c r="L53" s="19">
        <f>IF(Montageplatten[[#This Row],[Randbedingungen]]+IF(Montageplatten[[#This Row],[Höhe]]=select!$H$70,1,0)=2,1,0)</f>
        <v>0</v>
      </c>
      <c r="M5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3" s="67">
        <f>IF(select!$M$317=Montageplatten[[#This Row],[Höhe]],1,0)</f>
        <v>0</v>
      </c>
      <c r="P5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53" s="67">
        <f>IF(Montageplatten[[#This Row],[Typ_winkel]]+Montageplatten[[#This Row],[Befest_Winkel]]=2,1,0)</f>
        <v>1</v>
      </c>
      <c r="S53" s="67">
        <f>IF(Montageplatten[[#This Row],[MPH Winkel]]+Montageplatten[[#This Row],[Typ_winkel]]+Montageplatten[[#This Row],[Befest_Winkel]]=3,1,0)</f>
        <v>0</v>
      </c>
      <c r="T53" s="295">
        <f ca="1">IF(select!$M$746=Montageplatten[[#This Row],[Höhe]],1,0)</f>
        <v>0</v>
      </c>
      <c r="U5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53" s="67">
        <f>IF(Montageplatten[[#This Row],[Typ Spezial]]+Montageplatten[[#This Row],[Befest Spezial]]=2,1,0)</f>
        <v>1</v>
      </c>
      <c r="X53" s="67">
        <f ca="1">IF(Montageplatten[[#This Row],[MPH Spezial]]+Montageplatten[[#This Row],[Typ Spezial]]+Montageplatten[[#This Row],[Befest Spezial]]=3,1,0)</f>
        <v>0</v>
      </c>
      <c r="Y53" s="67" t="e">
        <f ca="1">IF(Montageplatten[[#This Row],[AG Rand]]+IF(Montageplatten[[#This Row],[Höhe]]=select!$C$1212,1,0)=2,1,0)</f>
        <v>#VALUE!</v>
      </c>
      <c r="Z53" s="67" t="e">
        <f ca="1">IF(Montageplatten[[#This Row],[AG Rand]]+IF(Montageplatten[[#This Row],[Höhe]]=select!$E$1212,1,0)=2,1,0)</f>
        <v>#VALUE!</v>
      </c>
      <c r="AA53" s="67" t="e">
        <f ca="1">IF(Montageplatten[[#This Row],[AG Rand]]+IF(Montageplatten[[#This Row],[Höhe]]=select!$G$1212,1,0)=2,1,0)</f>
        <v>#VALUE!</v>
      </c>
      <c r="AB53" s="67" t="e">
        <f ca="1">IF(Montageplatten[[#This Row],[AG Rand]]+IF(Montageplatten[[#This Row],[Höhe]]=select!$I$1212,1,0)=2,1,0)</f>
        <v>#VALUE!</v>
      </c>
      <c r="AC5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53" s="67">
        <f>IF(Montageplatten[[#This Row],[AG Typ]]+Montageplatten[[#This Row],[AG Bef]]=2,1,0)</f>
        <v>1</v>
      </c>
      <c r="AG5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3" s="67">
        <f ca="1">IF(Montageplatten[[#This Row],[AG MPH]]+Montageplatten[[#This Row],[AG Typ]]+Montageplatten[[#This Row],[AG Bef]]=3,1,0)</f>
        <v>0</v>
      </c>
      <c r="AJ53" s="67">
        <f ca="1">IF(select!$K$980="*",Montageplatten[[#This Row],[AG Ges2]],Montageplatten[[#This Row],[AG Ges1]])</f>
        <v>0</v>
      </c>
      <c r="AK5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53" s="67">
        <f>IF(Montageplatten[[#This Row],[konf Typ]]+Montageplatten[[#This Row],[konf Befest]]=2,1,0)</f>
        <v>1</v>
      </c>
      <c r="AN5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3" s="67">
        <f ca="1">IF(Montageplatten[[#This Row],[konf Rahmenbed]]+Montageplatten[[#This Row],[konf MPH]]=2,1,0)</f>
        <v>0</v>
      </c>
      <c r="AP53" s="26" t="str">
        <f ca="1">Sprache!$A$137</f>
        <v>Eco Kreuz Mtg-Platte</v>
      </c>
      <c r="AQ53" t="s">
        <v>741</v>
      </c>
      <c r="AR53" t="str">
        <f ca="1">Sprache!$A$134</f>
        <v>Tiomos Montageplatten</v>
      </c>
      <c r="AS53" s="18">
        <v>1</v>
      </c>
      <c r="AT53" s="18">
        <v>0</v>
      </c>
      <c r="AU53" s="18">
        <v>0</v>
      </c>
      <c r="AV53" s="18">
        <v>0</v>
      </c>
      <c r="AW53" s="2">
        <v>0</v>
      </c>
      <c r="AX53" s="2">
        <v>1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3</v>
      </c>
      <c r="BJ53" s="11" t="s">
        <v>740</v>
      </c>
    </row>
    <row r="54" spans="1:62" ht="13.5" customHeight="1" x14ac:dyDescent="0.25">
      <c r="A54" s="24" t="str">
        <f t="shared" si="3"/>
        <v>F058</v>
      </c>
      <c r="B54" t="str">
        <f t="shared" si="4"/>
        <v>139</v>
      </c>
      <c r="C54" s="24" t="str">
        <f t="shared" si="5"/>
        <v>728</v>
      </c>
      <c r="D5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4" s="19">
        <f>IF(Montageplatten[[#This Row],[37/32]]=1,1,IF(Montageplatten[[#This Row],[28/32]]=1,2,0))</f>
        <v>1</v>
      </c>
      <c r="G5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4" s="19">
        <f>IF(Montageplatten[[#This Row],[Typ]]+Montageplatten[[#This Row],[Befestigung]]=2,1,0)</f>
        <v>0</v>
      </c>
      <c r="I54" s="19">
        <f>IF(Montageplatten[[#This Row],[Randbedingungen]]+IF(Montageplatten[[#This Row],[Höhe]]=select!$B$70,1,0)=2,1,0)</f>
        <v>0</v>
      </c>
      <c r="J54" s="19">
        <f>IF(Montageplatten[[#This Row],[Randbedingungen]]+IF(Montageplatten[[#This Row],[Höhe]]=select!$D$70,1,0)=2,1,0)</f>
        <v>0</v>
      </c>
      <c r="K54" s="19">
        <f>IF(Montageplatten[[#This Row],[Randbedingungen]]+IF(Montageplatten[[#This Row],[Höhe]]=select!$F$70,1,0)=2,1,0)</f>
        <v>0</v>
      </c>
      <c r="L54" s="19">
        <f>IF(Montageplatten[[#This Row],[Randbedingungen]]+IF(Montageplatten[[#This Row],[Höhe]]=select!$H$70,1,0)=2,1,0)</f>
        <v>0</v>
      </c>
      <c r="M5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4" s="67">
        <f>IF(select!$M$317=Montageplatten[[#This Row],[Höhe]],1,0)</f>
        <v>0</v>
      </c>
      <c r="P5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4" s="67">
        <f>IF(Montageplatten[[#This Row],[Typ_winkel]]+Montageplatten[[#This Row],[Befest_Winkel]]=2,1,0)</f>
        <v>0</v>
      </c>
      <c r="S54" s="67">
        <f>IF(Montageplatten[[#This Row],[MPH Winkel]]+Montageplatten[[#This Row],[Typ_winkel]]+Montageplatten[[#This Row],[Befest_Winkel]]=3,1,0)</f>
        <v>0</v>
      </c>
      <c r="T54" s="295">
        <f ca="1">IF(select!$M$746=Montageplatten[[#This Row],[Höhe]],1,0)</f>
        <v>0</v>
      </c>
      <c r="U5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4" s="67">
        <f>IF(Montageplatten[[#This Row],[Typ Spezial]]+Montageplatten[[#This Row],[Befest Spezial]]=2,1,0)</f>
        <v>0</v>
      </c>
      <c r="X54" s="67">
        <f ca="1">IF(Montageplatten[[#This Row],[MPH Spezial]]+Montageplatten[[#This Row],[Typ Spezial]]+Montageplatten[[#This Row],[Befest Spezial]]=3,1,0)</f>
        <v>0</v>
      </c>
      <c r="Y54" s="67" t="e">
        <f ca="1">IF(Montageplatten[[#This Row],[AG Rand]]+IF(Montageplatten[[#This Row],[Höhe]]=select!$C$1212,1,0)=2,1,0)</f>
        <v>#VALUE!</v>
      </c>
      <c r="Z54" s="67" t="e">
        <f ca="1">IF(Montageplatten[[#This Row],[AG Rand]]+IF(Montageplatten[[#This Row],[Höhe]]=select!$E$1212,1,0)=2,1,0)</f>
        <v>#VALUE!</v>
      </c>
      <c r="AA54" s="67" t="e">
        <f ca="1">IF(Montageplatten[[#This Row],[AG Rand]]+IF(Montageplatten[[#This Row],[Höhe]]=select!$G$1212,1,0)=2,1,0)</f>
        <v>#VALUE!</v>
      </c>
      <c r="AB54" s="67" t="e">
        <f ca="1">IF(Montageplatten[[#This Row],[AG Rand]]+IF(Montageplatten[[#This Row],[Höhe]]=select!$I$1212,1,0)=2,1,0)</f>
        <v>#VALUE!</v>
      </c>
      <c r="AC5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4" s="67">
        <f>IF(Montageplatten[[#This Row],[AG Typ]]+Montageplatten[[#This Row],[AG Bef]]=2,1,0)</f>
        <v>0</v>
      </c>
      <c r="AG5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4" s="67">
        <f ca="1">IF(Montageplatten[[#This Row],[AG MPH]]+Montageplatten[[#This Row],[AG Typ]]+Montageplatten[[#This Row],[AG Bef]]=3,1,0)</f>
        <v>0</v>
      </c>
      <c r="AJ54" s="67">
        <f ca="1">IF(select!$K$980="*",Montageplatten[[#This Row],[AG Ges2]],Montageplatten[[#This Row],[AG Ges1]])</f>
        <v>0</v>
      </c>
      <c r="AK5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4" s="67">
        <f>IF(Montageplatten[[#This Row],[konf Typ]]+Montageplatten[[#This Row],[konf Befest]]=2,1,0)</f>
        <v>0</v>
      </c>
      <c r="AN5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4" s="67">
        <f ca="1">IF(Montageplatten[[#This Row],[konf Rahmenbed]]+Montageplatten[[#This Row],[konf MPH]]=2,1,0)</f>
        <v>0</v>
      </c>
      <c r="AP54" s="26" t="str">
        <f ca="1">Sprache!$A$137</f>
        <v>Eco Kreuz Mtg-Platte</v>
      </c>
      <c r="AQ54" t="s">
        <v>750</v>
      </c>
      <c r="AR54" t="str">
        <f ca="1">Sprache!$A$134</f>
        <v>Tiomos Montageplatten</v>
      </c>
      <c r="AS54" s="18">
        <v>1</v>
      </c>
      <c r="AT54" s="18">
        <v>0</v>
      </c>
      <c r="AU54" s="18">
        <v>0</v>
      </c>
      <c r="AV54" s="18">
        <v>0</v>
      </c>
      <c r="AW54" s="2">
        <v>1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3</v>
      </c>
      <c r="BJ54" s="11" t="s">
        <v>749</v>
      </c>
    </row>
    <row r="55" spans="1:62" ht="13.5" customHeight="1" x14ac:dyDescent="0.25">
      <c r="A55" s="24" t="str">
        <f t="shared" si="3"/>
        <v>F058</v>
      </c>
      <c r="B55" t="str">
        <f t="shared" si="4"/>
        <v>139</v>
      </c>
      <c r="C55" s="24" t="str">
        <f t="shared" si="5"/>
        <v>738</v>
      </c>
      <c r="D5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5" s="19">
        <f>IF(Montageplatten[[#This Row],[37/32]]=1,1,IF(Montageplatten[[#This Row],[28/32]]=1,2,0))</f>
        <v>1</v>
      </c>
      <c r="G5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5" s="19">
        <f>IF(Montageplatten[[#This Row],[Typ]]+Montageplatten[[#This Row],[Befestigung]]=2,1,0)</f>
        <v>0</v>
      </c>
      <c r="I55" s="19">
        <f>IF(Montageplatten[[#This Row],[Randbedingungen]]+IF(Montageplatten[[#This Row],[Höhe]]=select!$B$70,1,0)=2,1,0)</f>
        <v>0</v>
      </c>
      <c r="J55" s="19">
        <f>IF(Montageplatten[[#This Row],[Randbedingungen]]+IF(Montageplatten[[#This Row],[Höhe]]=select!$D$70,1,0)=2,1,0)</f>
        <v>0</v>
      </c>
      <c r="K55" s="19">
        <f>IF(Montageplatten[[#This Row],[Randbedingungen]]+IF(Montageplatten[[#This Row],[Höhe]]=select!$F$70,1,0)=2,1,0)</f>
        <v>0</v>
      </c>
      <c r="L55" s="19">
        <f>IF(Montageplatten[[#This Row],[Randbedingungen]]+IF(Montageplatten[[#This Row],[Höhe]]=select!$H$70,1,0)=2,1,0)</f>
        <v>0</v>
      </c>
      <c r="M5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5" s="67">
        <f>IF(select!$M$317=Montageplatten[[#This Row],[Höhe]],1,0)</f>
        <v>0</v>
      </c>
      <c r="P5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5" s="67">
        <f>IF(Montageplatten[[#This Row],[Typ_winkel]]+Montageplatten[[#This Row],[Befest_Winkel]]=2,1,0)</f>
        <v>0</v>
      </c>
      <c r="S55" s="67">
        <f>IF(Montageplatten[[#This Row],[MPH Winkel]]+Montageplatten[[#This Row],[Typ_winkel]]+Montageplatten[[#This Row],[Befest_Winkel]]=3,1,0)</f>
        <v>0</v>
      </c>
      <c r="T55" s="295">
        <f ca="1">IF(select!$M$746=Montageplatten[[#This Row],[Höhe]],1,0)</f>
        <v>0</v>
      </c>
      <c r="U5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5" s="67">
        <f>IF(Montageplatten[[#This Row],[Typ Spezial]]+Montageplatten[[#This Row],[Befest Spezial]]=2,1,0)</f>
        <v>0</v>
      </c>
      <c r="X55" s="67">
        <f ca="1">IF(Montageplatten[[#This Row],[MPH Spezial]]+Montageplatten[[#This Row],[Typ Spezial]]+Montageplatten[[#This Row],[Befest Spezial]]=3,1,0)</f>
        <v>0</v>
      </c>
      <c r="Y55" s="67" t="e">
        <f ca="1">IF(Montageplatten[[#This Row],[AG Rand]]+IF(Montageplatten[[#This Row],[Höhe]]=select!$C$1212,1,0)=2,1,0)</f>
        <v>#VALUE!</v>
      </c>
      <c r="Z55" s="67" t="e">
        <f ca="1">IF(Montageplatten[[#This Row],[AG Rand]]+IF(Montageplatten[[#This Row],[Höhe]]=select!$E$1212,1,0)=2,1,0)</f>
        <v>#VALUE!</v>
      </c>
      <c r="AA55" s="67" t="e">
        <f ca="1">IF(Montageplatten[[#This Row],[AG Rand]]+IF(Montageplatten[[#This Row],[Höhe]]=select!$G$1212,1,0)=2,1,0)</f>
        <v>#VALUE!</v>
      </c>
      <c r="AB55" s="67" t="e">
        <f ca="1">IF(Montageplatten[[#This Row],[AG Rand]]+IF(Montageplatten[[#This Row],[Höhe]]=select!$I$1212,1,0)=2,1,0)</f>
        <v>#VALUE!</v>
      </c>
      <c r="AC5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5" s="67">
        <f>IF(Montageplatten[[#This Row],[AG Typ]]+Montageplatten[[#This Row],[AG Bef]]=2,1,0)</f>
        <v>0</v>
      </c>
      <c r="AG5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5" s="67">
        <f ca="1">IF(Montageplatten[[#This Row],[AG MPH]]+Montageplatten[[#This Row],[AG Typ]]+Montageplatten[[#This Row],[AG Bef]]=3,1,0)</f>
        <v>0</v>
      </c>
      <c r="AJ55" s="67">
        <f ca="1">IF(select!$K$980="*",Montageplatten[[#This Row],[AG Ges2]],Montageplatten[[#This Row],[AG Ges1]])</f>
        <v>0</v>
      </c>
      <c r="AK5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5" s="67">
        <f>IF(Montageplatten[[#This Row],[konf Typ]]+Montageplatten[[#This Row],[konf Befest]]=2,1,0)</f>
        <v>0</v>
      </c>
      <c r="AN5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5" s="67">
        <f ca="1">IF(Montageplatten[[#This Row],[konf Rahmenbed]]+Montageplatten[[#This Row],[konf MPH]]=2,1,0)</f>
        <v>0</v>
      </c>
      <c r="AP55" s="26" t="str">
        <f ca="1">Sprache!$A$137</f>
        <v>Eco Kreuz Mtg-Platte</v>
      </c>
      <c r="AQ55" t="s">
        <v>759</v>
      </c>
      <c r="AR55" t="str">
        <f ca="1">Sprache!$A$134</f>
        <v>Tiomos Montageplatten</v>
      </c>
      <c r="AS55" s="18">
        <v>1</v>
      </c>
      <c r="AT55" s="18">
        <v>0</v>
      </c>
      <c r="AU55" s="18">
        <v>0</v>
      </c>
      <c r="AV55" s="18">
        <v>0</v>
      </c>
      <c r="AW55" s="2">
        <v>0</v>
      </c>
      <c r="AX55" s="2">
        <v>0</v>
      </c>
      <c r="AY55" s="2">
        <v>0</v>
      </c>
      <c r="AZ55" s="2">
        <v>1</v>
      </c>
      <c r="BA55" s="2">
        <v>0</v>
      </c>
      <c r="BB55" s="2">
        <v>0</v>
      </c>
      <c r="BC55" s="2">
        <v>0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3</v>
      </c>
      <c r="BJ55" s="11" t="s">
        <v>758</v>
      </c>
    </row>
    <row r="56" spans="1:62" ht="13.5" customHeight="1" x14ac:dyDescent="0.25">
      <c r="A56" s="24" t="str">
        <f t="shared" si="3"/>
        <v>F058</v>
      </c>
      <c r="B56" t="str">
        <f t="shared" si="4"/>
        <v>139</v>
      </c>
      <c r="C56" s="24" t="str">
        <f t="shared" si="5"/>
        <v>748</v>
      </c>
      <c r="D5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56" s="19">
        <f>IF(Montageplatten[[#This Row],[37/32]]=1,1,IF(Montageplatten[[#This Row],[28/32]]=1,2,0))</f>
        <v>1</v>
      </c>
      <c r="G5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6" s="19">
        <f>IF(Montageplatten[[#This Row],[Typ]]+Montageplatten[[#This Row],[Befestigung]]=2,1,0)</f>
        <v>1</v>
      </c>
      <c r="I56" s="19">
        <f>IF(Montageplatten[[#This Row],[Randbedingungen]]+IF(Montageplatten[[#This Row],[Höhe]]=select!$B$70,1,0)=2,1,0)</f>
        <v>0</v>
      </c>
      <c r="J56" s="19">
        <f>IF(Montageplatten[[#This Row],[Randbedingungen]]+IF(Montageplatten[[#This Row],[Höhe]]=select!$D$70,1,0)=2,1,0)</f>
        <v>0</v>
      </c>
      <c r="K56" s="19">
        <f>IF(Montageplatten[[#This Row],[Randbedingungen]]+IF(Montageplatten[[#This Row],[Höhe]]=select!$F$70,1,0)=2,1,0)</f>
        <v>0</v>
      </c>
      <c r="L56" s="19">
        <f>IF(Montageplatten[[#This Row],[Randbedingungen]]+IF(Montageplatten[[#This Row],[Höhe]]=select!$H$70,1,0)=2,1,0)</f>
        <v>0</v>
      </c>
      <c r="M5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6" s="67">
        <f>IF(select!$M$317=Montageplatten[[#This Row],[Höhe]],1,0)</f>
        <v>0</v>
      </c>
      <c r="P5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56" s="67">
        <f>IF(Montageplatten[[#This Row],[Typ_winkel]]+Montageplatten[[#This Row],[Befest_Winkel]]=2,1,0)</f>
        <v>1</v>
      </c>
      <c r="S56" s="67">
        <f>IF(Montageplatten[[#This Row],[MPH Winkel]]+Montageplatten[[#This Row],[Typ_winkel]]+Montageplatten[[#This Row],[Befest_Winkel]]=3,1,0)</f>
        <v>0</v>
      </c>
      <c r="T56" s="295">
        <f ca="1">IF(select!$M$746=Montageplatten[[#This Row],[Höhe]],1,0)</f>
        <v>0</v>
      </c>
      <c r="U5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56" s="67">
        <f>IF(Montageplatten[[#This Row],[Typ Spezial]]+Montageplatten[[#This Row],[Befest Spezial]]=2,1,0)</f>
        <v>1</v>
      </c>
      <c r="X56" s="67">
        <f ca="1">IF(Montageplatten[[#This Row],[MPH Spezial]]+Montageplatten[[#This Row],[Typ Spezial]]+Montageplatten[[#This Row],[Befest Spezial]]=3,1,0)</f>
        <v>0</v>
      </c>
      <c r="Y56" s="67" t="e">
        <f ca="1">IF(Montageplatten[[#This Row],[AG Rand]]+IF(Montageplatten[[#This Row],[Höhe]]=select!$C$1212,1,0)=2,1,0)</f>
        <v>#VALUE!</v>
      </c>
      <c r="Z56" s="67" t="e">
        <f ca="1">IF(Montageplatten[[#This Row],[AG Rand]]+IF(Montageplatten[[#This Row],[Höhe]]=select!$E$1212,1,0)=2,1,0)</f>
        <v>#VALUE!</v>
      </c>
      <c r="AA56" s="67" t="e">
        <f ca="1">IF(Montageplatten[[#This Row],[AG Rand]]+IF(Montageplatten[[#This Row],[Höhe]]=select!$G$1212,1,0)=2,1,0)</f>
        <v>#VALUE!</v>
      </c>
      <c r="AB56" s="67" t="e">
        <f ca="1">IF(Montageplatten[[#This Row],[AG Rand]]+IF(Montageplatten[[#This Row],[Höhe]]=select!$I$1212,1,0)=2,1,0)</f>
        <v>#VALUE!</v>
      </c>
      <c r="AC5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56" s="67">
        <f>IF(Montageplatten[[#This Row],[AG Typ]]+Montageplatten[[#This Row],[AG Bef]]=2,1,0)</f>
        <v>1</v>
      </c>
      <c r="AG5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6" s="67">
        <f ca="1">IF(Montageplatten[[#This Row],[AG MPH]]+Montageplatten[[#This Row],[AG Typ]]+Montageplatten[[#This Row],[AG Bef]]=3,1,0)</f>
        <v>0</v>
      </c>
      <c r="AJ56" s="67">
        <f ca="1">IF(select!$K$980="*",Montageplatten[[#This Row],[AG Ges2]],Montageplatten[[#This Row],[AG Ges1]])</f>
        <v>0</v>
      </c>
      <c r="AK5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56" s="67">
        <f>IF(Montageplatten[[#This Row],[konf Typ]]+Montageplatten[[#This Row],[konf Befest]]=2,1,0)</f>
        <v>1</v>
      </c>
      <c r="AN5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6" s="67">
        <f ca="1">IF(Montageplatten[[#This Row],[konf Rahmenbed]]+Montageplatten[[#This Row],[konf MPH]]=2,1,0)</f>
        <v>0</v>
      </c>
      <c r="AP56" s="26" t="str">
        <f ca="1">Sprache!$A$136</f>
        <v>1D Kreuz Mtg-Platte</v>
      </c>
      <c r="AQ56" t="s">
        <v>741</v>
      </c>
      <c r="AR56" t="str">
        <f ca="1">Sprache!$A$134</f>
        <v>Tiomos Montageplatten</v>
      </c>
      <c r="AS56" s="18">
        <v>1</v>
      </c>
      <c r="AT56" s="18">
        <v>0</v>
      </c>
      <c r="AU56" s="18">
        <v>0</v>
      </c>
      <c r="AV56" s="18">
        <v>0</v>
      </c>
      <c r="AW56" s="2">
        <v>0</v>
      </c>
      <c r="AX56" s="2">
        <v>1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3</v>
      </c>
      <c r="BJ56" s="11" t="s">
        <v>764</v>
      </c>
    </row>
    <row r="57" spans="1:62" ht="13.5" customHeight="1" x14ac:dyDescent="0.25">
      <c r="A57" s="24" t="str">
        <f t="shared" si="3"/>
        <v>F058</v>
      </c>
      <c r="B57" t="str">
        <f t="shared" si="4"/>
        <v>139</v>
      </c>
      <c r="C57" s="24" t="str">
        <f t="shared" si="5"/>
        <v>753</v>
      </c>
      <c r="D5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7" s="19">
        <f>IF(Montageplatten[[#This Row],[37/32]]=1,1,IF(Montageplatten[[#This Row],[28/32]]=1,2,0))</f>
        <v>1</v>
      </c>
      <c r="G5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7" s="19">
        <f>IF(Montageplatten[[#This Row],[Typ]]+Montageplatten[[#This Row],[Befestigung]]=2,1,0)</f>
        <v>0</v>
      </c>
      <c r="I57" s="19">
        <f>IF(Montageplatten[[#This Row],[Randbedingungen]]+IF(Montageplatten[[#This Row],[Höhe]]=select!$B$70,1,0)=2,1,0)</f>
        <v>0</v>
      </c>
      <c r="J57" s="19">
        <f>IF(Montageplatten[[#This Row],[Randbedingungen]]+IF(Montageplatten[[#This Row],[Höhe]]=select!$D$70,1,0)=2,1,0)</f>
        <v>0</v>
      </c>
      <c r="K57" s="19">
        <f>IF(Montageplatten[[#This Row],[Randbedingungen]]+IF(Montageplatten[[#This Row],[Höhe]]=select!$F$70,1,0)=2,1,0)</f>
        <v>0</v>
      </c>
      <c r="L57" s="19">
        <f>IF(Montageplatten[[#This Row],[Randbedingungen]]+IF(Montageplatten[[#This Row],[Höhe]]=select!$H$70,1,0)=2,1,0)</f>
        <v>0</v>
      </c>
      <c r="M5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7" s="67">
        <f>IF(select!$M$317=Montageplatten[[#This Row],[Höhe]],1,0)</f>
        <v>0</v>
      </c>
      <c r="P5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7" s="67">
        <f>IF(Montageplatten[[#This Row],[Typ_winkel]]+Montageplatten[[#This Row],[Befest_Winkel]]=2,1,0)</f>
        <v>0</v>
      </c>
      <c r="S57" s="67">
        <f>IF(Montageplatten[[#This Row],[MPH Winkel]]+Montageplatten[[#This Row],[Typ_winkel]]+Montageplatten[[#This Row],[Befest_Winkel]]=3,1,0)</f>
        <v>0</v>
      </c>
      <c r="T57" s="295">
        <f ca="1">IF(select!$M$746=Montageplatten[[#This Row],[Höhe]],1,0)</f>
        <v>0</v>
      </c>
      <c r="U5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7" s="67">
        <f>IF(Montageplatten[[#This Row],[Typ Spezial]]+Montageplatten[[#This Row],[Befest Spezial]]=2,1,0)</f>
        <v>0</v>
      </c>
      <c r="X57" s="67">
        <f ca="1">IF(Montageplatten[[#This Row],[MPH Spezial]]+Montageplatten[[#This Row],[Typ Spezial]]+Montageplatten[[#This Row],[Befest Spezial]]=3,1,0)</f>
        <v>0</v>
      </c>
      <c r="Y57" s="67" t="e">
        <f ca="1">IF(Montageplatten[[#This Row],[AG Rand]]+IF(Montageplatten[[#This Row],[Höhe]]=select!$C$1212,1,0)=2,1,0)</f>
        <v>#VALUE!</v>
      </c>
      <c r="Z57" s="67" t="e">
        <f ca="1">IF(Montageplatten[[#This Row],[AG Rand]]+IF(Montageplatten[[#This Row],[Höhe]]=select!$E$1212,1,0)=2,1,0)</f>
        <v>#VALUE!</v>
      </c>
      <c r="AA57" s="67" t="e">
        <f ca="1">IF(Montageplatten[[#This Row],[AG Rand]]+IF(Montageplatten[[#This Row],[Höhe]]=select!$G$1212,1,0)=2,1,0)</f>
        <v>#VALUE!</v>
      </c>
      <c r="AB57" s="67" t="e">
        <f ca="1">IF(Montageplatten[[#This Row],[AG Rand]]+IF(Montageplatten[[#This Row],[Höhe]]=select!$I$1212,1,0)=2,1,0)</f>
        <v>#VALUE!</v>
      </c>
      <c r="AC5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7" s="67">
        <f>IF(Montageplatten[[#This Row],[AG Typ]]+Montageplatten[[#This Row],[AG Bef]]=2,1,0)</f>
        <v>0</v>
      </c>
      <c r="AG5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7" s="67">
        <f ca="1">IF(Montageplatten[[#This Row],[AG MPH]]+Montageplatten[[#This Row],[AG Typ]]+Montageplatten[[#This Row],[AG Bef]]=3,1,0)</f>
        <v>0</v>
      </c>
      <c r="AJ57" s="67">
        <f ca="1">IF(select!$K$980="*",Montageplatten[[#This Row],[AG Ges2]],Montageplatten[[#This Row],[AG Ges1]])</f>
        <v>0</v>
      </c>
      <c r="AK5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7" s="67">
        <f>IF(Montageplatten[[#This Row],[konf Typ]]+Montageplatten[[#This Row],[konf Befest]]=2,1,0)</f>
        <v>0</v>
      </c>
      <c r="AN5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7" s="67">
        <f ca="1">IF(Montageplatten[[#This Row],[konf Rahmenbed]]+Montageplatten[[#This Row],[konf MPH]]=2,1,0)</f>
        <v>0</v>
      </c>
      <c r="AP57" s="26" t="str">
        <f ca="1">Sprache!$A$136</f>
        <v>1D Kreuz Mtg-Platte</v>
      </c>
      <c r="AQ57" t="s">
        <v>750</v>
      </c>
      <c r="AR57" t="str">
        <f ca="1">Sprache!$A$134</f>
        <v>Tiomos Montageplatten</v>
      </c>
      <c r="AS57" s="18">
        <v>1</v>
      </c>
      <c r="AT57" s="18">
        <v>0</v>
      </c>
      <c r="AU57" s="18">
        <v>0</v>
      </c>
      <c r="AV57" s="18">
        <v>0</v>
      </c>
      <c r="AW57" s="2">
        <v>1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3</v>
      </c>
      <c r="BJ57" s="11" t="s">
        <v>45</v>
      </c>
    </row>
    <row r="58" spans="1:62" ht="13.5" customHeight="1" x14ac:dyDescent="0.25">
      <c r="A58" s="24" t="str">
        <f t="shared" si="3"/>
        <v>F058</v>
      </c>
      <c r="B58" t="str">
        <f t="shared" si="4"/>
        <v>139</v>
      </c>
      <c r="C58" s="24" t="str">
        <f t="shared" si="5"/>
        <v>758</v>
      </c>
      <c r="D5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8" s="19">
        <f>IF(Montageplatten[[#This Row],[37/32]]=1,1,IF(Montageplatten[[#This Row],[28/32]]=1,2,0))</f>
        <v>1</v>
      </c>
      <c r="G5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8" s="19">
        <f>IF(Montageplatten[[#This Row],[Typ]]+Montageplatten[[#This Row],[Befestigung]]=2,1,0)</f>
        <v>0</v>
      </c>
      <c r="I58" s="19">
        <f>IF(Montageplatten[[#This Row],[Randbedingungen]]+IF(Montageplatten[[#This Row],[Höhe]]=select!$B$70,1,0)=2,1,0)</f>
        <v>0</v>
      </c>
      <c r="J58" s="19">
        <f>IF(Montageplatten[[#This Row],[Randbedingungen]]+IF(Montageplatten[[#This Row],[Höhe]]=select!$D$70,1,0)=2,1,0)</f>
        <v>0</v>
      </c>
      <c r="K58" s="19">
        <f>IF(Montageplatten[[#This Row],[Randbedingungen]]+IF(Montageplatten[[#This Row],[Höhe]]=select!$F$70,1,0)=2,1,0)</f>
        <v>0</v>
      </c>
      <c r="L58" s="19">
        <f>IF(Montageplatten[[#This Row],[Randbedingungen]]+IF(Montageplatten[[#This Row],[Höhe]]=select!$H$70,1,0)=2,1,0)</f>
        <v>0</v>
      </c>
      <c r="M5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8" s="67">
        <f>IF(select!$M$317=Montageplatten[[#This Row],[Höhe]],1,0)</f>
        <v>0</v>
      </c>
      <c r="P5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8" s="67">
        <f>IF(Montageplatten[[#This Row],[Typ_winkel]]+Montageplatten[[#This Row],[Befest_Winkel]]=2,1,0)</f>
        <v>0</v>
      </c>
      <c r="S58" s="67">
        <f>IF(Montageplatten[[#This Row],[MPH Winkel]]+Montageplatten[[#This Row],[Typ_winkel]]+Montageplatten[[#This Row],[Befest_Winkel]]=3,1,0)</f>
        <v>0</v>
      </c>
      <c r="T58" s="295">
        <f ca="1">IF(select!$M$746=Montageplatten[[#This Row],[Höhe]],1,0)</f>
        <v>0</v>
      </c>
      <c r="U5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8" s="67">
        <f>IF(Montageplatten[[#This Row],[Typ Spezial]]+Montageplatten[[#This Row],[Befest Spezial]]=2,1,0)</f>
        <v>0</v>
      </c>
      <c r="X58" s="67">
        <f ca="1">IF(Montageplatten[[#This Row],[MPH Spezial]]+Montageplatten[[#This Row],[Typ Spezial]]+Montageplatten[[#This Row],[Befest Spezial]]=3,1,0)</f>
        <v>0</v>
      </c>
      <c r="Y58" s="67" t="e">
        <f ca="1">IF(Montageplatten[[#This Row],[AG Rand]]+IF(Montageplatten[[#This Row],[Höhe]]=select!$C$1212,1,0)=2,1,0)</f>
        <v>#VALUE!</v>
      </c>
      <c r="Z58" s="67" t="e">
        <f ca="1">IF(Montageplatten[[#This Row],[AG Rand]]+IF(Montageplatten[[#This Row],[Höhe]]=select!$E$1212,1,0)=2,1,0)</f>
        <v>#VALUE!</v>
      </c>
      <c r="AA58" s="67" t="e">
        <f ca="1">IF(Montageplatten[[#This Row],[AG Rand]]+IF(Montageplatten[[#This Row],[Höhe]]=select!$G$1212,1,0)=2,1,0)</f>
        <v>#VALUE!</v>
      </c>
      <c r="AB58" s="67" t="e">
        <f ca="1">IF(Montageplatten[[#This Row],[AG Rand]]+IF(Montageplatten[[#This Row],[Höhe]]=select!$I$1212,1,0)=2,1,0)</f>
        <v>#VALUE!</v>
      </c>
      <c r="AC5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8" s="67">
        <f>IF(Montageplatten[[#This Row],[AG Typ]]+Montageplatten[[#This Row],[AG Bef]]=2,1,0)</f>
        <v>0</v>
      </c>
      <c r="AG5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8" s="67">
        <f ca="1">IF(Montageplatten[[#This Row],[AG MPH]]+Montageplatten[[#This Row],[AG Typ]]+Montageplatten[[#This Row],[AG Bef]]=3,1,0)</f>
        <v>0</v>
      </c>
      <c r="AJ58" s="67">
        <f ca="1">IF(select!$K$980="*",Montageplatten[[#This Row],[AG Ges2]],Montageplatten[[#This Row],[AG Ges1]])</f>
        <v>0</v>
      </c>
      <c r="AK5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8" s="67">
        <f>IF(Montageplatten[[#This Row],[konf Typ]]+Montageplatten[[#This Row],[konf Befest]]=2,1,0)</f>
        <v>0</v>
      </c>
      <c r="AN5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8" s="67">
        <f ca="1">IF(Montageplatten[[#This Row],[konf Rahmenbed]]+Montageplatten[[#This Row],[konf MPH]]=2,1,0)</f>
        <v>0</v>
      </c>
      <c r="AP58" s="26" t="str">
        <f ca="1">Sprache!$A$136</f>
        <v>1D Kreuz Mtg-Platte</v>
      </c>
      <c r="AQ58" t="s">
        <v>771</v>
      </c>
      <c r="AR58" t="str">
        <f ca="1">Sprache!$A$134</f>
        <v>Tiomos Montageplatten</v>
      </c>
      <c r="AS58" s="18">
        <v>1</v>
      </c>
      <c r="AT58" s="18">
        <v>0</v>
      </c>
      <c r="AU58" s="18">
        <v>0</v>
      </c>
      <c r="AV58" s="18">
        <v>0</v>
      </c>
      <c r="AW58" s="2">
        <v>0</v>
      </c>
      <c r="AX58" s="2">
        <v>0</v>
      </c>
      <c r="AY58" s="2">
        <v>1</v>
      </c>
      <c r="AZ58" s="2">
        <v>0</v>
      </c>
      <c r="BA58" s="2">
        <v>0</v>
      </c>
      <c r="BB58" s="2">
        <v>0</v>
      </c>
      <c r="BC58" s="2">
        <v>0</v>
      </c>
      <c r="BD58">
        <v>1</v>
      </c>
      <c r="BE58">
        <v>0</v>
      </c>
      <c r="BF58">
        <v>0</v>
      </c>
      <c r="BG58">
        <v>0</v>
      </c>
      <c r="BH58">
        <v>0</v>
      </c>
      <c r="BI58">
        <v>3</v>
      </c>
      <c r="BJ58" s="11" t="s">
        <v>770</v>
      </c>
    </row>
    <row r="59" spans="1:62" ht="13.5" customHeight="1" x14ac:dyDescent="0.25">
      <c r="A59" s="24" t="str">
        <f t="shared" si="3"/>
        <v>F058</v>
      </c>
      <c r="B59" t="str">
        <f t="shared" si="4"/>
        <v>139</v>
      </c>
      <c r="C59" s="24" t="str">
        <f t="shared" si="5"/>
        <v>763</v>
      </c>
      <c r="D5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5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59" s="19">
        <f>IF(Montageplatten[[#This Row],[37/32]]=1,1,IF(Montageplatten[[#This Row],[28/32]]=1,2,0))</f>
        <v>1</v>
      </c>
      <c r="G5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59" s="19">
        <f>IF(Montageplatten[[#This Row],[Typ]]+Montageplatten[[#This Row],[Befestigung]]=2,1,0)</f>
        <v>0</v>
      </c>
      <c r="I59" s="19">
        <f>IF(Montageplatten[[#This Row],[Randbedingungen]]+IF(Montageplatten[[#This Row],[Höhe]]=select!$B$70,1,0)=2,1,0)</f>
        <v>0</v>
      </c>
      <c r="J59" s="19">
        <f>IF(Montageplatten[[#This Row],[Randbedingungen]]+IF(Montageplatten[[#This Row],[Höhe]]=select!$D$70,1,0)=2,1,0)</f>
        <v>0</v>
      </c>
      <c r="K59" s="19">
        <f>IF(Montageplatten[[#This Row],[Randbedingungen]]+IF(Montageplatten[[#This Row],[Höhe]]=select!$F$70,1,0)=2,1,0)</f>
        <v>0</v>
      </c>
      <c r="L59" s="19">
        <f>IF(Montageplatten[[#This Row],[Randbedingungen]]+IF(Montageplatten[[#This Row],[Höhe]]=select!$H$70,1,0)=2,1,0)</f>
        <v>0</v>
      </c>
      <c r="M5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5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59" s="67">
        <f>IF(select!$M$317=Montageplatten[[#This Row],[Höhe]],1,0)</f>
        <v>0</v>
      </c>
      <c r="P5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5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59" s="67">
        <f>IF(Montageplatten[[#This Row],[Typ_winkel]]+Montageplatten[[#This Row],[Befest_Winkel]]=2,1,0)</f>
        <v>0</v>
      </c>
      <c r="S59" s="67">
        <f>IF(Montageplatten[[#This Row],[MPH Winkel]]+Montageplatten[[#This Row],[Typ_winkel]]+Montageplatten[[#This Row],[Befest_Winkel]]=3,1,0)</f>
        <v>0</v>
      </c>
      <c r="T59" s="295">
        <f ca="1">IF(select!$M$746=Montageplatten[[#This Row],[Höhe]],1,0)</f>
        <v>0</v>
      </c>
      <c r="U5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5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59" s="67">
        <f>IF(Montageplatten[[#This Row],[Typ Spezial]]+Montageplatten[[#This Row],[Befest Spezial]]=2,1,0)</f>
        <v>0</v>
      </c>
      <c r="X59" s="67">
        <f ca="1">IF(Montageplatten[[#This Row],[MPH Spezial]]+Montageplatten[[#This Row],[Typ Spezial]]+Montageplatten[[#This Row],[Befest Spezial]]=3,1,0)</f>
        <v>0</v>
      </c>
      <c r="Y59" s="67" t="e">
        <f ca="1">IF(Montageplatten[[#This Row],[AG Rand]]+IF(Montageplatten[[#This Row],[Höhe]]=select!$C$1212,1,0)=2,1,0)</f>
        <v>#VALUE!</v>
      </c>
      <c r="Z59" s="67" t="e">
        <f ca="1">IF(Montageplatten[[#This Row],[AG Rand]]+IF(Montageplatten[[#This Row],[Höhe]]=select!$E$1212,1,0)=2,1,0)</f>
        <v>#VALUE!</v>
      </c>
      <c r="AA59" s="67" t="e">
        <f ca="1">IF(Montageplatten[[#This Row],[AG Rand]]+IF(Montageplatten[[#This Row],[Höhe]]=select!$G$1212,1,0)=2,1,0)</f>
        <v>#VALUE!</v>
      </c>
      <c r="AB59" s="67" t="e">
        <f ca="1">IF(Montageplatten[[#This Row],[AG Rand]]+IF(Montageplatten[[#This Row],[Höhe]]=select!$I$1212,1,0)=2,1,0)</f>
        <v>#VALUE!</v>
      </c>
      <c r="AC5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5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5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59" s="67">
        <f>IF(Montageplatten[[#This Row],[AG Typ]]+Montageplatten[[#This Row],[AG Bef]]=2,1,0)</f>
        <v>0</v>
      </c>
      <c r="AG5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5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59" s="67">
        <f ca="1">IF(Montageplatten[[#This Row],[AG MPH]]+Montageplatten[[#This Row],[AG Typ]]+Montageplatten[[#This Row],[AG Bef]]=3,1,0)</f>
        <v>0</v>
      </c>
      <c r="AJ59" s="67">
        <f ca="1">IF(select!$K$980="*",Montageplatten[[#This Row],[AG Ges2]],Montageplatten[[#This Row],[AG Ges1]])</f>
        <v>0</v>
      </c>
      <c r="AK5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5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59" s="67">
        <f>IF(Montageplatten[[#This Row],[konf Typ]]+Montageplatten[[#This Row],[konf Befest]]=2,1,0)</f>
        <v>0</v>
      </c>
      <c r="AN5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59" s="67">
        <f ca="1">IF(Montageplatten[[#This Row],[konf Rahmenbed]]+Montageplatten[[#This Row],[konf MPH]]=2,1,0)</f>
        <v>0</v>
      </c>
      <c r="AP59" s="26" t="str">
        <f ca="1">Sprache!$A$136</f>
        <v>1D Kreuz Mtg-Platte</v>
      </c>
      <c r="AQ59" t="str">
        <f ca="1">"H 03, "&amp;Sprache!A71&amp;", ni /37"</f>
        <v>H 03, vorm. Euro, ni /37</v>
      </c>
      <c r="AR59" t="str">
        <f ca="1">Sprache!$A$134</f>
        <v>Tiomos Montageplatten</v>
      </c>
      <c r="AS59" s="18">
        <v>1</v>
      </c>
      <c r="AT59" s="18">
        <v>0</v>
      </c>
      <c r="AU59" s="18">
        <v>0</v>
      </c>
      <c r="AV59" s="18">
        <v>0</v>
      </c>
      <c r="AW59" s="2">
        <v>0</v>
      </c>
      <c r="AX59" s="2">
        <v>0</v>
      </c>
      <c r="AY59" s="2">
        <v>0</v>
      </c>
      <c r="AZ59" s="2">
        <v>1</v>
      </c>
      <c r="BA59" s="2">
        <v>0</v>
      </c>
      <c r="BB59" s="2">
        <v>0</v>
      </c>
      <c r="BC59" s="2">
        <v>0</v>
      </c>
      <c r="BD59">
        <v>1</v>
      </c>
      <c r="BE59">
        <v>0</v>
      </c>
      <c r="BF59">
        <v>0</v>
      </c>
      <c r="BG59">
        <v>0</v>
      </c>
      <c r="BH59">
        <v>0</v>
      </c>
      <c r="BI59">
        <v>3</v>
      </c>
      <c r="BJ59" s="11" t="s">
        <v>775</v>
      </c>
    </row>
    <row r="60" spans="1:62" ht="13.5" customHeight="1" x14ac:dyDescent="0.25">
      <c r="A60" s="24" t="str">
        <f t="shared" si="3"/>
        <v>F058</v>
      </c>
      <c r="B60" t="str">
        <f t="shared" si="4"/>
        <v>139</v>
      </c>
      <c r="C60" s="24" t="str">
        <f t="shared" si="5"/>
        <v>788</v>
      </c>
      <c r="D6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0" s="19">
        <f>IF(Montageplatten[[#This Row],[37/32]]=1,1,IF(Montageplatten[[#This Row],[28/32]]=1,2,0))</f>
        <v>2</v>
      </c>
      <c r="G6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0" s="19">
        <f>IF(Montageplatten[[#This Row],[Typ]]+Montageplatten[[#This Row],[Befestigung]]=2,1,0)</f>
        <v>0</v>
      </c>
      <c r="I60" s="19">
        <f>IF(Montageplatten[[#This Row],[Randbedingungen]]+IF(Montageplatten[[#This Row],[Höhe]]=select!$B$70,1,0)=2,1,0)</f>
        <v>0</v>
      </c>
      <c r="J60" s="19">
        <f>IF(Montageplatten[[#This Row],[Randbedingungen]]+IF(Montageplatten[[#This Row],[Höhe]]=select!$D$70,1,0)=2,1,0)</f>
        <v>0</v>
      </c>
      <c r="K60" s="19">
        <f>IF(Montageplatten[[#This Row],[Randbedingungen]]+IF(Montageplatten[[#This Row],[Höhe]]=select!$F$70,1,0)=2,1,0)</f>
        <v>0</v>
      </c>
      <c r="L60" s="19">
        <f>IF(Montageplatten[[#This Row],[Randbedingungen]]+IF(Montageplatten[[#This Row],[Höhe]]=select!$H$70,1,0)=2,1,0)</f>
        <v>0</v>
      </c>
      <c r="M6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0" s="67">
        <f>IF(select!$M$317=Montageplatten[[#This Row],[Höhe]],1,0)</f>
        <v>0</v>
      </c>
      <c r="P6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0" s="67">
        <f>IF(Montageplatten[[#This Row],[Typ_winkel]]+Montageplatten[[#This Row],[Befest_Winkel]]=2,1,0)</f>
        <v>0</v>
      </c>
      <c r="S60" s="67">
        <f>IF(Montageplatten[[#This Row],[MPH Winkel]]+Montageplatten[[#This Row],[Typ_winkel]]+Montageplatten[[#This Row],[Befest_Winkel]]=3,1,0)</f>
        <v>0</v>
      </c>
      <c r="T60" s="295">
        <f ca="1">IF(select!$M$746=Montageplatten[[#This Row],[Höhe]],1,0)</f>
        <v>0</v>
      </c>
      <c r="U6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0" s="67">
        <f>IF(Montageplatten[[#This Row],[Typ Spezial]]+Montageplatten[[#This Row],[Befest Spezial]]=2,1,0)</f>
        <v>0</v>
      </c>
      <c r="X60" s="67">
        <f ca="1">IF(Montageplatten[[#This Row],[MPH Spezial]]+Montageplatten[[#This Row],[Typ Spezial]]+Montageplatten[[#This Row],[Befest Spezial]]=3,1,0)</f>
        <v>0</v>
      </c>
      <c r="Y60" s="67" t="e">
        <f ca="1">IF(Montageplatten[[#This Row],[AG Rand]]+IF(Montageplatten[[#This Row],[Höhe]]=select!$C$1212,1,0)=2,1,0)</f>
        <v>#VALUE!</v>
      </c>
      <c r="Z60" s="67" t="e">
        <f ca="1">IF(Montageplatten[[#This Row],[AG Rand]]+IF(Montageplatten[[#This Row],[Höhe]]=select!$E$1212,1,0)=2,1,0)</f>
        <v>#VALUE!</v>
      </c>
      <c r="AA60" s="67" t="e">
        <f ca="1">IF(Montageplatten[[#This Row],[AG Rand]]+IF(Montageplatten[[#This Row],[Höhe]]=select!$G$1212,1,0)=2,1,0)</f>
        <v>#VALUE!</v>
      </c>
      <c r="AB60" s="67" t="e">
        <f ca="1">IF(Montageplatten[[#This Row],[AG Rand]]+IF(Montageplatten[[#This Row],[Höhe]]=select!$I$1212,1,0)=2,1,0)</f>
        <v>#VALUE!</v>
      </c>
      <c r="AC6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0" s="67">
        <f>IF(Montageplatten[[#This Row],[AG Typ]]+Montageplatten[[#This Row],[AG Bef]]=2,1,0)</f>
        <v>0</v>
      </c>
      <c r="AG6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0" s="67">
        <f ca="1">IF(Montageplatten[[#This Row],[AG MPH]]+Montageplatten[[#This Row],[AG Typ]]+Montageplatten[[#This Row],[AG Bef]]=3,1,0)</f>
        <v>0</v>
      </c>
      <c r="AJ60" s="67">
        <f ca="1">IF(select!$K$980="*",Montageplatten[[#This Row],[AG Ges2]],Montageplatten[[#This Row],[AG Ges1]])</f>
        <v>0</v>
      </c>
      <c r="AK6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0" s="67">
        <f>IF(Montageplatten[[#This Row],[konf Typ]]+Montageplatten[[#This Row],[konf Befest]]=2,1,0)</f>
        <v>0</v>
      </c>
      <c r="AN6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0" s="67">
        <f ca="1">IF(Montageplatten[[#This Row],[konf Rahmenbed]]+Montageplatten[[#This Row],[konf MPH]]=2,1,0)</f>
        <v>0</v>
      </c>
      <c r="AP60" s="26" t="str">
        <f ca="1">Sprache!$A$137</f>
        <v>Eco Kreuz Mtg-Platte</v>
      </c>
      <c r="AQ60" t="s">
        <v>784</v>
      </c>
      <c r="AR60" t="str">
        <f ca="1">Sprache!$A$134</f>
        <v>Tiomos Montageplatten</v>
      </c>
      <c r="AS60" s="18">
        <v>1</v>
      </c>
      <c r="AT60" s="18">
        <v>0</v>
      </c>
      <c r="AU60" s="18">
        <v>0</v>
      </c>
      <c r="AV60" s="18">
        <v>0</v>
      </c>
      <c r="AW60" s="2">
        <v>0</v>
      </c>
      <c r="AX60" s="2">
        <v>0</v>
      </c>
      <c r="AY60" s="2">
        <v>0</v>
      </c>
      <c r="AZ60" s="2">
        <v>1</v>
      </c>
      <c r="BA60" s="2">
        <v>0</v>
      </c>
      <c r="BB60" s="2">
        <v>0</v>
      </c>
      <c r="BC60" s="2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3</v>
      </c>
      <c r="BJ60" s="11" t="s">
        <v>783</v>
      </c>
    </row>
    <row r="61" spans="1:62" ht="13.5" customHeight="1" x14ac:dyDescent="0.25">
      <c r="A61" s="24" t="str">
        <f t="shared" si="3"/>
        <v>F058</v>
      </c>
      <c r="B61" t="str">
        <f t="shared" si="4"/>
        <v>139</v>
      </c>
      <c r="C61" s="24" t="str">
        <f t="shared" si="5"/>
        <v>798</v>
      </c>
      <c r="D6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61" s="19">
        <f>IF(Montageplatten[[#This Row],[37/32]]=1,1,IF(Montageplatten[[#This Row],[28/32]]=1,2,0))</f>
        <v>2</v>
      </c>
      <c r="G6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1" s="19">
        <f>IF(Montageplatten[[#This Row],[Typ]]+Montageplatten[[#This Row],[Befestigung]]=2,1,0)</f>
        <v>1</v>
      </c>
      <c r="I61" s="19">
        <f>IF(Montageplatten[[#This Row],[Randbedingungen]]+IF(Montageplatten[[#This Row],[Höhe]]=select!$B$70,1,0)=2,1,0)</f>
        <v>0</v>
      </c>
      <c r="J61" s="19">
        <f>IF(Montageplatten[[#This Row],[Randbedingungen]]+IF(Montageplatten[[#This Row],[Höhe]]=select!$D$70,1,0)=2,1,0)</f>
        <v>0</v>
      </c>
      <c r="K61" s="19">
        <f>IF(Montageplatten[[#This Row],[Randbedingungen]]+IF(Montageplatten[[#This Row],[Höhe]]=select!$F$70,1,0)=2,1,0)</f>
        <v>0</v>
      </c>
      <c r="L61" s="19">
        <f>IF(Montageplatten[[#This Row],[Randbedingungen]]+IF(Montageplatten[[#This Row],[Höhe]]=select!$H$70,1,0)=2,1,0)</f>
        <v>0</v>
      </c>
      <c r="M6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1" s="67">
        <f>IF(select!$M$317=Montageplatten[[#This Row],[Höhe]],1,0)</f>
        <v>0</v>
      </c>
      <c r="P6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61" s="67">
        <f>IF(Montageplatten[[#This Row],[Typ_winkel]]+Montageplatten[[#This Row],[Befest_Winkel]]=2,1,0)</f>
        <v>1</v>
      </c>
      <c r="S61" s="67">
        <f>IF(Montageplatten[[#This Row],[MPH Winkel]]+Montageplatten[[#This Row],[Typ_winkel]]+Montageplatten[[#This Row],[Befest_Winkel]]=3,1,0)</f>
        <v>0</v>
      </c>
      <c r="T61" s="295">
        <f ca="1">IF(select!$M$746=Montageplatten[[#This Row],[Höhe]],1,0)</f>
        <v>0</v>
      </c>
      <c r="U6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61" s="67">
        <f>IF(Montageplatten[[#This Row],[Typ Spezial]]+Montageplatten[[#This Row],[Befest Spezial]]=2,1,0)</f>
        <v>1</v>
      </c>
      <c r="X61" s="67">
        <f ca="1">IF(Montageplatten[[#This Row],[MPH Spezial]]+Montageplatten[[#This Row],[Typ Spezial]]+Montageplatten[[#This Row],[Befest Spezial]]=3,1,0)</f>
        <v>0</v>
      </c>
      <c r="Y61" s="67" t="e">
        <f ca="1">IF(Montageplatten[[#This Row],[AG Rand]]+IF(Montageplatten[[#This Row],[Höhe]]=select!$C$1212,1,0)=2,1,0)</f>
        <v>#VALUE!</v>
      </c>
      <c r="Z61" s="67" t="e">
        <f ca="1">IF(Montageplatten[[#This Row],[AG Rand]]+IF(Montageplatten[[#This Row],[Höhe]]=select!$E$1212,1,0)=2,1,0)</f>
        <v>#VALUE!</v>
      </c>
      <c r="AA61" s="67" t="e">
        <f ca="1">IF(Montageplatten[[#This Row],[AG Rand]]+IF(Montageplatten[[#This Row],[Höhe]]=select!$G$1212,1,0)=2,1,0)</f>
        <v>#VALUE!</v>
      </c>
      <c r="AB61" s="67" t="e">
        <f ca="1">IF(Montageplatten[[#This Row],[AG Rand]]+IF(Montageplatten[[#This Row],[Höhe]]=select!$I$1212,1,0)=2,1,0)</f>
        <v>#VALUE!</v>
      </c>
      <c r="AC6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61" s="67">
        <f>IF(Montageplatten[[#This Row],[AG Typ]]+Montageplatten[[#This Row],[AG Bef]]=2,1,0)</f>
        <v>1</v>
      </c>
      <c r="AG6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1" s="67">
        <f ca="1">IF(Montageplatten[[#This Row],[AG MPH]]+Montageplatten[[#This Row],[AG Typ]]+Montageplatten[[#This Row],[AG Bef]]=3,1,0)</f>
        <v>0</v>
      </c>
      <c r="AJ61" s="67">
        <f ca="1">IF(select!$K$980="*",Montageplatten[[#This Row],[AG Ges2]],Montageplatten[[#This Row],[AG Ges1]])</f>
        <v>0</v>
      </c>
      <c r="AK6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61" s="67">
        <f>IF(Montageplatten[[#This Row],[konf Typ]]+Montageplatten[[#This Row],[konf Befest]]=2,1,0)</f>
        <v>1</v>
      </c>
      <c r="AN6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1" s="67">
        <f ca="1">IF(Montageplatten[[#This Row],[konf Rahmenbed]]+Montageplatten[[#This Row],[konf MPH]]=2,1,0)</f>
        <v>0</v>
      </c>
      <c r="AP61" s="26" t="str">
        <f ca="1">Sprache!$A$136</f>
        <v>1D Kreuz Mtg-Platte</v>
      </c>
      <c r="AQ61" t="s">
        <v>788</v>
      </c>
      <c r="AR61" t="str">
        <f ca="1">Sprache!$A$134</f>
        <v>Tiomos Montageplatten</v>
      </c>
      <c r="AS61" s="18">
        <v>1</v>
      </c>
      <c r="AT61" s="18">
        <v>0</v>
      </c>
      <c r="AU61" s="18">
        <v>0</v>
      </c>
      <c r="AV61" s="18">
        <v>0</v>
      </c>
      <c r="AW61" s="2">
        <v>0</v>
      </c>
      <c r="AX61" s="2">
        <v>1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>
        <v>0</v>
      </c>
      <c r="BE61">
        <v>1</v>
      </c>
      <c r="BF61">
        <v>0</v>
      </c>
      <c r="BG61">
        <v>0</v>
      </c>
      <c r="BH61">
        <v>0</v>
      </c>
      <c r="BI61">
        <v>3</v>
      </c>
      <c r="BJ61" s="11" t="s">
        <v>49</v>
      </c>
    </row>
    <row r="62" spans="1:62" ht="13.5" customHeight="1" x14ac:dyDescent="0.25">
      <c r="A62" s="24" t="str">
        <f t="shared" si="3"/>
        <v>F058</v>
      </c>
      <c r="B62" t="str">
        <f t="shared" si="4"/>
        <v>139</v>
      </c>
      <c r="C62" s="24" t="str">
        <f t="shared" si="5"/>
        <v>803</v>
      </c>
      <c r="D6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2" s="19">
        <f>IF(Montageplatten[[#This Row],[37/32]]=1,1,IF(Montageplatten[[#This Row],[28/32]]=1,2,0))</f>
        <v>2</v>
      </c>
      <c r="G6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2" s="19">
        <f>IF(Montageplatten[[#This Row],[Typ]]+Montageplatten[[#This Row],[Befestigung]]=2,1,0)</f>
        <v>0</v>
      </c>
      <c r="I62" s="19">
        <f>IF(Montageplatten[[#This Row],[Randbedingungen]]+IF(Montageplatten[[#This Row],[Höhe]]=select!$B$70,1,0)=2,1,0)</f>
        <v>0</v>
      </c>
      <c r="J62" s="19">
        <f>IF(Montageplatten[[#This Row],[Randbedingungen]]+IF(Montageplatten[[#This Row],[Höhe]]=select!$D$70,1,0)=2,1,0)</f>
        <v>0</v>
      </c>
      <c r="K62" s="19">
        <f>IF(Montageplatten[[#This Row],[Randbedingungen]]+IF(Montageplatten[[#This Row],[Höhe]]=select!$F$70,1,0)=2,1,0)</f>
        <v>0</v>
      </c>
      <c r="L62" s="19">
        <f>IF(Montageplatten[[#This Row],[Randbedingungen]]+IF(Montageplatten[[#This Row],[Höhe]]=select!$H$70,1,0)=2,1,0)</f>
        <v>0</v>
      </c>
      <c r="M6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2" s="67">
        <f>IF(select!$M$317=Montageplatten[[#This Row],[Höhe]],1,0)</f>
        <v>0</v>
      </c>
      <c r="P6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2" s="67">
        <f>IF(Montageplatten[[#This Row],[Typ_winkel]]+Montageplatten[[#This Row],[Befest_Winkel]]=2,1,0)</f>
        <v>0</v>
      </c>
      <c r="S62" s="67">
        <f>IF(Montageplatten[[#This Row],[MPH Winkel]]+Montageplatten[[#This Row],[Typ_winkel]]+Montageplatten[[#This Row],[Befest_Winkel]]=3,1,0)</f>
        <v>0</v>
      </c>
      <c r="T62" s="295">
        <f ca="1">IF(select!$M$746=Montageplatten[[#This Row],[Höhe]],1,0)</f>
        <v>0</v>
      </c>
      <c r="U6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2" s="67">
        <f>IF(Montageplatten[[#This Row],[Typ Spezial]]+Montageplatten[[#This Row],[Befest Spezial]]=2,1,0)</f>
        <v>0</v>
      </c>
      <c r="X62" s="67">
        <f ca="1">IF(Montageplatten[[#This Row],[MPH Spezial]]+Montageplatten[[#This Row],[Typ Spezial]]+Montageplatten[[#This Row],[Befest Spezial]]=3,1,0)</f>
        <v>0</v>
      </c>
      <c r="Y62" s="67" t="e">
        <f ca="1">IF(Montageplatten[[#This Row],[AG Rand]]+IF(Montageplatten[[#This Row],[Höhe]]=select!$C$1212,1,0)=2,1,0)</f>
        <v>#VALUE!</v>
      </c>
      <c r="Z62" s="67" t="e">
        <f ca="1">IF(Montageplatten[[#This Row],[AG Rand]]+IF(Montageplatten[[#This Row],[Höhe]]=select!$E$1212,1,0)=2,1,0)</f>
        <v>#VALUE!</v>
      </c>
      <c r="AA62" s="67" t="e">
        <f ca="1">IF(Montageplatten[[#This Row],[AG Rand]]+IF(Montageplatten[[#This Row],[Höhe]]=select!$G$1212,1,0)=2,1,0)</f>
        <v>#VALUE!</v>
      </c>
      <c r="AB62" s="67" t="e">
        <f ca="1">IF(Montageplatten[[#This Row],[AG Rand]]+IF(Montageplatten[[#This Row],[Höhe]]=select!$I$1212,1,0)=2,1,0)</f>
        <v>#VALUE!</v>
      </c>
      <c r="AC6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2" s="67">
        <f>IF(Montageplatten[[#This Row],[AG Typ]]+Montageplatten[[#This Row],[AG Bef]]=2,1,0)</f>
        <v>0</v>
      </c>
      <c r="AG6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2" s="67">
        <f ca="1">IF(Montageplatten[[#This Row],[AG MPH]]+Montageplatten[[#This Row],[AG Typ]]+Montageplatten[[#This Row],[AG Bef]]=3,1,0)</f>
        <v>0</v>
      </c>
      <c r="AJ62" s="67">
        <f ca="1">IF(select!$K$980="*",Montageplatten[[#This Row],[AG Ges2]],Montageplatten[[#This Row],[AG Ges1]])</f>
        <v>0</v>
      </c>
      <c r="AK6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2" s="67">
        <f>IF(Montageplatten[[#This Row],[konf Typ]]+Montageplatten[[#This Row],[konf Befest]]=2,1,0)</f>
        <v>0</v>
      </c>
      <c r="AN6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2" s="67">
        <f ca="1">IF(Montageplatten[[#This Row],[konf Rahmenbed]]+Montageplatten[[#This Row],[konf MPH]]=2,1,0)</f>
        <v>0</v>
      </c>
      <c r="AP62" s="26" t="str">
        <f ca="1">Sprache!$A$136</f>
        <v>1D Kreuz Mtg-Platte</v>
      </c>
      <c r="AQ62" t="s">
        <v>794</v>
      </c>
      <c r="AR62" t="str">
        <f ca="1">Sprache!$A$134</f>
        <v>Tiomos Montageplatten</v>
      </c>
      <c r="AS62" s="18">
        <v>1</v>
      </c>
      <c r="AT62" s="18">
        <v>0</v>
      </c>
      <c r="AU62" s="18">
        <v>0</v>
      </c>
      <c r="AV62" s="18">
        <v>0</v>
      </c>
      <c r="AW62" s="2">
        <v>1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3</v>
      </c>
      <c r="BJ62" s="11" t="s">
        <v>793</v>
      </c>
    </row>
    <row r="63" spans="1:62" ht="13.5" customHeight="1" x14ac:dyDescent="0.25">
      <c r="A63" s="24" t="str">
        <f t="shared" si="3"/>
        <v>F058</v>
      </c>
      <c r="B63" t="str">
        <f t="shared" si="4"/>
        <v>139</v>
      </c>
      <c r="C63" s="24" t="str">
        <f t="shared" si="5"/>
        <v>813</v>
      </c>
      <c r="D6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3" s="19">
        <f>IF(Montageplatten[[#This Row],[37/32]]=1,1,IF(Montageplatten[[#This Row],[28/32]]=1,2,0))</f>
        <v>2</v>
      </c>
      <c r="G6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3" s="19">
        <f>IF(Montageplatten[[#This Row],[Typ]]+Montageplatten[[#This Row],[Befestigung]]=2,1,0)</f>
        <v>0</v>
      </c>
      <c r="I63" s="19">
        <f>IF(Montageplatten[[#This Row],[Randbedingungen]]+IF(Montageplatten[[#This Row],[Höhe]]=select!$B$70,1,0)=2,1,0)</f>
        <v>0</v>
      </c>
      <c r="J63" s="19">
        <f>IF(Montageplatten[[#This Row],[Randbedingungen]]+IF(Montageplatten[[#This Row],[Höhe]]=select!$D$70,1,0)=2,1,0)</f>
        <v>0</v>
      </c>
      <c r="K63" s="19">
        <f>IF(Montageplatten[[#This Row],[Randbedingungen]]+IF(Montageplatten[[#This Row],[Höhe]]=select!$F$70,1,0)=2,1,0)</f>
        <v>0</v>
      </c>
      <c r="L63" s="19">
        <f>IF(Montageplatten[[#This Row],[Randbedingungen]]+IF(Montageplatten[[#This Row],[Höhe]]=select!$H$70,1,0)=2,1,0)</f>
        <v>0</v>
      </c>
      <c r="M6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3" s="67">
        <f>IF(select!$M$317=Montageplatten[[#This Row],[Höhe]],1,0)</f>
        <v>0</v>
      </c>
      <c r="P6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3" s="67">
        <f>IF(Montageplatten[[#This Row],[Typ_winkel]]+Montageplatten[[#This Row],[Befest_Winkel]]=2,1,0)</f>
        <v>0</v>
      </c>
      <c r="S63" s="67">
        <f>IF(Montageplatten[[#This Row],[MPH Winkel]]+Montageplatten[[#This Row],[Typ_winkel]]+Montageplatten[[#This Row],[Befest_Winkel]]=3,1,0)</f>
        <v>0</v>
      </c>
      <c r="T63" s="295">
        <f ca="1">IF(select!$M$746=Montageplatten[[#This Row],[Höhe]],1,0)</f>
        <v>0</v>
      </c>
      <c r="U6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3" s="67">
        <f>IF(Montageplatten[[#This Row],[Typ Spezial]]+Montageplatten[[#This Row],[Befest Spezial]]=2,1,0)</f>
        <v>0</v>
      </c>
      <c r="X63" s="67">
        <f ca="1">IF(Montageplatten[[#This Row],[MPH Spezial]]+Montageplatten[[#This Row],[Typ Spezial]]+Montageplatten[[#This Row],[Befest Spezial]]=3,1,0)</f>
        <v>0</v>
      </c>
      <c r="Y63" s="67" t="e">
        <f ca="1">IF(Montageplatten[[#This Row],[AG Rand]]+IF(Montageplatten[[#This Row],[Höhe]]=select!$C$1212,1,0)=2,1,0)</f>
        <v>#VALUE!</v>
      </c>
      <c r="Z63" s="67" t="e">
        <f ca="1">IF(Montageplatten[[#This Row],[AG Rand]]+IF(Montageplatten[[#This Row],[Höhe]]=select!$E$1212,1,0)=2,1,0)</f>
        <v>#VALUE!</v>
      </c>
      <c r="AA63" s="67" t="e">
        <f ca="1">IF(Montageplatten[[#This Row],[AG Rand]]+IF(Montageplatten[[#This Row],[Höhe]]=select!$G$1212,1,0)=2,1,0)</f>
        <v>#VALUE!</v>
      </c>
      <c r="AB63" s="67" t="e">
        <f ca="1">IF(Montageplatten[[#This Row],[AG Rand]]+IF(Montageplatten[[#This Row],[Höhe]]=select!$I$1212,1,0)=2,1,0)</f>
        <v>#VALUE!</v>
      </c>
      <c r="AC6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3" s="67">
        <f>IF(Montageplatten[[#This Row],[AG Typ]]+Montageplatten[[#This Row],[AG Bef]]=2,1,0)</f>
        <v>0</v>
      </c>
      <c r="AG6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3" s="67">
        <f ca="1">IF(Montageplatten[[#This Row],[AG MPH]]+Montageplatten[[#This Row],[AG Typ]]+Montageplatten[[#This Row],[AG Bef]]=3,1,0)</f>
        <v>0</v>
      </c>
      <c r="AJ63" s="67">
        <f ca="1">IF(select!$K$980="*",Montageplatten[[#This Row],[AG Ges2]],Montageplatten[[#This Row],[AG Ges1]])</f>
        <v>0</v>
      </c>
      <c r="AK6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3" s="67">
        <f>IF(Montageplatten[[#This Row],[konf Typ]]+Montageplatten[[#This Row],[konf Befest]]=2,1,0)</f>
        <v>0</v>
      </c>
      <c r="AN6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3" s="67">
        <f ca="1">IF(Montageplatten[[#This Row],[konf Rahmenbed]]+Montageplatten[[#This Row],[konf MPH]]=2,1,0)</f>
        <v>0</v>
      </c>
      <c r="AP63" s="26" t="str">
        <f ca="1">Sprache!$A$136</f>
        <v>1D Kreuz Mtg-Platte</v>
      </c>
      <c r="AQ63" t="str">
        <f ca="1">"H 03, "&amp;Sprache!A71&amp;", ni /28"</f>
        <v>H 03, vorm. Euro, ni /28</v>
      </c>
      <c r="AR63" t="str">
        <f ca="1">Sprache!$A$134</f>
        <v>Tiomos Montageplatten</v>
      </c>
      <c r="AS63" s="18">
        <v>1</v>
      </c>
      <c r="AT63" s="18">
        <v>0</v>
      </c>
      <c r="AU63" s="18">
        <v>0</v>
      </c>
      <c r="AV63" s="18">
        <v>0</v>
      </c>
      <c r="AW63" s="2">
        <v>0</v>
      </c>
      <c r="AX63" s="2">
        <v>0</v>
      </c>
      <c r="AY63" s="2">
        <v>0</v>
      </c>
      <c r="AZ63" s="2">
        <v>1</v>
      </c>
      <c r="BA63" s="2">
        <v>0</v>
      </c>
      <c r="BB63" s="2">
        <v>0</v>
      </c>
      <c r="BC63" s="2">
        <v>0</v>
      </c>
      <c r="BD63">
        <v>0</v>
      </c>
      <c r="BE63">
        <v>1</v>
      </c>
      <c r="BF63">
        <v>0</v>
      </c>
      <c r="BG63">
        <v>0</v>
      </c>
      <c r="BH63">
        <v>0</v>
      </c>
      <c r="BI63">
        <v>3</v>
      </c>
      <c r="BJ63" s="11" t="s">
        <v>798</v>
      </c>
    </row>
    <row r="64" spans="1:62" ht="13.5" customHeight="1" x14ac:dyDescent="0.25">
      <c r="A64" s="24" t="str">
        <f t="shared" si="3"/>
        <v>F058</v>
      </c>
      <c r="B64" t="str">
        <f t="shared" si="4"/>
        <v>139</v>
      </c>
      <c r="C64" s="24" t="str">
        <f t="shared" si="5"/>
        <v>860</v>
      </c>
      <c r="D6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4" s="19">
        <f>IF(Montageplatten[[#This Row],[37/32]]=1,1,IF(Montageplatten[[#This Row],[28/32]]=1,2,0))</f>
        <v>1</v>
      </c>
      <c r="G6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4" s="19">
        <f>IF(Montageplatten[[#This Row],[Typ]]+Montageplatten[[#This Row],[Befestigung]]=2,1,0)</f>
        <v>0</v>
      </c>
      <c r="I64" s="19">
        <f>IF(Montageplatten[[#This Row],[Randbedingungen]]+IF(Montageplatten[[#This Row],[Höhe]]=select!$B$70,1,0)=2,1,0)</f>
        <v>0</v>
      </c>
      <c r="J64" s="19">
        <f>IF(Montageplatten[[#This Row],[Randbedingungen]]+IF(Montageplatten[[#This Row],[Höhe]]=select!$D$70,1,0)=2,1,0)</f>
        <v>0</v>
      </c>
      <c r="K64" s="19">
        <f>IF(Montageplatten[[#This Row],[Randbedingungen]]+IF(Montageplatten[[#This Row],[Höhe]]=select!$F$70,1,0)=2,1,0)</f>
        <v>0</v>
      </c>
      <c r="L64" s="19">
        <f>IF(Montageplatten[[#This Row],[Randbedingungen]]+IF(Montageplatten[[#This Row],[Höhe]]=select!$H$70,1,0)=2,1,0)</f>
        <v>0</v>
      </c>
      <c r="M6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4" s="67">
        <f>IF(select!$M$317=Montageplatten[[#This Row],[Höhe]],1,0)</f>
        <v>0</v>
      </c>
      <c r="P6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4" s="67">
        <f>IF(Montageplatten[[#This Row],[Typ_winkel]]+Montageplatten[[#This Row],[Befest_Winkel]]=2,1,0)</f>
        <v>0</v>
      </c>
      <c r="S64" s="67">
        <f>IF(Montageplatten[[#This Row],[MPH Winkel]]+Montageplatten[[#This Row],[Typ_winkel]]+Montageplatten[[#This Row],[Befest_Winkel]]=3,1,0)</f>
        <v>0</v>
      </c>
      <c r="T64" s="295">
        <f ca="1">IF(select!$M$746=Montageplatten[[#This Row],[Höhe]],1,0)</f>
        <v>0</v>
      </c>
      <c r="U6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4" s="67">
        <f>IF(Montageplatten[[#This Row],[Typ Spezial]]+Montageplatten[[#This Row],[Befest Spezial]]=2,1,0)</f>
        <v>0</v>
      </c>
      <c r="X64" s="67">
        <f ca="1">IF(Montageplatten[[#This Row],[MPH Spezial]]+Montageplatten[[#This Row],[Typ Spezial]]+Montageplatten[[#This Row],[Befest Spezial]]=3,1,0)</f>
        <v>0</v>
      </c>
      <c r="Y64" s="67" t="e">
        <f ca="1">IF(Montageplatten[[#This Row],[AG Rand]]+IF(Montageplatten[[#This Row],[Höhe]]=select!$C$1212,1,0)=2,1,0)</f>
        <v>#VALUE!</v>
      </c>
      <c r="Z64" s="67" t="e">
        <f ca="1">IF(Montageplatten[[#This Row],[AG Rand]]+IF(Montageplatten[[#This Row],[Höhe]]=select!$E$1212,1,0)=2,1,0)</f>
        <v>#VALUE!</v>
      </c>
      <c r="AA64" s="67" t="e">
        <f ca="1">IF(Montageplatten[[#This Row],[AG Rand]]+IF(Montageplatten[[#This Row],[Höhe]]=select!$G$1212,1,0)=2,1,0)</f>
        <v>#VALUE!</v>
      </c>
      <c r="AB64" s="67" t="e">
        <f ca="1">IF(Montageplatten[[#This Row],[AG Rand]]+IF(Montageplatten[[#This Row],[Höhe]]=select!$I$1212,1,0)=2,1,0)</f>
        <v>#VALUE!</v>
      </c>
      <c r="AC6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4" s="67">
        <f>IF(Montageplatten[[#This Row],[AG Typ]]+Montageplatten[[#This Row],[AG Bef]]=2,1,0)</f>
        <v>0</v>
      </c>
      <c r="AG6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4" s="67">
        <f ca="1">IF(Montageplatten[[#This Row],[AG MPH]]+Montageplatten[[#This Row],[AG Typ]]+Montageplatten[[#This Row],[AG Bef]]=3,1,0)</f>
        <v>0</v>
      </c>
      <c r="AJ64" s="67">
        <f ca="1">IF(select!$K$980="*",Montageplatten[[#This Row],[AG Ges2]],Montageplatten[[#This Row],[AG Ges1]])</f>
        <v>0</v>
      </c>
      <c r="AK6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4" s="67">
        <f>IF(Montageplatten[[#This Row],[konf Typ]]+Montageplatten[[#This Row],[konf Befest]]=2,1,0)</f>
        <v>0</v>
      </c>
      <c r="AN6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4" s="67">
        <f ca="1">IF(Montageplatten[[#This Row],[konf Rahmenbed]]+Montageplatten[[#This Row],[konf MPH]]=2,1,0)</f>
        <v>0</v>
      </c>
      <c r="AP64" s="26" t="str">
        <f ca="1">Sprache!$A$137</f>
        <v>Eco Kreuz Mtg-Platte</v>
      </c>
      <c r="AQ64" t="s">
        <v>807</v>
      </c>
      <c r="AR64" t="str">
        <f ca="1">Sprache!$A$134</f>
        <v>Tiomos Montageplatten</v>
      </c>
      <c r="AS64" s="18">
        <v>1</v>
      </c>
      <c r="AT64" s="18">
        <v>0</v>
      </c>
      <c r="AU64" s="18">
        <v>0</v>
      </c>
      <c r="AV64" s="18">
        <v>0</v>
      </c>
      <c r="AW64" s="2">
        <v>0</v>
      </c>
      <c r="AX64" s="2">
        <v>0</v>
      </c>
      <c r="AY64" s="2">
        <v>0</v>
      </c>
      <c r="AZ64" s="2">
        <v>0</v>
      </c>
      <c r="BA64" s="2">
        <v>1</v>
      </c>
      <c r="BB64" s="2">
        <v>0</v>
      </c>
      <c r="BC64" s="2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3</v>
      </c>
      <c r="BJ64" s="11" t="s">
        <v>806</v>
      </c>
    </row>
    <row r="65" spans="1:62" ht="13.5" customHeight="1" x14ac:dyDescent="0.25">
      <c r="A65" s="24" t="str">
        <f t="shared" si="3"/>
        <v>F058</v>
      </c>
      <c r="B65" t="str">
        <f t="shared" si="4"/>
        <v>139</v>
      </c>
      <c r="C65" s="24" t="str">
        <f t="shared" si="5"/>
        <v>865</v>
      </c>
      <c r="D6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5" s="19">
        <f>IF(Montageplatten[[#This Row],[37/32]]=1,1,IF(Montageplatten[[#This Row],[28/32]]=1,2,0))</f>
        <v>1</v>
      </c>
      <c r="G6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5" s="19">
        <f>IF(Montageplatten[[#This Row],[Typ]]+Montageplatten[[#This Row],[Befestigung]]=2,1,0)</f>
        <v>0</v>
      </c>
      <c r="I65" s="19">
        <f>IF(Montageplatten[[#This Row],[Randbedingungen]]+IF(Montageplatten[[#This Row],[Höhe]]=select!$B$70,1,0)=2,1,0)</f>
        <v>0</v>
      </c>
      <c r="J65" s="19">
        <f>IF(Montageplatten[[#This Row],[Randbedingungen]]+IF(Montageplatten[[#This Row],[Höhe]]=select!$D$70,1,0)=2,1,0)</f>
        <v>0</v>
      </c>
      <c r="K65" s="19">
        <f>IF(Montageplatten[[#This Row],[Randbedingungen]]+IF(Montageplatten[[#This Row],[Höhe]]=select!$F$70,1,0)=2,1,0)</f>
        <v>0</v>
      </c>
      <c r="L65" s="19">
        <f>IF(Montageplatten[[#This Row],[Randbedingungen]]+IF(Montageplatten[[#This Row],[Höhe]]=select!$H$70,1,0)=2,1,0)</f>
        <v>0</v>
      </c>
      <c r="M6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5" s="67">
        <f>IF(select!$M$317=Montageplatten[[#This Row],[Höhe]],1,0)</f>
        <v>0</v>
      </c>
      <c r="P6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5" s="67">
        <f>IF(Montageplatten[[#This Row],[Typ_winkel]]+Montageplatten[[#This Row],[Befest_Winkel]]=2,1,0)</f>
        <v>0</v>
      </c>
      <c r="S65" s="67">
        <f>IF(Montageplatten[[#This Row],[MPH Winkel]]+Montageplatten[[#This Row],[Typ_winkel]]+Montageplatten[[#This Row],[Befest_Winkel]]=3,1,0)</f>
        <v>0</v>
      </c>
      <c r="T65" s="295">
        <f ca="1">IF(select!$M$746=Montageplatten[[#This Row],[Höhe]],1,0)</f>
        <v>0</v>
      </c>
      <c r="U6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5" s="67">
        <f>IF(Montageplatten[[#This Row],[Typ Spezial]]+Montageplatten[[#This Row],[Befest Spezial]]=2,1,0)</f>
        <v>0</v>
      </c>
      <c r="X65" s="67">
        <f ca="1">IF(Montageplatten[[#This Row],[MPH Spezial]]+Montageplatten[[#This Row],[Typ Spezial]]+Montageplatten[[#This Row],[Befest Spezial]]=3,1,0)</f>
        <v>0</v>
      </c>
      <c r="Y65" s="67" t="e">
        <f ca="1">IF(Montageplatten[[#This Row],[AG Rand]]+IF(Montageplatten[[#This Row],[Höhe]]=select!$C$1212,1,0)=2,1,0)</f>
        <v>#VALUE!</v>
      </c>
      <c r="Z65" s="67" t="e">
        <f ca="1">IF(Montageplatten[[#This Row],[AG Rand]]+IF(Montageplatten[[#This Row],[Höhe]]=select!$E$1212,1,0)=2,1,0)</f>
        <v>#VALUE!</v>
      </c>
      <c r="AA65" s="67" t="e">
        <f ca="1">IF(Montageplatten[[#This Row],[AG Rand]]+IF(Montageplatten[[#This Row],[Höhe]]=select!$G$1212,1,0)=2,1,0)</f>
        <v>#VALUE!</v>
      </c>
      <c r="AB65" s="67" t="e">
        <f ca="1">IF(Montageplatten[[#This Row],[AG Rand]]+IF(Montageplatten[[#This Row],[Höhe]]=select!$I$1212,1,0)=2,1,0)</f>
        <v>#VALUE!</v>
      </c>
      <c r="AC6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5" s="67">
        <f>IF(Montageplatten[[#This Row],[AG Typ]]+Montageplatten[[#This Row],[AG Bef]]=2,1,0)</f>
        <v>0</v>
      </c>
      <c r="AG6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5" s="67">
        <f ca="1">IF(Montageplatten[[#This Row],[AG MPH]]+Montageplatten[[#This Row],[AG Typ]]+Montageplatten[[#This Row],[AG Bef]]=3,1,0)</f>
        <v>0</v>
      </c>
      <c r="AJ65" s="67">
        <f ca="1">IF(select!$K$980="*",Montageplatten[[#This Row],[AG Ges2]],Montageplatten[[#This Row],[AG Ges1]])</f>
        <v>0</v>
      </c>
      <c r="AK6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5" s="67">
        <f>IF(Montageplatten[[#This Row],[konf Typ]]+Montageplatten[[#This Row],[konf Befest]]=2,1,0)</f>
        <v>0</v>
      </c>
      <c r="AN6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5" s="67">
        <f ca="1">IF(Montageplatten[[#This Row],[konf Rahmenbed]]+Montageplatten[[#This Row],[konf MPH]]=2,1,0)</f>
        <v>0</v>
      </c>
      <c r="AP65" s="26" t="str">
        <f ca="1">Sprache!$A$136</f>
        <v>1D Kreuz Mtg-Platte</v>
      </c>
      <c r="AQ65" t="str">
        <f ca="1">"H 03, "&amp;Sprache!A72&amp;", ni /37"</f>
        <v>H 03, vorm. Euro kurz, ni /37</v>
      </c>
      <c r="AR65" t="str">
        <f ca="1">Sprache!$A$134</f>
        <v>Tiomos Montageplatten</v>
      </c>
      <c r="AS65" s="18">
        <v>1</v>
      </c>
      <c r="AT65" s="18">
        <v>0</v>
      </c>
      <c r="AU65" s="18">
        <v>0</v>
      </c>
      <c r="AV65" s="18">
        <v>0</v>
      </c>
      <c r="AW65" s="2">
        <v>0</v>
      </c>
      <c r="AX65" s="2">
        <v>0</v>
      </c>
      <c r="AY65" s="2">
        <v>0</v>
      </c>
      <c r="AZ65" s="2">
        <v>0</v>
      </c>
      <c r="BA65" s="2">
        <v>1</v>
      </c>
      <c r="BB65" s="2">
        <v>0</v>
      </c>
      <c r="BC65" s="2">
        <v>0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3</v>
      </c>
      <c r="BJ65" s="11" t="s">
        <v>811</v>
      </c>
    </row>
    <row r="66" spans="1:62" ht="13.5" customHeight="1" x14ac:dyDescent="0.25">
      <c r="A66" s="24" t="str">
        <f t="shared" ref="A66:A97" si="6">LEFT(BJ66,4)</f>
        <v>F059</v>
      </c>
      <c r="B66" t="str">
        <f t="shared" ref="B66:B97" si="7">MID(BJ66,5,3)</f>
        <v>139</v>
      </c>
      <c r="C66" s="24" t="str">
        <f t="shared" ref="C66:C97" si="8">RIGHT(BJ66,3)</f>
        <v>703</v>
      </c>
      <c r="D66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6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66" s="19">
        <f>IF(Montageplatten[[#This Row],[37/32]]=1,1,IF(Montageplatten[[#This Row],[28/32]]=1,2,0))</f>
        <v>0</v>
      </c>
      <c r="G6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6" s="19">
        <f>IF(Montageplatten[[#This Row],[Typ]]+Montageplatten[[#This Row],[Befestigung]]=2,1,0)</f>
        <v>0</v>
      </c>
      <c r="I66" s="19">
        <f>IF(Montageplatten[[#This Row],[Randbedingungen]]+IF(Montageplatten[[#This Row],[Höhe]]=select!$B$70,1,0)=2,1,0)</f>
        <v>0</v>
      </c>
      <c r="J66" s="19">
        <f>IF(Montageplatten[[#This Row],[Randbedingungen]]+IF(Montageplatten[[#This Row],[Höhe]]=select!$D$70,1,0)=2,1,0)</f>
        <v>0</v>
      </c>
      <c r="K66" s="19">
        <f>IF(Montageplatten[[#This Row],[Randbedingungen]]+IF(Montageplatten[[#This Row],[Höhe]]=select!$F$70,1,0)=2,1,0)</f>
        <v>0</v>
      </c>
      <c r="L66" s="19">
        <f>IF(Montageplatten[[#This Row],[Randbedingungen]]+IF(Montageplatten[[#This Row],[Höhe]]=select!$H$70,1,0)=2,1,0)</f>
        <v>0</v>
      </c>
      <c r="M6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6" s="67">
        <f>IF(select!$M$317=Montageplatten[[#This Row],[Höhe]],1,0)</f>
        <v>0</v>
      </c>
      <c r="P66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6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66" s="67">
        <f>IF(Montageplatten[[#This Row],[Typ_winkel]]+Montageplatten[[#This Row],[Befest_Winkel]]=2,1,0)</f>
        <v>0</v>
      </c>
      <c r="S66" s="67">
        <f>IF(Montageplatten[[#This Row],[MPH Winkel]]+Montageplatten[[#This Row],[Typ_winkel]]+Montageplatten[[#This Row],[Befest_Winkel]]=3,1,0)</f>
        <v>0</v>
      </c>
      <c r="T66" s="295">
        <f ca="1">IF(select!$M$746=Montageplatten[[#This Row],[Höhe]],1,0)</f>
        <v>0</v>
      </c>
      <c r="U66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6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66" s="67">
        <f>IF(Montageplatten[[#This Row],[Typ Spezial]]+Montageplatten[[#This Row],[Befest Spezial]]=2,1,0)</f>
        <v>0</v>
      </c>
      <c r="X66" s="67">
        <f ca="1">IF(Montageplatten[[#This Row],[MPH Spezial]]+Montageplatten[[#This Row],[Typ Spezial]]+Montageplatten[[#This Row],[Befest Spezial]]=3,1,0)</f>
        <v>0</v>
      </c>
      <c r="Y66" s="67" t="e">
        <f ca="1">IF(Montageplatten[[#This Row],[AG Rand]]+IF(Montageplatten[[#This Row],[Höhe]]=select!$C$1212,1,0)=2,1,0)</f>
        <v>#VALUE!</v>
      </c>
      <c r="Z66" s="67" t="e">
        <f ca="1">IF(Montageplatten[[#This Row],[AG Rand]]+IF(Montageplatten[[#This Row],[Höhe]]=select!$E$1212,1,0)=2,1,0)</f>
        <v>#VALUE!</v>
      </c>
      <c r="AA66" s="67" t="e">
        <f ca="1">IF(Montageplatten[[#This Row],[AG Rand]]+IF(Montageplatten[[#This Row],[Höhe]]=select!$G$1212,1,0)=2,1,0)</f>
        <v>#VALUE!</v>
      </c>
      <c r="AB66" s="67" t="e">
        <f ca="1">IF(Montageplatten[[#This Row],[AG Rand]]+IF(Montageplatten[[#This Row],[Höhe]]=select!$I$1212,1,0)=2,1,0)</f>
        <v>#VALUE!</v>
      </c>
      <c r="AC6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6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6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66" s="67">
        <f>IF(Montageplatten[[#This Row],[AG Typ]]+Montageplatten[[#This Row],[AG Bef]]=2,1,0)</f>
        <v>0</v>
      </c>
      <c r="AG6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6" s="67">
        <f ca="1">IF(Montageplatten[[#This Row],[AG MPH]]+Montageplatten[[#This Row],[AG Typ]]+Montageplatten[[#This Row],[AG Bef]]=3,1,0)</f>
        <v>0</v>
      </c>
      <c r="AJ66" s="67">
        <f ca="1">IF(select!$K$980="*",Montageplatten[[#This Row],[AG Ges2]],Montageplatten[[#This Row],[AG Ges1]])</f>
        <v>0</v>
      </c>
      <c r="AK66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6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66" s="67">
        <f>IF(Montageplatten[[#This Row],[konf Typ]]+Montageplatten[[#This Row],[konf Befest]]=2,1,0)</f>
        <v>0</v>
      </c>
      <c r="AN6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6" s="67">
        <f ca="1">IF(Montageplatten[[#This Row],[konf Rahmenbed]]+Montageplatten[[#This Row],[konf MPH]]=2,1,0)</f>
        <v>0</v>
      </c>
      <c r="AP66" s="26" t="str">
        <f ca="1">Sprache!$A$139</f>
        <v>1D Linear Mtg-Platte</v>
      </c>
      <c r="AQ66" t="s">
        <v>848</v>
      </c>
      <c r="AR66" t="str">
        <f ca="1">Sprache!$A$134</f>
        <v>Tiomos Montageplatten</v>
      </c>
      <c r="AS66" s="18">
        <v>0</v>
      </c>
      <c r="AT66" s="18">
        <v>1</v>
      </c>
      <c r="AU66" s="18">
        <v>0</v>
      </c>
      <c r="AV66" s="18">
        <v>0</v>
      </c>
      <c r="AW66" s="2">
        <v>0</v>
      </c>
      <c r="AX66" s="2">
        <v>1</v>
      </c>
      <c r="AY66" s="2">
        <v>1</v>
      </c>
      <c r="AZ66" s="2">
        <v>0</v>
      </c>
      <c r="BA66" s="2">
        <v>0</v>
      </c>
      <c r="BB66" s="2">
        <v>0</v>
      </c>
      <c r="BC66" s="2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3</v>
      </c>
      <c r="BJ66" s="11" t="s">
        <v>847</v>
      </c>
    </row>
    <row r="67" spans="1:62" ht="13.5" customHeight="1" x14ac:dyDescent="0.25">
      <c r="A67" s="24" t="str">
        <f t="shared" si="6"/>
        <v>F059</v>
      </c>
      <c r="B67" t="str">
        <f t="shared" si="7"/>
        <v>139</v>
      </c>
      <c r="C67" s="24" t="str">
        <f t="shared" si="8"/>
        <v>708</v>
      </c>
      <c r="D67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6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7" s="19">
        <f>IF(Montageplatten[[#This Row],[37/32]]=1,1,IF(Montageplatten[[#This Row],[28/32]]=1,2,0))</f>
        <v>0</v>
      </c>
      <c r="G6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7" s="19">
        <f>IF(Montageplatten[[#This Row],[Typ]]+Montageplatten[[#This Row],[Befestigung]]=2,1,0)</f>
        <v>0</v>
      </c>
      <c r="I67" s="19">
        <f>IF(Montageplatten[[#This Row],[Randbedingungen]]+IF(Montageplatten[[#This Row],[Höhe]]=select!$B$70,1,0)=2,1,0)</f>
        <v>0</v>
      </c>
      <c r="J67" s="19">
        <f>IF(Montageplatten[[#This Row],[Randbedingungen]]+IF(Montageplatten[[#This Row],[Höhe]]=select!$D$70,1,0)=2,1,0)</f>
        <v>0</v>
      </c>
      <c r="K67" s="19">
        <f>IF(Montageplatten[[#This Row],[Randbedingungen]]+IF(Montageplatten[[#This Row],[Höhe]]=select!$F$70,1,0)=2,1,0)</f>
        <v>0</v>
      </c>
      <c r="L67" s="19">
        <f>IF(Montageplatten[[#This Row],[Randbedingungen]]+IF(Montageplatten[[#This Row],[Höhe]]=select!$H$70,1,0)=2,1,0)</f>
        <v>0</v>
      </c>
      <c r="M6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7" s="67">
        <f>IF(select!$M$317=Montageplatten[[#This Row],[Höhe]],1,0)</f>
        <v>0</v>
      </c>
      <c r="P67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6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7" s="67">
        <f>IF(Montageplatten[[#This Row],[Typ_winkel]]+Montageplatten[[#This Row],[Befest_Winkel]]=2,1,0)</f>
        <v>0</v>
      </c>
      <c r="S67" s="67">
        <f>IF(Montageplatten[[#This Row],[MPH Winkel]]+Montageplatten[[#This Row],[Typ_winkel]]+Montageplatten[[#This Row],[Befest_Winkel]]=3,1,0)</f>
        <v>0</v>
      </c>
      <c r="T67" s="295">
        <f ca="1">IF(select!$M$746=Montageplatten[[#This Row],[Höhe]],1,0)</f>
        <v>0</v>
      </c>
      <c r="U67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6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7" s="67">
        <f>IF(Montageplatten[[#This Row],[Typ Spezial]]+Montageplatten[[#This Row],[Befest Spezial]]=2,1,0)</f>
        <v>0</v>
      </c>
      <c r="X67" s="67">
        <f ca="1">IF(Montageplatten[[#This Row],[MPH Spezial]]+Montageplatten[[#This Row],[Typ Spezial]]+Montageplatten[[#This Row],[Befest Spezial]]=3,1,0)</f>
        <v>0</v>
      </c>
      <c r="Y67" s="67" t="e">
        <f ca="1">IF(Montageplatten[[#This Row],[AG Rand]]+IF(Montageplatten[[#This Row],[Höhe]]=select!$C$1212,1,0)=2,1,0)</f>
        <v>#VALUE!</v>
      </c>
      <c r="Z67" s="67" t="e">
        <f ca="1">IF(Montageplatten[[#This Row],[AG Rand]]+IF(Montageplatten[[#This Row],[Höhe]]=select!$E$1212,1,0)=2,1,0)</f>
        <v>#VALUE!</v>
      </c>
      <c r="AA67" s="67" t="e">
        <f ca="1">IF(Montageplatten[[#This Row],[AG Rand]]+IF(Montageplatten[[#This Row],[Höhe]]=select!$G$1212,1,0)=2,1,0)</f>
        <v>#VALUE!</v>
      </c>
      <c r="AB67" s="67" t="e">
        <f ca="1">IF(Montageplatten[[#This Row],[AG Rand]]+IF(Montageplatten[[#This Row],[Höhe]]=select!$I$1212,1,0)=2,1,0)</f>
        <v>#VALUE!</v>
      </c>
      <c r="AC6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7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6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7" s="67">
        <f>IF(Montageplatten[[#This Row],[AG Typ]]+Montageplatten[[#This Row],[AG Bef]]=2,1,0)</f>
        <v>0</v>
      </c>
      <c r="AG6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7" s="67">
        <f ca="1">IF(Montageplatten[[#This Row],[AG MPH]]+Montageplatten[[#This Row],[AG Typ]]+Montageplatten[[#This Row],[AG Bef]]=3,1,0)</f>
        <v>0</v>
      </c>
      <c r="AJ67" s="67">
        <f ca="1">IF(select!$K$980="*",Montageplatten[[#This Row],[AG Ges2]],Montageplatten[[#This Row],[AG Ges1]])</f>
        <v>0</v>
      </c>
      <c r="AK67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6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7" s="67">
        <f>IF(Montageplatten[[#This Row],[konf Typ]]+Montageplatten[[#This Row],[konf Befest]]=2,1,0)</f>
        <v>0</v>
      </c>
      <c r="AN6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7" s="67">
        <f ca="1">IF(Montageplatten[[#This Row],[konf Rahmenbed]]+Montageplatten[[#This Row],[konf MPH]]=2,1,0)</f>
        <v>0</v>
      </c>
      <c r="AP67" s="26" t="str">
        <f ca="1">Sprache!$A$139</f>
        <v>1D Linear Mtg-Platte</v>
      </c>
      <c r="AQ67" t="s">
        <v>855</v>
      </c>
      <c r="AR67" t="str">
        <f ca="1">Sprache!$A$134</f>
        <v>Tiomos Montageplatten</v>
      </c>
      <c r="AS67" s="18">
        <v>0</v>
      </c>
      <c r="AT67" s="18">
        <v>1</v>
      </c>
      <c r="AU67" s="18">
        <v>0</v>
      </c>
      <c r="AV67" s="18">
        <v>0</v>
      </c>
      <c r="AW67" s="2">
        <v>1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3</v>
      </c>
      <c r="BJ67" s="11" t="s">
        <v>854</v>
      </c>
    </row>
    <row r="68" spans="1:62" ht="13.5" customHeight="1" x14ac:dyDescent="0.25">
      <c r="A68" s="24" t="str">
        <f t="shared" si="6"/>
        <v>F059</v>
      </c>
      <c r="B68" t="str">
        <f t="shared" si="7"/>
        <v>139</v>
      </c>
      <c r="C68" s="24" t="str">
        <f t="shared" si="8"/>
        <v>713</v>
      </c>
      <c r="D68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6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8" s="19">
        <f>IF(Montageplatten[[#This Row],[37/32]]=1,1,IF(Montageplatten[[#This Row],[28/32]]=1,2,0))</f>
        <v>0</v>
      </c>
      <c r="G6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8" s="19">
        <f>IF(Montageplatten[[#This Row],[Typ]]+Montageplatten[[#This Row],[Befestigung]]=2,1,0)</f>
        <v>0</v>
      </c>
      <c r="I68" s="19">
        <f>IF(Montageplatten[[#This Row],[Randbedingungen]]+IF(Montageplatten[[#This Row],[Höhe]]=select!$B$70,1,0)=2,1,0)</f>
        <v>0</v>
      </c>
      <c r="J68" s="19">
        <f>IF(Montageplatten[[#This Row],[Randbedingungen]]+IF(Montageplatten[[#This Row],[Höhe]]=select!$D$70,1,0)=2,1,0)</f>
        <v>0</v>
      </c>
      <c r="K68" s="19">
        <f>IF(Montageplatten[[#This Row],[Randbedingungen]]+IF(Montageplatten[[#This Row],[Höhe]]=select!$F$70,1,0)=2,1,0)</f>
        <v>0</v>
      </c>
      <c r="L68" s="19">
        <f>IF(Montageplatten[[#This Row],[Randbedingungen]]+IF(Montageplatten[[#This Row],[Höhe]]=select!$H$70,1,0)=2,1,0)</f>
        <v>0</v>
      </c>
      <c r="M6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8" s="67">
        <f>IF(select!$M$317=Montageplatten[[#This Row],[Höhe]],1,0)</f>
        <v>0</v>
      </c>
      <c r="P68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6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8" s="67">
        <f>IF(Montageplatten[[#This Row],[Typ_winkel]]+Montageplatten[[#This Row],[Befest_Winkel]]=2,1,0)</f>
        <v>0</v>
      </c>
      <c r="S68" s="67">
        <f>IF(Montageplatten[[#This Row],[MPH Winkel]]+Montageplatten[[#This Row],[Typ_winkel]]+Montageplatten[[#This Row],[Befest_Winkel]]=3,1,0)</f>
        <v>0</v>
      </c>
      <c r="T68" s="295">
        <f ca="1">IF(select!$M$746=Montageplatten[[#This Row],[Höhe]],1,0)</f>
        <v>0</v>
      </c>
      <c r="U68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6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8" s="67">
        <f>IF(Montageplatten[[#This Row],[Typ Spezial]]+Montageplatten[[#This Row],[Befest Spezial]]=2,1,0)</f>
        <v>0</v>
      </c>
      <c r="X68" s="67">
        <f ca="1">IF(Montageplatten[[#This Row],[MPH Spezial]]+Montageplatten[[#This Row],[Typ Spezial]]+Montageplatten[[#This Row],[Befest Spezial]]=3,1,0)</f>
        <v>0</v>
      </c>
      <c r="Y68" s="67" t="e">
        <f ca="1">IF(Montageplatten[[#This Row],[AG Rand]]+IF(Montageplatten[[#This Row],[Höhe]]=select!$C$1212,1,0)=2,1,0)</f>
        <v>#VALUE!</v>
      </c>
      <c r="Z68" s="67" t="e">
        <f ca="1">IF(Montageplatten[[#This Row],[AG Rand]]+IF(Montageplatten[[#This Row],[Höhe]]=select!$E$1212,1,0)=2,1,0)</f>
        <v>#VALUE!</v>
      </c>
      <c r="AA68" s="67" t="e">
        <f ca="1">IF(Montageplatten[[#This Row],[AG Rand]]+IF(Montageplatten[[#This Row],[Höhe]]=select!$G$1212,1,0)=2,1,0)</f>
        <v>#VALUE!</v>
      </c>
      <c r="AB68" s="67" t="e">
        <f ca="1">IF(Montageplatten[[#This Row],[AG Rand]]+IF(Montageplatten[[#This Row],[Höhe]]=select!$I$1212,1,0)=2,1,0)</f>
        <v>#VALUE!</v>
      </c>
      <c r="AC6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8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6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8" s="67">
        <f>IF(Montageplatten[[#This Row],[AG Typ]]+Montageplatten[[#This Row],[AG Bef]]=2,1,0)</f>
        <v>0</v>
      </c>
      <c r="AG6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8" s="67">
        <f ca="1">IF(Montageplatten[[#This Row],[AG MPH]]+Montageplatten[[#This Row],[AG Typ]]+Montageplatten[[#This Row],[AG Bef]]=3,1,0)</f>
        <v>0</v>
      </c>
      <c r="AJ68" s="67">
        <f ca="1">IF(select!$K$980="*",Montageplatten[[#This Row],[AG Ges2]],Montageplatten[[#This Row],[AG Ges1]])</f>
        <v>0</v>
      </c>
      <c r="AK68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6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8" s="67">
        <f>IF(Montageplatten[[#This Row],[konf Typ]]+Montageplatten[[#This Row],[konf Befest]]=2,1,0)</f>
        <v>0</v>
      </c>
      <c r="AN6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8" s="67">
        <f ca="1">IF(Montageplatten[[#This Row],[konf Rahmenbed]]+Montageplatten[[#This Row],[konf MPH]]=2,1,0)</f>
        <v>0</v>
      </c>
      <c r="AP68" s="26" t="str">
        <f ca="1">Sprache!$A$139</f>
        <v>1D Linear Mtg-Platte</v>
      </c>
      <c r="AQ68" t="str">
        <f ca="1">"H 03, "&amp;Sprache!A71&amp;", ni"</f>
        <v>H 03, vorm. Euro, ni</v>
      </c>
      <c r="AR68" t="str">
        <f ca="1">Sprache!$A$134</f>
        <v>Tiomos Montageplatten</v>
      </c>
      <c r="AS68" s="18">
        <v>0</v>
      </c>
      <c r="AT68" s="18">
        <v>1</v>
      </c>
      <c r="AU68" s="18">
        <v>0</v>
      </c>
      <c r="AV68" s="18">
        <v>0</v>
      </c>
      <c r="AW68" s="2">
        <v>0</v>
      </c>
      <c r="AX68" s="2">
        <v>0</v>
      </c>
      <c r="AY68" s="2">
        <v>0</v>
      </c>
      <c r="AZ68" s="2">
        <v>1</v>
      </c>
      <c r="BA68" s="2">
        <v>0</v>
      </c>
      <c r="BB68" s="2">
        <v>0</v>
      </c>
      <c r="BC68" s="2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3</v>
      </c>
      <c r="BJ68" s="11" t="s">
        <v>859</v>
      </c>
    </row>
    <row r="69" spans="1:62" ht="13.5" customHeight="1" x14ac:dyDescent="0.25">
      <c r="A69" s="24" t="str">
        <f t="shared" si="6"/>
        <v>F058</v>
      </c>
      <c r="B69" t="str">
        <f t="shared" si="7"/>
        <v>139</v>
      </c>
      <c r="C69" s="24" t="str">
        <f t="shared" si="8"/>
        <v>744</v>
      </c>
      <c r="D6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6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69" s="19">
        <f>IF(Montageplatten[[#This Row],[37/32]]=1,1,IF(Montageplatten[[#This Row],[28/32]]=1,2,0))</f>
        <v>1</v>
      </c>
      <c r="G6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69" s="19">
        <f>IF(Montageplatten[[#This Row],[Typ]]+Montageplatten[[#This Row],[Befestigung]]=2,1,0)</f>
        <v>0</v>
      </c>
      <c r="I69" s="19">
        <f>IF(Montageplatten[[#This Row],[Randbedingungen]]+IF(Montageplatten[[#This Row],[Höhe]]=select!$B$70,1,0)=2,1,0)</f>
        <v>0</v>
      </c>
      <c r="J69" s="19">
        <f>IF(Montageplatten[[#This Row],[Randbedingungen]]+IF(Montageplatten[[#This Row],[Höhe]]=select!$D$70,1,0)=2,1,0)</f>
        <v>0</v>
      </c>
      <c r="K69" s="19">
        <f>IF(Montageplatten[[#This Row],[Randbedingungen]]+IF(Montageplatten[[#This Row],[Höhe]]=select!$F$70,1,0)=2,1,0)</f>
        <v>0</v>
      </c>
      <c r="L69" s="19">
        <f>IF(Montageplatten[[#This Row],[Randbedingungen]]+IF(Montageplatten[[#This Row],[Höhe]]=select!$H$70,1,0)=2,1,0)</f>
        <v>0</v>
      </c>
      <c r="M6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6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69" s="67">
        <f>IF(select!$M$317=Montageplatten[[#This Row],[Höhe]],1,0)</f>
        <v>0</v>
      </c>
      <c r="P6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6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69" s="67">
        <f>IF(Montageplatten[[#This Row],[Typ_winkel]]+Montageplatten[[#This Row],[Befest_Winkel]]=2,1,0)</f>
        <v>0</v>
      </c>
      <c r="S69" s="67">
        <f>IF(Montageplatten[[#This Row],[MPH Winkel]]+Montageplatten[[#This Row],[Typ_winkel]]+Montageplatten[[#This Row],[Befest_Winkel]]=3,1,0)</f>
        <v>0</v>
      </c>
      <c r="T69" s="295">
        <f ca="1">IF(select!$M$746=Montageplatten[[#This Row],[Höhe]],1,0)</f>
        <v>0</v>
      </c>
      <c r="U6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6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69" s="67">
        <f>IF(Montageplatten[[#This Row],[Typ Spezial]]+Montageplatten[[#This Row],[Befest Spezial]]=2,1,0)</f>
        <v>0</v>
      </c>
      <c r="X69" s="67">
        <f ca="1">IF(Montageplatten[[#This Row],[MPH Spezial]]+Montageplatten[[#This Row],[Typ Spezial]]+Montageplatten[[#This Row],[Befest Spezial]]=3,1,0)</f>
        <v>0</v>
      </c>
      <c r="Y69" s="67" t="e">
        <f ca="1">IF(Montageplatten[[#This Row],[AG Rand]]+IF(Montageplatten[[#This Row],[Höhe]]=select!$C$1212,1,0)=2,1,0)</f>
        <v>#VALUE!</v>
      </c>
      <c r="Z69" s="67" t="e">
        <f ca="1">IF(Montageplatten[[#This Row],[AG Rand]]+IF(Montageplatten[[#This Row],[Höhe]]=select!$E$1212,1,0)=2,1,0)</f>
        <v>#VALUE!</v>
      </c>
      <c r="AA69" s="67" t="e">
        <f ca="1">IF(Montageplatten[[#This Row],[AG Rand]]+IF(Montageplatten[[#This Row],[Höhe]]=select!$G$1212,1,0)=2,1,0)</f>
        <v>#VALUE!</v>
      </c>
      <c r="AB69" s="67" t="e">
        <f ca="1">IF(Montageplatten[[#This Row],[AG Rand]]+IF(Montageplatten[[#This Row],[Höhe]]=select!$I$1212,1,0)=2,1,0)</f>
        <v>#VALUE!</v>
      </c>
      <c r="AC6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6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6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69" s="67">
        <f>IF(Montageplatten[[#This Row],[AG Typ]]+Montageplatten[[#This Row],[AG Bef]]=2,1,0)</f>
        <v>0</v>
      </c>
      <c r="AG6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6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69" s="67">
        <f ca="1">IF(Montageplatten[[#This Row],[AG MPH]]+Montageplatten[[#This Row],[AG Typ]]+Montageplatten[[#This Row],[AG Bef]]=3,1,0)</f>
        <v>0</v>
      </c>
      <c r="AJ69" s="67">
        <f ca="1">IF(select!$K$980="*",Montageplatten[[#This Row],[AG Ges2]],Montageplatten[[#This Row],[AG Ges1]])</f>
        <v>0</v>
      </c>
      <c r="AK6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6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69" s="67">
        <f>IF(Montageplatten[[#This Row],[konf Typ]]+Montageplatten[[#This Row],[konf Befest]]=2,1,0)</f>
        <v>0</v>
      </c>
      <c r="AN6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69" s="67">
        <f ca="1">IF(Montageplatten[[#This Row],[konf Rahmenbed]]+Montageplatten[[#This Row],[konf MPH]]=2,1,0)</f>
        <v>0</v>
      </c>
      <c r="AP69" s="862" t="s">
        <v>733</v>
      </c>
      <c r="AQ69" t="s">
        <v>2337</v>
      </c>
      <c r="AR69" t="s">
        <v>735</v>
      </c>
      <c r="AS69" s="18">
        <v>1</v>
      </c>
      <c r="AT69" s="18">
        <v>0</v>
      </c>
      <c r="AU69" s="18">
        <v>0</v>
      </c>
      <c r="AV69" s="18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1</v>
      </c>
      <c r="BC69" s="2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3.5</v>
      </c>
      <c r="BJ69" s="11" t="s">
        <v>2320</v>
      </c>
    </row>
    <row r="70" spans="1:62" ht="13.5" customHeight="1" x14ac:dyDescent="0.25">
      <c r="A70" s="24" t="str">
        <f t="shared" si="6"/>
        <v>F058</v>
      </c>
      <c r="B70" t="str">
        <f t="shared" si="7"/>
        <v>139</v>
      </c>
      <c r="C70" s="24" t="str">
        <f t="shared" si="8"/>
        <v>769</v>
      </c>
      <c r="D7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0" s="19">
        <f>IF(Montageplatten[[#This Row],[37/32]]=1,1,IF(Montageplatten[[#This Row],[28/32]]=1,2,0))</f>
        <v>1</v>
      </c>
      <c r="G7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0" s="19">
        <f>IF(Montageplatten[[#This Row],[Typ]]+Montageplatten[[#This Row],[Befestigung]]=2,1,0)</f>
        <v>0</v>
      </c>
      <c r="I70" s="19">
        <f>IF(Montageplatten[[#This Row],[Randbedingungen]]+IF(Montageplatten[[#This Row],[Höhe]]=select!$B$70,1,0)=2,1,0)</f>
        <v>0</v>
      </c>
      <c r="J70" s="19">
        <f>IF(Montageplatten[[#This Row],[Randbedingungen]]+IF(Montageplatten[[#This Row],[Höhe]]=select!$D$70,1,0)=2,1,0)</f>
        <v>0</v>
      </c>
      <c r="K70" s="19">
        <f>IF(Montageplatten[[#This Row],[Randbedingungen]]+IF(Montageplatten[[#This Row],[Höhe]]=select!$F$70,1,0)=2,1,0)</f>
        <v>0</v>
      </c>
      <c r="L70" s="19">
        <f>IF(Montageplatten[[#This Row],[Randbedingungen]]+IF(Montageplatten[[#This Row],[Höhe]]=select!$H$70,1,0)=2,1,0)</f>
        <v>0</v>
      </c>
      <c r="M7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0" s="67">
        <f>IF(select!$M$317=Montageplatten[[#This Row],[Höhe]],1,0)</f>
        <v>0</v>
      </c>
      <c r="P7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0" s="67">
        <f>IF(Montageplatten[[#This Row],[Typ_winkel]]+Montageplatten[[#This Row],[Befest_Winkel]]=2,1,0)</f>
        <v>0</v>
      </c>
      <c r="S70" s="67">
        <f>IF(Montageplatten[[#This Row],[MPH Winkel]]+Montageplatten[[#This Row],[Typ_winkel]]+Montageplatten[[#This Row],[Befest_Winkel]]=3,1,0)</f>
        <v>0</v>
      </c>
      <c r="T70" s="295">
        <f ca="1">IF(select!$M$746=Montageplatten[[#This Row],[Höhe]],1,0)</f>
        <v>0</v>
      </c>
      <c r="U7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0" s="67">
        <f>IF(Montageplatten[[#This Row],[Typ Spezial]]+Montageplatten[[#This Row],[Befest Spezial]]=2,1,0)</f>
        <v>0</v>
      </c>
      <c r="X70" s="67">
        <f ca="1">IF(Montageplatten[[#This Row],[MPH Spezial]]+Montageplatten[[#This Row],[Typ Spezial]]+Montageplatten[[#This Row],[Befest Spezial]]=3,1,0)</f>
        <v>0</v>
      </c>
      <c r="Y70" s="67" t="e">
        <f ca="1">IF(Montageplatten[[#This Row],[AG Rand]]+IF(Montageplatten[[#This Row],[Höhe]]=select!$C$1212,1,0)=2,1,0)</f>
        <v>#VALUE!</v>
      </c>
      <c r="Z70" s="67" t="e">
        <f ca="1">IF(Montageplatten[[#This Row],[AG Rand]]+IF(Montageplatten[[#This Row],[Höhe]]=select!$E$1212,1,0)=2,1,0)</f>
        <v>#VALUE!</v>
      </c>
      <c r="AA70" s="67" t="e">
        <f ca="1">IF(Montageplatten[[#This Row],[AG Rand]]+IF(Montageplatten[[#This Row],[Höhe]]=select!$G$1212,1,0)=2,1,0)</f>
        <v>#VALUE!</v>
      </c>
      <c r="AB70" s="67" t="e">
        <f ca="1">IF(Montageplatten[[#This Row],[AG Rand]]+IF(Montageplatten[[#This Row],[Höhe]]=select!$I$1212,1,0)=2,1,0)</f>
        <v>#VALUE!</v>
      </c>
      <c r="AC7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0" s="67">
        <f>IF(Montageplatten[[#This Row],[AG Typ]]+Montageplatten[[#This Row],[AG Bef]]=2,1,0)</f>
        <v>0</v>
      </c>
      <c r="AG7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0" s="67">
        <f ca="1">IF(Montageplatten[[#This Row],[AG MPH]]+Montageplatten[[#This Row],[AG Typ]]+Montageplatten[[#This Row],[AG Bef]]=3,1,0)</f>
        <v>0</v>
      </c>
      <c r="AJ70" s="67">
        <f ca="1">IF(select!$K$980="*",Montageplatten[[#This Row],[AG Ges2]],Montageplatten[[#This Row],[AG Ges1]])</f>
        <v>0</v>
      </c>
      <c r="AK7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0" s="67">
        <f>IF(Montageplatten[[#This Row],[konf Typ]]+Montageplatten[[#This Row],[konf Befest]]=2,1,0)</f>
        <v>0</v>
      </c>
      <c r="AN7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0" s="67">
        <f ca="1">IF(Montageplatten[[#This Row],[konf Rahmenbed]]+Montageplatten[[#This Row],[konf MPH]]=2,1,0)</f>
        <v>0</v>
      </c>
      <c r="AP70" s="862" t="s">
        <v>762</v>
      </c>
      <c r="AQ70" t="s">
        <v>2337</v>
      </c>
      <c r="AR70" t="s">
        <v>735</v>
      </c>
      <c r="AS70" s="18">
        <v>1</v>
      </c>
      <c r="AT70" s="18">
        <v>0</v>
      </c>
      <c r="AU70" s="18">
        <v>0</v>
      </c>
      <c r="AV70" s="18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1</v>
      </c>
      <c r="BC70" s="2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3.5</v>
      </c>
      <c r="BJ70" s="11" t="s">
        <v>2324</v>
      </c>
    </row>
    <row r="71" spans="1:62" ht="13.5" customHeight="1" x14ac:dyDescent="0.25">
      <c r="A71" s="24" t="str">
        <f t="shared" si="6"/>
        <v>F058</v>
      </c>
      <c r="B71" t="str">
        <f t="shared" si="7"/>
        <v>139</v>
      </c>
      <c r="C71" s="24" t="str">
        <f t="shared" si="8"/>
        <v>930</v>
      </c>
      <c r="D7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1" s="19">
        <f>IF(Montageplatten[[#This Row],[37/32]]=1,1,IF(Montageplatten[[#This Row],[28/32]]=1,2,0))</f>
        <v>1</v>
      </c>
      <c r="G7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1" s="19">
        <f>IF(Montageplatten[[#This Row],[Typ]]+Montageplatten[[#This Row],[Befestigung]]=2,1,0)</f>
        <v>0</v>
      </c>
      <c r="I71" s="19">
        <f>IF(Montageplatten[[#This Row],[Randbedingungen]]+IF(Montageplatten[[#This Row],[Höhe]]=select!$B$70,1,0)=2,1,0)</f>
        <v>0</v>
      </c>
      <c r="J71" s="19">
        <f>IF(Montageplatten[[#This Row],[Randbedingungen]]+IF(Montageplatten[[#This Row],[Höhe]]=select!$D$70,1,0)=2,1,0)</f>
        <v>0</v>
      </c>
      <c r="K71" s="19">
        <f>IF(Montageplatten[[#This Row],[Randbedingungen]]+IF(Montageplatten[[#This Row],[Höhe]]=select!$F$70,1,0)=2,1,0)</f>
        <v>0</v>
      </c>
      <c r="L71" s="19">
        <f>IF(Montageplatten[[#This Row],[Randbedingungen]]+IF(Montageplatten[[#This Row],[Höhe]]=select!$H$70,1,0)=2,1,0)</f>
        <v>0</v>
      </c>
      <c r="M7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1" s="67">
        <f>IF(select!$M$317=Montageplatten[[#This Row],[Höhe]],1,0)</f>
        <v>0</v>
      </c>
      <c r="P7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1" s="67">
        <f>IF(Montageplatten[[#This Row],[Typ_winkel]]+Montageplatten[[#This Row],[Befest_Winkel]]=2,1,0)</f>
        <v>0</v>
      </c>
      <c r="S71" s="67">
        <f>IF(Montageplatten[[#This Row],[MPH Winkel]]+Montageplatten[[#This Row],[Typ_winkel]]+Montageplatten[[#This Row],[Befest_Winkel]]=3,1,0)</f>
        <v>0</v>
      </c>
      <c r="T71" s="295">
        <f ca="1">IF(select!$M$746=Montageplatten[[#This Row],[Höhe]],1,0)</f>
        <v>0</v>
      </c>
      <c r="U7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1" s="67">
        <f>IF(Montageplatten[[#This Row],[Typ Spezial]]+Montageplatten[[#This Row],[Befest Spezial]]=2,1,0)</f>
        <v>0</v>
      </c>
      <c r="X71" s="67">
        <f ca="1">IF(Montageplatten[[#This Row],[MPH Spezial]]+Montageplatten[[#This Row],[Typ Spezial]]+Montageplatten[[#This Row],[Befest Spezial]]=3,1,0)</f>
        <v>0</v>
      </c>
      <c r="Y71" s="67" t="e">
        <f ca="1">IF(Montageplatten[[#This Row],[AG Rand]]+IF(Montageplatten[[#This Row],[Höhe]]=select!$C$1212,1,0)=2,1,0)</f>
        <v>#VALUE!</v>
      </c>
      <c r="Z71" s="67" t="e">
        <f ca="1">IF(Montageplatten[[#This Row],[AG Rand]]+IF(Montageplatten[[#This Row],[Höhe]]=select!$E$1212,1,0)=2,1,0)</f>
        <v>#VALUE!</v>
      </c>
      <c r="AA71" s="67" t="e">
        <f ca="1">IF(Montageplatten[[#This Row],[AG Rand]]+IF(Montageplatten[[#This Row],[Höhe]]=select!$G$1212,1,0)=2,1,0)</f>
        <v>#VALUE!</v>
      </c>
      <c r="AB71" s="67" t="e">
        <f ca="1">IF(Montageplatten[[#This Row],[AG Rand]]+IF(Montageplatten[[#This Row],[Höhe]]=select!$I$1212,1,0)=2,1,0)</f>
        <v>#VALUE!</v>
      </c>
      <c r="AC7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1" s="67">
        <f>IF(Montageplatten[[#This Row],[AG Typ]]+Montageplatten[[#This Row],[AG Bef]]=2,1,0)</f>
        <v>0</v>
      </c>
      <c r="AG7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1" s="67">
        <f ca="1">IF(Montageplatten[[#This Row],[AG MPH]]+Montageplatten[[#This Row],[AG Typ]]+Montageplatten[[#This Row],[AG Bef]]=3,1,0)</f>
        <v>0</v>
      </c>
      <c r="AJ71" s="67">
        <f ca="1">IF(select!$K$980="*",Montageplatten[[#This Row],[AG Ges2]],Montageplatten[[#This Row],[AG Ges1]])</f>
        <v>0</v>
      </c>
      <c r="AK7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1" s="67">
        <f>IF(Montageplatten[[#This Row],[konf Typ]]+Montageplatten[[#This Row],[konf Befest]]=2,1,0)</f>
        <v>0</v>
      </c>
      <c r="AN7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1" s="67">
        <f ca="1">IF(Montageplatten[[#This Row],[konf Rahmenbed]]+Montageplatten[[#This Row],[konf MPH]]=2,1,0)</f>
        <v>0</v>
      </c>
      <c r="AP71" s="862" t="s">
        <v>733</v>
      </c>
      <c r="AQ71" t="s">
        <v>2338</v>
      </c>
      <c r="AR71" t="s">
        <v>735</v>
      </c>
      <c r="AS71" s="18">
        <v>1</v>
      </c>
      <c r="AT71" s="18">
        <v>0</v>
      </c>
      <c r="AU71" s="18">
        <v>0</v>
      </c>
      <c r="AV71" s="18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1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3.5</v>
      </c>
      <c r="BJ71" s="11" t="s">
        <v>2331</v>
      </c>
    </row>
    <row r="72" spans="1:62" ht="13.5" customHeight="1" x14ac:dyDescent="0.25">
      <c r="A72" s="24" t="str">
        <f t="shared" si="6"/>
        <v>F058</v>
      </c>
      <c r="B72" t="str">
        <f t="shared" si="7"/>
        <v>139</v>
      </c>
      <c r="C72" s="24" t="str">
        <f t="shared" si="8"/>
        <v>934</v>
      </c>
      <c r="D7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2" s="19">
        <f>IF(Montageplatten[[#This Row],[37/32]]=1,1,IF(Montageplatten[[#This Row],[28/32]]=1,2,0))</f>
        <v>1</v>
      </c>
      <c r="G7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2" s="19">
        <f>IF(Montageplatten[[#This Row],[Typ]]+Montageplatten[[#This Row],[Befestigung]]=2,1,0)</f>
        <v>0</v>
      </c>
      <c r="I72" s="19">
        <f>IF(Montageplatten[[#This Row],[Randbedingungen]]+IF(Montageplatten[[#This Row],[Höhe]]=select!$B$70,1,0)=2,1,0)</f>
        <v>0</v>
      </c>
      <c r="J72" s="19">
        <f>IF(Montageplatten[[#This Row],[Randbedingungen]]+IF(Montageplatten[[#This Row],[Höhe]]=select!$D$70,1,0)=2,1,0)</f>
        <v>0</v>
      </c>
      <c r="K72" s="19">
        <f>IF(Montageplatten[[#This Row],[Randbedingungen]]+IF(Montageplatten[[#This Row],[Höhe]]=select!$F$70,1,0)=2,1,0)</f>
        <v>0</v>
      </c>
      <c r="L72" s="19">
        <f>IF(Montageplatten[[#This Row],[Randbedingungen]]+IF(Montageplatten[[#This Row],[Höhe]]=select!$H$70,1,0)=2,1,0)</f>
        <v>0</v>
      </c>
      <c r="M7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2" s="67">
        <f>IF(select!$M$317=Montageplatten[[#This Row],[Höhe]],1,0)</f>
        <v>0</v>
      </c>
      <c r="P7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2" s="67">
        <f>IF(Montageplatten[[#This Row],[Typ_winkel]]+Montageplatten[[#This Row],[Befest_Winkel]]=2,1,0)</f>
        <v>0</v>
      </c>
      <c r="S72" s="67">
        <f>IF(Montageplatten[[#This Row],[MPH Winkel]]+Montageplatten[[#This Row],[Typ_winkel]]+Montageplatten[[#This Row],[Befest_Winkel]]=3,1,0)</f>
        <v>0</v>
      </c>
      <c r="T72" s="295">
        <f ca="1">IF(select!$M$746=Montageplatten[[#This Row],[Höhe]],1,0)</f>
        <v>0</v>
      </c>
      <c r="U7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2" s="67">
        <f>IF(Montageplatten[[#This Row],[Typ Spezial]]+Montageplatten[[#This Row],[Befest Spezial]]=2,1,0)</f>
        <v>0</v>
      </c>
      <c r="X72" s="67">
        <f ca="1">IF(Montageplatten[[#This Row],[MPH Spezial]]+Montageplatten[[#This Row],[Typ Spezial]]+Montageplatten[[#This Row],[Befest Spezial]]=3,1,0)</f>
        <v>0</v>
      </c>
      <c r="Y72" s="67" t="e">
        <f ca="1">IF(Montageplatten[[#This Row],[AG Rand]]+IF(Montageplatten[[#This Row],[Höhe]]=select!$C$1212,1,0)=2,1,0)</f>
        <v>#VALUE!</v>
      </c>
      <c r="Z72" s="67" t="e">
        <f ca="1">IF(Montageplatten[[#This Row],[AG Rand]]+IF(Montageplatten[[#This Row],[Höhe]]=select!$E$1212,1,0)=2,1,0)</f>
        <v>#VALUE!</v>
      </c>
      <c r="AA72" s="67" t="e">
        <f ca="1">IF(Montageplatten[[#This Row],[AG Rand]]+IF(Montageplatten[[#This Row],[Höhe]]=select!$G$1212,1,0)=2,1,0)</f>
        <v>#VALUE!</v>
      </c>
      <c r="AB72" s="67" t="e">
        <f ca="1">IF(Montageplatten[[#This Row],[AG Rand]]+IF(Montageplatten[[#This Row],[Höhe]]=select!$I$1212,1,0)=2,1,0)</f>
        <v>#VALUE!</v>
      </c>
      <c r="AC7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2" s="67">
        <f>IF(Montageplatten[[#This Row],[AG Typ]]+Montageplatten[[#This Row],[AG Bef]]=2,1,0)</f>
        <v>0</v>
      </c>
      <c r="AG7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2" s="67">
        <f ca="1">IF(Montageplatten[[#This Row],[AG MPH]]+Montageplatten[[#This Row],[AG Typ]]+Montageplatten[[#This Row],[AG Bef]]=3,1,0)</f>
        <v>0</v>
      </c>
      <c r="AJ72" s="67">
        <f ca="1">IF(select!$K$980="*",Montageplatten[[#This Row],[AG Ges2]],Montageplatten[[#This Row],[AG Ges1]])</f>
        <v>0</v>
      </c>
      <c r="AK7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2" s="67">
        <f>IF(Montageplatten[[#This Row],[konf Typ]]+Montageplatten[[#This Row],[konf Befest]]=2,1,0)</f>
        <v>0</v>
      </c>
      <c r="AN7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2" s="67">
        <f ca="1">IF(Montageplatten[[#This Row],[konf Rahmenbed]]+Montageplatten[[#This Row],[konf MPH]]=2,1,0)</f>
        <v>0</v>
      </c>
      <c r="AP72" s="862" t="s">
        <v>762</v>
      </c>
      <c r="AQ72" t="s">
        <v>2338</v>
      </c>
      <c r="AR72" t="s">
        <v>735</v>
      </c>
      <c r="AS72" s="18">
        <v>1</v>
      </c>
      <c r="AT72" s="18">
        <v>0</v>
      </c>
      <c r="AU72" s="18">
        <v>0</v>
      </c>
      <c r="AV72" s="18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1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3.5</v>
      </c>
      <c r="BJ72" s="11" t="s">
        <v>2335</v>
      </c>
    </row>
    <row r="73" spans="1:62" ht="13.5" customHeight="1" x14ac:dyDescent="0.25">
      <c r="A73" s="24" t="str">
        <f t="shared" si="6"/>
        <v>F058</v>
      </c>
      <c r="B73" t="str">
        <f t="shared" si="7"/>
        <v>139</v>
      </c>
      <c r="C73" s="24" t="str">
        <f t="shared" si="8"/>
        <v>724</v>
      </c>
      <c r="D7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73" s="19">
        <f>IF(Montageplatten[[#This Row],[37/32]]=1,1,IF(Montageplatten[[#This Row],[28/32]]=1,2,0))</f>
        <v>1</v>
      </c>
      <c r="G7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3" s="19">
        <f>IF(Montageplatten[[#This Row],[Typ]]+Montageplatten[[#This Row],[Befestigung]]=2,1,0)</f>
        <v>1</v>
      </c>
      <c r="I73" s="19">
        <f>IF(Montageplatten[[#This Row],[Randbedingungen]]+IF(Montageplatten[[#This Row],[Höhe]]=select!$B$70,1,0)=2,1,0)</f>
        <v>0</v>
      </c>
      <c r="J73" s="19">
        <f>IF(Montageplatten[[#This Row],[Randbedingungen]]+IF(Montageplatten[[#This Row],[Höhe]]=select!$D$70,1,0)=2,1,0)</f>
        <v>0</v>
      </c>
      <c r="K73" s="19">
        <f>IF(Montageplatten[[#This Row],[Randbedingungen]]+IF(Montageplatten[[#This Row],[Höhe]]=select!$F$70,1,0)=2,1,0)</f>
        <v>0</v>
      </c>
      <c r="L73" s="19">
        <f>IF(Montageplatten[[#This Row],[Randbedingungen]]+IF(Montageplatten[[#This Row],[Höhe]]=select!$H$70,1,0)=2,1,0)</f>
        <v>0</v>
      </c>
      <c r="M7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3" s="67">
        <f>IF(select!$M$317=Montageplatten[[#This Row],[Höhe]],1,0)</f>
        <v>0</v>
      </c>
      <c r="P7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73" s="67">
        <f>IF(Montageplatten[[#This Row],[Typ_winkel]]+Montageplatten[[#This Row],[Befest_Winkel]]=2,1,0)</f>
        <v>1</v>
      </c>
      <c r="S73" s="67">
        <f>IF(Montageplatten[[#This Row],[MPH Winkel]]+Montageplatten[[#This Row],[Typ_winkel]]+Montageplatten[[#This Row],[Befest_Winkel]]=3,1,0)</f>
        <v>0</v>
      </c>
      <c r="T73" s="295">
        <f ca="1">IF(select!$M$746=Montageplatten[[#This Row],[Höhe]],1,0)</f>
        <v>0</v>
      </c>
      <c r="U7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73" s="67">
        <f>IF(Montageplatten[[#This Row],[Typ Spezial]]+Montageplatten[[#This Row],[Befest Spezial]]=2,1,0)</f>
        <v>1</v>
      </c>
      <c r="X73" s="67">
        <f ca="1">IF(Montageplatten[[#This Row],[MPH Spezial]]+Montageplatten[[#This Row],[Typ Spezial]]+Montageplatten[[#This Row],[Befest Spezial]]=3,1,0)</f>
        <v>0</v>
      </c>
      <c r="Y73" s="67" t="e">
        <f ca="1">IF(Montageplatten[[#This Row],[AG Rand]]+IF(Montageplatten[[#This Row],[Höhe]]=select!$C$1212,1,0)=2,1,0)</f>
        <v>#VALUE!</v>
      </c>
      <c r="Z73" s="67" t="e">
        <f ca="1">IF(Montageplatten[[#This Row],[AG Rand]]+IF(Montageplatten[[#This Row],[Höhe]]=select!$E$1212,1,0)=2,1,0)</f>
        <v>#VALUE!</v>
      </c>
      <c r="AA73" s="67" t="e">
        <f ca="1">IF(Montageplatten[[#This Row],[AG Rand]]+IF(Montageplatten[[#This Row],[Höhe]]=select!$G$1212,1,0)=2,1,0)</f>
        <v>#VALUE!</v>
      </c>
      <c r="AB73" s="67" t="e">
        <f ca="1">IF(Montageplatten[[#This Row],[AG Rand]]+IF(Montageplatten[[#This Row],[Höhe]]=select!$I$1212,1,0)=2,1,0)</f>
        <v>#VALUE!</v>
      </c>
      <c r="AC7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73" s="67">
        <f>IF(Montageplatten[[#This Row],[AG Typ]]+Montageplatten[[#This Row],[AG Bef]]=2,1,0)</f>
        <v>1</v>
      </c>
      <c r="AG7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3" s="67">
        <f ca="1">IF(Montageplatten[[#This Row],[AG MPH]]+Montageplatten[[#This Row],[AG Typ]]+Montageplatten[[#This Row],[AG Bef]]=3,1,0)</f>
        <v>0</v>
      </c>
      <c r="AJ73" s="67">
        <f ca="1">IF(select!$K$980="*",Montageplatten[[#This Row],[AG Ges2]],Montageplatten[[#This Row],[AG Ges1]])</f>
        <v>0</v>
      </c>
      <c r="AK7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73" s="67">
        <f>IF(Montageplatten[[#This Row],[konf Typ]]+Montageplatten[[#This Row],[konf Befest]]=2,1,0)</f>
        <v>1</v>
      </c>
      <c r="AN7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3" s="67">
        <f ca="1">IF(Montageplatten[[#This Row],[konf Rahmenbed]]+Montageplatten[[#This Row],[konf MPH]]=2,1,0)</f>
        <v>0</v>
      </c>
      <c r="AP73" s="26" t="str">
        <f ca="1">Sprache!$A$137</f>
        <v>Eco Kreuz Mtg-Platte</v>
      </c>
      <c r="AQ73" t="s">
        <v>2234</v>
      </c>
      <c r="AR73" t="str">
        <f ca="1">Sprache!$A$134</f>
        <v>Tiomos Montageplatten</v>
      </c>
      <c r="AS73" s="18">
        <v>1</v>
      </c>
      <c r="AT73" s="18">
        <v>0</v>
      </c>
      <c r="AU73" s="18">
        <v>0</v>
      </c>
      <c r="AV73" s="18">
        <v>0</v>
      </c>
      <c r="AW73" s="2">
        <v>0</v>
      </c>
      <c r="AX73" s="2">
        <v>1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3.5</v>
      </c>
      <c r="BJ73" s="11" t="s">
        <v>742</v>
      </c>
    </row>
    <row r="74" spans="1:62" ht="13.5" customHeight="1" x14ac:dyDescent="0.25">
      <c r="A74" s="24" t="str">
        <f t="shared" si="6"/>
        <v>F058</v>
      </c>
      <c r="B74" t="str">
        <f t="shared" si="7"/>
        <v>139</v>
      </c>
      <c r="C74" s="24" t="str">
        <f t="shared" si="8"/>
        <v>729</v>
      </c>
      <c r="D7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4" s="19">
        <f>IF(Montageplatten[[#This Row],[37/32]]=1,1,IF(Montageplatten[[#This Row],[28/32]]=1,2,0))</f>
        <v>1</v>
      </c>
      <c r="G7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4" s="19">
        <f>IF(Montageplatten[[#This Row],[Typ]]+Montageplatten[[#This Row],[Befestigung]]=2,1,0)</f>
        <v>0</v>
      </c>
      <c r="I74" s="19">
        <f>IF(Montageplatten[[#This Row],[Randbedingungen]]+IF(Montageplatten[[#This Row],[Höhe]]=select!$B$70,1,0)=2,1,0)</f>
        <v>0</v>
      </c>
      <c r="J74" s="19">
        <f>IF(Montageplatten[[#This Row],[Randbedingungen]]+IF(Montageplatten[[#This Row],[Höhe]]=select!$D$70,1,0)=2,1,0)</f>
        <v>0</v>
      </c>
      <c r="K74" s="19">
        <f>IF(Montageplatten[[#This Row],[Randbedingungen]]+IF(Montageplatten[[#This Row],[Höhe]]=select!$F$70,1,0)=2,1,0)</f>
        <v>0</v>
      </c>
      <c r="L74" s="19">
        <f>IF(Montageplatten[[#This Row],[Randbedingungen]]+IF(Montageplatten[[#This Row],[Höhe]]=select!$H$70,1,0)=2,1,0)</f>
        <v>0</v>
      </c>
      <c r="M7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4" s="67">
        <f>IF(select!$M$317=Montageplatten[[#This Row],[Höhe]],1,0)</f>
        <v>0</v>
      </c>
      <c r="P7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4" s="67">
        <f>IF(Montageplatten[[#This Row],[Typ_winkel]]+Montageplatten[[#This Row],[Befest_Winkel]]=2,1,0)</f>
        <v>0</v>
      </c>
      <c r="S74" s="67">
        <f>IF(Montageplatten[[#This Row],[MPH Winkel]]+Montageplatten[[#This Row],[Typ_winkel]]+Montageplatten[[#This Row],[Befest_Winkel]]=3,1,0)</f>
        <v>0</v>
      </c>
      <c r="T74" s="295">
        <f ca="1">IF(select!$M$746=Montageplatten[[#This Row],[Höhe]],1,0)</f>
        <v>0</v>
      </c>
      <c r="U7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4" s="67">
        <f>IF(Montageplatten[[#This Row],[Typ Spezial]]+Montageplatten[[#This Row],[Befest Spezial]]=2,1,0)</f>
        <v>0</v>
      </c>
      <c r="X74" s="67">
        <f ca="1">IF(Montageplatten[[#This Row],[MPH Spezial]]+Montageplatten[[#This Row],[Typ Spezial]]+Montageplatten[[#This Row],[Befest Spezial]]=3,1,0)</f>
        <v>0</v>
      </c>
      <c r="Y74" s="67" t="e">
        <f ca="1">IF(Montageplatten[[#This Row],[AG Rand]]+IF(Montageplatten[[#This Row],[Höhe]]=select!$C$1212,1,0)=2,1,0)</f>
        <v>#VALUE!</v>
      </c>
      <c r="Z74" s="67" t="e">
        <f ca="1">IF(Montageplatten[[#This Row],[AG Rand]]+IF(Montageplatten[[#This Row],[Höhe]]=select!$E$1212,1,0)=2,1,0)</f>
        <v>#VALUE!</v>
      </c>
      <c r="AA74" s="67" t="e">
        <f ca="1">IF(Montageplatten[[#This Row],[AG Rand]]+IF(Montageplatten[[#This Row],[Höhe]]=select!$G$1212,1,0)=2,1,0)</f>
        <v>#VALUE!</v>
      </c>
      <c r="AB74" s="67" t="e">
        <f ca="1">IF(Montageplatten[[#This Row],[AG Rand]]+IF(Montageplatten[[#This Row],[Höhe]]=select!$I$1212,1,0)=2,1,0)</f>
        <v>#VALUE!</v>
      </c>
      <c r="AC7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4" s="67">
        <f>IF(Montageplatten[[#This Row],[AG Typ]]+Montageplatten[[#This Row],[AG Bef]]=2,1,0)</f>
        <v>0</v>
      </c>
      <c r="AG7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4" s="67">
        <f ca="1">IF(Montageplatten[[#This Row],[AG MPH]]+Montageplatten[[#This Row],[AG Typ]]+Montageplatten[[#This Row],[AG Bef]]=3,1,0)</f>
        <v>0</v>
      </c>
      <c r="AJ74" s="67">
        <f ca="1">IF(select!$K$980="*",Montageplatten[[#This Row],[AG Ges2]],Montageplatten[[#This Row],[AG Ges1]])</f>
        <v>0</v>
      </c>
      <c r="AK7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4" s="67">
        <f>IF(Montageplatten[[#This Row],[konf Typ]]+Montageplatten[[#This Row],[konf Befest]]=2,1,0)</f>
        <v>0</v>
      </c>
      <c r="AN7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4" s="67">
        <f ca="1">IF(Montageplatten[[#This Row],[konf Rahmenbed]]+Montageplatten[[#This Row],[konf MPH]]=2,1,0)</f>
        <v>0</v>
      </c>
      <c r="AP74" s="26" t="str">
        <f ca="1">Sprache!$A$137</f>
        <v>Eco Kreuz Mtg-Platte</v>
      </c>
      <c r="AQ74" t="s">
        <v>2235</v>
      </c>
      <c r="AR74" t="str">
        <f ca="1">Sprache!$A$134</f>
        <v>Tiomos Montageplatten</v>
      </c>
      <c r="AS74" s="18">
        <v>1</v>
      </c>
      <c r="AT74" s="18">
        <v>0</v>
      </c>
      <c r="AU74" s="18">
        <v>0</v>
      </c>
      <c r="AV74" s="18">
        <v>0</v>
      </c>
      <c r="AW74" s="2">
        <v>1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3.5</v>
      </c>
      <c r="BJ74" s="11" t="s">
        <v>751</v>
      </c>
    </row>
    <row r="75" spans="1:62" ht="13.5" customHeight="1" x14ac:dyDescent="0.25">
      <c r="A75" s="24" t="str">
        <f t="shared" si="6"/>
        <v>F058</v>
      </c>
      <c r="B75" t="str">
        <f t="shared" si="7"/>
        <v>139</v>
      </c>
      <c r="C75" s="24" t="str">
        <f t="shared" si="8"/>
        <v>739</v>
      </c>
      <c r="D7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5" s="19">
        <f>IF(Montageplatten[[#This Row],[37/32]]=1,1,IF(Montageplatten[[#This Row],[28/32]]=1,2,0))</f>
        <v>1</v>
      </c>
      <c r="G7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5" s="19">
        <f>IF(Montageplatten[[#This Row],[Typ]]+Montageplatten[[#This Row],[Befestigung]]=2,1,0)</f>
        <v>0</v>
      </c>
      <c r="I75" s="19">
        <f>IF(Montageplatten[[#This Row],[Randbedingungen]]+IF(Montageplatten[[#This Row],[Höhe]]=select!$B$70,1,0)=2,1,0)</f>
        <v>0</v>
      </c>
      <c r="J75" s="19">
        <f>IF(Montageplatten[[#This Row],[Randbedingungen]]+IF(Montageplatten[[#This Row],[Höhe]]=select!$D$70,1,0)=2,1,0)</f>
        <v>0</v>
      </c>
      <c r="K75" s="19">
        <f>IF(Montageplatten[[#This Row],[Randbedingungen]]+IF(Montageplatten[[#This Row],[Höhe]]=select!$F$70,1,0)=2,1,0)</f>
        <v>0</v>
      </c>
      <c r="L75" s="19">
        <f>IF(Montageplatten[[#This Row],[Randbedingungen]]+IF(Montageplatten[[#This Row],[Höhe]]=select!$H$70,1,0)=2,1,0)</f>
        <v>0</v>
      </c>
      <c r="M7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5" s="67">
        <f>IF(select!$M$317=Montageplatten[[#This Row],[Höhe]],1,0)</f>
        <v>0</v>
      </c>
      <c r="P7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5" s="67">
        <f>IF(Montageplatten[[#This Row],[Typ_winkel]]+Montageplatten[[#This Row],[Befest_Winkel]]=2,1,0)</f>
        <v>0</v>
      </c>
      <c r="S75" s="67">
        <f>IF(Montageplatten[[#This Row],[MPH Winkel]]+Montageplatten[[#This Row],[Typ_winkel]]+Montageplatten[[#This Row],[Befest_Winkel]]=3,1,0)</f>
        <v>0</v>
      </c>
      <c r="T75" s="295">
        <f ca="1">IF(select!$M$746=Montageplatten[[#This Row],[Höhe]],1,0)</f>
        <v>0</v>
      </c>
      <c r="U7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5" s="67">
        <f>IF(Montageplatten[[#This Row],[Typ Spezial]]+Montageplatten[[#This Row],[Befest Spezial]]=2,1,0)</f>
        <v>0</v>
      </c>
      <c r="X75" s="67">
        <f ca="1">IF(Montageplatten[[#This Row],[MPH Spezial]]+Montageplatten[[#This Row],[Typ Spezial]]+Montageplatten[[#This Row],[Befest Spezial]]=3,1,0)</f>
        <v>0</v>
      </c>
      <c r="Y75" s="67" t="e">
        <f ca="1">IF(Montageplatten[[#This Row],[AG Rand]]+IF(Montageplatten[[#This Row],[Höhe]]=select!$C$1212,1,0)=2,1,0)</f>
        <v>#VALUE!</v>
      </c>
      <c r="Z75" s="67" t="e">
        <f ca="1">IF(Montageplatten[[#This Row],[AG Rand]]+IF(Montageplatten[[#This Row],[Höhe]]=select!$E$1212,1,0)=2,1,0)</f>
        <v>#VALUE!</v>
      </c>
      <c r="AA75" s="67" t="e">
        <f ca="1">IF(Montageplatten[[#This Row],[AG Rand]]+IF(Montageplatten[[#This Row],[Höhe]]=select!$G$1212,1,0)=2,1,0)</f>
        <v>#VALUE!</v>
      </c>
      <c r="AB75" s="67" t="e">
        <f ca="1">IF(Montageplatten[[#This Row],[AG Rand]]+IF(Montageplatten[[#This Row],[Höhe]]=select!$I$1212,1,0)=2,1,0)</f>
        <v>#VALUE!</v>
      </c>
      <c r="AC7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5" s="67">
        <f>IF(Montageplatten[[#This Row],[AG Typ]]+Montageplatten[[#This Row],[AG Bef]]=2,1,0)</f>
        <v>0</v>
      </c>
      <c r="AG7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5" s="67">
        <f ca="1">IF(Montageplatten[[#This Row],[AG MPH]]+Montageplatten[[#This Row],[AG Typ]]+Montageplatten[[#This Row],[AG Bef]]=3,1,0)</f>
        <v>0</v>
      </c>
      <c r="AJ75" s="67">
        <f ca="1">IF(select!$K$980="*",Montageplatten[[#This Row],[AG Ges2]],Montageplatten[[#This Row],[AG Ges1]])</f>
        <v>0</v>
      </c>
      <c r="AK7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5" s="67">
        <f>IF(Montageplatten[[#This Row],[konf Typ]]+Montageplatten[[#This Row],[konf Befest]]=2,1,0)</f>
        <v>0</v>
      </c>
      <c r="AN7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5" s="67">
        <f ca="1">IF(Montageplatten[[#This Row],[konf Rahmenbed]]+Montageplatten[[#This Row],[konf MPH]]=2,1,0)</f>
        <v>0</v>
      </c>
      <c r="AP75" s="26" t="str">
        <f ca="1">Sprache!$A$137</f>
        <v>Eco Kreuz Mtg-Platte</v>
      </c>
      <c r="AQ75" t="s">
        <v>2236</v>
      </c>
      <c r="AR75" t="str">
        <f ca="1">Sprache!$A$134</f>
        <v>Tiomos Montageplatten</v>
      </c>
      <c r="AS75" s="18">
        <v>1</v>
      </c>
      <c r="AT75" s="18">
        <v>0</v>
      </c>
      <c r="AU75" s="18">
        <v>0</v>
      </c>
      <c r="AV75" s="18">
        <v>0</v>
      </c>
      <c r="AW75" s="2">
        <v>0</v>
      </c>
      <c r="AX75" s="2">
        <v>0</v>
      </c>
      <c r="AY75" s="2">
        <v>0</v>
      </c>
      <c r="AZ75" s="2">
        <v>1</v>
      </c>
      <c r="BA75" s="2">
        <v>0</v>
      </c>
      <c r="BB75" s="2">
        <v>0</v>
      </c>
      <c r="BC75" s="2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3.5</v>
      </c>
      <c r="BJ75" s="11" t="s">
        <v>760</v>
      </c>
    </row>
    <row r="76" spans="1:62" ht="13.5" customHeight="1" x14ac:dyDescent="0.25">
      <c r="A76" s="24" t="str">
        <f t="shared" si="6"/>
        <v>F058</v>
      </c>
      <c r="B76" t="str">
        <f t="shared" si="7"/>
        <v>139</v>
      </c>
      <c r="C76" s="24" t="str">
        <f t="shared" si="8"/>
        <v>749</v>
      </c>
      <c r="D7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76" s="19">
        <f>IF(Montageplatten[[#This Row],[37/32]]=1,1,IF(Montageplatten[[#This Row],[28/32]]=1,2,0))</f>
        <v>1</v>
      </c>
      <c r="G7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6" s="19">
        <f>IF(Montageplatten[[#This Row],[Typ]]+Montageplatten[[#This Row],[Befestigung]]=2,1,0)</f>
        <v>1</v>
      </c>
      <c r="I76" s="19">
        <f>IF(Montageplatten[[#This Row],[Randbedingungen]]+IF(Montageplatten[[#This Row],[Höhe]]=select!$B$70,1,0)=2,1,0)</f>
        <v>0</v>
      </c>
      <c r="J76" s="19">
        <f>IF(Montageplatten[[#This Row],[Randbedingungen]]+IF(Montageplatten[[#This Row],[Höhe]]=select!$D$70,1,0)=2,1,0)</f>
        <v>0</v>
      </c>
      <c r="K76" s="19">
        <f>IF(Montageplatten[[#This Row],[Randbedingungen]]+IF(Montageplatten[[#This Row],[Höhe]]=select!$F$70,1,0)=2,1,0)</f>
        <v>0</v>
      </c>
      <c r="L76" s="19">
        <f>IF(Montageplatten[[#This Row],[Randbedingungen]]+IF(Montageplatten[[#This Row],[Höhe]]=select!$H$70,1,0)=2,1,0)</f>
        <v>0</v>
      </c>
      <c r="M7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6" s="67">
        <f>IF(select!$M$317=Montageplatten[[#This Row],[Höhe]],1,0)</f>
        <v>0</v>
      </c>
      <c r="P7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76" s="67">
        <f>IF(Montageplatten[[#This Row],[Typ_winkel]]+Montageplatten[[#This Row],[Befest_Winkel]]=2,1,0)</f>
        <v>1</v>
      </c>
      <c r="S76" s="67">
        <f>IF(Montageplatten[[#This Row],[MPH Winkel]]+Montageplatten[[#This Row],[Typ_winkel]]+Montageplatten[[#This Row],[Befest_Winkel]]=3,1,0)</f>
        <v>0</v>
      </c>
      <c r="T76" s="295">
        <f ca="1">IF(select!$M$746=Montageplatten[[#This Row],[Höhe]],1,0)</f>
        <v>0</v>
      </c>
      <c r="U7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76" s="67">
        <f>IF(Montageplatten[[#This Row],[Typ Spezial]]+Montageplatten[[#This Row],[Befest Spezial]]=2,1,0)</f>
        <v>1</v>
      </c>
      <c r="X76" s="67">
        <f ca="1">IF(Montageplatten[[#This Row],[MPH Spezial]]+Montageplatten[[#This Row],[Typ Spezial]]+Montageplatten[[#This Row],[Befest Spezial]]=3,1,0)</f>
        <v>0</v>
      </c>
      <c r="Y76" s="67" t="e">
        <f ca="1">IF(Montageplatten[[#This Row],[AG Rand]]+IF(Montageplatten[[#This Row],[Höhe]]=select!$C$1212,1,0)=2,1,0)</f>
        <v>#VALUE!</v>
      </c>
      <c r="Z76" s="67" t="e">
        <f ca="1">IF(Montageplatten[[#This Row],[AG Rand]]+IF(Montageplatten[[#This Row],[Höhe]]=select!$E$1212,1,0)=2,1,0)</f>
        <v>#VALUE!</v>
      </c>
      <c r="AA76" s="67" t="e">
        <f ca="1">IF(Montageplatten[[#This Row],[AG Rand]]+IF(Montageplatten[[#This Row],[Höhe]]=select!$G$1212,1,0)=2,1,0)</f>
        <v>#VALUE!</v>
      </c>
      <c r="AB76" s="67" t="e">
        <f ca="1">IF(Montageplatten[[#This Row],[AG Rand]]+IF(Montageplatten[[#This Row],[Höhe]]=select!$I$1212,1,0)=2,1,0)</f>
        <v>#VALUE!</v>
      </c>
      <c r="AC7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76" s="67">
        <f>IF(Montageplatten[[#This Row],[AG Typ]]+Montageplatten[[#This Row],[AG Bef]]=2,1,0)</f>
        <v>1</v>
      </c>
      <c r="AG7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6" s="67">
        <f ca="1">IF(Montageplatten[[#This Row],[AG MPH]]+Montageplatten[[#This Row],[AG Typ]]+Montageplatten[[#This Row],[AG Bef]]=3,1,0)</f>
        <v>0</v>
      </c>
      <c r="AJ76" s="67">
        <f ca="1">IF(select!$K$980="*",Montageplatten[[#This Row],[AG Ges2]],Montageplatten[[#This Row],[AG Ges1]])</f>
        <v>0</v>
      </c>
      <c r="AK7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76" s="67">
        <f>IF(Montageplatten[[#This Row],[konf Typ]]+Montageplatten[[#This Row],[konf Befest]]=2,1,0)</f>
        <v>1</v>
      </c>
      <c r="AN7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6" s="67">
        <f ca="1">IF(Montageplatten[[#This Row],[konf Rahmenbed]]+Montageplatten[[#This Row],[konf MPH]]=2,1,0)</f>
        <v>0</v>
      </c>
      <c r="AP76" s="26" t="str">
        <f ca="1">Sprache!$A$136</f>
        <v>1D Kreuz Mtg-Platte</v>
      </c>
      <c r="AQ76" t="s">
        <v>2234</v>
      </c>
      <c r="AR76" t="str">
        <f ca="1">Sprache!$A$134</f>
        <v>Tiomos Montageplatten</v>
      </c>
      <c r="AS76" s="18">
        <v>1</v>
      </c>
      <c r="AT76" s="18">
        <v>0</v>
      </c>
      <c r="AU76" s="18">
        <v>0</v>
      </c>
      <c r="AV76" s="18">
        <v>0</v>
      </c>
      <c r="AW76" s="2">
        <v>0</v>
      </c>
      <c r="AX76" s="2">
        <v>1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3.5</v>
      </c>
      <c r="BJ76" s="11" t="s">
        <v>765</v>
      </c>
    </row>
    <row r="77" spans="1:62" ht="13.5" customHeight="1" x14ac:dyDescent="0.25">
      <c r="A77" s="24" t="str">
        <f t="shared" si="6"/>
        <v>F058</v>
      </c>
      <c r="B77" t="str">
        <f t="shared" si="7"/>
        <v>139</v>
      </c>
      <c r="C77" s="24" t="str">
        <f t="shared" si="8"/>
        <v>754</v>
      </c>
      <c r="D7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7" s="19">
        <f>IF(Montageplatten[[#This Row],[37/32]]=1,1,IF(Montageplatten[[#This Row],[28/32]]=1,2,0))</f>
        <v>1</v>
      </c>
      <c r="G7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7" s="19">
        <f>IF(Montageplatten[[#This Row],[Typ]]+Montageplatten[[#This Row],[Befestigung]]=2,1,0)</f>
        <v>0</v>
      </c>
      <c r="I77" s="19">
        <f>IF(Montageplatten[[#This Row],[Randbedingungen]]+IF(Montageplatten[[#This Row],[Höhe]]=select!$B$70,1,0)=2,1,0)</f>
        <v>0</v>
      </c>
      <c r="J77" s="19">
        <f>IF(Montageplatten[[#This Row],[Randbedingungen]]+IF(Montageplatten[[#This Row],[Höhe]]=select!$D$70,1,0)=2,1,0)</f>
        <v>0</v>
      </c>
      <c r="K77" s="19">
        <f>IF(Montageplatten[[#This Row],[Randbedingungen]]+IF(Montageplatten[[#This Row],[Höhe]]=select!$F$70,1,0)=2,1,0)</f>
        <v>0</v>
      </c>
      <c r="L77" s="19">
        <f>IF(Montageplatten[[#This Row],[Randbedingungen]]+IF(Montageplatten[[#This Row],[Höhe]]=select!$H$70,1,0)=2,1,0)</f>
        <v>0</v>
      </c>
      <c r="M7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7" s="67">
        <f>IF(select!$M$317=Montageplatten[[#This Row],[Höhe]],1,0)</f>
        <v>0</v>
      </c>
      <c r="P7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7" s="67">
        <f>IF(Montageplatten[[#This Row],[Typ_winkel]]+Montageplatten[[#This Row],[Befest_Winkel]]=2,1,0)</f>
        <v>0</v>
      </c>
      <c r="S77" s="67">
        <f>IF(Montageplatten[[#This Row],[MPH Winkel]]+Montageplatten[[#This Row],[Typ_winkel]]+Montageplatten[[#This Row],[Befest_Winkel]]=3,1,0)</f>
        <v>0</v>
      </c>
      <c r="T77" s="295">
        <f ca="1">IF(select!$M$746=Montageplatten[[#This Row],[Höhe]],1,0)</f>
        <v>0</v>
      </c>
      <c r="U7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7" s="67">
        <f>IF(Montageplatten[[#This Row],[Typ Spezial]]+Montageplatten[[#This Row],[Befest Spezial]]=2,1,0)</f>
        <v>0</v>
      </c>
      <c r="X77" s="67">
        <f ca="1">IF(Montageplatten[[#This Row],[MPH Spezial]]+Montageplatten[[#This Row],[Typ Spezial]]+Montageplatten[[#This Row],[Befest Spezial]]=3,1,0)</f>
        <v>0</v>
      </c>
      <c r="Y77" s="67" t="e">
        <f ca="1">IF(Montageplatten[[#This Row],[AG Rand]]+IF(Montageplatten[[#This Row],[Höhe]]=select!$C$1212,1,0)=2,1,0)</f>
        <v>#VALUE!</v>
      </c>
      <c r="Z77" s="67" t="e">
        <f ca="1">IF(Montageplatten[[#This Row],[AG Rand]]+IF(Montageplatten[[#This Row],[Höhe]]=select!$E$1212,1,0)=2,1,0)</f>
        <v>#VALUE!</v>
      </c>
      <c r="AA77" s="67" t="e">
        <f ca="1">IF(Montageplatten[[#This Row],[AG Rand]]+IF(Montageplatten[[#This Row],[Höhe]]=select!$G$1212,1,0)=2,1,0)</f>
        <v>#VALUE!</v>
      </c>
      <c r="AB77" s="67" t="e">
        <f ca="1">IF(Montageplatten[[#This Row],[AG Rand]]+IF(Montageplatten[[#This Row],[Höhe]]=select!$I$1212,1,0)=2,1,0)</f>
        <v>#VALUE!</v>
      </c>
      <c r="AC7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7" s="67">
        <f>IF(Montageplatten[[#This Row],[AG Typ]]+Montageplatten[[#This Row],[AG Bef]]=2,1,0)</f>
        <v>0</v>
      </c>
      <c r="AG7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7" s="67">
        <f ca="1">IF(Montageplatten[[#This Row],[AG MPH]]+Montageplatten[[#This Row],[AG Typ]]+Montageplatten[[#This Row],[AG Bef]]=3,1,0)</f>
        <v>0</v>
      </c>
      <c r="AJ77" s="67">
        <f ca="1">IF(select!$K$980="*",Montageplatten[[#This Row],[AG Ges2]],Montageplatten[[#This Row],[AG Ges1]])</f>
        <v>0</v>
      </c>
      <c r="AK7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7" s="67">
        <f>IF(Montageplatten[[#This Row],[konf Typ]]+Montageplatten[[#This Row],[konf Befest]]=2,1,0)</f>
        <v>0</v>
      </c>
      <c r="AN7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7" s="67">
        <f ca="1">IF(Montageplatten[[#This Row],[konf Rahmenbed]]+Montageplatten[[#This Row],[konf MPH]]=2,1,0)</f>
        <v>0</v>
      </c>
      <c r="AP77" s="26" t="str">
        <f ca="1">Sprache!$A$136</f>
        <v>1D Kreuz Mtg-Platte</v>
      </c>
      <c r="AQ77" t="s">
        <v>2235</v>
      </c>
      <c r="AR77" t="str">
        <f ca="1">Sprache!$A$134</f>
        <v>Tiomos Montageplatten</v>
      </c>
      <c r="AS77" s="18">
        <v>1</v>
      </c>
      <c r="AT77" s="18">
        <v>0</v>
      </c>
      <c r="AU77" s="18">
        <v>0</v>
      </c>
      <c r="AV77" s="18">
        <v>0</v>
      </c>
      <c r="AW77" s="2">
        <v>1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>
        <v>1</v>
      </c>
      <c r="BE77">
        <v>0</v>
      </c>
      <c r="BF77">
        <v>0</v>
      </c>
      <c r="BG77">
        <v>0</v>
      </c>
      <c r="BH77">
        <v>0</v>
      </c>
      <c r="BI77">
        <v>3.5</v>
      </c>
      <c r="BJ77" s="11" t="s">
        <v>46</v>
      </c>
    </row>
    <row r="78" spans="1:62" ht="13.5" customHeight="1" x14ac:dyDescent="0.25">
      <c r="A78" s="24" t="str">
        <f t="shared" si="6"/>
        <v>F058</v>
      </c>
      <c r="B78" t="str">
        <f t="shared" si="7"/>
        <v>139</v>
      </c>
      <c r="C78" s="24" t="str">
        <f t="shared" si="8"/>
        <v>759</v>
      </c>
      <c r="D7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8" s="19">
        <f>IF(Montageplatten[[#This Row],[37/32]]=1,1,IF(Montageplatten[[#This Row],[28/32]]=1,2,0))</f>
        <v>1</v>
      </c>
      <c r="G7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8" s="19">
        <f>IF(Montageplatten[[#This Row],[Typ]]+Montageplatten[[#This Row],[Befestigung]]=2,1,0)</f>
        <v>0</v>
      </c>
      <c r="I78" s="19">
        <f>IF(Montageplatten[[#This Row],[Randbedingungen]]+IF(Montageplatten[[#This Row],[Höhe]]=select!$B$70,1,0)=2,1,0)</f>
        <v>0</v>
      </c>
      <c r="J78" s="19">
        <f>IF(Montageplatten[[#This Row],[Randbedingungen]]+IF(Montageplatten[[#This Row],[Höhe]]=select!$D$70,1,0)=2,1,0)</f>
        <v>0</v>
      </c>
      <c r="K78" s="19">
        <f>IF(Montageplatten[[#This Row],[Randbedingungen]]+IF(Montageplatten[[#This Row],[Höhe]]=select!$F$70,1,0)=2,1,0)</f>
        <v>0</v>
      </c>
      <c r="L78" s="19">
        <f>IF(Montageplatten[[#This Row],[Randbedingungen]]+IF(Montageplatten[[#This Row],[Höhe]]=select!$H$70,1,0)=2,1,0)</f>
        <v>0</v>
      </c>
      <c r="M7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8" s="67">
        <f>IF(select!$M$317=Montageplatten[[#This Row],[Höhe]],1,0)</f>
        <v>0</v>
      </c>
      <c r="P7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8" s="67">
        <f>IF(Montageplatten[[#This Row],[Typ_winkel]]+Montageplatten[[#This Row],[Befest_Winkel]]=2,1,0)</f>
        <v>0</v>
      </c>
      <c r="S78" s="67">
        <f>IF(Montageplatten[[#This Row],[MPH Winkel]]+Montageplatten[[#This Row],[Typ_winkel]]+Montageplatten[[#This Row],[Befest_Winkel]]=3,1,0)</f>
        <v>0</v>
      </c>
      <c r="T78" s="295">
        <f ca="1">IF(select!$M$746=Montageplatten[[#This Row],[Höhe]],1,0)</f>
        <v>0</v>
      </c>
      <c r="U7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8" s="67">
        <f>IF(Montageplatten[[#This Row],[Typ Spezial]]+Montageplatten[[#This Row],[Befest Spezial]]=2,1,0)</f>
        <v>0</v>
      </c>
      <c r="X78" s="67">
        <f ca="1">IF(Montageplatten[[#This Row],[MPH Spezial]]+Montageplatten[[#This Row],[Typ Spezial]]+Montageplatten[[#This Row],[Befest Spezial]]=3,1,0)</f>
        <v>0</v>
      </c>
      <c r="Y78" s="67" t="e">
        <f ca="1">IF(Montageplatten[[#This Row],[AG Rand]]+IF(Montageplatten[[#This Row],[Höhe]]=select!$C$1212,1,0)=2,1,0)</f>
        <v>#VALUE!</v>
      </c>
      <c r="Z78" s="67" t="e">
        <f ca="1">IF(Montageplatten[[#This Row],[AG Rand]]+IF(Montageplatten[[#This Row],[Höhe]]=select!$E$1212,1,0)=2,1,0)</f>
        <v>#VALUE!</v>
      </c>
      <c r="AA78" s="67" t="e">
        <f ca="1">IF(Montageplatten[[#This Row],[AG Rand]]+IF(Montageplatten[[#This Row],[Höhe]]=select!$G$1212,1,0)=2,1,0)</f>
        <v>#VALUE!</v>
      </c>
      <c r="AB78" s="67" t="e">
        <f ca="1">IF(Montageplatten[[#This Row],[AG Rand]]+IF(Montageplatten[[#This Row],[Höhe]]=select!$I$1212,1,0)=2,1,0)</f>
        <v>#VALUE!</v>
      </c>
      <c r="AC7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8" s="67">
        <f>IF(Montageplatten[[#This Row],[AG Typ]]+Montageplatten[[#This Row],[AG Bef]]=2,1,0)</f>
        <v>0</v>
      </c>
      <c r="AG7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8" s="67">
        <f ca="1">IF(Montageplatten[[#This Row],[AG MPH]]+Montageplatten[[#This Row],[AG Typ]]+Montageplatten[[#This Row],[AG Bef]]=3,1,0)</f>
        <v>0</v>
      </c>
      <c r="AJ78" s="67">
        <f ca="1">IF(select!$K$980="*",Montageplatten[[#This Row],[AG Ges2]],Montageplatten[[#This Row],[AG Ges1]])</f>
        <v>0</v>
      </c>
      <c r="AK7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8" s="67">
        <f>IF(Montageplatten[[#This Row],[konf Typ]]+Montageplatten[[#This Row],[konf Befest]]=2,1,0)</f>
        <v>0</v>
      </c>
      <c r="AN7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8" s="67">
        <f ca="1">IF(Montageplatten[[#This Row],[konf Rahmenbed]]+Montageplatten[[#This Row],[konf MPH]]=2,1,0)</f>
        <v>0</v>
      </c>
      <c r="AP78" s="26" t="str">
        <f ca="1">Sprache!$A$136</f>
        <v>1D Kreuz Mtg-Platte</v>
      </c>
      <c r="AQ78" t="s">
        <v>2237</v>
      </c>
      <c r="AR78" t="str">
        <f ca="1">Sprache!$A$134</f>
        <v>Tiomos Montageplatten</v>
      </c>
      <c r="AS78" s="18">
        <v>1</v>
      </c>
      <c r="AT78" s="18">
        <v>0</v>
      </c>
      <c r="AU78" s="18">
        <v>0</v>
      </c>
      <c r="AV78" s="18">
        <v>0</v>
      </c>
      <c r="AW78" s="2">
        <v>0</v>
      </c>
      <c r="AX78" s="2">
        <v>0</v>
      </c>
      <c r="AY78" s="2">
        <v>1</v>
      </c>
      <c r="AZ78" s="2">
        <v>0</v>
      </c>
      <c r="BA78" s="2">
        <v>0</v>
      </c>
      <c r="BB78" s="2">
        <v>0</v>
      </c>
      <c r="BC78" s="2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3.5</v>
      </c>
      <c r="BJ78" s="11" t="s">
        <v>772</v>
      </c>
    </row>
    <row r="79" spans="1:62" ht="13.5" customHeight="1" x14ac:dyDescent="0.25">
      <c r="A79" s="24" t="str">
        <f t="shared" si="6"/>
        <v>F058</v>
      </c>
      <c r="B79" t="str">
        <f t="shared" si="7"/>
        <v>139</v>
      </c>
      <c r="C79" s="24" t="str">
        <f t="shared" si="8"/>
        <v>764</v>
      </c>
      <c r="D7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7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79" s="19">
        <f>IF(Montageplatten[[#This Row],[37/32]]=1,1,IF(Montageplatten[[#This Row],[28/32]]=1,2,0))</f>
        <v>1</v>
      </c>
      <c r="G7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79" s="19">
        <f>IF(Montageplatten[[#This Row],[Typ]]+Montageplatten[[#This Row],[Befestigung]]=2,1,0)</f>
        <v>0</v>
      </c>
      <c r="I79" s="19">
        <f>IF(Montageplatten[[#This Row],[Randbedingungen]]+IF(Montageplatten[[#This Row],[Höhe]]=select!$B$70,1,0)=2,1,0)</f>
        <v>0</v>
      </c>
      <c r="J79" s="19">
        <f>IF(Montageplatten[[#This Row],[Randbedingungen]]+IF(Montageplatten[[#This Row],[Höhe]]=select!$D$70,1,0)=2,1,0)</f>
        <v>0</v>
      </c>
      <c r="K79" s="19">
        <f>IF(Montageplatten[[#This Row],[Randbedingungen]]+IF(Montageplatten[[#This Row],[Höhe]]=select!$F$70,1,0)=2,1,0)</f>
        <v>0</v>
      </c>
      <c r="L79" s="19">
        <f>IF(Montageplatten[[#This Row],[Randbedingungen]]+IF(Montageplatten[[#This Row],[Höhe]]=select!$H$70,1,0)=2,1,0)</f>
        <v>0</v>
      </c>
      <c r="M7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7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79" s="67">
        <f>IF(select!$M$317=Montageplatten[[#This Row],[Höhe]],1,0)</f>
        <v>0</v>
      </c>
      <c r="P7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7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79" s="67">
        <f>IF(Montageplatten[[#This Row],[Typ_winkel]]+Montageplatten[[#This Row],[Befest_Winkel]]=2,1,0)</f>
        <v>0</v>
      </c>
      <c r="S79" s="67">
        <f>IF(Montageplatten[[#This Row],[MPH Winkel]]+Montageplatten[[#This Row],[Typ_winkel]]+Montageplatten[[#This Row],[Befest_Winkel]]=3,1,0)</f>
        <v>0</v>
      </c>
      <c r="T79" s="295">
        <f ca="1">IF(select!$M$746=Montageplatten[[#This Row],[Höhe]],1,0)</f>
        <v>0</v>
      </c>
      <c r="U7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7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79" s="67">
        <f>IF(Montageplatten[[#This Row],[Typ Spezial]]+Montageplatten[[#This Row],[Befest Spezial]]=2,1,0)</f>
        <v>0</v>
      </c>
      <c r="X79" s="67">
        <f ca="1">IF(Montageplatten[[#This Row],[MPH Spezial]]+Montageplatten[[#This Row],[Typ Spezial]]+Montageplatten[[#This Row],[Befest Spezial]]=3,1,0)</f>
        <v>0</v>
      </c>
      <c r="Y79" s="67" t="e">
        <f ca="1">IF(Montageplatten[[#This Row],[AG Rand]]+IF(Montageplatten[[#This Row],[Höhe]]=select!$C$1212,1,0)=2,1,0)</f>
        <v>#VALUE!</v>
      </c>
      <c r="Z79" s="67" t="e">
        <f ca="1">IF(Montageplatten[[#This Row],[AG Rand]]+IF(Montageplatten[[#This Row],[Höhe]]=select!$E$1212,1,0)=2,1,0)</f>
        <v>#VALUE!</v>
      </c>
      <c r="AA79" s="67" t="e">
        <f ca="1">IF(Montageplatten[[#This Row],[AG Rand]]+IF(Montageplatten[[#This Row],[Höhe]]=select!$G$1212,1,0)=2,1,0)</f>
        <v>#VALUE!</v>
      </c>
      <c r="AB79" s="67" t="e">
        <f ca="1">IF(Montageplatten[[#This Row],[AG Rand]]+IF(Montageplatten[[#This Row],[Höhe]]=select!$I$1212,1,0)=2,1,0)</f>
        <v>#VALUE!</v>
      </c>
      <c r="AC7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7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7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79" s="67">
        <f>IF(Montageplatten[[#This Row],[AG Typ]]+Montageplatten[[#This Row],[AG Bef]]=2,1,0)</f>
        <v>0</v>
      </c>
      <c r="AG7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7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79" s="67">
        <f ca="1">IF(Montageplatten[[#This Row],[AG MPH]]+Montageplatten[[#This Row],[AG Typ]]+Montageplatten[[#This Row],[AG Bef]]=3,1,0)</f>
        <v>0</v>
      </c>
      <c r="AJ79" s="67">
        <f ca="1">IF(select!$K$980="*",Montageplatten[[#This Row],[AG Ges2]],Montageplatten[[#This Row],[AG Ges1]])</f>
        <v>0</v>
      </c>
      <c r="AK7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7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79" s="67">
        <f>IF(Montageplatten[[#This Row],[konf Typ]]+Montageplatten[[#This Row],[konf Befest]]=2,1,0)</f>
        <v>0</v>
      </c>
      <c r="AN7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79" s="67">
        <f ca="1">IF(Montageplatten[[#This Row],[konf Rahmenbed]]+Montageplatten[[#This Row],[konf MPH]]=2,1,0)</f>
        <v>0</v>
      </c>
      <c r="AP79" s="26" t="str">
        <f ca="1">Sprache!$A$136</f>
        <v>1D Kreuz Mtg-Platte</v>
      </c>
      <c r="AQ79" t="str">
        <f ca="1">"H 3,5, "&amp;Sprache!A71&amp;", ni /37"</f>
        <v>H 3,5, vorm. Euro, ni /37</v>
      </c>
      <c r="AR79" t="str">
        <f ca="1">Sprache!$A$134</f>
        <v>Tiomos Montageplatten</v>
      </c>
      <c r="AS79" s="18">
        <v>1</v>
      </c>
      <c r="AT79" s="18">
        <v>0</v>
      </c>
      <c r="AU79" s="18">
        <v>0</v>
      </c>
      <c r="AV79" s="18">
        <v>0</v>
      </c>
      <c r="AW79" s="2">
        <v>0</v>
      </c>
      <c r="AX79" s="2">
        <v>0</v>
      </c>
      <c r="AY79" s="2">
        <v>0</v>
      </c>
      <c r="AZ79" s="2">
        <v>1</v>
      </c>
      <c r="BA79" s="2">
        <v>0</v>
      </c>
      <c r="BB79" s="2">
        <v>0</v>
      </c>
      <c r="BC79" s="2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3.5</v>
      </c>
      <c r="BJ79" s="11" t="s">
        <v>776</v>
      </c>
    </row>
    <row r="80" spans="1:62" ht="13.5" customHeight="1" x14ac:dyDescent="0.25">
      <c r="A80" s="24" t="str">
        <f t="shared" si="6"/>
        <v>F058</v>
      </c>
      <c r="B80" t="str">
        <f t="shared" si="7"/>
        <v>139</v>
      </c>
      <c r="C80" s="24" t="str">
        <f t="shared" si="8"/>
        <v>789</v>
      </c>
      <c r="D8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0" s="19">
        <f>IF(Montageplatten[[#This Row],[37/32]]=1,1,IF(Montageplatten[[#This Row],[28/32]]=1,2,0))</f>
        <v>2</v>
      </c>
      <c r="G8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0" s="19">
        <f>IF(Montageplatten[[#This Row],[Typ]]+Montageplatten[[#This Row],[Befestigung]]=2,1,0)</f>
        <v>0</v>
      </c>
      <c r="I80" s="19">
        <f>IF(Montageplatten[[#This Row],[Randbedingungen]]+IF(Montageplatten[[#This Row],[Höhe]]=select!$B$70,1,0)=2,1,0)</f>
        <v>0</v>
      </c>
      <c r="J80" s="19">
        <f>IF(Montageplatten[[#This Row],[Randbedingungen]]+IF(Montageplatten[[#This Row],[Höhe]]=select!$D$70,1,0)=2,1,0)</f>
        <v>0</v>
      </c>
      <c r="K80" s="19">
        <f>IF(Montageplatten[[#This Row],[Randbedingungen]]+IF(Montageplatten[[#This Row],[Höhe]]=select!$F$70,1,0)=2,1,0)</f>
        <v>0</v>
      </c>
      <c r="L80" s="19">
        <f>IF(Montageplatten[[#This Row],[Randbedingungen]]+IF(Montageplatten[[#This Row],[Höhe]]=select!$H$70,1,0)=2,1,0)</f>
        <v>0</v>
      </c>
      <c r="M8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0" s="67">
        <f>IF(select!$M$317=Montageplatten[[#This Row],[Höhe]],1,0)</f>
        <v>0</v>
      </c>
      <c r="P8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0" s="67">
        <f>IF(Montageplatten[[#This Row],[Typ_winkel]]+Montageplatten[[#This Row],[Befest_Winkel]]=2,1,0)</f>
        <v>0</v>
      </c>
      <c r="S80" s="67">
        <f>IF(Montageplatten[[#This Row],[MPH Winkel]]+Montageplatten[[#This Row],[Typ_winkel]]+Montageplatten[[#This Row],[Befest_Winkel]]=3,1,0)</f>
        <v>0</v>
      </c>
      <c r="T80" s="295">
        <f ca="1">IF(select!$M$746=Montageplatten[[#This Row],[Höhe]],1,0)</f>
        <v>0</v>
      </c>
      <c r="U8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0" s="67">
        <f>IF(Montageplatten[[#This Row],[Typ Spezial]]+Montageplatten[[#This Row],[Befest Spezial]]=2,1,0)</f>
        <v>0</v>
      </c>
      <c r="X80" s="67">
        <f ca="1">IF(Montageplatten[[#This Row],[MPH Spezial]]+Montageplatten[[#This Row],[Typ Spezial]]+Montageplatten[[#This Row],[Befest Spezial]]=3,1,0)</f>
        <v>0</v>
      </c>
      <c r="Y80" s="67" t="e">
        <f ca="1">IF(Montageplatten[[#This Row],[AG Rand]]+IF(Montageplatten[[#This Row],[Höhe]]=select!$C$1212,1,0)=2,1,0)</f>
        <v>#VALUE!</v>
      </c>
      <c r="Z80" s="67" t="e">
        <f ca="1">IF(Montageplatten[[#This Row],[AG Rand]]+IF(Montageplatten[[#This Row],[Höhe]]=select!$E$1212,1,0)=2,1,0)</f>
        <v>#VALUE!</v>
      </c>
      <c r="AA80" s="67" t="e">
        <f ca="1">IF(Montageplatten[[#This Row],[AG Rand]]+IF(Montageplatten[[#This Row],[Höhe]]=select!$G$1212,1,0)=2,1,0)</f>
        <v>#VALUE!</v>
      </c>
      <c r="AB80" s="67" t="e">
        <f ca="1">IF(Montageplatten[[#This Row],[AG Rand]]+IF(Montageplatten[[#This Row],[Höhe]]=select!$I$1212,1,0)=2,1,0)</f>
        <v>#VALUE!</v>
      </c>
      <c r="AC8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0" s="67">
        <f>IF(Montageplatten[[#This Row],[AG Typ]]+Montageplatten[[#This Row],[AG Bef]]=2,1,0)</f>
        <v>0</v>
      </c>
      <c r="AG8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0" s="67">
        <f ca="1">IF(Montageplatten[[#This Row],[AG MPH]]+Montageplatten[[#This Row],[AG Typ]]+Montageplatten[[#This Row],[AG Bef]]=3,1,0)</f>
        <v>0</v>
      </c>
      <c r="AJ80" s="67">
        <f ca="1">IF(select!$K$980="*",Montageplatten[[#This Row],[AG Ges2]],Montageplatten[[#This Row],[AG Ges1]])</f>
        <v>0</v>
      </c>
      <c r="AK8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0" s="67">
        <f>IF(Montageplatten[[#This Row],[konf Typ]]+Montageplatten[[#This Row],[konf Befest]]=2,1,0)</f>
        <v>0</v>
      </c>
      <c r="AN8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0" s="67">
        <f ca="1">IF(Montageplatten[[#This Row],[konf Rahmenbed]]+Montageplatten[[#This Row],[konf MPH]]=2,1,0)</f>
        <v>0</v>
      </c>
      <c r="AP80" s="26" t="str">
        <f ca="1">Sprache!$A$137</f>
        <v>Eco Kreuz Mtg-Platte</v>
      </c>
      <c r="AQ80" t="s">
        <v>2238</v>
      </c>
      <c r="AR80" t="str">
        <f ca="1">Sprache!$A$134</f>
        <v>Tiomos Montageplatten</v>
      </c>
      <c r="AS80" s="18">
        <v>1</v>
      </c>
      <c r="AT80" s="18">
        <v>0</v>
      </c>
      <c r="AU80" s="18">
        <v>0</v>
      </c>
      <c r="AV80" s="18">
        <v>0</v>
      </c>
      <c r="AW80" s="2">
        <v>0</v>
      </c>
      <c r="AX80" s="2">
        <v>0</v>
      </c>
      <c r="AY80" s="2">
        <v>0</v>
      </c>
      <c r="AZ80" s="2">
        <v>1</v>
      </c>
      <c r="BA80" s="2">
        <v>0</v>
      </c>
      <c r="BB80" s="2">
        <v>0</v>
      </c>
      <c r="BC80" s="2">
        <v>0</v>
      </c>
      <c r="BD80">
        <v>0</v>
      </c>
      <c r="BE80">
        <v>1</v>
      </c>
      <c r="BF80">
        <v>0</v>
      </c>
      <c r="BG80">
        <v>0</v>
      </c>
      <c r="BH80">
        <v>0</v>
      </c>
      <c r="BI80">
        <v>3.5</v>
      </c>
      <c r="BJ80" s="11" t="s">
        <v>785</v>
      </c>
    </row>
    <row r="81" spans="1:62" ht="13.5" customHeight="1" x14ac:dyDescent="0.25">
      <c r="A81" s="24" t="str">
        <f t="shared" si="6"/>
        <v>F058</v>
      </c>
      <c r="B81" t="str">
        <f t="shared" si="7"/>
        <v>139</v>
      </c>
      <c r="C81" s="24" t="str">
        <f t="shared" si="8"/>
        <v>799</v>
      </c>
      <c r="D8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81" s="19">
        <f>IF(Montageplatten[[#This Row],[37/32]]=1,1,IF(Montageplatten[[#This Row],[28/32]]=1,2,0))</f>
        <v>2</v>
      </c>
      <c r="G8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1" s="19">
        <f>IF(Montageplatten[[#This Row],[Typ]]+Montageplatten[[#This Row],[Befestigung]]=2,1,0)</f>
        <v>1</v>
      </c>
      <c r="I81" s="19">
        <f>IF(Montageplatten[[#This Row],[Randbedingungen]]+IF(Montageplatten[[#This Row],[Höhe]]=select!$B$70,1,0)=2,1,0)</f>
        <v>0</v>
      </c>
      <c r="J81" s="19">
        <f>IF(Montageplatten[[#This Row],[Randbedingungen]]+IF(Montageplatten[[#This Row],[Höhe]]=select!$D$70,1,0)=2,1,0)</f>
        <v>0</v>
      </c>
      <c r="K81" s="19">
        <f>IF(Montageplatten[[#This Row],[Randbedingungen]]+IF(Montageplatten[[#This Row],[Höhe]]=select!$F$70,1,0)=2,1,0)</f>
        <v>0</v>
      </c>
      <c r="L81" s="19">
        <f>IF(Montageplatten[[#This Row],[Randbedingungen]]+IF(Montageplatten[[#This Row],[Höhe]]=select!$H$70,1,0)=2,1,0)</f>
        <v>0</v>
      </c>
      <c r="M8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1" s="67">
        <f>IF(select!$M$317=Montageplatten[[#This Row],[Höhe]],1,0)</f>
        <v>0</v>
      </c>
      <c r="P8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81" s="67">
        <f>IF(Montageplatten[[#This Row],[Typ_winkel]]+Montageplatten[[#This Row],[Befest_Winkel]]=2,1,0)</f>
        <v>1</v>
      </c>
      <c r="S81" s="67">
        <f>IF(Montageplatten[[#This Row],[MPH Winkel]]+Montageplatten[[#This Row],[Typ_winkel]]+Montageplatten[[#This Row],[Befest_Winkel]]=3,1,0)</f>
        <v>0</v>
      </c>
      <c r="T81" s="295">
        <f ca="1">IF(select!$M$746=Montageplatten[[#This Row],[Höhe]],1,0)</f>
        <v>0</v>
      </c>
      <c r="U8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81" s="67">
        <f>IF(Montageplatten[[#This Row],[Typ Spezial]]+Montageplatten[[#This Row],[Befest Spezial]]=2,1,0)</f>
        <v>1</v>
      </c>
      <c r="X81" s="67">
        <f ca="1">IF(Montageplatten[[#This Row],[MPH Spezial]]+Montageplatten[[#This Row],[Typ Spezial]]+Montageplatten[[#This Row],[Befest Spezial]]=3,1,0)</f>
        <v>0</v>
      </c>
      <c r="Y81" s="67" t="e">
        <f ca="1">IF(Montageplatten[[#This Row],[AG Rand]]+IF(Montageplatten[[#This Row],[Höhe]]=select!$C$1212,1,0)=2,1,0)</f>
        <v>#VALUE!</v>
      </c>
      <c r="Z81" s="67" t="e">
        <f ca="1">IF(Montageplatten[[#This Row],[AG Rand]]+IF(Montageplatten[[#This Row],[Höhe]]=select!$E$1212,1,0)=2,1,0)</f>
        <v>#VALUE!</v>
      </c>
      <c r="AA81" s="67" t="e">
        <f ca="1">IF(Montageplatten[[#This Row],[AG Rand]]+IF(Montageplatten[[#This Row],[Höhe]]=select!$G$1212,1,0)=2,1,0)</f>
        <v>#VALUE!</v>
      </c>
      <c r="AB81" s="67" t="e">
        <f ca="1">IF(Montageplatten[[#This Row],[AG Rand]]+IF(Montageplatten[[#This Row],[Höhe]]=select!$I$1212,1,0)=2,1,0)</f>
        <v>#VALUE!</v>
      </c>
      <c r="AC8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81" s="67">
        <f>IF(Montageplatten[[#This Row],[AG Typ]]+Montageplatten[[#This Row],[AG Bef]]=2,1,0)</f>
        <v>1</v>
      </c>
      <c r="AG8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1" s="67">
        <f ca="1">IF(Montageplatten[[#This Row],[AG MPH]]+Montageplatten[[#This Row],[AG Typ]]+Montageplatten[[#This Row],[AG Bef]]=3,1,0)</f>
        <v>0</v>
      </c>
      <c r="AJ81" s="67">
        <f ca="1">IF(select!$K$980="*",Montageplatten[[#This Row],[AG Ges2]],Montageplatten[[#This Row],[AG Ges1]])</f>
        <v>0</v>
      </c>
      <c r="AK8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81" s="67">
        <f>IF(Montageplatten[[#This Row],[konf Typ]]+Montageplatten[[#This Row],[konf Befest]]=2,1,0)</f>
        <v>1</v>
      </c>
      <c r="AN8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1" s="67">
        <f ca="1">IF(Montageplatten[[#This Row],[konf Rahmenbed]]+Montageplatten[[#This Row],[konf MPH]]=2,1,0)</f>
        <v>0</v>
      </c>
      <c r="AP81" s="26" t="str">
        <f ca="1">Sprache!$A$136</f>
        <v>1D Kreuz Mtg-Platte</v>
      </c>
      <c r="AQ81" t="s">
        <v>2239</v>
      </c>
      <c r="AR81" t="str">
        <f ca="1">Sprache!$A$134</f>
        <v>Tiomos Montageplatten</v>
      </c>
      <c r="AS81" s="18">
        <v>1</v>
      </c>
      <c r="AT81" s="18">
        <v>0</v>
      </c>
      <c r="AU81" s="18">
        <v>0</v>
      </c>
      <c r="AV81" s="18">
        <v>0</v>
      </c>
      <c r="AW81" s="2">
        <v>0</v>
      </c>
      <c r="AX81" s="2">
        <v>1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>
        <v>0</v>
      </c>
      <c r="BE81">
        <v>1</v>
      </c>
      <c r="BF81">
        <v>0</v>
      </c>
      <c r="BG81">
        <v>0</v>
      </c>
      <c r="BH81">
        <v>0</v>
      </c>
      <c r="BI81">
        <v>3.5</v>
      </c>
      <c r="BJ81" s="11" t="s">
        <v>50</v>
      </c>
    </row>
    <row r="82" spans="1:62" ht="13.5" customHeight="1" x14ac:dyDescent="0.25">
      <c r="A82" s="24" t="str">
        <f t="shared" si="6"/>
        <v>F058</v>
      </c>
      <c r="B82" t="str">
        <f t="shared" si="7"/>
        <v>139</v>
      </c>
      <c r="C82" s="24" t="str">
        <f t="shared" si="8"/>
        <v>804</v>
      </c>
      <c r="D8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2" s="19">
        <f>IF(Montageplatten[[#This Row],[37/32]]=1,1,IF(Montageplatten[[#This Row],[28/32]]=1,2,0))</f>
        <v>2</v>
      </c>
      <c r="G8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2" s="19">
        <f>IF(Montageplatten[[#This Row],[Typ]]+Montageplatten[[#This Row],[Befestigung]]=2,1,0)</f>
        <v>0</v>
      </c>
      <c r="I82" s="19">
        <f>IF(Montageplatten[[#This Row],[Randbedingungen]]+IF(Montageplatten[[#This Row],[Höhe]]=select!$B$70,1,0)=2,1,0)</f>
        <v>0</v>
      </c>
      <c r="J82" s="19">
        <f>IF(Montageplatten[[#This Row],[Randbedingungen]]+IF(Montageplatten[[#This Row],[Höhe]]=select!$D$70,1,0)=2,1,0)</f>
        <v>0</v>
      </c>
      <c r="K82" s="19">
        <f>IF(Montageplatten[[#This Row],[Randbedingungen]]+IF(Montageplatten[[#This Row],[Höhe]]=select!$F$70,1,0)=2,1,0)</f>
        <v>0</v>
      </c>
      <c r="L82" s="19">
        <f>IF(Montageplatten[[#This Row],[Randbedingungen]]+IF(Montageplatten[[#This Row],[Höhe]]=select!$H$70,1,0)=2,1,0)</f>
        <v>0</v>
      </c>
      <c r="M8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2" s="67">
        <f>IF(select!$M$317=Montageplatten[[#This Row],[Höhe]],1,0)</f>
        <v>0</v>
      </c>
      <c r="P8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2" s="67">
        <f>IF(Montageplatten[[#This Row],[Typ_winkel]]+Montageplatten[[#This Row],[Befest_Winkel]]=2,1,0)</f>
        <v>0</v>
      </c>
      <c r="S82" s="67">
        <f>IF(Montageplatten[[#This Row],[MPH Winkel]]+Montageplatten[[#This Row],[Typ_winkel]]+Montageplatten[[#This Row],[Befest_Winkel]]=3,1,0)</f>
        <v>0</v>
      </c>
      <c r="T82" s="295">
        <f ca="1">IF(select!$M$746=Montageplatten[[#This Row],[Höhe]],1,0)</f>
        <v>0</v>
      </c>
      <c r="U8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2" s="67">
        <f>IF(Montageplatten[[#This Row],[Typ Spezial]]+Montageplatten[[#This Row],[Befest Spezial]]=2,1,0)</f>
        <v>0</v>
      </c>
      <c r="X82" s="67">
        <f ca="1">IF(Montageplatten[[#This Row],[MPH Spezial]]+Montageplatten[[#This Row],[Typ Spezial]]+Montageplatten[[#This Row],[Befest Spezial]]=3,1,0)</f>
        <v>0</v>
      </c>
      <c r="Y82" s="67" t="e">
        <f ca="1">IF(Montageplatten[[#This Row],[AG Rand]]+IF(Montageplatten[[#This Row],[Höhe]]=select!$C$1212,1,0)=2,1,0)</f>
        <v>#VALUE!</v>
      </c>
      <c r="Z82" s="67" t="e">
        <f ca="1">IF(Montageplatten[[#This Row],[AG Rand]]+IF(Montageplatten[[#This Row],[Höhe]]=select!$E$1212,1,0)=2,1,0)</f>
        <v>#VALUE!</v>
      </c>
      <c r="AA82" s="67" t="e">
        <f ca="1">IF(Montageplatten[[#This Row],[AG Rand]]+IF(Montageplatten[[#This Row],[Höhe]]=select!$G$1212,1,0)=2,1,0)</f>
        <v>#VALUE!</v>
      </c>
      <c r="AB82" s="67" t="e">
        <f ca="1">IF(Montageplatten[[#This Row],[AG Rand]]+IF(Montageplatten[[#This Row],[Höhe]]=select!$I$1212,1,0)=2,1,0)</f>
        <v>#VALUE!</v>
      </c>
      <c r="AC8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2" s="67">
        <f>IF(Montageplatten[[#This Row],[AG Typ]]+Montageplatten[[#This Row],[AG Bef]]=2,1,0)</f>
        <v>0</v>
      </c>
      <c r="AG8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2" s="67">
        <f ca="1">IF(Montageplatten[[#This Row],[AG MPH]]+Montageplatten[[#This Row],[AG Typ]]+Montageplatten[[#This Row],[AG Bef]]=3,1,0)</f>
        <v>0</v>
      </c>
      <c r="AJ82" s="67">
        <f ca="1">IF(select!$K$980="*",Montageplatten[[#This Row],[AG Ges2]],Montageplatten[[#This Row],[AG Ges1]])</f>
        <v>0</v>
      </c>
      <c r="AK8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2" s="67">
        <f>IF(Montageplatten[[#This Row],[konf Typ]]+Montageplatten[[#This Row],[konf Befest]]=2,1,0)</f>
        <v>0</v>
      </c>
      <c r="AN8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2" s="67">
        <f ca="1">IF(Montageplatten[[#This Row],[konf Rahmenbed]]+Montageplatten[[#This Row],[konf MPH]]=2,1,0)</f>
        <v>0</v>
      </c>
      <c r="AP82" s="26" t="str">
        <f ca="1">Sprache!$A$136</f>
        <v>1D Kreuz Mtg-Platte</v>
      </c>
      <c r="AQ82" t="s">
        <v>2240</v>
      </c>
      <c r="AR82" t="str">
        <f ca="1">Sprache!$A$134</f>
        <v>Tiomos Montageplatten</v>
      </c>
      <c r="AS82" s="18">
        <v>1</v>
      </c>
      <c r="AT82" s="18">
        <v>0</v>
      </c>
      <c r="AU82" s="18">
        <v>0</v>
      </c>
      <c r="AV82" s="18">
        <v>0</v>
      </c>
      <c r="AW82" s="2">
        <v>1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>
        <v>0</v>
      </c>
      <c r="BE82">
        <v>1</v>
      </c>
      <c r="BF82">
        <v>0</v>
      </c>
      <c r="BG82">
        <v>0</v>
      </c>
      <c r="BH82">
        <v>0</v>
      </c>
      <c r="BI82">
        <v>3.5</v>
      </c>
      <c r="BJ82" s="11" t="s">
        <v>795</v>
      </c>
    </row>
    <row r="83" spans="1:62" ht="13.5" customHeight="1" x14ac:dyDescent="0.25">
      <c r="A83" s="24" t="str">
        <f t="shared" si="6"/>
        <v>F058</v>
      </c>
      <c r="B83" t="str">
        <f t="shared" si="7"/>
        <v>139</v>
      </c>
      <c r="C83" s="24" t="str">
        <f t="shared" si="8"/>
        <v>814</v>
      </c>
      <c r="D8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3" s="19">
        <f>IF(Montageplatten[[#This Row],[37/32]]=1,1,IF(Montageplatten[[#This Row],[28/32]]=1,2,0))</f>
        <v>2</v>
      </c>
      <c r="G8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3" s="19">
        <f>IF(Montageplatten[[#This Row],[Typ]]+Montageplatten[[#This Row],[Befestigung]]=2,1,0)</f>
        <v>0</v>
      </c>
      <c r="I83" s="19">
        <f>IF(Montageplatten[[#This Row],[Randbedingungen]]+IF(Montageplatten[[#This Row],[Höhe]]=select!$B$70,1,0)=2,1,0)</f>
        <v>0</v>
      </c>
      <c r="J83" s="19">
        <f>IF(Montageplatten[[#This Row],[Randbedingungen]]+IF(Montageplatten[[#This Row],[Höhe]]=select!$D$70,1,0)=2,1,0)</f>
        <v>0</v>
      </c>
      <c r="K83" s="19">
        <f>IF(Montageplatten[[#This Row],[Randbedingungen]]+IF(Montageplatten[[#This Row],[Höhe]]=select!$F$70,1,0)=2,1,0)</f>
        <v>0</v>
      </c>
      <c r="L83" s="19">
        <f>IF(Montageplatten[[#This Row],[Randbedingungen]]+IF(Montageplatten[[#This Row],[Höhe]]=select!$H$70,1,0)=2,1,0)</f>
        <v>0</v>
      </c>
      <c r="M8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3" s="67">
        <f>IF(select!$M$317=Montageplatten[[#This Row],[Höhe]],1,0)</f>
        <v>0</v>
      </c>
      <c r="P8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3" s="67">
        <f>IF(Montageplatten[[#This Row],[Typ_winkel]]+Montageplatten[[#This Row],[Befest_Winkel]]=2,1,0)</f>
        <v>0</v>
      </c>
      <c r="S83" s="67">
        <f>IF(Montageplatten[[#This Row],[MPH Winkel]]+Montageplatten[[#This Row],[Typ_winkel]]+Montageplatten[[#This Row],[Befest_Winkel]]=3,1,0)</f>
        <v>0</v>
      </c>
      <c r="T83" s="295">
        <f ca="1">IF(select!$M$746=Montageplatten[[#This Row],[Höhe]],1,0)</f>
        <v>0</v>
      </c>
      <c r="U8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3" s="67">
        <f>IF(Montageplatten[[#This Row],[Typ Spezial]]+Montageplatten[[#This Row],[Befest Spezial]]=2,1,0)</f>
        <v>0</v>
      </c>
      <c r="X83" s="67">
        <f ca="1">IF(Montageplatten[[#This Row],[MPH Spezial]]+Montageplatten[[#This Row],[Typ Spezial]]+Montageplatten[[#This Row],[Befest Spezial]]=3,1,0)</f>
        <v>0</v>
      </c>
      <c r="Y83" s="67" t="e">
        <f ca="1">IF(Montageplatten[[#This Row],[AG Rand]]+IF(Montageplatten[[#This Row],[Höhe]]=select!$C$1212,1,0)=2,1,0)</f>
        <v>#VALUE!</v>
      </c>
      <c r="Z83" s="67" t="e">
        <f ca="1">IF(Montageplatten[[#This Row],[AG Rand]]+IF(Montageplatten[[#This Row],[Höhe]]=select!$E$1212,1,0)=2,1,0)</f>
        <v>#VALUE!</v>
      </c>
      <c r="AA83" s="67" t="e">
        <f ca="1">IF(Montageplatten[[#This Row],[AG Rand]]+IF(Montageplatten[[#This Row],[Höhe]]=select!$G$1212,1,0)=2,1,0)</f>
        <v>#VALUE!</v>
      </c>
      <c r="AB83" s="67" t="e">
        <f ca="1">IF(Montageplatten[[#This Row],[AG Rand]]+IF(Montageplatten[[#This Row],[Höhe]]=select!$I$1212,1,0)=2,1,0)</f>
        <v>#VALUE!</v>
      </c>
      <c r="AC8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3" s="67">
        <f>IF(Montageplatten[[#This Row],[AG Typ]]+Montageplatten[[#This Row],[AG Bef]]=2,1,0)</f>
        <v>0</v>
      </c>
      <c r="AG8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3" s="67">
        <f ca="1">IF(Montageplatten[[#This Row],[AG MPH]]+Montageplatten[[#This Row],[AG Typ]]+Montageplatten[[#This Row],[AG Bef]]=3,1,0)</f>
        <v>0</v>
      </c>
      <c r="AJ83" s="67">
        <f ca="1">IF(select!$K$980="*",Montageplatten[[#This Row],[AG Ges2]],Montageplatten[[#This Row],[AG Ges1]])</f>
        <v>0</v>
      </c>
      <c r="AK8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3" s="67">
        <f>IF(Montageplatten[[#This Row],[konf Typ]]+Montageplatten[[#This Row],[konf Befest]]=2,1,0)</f>
        <v>0</v>
      </c>
      <c r="AN8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3" s="67">
        <f ca="1">IF(Montageplatten[[#This Row],[konf Rahmenbed]]+Montageplatten[[#This Row],[konf MPH]]=2,1,0)</f>
        <v>0</v>
      </c>
      <c r="AP83" s="26" t="str">
        <f ca="1">Sprache!$A$136</f>
        <v>1D Kreuz Mtg-Platte</v>
      </c>
      <c r="AQ83" t="str">
        <f ca="1">"H 3,5, "&amp;Sprache!A71&amp;", ni /28"</f>
        <v>H 3,5, vorm. Euro, ni /28</v>
      </c>
      <c r="AR83" t="str">
        <f ca="1">Sprache!$A$134</f>
        <v>Tiomos Montageplatten</v>
      </c>
      <c r="AS83" s="18">
        <v>1</v>
      </c>
      <c r="AT83" s="18">
        <v>0</v>
      </c>
      <c r="AU83" s="18">
        <v>0</v>
      </c>
      <c r="AV83" s="18">
        <v>0</v>
      </c>
      <c r="AW83" s="2">
        <v>0</v>
      </c>
      <c r="AX83" s="2">
        <v>0</v>
      </c>
      <c r="AY83" s="2">
        <v>0</v>
      </c>
      <c r="AZ83" s="2">
        <v>1</v>
      </c>
      <c r="BA83" s="2">
        <v>0</v>
      </c>
      <c r="BB83" s="2">
        <v>0</v>
      </c>
      <c r="BC83" s="2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3.5</v>
      </c>
      <c r="BJ83" s="11" t="s">
        <v>799</v>
      </c>
    </row>
    <row r="84" spans="1:62" ht="13.5" customHeight="1" x14ac:dyDescent="0.25">
      <c r="A84" s="24" t="str">
        <f t="shared" si="6"/>
        <v>F058</v>
      </c>
      <c r="B84" t="str">
        <f t="shared" si="7"/>
        <v>139</v>
      </c>
      <c r="C84" s="24" t="str">
        <f t="shared" si="8"/>
        <v>861</v>
      </c>
      <c r="D8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4" s="19">
        <f>IF(Montageplatten[[#This Row],[37/32]]=1,1,IF(Montageplatten[[#This Row],[28/32]]=1,2,0))</f>
        <v>1</v>
      </c>
      <c r="G8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4" s="19">
        <f>IF(Montageplatten[[#This Row],[Typ]]+Montageplatten[[#This Row],[Befestigung]]=2,1,0)</f>
        <v>0</v>
      </c>
      <c r="I84" s="19">
        <f>IF(Montageplatten[[#This Row],[Randbedingungen]]+IF(Montageplatten[[#This Row],[Höhe]]=select!$B$70,1,0)=2,1,0)</f>
        <v>0</v>
      </c>
      <c r="J84" s="19">
        <f>IF(Montageplatten[[#This Row],[Randbedingungen]]+IF(Montageplatten[[#This Row],[Höhe]]=select!$D$70,1,0)=2,1,0)</f>
        <v>0</v>
      </c>
      <c r="K84" s="19">
        <f>IF(Montageplatten[[#This Row],[Randbedingungen]]+IF(Montageplatten[[#This Row],[Höhe]]=select!$F$70,1,0)=2,1,0)</f>
        <v>0</v>
      </c>
      <c r="L84" s="19">
        <f>IF(Montageplatten[[#This Row],[Randbedingungen]]+IF(Montageplatten[[#This Row],[Höhe]]=select!$H$70,1,0)=2,1,0)</f>
        <v>0</v>
      </c>
      <c r="M8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4" s="67">
        <f>IF(select!$M$317=Montageplatten[[#This Row],[Höhe]],1,0)</f>
        <v>0</v>
      </c>
      <c r="P8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4" s="67">
        <f>IF(Montageplatten[[#This Row],[Typ_winkel]]+Montageplatten[[#This Row],[Befest_Winkel]]=2,1,0)</f>
        <v>0</v>
      </c>
      <c r="S84" s="67">
        <f>IF(Montageplatten[[#This Row],[MPH Winkel]]+Montageplatten[[#This Row],[Typ_winkel]]+Montageplatten[[#This Row],[Befest_Winkel]]=3,1,0)</f>
        <v>0</v>
      </c>
      <c r="T84" s="295">
        <f ca="1">IF(select!$M$746=Montageplatten[[#This Row],[Höhe]],1,0)</f>
        <v>0</v>
      </c>
      <c r="U8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4" s="67">
        <f>IF(Montageplatten[[#This Row],[Typ Spezial]]+Montageplatten[[#This Row],[Befest Spezial]]=2,1,0)</f>
        <v>0</v>
      </c>
      <c r="X84" s="67">
        <f ca="1">IF(Montageplatten[[#This Row],[MPH Spezial]]+Montageplatten[[#This Row],[Typ Spezial]]+Montageplatten[[#This Row],[Befest Spezial]]=3,1,0)</f>
        <v>0</v>
      </c>
      <c r="Y84" s="67" t="e">
        <f ca="1">IF(Montageplatten[[#This Row],[AG Rand]]+IF(Montageplatten[[#This Row],[Höhe]]=select!$C$1212,1,0)=2,1,0)</f>
        <v>#VALUE!</v>
      </c>
      <c r="Z84" s="67" t="e">
        <f ca="1">IF(Montageplatten[[#This Row],[AG Rand]]+IF(Montageplatten[[#This Row],[Höhe]]=select!$E$1212,1,0)=2,1,0)</f>
        <v>#VALUE!</v>
      </c>
      <c r="AA84" s="67" t="e">
        <f ca="1">IF(Montageplatten[[#This Row],[AG Rand]]+IF(Montageplatten[[#This Row],[Höhe]]=select!$G$1212,1,0)=2,1,0)</f>
        <v>#VALUE!</v>
      </c>
      <c r="AB84" s="67" t="e">
        <f ca="1">IF(Montageplatten[[#This Row],[AG Rand]]+IF(Montageplatten[[#This Row],[Höhe]]=select!$I$1212,1,0)=2,1,0)</f>
        <v>#VALUE!</v>
      </c>
      <c r="AC8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4" s="67">
        <f>IF(Montageplatten[[#This Row],[AG Typ]]+Montageplatten[[#This Row],[AG Bef]]=2,1,0)</f>
        <v>0</v>
      </c>
      <c r="AG8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4" s="67">
        <f ca="1">IF(Montageplatten[[#This Row],[AG MPH]]+Montageplatten[[#This Row],[AG Typ]]+Montageplatten[[#This Row],[AG Bef]]=3,1,0)</f>
        <v>0</v>
      </c>
      <c r="AJ84" s="67">
        <f ca="1">IF(select!$K$980="*",Montageplatten[[#This Row],[AG Ges2]],Montageplatten[[#This Row],[AG Ges1]])</f>
        <v>0</v>
      </c>
      <c r="AK8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4" s="67">
        <f>IF(Montageplatten[[#This Row],[konf Typ]]+Montageplatten[[#This Row],[konf Befest]]=2,1,0)</f>
        <v>0</v>
      </c>
      <c r="AN8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4" s="67">
        <f ca="1">IF(Montageplatten[[#This Row],[konf Rahmenbed]]+Montageplatten[[#This Row],[konf MPH]]=2,1,0)</f>
        <v>0</v>
      </c>
      <c r="AP84" s="26" t="str">
        <f ca="1">Sprache!$A$137</f>
        <v>Eco Kreuz Mtg-Platte</v>
      </c>
      <c r="AQ84" t="s">
        <v>2241</v>
      </c>
      <c r="AR84" t="str">
        <f ca="1">Sprache!$A$134</f>
        <v>Tiomos Montageplatten</v>
      </c>
      <c r="AS84" s="18">
        <v>1</v>
      </c>
      <c r="AT84" s="18">
        <v>0</v>
      </c>
      <c r="AU84" s="18">
        <v>0</v>
      </c>
      <c r="AV84" s="18">
        <v>0</v>
      </c>
      <c r="AW84" s="2">
        <v>0</v>
      </c>
      <c r="AX84" s="2">
        <v>0</v>
      </c>
      <c r="AY84" s="2">
        <v>0</v>
      </c>
      <c r="AZ84" s="2">
        <v>0</v>
      </c>
      <c r="BA84" s="2">
        <v>1</v>
      </c>
      <c r="BB84" s="2">
        <v>0</v>
      </c>
      <c r="BC84" s="2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3.5</v>
      </c>
      <c r="BJ84" s="11" t="s">
        <v>808</v>
      </c>
    </row>
    <row r="85" spans="1:62" ht="13.5" customHeight="1" x14ac:dyDescent="0.25">
      <c r="A85" s="24" t="str">
        <f t="shared" si="6"/>
        <v>F058</v>
      </c>
      <c r="B85" t="str">
        <f t="shared" si="7"/>
        <v>139</v>
      </c>
      <c r="C85" s="24" t="str">
        <f t="shared" si="8"/>
        <v>866</v>
      </c>
      <c r="D8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8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5" s="19">
        <f>IF(Montageplatten[[#This Row],[37/32]]=1,1,IF(Montageplatten[[#This Row],[28/32]]=1,2,0))</f>
        <v>1</v>
      </c>
      <c r="G8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5" s="19">
        <f>IF(Montageplatten[[#This Row],[Typ]]+Montageplatten[[#This Row],[Befestigung]]=2,1,0)</f>
        <v>0</v>
      </c>
      <c r="I85" s="19">
        <f>IF(Montageplatten[[#This Row],[Randbedingungen]]+IF(Montageplatten[[#This Row],[Höhe]]=select!$B$70,1,0)=2,1,0)</f>
        <v>0</v>
      </c>
      <c r="J85" s="19">
        <f>IF(Montageplatten[[#This Row],[Randbedingungen]]+IF(Montageplatten[[#This Row],[Höhe]]=select!$D$70,1,0)=2,1,0)</f>
        <v>0</v>
      </c>
      <c r="K85" s="19">
        <f>IF(Montageplatten[[#This Row],[Randbedingungen]]+IF(Montageplatten[[#This Row],[Höhe]]=select!$F$70,1,0)=2,1,0)</f>
        <v>0</v>
      </c>
      <c r="L85" s="19">
        <f>IF(Montageplatten[[#This Row],[Randbedingungen]]+IF(Montageplatten[[#This Row],[Höhe]]=select!$H$70,1,0)=2,1,0)</f>
        <v>0</v>
      </c>
      <c r="M8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5" s="67">
        <f>IF(select!$M$317=Montageplatten[[#This Row],[Höhe]],1,0)</f>
        <v>0</v>
      </c>
      <c r="P8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8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5" s="67">
        <f>IF(Montageplatten[[#This Row],[Typ_winkel]]+Montageplatten[[#This Row],[Befest_Winkel]]=2,1,0)</f>
        <v>0</v>
      </c>
      <c r="S85" s="67">
        <f>IF(Montageplatten[[#This Row],[MPH Winkel]]+Montageplatten[[#This Row],[Typ_winkel]]+Montageplatten[[#This Row],[Befest_Winkel]]=3,1,0)</f>
        <v>0</v>
      </c>
      <c r="T85" s="295">
        <f ca="1">IF(select!$M$746=Montageplatten[[#This Row],[Höhe]],1,0)</f>
        <v>0</v>
      </c>
      <c r="U8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8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5" s="67">
        <f>IF(Montageplatten[[#This Row],[Typ Spezial]]+Montageplatten[[#This Row],[Befest Spezial]]=2,1,0)</f>
        <v>0</v>
      </c>
      <c r="X85" s="67">
        <f ca="1">IF(Montageplatten[[#This Row],[MPH Spezial]]+Montageplatten[[#This Row],[Typ Spezial]]+Montageplatten[[#This Row],[Befest Spezial]]=3,1,0)</f>
        <v>0</v>
      </c>
      <c r="Y85" s="67" t="e">
        <f ca="1">IF(Montageplatten[[#This Row],[AG Rand]]+IF(Montageplatten[[#This Row],[Höhe]]=select!$C$1212,1,0)=2,1,0)</f>
        <v>#VALUE!</v>
      </c>
      <c r="Z85" s="67" t="e">
        <f ca="1">IF(Montageplatten[[#This Row],[AG Rand]]+IF(Montageplatten[[#This Row],[Höhe]]=select!$E$1212,1,0)=2,1,0)</f>
        <v>#VALUE!</v>
      </c>
      <c r="AA85" s="67" t="e">
        <f ca="1">IF(Montageplatten[[#This Row],[AG Rand]]+IF(Montageplatten[[#This Row],[Höhe]]=select!$G$1212,1,0)=2,1,0)</f>
        <v>#VALUE!</v>
      </c>
      <c r="AB85" s="67" t="e">
        <f ca="1">IF(Montageplatten[[#This Row],[AG Rand]]+IF(Montageplatten[[#This Row],[Höhe]]=select!$I$1212,1,0)=2,1,0)</f>
        <v>#VALUE!</v>
      </c>
      <c r="AC8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8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5" s="67">
        <f>IF(Montageplatten[[#This Row],[AG Typ]]+Montageplatten[[#This Row],[AG Bef]]=2,1,0)</f>
        <v>0</v>
      </c>
      <c r="AG8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5" s="67">
        <f ca="1">IF(Montageplatten[[#This Row],[AG MPH]]+Montageplatten[[#This Row],[AG Typ]]+Montageplatten[[#This Row],[AG Bef]]=3,1,0)</f>
        <v>0</v>
      </c>
      <c r="AJ85" s="67">
        <f ca="1">IF(select!$K$980="*",Montageplatten[[#This Row],[AG Ges2]],Montageplatten[[#This Row],[AG Ges1]])</f>
        <v>0</v>
      </c>
      <c r="AK8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8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5" s="67">
        <f>IF(Montageplatten[[#This Row],[konf Typ]]+Montageplatten[[#This Row],[konf Befest]]=2,1,0)</f>
        <v>0</v>
      </c>
      <c r="AN8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5" s="67">
        <f ca="1">IF(Montageplatten[[#This Row],[konf Rahmenbed]]+Montageplatten[[#This Row],[konf MPH]]=2,1,0)</f>
        <v>0</v>
      </c>
      <c r="AP85" s="26" t="str">
        <f ca="1">Sprache!$A$136</f>
        <v>1D Kreuz Mtg-Platte</v>
      </c>
      <c r="AQ85" t="str">
        <f ca="1">"H 3,5, "&amp;Sprache!A72&amp;", ni /37"</f>
        <v>H 3,5, vorm. Euro kurz, ni /37</v>
      </c>
      <c r="AR85" t="str">
        <f ca="1">Sprache!$A$134</f>
        <v>Tiomos Montageplatten</v>
      </c>
      <c r="AS85" s="18">
        <v>1</v>
      </c>
      <c r="AT85" s="18">
        <v>0</v>
      </c>
      <c r="AU85" s="18">
        <v>0</v>
      </c>
      <c r="AV85" s="18">
        <v>0</v>
      </c>
      <c r="AW85" s="2">
        <v>0</v>
      </c>
      <c r="AX85" s="2">
        <v>0</v>
      </c>
      <c r="AY85" s="2">
        <v>0</v>
      </c>
      <c r="AZ85" s="2">
        <v>0</v>
      </c>
      <c r="BA85" s="2">
        <v>1</v>
      </c>
      <c r="BB85" s="2">
        <v>0</v>
      </c>
      <c r="BC85" s="2">
        <v>0</v>
      </c>
      <c r="BD85">
        <v>1</v>
      </c>
      <c r="BE85">
        <v>0</v>
      </c>
      <c r="BF85">
        <v>0</v>
      </c>
      <c r="BG85">
        <v>0</v>
      </c>
      <c r="BH85">
        <v>0</v>
      </c>
      <c r="BI85">
        <v>3.5</v>
      </c>
      <c r="BJ85" s="11" t="s">
        <v>812</v>
      </c>
    </row>
    <row r="86" spans="1:62" ht="13.5" customHeight="1" x14ac:dyDescent="0.25">
      <c r="A86" s="24" t="str">
        <f t="shared" si="6"/>
        <v>F059</v>
      </c>
      <c r="B86" t="str">
        <f t="shared" si="7"/>
        <v>139</v>
      </c>
      <c r="C86" s="24" t="str">
        <f t="shared" si="8"/>
        <v>704</v>
      </c>
      <c r="D86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8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86" s="19">
        <f>IF(Montageplatten[[#This Row],[37/32]]=1,1,IF(Montageplatten[[#This Row],[28/32]]=1,2,0))</f>
        <v>0</v>
      </c>
      <c r="G8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6" s="19">
        <f>IF(Montageplatten[[#This Row],[Typ]]+Montageplatten[[#This Row],[Befestigung]]=2,1,0)</f>
        <v>0</v>
      </c>
      <c r="I86" s="19">
        <f>IF(Montageplatten[[#This Row],[Randbedingungen]]+IF(Montageplatten[[#This Row],[Höhe]]=select!$B$70,1,0)=2,1,0)</f>
        <v>0</v>
      </c>
      <c r="J86" s="19">
        <f>IF(Montageplatten[[#This Row],[Randbedingungen]]+IF(Montageplatten[[#This Row],[Höhe]]=select!$D$70,1,0)=2,1,0)</f>
        <v>0</v>
      </c>
      <c r="K86" s="19">
        <f>IF(Montageplatten[[#This Row],[Randbedingungen]]+IF(Montageplatten[[#This Row],[Höhe]]=select!$F$70,1,0)=2,1,0)</f>
        <v>0</v>
      </c>
      <c r="L86" s="19">
        <f>IF(Montageplatten[[#This Row],[Randbedingungen]]+IF(Montageplatten[[#This Row],[Höhe]]=select!$H$70,1,0)=2,1,0)</f>
        <v>0</v>
      </c>
      <c r="M8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6" s="67">
        <f>IF(select!$M$317=Montageplatten[[#This Row],[Höhe]],1,0)</f>
        <v>0</v>
      </c>
      <c r="P86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8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86" s="67">
        <f>IF(Montageplatten[[#This Row],[Typ_winkel]]+Montageplatten[[#This Row],[Befest_Winkel]]=2,1,0)</f>
        <v>0</v>
      </c>
      <c r="S86" s="67">
        <f>IF(Montageplatten[[#This Row],[MPH Winkel]]+Montageplatten[[#This Row],[Typ_winkel]]+Montageplatten[[#This Row],[Befest_Winkel]]=3,1,0)</f>
        <v>0</v>
      </c>
      <c r="T86" s="295">
        <f ca="1">IF(select!$M$746=Montageplatten[[#This Row],[Höhe]],1,0)</f>
        <v>0</v>
      </c>
      <c r="U86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8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86" s="67">
        <f>IF(Montageplatten[[#This Row],[Typ Spezial]]+Montageplatten[[#This Row],[Befest Spezial]]=2,1,0)</f>
        <v>0</v>
      </c>
      <c r="X86" s="67">
        <f ca="1">IF(Montageplatten[[#This Row],[MPH Spezial]]+Montageplatten[[#This Row],[Typ Spezial]]+Montageplatten[[#This Row],[Befest Spezial]]=3,1,0)</f>
        <v>0</v>
      </c>
      <c r="Y86" s="67" t="e">
        <f ca="1">IF(Montageplatten[[#This Row],[AG Rand]]+IF(Montageplatten[[#This Row],[Höhe]]=select!$C$1212,1,0)=2,1,0)</f>
        <v>#VALUE!</v>
      </c>
      <c r="Z86" s="67" t="e">
        <f ca="1">IF(Montageplatten[[#This Row],[AG Rand]]+IF(Montageplatten[[#This Row],[Höhe]]=select!$E$1212,1,0)=2,1,0)</f>
        <v>#VALUE!</v>
      </c>
      <c r="AA86" s="67" t="e">
        <f ca="1">IF(Montageplatten[[#This Row],[AG Rand]]+IF(Montageplatten[[#This Row],[Höhe]]=select!$G$1212,1,0)=2,1,0)</f>
        <v>#VALUE!</v>
      </c>
      <c r="AB86" s="67" t="e">
        <f ca="1">IF(Montageplatten[[#This Row],[AG Rand]]+IF(Montageplatten[[#This Row],[Höhe]]=select!$I$1212,1,0)=2,1,0)</f>
        <v>#VALUE!</v>
      </c>
      <c r="AC8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6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8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86" s="67">
        <f>IF(Montageplatten[[#This Row],[AG Typ]]+Montageplatten[[#This Row],[AG Bef]]=2,1,0)</f>
        <v>0</v>
      </c>
      <c r="AG8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6" s="67">
        <f ca="1">IF(Montageplatten[[#This Row],[AG MPH]]+Montageplatten[[#This Row],[AG Typ]]+Montageplatten[[#This Row],[AG Bef]]=3,1,0)</f>
        <v>0</v>
      </c>
      <c r="AJ86" s="67">
        <f ca="1">IF(select!$K$980="*",Montageplatten[[#This Row],[AG Ges2]],Montageplatten[[#This Row],[AG Ges1]])</f>
        <v>0</v>
      </c>
      <c r="AK86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8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86" s="67">
        <f>IF(Montageplatten[[#This Row],[konf Typ]]+Montageplatten[[#This Row],[konf Befest]]=2,1,0)</f>
        <v>0</v>
      </c>
      <c r="AN8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6" s="67">
        <f ca="1">IF(Montageplatten[[#This Row],[konf Rahmenbed]]+Montageplatten[[#This Row],[konf MPH]]=2,1,0)</f>
        <v>0</v>
      </c>
      <c r="AP86" s="26" t="str">
        <f ca="1">Sprache!$A$139</f>
        <v>1D Linear Mtg-Platte</v>
      </c>
      <c r="AQ86" t="s">
        <v>2242</v>
      </c>
      <c r="AR86" t="str">
        <f ca="1">Sprache!$A$134</f>
        <v>Tiomos Montageplatten</v>
      </c>
      <c r="AS86" s="18">
        <v>0</v>
      </c>
      <c r="AT86" s="18">
        <v>1</v>
      </c>
      <c r="AU86" s="18">
        <v>0</v>
      </c>
      <c r="AV86" s="18">
        <v>0</v>
      </c>
      <c r="AW86" s="2">
        <v>0</v>
      </c>
      <c r="AX86" s="2">
        <v>1</v>
      </c>
      <c r="AY86" s="2">
        <v>1</v>
      </c>
      <c r="AZ86" s="2">
        <v>0</v>
      </c>
      <c r="BA86" s="2">
        <v>0</v>
      </c>
      <c r="BB86" s="2">
        <v>0</v>
      </c>
      <c r="BC86" s="2">
        <v>0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3.5</v>
      </c>
      <c r="BJ86" s="11" t="s">
        <v>849</v>
      </c>
    </row>
    <row r="87" spans="1:62" ht="13.5" customHeight="1" x14ac:dyDescent="0.25">
      <c r="A87" s="24" t="str">
        <f t="shared" si="6"/>
        <v>F059</v>
      </c>
      <c r="B87" t="str">
        <f t="shared" si="7"/>
        <v>139</v>
      </c>
      <c r="C87" s="24" t="str">
        <f t="shared" si="8"/>
        <v>709</v>
      </c>
      <c r="D87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8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7" s="19">
        <f>IF(Montageplatten[[#This Row],[37/32]]=1,1,IF(Montageplatten[[#This Row],[28/32]]=1,2,0))</f>
        <v>0</v>
      </c>
      <c r="G8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7" s="19">
        <f>IF(Montageplatten[[#This Row],[Typ]]+Montageplatten[[#This Row],[Befestigung]]=2,1,0)</f>
        <v>0</v>
      </c>
      <c r="I87" s="19">
        <f>IF(Montageplatten[[#This Row],[Randbedingungen]]+IF(Montageplatten[[#This Row],[Höhe]]=select!$B$70,1,0)=2,1,0)</f>
        <v>0</v>
      </c>
      <c r="J87" s="19">
        <f>IF(Montageplatten[[#This Row],[Randbedingungen]]+IF(Montageplatten[[#This Row],[Höhe]]=select!$D$70,1,0)=2,1,0)</f>
        <v>0</v>
      </c>
      <c r="K87" s="19">
        <f>IF(Montageplatten[[#This Row],[Randbedingungen]]+IF(Montageplatten[[#This Row],[Höhe]]=select!$F$70,1,0)=2,1,0)</f>
        <v>0</v>
      </c>
      <c r="L87" s="19">
        <f>IF(Montageplatten[[#This Row],[Randbedingungen]]+IF(Montageplatten[[#This Row],[Höhe]]=select!$H$70,1,0)=2,1,0)</f>
        <v>0</v>
      </c>
      <c r="M8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7" s="67">
        <f>IF(select!$M$317=Montageplatten[[#This Row],[Höhe]],1,0)</f>
        <v>0</v>
      </c>
      <c r="P87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8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7" s="67">
        <f>IF(Montageplatten[[#This Row],[Typ_winkel]]+Montageplatten[[#This Row],[Befest_Winkel]]=2,1,0)</f>
        <v>0</v>
      </c>
      <c r="S87" s="67">
        <f>IF(Montageplatten[[#This Row],[MPH Winkel]]+Montageplatten[[#This Row],[Typ_winkel]]+Montageplatten[[#This Row],[Befest_Winkel]]=3,1,0)</f>
        <v>0</v>
      </c>
      <c r="T87" s="295">
        <f ca="1">IF(select!$M$746=Montageplatten[[#This Row],[Höhe]],1,0)</f>
        <v>0</v>
      </c>
      <c r="U87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8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7" s="67">
        <f>IF(Montageplatten[[#This Row],[Typ Spezial]]+Montageplatten[[#This Row],[Befest Spezial]]=2,1,0)</f>
        <v>0</v>
      </c>
      <c r="X87" s="67">
        <f ca="1">IF(Montageplatten[[#This Row],[MPH Spezial]]+Montageplatten[[#This Row],[Typ Spezial]]+Montageplatten[[#This Row],[Befest Spezial]]=3,1,0)</f>
        <v>0</v>
      </c>
      <c r="Y87" s="67" t="e">
        <f ca="1">IF(Montageplatten[[#This Row],[AG Rand]]+IF(Montageplatten[[#This Row],[Höhe]]=select!$C$1212,1,0)=2,1,0)</f>
        <v>#VALUE!</v>
      </c>
      <c r="Z87" s="67" t="e">
        <f ca="1">IF(Montageplatten[[#This Row],[AG Rand]]+IF(Montageplatten[[#This Row],[Höhe]]=select!$E$1212,1,0)=2,1,0)</f>
        <v>#VALUE!</v>
      </c>
      <c r="AA87" s="67" t="e">
        <f ca="1">IF(Montageplatten[[#This Row],[AG Rand]]+IF(Montageplatten[[#This Row],[Höhe]]=select!$G$1212,1,0)=2,1,0)</f>
        <v>#VALUE!</v>
      </c>
      <c r="AB87" s="67" t="e">
        <f ca="1">IF(Montageplatten[[#This Row],[AG Rand]]+IF(Montageplatten[[#This Row],[Höhe]]=select!$I$1212,1,0)=2,1,0)</f>
        <v>#VALUE!</v>
      </c>
      <c r="AC8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7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8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7" s="67">
        <f>IF(Montageplatten[[#This Row],[AG Typ]]+Montageplatten[[#This Row],[AG Bef]]=2,1,0)</f>
        <v>0</v>
      </c>
      <c r="AG8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7" s="67">
        <f ca="1">IF(Montageplatten[[#This Row],[AG MPH]]+Montageplatten[[#This Row],[AG Typ]]+Montageplatten[[#This Row],[AG Bef]]=3,1,0)</f>
        <v>0</v>
      </c>
      <c r="AJ87" s="67">
        <f ca="1">IF(select!$K$980="*",Montageplatten[[#This Row],[AG Ges2]],Montageplatten[[#This Row],[AG Ges1]])</f>
        <v>0</v>
      </c>
      <c r="AK87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8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7" s="67">
        <f>IF(Montageplatten[[#This Row],[konf Typ]]+Montageplatten[[#This Row],[konf Befest]]=2,1,0)</f>
        <v>0</v>
      </c>
      <c r="AN8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7" s="67">
        <f ca="1">IF(Montageplatten[[#This Row],[konf Rahmenbed]]+Montageplatten[[#This Row],[konf MPH]]=2,1,0)</f>
        <v>0</v>
      </c>
      <c r="AP87" s="26" t="str">
        <f ca="1">Sprache!$A$139</f>
        <v>1D Linear Mtg-Platte</v>
      </c>
      <c r="AQ87" t="s">
        <v>2243</v>
      </c>
      <c r="AR87" t="str">
        <f ca="1">Sprache!$A$134</f>
        <v>Tiomos Montageplatten</v>
      </c>
      <c r="AS87" s="18">
        <v>0</v>
      </c>
      <c r="AT87" s="18">
        <v>1</v>
      </c>
      <c r="AU87" s="18">
        <v>0</v>
      </c>
      <c r="AV87" s="18">
        <v>0</v>
      </c>
      <c r="AW87" s="2">
        <v>1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3.5</v>
      </c>
      <c r="BJ87" s="11" t="s">
        <v>856</v>
      </c>
    </row>
    <row r="88" spans="1:62" ht="13.5" customHeight="1" x14ac:dyDescent="0.25">
      <c r="A88" s="24" t="str">
        <f t="shared" si="6"/>
        <v>F059</v>
      </c>
      <c r="B88" t="str">
        <f t="shared" si="7"/>
        <v>139</v>
      </c>
      <c r="C88" s="24" t="str">
        <f t="shared" si="8"/>
        <v>714</v>
      </c>
      <c r="D88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8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88" s="19">
        <f>IF(Montageplatten[[#This Row],[37/32]]=1,1,IF(Montageplatten[[#This Row],[28/32]]=1,2,0))</f>
        <v>0</v>
      </c>
      <c r="G8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8" s="19">
        <f>IF(Montageplatten[[#This Row],[Typ]]+Montageplatten[[#This Row],[Befestigung]]=2,1,0)</f>
        <v>0</v>
      </c>
      <c r="I88" s="19">
        <f>IF(Montageplatten[[#This Row],[Randbedingungen]]+IF(Montageplatten[[#This Row],[Höhe]]=select!$B$70,1,0)=2,1,0)</f>
        <v>0</v>
      </c>
      <c r="J88" s="19">
        <f>IF(Montageplatten[[#This Row],[Randbedingungen]]+IF(Montageplatten[[#This Row],[Höhe]]=select!$D$70,1,0)=2,1,0)</f>
        <v>0</v>
      </c>
      <c r="K88" s="19">
        <f>IF(Montageplatten[[#This Row],[Randbedingungen]]+IF(Montageplatten[[#This Row],[Höhe]]=select!$F$70,1,0)=2,1,0)</f>
        <v>0</v>
      </c>
      <c r="L88" s="19">
        <f>IF(Montageplatten[[#This Row],[Randbedingungen]]+IF(Montageplatten[[#This Row],[Höhe]]=select!$H$70,1,0)=2,1,0)</f>
        <v>0</v>
      </c>
      <c r="M8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8" s="67">
        <f>IF(select!$M$317=Montageplatten[[#This Row],[Höhe]],1,0)</f>
        <v>0</v>
      </c>
      <c r="P88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8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88" s="67">
        <f>IF(Montageplatten[[#This Row],[Typ_winkel]]+Montageplatten[[#This Row],[Befest_Winkel]]=2,1,0)</f>
        <v>0</v>
      </c>
      <c r="S88" s="67">
        <f>IF(Montageplatten[[#This Row],[MPH Winkel]]+Montageplatten[[#This Row],[Typ_winkel]]+Montageplatten[[#This Row],[Befest_Winkel]]=3,1,0)</f>
        <v>0</v>
      </c>
      <c r="T88" s="295">
        <f ca="1">IF(select!$M$746=Montageplatten[[#This Row],[Höhe]],1,0)</f>
        <v>0</v>
      </c>
      <c r="U88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8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88" s="67">
        <f>IF(Montageplatten[[#This Row],[Typ Spezial]]+Montageplatten[[#This Row],[Befest Spezial]]=2,1,0)</f>
        <v>0</v>
      </c>
      <c r="X88" s="67">
        <f ca="1">IF(Montageplatten[[#This Row],[MPH Spezial]]+Montageplatten[[#This Row],[Typ Spezial]]+Montageplatten[[#This Row],[Befest Spezial]]=3,1,0)</f>
        <v>0</v>
      </c>
      <c r="Y88" s="67" t="e">
        <f ca="1">IF(Montageplatten[[#This Row],[AG Rand]]+IF(Montageplatten[[#This Row],[Höhe]]=select!$C$1212,1,0)=2,1,0)</f>
        <v>#VALUE!</v>
      </c>
      <c r="Z88" s="67" t="e">
        <f ca="1">IF(Montageplatten[[#This Row],[AG Rand]]+IF(Montageplatten[[#This Row],[Höhe]]=select!$E$1212,1,0)=2,1,0)</f>
        <v>#VALUE!</v>
      </c>
      <c r="AA88" s="67" t="e">
        <f ca="1">IF(Montageplatten[[#This Row],[AG Rand]]+IF(Montageplatten[[#This Row],[Höhe]]=select!$G$1212,1,0)=2,1,0)</f>
        <v>#VALUE!</v>
      </c>
      <c r="AB88" s="67" t="e">
        <f ca="1">IF(Montageplatten[[#This Row],[AG Rand]]+IF(Montageplatten[[#This Row],[Höhe]]=select!$I$1212,1,0)=2,1,0)</f>
        <v>#VALUE!</v>
      </c>
      <c r="AC8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8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8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88" s="67">
        <f>IF(Montageplatten[[#This Row],[AG Typ]]+Montageplatten[[#This Row],[AG Bef]]=2,1,0)</f>
        <v>0</v>
      </c>
      <c r="AG8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8" s="67">
        <f ca="1">IF(Montageplatten[[#This Row],[AG MPH]]+Montageplatten[[#This Row],[AG Typ]]+Montageplatten[[#This Row],[AG Bef]]=3,1,0)</f>
        <v>0</v>
      </c>
      <c r="AJ88" s="67">
        <f ca="1">IF(select!$K$980="*",Montageplatten[[#This Row],[AG Ges2]],Montageplatten[[#This Row],[AG Ges1]])</f>
        <v>0</v>
      </c>
      <c r="AK88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8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88" s="67">
        <f>IF(Montageplatten[[#This Row],[konf Typ]]+Montageplatten[[#This Row],[konf Befest]]=2,1,0)</f>
        <v>0</v>
      </c>
      <c r="AN8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8" s="67">
        <f ca="1">IF(Montageplatten[[#This Row],[konf Rahmenbed]]+Montageplatten[[#This Row],[konf MPH]]=2,1,0)</f>
        <v>0</v>
      </c>
      <c r="AP88" s="26" t="str">
        <f ca="1">Sprache!$A$139</f>
        <v>1D Linear Mtg-Platte</v>
      </c>
      <c r="AQ88" t="str">
        <f ca="1">"H 3,5, "&amp;Sprache!A71&amp;", ni"</f>
        <v>H 3,5, vorm. Euro, ni</v>
      </c>
      <c r="AR88" t="str">
        <f ca="1">Sprache!$A$134</f>
        <v>Tiomos Montageplatten</v>
      </c>
      <c r="AS88" s="18">
        <v>0</v>
      </c>
      <c r="AT88" s="18">
        <v>1</v>
      </c>
      <c r="AU88" s="18">
        <v>0</v>
      </c>
      <c r="AV88" s="18">
        <v>0</v>
      </c>
      <c r="AW88" s="2">
        <v>0</v>
      </c>
      <c r="AX88" s="2">
        <v>0</v>
      </c>
      <c r="AY88" s="2">
        <v>0</v>
      </c>
      <c r="AZ88" s="2">
        <v>1</v>
      </c>
      <c r="BA88" s="2">
        <v>0</v>
      </c>
      <c r="BB88" s="2">
        <v>0</v>
      </c>
      <c r="BC88" s="2">
        <v>0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3.5</v>
      </c>
      <c r="BJ88" s="11" t="s">
        <v>860</v>
      </c>
    </row>
    <row r="89" spans="1:62" ht="13.5" customHeight="1" x14ac:dyDescent="0.25">
      <c r="A89" s="24" t="str">
        <f t="shared" si="6"/>
        <v>F058</v>
      </c>
      <c r="B89" t="str">
        <f t="shared" si="7"/>
        <v>139</v>
      </c>
      <c r="C89" s="24" t="str">
        <f t="shared" si="8"/>
        <v>826</v>
      </c>
      <c r="D89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8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89" s="19">
        <f>IF(Montageplatten[[#This Row],[37/32]]=1,1,IF(Montageplatten[[#This Row],[28/32]]=1,2,0))</f>
        <v>0</v>
      </c>
      <c r="G89" s="19">
        <f>IF(OR(select!$B$70=Montageplatten[[#This Row],[Höhe]],select!$D$70=Montageplatten[[#This Row],[Höhe]],select!$F$70=Montageplatten[[#This Row],[Höhe]],select!$H$70=Montageplatten[[#This Row],[Höhe]])=TRUE,1,0)</f>
        <v>0</v>
      </c>
      <c r="H89" s="19">
        <f>IF(Montageplatten[[#This Row],[Typ]]+Montageplatten[[#This Row],[Befestigung]]=2,1,0)</f>
        <v>0</v>
      </c>
      <c r="I89" s="19">
        <f>IF(Montageplatten[[#This Row],[Randbedingungen]]+IF(Montageplatten[[#This Row],[Höhe]]=select!$B$70,1,0)=2,1,0)</f>
        <v>0</v>
      </c>
      <c r="J89" s="19">
        <f>IF(Montageplatten[[#This Row],[Randbedingungen]]+IF(Montageplatten[[#This Row],[Höhe]]=select!$D$70,1,0)=2,1,0)</f>
        <v>0</v>
      </c>
      <c r="K89" s="19">
        <f>IF(Montageplatten[[#This Row],[Randbedingungen]]+IF(Montageplatten[[#This Row],[Höhe]]=select!$F$70,1,0)=2,1,0)</f>
        <v>0</v>
      </c>
      <c r="L89" s="19">
        <f>IF(Montageplatten[[#This Row],[Randbedingungen]]+IF(Montageplatten[[#This Row],[Höhe]]=select!$H$70,1,0)=2,1,0)</f>
        <v>0</v>
      </c>
      <c r="M8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8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89" s="67">
        <f>IF(select!$M$317=Montageplatten[[#This Row],[Höhe]],1,0)</f>
        <v>0</v>
      </c>
      <c r="P89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8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89" s="67">
        <f>IF(Montageplatten[[#This Row],[Typ_winkel]]+Montageplatten[[#This Row],[Befest_Winkel]]=2,1,0)</f>
        <v>0</v>
      </c>
      <c r="S89" s="67">
        <f>IF(Montageplatten[[#This Row],[MPH Winkel]]+Montageplatten[[#This Row],[Typ_winkel]]+Montageplatten[[#This Row],[Befest_Winkel]]=3,1,0)</f>
        <v>0</v>
      </c>
      <c r="T89" s="295">
        <f ca="1">IF(select!$M$746=Montageplatten[[#This Row],[Höhe]],1,0)</f>
        <v>0</v>
      </c>
      <c r="U89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8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89" s="67">
        <f>IF(Montageplatten[[#This Row],[Typ Spezial]]+Montageplatten[[#This Row],[Befest Spezial]]=2,1,0)</f>
        <v>0</v>
      </c>
      <c r="X89" s="67">
        <f ca="1">IF(Montageplatten[[#This Row],[MPH Spezial]]+Montageplatten[[#This Row],[Typ Spezial]]+Montageplatten[[#This Row],[Befest Spezial]]=3,1,0)</f>
        <v>0</v>
      </c>
      <c r="Y89" s="67" t="e">
        <f ca="1">IF(Montageplatten[[#This Row],[AG Rand]]+IF(Montageplatten[[#This Row],[Höhe]]=select!$C$1212,1,0)=2,1,0)</f>
        <v>#VALUE!</v>
      </c>
      <c r="Z89" s="67" t="e">
        <f ca="1">IF(Montageplatten[[#This Row],[AG Rand]]+IF(Montageplatten[[#This Row],[Höhe]]=select!$E$1212,1,0)=2,1,0)</f>
        <v>#VALUE!</v>
      </c>
      <c r="AA89" s="67" t="e">
        <f ca="1">IF(Montageplatten[[#This Row],[AG Rand]]+IF(Montageplatten[[#This Row],[Höhe]]=select!$G$1212,1,0)=2,1,0)</f>
        <v>#VALUE!</v>
      </c>
      <c r="AB89" s="67" t="e">
        <f ca="1">IF(Montageplatten[[#This Row],[AG Rand]]+IF(Montageplatten[[#This Row],[Höhe]]=select!$I$1212,1,0)=2,1,0)</f>
        <v>#VALUE!</v>
      </c>
      <c r="AC8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89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8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89" s="67">
        <f>IF(Montageplatten[[#This Row],[AG Typ]]+Montageplatten[[#This Row],[AG Bef]]=2,1,0)</f>
        <v>0</v>
      </c>
      <c r="AG8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8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89" s="67">
        <f ca="1">IF(Montageplatten[[#This Row],[AG MPH]]+Montageplatten[[#This Row],[AG Typ]]+Montageplatten[[#This Row],[AG Bef]]=3,1,0)</f>
        <v>0</v>
      </c>
      <c r="AJ89" s="67">
        <f ca="1">IF(select!$K$980="*",Montageplatten[[#This Row],[AG Ges2]],Montageplatten[[#This Row],[AG Ges1]])</f>
        <v>0</v>
      </c>
      <c r="AK89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8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89" s="67">
        <f>IF(Montageplatten[[#This Row],[konf Typ]]+Montageplatten[[#This Row],[konf Befest]]=2,1,0)</f>
        <v>0</v>
      </c>
      <c r="AN8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89" s="67">
        <f ca="1">IF(Montageplatten[[#This Row],[konf Rahmenbed]]+Montageplatten[[#This Row],[konf MPH]]=2,1,0)</f>
        <v>0</v>
      </c>
      <c r="AP89" s="26" t="str">
        <f ca="1">Sprache!A142</f>
        <v>1D Delta Mtg-Platte</v>
      </c>
      <c r="AQ89" t="s">
        <v>2233</v>
      </c>
      <c r="AR89" t="str">
        <f ca="1">Sprache!$A$134</f>
        <v>Tiomos Montageplatten</v>
      </c>
      <c r="AS89" s="18">
        <v>0</v>
      </c>
      <c r="AT89" s="18">
        <v>0</v>
      </c>
      <c r="AU89" s="18">
        <v>1</v>
      </c>
      <c r="AV89" s="18">
        <v>0</v>
      </c>
      <c r="AW89" s="2">
        <v>0</v>
      </c>
      <c r="AX89" s="2">
        <v>1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3.5</v>
      </c>
      <c r="BJ89" s="11" t="s">
        <v>1364</v>
      </c>
    </row>
    <row r="90" spans="1:62" ht="13.5" customHeight="1" x14ac:dyDescent="0.25">
      <c r="A90" s="24" t="str">
        <f t="shared" si="6"/>
        <v>F058</v>
      </c>
      <c r="B90" t="str">
        <f t="shared" si="7"/>
        <v>139</v>
      </c>
      <c r="C90" s="24" t="str">
        <f t="shared" si="8"/>
        <v>827</v>
      </c>
      <c r="D90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9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90" s="19">
        <f>IF(Montageplatten[[#This Row],[37/32]]=1,1,IF(Montageplatten[[#This Row],[28/32]]=1,2,0))</f>
        <v>0</v>
      </c>
      <c r="G90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0" s="19">
        <f>IF(Montageplatten[[#This Row],[Typ]]+Montageplatten[[#This Row],[Befestigung]]=2,1,0)</f>
        <v>0</v>
      </c>
      <c r="I90" s="19">
        <f>IF(Montageplatten[[#This Row],[Randbedingungen]]+IF(Montageplatten[[#This Row],[Höhe]]=select!$B$70,1,0)=2,1,0)</f>
        <v>0</v>
      </c>
      <c r="J90" s="19">
        <f>IF(Montageplatten[[#This Row],[Randbedingungen]]+IF(Montageplatten[[#This Row],[Höhe]]=select!$D$70,1,0)=2,1,0)</f>
        <v>0</v>
      </c>
      <c r="K90" s="19">
        <f>IF(Montageplatten[[#This Row],[Randbedingungen]]+IF(Montageplatten[[#This Row],[Höhe]]=select!$F$70,1,0)=2,1,0)</f>
        <v>0</v>
      </c>
      <c r="L90" s="19">
        <f>IF(Montageplatten[[#This Row],[Randbedingungen]]+IF(Montageplatten[[#This Row],[Höhe]]=select!$H$70,1,0)=2,1,0)</f>
        <v>0</v>
      </c>
      <c r="M9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0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0" s="67">
        <f>IF(select!$M$317=Montageplatten[[#This Row],[Höhe]],1,0)</f>
        <v>0</v>
      </c>
      <c r="P90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9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90" s="67">
        <f>IF(Montageplatten[[#This Row],[Typ_winkel]]+Montageplatten[[#This Row],[Befest_Winkel]]=2,1,0)</f>
        <v>0</v>
      </c>
      <c r="S90" s="67">
        <f>IF(Montageplatten[[#This Row],[MPH Winkel]]+Montageplatten[[#This Row],[Typ_winkel]]+Montageplatten[[#This Row],[Befest_Winkel]]=3,1,0)</f>
        <v>0</v>
      </c>
      <c r="T90" s="295">
        <f ca="1">IF(select!$M$746=Montageplatten[[#This Row],[Höhe]],1,0)</f>
        <v>0</v>
      </c>
      <c r="U90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9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90" s="67">
        <f>IF(Montageplatten[[#This Row],[Typ Spezial]]+Montageplatten[[#This Row],[Befest Spezial]]=2,1,0)</f>
        <v>0</v>
      </c>
      <c r="X90" s="67">
        <f ca="1">IF(Montageplatten[[#This Row],[MPH Spezial]]+Montageplatten[[#This Row],[Typ Spezial]]+Montageplatten[[#This Row],[Befest Spezial]]=3,1,0)</f>
        <v>0</v>
      </c>
      <c r="Y90" s="67" t="e">
        <f ca="1">IF(Montageplatten[[#This Row],[AG Rand]]+IF(Montageplatten[[#This Row],[Höhe]]=select!$C$1212,1,0)=2,1,0)</f>
        <v>#VALUE!</v>
      </c>
      <c r="Z90" s="67" t="e">
        <f ca="1">IF(Montageplatten[[#This Row],[AG Rand]]+IF(Montageplatten[[#This Row],[Höhe]]=select!$E$1212,1,0)=2,1,0)</f>
        <v>#VALUE!</v>
      </c>
      <c r="AA90" s="67" t="e">
        <f ca="1">IF(Montageplatten[[#This Row],[AG Rand]]+IF(Montageplatten[[#This Row],[Höhe]]=select!$G$1212,1,0)=2,1,0)</f>
        <v>#VALUE!</v>
      </c>
      <c r="AB90" s="67" t="e">
        <f ca="1">IF(Montageplatten[[#This Row],[AG Rand]]+IF(Montageplatten[[#This Row],[Höhe]]=select!$I$1212,1,0)=2,1,0)</f>
        <v>#VALUE!</v>
      </c>
      <c r="AC9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0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9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90" s="67">
        <f>IF(Montageplatten[[#This Row],[AG Typ]]+Montageplatten[[#This Row],[AG Bef]]=2,1,0)</f>
        <v>0</v>
      </c>
      <c r="AG9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0" s="67">
        <f ca="1">IF(Montageplatten[[#This Row],[AG MPH]]+Montageplatten[[#This Row],[AG Typ]]+Montageplatten[[#This Row],[AG Bef]]=3,1,0)</f>
        <v>0</v>
      </c>
      <c r="AJ90" s="67">
        <f ca="1">IF(select!$K$980="*",Montageplatten[[#This Row],[AG Ges2]],Montageplatten[[#This Row],[AG Ges1]])</f>
        <v>0</v>
      </c>
      <c r="AK90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9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90" s="67">
        <f>IF(Montageplatten[[#This Row],[konf Typ]]+Montageplatten[[#This Row],[konf Befest]]=2,1,0)</f>
        <v>0</v>
      </c>
      <c r="AN9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0" s="67">
        <f ca="1">IF(Montageplatten[[#This Row],[konf Rahmenbed]]+Montageplatten[[#This Row],[konf MPH]]=2,1,0)</f>
        <v>0</v>
      </c>
      <c r="AP90" s="26" t="str">
        <f ca="1">Sprache!A142</f>
        <v>1D Delta Mtg-Platte</v>
      </c>
      <c r="AQ90" t="s">
        <v>2231</v>
      </c>
      <c r="AR90" t="str">
        <f ca="1">Sprache!$A$134</f>
        <v>Tiomos Montageplatten</v>
      </c>
      <c r="AS90" s="18">
        <v>0</v>
      </c>
      <c r="AT90" s="18">
        <v>0</v>
      </c>
      <c r="AU90" s="18">
        <v>1</v>
      </c>
      <c r="AV90" s="18">
        <v>0</v>
      </c>
      <c r="AW90" s="2">
        <v>0</v>
      </c>
      <c r="AX90" s="2">
        <v>1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>
        <v>0</v>
      </c>
      <c r="BE90">
        <v>0</v>
      </c>
      <c r="BF90">
        <v>0</v>
      </c>
      <c r="BG90">
        <v>1</v>
      </c>
      <c r="BH90">
        <v>0</v>
      </c>
      <c r="BI90">
        <v>4.5</v>
      </c>
      <c r="BJ90" s="11" t="s">
        <v>1365</v>
      </c>
    </row>
    <row r="91" spans="1:62" ht="13.5" customHeight="1" x14ac:dyDescent="0.25">
      <c r="A91" s="24" t="str">
        <f t="shared" si="6"/>
        <v>F058</v>
      </c>
      <c r="B91" t="str">
        <f t="shared" si="7"/>
        <v>139</v>
      </c>
      <c r="C91" s="24" t="str">
        <f t="shared" si="8"/>
        <v>828</v>
      </c>
      <c r="D91" s="19">
        <f>IF(select!$N$44=1,Montageplatten[[#This Row],[Kreuz]],IF(select!$N$44=2,Montageplatten[[#This Row],[Linear]],IF(select!$N$44=3,Montageplatten[[#This Row],[Delta]],IF(select!$N$44=4,Montageplatten[[#This Row],[INSET]],0))))</f>
        <v>0</v>
      </c>
      <c r="E9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91" s="19">
        <f>IF(Montageplatten[[#This Row],[37/32]]=1,1,IF(Montageplatten[[#This Row],[28/32]]=1,2,0))</f>
        <v>0</v>
      </c>
      <c r="G9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1" s="19">
        <f>IF(Montageplatten[[#This Row],[Typ]]+Montageplatten[[#This Row],[Befestigung]]=2,1,0)</f>
        <v>0</v>
      </c>
      <c r="I91" s="19">
        <f>IF(Montageplatten[[#This Row],[Randbedingungen]]+IF(Montageplatten[[#This Row],[Höhe]]=select!$B$70,1,0)=2,1,0)</f>
        <v>0</v>
      </c>
      <c r="J91" s="19">
        <f>IF(Montageplatten[[#This Row],[Randbedingungen]]+IF(Montageplatten[[#This Row],[Höhe]]=select!$D$70,1,0)=2,1,0)</f>
        <v>0</v>
      </c>
      <c r="K91" s="19">
        <f>IF(Montageplatten[[#This Row],[Randbedingungen]]+IF(Montageplatten[[#This Row],[Höhe]]=select!$F$70,1,0)=2,1,0)</f>
        <v>0</v>
      </c>
      <c r="L91" s="19">
        <f>IF(Montageplatten[[#This Row],[Randbedingungen]]+IF(Montageplatten[[#This Row],[Höhe]]=select!$H$70,1,0)=2,1,0)</f>
        <v>0</v>
      </c>
      <c r="M9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1" s="67">
        <f>IF(select!$M$317=Montageplatten[[#This Row],[Höhe]],1,0)</f>
        <v>0</v>
      </c>
      <c r="P91" s="81">
        <f>IF(select!$D$334=1,Montageplatten[[#This Row],[Kreuz]],IF(select!$D$334=2,Montageplatten[[#This Row],[Linear]],IF(select!$D$334=3,Montageplatten[[#This Row],[Delta]],IF(select!$D$334=4,Montageplatten[[#This Row],[INSET]],0))))</f>
        <v>0</v>
      </c>
      <c r="Q9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91" s="67">
        <f>IF(Montageplatten[[#This Row],[Typ_winkel]]+Montageplatten[[#This Row],[Befest_Winkel]]=2,1,0)</f>
        <v>0</v>
      </c>
      <c r="S91" s="67">
        <f>IF(Montageplatten[[#This Row],[MPH Winkel]]+Montageplatten[[#This Row],[Typ_winkel]]+Montageplatten[[#This Row],[Befest_Winkel]]=3,1,0)</f>
        <v>0</v>
      </c>
      <c r="T91" s="295">
        <f ca="1">IF(select!$M$746=Montageplatten[[#This Row],[Höhe]],1,0)</f>
        <v>0</v>
      </c>
      <c r="U91" s="67">
        <f>IF(select!$J$783=1,Montageplatten[[#This Row],[Kreuz]],IF(select!$J$783=2,Montageplatten[[#This Row],[Linear]],IF(select!$J$783=3,Montageplatten[[#This Row],[Delta]],IF(select!$J$783=4,Montageplatten[[#This Row],[INSET]],0))))</f>
        <v>0</v>
      </c>
      <c r="V9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91" s="67">
        <f>IF(Montageplatten[[#This Row],[Typ Spezial]]+Montageplatten[[#This Row],[Befest Spezial]]=2,1,0)</f>
        <v>0</v>
      </c>
      <c r="X91" s="67">
        <f ca="1">IF(Montageplatten[[#This Row],[MPH Spezial]]+Montageplatten[[#This Row],[Typ Spezial]]+Montageplatten[[#This Row],[Befest Spezial]]=3,1,0)</f>
        <v>0</v>
      </c>
      <c r="Y91" s="67" t="e">
        <f ca="1">IF(Montageplatten[[#This Row],[AG Rand]]+IF(Montageplatten[[#This Row],[Höhe]]=select!$C$1212,1,0)=2,1,0)</f>
        <v>#VALUE!</v>
      </c>
      <c r="Z91" s="67" t="e">
        <f ca="1">IF(Montageplatten[[#This Row],[AG Rand]]+IF(Montageplatten[[#This Row],[Höhe]]=select!$E$1212,1,0)=2,1,0)</f>
        <v>#VALUE!</v>
      </c>
      <c r="AA91" s="67" t="e">
        <f ca="1">IF(Montageplatten[[#This Row],[AG Rand]]+IF(Montageplatten[[#This Row],[Höhe]]=select!$G$1212,1,0)=2,1,0)</f>
        <v>#VALUE!</v>
      </c>
      <c r="AB91" s="67" t="e">
        <f ca="1">IF(Montageplatten[[#This Row],[AG Rand]]+IF(Montageplatten[[#This Row],[Höhe]]=select!$I$1212,1,0)=2,1,0)</f>
        <v>#VALUE!</v>
      </c>
      <c r="AC9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1" s="67">
        <f>IF(select!$E$991=1,Montageplatten[[#This Row],[Kreuz]],IF(select!$E$991=2,Montageplatten[[#This Row],[Linear]],IF(select!$E$991=3,Montageplatten[[#This Row],[Delta]],IF(select!$E$991=4,Montageplatten[[#This Row],[INSET]],0))))</f>
        <v>0</v>
      </c>
      <c r="AE9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91" s="67">
        <f>IF(Montageplatten[[#This Row],[AG Typ]]+Montageplatten[[#This Row],[AG Bef]]=2,1,0)</f>
        <v>0</v>
      </c>
      <c r="AG9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1" s="67">
        <f ca="1">IF(Montageplatten[[#This Row],[AG MPH]]+Montageplatten[[#This Row],[AG Typ]]+Montageplatten[[#This Row],[AG Bef]]=3,1,0)</f>
        <v>0</v>
      </c>
      <c r="AJ91" s="67">
        <f ca="1">IF(select!$K$980="*",Montageplatten[[#This Row],[AG Ges2]],Montageplatten[[#This Row],[AG Ges1]])</f>
        <v>0</v>
      </c>
      <c r="AK91" s="67">
        <f>IF(select!$A$1427=1,Montageplatten[[#This Row],[Kreuz]],IF(select!$A$1427=2,Montageplatten[[#This Row],[Linear]],IF(select!$A$1427=3,Montageplatten[[#This Row],[Delta]],IF(select!$A$1427=4,Montageplatten[[#This Row],[INSET]],0))))</f>
        <v>0</v>
      </c>
      <c r="AL9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91" s="67">
        <f>IF(Montageplatten[[#This Row],[konf Typ]]+Montageplatten[[#This Row],[konf Befest]]=2,1,0)</f>
        <v>0</v>
      </c>
      <c r="AN9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1" s="67">
        <f ca="1">IF(Montageplatten[[#This Row],[konf Rahmenbed]]+Montageplatten[[#This Row],[konf MPH]]=2,1,0)</f>
        <v>0</v>
      </c>
      <c r="AP91" s="26" t="str">
        <f ca="1">Sprache!A142</f>
        <v>1D Delta Mtg-Platte</v>
      </c>
      <c r="AQ91" t="s">
        <v>2232</v>
      </c>
      <c r="AR91" t="str">
        <f ca="1">Sprache!$A$134</f>
        <v>Tiomos Montageplatten</v>
      </c>
      <c r="AS91" s="18">
        <v>0</v>
      </c>
      <c r="AT91" s="18">
        <v>0</v>
      </c>
      <c r="AU91" s="18">
        <v>1</v>
      </c>
      <c r="AV91" s="18">
        <v>0</v>
      </c>
      <c r="AW91" s="2">
        <v>0</v>
      </c>
      <c r="AX91" s="2">
        <v>1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5</v>
      </c>
      <c r="BJ91" s="11" t="s">
        <v>1366</v>
      </c>
    </row>
    <row r="92" spans="1:62" ht="13.5" customHeight="1" x14ac:dyDescent="0.25">
      <c r="A92" s="24" t="str">
        <f t="shared" si="6"/>
        <v>F058</v>
      </c>
      <c r="B92" t="str">
        <f t="shared" si="7"/>
        <v>139</v>
      </c>
      <c r="C92" s="24" t="str">
        <f t="shared" si="8"/>
        <v>873</v>
      </c>
      <c r="D9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2" s="19">
        <f>IF(Montageplatten[[#This Row],[37/32]]=1,1,IF(Montageplatten[[#This Row],[28/32]]=1,2,0))</f>
        <v>1</v>
      </c>
      <c r="G9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2" s="19">
        <f>IF(Montageplatten[[#This Row],[Typ]]+Montageplatten[[#This Row],[Befestigung]]=2,1,0)</f>
        <v>0</v>
      </c>
      <c r="I92" s="19">
        <f>IF(Montageplatten[[#This Row],[Randbedingungen]]+IF(Montageplatten[[#This Row],[Höhe]]=select!$B$70,1,0)=2,1,0)</f>
        <v>0</v>
      </c>
      <c r="J92" s="19">
        <f>IF(Montageplatten[[#This Row],[Randbedingungen]]+IF(Montageplatten[[#This Row],[Höhe]]=select!$D$70,1,0)=2,1,0)</f>
        <v>0</v>
      </c>
      <c r="K92" s="19">
        <f>IF(Montageplatten[[#This Row],[Randbedingungen]]+IF(Montageplatten[[#This Row],[Höhe]]=select!$F$70,1,0)=2,1,0)</f>
        <v>0</v>
      </c>
      <c r="L92" s="19">
        <f>IF(Montageplatten[[#This Row],[Randbedingungen]]+IF(Montageplatten[[#This Row],[Höhe]]=select!$H$70,1,0)=2,1,0)</f>
        <v>0</v>
      </c>
      <c r="M9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2" s="67">
        <f>IF(select!$M$317=Montageplatten[[#This Row],[Höhe]],1,0)</f>
        <v>0</v>
      </c>
      <c r="P9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2" s="67">
        <f>IF(Montageplatten[[#This Row],[Typ_winkel]]+Montageplatten[[#This Row],[Befest_Winkel]]=2,1,0)</f>
        <v>0</v>
      </c>
      <c r="S92" s="67">
        <f>IF(Montageplatten[[#This Row],[MPH Winkel]]+Montageplatten[[#This Row],[Typ_winkel]]+Montageplatten[[#This Row],[Befest_Winkel]]=3,1,0)</f>
        <v>0</v>
      </c>
      <c r="T92" s="295">
        <f ca="1">IF(select!$M$746=Montageplatten[[#This Row],[Höhe]],1,0)</f>
        <v>0</v>
      </c>
      <c r="U9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2" s="67">
        <f>IF(Montageplatten[[#This Row],[Typ Spezial]]+Montageplatten[[#This Row],[Befest Spezial]]=2,1,0)</f>
        <v>0</v>
      </c>
      <c r="X92" s="67">
        <f ca="1">IF(Montageplatten[[#This Row],[MPH Spezial]]+Montageplatten[[#This Row],[Typ Spezial]]+Montageplatten[[#This Row],[Befest Spezial]]=3,1,0)</f>
        <v>0</v>
      </c>
      <c r="Y92" s="67" t="e">
        <f ca="1">IF(Montageplatten[[#This Row],[AG Rand]]+IF(Montageplatten[[#This Row],[Höhe]]=select!$C$1212,1,0)=2,1,0)</f>
        <v>#VALUE!</v>
      </c>
      <c r="Z92" s="67" t="e">
        <f ca="1">IF(Montageplatten[[#This Row],[AG Rand]]+IF(Montageplatten[[#This Row],[Höhe]]=select!$E$1212,1,0)=2,1,0)</f>
        <v>#VALUE!</v>
      </c>
      <c r="AA92" s="67" t="e">
        <f ca="1">IF(Montageplatten[[#This Row],[AG Rand]]+IF(Montageplatten[[#This Row],[Höhe]]=select!$G$1212,1,0)=2,1,0)</f>
        <v>#VALUE!</v>
      </c>
      <c r="AB92" s="67" t="e">
        <f ca="1">IF(Montageplatten[[#This Row],[AG Rand]]+IF(Montageplatten[[#This Row],[Höhe]]=select!$I$1212,1,0)=2,1,0)</f>
        <v>#VALUE!</v>
      </c>
      <c r="AC9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1</v>
      </c>
      <c r="AD9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2" s="67">
        <f>IF(Montageplatten[[#This Row],[AG Typ]]+Montageplatten[[#This Row],[AG Bef]]=2,1,0)</f>
        <v>0</v>
      </c>
      <c r="AG9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2" s="67">
        <f ca="1">IF(Montageplatten[[#This Row],[AG MPH]]+Montageplatten[[#This Row],[AG Typ]]+Montageplatten[[#This Row],[AG Bef]]=3,1,0)</f>
        <v>0</v>
      </c>
      <c r="AJ92" s="67">
        <f ca="1">IF(select!$K$980="*",Montageplatten[[#This Row],[AG Ges2]],Montageplatten[[#This Row],[AG Ges1]])</f>
        <v>0</v>
      </c>
      <c r="AK9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2" s="67">
        <f>IF(Montageplatten[[#This Row],[konf Typ]]+Montageplatten[[#This Row],[konf Befest]]=2,1,0)</f>
        <v>0</v>
      </c>
      <c r="AN9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2" s="67">
        <f ca="1">IF(Montageplatten[[#This Row],[konf Rahmenbed]]+Montageplatten[[#This Row],[konf MPH]]=2,1,0)</f>
        <v>0</v>
      </c>
      <c r="AP92" s="26" t="str">
        <f ca="1">Sprache!$A$136</f>
        <v>1D Kreuz Mtg-Platte</v>
      </c>
      <c r="AQ92" t="str">
        <f ca="1">"H 06, "&amp;Sprache!A71&amp;", ni /37"</f>
        <v>H 06, vorm. Euro, ni /37</v>
      </c>
      <c r="AR92" t="str">
        <f ca="1">Sprache!$A$134</f>
        <v>Tiomos Montageplatten</v>
      </c>
      <c r="AS92" s="18">
        <v>1</v>
      </c>
      <c r="AT92" s="18">
        <v>0</v>
      </c>
      <c r="AU92" s="18">
        <v>0</v>
      </c>
      <c r="AV92" s="18">
        <v>0</v>
      </c>
      <c r="AW92" s="2">
        <v>0</v>
      </c>
      <c r="AX92" s="2">
        <v>0</v>
      </c>
      <c r="AY92" s="2">
        <v>0</v>
      </c>
      <c r="AZ92" s="2">
        <v>1</v>
      </c>
      <c r="BA92" s="2">
        <v>0</v>
      </c>
      <c r="BB92" s="2">
        <v>0</v>
      </c>
      <c r="BC92" s="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6</v>
      </c>
      <c r="BJ92" s="11" t="s">
        <v>813</v>
      </c>
    </row>
    <row r="93" spans="1:62" ht="13.5" customHeight="1" x14ac:dyDescent="0.25">
      <c r="A93" s="24" t="str">
        <f t="shared" si="6"/>
        <v>F058</v>
      </c>
      <c r="B93" t="str">
        <f t="shared" si="7"/>
        <v>139</v>
      </c>
      <c r="C93" s="24" t="str">
        <f t="shared" si="8"/>
        <v>892</v>
      </c>
      <c r="D9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93" s="19">
        <f>IF(Montageplatten[[#This Row],[37/32]]=1,1,IF(Montageplatten[[#This Row],[28/32]]=1,2,0))</f>
        <v>1</v>
      </c>
      <c r="G9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3" s="19">
        <f>IF(Montageplatten[[#This Row],[Typ]]+Montageplatten[[#This Row],[Befestigung]]=2,1,0)</f>
        <v>1</v>
      </c>
      <c r="I93" s="19">
        <f>IF(Montageplatten[[#This Row],[Randbedingungen]]+IF(Montageplatten[[#This Row],[Höhe]]=select!$B$70,1,0)=2,1,0)</f>
        <v>0</v>
      </c>
      <c r="J93" s="19">
        <f>IF(Montageplatten[[#This Row],[Randbedingungen]]+IF(Montageplatten[[#This Row],[Höhe]]=select!$D$70,1,0)=2,1,0)</f>
        <v>0</v>
      </c>
      <c r="K93" s="19">
        <f>IF(Montageplatten[[#This Row],[Randbedingungen]]+IF(Montageplatten[[#This Row],[Höhe]]=select!$F$70,1,0)=2,1,0)</f>
        <v>0</v>
      </c>
      <c r="L93" s="19">
        <f>IF(Montageplatten[[#This Row],[Randbedingungen]]+IF(Montageplatten[[#This Row],[Höhe]]=select!$H$70,1,0)=2,1,0)</f>
        <v>0</v>
      </c>
      <c r="M9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3" s="67">
        <f>IF(select!$M$317=Montageplatten[[#This Row],[Höhe]],1,0)</f>
        <v>0</v>
      </c>
      <c r="P9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93" s="67">
        <f>IF(Montageplatten[[#This Row],[Typ_winkel]]+Montageplatten[[#This Row],[Befest_Winkel]]=2,1,0)</f>
        <v>1</v>
      </c>
      <c r="S93" s="67">
        <f>IF(Montageplatten[[#This Row],[MPH Winkel]]+Montageplatten[[#This Row],[Typ_winkel]]+Montageplatten[[#This Row],[Befest_Winkel]]=3,1,0)</f>
        <v>0</v>
      </c>
      <c r="T93" s="295">
        <f ca="1">IF(select!$M$746=Montageplatten[[#This Row],[Höhe]],1,0)</f>
        <v>0</v>
      </c>
      <c r="U9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93" s="67">
        <f>IF(Montageplatten[[#This Row],[Typ Spezial]]+Montageplatten[[#This Row],[Befest Spezial]]=2,1,0)</f>
        <v>1</v>
      </c>
      <c r="X93" s="67">
        <f ca="1">IF(Montageplatten[[#This Row],[MPH Spezial]]+Montageplatten[[#This Row],[Typ Spezial]]+Montageplatten[[#This Row],[Befest Spezial]]=3,1,0)</f>
        <v>0</v>
      </c>
      <c r="Y93" s="67" t="e">
        <f ca="1">IF(Montageplatten[[#This Row],[AG Rand]]+IF(Montageplatten[[#This Row],[Höhe]]=select!$C$1212,1,0)=2,1,0)</f>
        <v>#VALUE!</v>
      </c>
      <c r="Z93" s="67" t="e">
        <f ca="1">IF(Montageplatten[[#This Row],[AG Rand]]+IF(Montageplatten[[#This Row],[Höhe]]=select!$E$1212,1,0)=2,1,0)</f>
        <v>#VALUE!</v>
      </c>
      <c r="AA93" s="67" t="e">
        <f ca="1">IF(Montageplatten[[#This Row],[AG Rand]]+IF(Montageplatten[[#This Row],[Höhe]]=select!$G$1212,1,0)=2,1,0)</f>
        <v>#VALUE!</v>
      </c>
      <c r="AB93" s="67" t="e">
        <f ca="1">IF(Montageplatten[[#This Row],[AG Rand]]+IF(Montageplatten[[#This Row],[Höhe]]=select!$I$1212,1,0)=2,1,0)</f>
        <v>#VALUE!</v>
      </c>
      <c r="AC9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1</v>
      </c>
      <c r="AD9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93" s="67">
        <f>IF(Montageplatten[[#This Row],[AG Typ]]+Montageplatten[[#This Row],[AG Bef]]=2,1,0)</f>
        <v>1</v>
      </c>
      <c r="AG9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3" s="67">
        <f ca="1">IF(Montageplatten[[#This Row],[AG MPH]]+Montageplatten[[#This Row],[AG Typ]]+Montageplatten[[#This Row],[AG Bef]]=3,1,0)</f>
        <v>1</v>
      </c>
      <c r="AJ93" s="67">
        <f ca="1">IF(select!$K$980="*",Montageplatten[[#This Row],[AG Ges2]],Montageplatten[[#This Row],[AG Ges1]])</f>
        <v>1</v>
      </c>
      <c r="AK9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93" s="67">
        <f>IF(Montageplatten[[#This Row],[konf Typ]]+Montageplatten[[#This Row],[konf Befest]]=2,1,0)</f>
        <v>1</v>
      </c>
      <c r="AN93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3" s="67">
        <f ca="1">IF(Montageplatten[[#This Row],[konf Rahmenbed]]+Montageplatten[[#This Row],[konf MPH]]=2,1,0)</f>
        <v>0</v>
      </c>
      <c r="AP93" s="26" t="str">
        <f ca="1">Sprache!$A$136</f>
        <v>1D Kreuz Mtg-Platte</v>
      </c>
      <c r="AQ93" t="s">
        <v>835</v>
      </c>
      <c r="AR93" t="str">
        <f ca="1">Sprache!$A$134</f>
        <v>Tiomos Montageplatten</v>
      </c>
      <c r="AS93" s="18">
        <v>1</v>
      </c>
      <c r="AT93" s="18">
        <v>0</v>
      </c>
      <c r="AU93" s="18">
        <v>0</v>
      </c>
      <c r="AV93" s="18">
        <v>0</v>
      </c>
      <c r="AW93" s="2">
        <v>0</v>
      </c>
      <c r="AX93" s="2">
        <v>1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6</v>
      </c>
      <c r="BJ93" s="11" t="s">
        <v>834</v>
      </c>
    </row>
    <row r="94" spans="1:62" ht="13.5" customHeight="1" x14ac:dyDescent="0.25">
      <c r="A94" s="24" t="str">
        <f t="shared" si="6"/>
        <v>F058</v>
      </c>
      <c r="B94" t="str">
        <f t="shared" si="7"/>
        <v>139</v>
      </c>
      <c r="C94" s="24" t="str">
        <f t="shared" si="8"/>
        <v>880</v>
      </c>
      <c r="D9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4" s="19">
        <f>IF(Montageplatten[[#This Row],[37/32]]=1,1,IF(Montageplatten[[#This Row],[28/32]]=1,2,0))</f>
        <v>1</v>
      </c>
      <c r="G9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4" s="19">
        <f>IF(Montageplatten[[#This Row],[Typ]]+Montageplatten[[#This Row],[Befestigung]]=2,1,0)</f>
        <v>0</v>
      </c>
      <c r="I94" s="19">
        <f>IF(Montageplatten[[#This Row],[Randbedingungen]]+IF(Montageplatten[[#This Row],[Höhe]]=select!$B$70,1,0)=2,1,0)</f>
        <v>0</v>
      </c>
      <c r="J94" s="19">
        <f>IF(Montageplatten[[#This Row],[Randbedingungen]]+IF(Montageplatten[[#This Row],[Höhe]]=select!$D$70,1,0)=2,1,0)</f>
        <v>0</v>
      </c>
      <c r="K94" s="19">
        <f>IF(Montageplatten[[#This Row],[Randbedingungen]]+IF(Montageplatten[[#This Row],[Höhe]]=select!$F$70,1,0)=2,1,0)</f>
        <v>0</v>
      </c>
      <c r="L94" s="19">
        <f>IF(Montageplatten[[#This Row],[Randbedingungen]]+IF(Montageplatten[[#This Row],[Höhe]]=select!$H$70,1,0)=2,1,0)</f>
        <v>0</v>
      </c>
      <c r="M9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4" s="67">
        <f>IF(select!$M$317=Montageplatten[[#This Row],[Höhe]],1,0)</f>
        <v>0</v>
      </c>
      <c r="P9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4" s="67">
        <f>IF(Montageplatten[[#This Row],[Typ_winkel]]+Montageplatten[[#This Row],[Befest_Winkel]]=2,1,0)</f>
        <v>0</v>
      </c>
      <c r="S94" s="67">
        <f>IF(Montageplatten[[#This Row],[MPH Winkel]]+Montageplatten[[#This Row],[Typ_winkel]]+Montageplatten[[#This Row],[Befest_Winkel]]=3,1,0)</f>
        <v>0</v>
      </c>
      <c r="T94" s="295">
        <f ca="1">IF(select!$M$746=Montageplatten[[#This Row],[Höhe]],1,0)</f>
        <v>0</v>
      </c>
      <c r="U9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4" s="67">
        <f>IF(Montageplatten[[#This Row],[Typ Spezial]]+Montageplatten[[#This Row],[Befest Spezial]]=2,1,0)</f>
        <v>0</v>
      </c>
      <c r="X94" s="67">
        <f ca="1">IF(Montageplatten[[#This Row],[MPH Spezial]]+Montageplatten[[#This Row],[Typ Spezial]]+Montageplatten[[#This Row],[Befest Spezial]]=3,1,0)</f>
        <v>0</v>
      </c>
      <c r="Y94" s="67" t="e">
        <f ca="1">IF(Montageplatten[[#This Row],[AG Rand]]+IF(Montageplatten[[#This Row],[Höhe]]=select!$C$1212,1,0)=2,1,0)</f>
        <v>#VALUE!</v>
      </c>
      <c r="Z94" s="67" t="e">
        <f ca="1">IF(Montageplatten[[#This Row],[AG Rand]]+IF(Montageplatten[[#This Row],[Höhe]]=select!$E$1212,1,0)=2,1,0)</f>
        <v>#VALUE!</v>
      </c>
      <c r="AA94" s="67" t="e">
        <f ca="1">IF(Montageplatten[[#This Row],[AG Rand]]+IF(Montageplatten[[#This Row],[Höhe]]=select!$G$1212,1,0)=2,1,0)</f>
        <v>#VALUE!</v>
      </c>
      <c r="AB94" s="67" t="e">
        <f ca="1">IF(Montageplatten[[#This Row],[AG Rand]]+IF(Montageplatten[[#This Row],[Höhe]]=select!$I$1212,1,0)=2,1,0)</f>
        <v>#VALUE!</v>
      </c>
      <c r="AC9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4" s="67">
        <f>IF(Montageplatten[[#This Row],[AG Typ]]+Montageplatten[[#This Row],[AG Bef]]=2,1,0)</f>
        <v>0</v>
      </c>
      <c r="AG9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4" s="67">
        <f ca="1">IF(Montageplatten[[#This Row],[AG MPH]]+Montageplatten[[#This Row],[AG Typ]]+Montageplatten[[#This Row],[AG Bef]]=3,1,0)</f>
        <v>0</v>
      </c>
      <c r="AJ94" s="67">
        <f ca="1">IF(select!$K$980="*",Montageplatten[[#This Row],[AG Ges2]],Montageplatten[[#This Row],[AG Ges1]])</f>
        <v>0</v>
      </c>
      <c r="AK9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4" s="67">
        <f>IF(Montageplatten[[#This Row],[konf Typ]]+Montageplatten[[#This Row],[konf Befest]]=2,1,0)</f>
        <v>0</v>
      </c>
      <c r="AN94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4" s="67">
        <f ca="1">IF(Montageplatten[[#This Row],[konf Rahmenbed]]+Montageplatten[[#This Row],[konf MPH]]=2,1,0)</f>
        <v>0</v>
      </c>
      <c r="AP94" s="26" t="str">
        <f ca="1">Sprache!$A$136</f>
        <v>1D Kreuz Mtg-Platte</v>
      </c>
      <c r="AQ94" t="str">
        <f ca="1">"H 08, "&amp;Sprache!A71&amp;", ni /37"</f>
        <v>H 08, vorm. Euro, ni /37</v>
      </c>
      <c r="AR94" t="str">
        <f ca="1">Sprache!$A$134</f>
        <v>Tiomos Montageplatten</v>
      </c>
      <c r="AS94" s="18">
        <v>1</v>
      </c>
      <c r="AT94" s="18">
        <v>0</v>
      </c>
      <c r="AU94" s="18">
        <v>0</v>
      </c>
      <c r="AV94" s="18">
        <v>0</v>
      </c>
      <c r="AW94" s="2">
        <v>0</v>
      </c>
      <c r="AX94" s="2">
        <v>0</v>
      </c>
      <c r="AY94" s="2">
        <v>0</v>
      </c>
      <c r="AZ94" s="2">
        <v>1</v>
      </c>
      <c r="BA94" s="2">
        <v>0</v>
      </c>
      <c r="BB94" s="2">
        <v>0</v>
      </c>
      <c r="BC94" s="2">
        <v>0</v>
      </c>
      <c r="BD94">
        <v>1</v>
      </c>
      <c r="BE94">
        <v>0</v>
      </c>
      <c r="BF94">
        <v>0</v>
      </c>
      <c r="BG94">
        <v>0</v>
      </c>
      <c r="BH94">
        <v>0</v>
      </c>
      <c r="BI94">
        <v>8</v>
      </c>
      <c r="BJ94" s="11" t="s">
        <v>817</v>
      </c>
    </row>
    <row r="95" spans="1:62" ht="13.5" customHeight="1" x14ac:dyDescent="0.25">
      <c r="A95" s="24" t="str">
        <f t="shared" si="6"/>
        <v>F058</v>
      </c>
      <c r="B95" t="str">
        <f t="shared" si="7"/>
        <v>139</v>
      </c>
      <c r="C95" s="24" t="str">
        <f t="shared" si="8"/>
        <v>886</v>
      </c>
      <c r="D9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95" s="19">
        <f>IF(Montageplatten[[#This Row],[37/32]]=1,1,IF(Montageplatten[[#This Row],[28/32]]=1,2,0))</f>
        <v>1</v>
      </c>
      <c r="G9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5" s="19">
        <f>IF(Montageplatten[[#This Row],[Typ]]+Montageplatten[[#This Row],[Befestigung]]=2,1,0)</f>
        <v>1</v>
      </c>
      <c r="I95" s="19">
        <f>IF(Montageplatten[[#This Row],[Randbedingungen]]+IF(Montageplatten[[#This Row],[Höhe]]=select!$B$70,1,0)=2,1,0)</f>
        <v>0</v>
      </c>
      <c r="J95" s="19">
        <f>IF(Montageplatten[[#This Row],[Randbedingungen]]+IF(Montageplatten[[#This Row],[Höhe]]=select!$D$70,1,0)=2,1,0)</f>
        <v>0</v>
      </c>
      <c r="K95" s="19">
        <f>IF(Montageplatten[[#This Row],[Randbedingungen]]+IF(Montageplatten[[#This Row],[Höhe]]=select!$F$70,1,0)=2,1,0)</f>
        <v>0</v>
      </c>
      <c r="L95" s="19">
        <f>IF(Montageplatten[[#This Row],[Randbedingungen]]+IF(Montageplatten[[#This Row],[Höhe]]=select!$H$70,1,0)=2,1,0)</f>
        <v>0</v>
      </c>
      <c r="M9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5" s="67">
        <f>IF(select!$M$317=Montageplatten[[#This Row],[Höhe]],1,0)</f>
        <v>0</v>
      </c>
      <c r="P9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95" s="67">
        <f>IF(Montageplatten[[#This Row],[Typ_winkel]]+Montageplatten[[#This Row],[Befest_Winkel]]=2,1,0)</f>
        <v>1</v>
      </c>
      <c r="S95" s="67">
        <f>IF(Montageplatten[[#This Row],[MPH Winkel]]+Montageplatten[[#This Row],[Typ_winkel]]+Montageplatten[[#This Row],[Befest_Winkel]]=3,1,0)</f>
        <v>0</v>
      </c>
      <c r="T95" s="295">
        <f ca="1">IF(select!$M$746=Montageplatten[[#This Row],[Höhe]],1,0)</f>
        <v>0</v>
      </c>
      <c r="U9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95" s="67">
        <f>IF(Montageplatten[[#This Row],[Typ Spezial]]+Montageplatten[[#This Row],[Befest Spezial]]=2,1,0)</f>
        <v>1</v>
      </c>
      <c r="X95" s="67">
        <f ca="1">IF(Montageplatten[[#This Row],[MPH Spezial]]+Montageplatten[[#This Row],[Typ Spezial]]+Montageplatten[[#This Row],[Befest Spezial]]=3,1,0)</f>
        <v>0</v>
      </c>
      <c r="Y95" s="67" t="e">
        <f ca="1">IF(Montageplatten[[#This Row],[AG Rand]]+IF(Montageplatten[[#This Row],[Höhe]]=select!$C$1212,1,0)=2,1,0)</f>
        <v>#VALUE!</v>
      </c>
      <c r="Z95" s="67" t="e">
        <f ca="1">IF(Montageplatten[[#This Row],[AG Rand]]+IF(Montageplatten[[#This Row],[Höhe]]=select!$E$1212,1,0)=2,1,0)</f>
        <v>#VALUE!</v>
      </c>
      <c r="AA95" s="67" t="e">
        <f ca="1">IF(Montageplatten[[#This Row],[AG Rand]]+IF(Montageplatten[[#This Row],[Höhe]]=select!$G$1212,1,0)=2,1,0)</f>
        <v>#VALUE!</v>
      </c>
      <c r="AB95" s="67" t="e">
        <f ca="1">IF(Montageplatten[[#This Row],[AG Rand]]+IF(Montageplatten[[#This Row],[Höhe]]=select!$I$1212,1,0)=2,1,0)</f>
        <v>#VALUE!</v>
      </c>
      <c r="AC9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95" s="67">
        <f>IF(Montageplatten[[#This Row],[AG Typ]]+Montageplatten[[#This Row],[AG Bef]]=2,1,0)</f>
        <v>1</v>
      </c>
      <c r="AG9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5" s="67">
        <f ca="1">IF(Montageplatten[[#This Row],[AG MPH]]+Montageplatten[[#This Row],[AG Typ]]+Montageplatten[[#This Row],[AG Bef]]=3,1,0)</f>
        <v>0</v>
      </c>
      <c r="AJ95" s="67">
        <f ca="1">IF(select!$K$980="*",Montageplatten[[#This Row],[AG Ges2]],Montageplatten[[#This Row],[AG Ges1]])</f>
        <v>0</v>
      </c>
      <c r="AK9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95" s="67">
        <f>IF(Montageplatten[[#This Row],[konf Typ]]+Montageplatten[[#This Row],[konf Befest]]=2,1,0)</f>
        <v>1</v>
      </c>
      <c r="AN9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5" s="67">
        <f ca="1">IF(Montageplatten[[#This Row],[konf Rahmenbed]]+Montageplatten[[#This Row],[konf MPH]]=2,1,0)</f>
        <v>0</v>
      </c>
      <c r="AP95" s="26" t="str">
        <f ca="1">Sprache!$A$136</f>
        <v>1D Kreuz Mtg-Platte</v>
      </c>
      <c r="AQ95" t="s">
        <v>824</v>
      </c>
      <c r="AR95" t="str">
        <f ca="1">Sprache!$A$134</f>
        <v>Tiomos Montageplatten</v>
      </c>
      <c r="AS95" s="18">
        <v>1</v>
      </c>
      <c r="AT95" s="18">
        <v>0</v>
      </c>
      <c r="AU95" s="18">
        <v>0</v>
      </c>
      <c r="AV95" s="18">
        <v>0</v>
      </c>
      <c r="AW95" s="2">
        <v>0</v>
      </c>
      <c r="AX95" s="2">
        <v>1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8</v>
      </c>
      <c r="BJ95" s="11" t="s">
        <v>823</v>
      </c>
    </row>
    <row r="96" spans="1:62" ht="13.5" customHeight="1" x14ac:dyDescent="0.25">
      <c r="A96" s="24" t="str">
        <f t="shared" si="6"/>
        <v>F058</v>
      </c>
      <c r="B96" t="str">
        <f t="shared" si="7"/>
        <v>139</v>
      </c>
      <c r="C96" s="24" t="str">
        <f t="shared" si="8"/>
        <v>881</v>
      </c>
      <c r="D9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6" s="19">
        <f>IF(Montageplatten[[#This Row],[37/32]]=1,1,IF(Montageplatten[[#This Row],[28/32]]=1,2,0))</f>
        <v>1</v>
      </c>
      <c r="G9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6" s="19">
        <f>IF(Montageplatten[[#This Row],[Typ]]+Montageplatten[[#This Row],[Befestigung]]=2,1,0)</f>
        <v>0</v>
      </c>
      <c r="I96" s="19">
        <f>IF(Montageplatten[[#This Row],[Randbedingungen]]+IF(Montageplatten[[#This Row],[Höhe]]=select!$B$70,1,0)=2,1,0)</f>
        <v>0</v>
      </c>
      <c r="J96" s="19">
        <f>IF(Montageplatten[[#This Row],[Randbedingungen]]+IF(Montageplatten[[#This Row],[Höhe]]=select!$D$70,1,0)=2,1,0)</f>
        <v>0</v>
      </c>
      <c r="K96" s="19">
        <f>IF(Montageplatten[[#This Row],[Randbedingungen]]+IF(Montageplatten[[#This Row],[Höhe]]=select!$F$70,1,0)=2,1,0)</f>
        <v>0</v>
      </c>
      <c r="L96" s="19">
        <f>IF(Montageplatten[[#This Row],[Randbedingungen]]+IF(Montageplatten[[#This Row],[Höhe]]=select!$H$70,1,0)=2,1,0)</f>
        <v>0</v>
      </c>
      <c r="M9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6" s="67">
        <f>IF(select!$M$317=Montageplatten[[#This Row],[Höhe]],1,0)</f>
        <v>0</v>
      </c>
      <c r="P9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6" s="67">
        <f>IF(Montageplatten[[#This Row],[Typ_winkel]]+Montageplatten[[#This Row],[Befest_Winkel]]=2,1,0)</f>
        <v>0</v>
      </c>
      <c r="S96" s="67">
        <f>IF(Montageplatten[[#This Row],[MPH Winkel]]+Montageplatten[[#This Row],[Typ_winkel]]+Montageplatten[[#This Row],[Befest_Winkel]]=3,1,0)</f>
        <v>0</v>
      </c>
      <c r="T96" s="295">
        <f ca="1">IF(select!$M$746=Montageplatten[[#This Row],[Höhe]],1,0)</f>
        <v>0</v>
      </c>
      <c r="U9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6" s="67">
        <f>IF(Montageplatten[[#This Row],[Typ Spezial]]+Montageplatten[[#This Row],[Befest Spezial]]=2,1,0)</f>
        <v>0</v>
      </c>
      <c r="X96" s="67">
        <f ca="1">IF(Montageplatten[[#This Row],[MPH Spezial]]+Montageplatten[[#This Row],[Typ Spezial]]+Montageplatten[[#This Row],[Befest Spezial]]=3,1,0)</f>
        <v>0</v>
      </c>
      <c r="Y96" s="67" t="e">
        <f ca="1">IF(Montageplatten[[#This Row],[AG Rand]]+IF(Montageplatten[[#This Row],[Höhe]]=select!$C$1212,1,0)=2,1,0)</f>
        <v>#VALUE!</v>
      </c>
      <c r="Z96" s="67" t="e">
        <f ca="1">IF(Montageplatten[[#This Row],[AG Rand]]+IF(Montageplatten[[#This Row],[Höhe]]=select!$E$1212,1,0)=2,1,0)</f>
        <v>#VALUE!</v>
      </c>
      <c r="AA96" s="67" t="e">
        <f ca="1">IF(Montageplatten[[#This Row],[AG Rand]]+IF(Montageplatten[[#This Row],[Höhe]]=select!$G$1212,1,0)=2,1,0)</f>
        <v>#VALUE!</v>
      </c>
      <c r="AB96" s="67" t="e">
        <f ca="1">IF(Montageplatten[[#This Row],[AG Rand]]+IF(Montageplatten[[#This Row],[Höhe]]=select!$I$1212,1,0)=2,1,0)</f>
        <v>#VALUE!</v>
      </c>
      <c r="AC9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6" s="67">
        <f>IF(Montageplatten[[#This Row],[AG Typ]]+Montageplatten[[#This Row],[AG Bef]]=2,1,0)</f>
        <v>0</v>
      </c>
      <c r="AG9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6" s="67">
        <f ca="1">IF(Montageplatten[[#This Row],[AG MPH]]+Montageplatten[[#This Row],[AG Typ]]+Montageplatten[[#This Row],[AG Bef]]=3,1,0)</f>
        <v>0</v>
      </c>
      <c r="AJ96" s="67">
        <f ca="1">IF(select!$K$980="*",Montageplatten[[#This Row],[AG Ges2]],Montageplatten[[#This Row],[AG Ges1]])</f>
        <v>0</v>
      </c>
      <c r="AK9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6" s="67">
        <f>IF(Montageplatten[[#This Row],[konf Typ]]+Montageplatten[[#This Row],[konf Befest]]=2,1,0)</f>
        <v>0</v>
      </c>
      <c r="AN9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6" s="67">
        <f ca="1">IF(Montageplatten[[#This Row],[konf Rahmenbed]]+Montageplatten[[#This Row],[konf MPH]]=2,1,0)</f>
        <v>0</v>
      </c>
      <c r="AP96" s="26" t="str">
        <f ca="1">Sprache!$A$136</f>
        <v>1D Kreuz Mtg-Platte</v>
      </c>
      <c r="AQ96" t="str">
        <f ca="1">"H 09, "&amp;Sprache!A71&amp;", ni /37"</f>
        <v>H 09, vorm. Euro, ni /37</v>
      </c>
      <c r="AR96" t="str">
        <f ca="1">Sprache!$A$134</f>
        <v>Tiomos Montageplatten</v>
      </c>
      <c r="AS96" s="18">
        <v>1</v>
      </c>
      <c r="AT96" s="18">
        <v>0</v>
      </c>
      <c r="AU96" s="18">
        <v>0</v>
      </c>
      <c r="AV96" s="18">
        <v>0</v>
      </c>
      <c r="AW96" s="2">
        <v>0</v>
      </c>
      <c r="AX96" s="2">
        <v>0</v>
      </c>
      <c r="AY96" s="2">
        <v>0</v>
      </c>
      <c r="AZ96" s="2">
        <v>1</v>
      </c>
      <c r="BA96" s="2">
        <v>0</v>
      </c>
      <c r="BB96" s="2">
        <v>0</v>
      </c>
      <c r="BC96" s="2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9</v>
      </c>
      <c r="BJ96" s="11" t="s">
        <v>818</v>
      </c>
    </row>
    <row r="97" spans="1:62" ht="13.5" customHeight="1" x14ac:dyDescent="0.25">
      <c r="A97" s="24" t="str">
        <f t="shared" si="6"/>
        <v>F058</v>
      </c>
      <c r="B97" t="str">
        <f t="shared" si="7"/>
        <v>139</v>
      </c>
      <c r="C97" s="24" t="str">
        <f t="shared" si="8"/>
        <v>887</v>
      </c>
      <c r="D9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97" s="19">
        <f>IF(Montageplatten[[#This Row],[37/32]]=1,1,IF(Montageplatten[[#This Row],[28/32]]=1,2,0))</f>
        <v>1</v>
      </c>
      <c r="G9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97" s="19">
        <f>IF(Montageplatten[[#This Row],[Typ]]+Montageplatten[[#This Row],[Befestigung]]=2,1,0)</f>
        <v>1</v>
      </c>
      <c r="I97" s="19">
        <f>IF(Montageplatten[[#This Row],[Randbedingungen]]+IF(Montageplatten[[#This Row],[Höhe]]=select!$B$70,1,0)=2,1,0)</f>
        <v>0</v>
      </c>
      <c r="J97" s="19">
        <f>IF(Montageplatten[[#This Row],[Randbedingungen]]+IF(Montageplatten[[#This Row],[Höhe]]=select!$D$70,1,0)=2,1,0)</f>
        <v>0</v>
      </c>
      <c r="K97" s="19">
        <f>IF(Montageplatten[[#This Row],[Randbedingungen]]+IF(Montageplatten[[#This Row],[Höhe]]=select!$F$70,1,0)=2,1,0)</f>
        <v>0</v>
      </c>
      <c r="L97" s="19">
        <f>IF(Montageplatten[[#This Row],[Randbedingungen]]+IF(Montageplatten[[#This Row],[Höhe]]=select!$H$70,1,0)=2,1,0)</f>
        <v>0</v>
      </c>
      <c r="M9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7" s="67">
        <f>IF(select!$M$317=Montageplatten[[#This Row],[Höhe]],1,0)</f>
        <v>0</v>
      </c>
      <c r="P9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97" s="67">
        <f>IF(Montageplatten[[#This Row],[Typ_winkel]]+Montageplatten[[#This Row],[Befest_Winkel]]=2,1,0)</f>
        <v>1</v>
      </c>
      <c r="S97" s="67">
        <f>IF(Montageplatten[[#This Row],[MPH Winkel]]+Montageplatten[[#This Row],[Typ_winkel]]+Montageplatten[[#This Row],[Befest_Winkel]]=3,1,0)</f>
        <v>0</v>
      </c>
      <c r="T97" s="295">
        <f ca="1">IF(select!$M$746=Montageplatten[[#This Row],[Höhe]],1,0)</f>
        <v>0</v>
      </c>
      <c r="U9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97" s="67">
        <f>IF(Montageplatten[[#This Row],[Typ Spezial]]+Montageplatten[[#This Row],[Befest Spezial]]=2,1,0)</f>
        <v>1</v>
      </c>
      <c r="X97" s="67">
        <f ca="1">IF(Montageplatten[[#This Row],[MPH Spezial]]+Montageplatten[[#This Row],[Typ Spezial]]+Montageplatten[[#This Row],[Befest Spezial]]=3,1,0)</f>
        <v>0</v>
      </c>
      <c r="Y97" s="67" t="e">
        <f ca="1">IF(Montageplatten[[#This Row],[AG Rand]]+IF(Montageplatten[[#This Row],[Höhe]]=select!$C$1212,1,0)=2,1,0)</f>
        <v>#VALUE!</v>
      </c>
      <c r="Z97" s="67" t="e">
        <f ca="1">IF(Montageplatten[[#This Row],[AG Rand]]+IF(Montageplatten[[#This Row],[Höhe]]=select!$E$1212,1,0)=2,1,0)</f>
        <v>#VALUE!</v>
      </c>
      <c r="AA97" s="67" t="e">
        <f ca="1">IF(Montageplatten[[#This Row],[AG Rand]]+IF(Montageplatten[[#This Row],[Höhe]]=select!$G$1212,1,0)=2,1,0)</f>
        <v>#VALUE!</v>
      </c>
      <c r="AB97" s="67" t="e">
        <f ca="1">IF(Montageplatten[[#This Row],[AG Rand]]+IF(Montageplatten[[#This Row],[Höhe]]=select!$I$1212,1,0)=2,1,0)</f>
        <v>#VALUE!</v>
      </c>
      <c r="AC9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97" s="67">
        <f>IF(Montageplatten[[#This Row],[AG Typ]]+Montageplatten[[#This Row],[AG Bef]]=2,1,0)</f>
        <v>1</v>
      </c>
      <c r="AG9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7" s="67">
        <f ca="1">IF(Montageplatten[[#This Row],[AG MPH]]+Montageplatten[[#This Row],[AG Typ]]+Montageplatten[[#This Row],[AG Bef]]=3,1,0)</f>
        <v>0</v>
      </c>
      <c r="AJ97" s="67">
        <f ca="1">IF(select!$K$980="*",Montageplatten[[#This Row],[AG Ges2]],Montageplatten[[#This Row],[AG Ges1]])</f>
        <v>0</v>
      </c>
      <c r="AK9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97" s="67">
        <f>IF(Montageplatten[[#This Row],[konf Typ]]+Montageplatten[[#This Row],[konf Befest]]=2,1,0)</f>
        <v>1</v>
      </c>
      <c r="AN9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7" s="67">
        <f ca="1">IF(Montageplatten[[#This Row],[konf Rahmenbed]]+Montageplatten[[#This Row],[konf MPH]]=2,1,0)</f>
        <v>0</v>
      </c>
      <c r="AP97" s="26" t="str">
        <f ca="1">Sprache!$A$136</f>
        <v>1D Kreuz Mtg-Platte</v>
      </c>
      <c r="AQ97" t="s">
        <v>826</v>
      </c>
      <c r="AR97" t="str">
        <f ca="1">Sprache!$A$134</f>
        <v>Tiomos Montageplatten</v>
      </c>
      <c r="AS97" s="18">
        <v>1</v>
      </c>
      <c r="AT97" s="18">
        <v>0</v>
      </c>
      <c r="AU97" s="18">
        <v>0</v>
      </c>
      <c r="AV97" s="18">
        <v>0</v>
      </c>
      <c r="AW97" s="2">
        <v>0</v>
      </c>
      <c r="AX97" s="2">
        <v>1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9</v>
      </c>
      <c r="BJ97" s="11" t="s">
        <v>825</v>
      </c>
    </row>
    <row r="98" spans="1:62" ht="13.5" customHeight="1" x14ac:dyDescent="0.25">
      <c r="A98" s="24" t="str">
        <f t="shared" ref="A98:A112" si="9">LEFT(BJ98,4)</f>
        <v>F058</v>
      </c>
      <c r="B98" t="str">
        <f t="shared" ref="B98:B112" si="10">MID(BJ98,5,3)</f>
        <v>139</v>
      </c>
      <c r="C98" s="24" t="str">
        <f t="shared" ref="C98:C112" si="11">RIGHT(BJ98,3)</f>
        <v>879</v>
      </c>
      <c r="D9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8" s="19">
        <f>IF(Montageplatten[[#This Row],[37/32]]=1,1,IF(Montageplatten[[#This Row],[28/32]]=1,2,0))</f>
        <v>1</v>
      </c>
      <c r="G98" s="19">
        <f>IF(OR(select!$B$70=Montageplatten[[#This Row],[Höhe]],select!$D$70=Montageplatten[[#This Row],[Höhe]],select!$F$70=Montageplatten[[#This Row],[Höhe]],select!$H$70=Montageplatten[[#This Row],[Höhe]])=TRUE,1,0)</f>
        <v>1</v>
      </c>
      <c r="H98" s="19">
        <f>IF(Montageplatten[[#This Row],[Typ]]+Montageplatten[[#This Row],[Befestigung]]=2,1,0)</f>
        <v>0</v>
      </c>
      <c r="I98" s="19">
        <f>IF(Montageplatten[[#This Row],[Randbedingungen]]+IF(Montageplatten[[#This Row],[Höhe]]=select!$B$70,1,0)=2,1,0)</f>
        <v>0</v>
      </c>
      <c r="J98" s="19">
        <f>IF(Montageplatten[[#This Row],[Randbedingungen]]+IF(Montageplatten[[#This Row],[Höhe]]=select!$D$70,1,0)=2,1,0)</f>
        <v>0</v>
      </c>
      <c r="K98" s="19">
        <f>IF(Montageplatten[[#This Row],[Randbedingungen]]+IF(Montageplatten[[#This Row],[Höhe]]=select!$F$70,1,0)=2,1,0)</f>
        <v>0</v>
      </c>
      <c r="L98" s="19">
        <f>IF(Montageplatten[[#This Row],[Randbedingungen]]+IF(Montageplatten[[#This Row],[Höhe]]=select!$H$70,1,0)=2,1,0)</f>
        <v>0</v>
      </c>
      <c r="M9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8" s="67">
        <f>IF(select!$M$317=Montageplatten[[#This Row],[Höhe]],1,0)</f>
        <v>0</v>
      </c>
      <c r="P9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8" s="67">
        <f>IF(Montageplatten[[#This Row],[Typ_winkel]]+Montageplatten[[#This Row],[Befest_Winkel]]=2,1,0)</f>
        <v>0</v>
      </c>
      <c r="S98" s="67">
        <f>IF(Montageplatten[[#This Row],[MPH Winkel]]+Montageplatten[[#This Row],[Typ_winkel]]+Montageplatten[[#This Row],[Befest_Winkel]]=3,1,0)</f>
        <v>0</v>
      </c>
      <c r="T98" s="295">
        <f ca="1">IF(select!$M$746=Montageplatten[[#This Row],[Höhe]],1,0)</f>
        <v>0</v>
      </c>
      <c r="U9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8" s="67">
        <f>IF(Montageplatten[[#This Row],[Typ Spezial]]+Montageplatten[[#This Row],[Befest Spezial]]=2,1,0)</f>
        <v>0</v>
      </c>
      <c r="X98" s="67">
        <f ca="1">IF(Montageplatten[[#This Row],[MPH Spezial]]+Montageplatten[[#This Row],[Typ Spezial]]+Montageplatten[[#This Row],[Befest Spezial]]=3,1,0)</f>
        <v>0</v>
      </c>
      <c r="Y98" s="67" t="e">
        <f ca="1">IF(Montageplatten[[#This Row],[AG Rand]]+IF(Montageplatten[[#This Row],[Höhe]]=select!$C$1212,1,0)=2,1,0)</f>
        <v>#VALUE!</v>
      </c>
      <c r="Z98" s="67" t="e">
        <f ca="1">IF(Montageplatten[[#This Row],[AG Rand]]+IF(Montageplatten[[#This Row],[Höhe]]=select!$E$1212,1,0)=2,1,0)</f>
        <v>#VALUE!</v>
      </c>
      <c r="AA98" s="67" t="e">
        <f ca="1">IF(Montageplatten[[#This Row],[AG Rand]]+IF(Montageplatten[[#This Row],[Höhe]]=select!$G$1212,1,0)=2,1,0)</f>
        <v>#VALUE!</v>
      </c>
      <c r="AB98" s="67" t="e">
        <f ca="1">IF(Montageplatten[[#This Row],[AG Rand]]+IF(Montageplatten[[#This Row],[Höhe]]=select!$I$1212,1,0)=2,1,0)</f>
        <v>#VALUE!</v>
      </c>
      <c r="AC9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8" s="67">
        <f>IF(Montageplatten[[#This Row],[AG Typ]]+Montageplatten[[#This Row],[AG Bef]]=2,1,0)</f>
        <v>0</v>
      </c>
      <c r="AG9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8" s="67">
        <f ca="1">IF(Montageplatten[[#This Row],[AG MPH]]+Montageplatten[[#This Row],[AG Typ]]+Montageplatten[[#This Row],[AG Bef]]=3,1,0)</f>
        <v>0</v>
      </c>
      <c r="AJ98" s="67">
        <f ca="1">IF(select!$K$980="*",Montageplatten[[#This Row],[AG Ges2]],Montageplatten[[#This Row],[AG Ges1]])</f>
        <v>0</v>
      </c>
      <c r="AK9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8" s="67">
        <f>IF(Montageplatten[[#This Row],[konf Typ]]+Montageplatten[[#This Row],[konf Befest]]=2,1,0)</f>
        <v>0</v>
      </c>
      <c r="AN9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8" s="67">
        <f ca="1">IF(Montageplatten[[#This Row],[konf Rahmenbed]]+Montageplatten[[#This Row],[konf MPH]]=2,1,0)</f>
        <v>0</v>
      </c>
      <c r="AP98" s="26" t="str">
        <f ca="1">Sprache!$A$136</f>
        <v>1D Kreuz Mtg-Platte</v>
      </c>
      <c r="AQ98" t="str">
        <f ca="1">"H 9,5, "&amp;Sprache!A71&amp;", ni /37"</f>
        <v>H 9,5, vorm. Euro, ni /37</v>
      </c>
      <c r="AR98" t="str">
        <f ca="1">Sprache!$A$134</f>
        <v>Tiomos Montageplatten</v>
      </c>
      <c r="AS98" s="18">
        <v>1</v>
      </c>
      <c r="AT98" s="18">
        <v>0</v>
      </c>
      <c r="AU98" s="18">
        <v>0</v>
      </c>
      <c r="AV98" s="18">
        <v>0</v>
      </c>
      <c r="AW98" s="2">
        <v>0</v>
      </c>
      <c r="AX98" s="2">
        <v>0</v>
      </c>
      <c r="AY98" s="2">
        <v>0</v>
      </c>
      <c r="AZ98" s="2">
        <v>1</v>
      </c>
      <c r="BA98" s="2">
        <v>0</v>
      </c>
      <c r="BB98" s="2">
        <v>0</v>
      </c>
      <c r="BC98" s="2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9.5</v>
      </c>
      <c r="BJ98" s="11" t="s">
        <v>816</v>
      </c>
    </row>
    <row r="99" spans="1:62" ht="13.5" customHeight="1" x14ac:dyDescent="0.25">
      <c r="A99" s="24" t="str">
        <f t="shared" si="9"/>
        <v>F058</v>
      </c>
      <c r="B99" t="str">
        <f t="shared" si="10"/>
        <v>139</v>
      </c>
      <c r="C99" s="24" t="str">
        <f t="shared" si="11"/>
        <v>882</v>
      </c>
      <c r="D9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9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99" s="19">
        <f>IF(Montageplatten[[#This Row],[37/32]]=1,1,IF(Montageplatten[[#This Row],[28/32]]=1,2,0))</f>
        <v>1</v>
      </c>
      <c r="G99" s="19">
        <f>IF(OR(select!$B$70=Montageplatten[[#This Row],[Höhe]],select!$D$70=Montageplatten[[#This Row],[Höhe]],select!$F$70=Montageplatten[[#This Row],[Höhe]],select!$H$70=Montageplatten[[#This Row],[Höhe]])=TRUE,1,0)</f>
        <v>1</v>
      </c>
      <c r="H99" s="19">
        <f>IF(Montageplatten[[#This Row],[Typ]]+Montageplatten[[#This Row],[Befestigung]]=2,1,0)</f>
        <v>0</v>
      </c>
      <c r="I99" s="19">
        <f>IF(Montageplatten[[#This Row],[Randbedingungen]]+IF(Montageplatten[[#This Row],[Höhe]]=select!$B$70,1,0)=2,1,0)</f>
        <v>0</v>
      </c>
      <c r="J99" s="19">
        <f>IF(Montageplatten[[#This Row],[Randbedingungen]]+IF(Montageplatten[[#This Row],[Höhe]]=select!$D$70,1,0)=2,1,0)</f>
        <v>0</v>
      </c>
      <c r="K99" s="19">
        <f>IF(Montageplatten[[#This Row],[Randbedingungen]]+IF(Montageplatten[[#This Row],[Höhe]]=select!$F$70,1,0)=2,1,0)</f>
        <v>0</v>
      </c>
      <c r="L99" s="19">
        <f>IF(Montageplatten[[#This Row],[Randbedingungen]]+IF(Montageplatten[[#This Row],[Höhe]]=select!$H$70,1,0)=2,1,0)</f>
        <v>0</v>
      </c>
      <c r="M9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9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99" s="67">
        <f>IF(select!$M$317=Montageplatten[[#This Row],[Höhe]],1,0)</f>
        <v>0</v>
      </c>
      <c r="P9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9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99" s="67">
        <f>IF(Montageplatten[[#This Row],[Typ_winkel]]+Montageplatten[[#This Row],[Befest_Winkel]]=2,1,0)</f>
        <v>0</v>
      </c>
      <c r="S99" s="67">
        <f>IF(Montageplatten[[#This Row],[MPH Winkel]]+Montageplatten[[#This Row],[Typ_winkel]]+Montageplatten[[#This Row],[Befest_Winkel]]=3,1,0)</f>
        <v>0</v>
      </c>
      <c r="T99" s="295">
        <f ca="1">IF(select!$M$746=Montageplatten[[#This Row],[Höhe]],1,0)</f>
        <v>0</v>
      </c>
      <c r="U9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9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99" s="67">
        <f>IF(Montageplatten[[#This Row],[Typ Spezial]]+Montageplatten[[#This Row],[Befest Spezial]]=2,1,0)</f>
        <v>0</v>
      </c>
      <c r="X99" s="67">
        <f ca="1">IF(Montageplatten[[#This Row],[MPH Spezial]]+Montageplatten[[#This Row],[Typ Spezial]]+Montageplatten[[#This Row],[Befest Spezial]]=3,1,0)</f>
        <v>0</v>
      </c>
      <c r="Y99" s="67" t="e">
        <f ca="1">IF(Montageplatten[[#This Row],[AG Rand]]+IF(Montageplatten[[#This Row],[Höhe]]=select!$C$1212,1,0)=2,1,0)</f>
        <v>#VALUE!</v>
      </c>
      <c r="Z99" s="67" t="e">
        <f ca="1">IF(Montageplatten[[#This Row],[AG Rand]]+IF(Montageplatten[[#This Row],[Höhe]]=select!$E$1212,1,0)=2,1,0)</f>
        <v>#VALUE!</v>
      </c>
      <c r="AA99" s="67" t="e">
        <f ca="1">IF(Montageplatten[[#This Row],[AG Rand]]+IF(Montageplatten[[#This Row],[Höhe]]=select!$G$1212,1,0)=2,1,0)</f>
        <v>#VALUE!</v>
      </c>
      <c r="AB99" s="67" t="e">
        <f ca="1">IF(Montageplatten[[#This Row],[AG Rand]]+IF(Montageplatten[[#This Row],[Höhe]]=select!$I$1212,1,0)=2,1,0)</f>
        <v>#VALUE!</v>
      </c>
      <c r="AC9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9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9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99" s="67">
        <f>IF(Montageplatten[[#This Row],[AG Typ]]+Montageplatten[[#This Row],[AG Bef]]=2,1,0)</f>
        <v>0</v>
      </c>
      <c r="AG9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9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99" s="67">
        <f ca="1">IF(Montageplatten[[#This Row],[AG MPH]]+Montageplatten[[#This Row],[AG Typ]]+Montageplatten[[#This Row],[AG Bef]]=3,1,0)</f>
        <v>0</v>
      </c>
      <c r="AJ99" s="67">
        <f ca="1">IF(select!$K$980="*",Montageplatten[[#This Row],[AG Ges2]],Montageplatten[[#This Row],[AG Ges1]])</f>
        <v>0</v>
      </c>
      <c r="AK9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9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99" s="67">
        <f>IF(Montageplatten[[#This Row],[konf Typ]]+Montageplatten[[#This Row],[konf Befest]]=2,1,0)</f>
        <v>0</v>
      </c>
      <c r="AN9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99" s="67">
        <f ca="1">IF(Montageplatten[[#This Row],[konf Rahmenbed]]+Montageplatten[[#This Row],[konf MPH]]=2,1,0)</f>
        <v>0</v>
      </c>
      <c r="AP99" s="26" t="str">
        <f ca="1">Sprache!$A$136</f>
        <v>1D Kreuz Mtg-Platte</v>
      </c>
      <c r="AQ99" t="str">
        <f ca="1">"H 9,5, "&amp;Sprache!A71&amp;", ni /37"</f>
        <v>H 9,5, vorm. Euro, ni /37</v>
      </c>
      <c r="AR99" t="str">
        <f ca="1">Sprache!$A$134</f>
        <v>Tiomos Montageplatten</v>
      </c>
      <c r="AS99" s="18">
        <v>1</v>
      </c>
      <c r="AT99" s="18">
        <v>0</v>
      </c>
      <c r="AU99" s="18">
        <v>0</v>
      </c>
      <c r="AV99" s="18">
        <v>0</v>
      </c>
      <c r="AW99" s="2">
        <v>0</v>
      </c>
      <c r="AX99" s="2">
        <v>0</v>
      </c>
      <c r="AY99" s="2">
        <v>0</v>
      </c>
      <c r="AZ99" s="2">
        <v>1</v>
      </c>
      <c r="BA99" s="2">
        <v>0</v>
      </c>
      <c r="BB99" s="2">
        <v>0</v>
      </c>
      <c r="BC99" s="2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9.5</v>
      </c>
      <c r="BJ99" s="11" t="s">
        <v>819</v>
      </c>
    </row>
    <row r="100" spans="1:62" ht="13.5" customHeight="1" x14ac:dyDescent="0.25">
      <c r="A100" s="24" t="str">
        <f t="shared" si="9"/>
        <v>F058</v>
      </c>
      <c r="B100" t="str">
        <f t="shared" si="10"/>
        <v>139</v>
      </c>
      <c r="C100" s="24" t="str">
        <f t="shared" si="11"/>
        <v>888</v>
      </c>
      <c r="D10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00" s="19">
        <f>IF(Montageplatten[[#This Row],[37/32]]=1,1,IF(Montageplatten[[#This Row],[28/32]]=1,2,0))</f>
        <v>1</v>
      </c>
      <c r="G100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00" s="19">
        <f>IF(Montageplatten[[#This Row],[Typ]]+Montageplatten[[#This Row],[Befestigung]]=2,1,0)</f>
        <v>1</v>
      </c>
      <c r="I100" s="19">
        <f>IF(Montageplatten[[#This Row],[Randbedingungen]]+IF(Montageplatten[[#This Row],[Höhe]]=select!$B$70,1,0)=2,1,0)</f>
        <v>0</v>
      </c>
      <c r="J100" s="19">
        <f>IF(Montageplatten[[#This Row],[Randbedingungen]]+IF(Montageplatten[[#This Row],[Höhe]]=select!$D$70,1,0)=2,1,0)</f>
        <v>0</v>
      </c>
      <c r="K100" s="19">
        <f>IF(Montageplatten[[#This Row],[Randbedingungen]]+IF(Montageplatten[[#This Row],[Höhe]]=select!$F$70,1,0)=2,1,0)</f>
        <v>1</v>
      </c>
      <c r="L100" s="19">
        <f>IF(Montageplatten[[#This Row],[Randbedingungen]]+IF(Montageplatten[[#This Row],[Höhe]]=select!$H$70,1,0)=2,1,0)</f>
        <v>0</v>
      </c>
      <c r="M10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0" s="33">
        <f ca="1">IF(Montageplatten[[#This Row],[Kröpfung 3]]+Montageplatten[[#This Row],[Kröpfung 0]]+Montageplatten[[#This Row],[Kröpfung 9,5]]+Montageplatten[[#This Row],[Kröpfung 19]]+Montageplatten[[#This Row],[auswahl K]]=2,1,0)</f>
        <v>1</v>
      </c>
      <c r="O100" s="67">
        <f>IF(select!$M$317=Montageplatten[[#This Row],[Höhe]],1,0)</f>
        <v>0</v>
      </c>
      <c r="P10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00" s="67">
        <f>IF(Montageplatten[[#This Row],[Typ_winkel]]+Montageplatten[[#This Row],[Befest_Winkel]]=2,1,0)</f>
        <v>1</v>
      </c>
      <c r="S100" s="67">
        <f>IF(Montageplatten[[#This Row],[MPH Winkel]]+Montageplatten[[#This Row],[Typ_winkel]]+Montageplatten[[#This Row],[Befest_Winkel]]=3,1,0)</f>
        <v>0</v>
      </c>
      <c r="T100" s="295">
        <f ca="1">IF(select!$M$746=Montageplatten[[#This Row],[Höhe]],1,0)</f>
        <v>0</v>
      </c>
      <c r="U10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00" s="67">
        <f>IF(Montageplatten[[#This Row],[Typ Spezial]]+Montageplatten[[#This Row],[Befest Spezial]]=2,1,0)</f>
        <v>1</v>
      </c>
      <c r="X100" s="67">
        <f ca="1">IF(Montageplatten[[#This Row],[MPH Spezial]]+Montageplatten[[#This Row],[Typ Spezial]]+Montageplatten[[#This Row],[Befest Spezial]]=3,1,0)</f>
        <v>0</v>
      </c>
      <c r="Y100" s="67" t="e">
        <f ca="1">IF(Montageplatten[[#This Row],[AG Rand]]+IF(Montageplatten[[#This Row],[Höhe]]=select!$C$1212,1,0)=2,1,0)</f>
        <v>#VALUE!</v>
      </c>
      <c r="Z100" s="67" t="e">
        <f ca="1">IF(Montageplatten[[#This Row],[AG Rand]]+IF(Montageplatten[[#This Row],[Höhe]]=select!$E$1212,1,0)=2,1,0)</f>
        <v>#VALUE!</v>
      </c>
      <c r="AA100" s="67" t="e">
        <f ca="1">IF(Montageplatten[[#This Row],[AG Rand]]+IF(Montageplatten[[#This Row],[Höhe]]=select!$G$1212,1,0)=2,1,0)</f>
        <v>#VALUE!</v>
      </c>
      <c r="AB100" s="67" t="e">
        <f ca="1">IF(Montageplatten[[#This Row],[AG Rand]]+IF(Montageplatten[[#This Row],[Höhe]]=select!$I$1212,1,0)=2,1,0)</f>
        <v>#VALUE!</v>
      </c>
      <c r="AC10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00" s="67">
        <f>IF(Montageplatten[[#This Row],[AG Typ]]+Montageplatten[[#This Row],[AG Bef]]=2,1,0)</f>
        <v>1</v>
      </c>
      <c r="AG10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0" s="67">
        <f ca="1">IF(Montageplatten[[#This Row],[AG MPH]]+Montageplatten[[#This Row],[AG Typ]]+Montageplatten[[#This Row],[AG Bef]]=3,1,0)</f>
        <v>0</v>
      </c>
      <c r="AJ100" s="67">
        <f ca="1">IF(select!$K$980="*",Montageplatten[[#This Row],[AG Ges2]],Montageplatten[[#This Row],[AG Ges1]])</f>
        <v>0</v>
      </c>
      <c r="AK10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00" s="67">
        <f>IF(Montageplatten[[#This Row],[konf Typ]]+Montageplatten[[#This Row],[konf Befest]]=2,1,0)</f>
        <v>1</v>
      </c>
      <c r="AN10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0" s="67">
        <f ca="1">IF(Montageplatten[[#This Row],[konf Rahmenbed]]+Montageplatten[[#This Row],[konf MPH]]=2,1,0)</f>
        <v>0</v>
      </c>
      <c r="AP100" s="26" t="str">
        <f ca="1">Sprache!$A$136</f>
        <v>1D Kreuz Mtg-Platte</v>
      </c>
      <c r="AQ100" t="s">
        <v>2230</v>
      </c>
      <c r="AR100" t="str">
        <f ca="1">Sprache!$A$134</f>
        <v>Tiomos Montageplatten</v>
      </c>
      <c r="AS100" s="18">
        <v>1</v>
      </c>
      <c r="AT100" s="18">
        <v>0</v>
      </c>
      <c r="AU100" s="18">
        <v>0</v>
      </c>
      <c r="AV100" s="18">
        <v>0</v>
      </c>
      <c r="AW100" s="2">
        <v>0</v>
      </c>
      <c r="AX100" s="2">
        <v>1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9.5</v>
      </c>
      <c r="BJ100" s="11" t="s">
        <v>827</v>
      </c>
    </row>
    <row r="101" spans="1:62" ht="13.5" customHeight="1" x14ac:dyDescent="0.25">
      <c r="A101" s="24" t="str">
        <f t="shared" si="9"/>
        <v>F058</v>
      </c>
      <c r="B101" t="str">
        <f t="shared" si="10"/>
        <v>139</v>
      </c>
      <c r="C101" s="24" t="str">
        <f t="shared" si="11"/>
        <v>874</v>
      </c>
      <c r="D10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1" s="19">
        <f>IF(Montageplatten[[#This Row],[37/32]]=1,1,IF(Montageplatten[[#This Row],[28/32]]=1,2,0))</f>
        <v>1</v>
      </c>
      <c r="G10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1" s="19">
        <f>IF(Montageplatten[[#This Row],[Typ]]+Montageplatten[[#This Row],[Befestigung]]=2,1,0)</f>
        <v>0</v>
      </c>
      <c r="I101" s="19">
        <f>IF(Montageplatten[[#This Row],[Randbedingungen]]+IF(Montageplatten[[#This Row],[Höhe]]=select!$B$70,1,0)=2,1,0)</f>
        <v>0</v>
      </c>
      <c r="J101" s="19">
        <f>IF(Montageplatten[[#This Row],[Randbedingungen]]+IF(Montageplatten[[#This Row],[Höhe]]=select!$D$70,1,0)=2,1,0)</f>
        <v>0</v>
      </c>
      <c r="K101" s="19">
        <f>IF(Montageplatten[[#This Row],[Randbedingungen]]+IF(Montageplatten[[#This Row],[Höhe]]=select!$F$70,1,0)=2,1,0)</f>
        <v>0</v>
      </c>
      <c r="L101" s="19">
        <f>IF(Montageplatten[[#This Row],[Randbedingungen]]+IF(Montageplatten[[#This Row],[Höhe]]=select!$H$70,1,0)=2,1,0)</f>
        <v>0</v>
      </c>
      <c r="M10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1" s="67">
        <f>IF(select!$M$317=Montageplatten[[#This Row],[Höhe]],1,0)</f>
        <v>0</v>
      </c>
      <c r="P10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1" s="67">
        <f>IF(Montageplatten[[#This Row],[Typ_winkel]]+Montageplatten[[#This Row],[Befest_Winkel]]=2,1,0)</f>
        <v>0</v>
      </c>
      <c r="S101" s="67">
        <f>IF(Montageplatten[[#This Row],[MPH Winkel]]+Montageplatten[[#This Row],[Typ_winkel]]+Montageplatten[[#This Row],[Befest_Winkel]]=3,1,0)</f>
        <v>0</v>
      </c>
      <c r="T101" s="295">
        <f ca="1">IF(select!$M$746=Montageplatten[[#This Row],[Höhe]],1,0)</f>
        <v>0</v>
      </c>
      <c r="U10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1" s="67">
        <f>IF(Montageplatten[[#This Row],[Typ Spezial]]+Montageplatten[[#This Row],[Befest Spezial]]=2,1,0)</f>
        <v>0</v>
      </c>
      <c r="X101" s="67">
        <f ca="1">IF(Montageplatten[[#This Row],[MPH Spezial]]+Montageplatten[[#This Row],[Typ Spezial]]+Montageplatten[[#This Row],[Befest Spezial]]=3,1,0)</f>
        <v>0</v>
      </c>
      <c r="Y101" s="67" t="e">
        <f ca="1">IF(Montageplatten[[#This Row],[AG Rand]]+IF(Montageplatten[[#This Row],[Höhe]]=select!$C$1212,1,0)=2,1,0)</f>
        <v>#VALUE!</v>
      </c>
      <c r="Z101" s="67" t="e">
        <f ca="1">IF(Montageplatten[[#This Row],[AG Rand]]+IF(Montageplatten[[#This Row],[Höhe]]=select!$E$1212,1,0)=2,1,0)</f>
        <v>#VALUE!</v>
      </c>
      <c r="AA101" s="67" t="e">
        <f ca="1">IF(Montageplatten[[#This Row],[AG Rand]]+IF(Montageplatten[[#This Row],[Höhe]]=select!$G$1212,1,0)=2,1,0)</f>
        <v>#VALUE!</v>
      </c>
      <c r="AB101" s="67" t="e">
        <f ca="1">IF(Montageplatten[[#This Row],[AG Rand]]+IF(Montageplatten[[#This Row],[Höhe]]=select!$I$1212,1,0)=2,1,0)</f>
        <v>#VALUE!</v>
      </c>
      <c r="AC10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1" s="67">
        <f>IF(Montageplatten[[#This Row],[AG Typ]]+Montageplatten[[#This Row],[AG Bef]]=2,1,0)</f>
        <v>0</v>
      </c>
      <c r="AG10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1" s="67">
        <f ca="1">IF(Montageplatten[[#This Row],[AG MPH]]+Montageplatten[[#This Row],[AG Typ]]+Montageplatten[[#This Row],[AG Bef]]=3,1,0)</f>
        <v>0</v>
      </c>
      <c r="AJ101" s="67">
        <f ca="1">IF(select!$K$980="*",Montageplatten[[#This Row],[AG Ges2]],Montageplatten[[#This Row],[AG Ges1]])</f>
        <v>0</v>
      </c>
      <c r="AK10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1" s="67">
        <f>IF(Montageplatten[[#This Row],[konf Typ]]+Montageplatten[[#This Row],[konf Befest]]=2,1,0)</f>
        <v>0</v>
      </c>
      <c r="AN10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1" s="67">
        <f ca="1">IF(Montageplatten[[#This Row],[konf Rahmenbed]]+Montageplatten[[#This Row],[konf MPH]]=2,1,0)</f>
        <v>0</v>
      </c>
      <c r="AP101" s="26" t="str">
        <f ca="1">Sprache!$A$136</f>
        <v>1D Kreuz Mtg-Platte</v>
      </c>
      <c r="AQ101" t="str">
        <f ca="1">"H 12, "&amp;Sprache!A71&amp;", ni /37"</f>
        <v>H 12, vorm. Euro, ni /37</v>
      </c>
      <c r="AR101" t="str">
        <f ca="1">Sprache!$A$134</f>
        <v>Tiomos Montageplatten</v>
      </c>
      <c r="AS101" s="18">
        <v>1</v>
      </c>
      <c r="AT101" s="18">
        <v>0</v>
      </c>
      <c r="AU101" s="18">
        <v>0</v>
      </c>
      <c r="AV101" s="18">
        <v>0</v>
      </c>
      <c r="AW101" s="2">
        <v>0</v>
      </c>
      <c r="AX101" s="2">
        <v>0</v>
      </c>
      <c r="AY101" s="2">
        <v>0</v>
      </c>
      <c r="AZ101" s="2">
        <v>1</v>
      </c>
      <c r="BA101" s="2">
        <v>0</v>
      </c>
      <c r="BB101" s="2">
        <v>0</v>
      </c>
      <c r="BC101" s="2">
        <v>0</v>
      </c>
      <c r="BD101">
        <v>1</v>
      </c>
      <c r="BE101">
        <v>0</v>
      </c>
      <c r="BF101">
        <v>0</v>
      </c>
      <c r="BG101">
        <v>0</v>
      </c>
      <c r="BH101">
        <v>0</v>
      </c>
      <c r="BI101">
        <v>12</v>
      </c>
      <c r="BJ101" s="11" t="s">
        <v>814</v>
      </c>
    </row>
    <row r="102" spans="1:62" ht="13.5" customHeight="1" x14ac:dyDescent="0.25">
      <c r="A102" s="24" t="str">
        <f t="shared" si="9"/>
        <v>F058</v>
      </c>
      <c r="B102" t="str">
        <f t="shared" si="10"/>
        <v>139</v>
      </c>
      <c r="C102" s="24" t="str">
        <f t="shared" si="11"/>
        <v>893</v>
      </c>
      <c r="D10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02" s="19">
        <f>IF(Montageplatten[[#This Row],[37/32]]=1,1,IF(Montageplatten[[#This Row],[28/32]]=1,2,0))</f>
        <v>1</v>
      </c>
      <c r="G10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2" s="19">
        <f>IF(Montageplatten[[#This Row],[Typ]]+Montageplatten[[#This Row],[Befestigung]]=2,1,0)</f>
        <v>1</v>
      </c>
      <c r="I102" s="19">
        <f>IF(Montageplatten[[#This Row],[Randbedingungen]]+IF(Montageplatten[[#This Row],[Höhe]]=select!$B$70,1,0)=2,1,0)</f>
        <v>0</v>
      </c>
      <c r="J102" s="19">
        <f>IF(Montageplatten[[#This Row],[Randbedingungen]]+IF(Montageplatten[[#This Row],[Höhe]]=select!$D$70,1,0)=2,1,0)</f>
        <v>0</v>
      </c>
      <c r="K102" s="19">
        <f>IF(Montageplatten[[#This Row],[Randbedingungen]]+IF(Montageplatten[[#This Row],[Höhe]]=select!$F$70,1,0)=2,1,0)</f>
        <v>0</v>
      </c>
      <c r="L102" s="19">
        <f>IF(Montageplatten[[#This Row],[Randbedingungen]]+IF(Montageplatten[[#This Row],[Höhe]]=select!$H$70,1,0)=2,1,0)</f>
        <v>0</v>
      </c>
      <c r="M10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2" s="67">
        <f>IF(select!$M$317=Montageplatten[[#This Row],[Höhe]],1,0)</f>
        <v>0</v>
      </c>
      <c r="P10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02" s="67">
        <f>IF(Montageplatten[[#This Row],[Typ_winkel]]+Montageplatten[[#This Row],[Befest_Winkel]]=2,1,0)</f>
        <v>1</v>
      </c>
      <c r="S102" s="67">
        <f>IF(Montageplatten[[#This Row],[MPH Winkel]]+Montageplatten[[#This Row],[Typ_winkel]]+Montageplatten[[#This Row],[Befest_Winkel]]=3,1,0)</f>
        <v>0</v>
      </c>
      <c r="T102" s="295">
        <f ca="1">IF(select!$M$746=Montageplatten[[#This Row],[Höhe]],1,0)</f>
        <v>0</v>
      </c>
      <c r="U10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02" s="67">
        <f>IF(Montageplatten[[#This Row],[Typ Spezial]]+Montageplatten[[#This Row],[Befest Spezial]]=2,1,0)</f>
        <v>1</v>
      </c>
      <c r="X102" s="67">
        <f ca="1">IF(Montageplatten[[#This Row],[MPH Spezial]]+Montageplatten[[#This Row],[Typ Spezial]]+Montageplatten[[#This Row],[Befest Spezial]]=3,1,0)</f>
        <v>0</v>
      </c>
      <c r="Y102" s="67" t="e">
        <f ca="1">IF(Montageplatten[[#This Row],[AG Rand]]+IF(Montageplatten[[#This Row],[Höhe]]=select!$C$1212,1,0)=2,1,0)</f>
        <v>#VALUE!</v>
      </c>
      <c r="Z102" s="67" t="e">
        <f ca="1">IF(Montageplatten[[#This Row],[AG Rand]]+IF(Montageplatten[[#This Row],[Höhe]]=select!$E$1212,1,0)=2,1,0)</f>
        <v>#VALUE!</v>
      </c>
      <c r="AA102" s="67" t="e">
        <f ca="1">IF(Montageplatten[[#This Row],[AG Rand]]+IF(Montageplatten[[#This Row],[Höhe]]=select!$G$1212,1,0)=2,1,0)</f>
        <v>#VALUE!</v>
      </c>
      <c r="AB102" s="67" t="e">
        <f ca="1">IF(Montageplatten[[#This Row],[AG Rand]]+IF(Montageplatten[[#This Row],[Höhe]]=select!$I$1212,1,0)=2,1,0)</f>
        <v>#VALUE!</v>
      </c>
      <c r="AC10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02" s="67">
        <f>IF(Montageplatten[[#This Row],[AG Typ]]+Montageplatten[[#This Row],[AG Bef]]=2,1,0)</f>
        <v>1</v>
      </c>
      <c r="AG10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2" s="67">
        <f ca="1">IF(Montageplatten[[#This Row],[AG MPH]]+Montageplatten[[#This Row],[AG Typ]]+Montageplatten[[#This Row],[AG Bef]]=3,1,0)</f>
        <v>0</v>
      </c>
      <c r="AJ102" s="67">
        <f ca="1">IF(select!$K$980="*",Montageplatten[[#This Row],[AG Ges2]],Montageplatten[[#This Row],[AG Ges1]])</f>
        <v>0</v>
      </c>
      <c r="AK10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02" s="67">
        <f>IF(Montageplatten[[#This Row],[konf Typ]]+Montageplatten[[#This Row],[konf Befest]]=2,1,0)</f>
        <v>1</v>
      </c>
      <c r="AN10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2" s="67">
        <f ca="1">IF(Montageplatten[[#This Row],[konf Rahmenbed]]+Montageplatten[[#This Row],[konf MPH]]=2,1,0)</f>
        <v>0</v>
      </c>
      <c r="AP102" s="26" t="str">
        <f ca="1">Sprache!$A$136</f>
        <v>1D Kreuz Mtg-Platte</v>
      </c>
      <c r="AQ102" t="s">
        <v>837</v>
      </c>
      <c r="AR102" t="str">
        <f ca="1">Sprache!$A$134</f>
        <v>Tiomos Montageplatten</v>
      </c>
      <c r="AS102" s="18">
        <v>1</v>
      </c>
      <c r="AT102" s="18">
        <v>0</v>
      </c>
      <c r="AU102" s="18">
        <v>0</v>
      </c>
      <c r="AV102" s="18">
        <v>0</v>
      </c>
      <c r="AW102" s="2">
        <v>0</v>
      </c>
      <c r="AX102" s="2">
        <v>1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12</v>
      </c>
      <c r="BJ102" s="11" t="s">
        <v>836</v>
      </c>
    </row>
    <row r="103" spans="1:62" ht="13.5" customHeight="1" x14ac:dyDescent="0.25">
      <c r="A103" s="24" t="str">
        <f t="shared" si="9"/>
        <v>F058</v>
      </c>
      <c r="B103" t="str">
        <f t="shared" si="10"/>
        <v>139</v>
      </c>
      <c r="C103" s="24" t="str">
        <f t="shared" si="11"/>
        <v>883</v>
      </c>
      <c r="D103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3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3" s="19">
        <f>IF(Montageplatten[[#This Row],[37/32]]=1,1,IF(Montageplatten[[#This Row],[28/32]]=1,2,0))</f>
        <v>1</v>
      </c>
      <c r="G103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3" s="19">
        <f>IF(Montageplatten[[#This Row],[Typ]]+Montageplatten[[#This Row],[Befestigung]]=2,1,0)</f>
        <v>0</v>
      </c>
      <c r="I103" s="19">
        <f>IF(Montageplatten[[#This Row],[Randbedingungen]]+IF(Montageplatten[[#This Row],[Höhe]]=select!$B$70,1,0)=2,1,0)</f>
        <v>0</v>
      </c>
      <c r="J103" s="19">
        <f>IF(Montageplatten[[#This Row],[Randbedingungen]]+IF(Montageplatten[[#This Row],[Höhe]]=select!$D$70,1,0)=2,1,0)</f>
        <v>0</v>
      </c>
      <c r="K103" s="19">
        <f>IF(Montageplatten[[#This Row],[Randbedingungen]]+IF(Montageplatten[[#This Row],[Höhe]]=select!$F$70,1,0)=2,1,0)</f>
        <v>0</v>
      </c>
      <c r="L103" s="19">
        <f>IF(Montageplatten[[#This Row],[Randbedingungen]]+IF(Montageplatten[[#This Row],[Höhe]]=select!$H$70,1,0)=2,1,0)</f>
        <v>0</v>
      </c>
      <c r="M103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3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3" s="67">
        <f>IF(select!$M$317=Montageplatten[[#This Row],[Höhe]],1,0)</f>
        <v>0</v>
      </c>
      <c r="P103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3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3" s="67">
        <f>IF(Montageplatten[[#This Row],[Typ_winkel]]+Montageplatten[[#This Row],[Befest_Winkel]]=2,1,0)</f>
        <v>0</v>
      </c>
      <c r="S103" s="67">
        <f>IF(Montageplatten[[#This Row],[MPH Winkel]]+Montageplatten[[#This Row],[Typ_winkel]]+Montageplatten[[#This Row],[Befest_Winkel]]=3,1,0)</f>
        <v>0</v>
      </c>
      <c r="T103" s="295">
        <f ca="1">IF(select!$M$746=Montageplatten[[#This Row],[Höhe]],1,0)</f>
        <v>1</v>
      </c>
      <c r="U103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3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3" s="67">
        <f>IF(Montageplatten[[#This Row],[Typ Spezial]]+Montageplatten[[#This Row],[Befest Spezial]]=2,1,0)</f>
        <v>0</v>
      </c>
      <c r="X103" s="67">
        <f ca="1">IF(Montageplatten[[#This Row],[MPH Spezial]]+Montageplatten[[#This Row],[Typ Spezial]]+Montageplatten[[#This Row],[Befest Spezial]]=3,1,0)</f>
        <v>0</v>
      </c>
      <c r="Y103" s="67" t="e">
        <f ca="1">IF(Montageplatten[[#This Row],[AG Rand]]+IF(Montageplatten[[#This Row],[Höhe]]=select!$C$1212,1,0)=2,1,0)</f>
        <v>#VALUE!</v>
      </c>
      <c r="Z103" s="67" t="e">
        <f ca="1">IF(Montageplatten[[#This Row],[AG Rand]]+IF(Montageplatten[[#This Row],[Höhe]]=select!$E$1212,1,0)=2,1,0)</f>
        <v>#VALUE!</v>
      </c>
      <c r="AA103" s="67" t="e">
        <f ca="1">IF(Montageplatten[[#This Row],[AG Rand]]+IF(Montageplatten[[#This Row],[Höhe]]=select!$G$1212,1,0)=2,1,0)</f>
        <v>#VALUE!</v>
      </c>
      <c r="AB103" s="67" t="e">
        <f ca="1">IF(Montageplatten[[#This Row],[AG Rand]]+IF(Montageplatten[[#This Row],[Höhe]]=select!$I$1212,1,0)=2,1,0)</f>
        <v>#VALUE!</v>
      </c>
      <c r="AC103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3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3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3" s="67">
        <f>IF(Montageplatten[[#This Row],[AG Typ]]+Montageplatten[[#This Row],[AG Bef]]=2,1,0)</f>
        <v>0</v>
      </c>
      <c r="AG103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3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3" s="67">
        <f ca="1">IF(Montageplatten[[#This Row],[AG MPH]]+Montageplatten[[#This Row],[AG Typ]]+Montageplatten[[#This Row],[AG Bef]]=3,1,0)</f>
        <v>0</v>
      </c>
      <c r="AJ103" s="67">
        <f ca="1">IF(select!$K$980="*",Montageplatten[[#This Row],[AG Ges2]],Montageplatten[[#This Row],[AG Ges1]])</f>
        <v>0</v>
      </c>
      <c r="AK103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3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3" s="67">
        <f>IF(Montageplatten[[#This Row],[konf Typ]]+Montageplatten[[#This Row],[konf Befest]]=2,1,0)</f>
        <v>0</v>
      </c>
      <c r="AN103" s="67">
        <f ca="1">IF(OR(select!$S$1368=Montageplatten[[#This Row],[Höhe]],select!$S$1369=Montageplatten[[#This Row],[Höhe]],select!$S$1370=Montageplatten[[#This Row],[Höhe]],select!$S$1371=Montageplatten[[#This Row],[Höhe]])=TRUE,1,0)</f>
        <v>1</v>
      </c>
      <c r="AO103" s="67">
        <f ca="1">IF(Montageplatten[[#This Row],[konf Rahmenbed]]+Montageplatten[[#This Row],[konf MPH]]=2,1,0)</f>
        <v>0</v>
      </c>
      <c r="AP103" s="26" t="str">
        <f ca="1">Sprache!$A$136</f>
        <v>1D Kreuz Mtg-Platte</v>
      </c>
      <c r="AQ103" t="str">
        <f ca="1">"H 14, "&amp;Sprache!A71&amp;", ni /37"</f>
        <v>H 14, vorm. Euro, ni /37</v>
      </c>
      <c r="AR103" t="str">
        <f ca="1">Sprache!$A$134</f>
        <v>Tiomos Montageplatten</v>
      </c>
      <c r="AS103" s="18">
        <v>1</v>
      </c>
      <c r="AT103" s="18">
        <v>0</v>
      </c>
      <c r="AU103" s="18">
        <v>0</v>
      </c>
      <c r="AV103" s="18">
        <v>0</v>
      </c>
      <c r="AW103" s="2">
        <v>0</v>
      </c>
      <c r="AX103" s="2">
        <v>0</v>
      </c>
      <c r="AY103" s="2">
        <v>0</v>
      </c>
      <c r="AZ103" s="2">
        <v>1</v>
      </c>
      <c r="BA103" s="2">
        <v>0</v>
      </c>
      <c r="BB103" s="2">
        <v>0</v>
      </c>
      <c r="BC103" s="2">
        <v>0</v>
      </c>
      <c r="BD103">
        <v>1</v>
      </c>
      <c r="BE103">
        <v>0</v>
      </c>
      <c r="BF103">
        <v>0</v>
      </c>
      <c r="BG103">
        <v>0</v>
      </c>
      <c r="BH103">
        <v>0</v>
      </c>
      <c r="BI103">
        <v>14</v>
      </c>
      <c r="BJ103" s="11" t="s">
        <v>820</v>
      </c>
    </row>
    <row r="104" spans="1:62" ht="13.5" customHeight="1" x14ac:dyDescent="0.25">
      <c r="A104" s="24" t="str">
        <f t="shared" si="9"/>
        <v>F058</v>
      </c>
      <c r="B104" t="str">
        <f t="shared" si="10"/>
        <v>139</v>
      </c>
      <c r="C104" s="24" t="str">
        <f t="shared" si="11"/>
        <v>889</v>
      </c>
      <c r="D104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4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04" s="19">
        <f>IF(Montageplatten[[#This Row],[37/32]]=1,1,IF(Montageplatten[[#This Row],[28/32]]=1,2,0))</f>
        <v>1</v>
      </c>
      <c r="G104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4" s="19">
        <f>IF(Montageplatten[[#This Row],[Typ]]+Montageplatten[[#This Row],[Befestigung]]=2,1,0)</f>
        <v>1</v>
      </c>
      <c r="I104" s="19">
        <f>IF(Montageplatten[[#This Row],[Randbedingungen]]+IF(Montageplatten[[#This Row],[Höhe]]=select!$B$70,1,0)=2,1,0)</f>
        <v>0</v>
      </c>
      <c r="J104" s="19">
        <f>IF(Montageplatten[[#This Row],[Randbedingungen]]+IF(Montageplatten[[#This Row],[Höhe]]=select!$D$70,1,0)=2,1,0)</f>
        <v>0</v>
      </c>
      <c r="K104" s="19">
        <f>IF(Montageplatten[[#This Row],[Randbedingungen]]+IF(Montageplatten[[#This Row],[Höhe]]=select!$F$70,1,0)=2,1,0)</f>
        <v>0</v>
      </c>
      <c r="L104" s="19">
        <f>IF(Montageplatten[[#This Row],[Randbedingungen]]+IF(Montageplatten[[#This Row],[Höhe]]=select!$H$70,1,0)=2,1,0)</f>
        <v>0</v>
      </c>
      <c r="M104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4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4" s="67">
        <f>IF(select!$M$317=Montageplatten[[#This Row],[Höhe]],1,0)</f>
        <v>0</v>
      </c>
      <c r="P104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4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04" s="67">
        <f>IF(Montageplatten[[#This Row],[Typ_winkel]]+Montageplatten[[#This Row],[Befest_Winkel]]=2,1,0)</f>
        <v>1</v>
      </c>
      <c r="S104" s="67">
        <f>IF(Montageplatten[[#This Row],[MPH Winkel]]+Montageplatten[[#This Row],[Typ_winkel]]+Montageplatten[[#This Row],[Befest_Winkel]]=3,1,0)</f>
        <v>0</v>
      </c>
      <c r="T104" s="295">
        <f ca="1">IF(select!$M$746=Montageplatten[[#This Row],[Höhe]],1,0)</f>
        <v>1</v>
      </c>
      <c r="U104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4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04" s="67">
        <f>IF(Montageplatten[[#This Row],[Typ Spezial]]+Montageplatten[[#This Row],[Befest Spezial]]=2,1,0)</f>
        <v>1</v>
      </c>
      <c r="X104" s="67">
        <f ca="1">IF(Montageplatten[[#This Row],[MPH Spezial]]+Montageplatten[[#This Row],[Typ Spezial]]+Montageplatten[[#This Row],[Befest Spezial]]=3,1,0)</f>
        <v>1</v>
      </c>
      <c r="Y104" s="67" t="e">
        <f ca="1">IF(Montageplatten[[#This Row],[AG Rand]]+IF(Montageplatten[[#This Row],[Höhe]]=select!$C$1212,1,0)=2,1,0)</f>
        <v>#VALUE!</v>
      </c>
      <c r="Z104" s="67" t="e">
        <f ca="1">IF(Montageplatten[[#This Row],[AG Rand]]+IF(Montageplatten[[#This Row],[Höhe]]=select!$E$1212,1,0)=2,1,0)</f>
        <v>#VALUE!</v>
      </c>
      <c r="AA104" s="67" t="e">
        <f ca="1">IF(Montageplatten[[#This Row],[AG Rand]]+IF(Montageplatten[[#This Row],[Höhe]]=select!$G$1212,1,0)=2,1,0)</f>
        <v>#VALUE!</v>
      </c>
      <c r="AB104" s="67" t="e">
        <f ca="1">IF(Montageplatten[[#This Row],[AG Rand]]+IF(Montageplatten[[#This Row],[Höhe]]=select!$I$1212,1,0)=2,1,0)</f>
        <v>#VALUE!</v>
      </c>
      <c r="AC104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4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4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04" s="67">
        <f>IF(Montageplatten[[#This Row],[AG Typ]]+Montageplatten[[#This Row],[AG Bef]]=2,1,0)</f>
        <v>1</v>
      </c>
      <c r="AG104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4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4" s="67">
        <f ca="1">IF(Montageplatten[[#This Row],[AG MPH]]+Montageplatten[[#This Row],[AG Typ]]+Montageplatten[[#This Row],[AG Bef]]=3,1,0)</f>
        <v>0</v>
      </c>
      <c r="AJ104" s="67">
        <f ca="1">IF(select!$K$980="*",Montageplatten[[#This Row],[AG Ges2]],Montageplatten[[#This Row],[AG Ges1]])</f>
        <v>0</v>
      </c>
      <c r="AK104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4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04" s="67">
        <f>IF(Montageplatten[[#This Row],[konf Typ]]+Montageplatten[[#This Row],[konf Befest]]=2,1,0)</f>
        <v>1</v>
      </c>
      <c r="AN104" s="67">
        <f ca="1">IF(OR(select!$S$1368=Montageplatten[[#This Row],[Höhe]],select!$S$1369=Montageplatten[[#This Row],[Höhe]],select!$S$1370=Montageplatten[[#This Row],[Höhe]],select!$S$1371=Montageplatten[[#This Row],[Höhe]])=TRUE,1,0)</f>
        <v>1</v>
      </c>
      <c r="AO104" s="67">
        <f ca="1">IF(Montageplatten[[#This Row],[konf Rahmenbed]]+Montageplatten[[#This Row],[konf MPH]]=2,1,0)</f>
        <v>1</v>
      </c>
      <c r="AP104" s="26" t="str">
        <f ca="1">Sprache!$A$136</f>
        <v>1D Kreuz Mtg-Platte</v>
      </c>
      <c r="AQ104" t="s">
        <v>829</v>
      </c>
      <c r="AR104" t="str">
        <f ca="1">Sprache!$A$134</f>
        <v>Tiomos Montageplatten</v>
      </c>
      <c r="AS104" s="18">
        <v>1</v>
      </c>
      <c r="AT104" s="18">
        <v>0</v>
      </c>
      <c r="AU104" s="18">
        <v>0</v>
      </c>
      <c r="AV104" s="18">
        <v>0</v>
      </c>
      <c r="AW104" s="2">
        <v>0</v>
      </c>
      <c r="AX104" s="2">
        <v>1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>
        <v>1</v>
      </c>
      <c r="BE104">
        <v>0</v>
      </c>
      <c r="BF104">
        <v>0</v>
      </c>
      <c r="BG104">
        <v>0</v>
      </c>
      <c r="BH104">
        <v>0</v>
      </c>
      <c r="BI104">
        <v>14</v>
      </c>
      <c r="BJ104" s="11" t="s">
        <v>828</v>
      </c>
    </row>
    <row r="105" spans="1:62" ht="13.5" customHeight="1" x14ac:dyDescent="0.25">
      <c r="A105" s="24" t="str">
        <f t="shared" si="9"/>
        <v>F058</v>
      </c>
      <c r="B105" t="str">
        <f t="shared" si="10"/>
        <v>139</v>
      </c>
      <c r="C105" s="24" t="str">
        <f t="shared" si="11"/>
        <v>884</v>
      </c>
      <c r="D105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5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5" s="19">
        <f>IF(Montageplatten[[#This Row],[37/32]]=1,1,IF(Montageplatten[[#This Row],[28/32]]=1,2,0))</f>
        <v>1</v>
      </c>
      <c r="G105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5" s="19">
        <f>IF(Montageplatten[[#This Row],[Typ]]+Montageplatten[[#This Row],[Befestigung]]=2,1,0)</f>
        <v>0</v>
      </c>
      <c r="I105" s="19">
        <f>IF(Montageplatten[[#This Row],[Randbedingungen]]+IF(Montageplatten[[#This Row],[Höhe]]=select!$B$70,1,0)=2,1,0)</f>
        <v>0</v>
      </c>
      <c r="J105" s="19">
        <f>IF(Montageplatten[[#This Row],[Randbedingungen]]+IF(Montageplatten[[#This Row],[Höhe]]=select!$D$70,1,0)=2,1,0)</f>
        <v>0</v>
      </c>
      <c r="K105" s="19">
        <f>IF(Montageplatten[[#This Row],[Randbedingungen]]+IF(Montageplatten[[#This Row],[Höhe]]=select!$F$70,1,0)=2,1,0)</f>
        <v>0</v>
      </c>
      <c r="L105" s="19">
        <f>IF(Montageplatten[[#This Row],[Randbedingungen]]+IF(Montageplatten[[#This Row],[Höhe]]=select!$H$70,1,0)=2,1,0)</f>
        <v>0</v>
      </c>
      <c r="M105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5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5" s="67">
        <f>IF(select!$M$317=Montageplatten[[#This Row],[Höhe]],1,0)</f>
        <v>0</v>
      </c>
      <c r="P105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5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5" s="67">
        <f>IF(Montageplatten[[#This Row],[Typ_winkel]]+Montageplatten[[#This Row],[Befest_Winkel]]=2,1,0)</f>
        <v>0</v>
      </c>
      <c r="S105" s="67">
        <f>IF(Montageplatten[[#This Row],[MPH Winkel]]+Montageplatten[[#This Row],[Typ_winkel]]+Montageplatten[[#This Row],[Befest_Winkel]]=3,1,0)</f>
        <v>0</v>
      </c>
      <c r="T105" s="295">
        <f ca="1">IF(select!$M$746=Montageplatten[[#This Row],[Höhe]],1,0)</f>
        <v>0</v>
      </c>
      <c r="U105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5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5" s="67">
        <f>IF(Montageplatten[[#This Row],[Typ Spezial]]+Montageplatten[[#This Row],[Befest Spezial]]=2,1,0)</f>
        <v>0</v>
      </c>
      <c r="X105" s="67">
        <f ca="1">IF(Montageplatten[[#This Row],[MPH Spezial]]+Montageplatten[[#This Row],[Typ Spezial]]+Montageplatten[[#This Row],[Befest Spezial]]=3,1,0)</f>
        <v>0</v>
      </c>
      <c r="Y105" s="67" t="e">
        <f ca="1">IF(Montageplatten[[#This Row],[AG Rand]]+IF(Montageplatten[[#This Row],[Höhe]]=select!$C$1212,1,0)=2,1,0)</f>
        <v>#VALUE!</v>
      </c>
      <c r="Z105" s="67" t="e">
        <f ca="1">IF(Montageplatten[[#This Row],[AG Rand]]+IF(Montageplatten[[#This Row],[Höhe]]=select!$E$1212,1,0)=2,1,0)</f>
        <v>#VALUE!</v>
      </c>
      <c r="AA105" s="67" t="e">
        <f ca="1">IF(Montageplatten[[#This Row],[AG Rand]]+IF(Montageplatten[[#This Row],[Höhe]]=select!$G$1212,1,0)=2,1,0)</f>
        <v>#VALUE!</v>
      </c>
      <c r="AB105" s="67" t="e">
        <f ca="1">IF(Montageplatten[[#This Row],[AG Rand]]+IF(Montageplatten[[#This Row],[Höhe]]=select!$I$1212,1,0)=2,1,0)</f>
        <v>#VALUE!</v>
      </c>
      <c r="AC105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5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5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5" s="67">
        <f>IF(Montageplatten[[#This Row],[AG Typ]]+Montageplatten[[#This Row],[AG Bef]]=2,1,0)</f>
        <v>0</v>
      </c>
      <c r="AG105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5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5" s="67">
        <f ca="1">IF(Montageplatten[[#This Row],[AG MPH]]+Montageplatten[[#This Row],[AG Typ]]+Montageplatten[[#This Row],[AG Bef]]=3,1,0)</f>
        <v>0</v>
      </c>
      <c r="AJ105" s="67">
        <f ca="1">IF(select!$K$980="*",Montageplatten[[#This Row],[AG Ges2]],Montageplatten[[#This Row],[AG Ges1]])</f>
        <v>0</v>
      </c>
      <c r="AK105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5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5" s="67">
        <f>IF(Montageplatten[[#This Row],[konf Typ]]+Montageplatten[[#This Row],[konf Befest]]=2,1,0)</f>
        <v>0</v>
      </c>
      <c r="AN105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5" s="67">
        <f ca="1">IF(Montageplatten[[#This Row],[konf Rahmenbed]]+Montageplatten[[#This Row],[konf MPH]]=2,1,0)</f>
        <v>0</v>
      </c>
      <c r="AP105" s="26" t="str">
        <f ca="1">Sprache!$A$136</f>
        <v>1D Kreuz Mtg-Platte</v>
      </c>
      <c r="AQ105" t="str">
        <f ca="1">"H 15, "&amp;Sprache!A71&amp;", ni /37"</f>
        <v>H 15, vorm. Euro, ni /37</v>
      </c>
      <c r="AR105" t="str">
        <f ca="1">Sprache!$A$134</f>
        <v>Tiomos Montageplatten</v>
      </c>
      <c r="AS105" s="18">
        <v>1</v>
      </c>
      <c r="AT105" s="18">
        <v>0</v>
      </c>
      <c r="AU105" s="18">
        <v>0</v>
      </c>
      <c r="AV105" s="18">
        <v>0</v>
      </c>
      <c r="AW105" s="2">
        <v>0</v>
      </c>
      <c r="AX105" s="2">
        <v>0</v>
      </c>
      <c r="AY105" s="2">
        <v>0</v>
      </c>
      <c r="AZ105" s="2">
        <v>1</v>
      </c>
      <c r="BA105" s="2">
        <v>0</v>
      </c>
      <c r="BB105" s="2">
        <v>0</v>
      </c>
      <c r="BC105" s="2">
        <v>0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15</v>
      </c>
      <c r="BJ105" s="11" t="s">
        <v>821</v>
      </c>
    </row>
    <row r="106" spans="1:62" ht="13.5" customHeight="1" x14ac:dyDescent="0.25">
      <c r="A106" s="24" t="str">
        <f t="shared" si="9"/>
        <v>F058</v>
      </c>
      <c r="B106" t="str">
        <f t="shared" si="10"/>
        <v>139</v>
      </c>
      <c r="C106" s="24" t="str">
        <f t="shared" si="11"/>
        <v>890</v>
      </c>
      <c r="D106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6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06" s="19">
        <f>IF(Montageplatten[[#This Row],[37/32]]=1,1,IF(Montageplatten[[#This Row],[28/32]]=1,2,0))</f>
        <v>1</v>
      </c>
      <c r="G106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6" s="19">
        <f>IF(Montageplatten[[#This Row],[Typ]]+Montageplatten[[#This Row],[Befestigung]]=2,1,0)</f>
        <v>1</v>
      </c>
      <c r="I106" s="19">
        <f>IF(Montageplatten[[#This Row],[Randbedingungen]]+IF(Montageplatten[[#This Row],[Höhe]]=select!$B$70,1,0)=2,1,0)</f>
        <v>0</v>
      </c>
      <c r="J106" s="19">
        <f>IF(Montageplatten[[#This Row],[Randbedingungen]]+IF(Montageplatten[[#This Row],[Höhe]]=select!$D$70,1,0)=2,1,0)</f>
        <v>0</v>
      </c>
      <c r="K106" s="19">
        <f>IF(Montageplatten[[#This Row],[Randbedingungen]]+IF(Montageplatten[[#This Row],[Höhe]]=select!$F$70,1,0)=2,1,0)</f>
        <v>0</v>
      </c>
      <c r="L106" s="19">
        <f>IF(Montageplatten[[#This Row],[Randbedingungen]]+IF(Montageplatten[[#This Row],[Höhe]]=select!$H$70,1,0)=2,1,0)</f>
        <v>0</v>
      </c>
      <c r="M106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6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6" s="67">
        <f>IF(select!$M$317=Montageplatten[[#This Row],[Höhe]],1,0)</f>
        <v>0</v>
      </c>
      <c r="P106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6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06" s="67">
        <f>IF(Montageplatten[[#This Row],[Typ_winkel]]+Montageplatten[[#This Row],[Befest_Winkel]]=2,1,0)</f>
        <v>1</v>
      </c>
      <c r="S106" s="67">
        <f>IF(Montageplatten[[#This Row],[MPH Winkel]]+Montageplatten[[#This Row],[Typ_winkel]]+Montageplatten[[#This Row],[Befest_Winkel]]=3,1,0)</f>
        <v>0</v>
      </c>
      <c r="T106" s="295">
        <f ca="1">IF(select!$M$746=Montageplatten[[#This Row],[Höhe]],1,0)</f>
        <v>0</v>
      </c>
      <c r="U106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6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06" s="67">
        <f>IF(Montageplatten[[#This Row],[Typ Spezial]]+Montageplatten[[#This Row],[Befest Spezial]]=2,1,0)</f>
        <v>1</v>
      </c>
      <c r="X106" s="67">
        <f ca="1">IF(Montageplatten[[#This Row],[MPH Spezial]]+Montageplatten[[#This Row],[Typ Spezial]]+Montageplatten[[#This Row],[Befest Spezial]]=3,1,0)</f>
        <v>0</v>
      </c>
      <c r="Y106" s="67" t="e">
        <f ca="1">IF(Montageplatten[[#This Row],[AG Rand]]+IF(Montageplatten[[#This Row],[Höhe]]=select!$C$1212,1,0)=2,1,0)</f>
        <v>#VALUE!</v>
      </c>
      <c r="Z106" s="67" t="e">
        <f ca="1">IF(Montageplatten[[#This Row],[AG Rand]]+IF(Montageplatten[[#This Row],[Höhe]]=select!$E$1212,1,0)=2,1,0)</f>
        <v>#VALUE!</v>
      </c>
      <c r="AA106" s="67" t="e">
        <f ca="1">IF(Montageplatten[[#This Row],[AG Rand]]+IF(Montageplatten[[#This Row],[Höhe]]=select!$G$1212,1,0)=2,1,0)</f>
        <v>#VALUE!</v>
      </c>
      <c r="AB106" s="67" t="e">
        <f ca="1">IF(Montageplatten[[#This Row],[AG Rand]]+IF(Montageplatten[[#This Row],[Höhe]]=select!$I$1212,1,0)=2,1,0)</f>
        <v>#VALUE!</v>
      </c>
      <c r="AC106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6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6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06" s="67">
        <f>IF(Montageplatten[[#This Row],[AG Typ]]+Montageplatten[[#This Row],[AG Bef]]=2,1,0)</f>
        <v>1</v>
      </c>
      <c r="AG106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6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6" s="67">
        <f ca="1">IF(Montageplatten[[#This Row],[AG MPH]]+Montageplatten[[#This Row],[AG Typ]]+Montageplatten[[#This Row],[AG Bef]]=3,1,0)</f>
        <v>0</v>
      </c>
      <c r="AJ106" s="67">
        <f ca="1">IF(select!$K$980="*",Montageplatten[[#This Row],[AG Ges2]],Montageplatten[[#This Row],[AG Ges1]])</f>
        <v>0</v>
      </c>
      <c r="AK106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6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06" s="67">
        <f>IF(Montageplatten[[#This Row],[konf Typ]]+Montageplatten[[#This Row],[konf Befest]]=2,1,0)</f>
        <v>1</v>
      </c>
      <c r="AN106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6" s="67">
        <f ca="1">IF(Montageplatten[[#This Row],[konf Rahmenbed]]+Montageplatten[[#This Row],[konf MPH]]=2,1,0)</f>
        <v>0</v>
      </c>
      <c r="AP106" s="26" t="str">
        <f ca="1">Sprache!$A$136</f>
        <v>1D Kreuz Mtg-Platte</v>
      </c>
      <c r="AQ106" t="s">
        <v>831</v>
      </c>
      <c r="AR106" t="str">
        <f ca="1">Sprache!$A$134</f>
        <v>Tiomos Montageplatten</v>
      </c>
      <c r="AS106" s="18">
        <v>1</v>
      </c>
      <c r="AT106" s="18">
        <v>0</v>
      </c>
      <c r="AU106" s="18">
        <v>0</v>
      </c>
      <c r="AV106" s="18">
        <v>0</v>
      </c>
      <c r="AW106" s="2">
        <v>0</v>
      </c>
      <c r="AX106" s="2">
        <v>1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>
        <v>1</v>
      </c>
      <c r="BE106">
        <v>0</v>
      </c>
      <c r="BF106">
        <v>0</v>
      </c>
      <c r="BG106">
        <v>0</v>
      </c>
      <c r="BH106">
        <v>0</v>
      </c>
      <c r="BI106">
        <v>15</v>
      </c>
      <c r="BJ106" s="11" t="s">
        <v>830</v>
      </c>
    </row>
    <row r="107" spans="1:62" ht="13.5" customHeight="1" x14ac:dyDescent="0.25">
      <c r="A107" s="24" t="str">
        <f t="shared" si="9"/>
        <v>F058</v>
      </c>
      <c r="B107" t="str">
        <f t="shared" si="10"/>
        <v>139</v>
      </c>
      <c r="C107" s="24" t="str">
        <f t="shared" si="11"/>
        <v>885</v>
      </c>
      <c r="D107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7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7" s="19">
        <f>IF(Montageplatten[[#This Row],[37/32]]=1,1,IF(Montageplatten[[#This Row],[28/32]]=1,2,0))</f>
        <v>1</v>
      </c>
      <c r="G107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7" s="19">
        <f>IF(Montageplatten[[#This Row],[Typ]]+Montageplatten[[#This Row],[Befestigung]]=2,1,0)</f>
        <v>0</v>
      </c>
      <c r="I107" s="19">
        <f>IF(Montageplatten[[#This Row],[Randbedingungen]]+IF(Montageplatten[[#This Row],[Höhe]]=select!$B$70,1,0)=2,1,0)</f>
        <v>0</v>
      </c>
      <c r="J107" s="19">
        <f>IF(Montageplatten[[#This Row],[Randbedingungen]]+IF(Montageplatten[[#This Row],[Höhe]]=select!$D$70,1,0)=2,1,0)</f>
        <v>0</v>
      </c>
      <c r="K107" s="19">
        <f>IF(Montageplatten[[#This Row],[Randbedingungen]]+IF(Montageplatten[[#This Row],[Höhe]]=select!$F$70,1,0)=2,1,0)</f>
        <v>0</v>
      </c>
      <c r="L107" s="19">
        <f>IF(Montageplatten[[#This Row],[Randbedingungen]]+IF(Montageplatten[[#This Row],[Höhe]]=select!$H$70,1,0)=2,1,0)</f>
        <v>0</v>
      </c>
      <c r="M107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7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7" s="67">
        <f>IF(select!$M$317=Montageplatten[[#This Row],[Höhe]],1,0)</f>
        <v>0</v>
      </c>
      <c r="P107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7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7" s="67">
        <f>IF(Montageplatten[[#This Row],[Typ_winkel]]+Montageplatten[[#This Row],[Befest_Winkel]]=2,1,0)</f>
        <v>0</v>
      </c>
      <c r="S107" s="67">
        <f>IF(Montageplatten[[#This Row],[MPH Winkel]]+Montageplatten[[#This Row],[Typ_winkel]]+Montageplatten[[#This Row],[Befest_Winkel]]=3,1,0)</f>
        <v>0</v>
      </c>
      <c r="T107" s="295">
        <f ca="1">IF(select!$M$746=Montageplatten[[#This Row],[Höhe]],1,0)</f>
        <v>0</v>
      </c>
      <c r="U107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7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7" s="67">
        <f>IF(Montageplatten[[#This Row],[Typ Spezial]]+Montageplatten[[#This Row],[Befest Spezial]]=2,1,0)</f>
        <v>0</v>
      </c>
      <c r="X107" s="67">
        <f ca="1">IF(Montageplatten[[#This Row],[MPH Spezial]]+Montageplatten[[#This Row],[Typ Spezial]]+Montageplatten[[#This Row],[Befest Spezial]]=3,1,0)</f>
        <v>0</v>
      </c>
      <c r="Y107" s="67" t="e">
        <f ca="1">IF(Montageplatten[[#This Row],[AG Rand]]+IF(Montageplatten[[#This Row],[Höhe]]=select!$C$1212,1,0)=2,1,0)</f>
        <v>#VALUE!</v>
      </c>
      <c r="Z107" s="67" t="e">
        <f ca="1">IF(Montageplatten[[#This Row],[AG Rand]]+IF(Montageplatten[[#This Row],[Höhe]]=select!$E$1212,1,0)=2,1,0)</f>
        <v>#VALUE!</v>
      </c>
      <c r="AA107" s="67" t="e">
        <f ca="1">IF(Montageplatten[[#This Row],[AG Rand]]+IF(Montageplatten[[#This Row],[Höhe]]=select!$G$1212,1,0)=2,1,0)</f>
        <v>#VALUE!</v>
      </c>
      <c r="AB107" s="67" t="e">
        <f ca="1">IF(Montageplatten[[#This Row],[AG Rand]]+IF(Montageplatten[[#This Row],[Höhe]]=select!$I$1212,1,0)=2,1,0)</f>
        <v>#VALUE!</v>
      </c>
      <c r="AC107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7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7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7" s="67">
        <f>IF(Montageplatten[[#This Row],[AG Typ]]+Montageplatten[[#This Row],[AG Bef]]=2,1,0)</f>
        <v>0</v>
      </c>
      <c r="AG107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7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7" s="67">
        <f ca="1">IF(Montageplatten[[#This Row],[AG MPH]]+Montageplatten[[#This Row],[AG Typ]]+Montageplatten[[#This Row],[AG Bef]]=3,1,0)</f>
        <v>0</v>
      </c>
      <c r="AJ107" s="67">
        <f ca="1">IF(select!$K$980="*",Montageplatten[[#This Row],[AG Ges2]],Montageplatten[[#This Row],[AG Ges1]])</f>
        <v>0</v>
      </c>
      <c r="AK107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7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7" s="67">
        <f>IF(Montageplatten[[#This Row],[konf Typ]]+Montageplatten[[#This Row],[konf Befest]]=2,1,0)</f>
        <v>0</v>
      </c>
      <c r="AN107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7" s="67">
        <f ca="1">IF(Montageplatten[[#This Row],[konf Rahmenbed]]+Montageplatten[[#This Row],[konf MPH]]=2,1,0)</f>
        <v>0</v>
      </c>
      <c r="AP107" s="26" t="str">
        <f ca="1">Sprache!$A$136</f>
        <v>1D Kreuz Mtg-Platte</v>
      </c>
      <c r="AQ107" t="str">
        <f ca="1">"H 15.5, "&amp;Sprache!A71&amp;", ni /37"</f>
        <v>H 15.5, vorm. Euro, ni /37</v>
      </c>
      <c r="AR107" t="str">
        <f ca="1">Sprache!$A$134</f>
        <v>Tiomos Montageplatten</v>
      </c>
      <c r="AS107" s="18">
        <v>1</v>
      </c>
      <c r="AT107" s="18">
        <v>0</v>
      </c>
      <c r="AU107" s="18">
        <v>0</v>
      </c>
      <c r="AV107" s="18">
        <v>0</v>
      </c>
      <c r="AW107" s="2">
        <v>0</v>
      </c>
      <c r="AX107" s="2">
        <v>0</v>
      </c>
      <c r="AY107" s="2">
        <v>0</v>
      </c>
      <c r="AZ107" s="2">
        <v>1</v>
      </c>
      <c r="BA107" s="2">
        <v>0</v>
      </c>
      <c r="BB107" s="2">
        <v>0</v>
      </c>
      <c r="BC107" s="2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15.5</v>
      </c>
      <c r="BJ107" s="11" t="s">
        <v>822</v>
      </c>
    </row>
    <row r="108" spans="1:62" ht="13.5" customHeight="1" x14ac:dyDescent="0.25">
      <c r="A108" s="24" t="str">
        <f t="shared" si="9"/>
        <v>F058</v>
      </c>
      <c r="B108" t="str">
        <f t="shared" si="10"/>
        <v>139</v>
      </c>
      <c r="C108" s="24" t="str">
        <f t="shared" si="11"/>
        <v>891</v>
      </c>
      <c r="D108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8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08" s="19">
        <f>IF(Montageplatten[[#This Row],[37/32]]=1,1,IF(Montageplatten[[#This Row],[28/32]]=1,2,0))</f>
        <v>1</v>
      </c>
      <c r="G108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08" s="19">
        <f>IF(Montageplatten[[#This Row],[Typ]]+Montageplatten[[#This Row],[Befestigung]]=2,1,0)</f>
        <v>1</v>
      </c>
      <c r="I108" s="19">
        <f>IF(Montageplatten[[#This Row],[Randbedingungen]]+IF(Montageplatten[[#This Row],[Höhe]]=select!$B$70,1,0)=2,1,0)</f>
        <v>0</v>
      </c>
      <c r="J108" s="19">
        <f>IF(Montageplatten[[#This Row],[Randbedingungen]]+IF(Montageplatten[[#This Row],[Höhe]]=select!$D$70,1,0)=2,1,0)</f>
        <v>0</v>
      </c>
      <c r="K108" s="19">
        <f>IF(Montageplatten[[#This Row],[Randbedingungen]]+IF(Montageplatten[[#This Row],[Höhe]]=select!$F$70,1,0)=2,1,0)</f>
        <v>0</v>
      </c>
      <c r="L108" s="19">
        <f>IF(Montageplatten[[#This Row],[Randbedingungen]]+IF(Montageplatten[[#This Row],[Höhe]]=select!$H$70,1,0)=2,1,0)</f>
        <v>0</v>
      </c>
      <c r="M108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8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8" s="67">
        <f>IF(select!$M$317=Montageplatten[[#This Row],[Höhe]],1,0)</f>
        <v>0</v>
      </c>
      <c r="P108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8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08" s="67">
        <f>IF(Montageplatten[[#This Row],[Typ_winkel]]+Montageplatten[[#This Row],[Befest_Winkel]]=2,1,0)</f>
        <v>1</v>
      </c>
      <c r="S108" s="67">
        <f>IF(Montageplatten[[#This Row],[MPH Winkel]]+Montageplatten[[#This Row],[Typ_winkel]]+Montageplatten[[#This Row],[Befest_Winkel]]=3,1,0)</f>
        <v>0</v>
      </c>
      <c r="T108" s="295">
        <f ca="1">IF(select!$M$746=Montageplatten[[#This Row],[Höhe]],1,0)</f>
        <v>0</v>
      </c>
      <c r="U108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8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08" s="67">
        <f>IF(Montageplatten[[#This Row],[Typ Spezial]]+Montageplatten[[#This Row],[Befest Spezial]]=2,1,0)</f>
        <v>1</v>
      </c>
      <c r="X108" s="67">
        <f ca="1">IF(Montageplatten[[#This Row],[MPH Spezial]]+Montageplatten[[#This Row],[Typ Spezial]]+Montageplatten[[#This Row],[Befest Spezial]]=3,1,0)</f>
        <v>0</v>
      </c>
      <c r="Y108" s="67" t="e">
        <f ca="1">IF(Montageplatten[[#This Row],[AG Rand]]+IF(Montageplatten[[#This Row],[Höhe]]=select!$C$1212,1,0)=2,1,0)</f>
        <v>#VALUE!</v>
      </c>
      <c r="Z108" s="67" t="e">
        <f ca="1">IF(Montageplatten[[#This Row],[AG Rand]]+IF(Montageplatten[[#This Row],[Höhe]]=select!$E$1212,1,0)=2,1,0)</f>
        <v>#VALUE!</v>
      </c>
      <c r="AA108" s="67" t="e">
        <f ca="1">IF(Montageplatten[[#This Row],[AG Rand]]+IF(Montageplatten[[#This Row],[Höhe]]=select!$G$1212,1,0)=2,1,0)</f>
        <v>#VALUE!</v>
      </c>
      <c r="AB108" s="67" t="e">
        <f ca="1">IF(Montageplatten[[#This Row],[AG Rand]]+IF(Montageplatten[[#This Row],[Höhe]]=select!$I$1212,1,0)=2,1,0)</f>
        <v>#VALUE!</v>
      </c>
      <c r="AC108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8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8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08" s="67">
        <f>IF(Montageplatten[[#This Row],[AG Typ]]+Montageplatten[[#This Row],[AG Bef]]=2,1,0)</f>
        <v>1</v>
      </c>
      <c r="AG108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8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8" s="67">
        <f ca="1">IF(Montageplatten[[#This Row],[AG MPH]]+Montageplatten[[#This Row],[AG Typ]]+Montageplatten[[#This Row],[AG Bef]]=3,1,0)</f>
        <v>0</v>
      </c>
      <c r="AJ108" s="67">
        <f ca="1">IF(select!$K$980="*",Montageplatten[[#This Row],[AG Ges2]],Montageplatten[[#This Row],[AG Ges1]])</f>
        <v>0</v>
      </c>
      <c r="AK108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8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08" s="67">
        <f>IF(Montageplatten[[#This Row],[konf Typ]]+Montageplatten[[#This Row],[konf Befest]]=2,1,0)</f>
        <v>1</v>
      </c>
      <c r="AN108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8" s="67">
        <f ca="1">IF(Montageplatten[[#This Row],[konf Rahmenbed]]+Montageplatten[[#This Row],[konf MPH]]=2,1,0)</f>
        <v>0</v>
      </c>
      <c r="AP108" s="26" t="str">
        <f ca="1">Sprache!$A$136</f>
        <v>1D Kreuz Mtg-Platte</v>
      </c>
      <c r="AQ108" t="s">
        <v>833</v>
      </c>
      <c r="AR108" t="str">
        <f ca="1">Sprache!$A$134</f>
        <v>Tiomos Montageplatten</v>
      </c>
      <c r="AS108" s="18">
        <v>1</v>
      </c>
      <c r="AT108" s="18">
        <v>0</v>
      </c>
      <c r="AU108" s="18">
        <v>0</v>
      </c>
      <c r="AV108" s="18">
        <v>0</v>
      </c>
      <c r="AW108" s="2">
        <v>0</v>
      </c>
      <c r="AX108" s="2">
        <v>1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15.5</v>
      </c>
      <c r="BJ108" s="11" t="s">
        <v>832</v>
      </c>
    </row>
    <row r="109" spans="1:62" ht="13.5" customHeight="1" x14ac:dyDescent="0.25">
      <c r="A109" s="24" t="str">
        <f t="shared" si="9"/>
        <v>F058</v>
      </c>
      <c r="B109" t="str">
        <f t="shared" si="10"/>
        <v>139</v>
      </c>
      <c r="C109" s="24" t="str">
        <f t="shared" si="11"/>
        <v>875</v>
      </c>
      <c r="D109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09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09" s="19">
        <f>IF(Montageplatten[[#This Row],[37/32]]=1,1,IF(Montageplatten[[#This Row],[28/32]]=1,2,0))</f>
        <v>1</v>
      </c>
      <c r="G109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09" s="19">
        <f>IF(Montageplatten[[#This Row],[Typ]]+Montageplatten[[#This Row],[Befestigung]]=2,1,0)</f>
        <v>0</v>
      </c>
      <c r="I109" s="19">
        <f>IF(Montageplatten[[#This Row],[Randbedingungen]]+IF(Montageplatten[[#This Row],[Höhe]]=select!$B$70,1,0)=2,1,0)</f>
        <v>0</v>
      </c>
      <c r="J109" s="19">
        <f>IF(Montageplatten[[#This Row],[Randbedingungen]]+IF(Montageplatten[[#This Row],[Höhe]]=select!$D$70,1,0)=2,1,0)</f>
        <v>0</v>
      </c>
      <c r="K109" s="19">
        <f>IF(Montageplatten[[#This Row],[Randbedingungen]]+IF(Montageplatten[[#This Row],[Höhe]]=select!$F$70,1,0)=2,1,0)</f>
        <v>0</v>
      </c>
      <c r="L109" s="19">
        <f>IF(Montageplatten[[#This Row],[Randbedingungen]]+IF(Montageplatten[[#This Row],[Höhe]]=select!$H$70,1,0)=2,1,0)</f>
        <v>0</v>
      </c>
      <c r="M109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09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09" s="67">
        <f>IF(select!$M$317=Montageplatten[[#This Row],[Höhe]],1,0)</f>
        <v>0</v>
      </c>
      <c r="P109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09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09" s="67">
        <f>IF(Montageplatten[[#This Row],[Typ_winkel]]+Montageplatten[[#This Row],[Befest_Winkel]]=2,1,0)</f>
        <v>0</v>
      </c>
      <c r="S109" s="67">
        <f>IF(Montageplatten[[#This Row],[MPH Winkel]]+Montageplatten[[#This Row],[Typ_winkel]]+Montageplatten[[#This Row],[Befest_Winkel]]=3,1,0)</f>
        <v>0</v>
      </c>
      <c r="T109" s="295">
        <f ca="1">IF(select!$M$746=Montageplatten[[#This Row],[Höhe]],1,0)</f>
        <v>0</v>
      </c>
      <c r="U109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09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09" s="67">
        <f>IF(Montageplatten[[#This Row],[Typ Spezial]]+Montageplatten[[#This Row],[Befest Spezial]]=2,1,0)</f>
        <v>0</v>
      </c>
      <c r="X109" s="67">
        <f ca="1">IF(Montageplatten[[#This Row],[MPH Spezial]]+Montageplatten[[#This Row],[Typ Spezial]]+Montageplatten[[#This Row],[Befest Spezial]]=3,1,0)</f>
        <v>0</v>
      </c>
      <c r="Y109" s="67" t="e">
        <f ca="1">IF(Montageplatten[[#This Row],[AG Rand]]+IF(Montageplatten[[#This Row],[Höhe]]=select!$C$1212,1,0)=2,1,0)</f>
        <v>#VALUE!</v>
      </c>
      <c r="Z109" s="67" t="e">
        <f ca="1">IF(Montageplatten[[#This Row],[AG Rand]]+IF(Montageplatten[[#This Row],[Höhe]]=select!$E$1212,1,0)=2,1,0)</f>
        <v>#VALUE!</v>
      </c>
      <c r="AA109" s="67" t="e">
        <f ca="1">IF(Montageplatten[[#This Row],[AG Rand]]+IF(Montageplatten[[#This Row],[Höhe]]=select!$G$1212,1,0)=2,1,0)</f>
        <v>#VALUE!</v>
      </c>
      <c r="AB109" s="67" t="e">
        <f ca="1">IF(Montageplatten[[#This Row],[AG Rand]]+IF(Montageplatten[[#This Row],[Höhe]]=select!$I$1212,1,0)=2,1,0)</f>
        <v>#VALUE!</v>
      </c>
      <c r="AC109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09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09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09" s="67">
        <f>IF(Montageplatten[[#This Row],[AG Typ]]+Montageplatten[[#This Row],[AG Bef]]=2,1,0)</f>
        <v>0</v>
      </c>
      <c r="AG109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09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09" s="67">
        <f ca="1">IF(Montageplatten[[#This Row],[AG MPH]]+Montageplatten[[#This Row],[AG Typ]]+Montageplatten[[#This Row],[AG Bef]]=3,1,0)</f>
        <v>0</v>
      </c>
      <c r="AJ109" s="67">
        <f ca="1">IF(select!$K$980="*",Montageplatten[[#This Row],[AG Ges2]],Montageplatten[[#This Row],[AG Ges1]])</f>
        <v>0</v>
      </c>
      <c r="AK109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09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09" s="67">
        <f>IF(Montageplatten[[#This Row],[konf Typ]]+Montageplatten[[#This Row],[konf Befest]]=2,1,0)</f>
        <v>0</v>
      </c>
      <c r="AN109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09" s="67">
        <f ca="1">IF(Montageplatten[[#This Row],[konf Rahmenbed]]+Montageplatten[[#This Row],[konf MPH]]=2,1,0)</f>
        <v>0</v>
      </c>
      <c r="AP109" s="34" t="str">
        <f ca="1">Sprache!$A$136</f>
        <v>1D Kreuz Mtg-Platte</v>
      </c>
      <c r="AQ109" t="str">
        <f ca="1">"H 19, "&amp;Sprache!A71&amp;", ni /37"</f>
        <v>H 19, vorm. Euro, ni /37</v>
      </c>
      <c r="AR109" t="str">
        <f ca="1">Sprache!$A$134</f>
        <v>Tiomos Montageplatten</v>
      </c>
      <c r="AS109" s="18">
        <v>1</v>
      </c>
      <c r="AT109" s="18">
        <v>0</v>
      </c>
      <c r="AU109" s="18">
        <v>0</v>
      </c>
      <c r="AV109" s="18">
        <v>0</v>
      </c>
      <c r="AW109" s="2">
        <v>0</v>
      </c>
      <c r="AX109" s="2">
        <v>0</v>
      </c>
      <c r="AY109" s="2">
        <v>0</v>
      </c>
      <c r="AZ109" s="2">
        <v>1</v>
      </c>
      <c r="BA109" s="2">
        <v>0</v>
      </c>
      <c r="BB109" s="2">
        <v>0</v>
      </c>
      <c r="BC109" s="2">
        <v>0</v>
      </c>
      <c r="BD109">
        <v>1</v>
      </c>
      <c r="BE109">
        <v>0</v>
      </c>
      <c r="BF109">
        <v>0</v>
      </c>
      <c r="BG109">
        <v>0</v>
      </c>
      <c r="BH109">
        <v>0</v>
      </c>
      <c r="BI109">
        <v>19</v>
      </c>
      <c r="BJ109" s="82" t="s">
        <v>815</v>
      </c>
    </row>
    <row r="110" spans="1:62" ht="13.5" customHeight="1" x14ac:dyDescent="0.25">
      <c r="A110" s="24" t="str">
        <f t="shared" si="9"/>
        <v>F058</v>
      </c>
      <c r="B110" t="str">
        <f t="shared" si="10"/>
        <v>139</v>
      </c>
      <c r="C110" s="24" t="str">
        <f t="shared" si="11"/>
        <v>894</v>
      </c>
      <c r="D110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10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10" s="19">
        <f>IF(Montageplatten[[#This Row],[37/32]]=1,1,IF(Montageplatten[[#This Row],[28/32]]=1,2,0))</f>
        <v>1</v>
      </c>
      <c r="G110" s="19">
        <f>IF(OR(select!$B$70=Montageplatten[[#This Row],[Höhe]],select!$D$70=Montageplatten[[#This Row],[Höhe]],select!$F$70=Montageplatten[[#This Row],[Höhe]],select!$H$70=Montageplatten[[#This Row],[Höhe]])=TRUE,1,0)</f>
        <v>1</v>
      </c>
      <c r="H110" s="19">
        <f>IF(Montageplatten[[#This Row],[Typ]]+Montageplatten[[#This Row],[Befestigung]]=2,1,0)</f>
        <v>1</v>
      </c>
      <c r="I110" s="19">
        <f>IF(Montageplatten[[#This Row],[Randbedingungen]]+IF(Montageplatten[[#This Row],[Höhe]]=select!$B$70,1,0)=2,1,0)</f>
        <v>0</v>
      </c>
      <c r="J110" s="19">
        <f>IF(Montageplatten[[#This Row],[Randbedingungen]]+IF(Montageplatten[[#This Row],[Höhe]]=select!$D$70,1,0)=2,1,0)</f>
        <v>1</v>
      </c>
      <c r="K110" s="19">
        <f>IF(Montageplatten[[#This Row],[Randbedingungen]]+IF(Montageplatten[[#This Row],[Höhe]]=select!$F$70,1,0)=2,1,0)</f>
        <v>0</v>
      </c>
      <c r="L110" s="19">
        <f>IF(Montageplatten[[#This Row],[Randbedingungen]]+IF(Montageplatten[[#This Row],[Höhe]]=select!$H$70,1,0)=2,1,0)</f>
        <v>0</v>
      </c>
      <c r="M110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10" s="33">
        <f ca="1">IF(Montageplatten[[#This Row],[Kröpfung 3]]+Montageplatten[[#This Row],[Kröpfung 0]]+Montageplatten[[#This Row],[Kröpfung 9,5]]+Montageplatten[[#This Row],[Kröpfung 19]]+Montageplatten[[#This Row],[auswahl K]]=2,1,0)</f>
        <v>1</v>
      </c>
      <c r="O110" s="67">
        <f>IF(select!$M$317=Montageplatten[[#This Row],[Höhe]],1,0)</f>
        <v>0</v>
      </c>
      <c r="P110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10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10" s="67">
        <f>IF(Montageplatten[[#This Row],[Typ_winkel]]+Montageplatten[[#This Row],[Befest_Winkel]]=2,1,0)</f>
        <v>1</v>
      </c>
      <c r="S110" s="67">
        <f>IF(Montageplatten[[#This Row],[MPH Winkel]]+Montageplatten[[#This Row],[Typ_winkel]]+Montageplatten[[#This Row],[Befest_Winkel]]=3,1,0)</f>
        <v>0</v>
      </c>
      <c r="T110" s="295">
        <f ca="1">IF(select!$M$746=Montageplatten[[#This Row],[Höhe]],1,0)</f>
        <v>0</v>
      </c>
      <c r="U110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10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10" s="67">
        <f>IF(Montageplatten[[#This Row],[Typ Spezial]]+Montageplatten[[#This Row],[Befest Spezial]]=2,1,0)</f>
        <v>1</v>
      </c>
      <c r="X110" s="67">
        <f ca="1">IF(Montageplatten[[#This Row],[MPH Spezial]]+Montageplatten[[#This Row],[Typ Spezial]]+Montageplatten[[#This Row],[Befest Spezial]]=3,1,0)</f>
        <v>0</v>
      </c>
      <c r="Y110" s="67" t="e">
        <f ca="1">IF(Montageplatten[[#This Row],[AG Rand]]+IF(Montageplatten[[#This Row],[Höhe]]=select!$C$1212,1,0)=2,1,0)</f>
        <v>#VALUE!</v>
      </c>
      <c r="Z110" s="67" t="e">
        <f ca="1">IF(Montageplatten[[#This Row],[AG Rand]]+IF(Montageplatten[[#This Row],[Höhe]]=select!$E$1212,1,0)=2,1,0)</f>
        <v>#VALUE!</v>
      </c>
      <c r="AA110" s="67" t="e">
        <f ca="1">IF(Montageplatten[[#This Row],[AG Rand]]+IF(Montageplatten[[#This Row],[Höhe]]=select!$G$1212,1,0)=2,1,0)</f>
        <v>#VALUE!</v>
      </c>
      <c r="AB110" s="67" t="e">
        <f ca="1">IF(Montageplatten[[#This Row],[AG Rand]]+IF(Montageplatten[[#This Row],[Höhe]]=select!$I$1212,1,0)=2,1,0)</f>
        <v>#VALUE!</v>
      </c>
      <c r="AC110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10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10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10" s="67">
        <f>IF(Montageplatten[[#This Row],[AG Typ]]+Montageplatten[[#This Row],[AG Bef]]=2,1,0)</f>
        <v>1</v>
      </c>
      <c r="AG110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10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10" s="67">
        <f ca="1">IF(Montageplatten[[#This Row],[AG MPH]]+Montageplatten[[#This Row],[AG Typ]]+Montageplatten[[#This Row],[AG Bef]]=3,1,0)</f>
        <v>0</v>
      </c>
      <c r="AJ110" s="67">
        <f ca="1">IF(select!$K$980="*",Montageplatten[[#This Row],[AG Ges2]],Montageplatten[[#This Row],[AG Ges1]])</f>
        <v>0</v>
      </c>
      <c r="AK110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10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10" s="67">
        <f>IF(Montageplatten[[#This Row],[konf Typ]]+Montageplatten[[#This Row],[konf Befest]]=2,1,0)</f>
        <v>1</v>
      </c>
      <c r="AN110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10" s="67">
        <f ca="1">IF(Montageplatten[[#This Row],[konf Rahmenbed]]+Montageplatten[[#This Row],[konf MPH]]=2,1,0)</f>
        <v>0</v>
      </c>
      <c r="AP110" s="34" t="str">
        <f ca="1">Sprache!$A$136</f>
        <v>1D Kreuz Mtg-Platte</v>
      </c>
      <c r="AQ110" t="s">
        <v>839</v>
      </c>
      <c r="AR110" t="str">
        <f ca="1">Sprache!$A$134</f>
        <v>Tiomos Montageplatten</v>
      </c>
      <c r="AS110" s="18">
        <v>1</v>
      </c>
      <c r="AT110" s="18">
        <v>0</v>
      </c>
      <c r="AU110" s="18">
        <v>0</v>
      </c>
      <c r="AV110" s="18">
        <v>0</v>
      </c>
      <c r="AW110" s="2">
        <v>0</v>
      </c>
      <c r="AX110" s="2">
        <v>1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>
        <v>1</v>
      </c>
      <c r="BE110">
        <v>0</v>
      </c>
      <c r="BF110">
        <v>0</v>
      </c>
      <c r="BG110">
        <v>0</v>
      </c>
      <c r="BH110">
        <v>0</v>
      </c>
      <c r="BI110">
        <v>19</v>
      </c>
      <c r="BJ110" s="82" t="s">
        <v>838</v>
      </c>
    </row>
    <row r="111" spans="1:62" ht="13.5" customHeight="1" x14ac:dyDescent="0.25">
      <c r="A111" s="24" t="str">
        <f t="shared" si="9"/>
        <v>F058</v>
      </c>
      <c r="B111" t="str">
        <f t="shared" si="10"/>
        <v>139</v>
      </c>
      <c r="C111" s="24" t="str">
        <f t="shared" si="11"/>
        <v>895</v>
      </c>
      <c r="D111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11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F111" s="19">
        <f>IF(Montageplatten[[#This Row],[37/32]]=1,1,IF(Montageplatten[[#This Row],[28/32]]=1,2,0))</f>
        <v>1</v>
      </c>
      <c r="G111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11" s="19">
        <f>IF(Montageplatten[[#This Row],[Typ]]+Montageplatten[[#This Row],[Befestigung]]=2,1,0)</f>
        <v>1</v>
      </c>
      <c r="I111" s="19">
        <f>IF(Montageplatten[[#This Row],[Randbedingungen]]+IF(Montageplatten[[#This Row],[Höhe]]=select!$B$70,1,0)=2,1,0)</f>
        <v>0</v>
      </c>
      <c r="J111" s="19">
        <f>IF(Montageplatten[[#This Row],[Randbedingungen]]+IF(Montageplatten[[#This Row],[Höhe]]=select!$D$70,1,0)=2,1,0)</f>
        <v>0</v>
      </c>
      <c r="K111" s="19">
        <f>IF(Montageplatten[[#This Row],[Randbedingungen]]+IF(Montageplatten[[#This Row],[Höhe]]=select!$F$70,1,0)=2,1,0)</f>
        <v>0</v>
      </c>
      <c r="L111" s="19">
        <f>IF(Montageplatten[[#This Row],[Randbedingungen]]+IF(Montageplatten[[#This Row],[Höhe]]=select!$H$70,1,0)=2,1,0)</f>
        <v>0</v>
      </c>
      <c r="M111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11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11" s="67">
        <f>IF(select!$M$317=Montageplatten[[#This Row],[Höhe]],1,0)</f>
        <v>0</v>
      </c>
      <c r="P111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11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R111" s="67">
        <f>IF(Montageplatten[[#This Row],[Typ_winkel]]+Montageplatten[[#This Row],[Befest_Winkel]]=2,1,0)</f>
        <v>1</v>
      </c>
      <c r="S111" s="67">
        <f>IF(Montageplatten[[#This Row],[MPH Winkel]]+Montageplatten[[#This Row],[Typ_winkel]]+Montageplatten[[#This Row],[Befest_Winkel]]=3,1,0)</f>
        <v>0</v>
      </c>
      <c r="T111" s="295">
        <f ca="1">IF(select!$M$746=Montageplatten[[#This Row],[Höhe]],1,0)</f>
        <v>0</v>
      </c>
      <c r="U111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11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W111" s="67">
        <f>IF(Montageplatten[[#This Row],[Typ Spezial]]+Montageplatten[[#This Row],[Befest Spezial]]=2,1,0)</f>
        <v>1</v>
      </c>
      <c r="X111" s="67">
        <f ca="1">IF(Montageplatten[[#This Row],[MPH Spezial]]+Montageplatten[[#This Row],[Typ Spezial]]+Montageplatten[[#This Row],[Befest Spezial]]=3,1,0)</f>
        <v>0</v>
      </c>
      <c r="Y111" s="67" t="e">
        <f ca="1">IF(Montageplatten[[#This Row],[AG Rand]]+IF(Montageplatten[[#This Row],[Höhe]]=select!$C$1212,1,0)=2,1,0)</f>
        <v>#VALUE!</v>
      </c>
      <c r="Z111" s="67" t="e">
        <f ca="1">IF(Montageplatten[[#This Row],[AG Rand]]+IF(Montageplatten[[#This Row],[Höhe]]=select!$E$1212,1,0)=2,1,0)</f>
        <v>#VALUE!</v>
      </c>
      <c r="AA111" s="67" t="e">
        <f ca="1">IF(Montageplatten[[#This Row],[AG Rand]]+IF(Montageplatten[[#This Row],[Höhe]]=select!$G$1212,1,0)=2,1,0)</f>
        <v>#VALUE!</v>
      </c>
      <c r="AB111" s="67" t="e">
        <f ca="1">IF(Montageplatten[[#This Row],[AG Rand]]+IF(Montageplatten[[#This Row],[Höhe]]=select!$I$1212,1,0)=2,1,0)</f>
        <v>#VALUE!</v>
      </c>
      <c r="AC111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11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11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F111" s="67">
        <f>IF(Montageplatten[[#This Row],[AG Typ]]+Montageplatten[[#This Row],[AG Bef]]=2,1,0)</f>
        <v>1</v>
      </c>
      <c r="AG111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11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11" s="67">
        <f ca="1">IF(Montageplatten[[#This Row],[AG MPH]]+Montageplatten[[#This Row],[AG Typ]]+Montageplatten[[#This Row],[AG Bef]]=3,1,0)</f>
        <v>0</v>
      </c>
      <c r="AJ111" s="67">
        <f ca="1">IF(select!$K$980="*",Montageplatten[[#This Row],[AG Ges2]],Montageplatten[[#This Row],[AG Ges1]])</f>
        <v>0</v>
      </c>
      <c r="AK111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11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1</v>
      </c>
      <c r="AM111" s="67">
        <f>IF(Montageplatten[[#This Row],[konf Typ]]+Montageplatten[[#This Row],[konf Befest]]=2,1,0)</f>
        <v>1</v>
      </c>
      <c r="AN111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11" s="67">
        <f ca="1">IF(Montageplatten[[#This Row],[konf Rahmenbed]]+Montageplatten[[#This Row],[konf MPH]]=2,1,0)</f>
        <v>0</v>
      </c>
      <c r="AP111" s="34" t="str">
        <f ca="1">Sprache!$A$136</f>
        <v>1D Kreuz Mtg-Platte</v>
      </c>
      <c r="AQ111" t="s">
        <v>841</v>
      </c>
      <c r="AR111" t="str">
        <f ca="1">Sprache!$A$134</f>
        <v>Tiomos Montageplatten</v>
      </c>
      <c r="AS111" s="18">
        <v>1</v>
      </c>
      <c r="AT111" s="18">
        <v>0</v>
      </c>
      <c r="AU111" s="18">
        <v>0</v>
      </c>
      <c r="AV111" s="18">
        <v>0</v>
      </c>
      <c r="AW111" s="2">
        <v>0</v>
      </c>
      <c r="AX111" s="2">
        <v>1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21</v>
      </c>
      <c r="BJ111" s="82" t="s">
        <v>840</v>
      </c>
    </row>
    <row r="112" spans="1:62" ht="13.5" customHeight="1" x14ac:dyDescent="0.25">
      <c r="A112" s="24" t="str">
        <f t="shared" si="9"/>
        <v>F058</v>
      </c>
      <c r="B112" t="str">
        <f t="shared" si="10"/>
        <v>139</v>
      </c>
      <c r="C112" s="24" t="str">
        <f t="shared" si="11"/>
        <v>896</v>
      </c>
      <c r="D112" s="19">
        <f>IF(select!$N$44=1,Montageplatten[[#This Row],[Kreuz]],IF(select!$N$44=2,Montageplatten[[#This Row],[Linear]],IF(select!$N$44=3,Montageplatten[[#This Row],[Delta]],IF(select!$N$44=4,Montageplatten[[#This Row],[INSET]],0))))</f>
        <v>1</v>
      </c>
      <c r="E112" s="19">
        <f>IF(select!$P$56=IF(Montageplatten[[#This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F112" s="19">
        <f>IF(Montageplatten[[#This Row],[37/32]]=1,1,IF(Montageplatten[[#This Row],[28/32]]=1,2,0))</f>
        <v>1</v>
      </c>
      <c r="G112" s="19">
        <f>IF(OR(select!$B$70=Montageplatten[[#This Row],[Höhe]],select!$D$70=Montageplatten[[#This Row],[Höhe]],select!$F$70=Montageplatten[[#This Row],[Höhe]],select!$H$70=Montageplatten[[#This Row],[Höhe]])=TRUE,1,0)</f>
        <v>0</v>
      </c>
      <c r="H112" s="19">
        <f>IF(Montageplatten[[#This Row],[Typ]]+Montageplatten[[#This Row],[Befestigung]]=2,1,0)</f>
        <v>0</v>
      </c>
      <c r="I112" s="19">
        <f>IF(Montageplatten[[#This Row],[Randbedingungen]]+IF(Montageplatten[[#This Row],[Höhe]]=select!$B$70,1,0)=2,1,0)</f>
        <v>0</v>
      </c>
      <c r="J112" s="19">
        <f>IF(Montageplatten[[#This Row],[Randbedingungen]]+IF(Montageplatten[[#This Row],[Höhe]]=select!$D$70,1,0)=2,1,0)</f>
        <v>0</v>
      </c>
      <c r="K112" s="19">
        <f>IF(Montageplatten[[#This Row],[Randbedingungen]]+IF(Montageplatten[[#This Row],[Höhe]]=select!$F$70,1,0)=2,1,0)</f>
        <v>0</v>
      </c>
      <c r="L112" s="19">
        <f>IF(Montageplatten[[#This Row],[Randbedingungen]]+IF(Montageplatten[[#This Row],[Höhe]]=select!$H$70,1,0)=2,1,0)</f>
        <v>0</v>
      </c>
      <c r="M112" s="19">
        <f ca="1">IF(select!$F$183=-1000,1,IF(IF(Montageplatten[[#This Row],[Kröpfung 3]]=1,3,IF(Montageplatten[[#This Row],[Kröpfung 0]]=1,0,IF(Montageplatten[[#This Row],[Kröpfung 9,5]]=1,9.5,IF(Montageplatten[[#This Row],[Kröpfung 19]]=1,19,""))))=select!$F$183,1,0))</f>
        <v>1</v>
      </c>
      <c r="N112" s="33">
        <f ca="1">IF(Montageplatten[[#This Row],[Kröpfung 3]]+Montageplatten[[#This Row],[Kröpfung 0]]+Montageplatten[[#This Row],[Kröpfung 9,5]]+Montageplatten[[#This Row],[Kröpfung 19]]+Montageplatten[[#This Row],[auswahl K]]=2,1,0)</f>
        <v>0</v>
      </c>
      <c r="O112" s="67">
        <f>IF(select!$M$317=Montageplatten[[#This Row],[Höhe]],1,0)</f>
        <v>0</v>
      </c>
      <c r="P112" s="81">
        <f>IF(select!$D$334=1,Montageplatten[[#This Row],[Kreuz]],IF(select!$D$334=2,Montageplatten[[#This Row],[Linear]],IF(select!$D$334=3,Montageplatten[[#This Row],[Delta]],IF(select!$D$334=4,Montageplatten[[#This Row],[INSET]],0))))</f>
        <v>1</v>
      </c>
      <c r="Q112" s="67">
        <f>IF(select!$N$363=IF(Montageplatten[[#This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R112" s="67">
        <f>IF(Montageplatten[[#This Row],[Typ_winkel]]+Montageplatten[[#This Row],[Befest_Winkel]]=2,1,0)</f>
        <v>0</v>
      </c>
      <c r="S112" s="67">
        <f>IF(Montageplatten[[#This Row],[MPH Winkel]]+Montageplatten[[#This Row],[Typ_winkel]]+Montageplatten[[#This Row],[Befest_Winkel]]=3,1,0)</f>
        <v>0</v>
      </c>
      <c r="T112" s="295">
        <f ca="1">IF(select!$M$746=Montageplatten[[#This Row],[Höhe]],1,0)</f>
        <v>0</v>
      </c>
      <c r="U112" s="67">
        <f>IF(select!$J$783=1,Montageplatten[[#This Row],[Kreuz]],IF(select!$J$783=2,Montageplatten[[#This Row],[Linear]],IF(select!$J$783=3,Montageplatten[[#This Row],[Delta]],IF(select!$J$783=4,Montageplatten[[#This Row],[INSET]],0))))</f>
        <v>1</v>
      </c>
      <c r="V112" s="67">
        <f>IF(select!$N$792=IF(Montageplatten[[#This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W112" s="67">
        <f>IF(Montageplatten[[#This Row],[Typ Spezial]]+Montageplatten[[#This Row],[Befest Spezial]]=2,1,0)</f>
        <v>0</v>
      </c>
      <c r="X112" s="67">
        <f ca="1">IF(Montageplatten[[#This Row],[MPH Spezial]]+Montageplatten[[#This Row],[Typ Spezial]]+Montageplatten[[#This Row],[Befest Spezial]]=3,1,0)</f>
        <v>0</v>
      </c>
      <c r="Y112" s="67" t="e">
        <f ca="1">IF(Montageplatten[[#This Row],[AG Rand]]+IF(Montageplatten[[#This Row],[Höhe]]=select!$C$1212,1,0)=2,1,0)</f>
        <v>#VALUE!</v>
      </c>
      <c r="Z112" s="67" t="e">
        <f ca="1">IF(Montageplatten[[#This Row],[AG Rand]]+IF(Montageplatten[[#This Row],[Höhe]]=select!$E$1212,1,0)=2,1,0)</f>
        <v>#VALUE!</v>
      </c>
      <c r="AA112" s="67" t="e">
        <f ca="1">IF(Montageplatten[[#This Row],[AG Rand]]+IF(Montageplatten[[#This Row],[Höhe]]=select!$G$1212,1,0)=2,1,0)</f>
        <v>#VALUE!</v>
      </c>
      <c r="AB112" s="67" t="e">
        <f ca="1">IF(Montageplatten[[#This Row],[AG Rand]]+IF(Montageplatten[[#This Row],[Höhe]]=select!$I$1212,1,0)=2,1,0)</f>
        <v>#VALUE!</v>
      </c>
      <c r="AC112" s="67">
        <f ca="1">IF(select!$M$980="Multi",IF(OR(select!$C$1212=Montageplatten[[#This Row],[Höhe]],select!$E$1212=Montageplatten[[#This Row],[Höhe]],select!$G$1212=Montageplatten[[#This Row],[Höhe]],select!$I$1212=Montageplatten[[#This Row],[Höhe]])=TRUE,1,0),IF(select!$M$980=Montageplatten[[#This Row],[Höhe]],1,0))</f>
        <v>0</v>
      </c>
      <c r="AD112" s="67">
        <f>IF(select!$E$991=1,Montageplatten[[#This Row],[Kreuz]],IF(select!$E$991=2,Montageplatten[[#This Row],[Linear]],IF(select!$E$991=3,Montageplatten[[#This Row],[Delta]],IF(select!$E$991=4,Montageplatten[[#This Row],[INSET]],0))))</f>
        <v>1</v>
      </c>
      <c r="AE112" s="67">
        <f>IF(select!$N$1013=IF(Montageplatten[[#This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F112" s="67">
        <f>IF(Montageplatten[[#This Row],[AG Typ]]+Montageplatten[[#This Row],[AG Bef]]=2,1,0)</f>
        <v>0</v>
      </c>
      <c r="AG112" s="67" t="e">
        <f ca="1">IF(select!$F$1326=-1000,1,IF(IF(Montageplatten[[#This Row],[AG K3]]=1,3,IF(Montageplatten[[#This Row],[AG K0]]=1,0,IF(Montageplatten[[#This Row],[AG K9,5]]=1,9.5,IF(Montageplatten[[#This Row],[AG K19]]=1,19,""))))=select!$F$1326,1,0))</f>
        <v>#VALUE!</v>
      </c>
      <c r="AH112" s="67" t="e">
        <f ca="1">IF(Montageplatten[[#This Row],[AG K0]]+Montageplatten[[#This Row],[AG K3]]+Montageplatten[[#This Row],[AG K9,5]]+Montageplatten[[#This Row],[AG K19]]+Montageplatten[[#This Row],[AG Ausw K]]=2,1,0)</f>
        <v>#VALUE!</v>
      </c>
      <c r="AI112" s="67">
        <f ca="1">IF(Montageplatten[[#This Row],[AG MPH]]+Montageplatten[[#This Row],[AG Typ]]+Montageplatten[[#This Row],[AG Bef]]=3,1,0)</f>
        <v>0</v>
      </c>
      <c r="AJ112" s="67">
        <f ca="1">IF(select!$K$980="*",Montageplatten[[#This Row],[AG Ges2]],Montageplatten[[#This Row],[AG Ges1]])</f>
        <v>0</v>
      </c>
      <c r="AK112" s="67">
        <f>IF(select!$A$1427=1,Montageplatten[[#This Row],[Kreuz]],IF(select!$A$1427=2,Montageplatten[[#This Row],[Linear]],IF(select!$A$1427=3,Montageplatten[[#This Row],[Delta]],IF(select!$A$1427=4,Montageplatten[[#This Row],[INSET]],0))))</f>
        <v>1</v>
      </c>
      <c r="AL112" s="67">
        <f>IF(select!$A$1448=IF(Montageplatten[[#This Row],[zum einpressen]]=1,1,IF(Montageplatten[[#This Row],[zum anschrauben mit Holzschrauben]]=1,2,IF(Montageplatten[[#This Row],[zum anschrauben mit Euroschrauben]]=1,3,IF(Montageplatten[[#This Row],[vorm. Euro '[13,5']]]=1,4,IF(Montageplatten[[#This Row],[vorm. Euro '[10,5']]]=1,5,IF(Montageplatten[[#This Row],[Spreizdübel 11 mm]]=1,6,7)))))),1,0)</f>
        <v>0</v>
      </c>
      <c r="AM112" s="67">
        <f>IF(Montageplatten[[#This Row],[konf Typ]]+Montageplatten[[#This Row],[konf Befest]]=2,1,0)</f>
        <v>0</v>
      </c>
      <c r="AN112" s="67">
        <f ca="1">IF(OR(select!$S$1368=Montageplatten[[#This Row],[Höhe]],select!$S$1369=Montageplatten[[#This Row],[Höhe]],select!$S$1370=Montageplatten[[#This Row],[Höhe]],select!$S$1371=Montageplatten[[#This Row],[Höhe]])=TRUE,1,0)</f>
        <v>0</v>
      </c>
      <c r="AO112" s="67">
        <f ca="1">IF(Montageplatten[[#This Row],[konf Rahmenbed]]+Montageplatten[[#This Row],[konf MPH]]=2,1,0)</f>
        <v>0</v>
      </c>
      <c r="AP112" s="34" t="str">
        <f ca="1">Sprache!$A$136</f>
        <v>1D Kreuz Mtg-Platte</v>
      </c>
      <c r="AQ112" t="str">
        <f ca="1">"H 21, "&amp;Sprache!A71&amp;", ni /37"</f>
        <v>H 21, vorm. Euro, ni /37</v>
      </c>
      <c r="AR112" t="str">
        <f ca="1">Sprache!$A$134</f>
        <v>Tiomos Montageplatten</v>
      </c>
      <c r="AS112" s="18">
        <v>1</v>
      </c>
      <c r="AT112" s="18">
        <v>0</v>
      </c>
      <c r="AU112" s="18">
        <v>0</v>
      </c>
      <c r="AV112" s="18">
        <v>0</v>
      </c>
      <c r="AW112" s="2">
        <v>0</v>
      </c>
      <c r="AX112" s="2">
        <v>0</v>
      </c>
      <c r="AY112" s="2">
        <v>0</v>
      </c>
      <c r="AZ112" s="2">
        <v>1</v>
      </c>
      <c r="BA112" s="2">
        <v>0</v>
      </c>
      <c r="BB112" s="2">
        <v>0</v>
      </c>
      <c r="BC112" s="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21</v>
      </c>
      <c r="BJ112" s="82" t="s">
        <v>842</v>
      </c>
    </row>
    <row r="113" spans="1:62" ht="13.5" customHeight="1" x14ac:dyDescent="0.25">
      <c r="A113" s="855" t="s">
        <v>880</v>
      </c>
      <c r="C113" s="855"/>
      <c r="D113" s="856"/>
      <c r="E113" s="856"/>
      <c r="F113" s="856"/>
      <c r="G113" s="856"/>
      <c r="H113" s="856"/>
      <c r="I113" s="856">
        <f>SUBTOTAL(104,Montageplatten[Kröpfung 3])</f>
        <v>0</v>
      </c>
      <c r="J113" s="856">
        <f>SUBTOTAL(104,Montageplatten[Kröpfung 0])</f>
        <v>1</v>
      </c>
      <c r="K113" s="856">
        <f>SUBTOTAL(104,Montageplatten[Kröpfung 9,5])</f>
        <v>1</v>
      </c>
      <c r="L113" s="856">
        <f>SUBTOTAL(104,Montageplatten[Kröpfung 19])</f>
        <v>1</v>
      </c>
      <c r="M113" s="856">
        <f ca="1">SUBTOTAL(104,Montageplatten[auswahl K])</f>
        <v>1</v>
      </c>
      <c r="N113" s="857">
        <f ca="1">SUBTOTAL(104,Montageplatten[Gesamt])</f>
        <v>1</v>
      </c>
      <c r="O113" s="858">
        <f>SUBTOTAL(109,Montageplatten[MPH Winkel])</f>
        <v>5</v>
      </c>
      <c r="P113" s="857"/>
      <c r="Q113" s="857"/>
      <c r="R113" s="857"/>
      <c r="S113" s="858">
        <f>SUBTOTAL(109,Montageplatten[Winkel_ges])</f>
        <v>1</v>
      </c>
      <c r="T113" s="859"/>
      <c r="U113" s="857"/>
      <c r="V113" s="857"/>
      <c r="W113" s="857"/>
      <c r="X113" s="857"/>
      <c r="Y113" s="857"/>
      <c r="Z113" s="857"/>
      <c r="AA113" s="857"/>
      <c r="AB113" s="857"/>
      <c r="AC113" s="857"/>
      <c r="AD113" s="857"/>
      <c r="AE113" s="857"/>
      <c r="AF113" s="857"/>
      <c r="AG113" s="857"/>
      <c r="AH113" s="857"/>
      <c r="AI113" s="857"/>
      <c r="AJ113" s="857"/>
      <c r="AK113" s="857"/>
      <c r="AL113" s="857"/>
      <c r="AM113" s="857"/>
      <c r="AN113" s="857"/>
      <c r="AO113" s="857"/>
      <c r="AP113" s="34"/>
      <c r="AQ113"/>
      <c r="AS113" s="18">
        <f>SUBTOTAL(109,Montageplatten[Kreuz])</f>
        <v>94</v>
      </c>
      <c r="AT113" s="18">
        <f>SUBTOTAL(109,Montageplatten[Linear])</f>
        <v>12</v>
      </c>
      <c r="AU113" s="18">
        <f>SUBTOTAL(109,Montageplatten[Delta])</f>
        <v>4</v>
      </c>
      <c r="AV113" s="18">
        <f>SUBTOTAL(109,Montageplatten[INSET])</f>
        <v>1</v>
      </c>
      <c r="AW113" s="2">
        <f>SUBTOTAL(109,Montageplatten[zum einpressen])</f>
        <v>17</v>
      </c>
      <c r="AX113" s="2">
        <f>SUBTOTAL(109,Montageplatten[zum anschrauben mit Holzschrauben])</f>
        <v>32</v>
      </c>
      <c r="AY113" s="2">
        <f>SUBTOTAL(109,Montageplatten[zum anschrauben mit Euroschrauben])</f>
        <v>8</v>
      </c>
      <c r="AZ113" s="2">
        <f>SUBTOTAL(109,Montageplatten[vorm. Euro '[13,5']])</f>
        <v>33</v>
      </c>
      <c r="BA113" s="2">
        <f>SUBTOTAL(109,Montageplatten[vorm. Euro '[10,5']])</f>
        <v>9</v>
      </c>
      <c r="BD113">
        <f>SUBTOTAL(109,Montageplatten[37/32])</f>
        <v>77</v>
      </c>
      <c r="BE113">
        <f>SUBTOTAL(109,Montageplatten[28/32])</f>
        <v>17</v>
      </c>
      <c r="BJ113" s="860">
        <f>SUBTOTAL(103,Montageplatten[Teil])</f>
        <v>111</v>
      </c>
    </row>
  </sheetData>
  <pageMargins left="0.7" right="0.7" top="0.78740157499999996" bottom="0.78740157499999996" header="0.3" footer="0.3"/>
  <legacy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>
    <tabColor theme="3" tint="0.59999389629810485"/>
  </sheetPr>
  <dimension ref="A1:S308"/>
  <sheetViews>
    <sheetView topLeftCell="B1" workbookViewId="0">
      <pane ySplit="2" topLeftCell="A206" activePane="bottomLeft" state="frozen"/>
      <selection activeCell="B1" sqref="B1"/>
      <selection pane="bottomLeft" activeCell="F223" sqref="F223"/>
    </sheetView>
  </sheetViews>
  <sheetFormatPr baseColWidth="10" defaultRowHeight="15" x14ac:dyDescent="0.25"/>
  <cols>
    <col min="1" max="1" width="26.140625" customWidth="1"/>
    <col min="2" max="2" width="11.42578125" style="906"/>
    <col min="3" max="3" width="60.5703125" style="894" customWidth="1"/>
    <col min="4" max="4" width="18" customWidth="1"/>
    <col min="5" max="5" width="11.42578125" customWidth="1"/>
    <col min="6" max="6" width="16.7109375" customWidth="1"/>
    <col min="7" max="7" width="13" customWidth="1"/>
    <col min="8" max="11" width="11.42578125" customWidth="1"/>
    <col min="12" max="12" width="11.42578125" style="782" customWidth="1"/>
    <col min="13" max="13" width="11.42578125" customWidth="1"/>
  </cols>
  <sheetData>
    <row r="1" spans="1:19" x14ac:dyDescent="0.25">
      <c r="C1" s="894">
        <v>1</v>
      </c>
      <c r="D1">
        <v>1</v>
      </c>
      <c r="E1">
        <v>1</v>
      </c>
      <c r="H1">
        <v>1</v>
      </c>
      <c r="I1">
        <v>1</v>
      </c>
      <c r="J1">
        <v>1</v>
      </c>
      <c r="K1">
        <v>1</v>
      </c>
      <c r="L1" s="782">
        <v>0</v>
      </c>
      <c r="M1">
        <v>0</v>
      </c>
    </row>
    <row r="2" spans="1:19" x14ac:dyDescent="0.25">
      <c r="C2" s="913" t="s">
        <v>17</v>
      </c>
      <c r="D2" s="914" t="s">
        <v>914</v>
      </c>
      <c r="E2" s="914" t="s">
        <v>915</v>
      </c>
      <c r="F2" s="914" t="s">
        <v>917</v>
      </c>
      <c r="G2" s="914" t="s">
        <v>2905</v>
      </c>
      <c r="H2" s="914" t="s">
        <v>2904</v>
      </c>
      <c r="I2" s="914" t="s">
        <v>2712</v>
      </c>
      <c r="J2" s="914" t="s">
        <v>919</v>
      </c>
      <c r="K2" s="914" t="s">
        <v>984</v>
      </c>
      <c r="L2" s="914" t="s">
        <v>921</v>
      </c>
      <c r="M2" s="4" t="s">
        <v>916</v>
      </c>
    </row>
    <row r="3" spans="1:19" ht="15.75" thickBot="1" x14ac:dyDescent="0.3">
      <c r="B3" s="911">
        <v>1</v>
      </c>
      <c r="C3" s="894">
        <v>1</v>
      </c>
      <c r="D3" s="34">
        <v>2</v>
      </c>
      <c r="E3" s="34">
        <v>3</v>
      </c>
      <c r="H3" s="34">
        <v>5</v>
      </c>
      <c r="I3" s="34">
        <v>11</v>
      </c>
      <c r="J3" s="34">
        <v>12</v>
      </c>
      <c r="K3" s="34">
        <v>9</v>
      </c>
      <c r="L3" s="890">
        <v>10</v>
      </c>
      <c r="M3" s="34">
        <v>4</v>
      </c>
      <c r="N3" s="34">
        <v>12</v>
      </c>
      <c r="O3" s="34">
        <v>13</v>
      </c>
      <c r="P3" s="34">
        <v>14</v>
      </c>
      <c r="Q3" s="34">
        <v>15</v>
      </c>
    </row>
    <row r="4" spans="1:19" x14ac:dyDescent="0.25">
      <c r="A4" s="902" t="str">
        <f t="shared" ref="A4:A20" ca="1" si="0">OFFSET(B4,0,$B$3,1,1)</f>
        <v>Deutsch</v>
      </c>
      <c r="B4" s="906">
        <v>1</v>
      </c>
      <c r="C4" s="895" t="s">
        <v>17</v>
      </c>
      <c r="D4" t="s">
        <v>19</v>
      </c>
      <c r="E4" s="890" t="s">
        <v>929</v>
      </c>
      <c r="F4" s="34" t="s">
        <v>932</v>
      </c>
      <c r="G4" s="34" t="s">
        <v>3376</v>
      </c>
      <c r="H4" s="890" t="s">
        <v>931</v>
      </c>
      <c r="I4" t="s">
        <v>2528</v>
      </c>
      <c r="J4" t="s">
        <v>933</v>
      </c>
      <c r="K4" t="s">
        <v>934</v>
      </c>
      <c r="L4" t="s">
        <v>3692</v>
      </c>
      <c r="M4" t="s">
        <v>930</v>
      </c>
      <c r="S4" t="s">
        <v>17</v>
      </c>
    </row>
    <row r="5" spans="1:19" x14ac:dyDescent="0.25">
      <c r="A5" s="903" t="str">
        <f t="shared" ca="1" si="0"/>
        <v>Englisch</v>
      </c>
      <c r="B5" s="906">
        <v>2</v>
      </c>
      <c r="C5" s="895" t="s">
        <v>914</v>
      </c>
      <c r="D5" t="s">
        <v>935</v>
      </c>
      <c r="E5" s="890" t="s">
        <v>936</v>
      </c>
      <c r="F5" t="s">
        <v>939</v>
      </c>
      <c r="G5" t="s">
        <v>3377</v>
      </c>
      <c r="H5" s="890" t="s">
        <v>938</v>
      </c>
      <c r="I5" t="s">
        <v>2529</v>
      </c>
      <c r="J5" t="s">
        <v>940</v>
      </c>
      <c r="K5" t="s">
        <v>941</v>
      </c>
      <c r="L5" t="s">
        <v>3693</v>
      </c>
      <c r="M5" t="s">
        <v>937</v>
      </c>
      <c r="S5" t="s">
        <v>914</v>
      </c>
    </row>
    <row r="6" spans="1:19" x14ac:dyDescent="0.25">
      <c r="A6" s="903" t="str">
        <f ca="1">OFFSET(B6,0,$B$3,1,1)</f>
        <v>Schwedisch</v>
      </c>
      <c r="B6" s="906">
        <v>3</v>
      </c>
      <c r="C6" s="895" t="s">
        <v>915</v>
      </c>
      <c r="D6" t="s">
        <v>942</v>
      </c>
      <c r="E6" s="890" t="s">
        <v>943</v>
      </c>
      <c r="F6" t="s">
        <v>946</v>
      </c>
      <c r="G6" t="s">
        <v>946</v>
      </c>
      <c r="H6" s="890" t="s">
        <v>945</v>
      </c>
      <c r="I6" t="s">
        <v>2530</v>
      </c>
      <c r="J6" s="782" t="s">
        <v>947</v>
      </c>
      <c r="K6" t="s">
        <v>948</v>
      </c>
      <c r="L6" t="s">
        <v>3694</v>
      </c>
      <c r="M6" t="s">
        <v>944</v>
      </c>
      <c r="S6" t="s">
        <v>915</v>
      </c>
    </row>
    <row r="7" spans="1:19" x14ac:dyDescent="0.25">
      <c r="A7" s="903" t="str">
        <f ca="1">OFFSET(B7,0,$B$3,1,1)</f>
        <v>Spanisch</v>
      </c>
      <c r="B7" s="906">
        <v>4</v>
      </c>
      <c r="C7" s="895" t="s">
        <v>917</v>
      </c>
      <c r="D7" t="s">
        <v>962</v>
      </c>
      <c r="E7" s="890" t="s">
        <v>963</v>
      </c>
      <c r="F7" t="s">
        <v>967</v>
      </c>
      <c r="G7" t="s">
        <v>966</v>
      </c>
      <c r="H7" s="890" t="s">
        <v>965</v>
      </c>
      <c r="I7" t="s">
        <v>2533</v>
      </c>
      <c r="J7" t="s">
        <v>968</v>
      </c>
      <c r="K7" t="s">
        <v>969</v>
      </c>
      <c r="L7" t="s">
        <v>3697</v>
      </c>
      <c r="M7" t="s">
        <v>964</v>
      </c>
      <c r="S7" t="s">
        <v>916</v>
      </c>
    </row>
    <row r="8" spans="1:19" x14ac:dyDescent="0.25">
      <c r="A8" s="903" t="str">
        <f ca="1">OFFSET(B8,0,$B$3,1,1)</f>
        <v>Portugiesisch</v>
      </c>
      <c r="B8" s="906">
        <v>5</v>
      </c>
      <c r="C8" s="895" t="s">
        <v>918</v>
      </c>
      <c r="D8" t="s">
        <v>970</v>
      </c>
      <c r="E8" s="890" t="s">
        <v>971</v>
      </c>
      <c r="F8" t="s">
        <v>975</v>
      </c>
      <c r="G8" t="s">
        <v>974</v>
      </c>
      <c r="H8" s="890" t="s">
        <v>973</v>
      </c>
      <c r="I8" t="s">
        <v>2534</v>
      </c>
      <c r="J8" t="s">
        <v>976</v>
      </c>
      <c r="K8" t="s">
        <v>977</v>
      </c>
      <c r="L8" t="s">
        <v>3698</v>
      </c>
      <c r="M8" t="s">
        <v>972</v>
      </c>
      <c r="S8" t="s">
        <v>3861</v>
      </c>
    </row>
    <row r="9" spans="1:19" x14ac:dyDescent="0.25">
      <c r="A9" s="903" t="str">
        <f t="shared" ca="1" si="0"/>
        <v>Französisch</v>
      </c>
      <c r="B9" s="906">
        <v>6</v>
      </c>
      <c r="C9" s="895" t="s">
        <v>2904</v>
      </c>
      <c r="D9" t="s">
        <v>955</v>
      </c>
      <c r="E9" s="890" t="s">
        <v>956</v>
      </c>
      <c r="F9" t="s">
        <v>959</v>
      </c>
      <c r="G9" t="s">
        <v>959</v>
      </c>
      <c r="H9" s="890" t="s">
        <v>958</v>
      </c>
      <c r="I9" t="s">
        <v>2532</v>
      </c>
      <c r="J9" t="s">
        <v>960</v>
      </c>
      <c r="K9" t="s">
        <v>961</v>
      </c>
      <c r="L9" t="s">
        <v>3696</v>
      </c>
      <c r="M9" t="s">
        <v>957</v>
      </c>
      <c r="S9" t="s">
        <v>917</v>
      </c>
    </row>
    <row r="10" spans="1:19" x14ac:dyDescent="0.25">
      <c r="A10" s="903" t="str">
        <f t="shared" ca="1" si="0"/>
        <v>Polnisch</v>
      </c>
      <c r="B10" s="906">
        <v>7</v>
      </c>
      <c r="C10" s="895" t="s">
        <v>2712</v>
      </c>
      <c r="D10" s="72" t="s">
        <v>2713</v>
      </c>
      <c r="E10" s="916" t="s">
        <v>3544</v>
      </c>
      <c r="F10" s="3" t="s">
        <v>3542</v>
      </c>
      <c r="G10" s="3" t="s">
        <v>3543</v>
      </c>
      <c r="H10" t="s">
        <v>3545</v>
      </c>
      <c r="I10" t="s">
        <v>2538</v>
      </c>
      <c r="J10" s="3" t="s">
        <v>2903</v>
      </c>
      <c r="K10" s="915" t="s">
        <v>3541</v>
      </c>
      <c r="L10" t="s">
        <v>3702</v>
      </c>
      <c r="M10" s="820" t="s">
        <v>3375</v>
      </c>
      <c r="S10" t="s">
        <v>918</v>
      </c>
    </row>
    <row r="11" spans="1:19" x14ac:dyDescent="0.25">
      <c r="A11" s="903" t="str">
        <f ca="1">OFFSET(B11,0,$B$3,1,1)</f>
        <v>Türkisch</v>
      </c>
      <c r="B11" s="906">
        <v>8</v>
      </c>
      <c r="C11" s="895" t="s">
        <v>919</v>
      </c>
      <c r="D11" t="s">
        <v>978</v>
      </c>
      <c r="E11" s="890" t="s">
        <v>979</v>
      </c>
      <c r="F11" s="72" t="s">
        <v>980</v>
      </c>
      <c r="G11" s="72" t="s">
        <v>980</v>
      </c>
      <c r="H11" s="890" t="s">
        <v>981</v>
      </c>
      <c r="I11" t="s">
        <v>2535</v>
      </c>
      <c r="J11" t="s">
        <v>982</v>
      </c>
      <c r="K11" t="s">
        <v>983</v>
      </c>
      <c r="L11" t="s">
        <v>3699</v>
      </c>
      <c r="M11" t="s">
        <v>980</v>
      </c>
      <c r="S11" t="s">
        <v>919</v>
      </c>
    </row>
    <row r="12" spans="1:19" x14ac:dyDescent="0.25">
      <c r="A12" s="903" t="str">
        <f ca="1">OFFSET(B12,0,$B$3,1,1)</f>
        <v>Chinesisch</v>
      </c>
      <c r="B12" s="906">
        <v>9</v>
      </c>
      <c r="C12" s="895" t="s">
        <v>984</v>
      </c>
      <c r="D12" t="s">
        <v>985</v>
      </c>
      <c r="E12" s="890" t="s">
        <v>986</v>
      </c>
      <c r="F12" t="s">
        <v>990</v>
      </c>
      <c r="G12" t="s">
        <v>989</v>
      </c>
      <c r="H12" s="890" t="s">
        <v>988</v>
      </c>
      <c r="I12" t="s">
        <v>2536</v>
      </c>
      <c r="J12" t="s">
        <v>991</v>
      </c>
      <c r="K12" t="s">
        <v>920</v>
      </c>
      <c r="L12" t="s">
        <v>3700</v>
      </c>
      <c r="M12" t="s">
        <v>987</v>
      </c>
      <c r="S12" t="s">
        <v>984</v>
      </c>
    </row>
    <row r="13" spans="1:19" x14ac:dyDescent="0.25">
      <c r="A13" s="903" t="str">
        <f t="shared" ca="1" si="0"/>
        <v>Russisch</v>
      </c>
      <c r="B13" s="906">
        <v>11</v>
      </c>
      <c r="C13" s="895" t="s">
        <v>921</v>
      </c>
      <c r="D13" t="s">
        <v>992</v>
      </c>
      <c r="E13" s="890" t="s">
        <v>993</v>
      </c>
      <c r="F13" t="s">
        <v>994</v>
      </c>
      <c r="G13" t="s">
        <v>996</v>
      </c>
      <c r="H13" s="890" t="s">
        <v>995</v>
      </c>
      <c r="I13" t="s">
        <v>2537</v>
      </c>
      <c r="J13" s="782" t="s">
        <v>997</v>
      </c>
      <c r="K13" t="s">
        <v>998</v>
      </c>
      <c r="L13" t="s">
        <v>3701</v>
      </c>
      <c r="M13" t="s">
        <v>994</v>
      </c>
      <c r="S13" t="s">
        <v>921</v>
      </c>
    </row>
    <row r="14" spans="1:19" x14ac:dyDescent="0.25">
      <c r="A14" s="903" t="str">
        <f ca="1">OFFSET(B14,0,$B$3,1,1)</f>
        <v>Italienisch</v>
      </c>
      <c r="B14" s="906">
        <v>10</v>
      </c>
      <c r="C14" s="895" t="s">
        <v>916</v>
      </c>
      <c r="D14" t="s">
        <v>949</v>
      </c>
      <c r="E14" s="890" t="s">
        <v>950</v>
      </c>
      <c r="F14" t="s">
        <v>951</v>
      </c>
      <c r="G14" t="s">
        <v>951</v>
      </c>
      <c r="H14" s="890" t="s">
        <v>952</v>
      </c>
      <c r="I14" t="s">
        <v>2531</v>
      </c>
      <c r="J14" t="s">
        <v>953</v>
      </c>
      <c r="K14" t="s">
        <v>954</v>
      </c>
      <c r="L14" t="s">
        <v>3695</v>
      </c>
      <c r="M14" t="s">
        <v>951</v>
      </c>
      <c r="S14" t="s">
        <v>2712</v>
      </c>
    </row>
    <row r="15" spans="1:19" x14ac:dyDescent="0.25">
      <c r="A15" s="904" t="str">
        <f t="shared" ca="1" si="0"/>
        <v>Sprache 12</v>
      </c>
      <c r="B15" s="906">
        <v>12</v>
      </c>
      <c r="C15" s="895" t="s">
        <v>861</v>
      </c>
      <c r="D15" t="s">
        <v>2342</v>
      </c>
      <c r="E15" s="890" t="s">
        <v>3205</v>
      </c>
      <c r="F15" t="s">
        <v>3537</v>
      </c>
      <c r="G15" t="s">
        <v>3537</v>
      </c>
      <c r="H15" s="890" t="s">
        <v>3059</v>
      </c>
      <c r="I15" t="s">
        <v>2539</v>
      </c>
      <c r="J15" s="754" t="s">
        <v>2901</v>
      </c>
      <c r="K15" t="s">
        <v>3371</v>
      </c>
    </row>
    <row r="16" spans="1:19" x14ac:dyDescent="0.25">
      <c r="A16" s="904" t="str">
        <f t="shared" ca="1" si="0"/>
        <v>Sprache 13</v>
      </c>
      <c r="B16" s="906">
        <v>13</v>
      </c>
      <c r="C16" s="895" t="s">
        <v>862</v>
      </c>
      <c r="D16" t="s">
        <v>2343</v>
      </c>
      <c r="E16" s="890" t="s">
        <v>3206</v>
      </c>
      <c r="F16" t="s">
        <v>3538</v>
      </c>
      <c r="G16" t="s">
        <v>3538</v>
      </c>
      <c r="H16" s="890" t="s">
        <v>3060</v>
      </c>
      <c r="I16" t="s">
        <v>2540</v>
      </c>
      <c r="J16" s="754" t="s">
        <v>2902</v>
      </c>
      <c r="K16" t="s">
        <v>3372</v>
      </c>
    </row>
    <row r="17" spans="1:14" s="6" customFormat="1" x14ac:dyDescent="0.25">
      <c r="A17" s="905" t="str">
        <f t="shared" ca="1" si="0"/>
        <v>Sprache 14</v>
      </c>
      <c r="B17" s="907">
        <v>14</v>
      </c>
      <c r="C17" s="896" t="s">
        <v>863</v>
      </c>
      <c r="D17" s="6" t="s">
        <v>2344</v>
      </c>
      <c r="E17" s="889" t="s">
        <v>3207</v>
      </c>
      <c r="F17" s="6" t="s">
        <v>3539</v>
      </c>
      <c r="G17" s="6" t="s">
        <v>3539</v>
      </c>
      <c r="H17" s="889" t="s">
        <v>3061</v>
      </c>
      <c r="I17" s="6" t="s">
        <v>2541</v>
      </c>
      <c r="J17" s="889" t="s">
        <v>2900</v>
      </c>
      <c r="K17" s="893" t="s">
        <v>3373</v>
      </c>
      <c r="L17" s="918"/>
    </row>
    <row r="18" spans="1:14" s="672" customFormat="1" x14ac:dyDescent="0.25">
      <c r="A18" s="672" t="str">
        <f t="shared" ca="1" si="0"/>
        <v>Sprache</v>
      </c>
      <c r="B18" s="907">
        <v>15</v>
      </c>
      <c r="C18" s="896" t="s">
        <v>18</v>
      </c>
      <c r="D18" s="672" t="s">
        <v>2345</v>
      </c>
      <c r="E18" s="889" t="s">
        <v>922</v>
      </c>
      <c r="F18" s="893" t="s">
        <v>925</v>
      </c>
      <c r="G18" s="893" t="s">
        <v>925</v>
      </c>
      <c r="H18" s="889" t="s">
        <v>924</v>
      </c>
      <c r="I18" s="672" t="s">
        <v>2542</v>
      </c>
      <c r="J18" s="889" t="s">
        <v>926</v>
      </c>
      <c r="K18" s="893" t="s">
        <v>927</v>
      </c>
      <c r="L18" s="889" t="s">
        <v>928</v>
      </c>
      <c r="M18" s="672" t="s">
        <v>923</v>
      </c>
    </row>
    <row r="19" spans="1:14" s="8" customFormat="1" x14ac:dyDescent="0.25">
      <c r="A19" s="8" t="str">
        <f t="shared" ca="1" si="0"/>
        <v>Achtung: Version ist nicht aktuell</v>
      </c>
      <c r="B19" s="906">
        <v>16</v>
      </c>
      <c r="C19" s="897" t="s">
        <v>2251</v>
      </c>
      <c r="D19" s="8" t="s">
        <v>2362</v>
      </c>
      <c r="E19" s="8" t="s">
        <v>3062</v>
      </c>
      <c r="F19" s="891" t="s">
        <v>3378</v>
      </c>
      <c r="G19" s="891" t="s">
        <v>3877</v>
      </c>
      <c r="H19" s="891" t="s">
        <v>2906</v>
      </c>
      <c r="I19" s="8" t="s">
        <v>2543</v>
      </c>
      <c r="J19" s="8" t="s">
        <v>2740</v>
      </c>
      <c r="K19" s="8" t="s">
        <v>3208</v>
      </c>
      <c r="L19" s="754" t="s">
        <v>3549</v>
      </c>
      <c r="M19" s="8" t="s">
        <v>3703</v>
      </c>
      <c r="N19" s="868" t="s">
        <v>1916</v>
      </c>
    </row>
    <row r="20" spans="1:14" s="8" customFormat="1" x14ac:dyDescent="0.25">
      <c r="A20" s="8" t="str">
        <f t="shared" ca="1" si="0"/>
        <v>Sie finden hier zum download die aktuelle Version</v>
      </c>
      <c r="B20" s="906">
        <v>17</v>
      </c>
      <c r="C20" s="897" t="s">
        <v>2250</v>
      </c>
      <c r="D20" s="8" t="s">
        <v>2363</v>
      </c>
      <c r="E20" s="8" t="s">
        <v>3063</v>
      </c>
      <c r="F20" s="891" t="s">
        <v>3379</v>
      </c>
      <c r="G20" s="891" t="s">
        <v>3878</v>
      </c>
      <c r="H20" s="891" t="s">
        <v>2907</v>
      </c>
      <c r="I20" s="8" t="s">
        <v>2544</v>
      </c>
      <c r="J20" s="8" t="s">
        <v>2741</v>
      </c>
      <c r="K20" s="8" t="s">
        <v>3209</v>
      </c>
      <c r="L20" s="754" t="s">
        <v>3550</v>
      </c>
      <c r="M20" s="8" t="s">
        <v>3704</v>
      </c>
      <c r="N20" s="868" t="s">
        <v>3374</v>
      </c>
    </row>
    <row r="21" spans="1:14" s="8" customFormat="1" x14ac:dyDescent="0.25">
      <c r="A21" s="8" t="str">
        <f t="shared" ref="A21:A30" ca="1" si="1">OFFSET(B21,0,$B$3,1,1)</f>
        <v xml:space="preserve">Änderungen, Fehler und Irrtümer vorbehalten. Die Nutzung des Konfigurators erfolgt auf eigenes Risiko. </v>
      </c>
      <c r="B21" s="906">
        <v>18</v>
      </c>
      <c r="C21" s="897" t="s">
        <v>2259</v>
      </c>
      <c r="D21" s="8" t="s">
        <v>2364</v>
      </c>
      <c r="E21" s="8" t="s">
        <v>3064</v>
      </c>
      <c r="F21" s="891" t="s">
        <v>3380</v>
      </c>
      <c r="G21" s="891" t="s">
        <v>3879</v>
      </c>
      <c r="H21" s="891" t="s">
        <v>2908</v>
      </c>
      <c r="I21" s="8" t="s">
        <v>2545</v>
      </c>
      <c r="J21" s="8" t="s">
        <v>2742</v>
      </c>
      <c r="K21" s="8" t="s">
        <v>3210</v>
      </c>
      <c r="L21" s="754" t="s">
        <v>3551</v>
      </c>
      <c r="M21" s="8" t="s">
        <v>3705</v>
      </c>
      <c r="N21" s="891" t="s">
        <v>3374</v>
      </c>
    </row>
    <row r="22" spans="1:14" s="8" customFormat="1" x14ac:dyDescent="0.25">
      <c r="A22" s="8" t="str">
        <f t="shared" ca="1" si="1"/>
        <v xml:space="preserve">Haftungsansprüche gegenüber Grass GmbH &amp; Co. KG sind ausgeschlossen. Es handelt sich um unverbindliche Empfehlungen. </v>
      </c>
      <c r="B22" s="906">
        <v>19</v>
      </c>
      <c r="C22" s="897" t="s">
        <v>2260</v>
      </c>
      <c r="D22" s="8" t="s">
        <v>2365</v>
      </c>
      <c r="E22" s="8" t="s">
        <v>3065</v>
      </c>
      <c r="F22" s="891" t="s">
        <v>3381</v>
      </c>
      <c r="G22" s="891" t="s">
        <v>3880</v>
      </c>
      <c r="H22" s="891" t="s">
        <v>2909</v>
      </c>
      <c r="I22" s="8" t="s">
        <v>2546</v>
      </c>
      <c r="J22" s="8" t="s">
        <v>2743</v>
      </c>
      <c r="L22" s="754" t="s">
        <v>3552</v>
      </c>
      <c r="M22" s="8" t="s">
        <v>3706</v>
      </c>
      <c r="N22" s="868" t="s">
        <v>1916</v>
      </c>
    </row>
    <row r="23" spans="1:14" s="8" customFormat="1" x14ac:dyDescent="0.25">
      <c r="A23" s="8" t="str">
        <f t="shared" ca="1" si="1"/>
        <v>± 5° Keile und Zubehör sind nicht berücksichtigt.</v>
      </c>
      <c r="B23" s="906">
        <v>20</v>
      </c>
      <c r="C23" s="897" t="s">
        <v>2519</v>
      </c>
      <c r="D23" s="8" t="s">
        <v>2520</v>
      </c>
      <c r="E23" s="8" t="s">
        <v>3066</v>
      </c>
      <c r="F23" s="891" t="s">
        <v>3382</v>
      </c>
      <c r="G23" s="891" t="s">
        <v>3881</v>
      </c>
      <c r="H23" s="891" t="s">
        <v>2910</v>
      </c>
      <c r="I23" s="8" t="s">
        <v>2547</v>
      </c>
      <c r="J23" s="8" t="s">
        <v>2744</v>
      </c>
      <c r="K23" s="8" t="s">
        <v>3211</v>
      </c>
      <c r="L23" s="754" t="s">
        <v>3553</v>
      </c>
      <c r="M23" s="8" t="s">
        <v>3707</v>
      </c>
      <c r="N23" s="868" t="s">
        <v>1916</v>
      </c>
    </row>
    <row r="24" spans="1:14" s="8" customFormat="1" x14ac:dyDescent="0.25">
      <c r="A24" s="8" t="str">
        <f t="shared" ca="1" si="1"/>
        <v xml:space="preserve">Mindestfuge für Türen mit angefasten Kanten (R=1 mm) bei Werkseinstellung. </v>
      </c>
      <c r="B24" s="906">
        <v>21</v>
      </c>
      <c r="C24" s="897" t="s">
        <v>2255</v>
      </c>
      <c r="D24" s="8" t="s">
        <v>2366</v>
      </c>
      <c r="E24" s="8" t="s">
        <v>3067</v>
      </c>
      <c r="F24" s="891" t="s">
        <v>3383</v>
      </c>
      <c r="G24" s="891" t="s">
        <v>3882</v>
      </c>
      <c r="H24" s="891" t="s">
        <v>2911</v>
      </c>
      <c r="I24" s="8" t="s">
        <v>2714</v>
      </c>
      <c r="J24" s="8" t="s">
        <v>2745</v>
      </c>
      <c r="K24" s="8" t="s">
        <v>3212</v>
      </c>
      <c r="L24" s="754" t="s">
        <v>3554</v>
      </c>
      <c r="M24" s="8" t="s">
        <v>3708</v>
      </c>
      <c r="N24" s="868" t="s">
        <v>1916</v>
      </c>
    </row>
    <row r="25" spans="1:14" s="8" customFormat="1" x14ac:dyDescent="0.25">
      <c r="A25" s="8" t="str">
        <f t="shared" ca="1" si="1"/>
        <v xml:space="preserve">Scharniermaße und Fugenberechnung bei Werkseinstellung. </v>
      </c>
      <c r="B25" s="906">
        <v>22</v>
      </c>
      <c r="C25" s="897" t="s">
        <v>2256</v>
      </c>
      <c r="D25" s="8" t="s">
        <v>2367</v>
      </c>
      <c r="E25" s="8" t="s">
        <v>3068</v>
      </c>
      <c r="F25" s="891" t="s">
        <v>3384</v>
      </c>
      <c r="G25" s="891" t="s">
        <v>3883</v>
      </c>
      <c r="H25" s="891" t="s">
        <v>2912</v>
      </c>
      <c r="I25" s="8" t="s">
        <v>2715</v>
      </c>
      <c r="J25" s="8" t="s">
        <v>2746</v>
      </c>
      <c r="K25" s="8" t="s">
        <v>3213</v>
      </c>
      <c r="L25" s="754" t="s">
        <v>3555</v>
      </c>
      <c r="M25" s="8" t="s">
        <v>3709</v>
      </c>
      <c r="N25" s="868" t="s">
        <v>1916</v>
      </c>
    </row>
    <row r="26" spans="1:14" s="8" customFormat="1" x14ac:dyDescent="0.25">
      <c r="A26" s="8" t="str">
        <f t="shared" ca="1" si="1"/>
        <v xml:space="preserve">Wir empfehlen einen Probeanschlag. Bei Fragen oder Unklarheiten kontaktieren Sie bitte unsere Fachleute. </v>
      </c>
      <c r="B26" s="906">
        <v>23</v>
      </c>
      <c r="C26" s="897" t="s">
        <v>2254</v>
      </c>
      <c r="D26" s="8" t="s">
        <v>2368</v>
      </c>
      <c r="E26" s="8" t="s">
        <v>3069</v>
      </c>
      <c r="F26" s="891" t="s">
        <v>3385</v>
      </c>
      <c r="G26" s="891" t="s">
        <v>3884</v>
      </c>
      <c r="H26" s="891" t="s">
        <v>2913</v>
      </c>
      <c r="I26" s="8" t="s">
        <v>2716</v>
      </c>
      <c r="J26" s="8" t="s">
        <v>2747</v>
      </c>
      <c r="K26" s="8" t="s">
        <v>3214</v>
      </c>
      <c r="L26" s="754" t="s">
        <v>3556</v>
      </c>
      <c r="M26" s="8" t="s">
        <v>3710</v>
      </c>
      <c r="N26" s="868" t="s">
        <v>1916</v>
      </c>
    </row>
    <row r="27" spans="1:14" s="8" customFormat="1" x14ac:dyDescent="0.25">
      <c r="A27" s="8" t="str">
        <f t="shared" ca="1" si="1"/>
        <v xml:space="preserve">erscheint als Kennzeichnung für eine Auswahl, die zu einer Produktempfehlung führt. </v>
      </c>
      <c r="B27" s="906">
        <v>24</v>
      </c>
      <c r="C27" s="897" t="s">
        <v>2258</v>
      </c>
      <c r="D27" s="8" t="s">
        <v>2369</v>
      </c>
      <c r="E27" s="8" t="s">
        <v>3070</v>
      </c>
      <c r="F27" s="891" t="s">
        <v>3386</v>
      </c>
      <c r="G27" s="891" t="s">
        <v>3885</v>
      </c>
      <c r="H27" s="891" t="s">
        <v>2914</v>
      </c>
      <c r="I27" s="8" t="s">
        <v>2548</v>
      </c>
      <c r="J27" s="8" t="s">
        <v>2748</v>
      </c>
      <c r="K27" s="8" t="s">
        <v>3215</v>
      </c>
      <c r="L27" s="754" t="s">
        <v>3557</v>
      </c>
      <c r="M27" s="8" t="s">
        <v>3711</v>
      </c>
      <c r="N27" s="868" t="s">
        <v>1916</v>
      </c>
    </row>
    <row r="28" spans="1:14" s="8" customFormat="1" x14ac:dyDescent="0.25">
      <c r="A28" s="8" t="str">
        <f t="shared" ca="1" si="1"/>
        <v>Texte in roter Farbe weisen auf Einstellungen hin, die verändert werden sollten, um eine Produktempfehlung zu erhalten.</v>
      </c>
      <c r="B28" s="906">
        <v>25</v>
      </c>
      <c r="C28" s="897" t="s">
        <v>2257</v>
      </c>
      <c r="D28" s="8" t="s">
        <v>2370</v>
      </c>
      <c r="E28" s="8" t="s">
        <v>3071</v>
      </c>
      <c r="F28" s="891" t="s">
        <v>3387</v>
      </c>
      <c r="G28" s="891" t="s">
        <v>3886</v>
      </c>
      <c r="H28" s="891" t="s">
        <v>2915</v>
      </c>
      <c r="I28" s="8" t="s">
        <v>2549</v>
      </c>
      <c r="J28" s="8" t="s">
        <v>2749</v>
      </c>
      <c r="K28" s="8" t="s">
        <v>3216</v>
      </c>
      <c r="L28" s="754" t="s">
        <v>3558</v>
      </c>
      <c r="M28" s="8" t="s">
        <v>3712</v>
      </c>
      <c r="N28" s="868" t="s">
        <v>1916</v>
      </c>
    </row>
    <row r="29" spans="1:14" s="8" customFormat="1" x14ac:dyDescent="0.25">
      <c r="A29" s="8" t="str">
        <f t="shared" ca="1" si="1"/>
        <v>Das angenommene, spezifische Gewicht entspricht einem Durchschnittswert.</v>
      </c>
      <c r="B29" s="906">
        <v>26</v>
      </c>
      <c r="C29" s="897" t="s">
        <v>2261</v>
      </c>
      <c r="D29" s="8" t="s">
        <v>2371</v>
      </c>
      <c r="E29" s="8" t="s">
        <v>3072</v>
      </c>
      <c r="F29" s="891" t="s">
        <v>3388</v>
      </c>
      <c r="G29" s="891" t="s">
        <v>3887</v>
      </c>
      <c r="H29" s="891" t="s">
        <v>2916</v>
      </c>
      <c r="I29" s="8" t="s">
        <v>2550</v>
      </c>
      <c r="J29" s="8" t="s">
        <v>2750</v>
      </c>
      <c r="K29" s="8" t="s">
        <v>3217</v>
      </c>
      <c r="L29" s="754" t="s">
        <v>3559</v>
      </c>
      <c r="M29" s="8" t="s">
        <v>3713</v>
      </c>
      <c r="N29" s="891" t="s">
        <v>3374</v>
      </c>
    </row>
    <row r="30" spans="1:14" s="8" customFormat="1" x14ac:dyDescent="0.25">
      <c r="A30" s="8" t="str">
        <f t="shared" ca="1" si="1"/>
        <v>Tatsächliche Werte können variieren. Wir empfehlen einen Probeanschlag.</v>
      </c>
      <c r="B30" s="906">
        <v>27</v>
      </c>
      <c r="C30" s="897" t="s">
        <v>2262</v>
      </c>
      <c r="D30" s="8" t="s">
        <v>2372</v>
      </c>
      <c r="E30" s="8" t="s">
        <v>3073</v>
      </c>
      <c r="F30" s="891" t="s">
        <v>3389</v>
      </c>
      <c r="G30" s="891" t="s">
        <v>3888</v>
      </c>
      <c r="H30" s="891" t="s">
        <v>2917</v>
      </c>
      <c r="I30" s="8" t="s">
        <v>2551</v>
      </c>
      <c r="J30" s="8" t="s">
        <v>2751</v>
      </c>
      <c r="K30" s="8" t="s">
        <v>3218</v>
      </c>
      <c r="L30" s="754" t="s">
        <v>3560</v>
      </c>
      <c r="M30" s="8" t="s">
        <v>3714</v>
      </c>
      <c r="N30" s="868" t="s">
        <v>1916</v>
      </c>
    </row>
    <row r="31" spans="1:14" s="8" customFormat="1" x14ac:dyDescent="0.25">
      <c r="A31" s="8" t="str">
        <f t="shared" ref="A31:A62" ca="1" si="2">OFFSET(B31,0,$B$3,1,1)</f>
        <v>Es sind Lösungen möglich! Bitte oben Auswahl ändern.</v>
      </c>
      <c r="B31" s="906">
        <v>28</v>
      </c>
      <c r="C31" s="897" t="s">
        <v>1824</v>
      </c>
      <c r="D31" s="8" t="s">
        <v>2373</v>
      </c>
      <c r="E31" s="8" t="s">
        <v>3074</v>
      </c>
      <c r="F31" s="891" t="s">
        <v>3390</v>
      </c>
      <c r="G31" s="891" t="s">
        <v>3889</v>
      </c>
      <c r="H31" s="891" t="s">
        <v>2918</v>
      </c>
      <c r="I31" s="8" t="s">
        <v>2717</v>
      </c>
      <c r="J31" s="8" t="s">
        <v>2752</v>
      </c>
      <c r="K31" s="8" t="s">
        <v>3219</v>
      </c>
      <c r="L31" s="754" t="s">
        <v>3561</v>
      </c>
      <c r="M31" s="8" t="s">
        <v>3715</v>
      </c>
      <c r="N31" s="891" t="s">
        <v>3374</v>
      </c>
    </row>
    <row r="32" spans="1:14" s="8" customFormat="1" x14ac:dyDescent="0.25">
      <c r="A32" s="8" t="str">
        <f t="shared" ca="1" si="2"/>
        <v>Ändern Sie Montageplattentyp, Befestigung oder Topfabstand</v>
      </c>
      <c r="B32" s="906">
        <v>29</v>
      </c>
      <c r="C32" s="897" t="s">
        <v>1380</v>
      </c>
      <c r="D32" s="8" t="s">
        <v>2374</v>
      </c>
      <c r="E32" s="8" t="s">
        <v>3075</v>
      </c>
      <c r="F32" s="891" t="s">
        <v>3391</v>
      </c>
      <c r="G32" s="891" t="s">
        <v>3890</v>
      </c>
      <c r="H32" s="891" t="s">
        <v>2919</v>
      </c>
      <c r="I32" s="8" t="s">
        <v>2718</v>
      </c>
      <c r="J32" s="8" t="s">
        <v>2753</v>
      </c>
      <c r="K32" s="8" t="s">
        <v>3220</v>
      </c>
      <c r="L32" s="754" t="s">
        <v>3562</v>
      </c>
      <c r="M32" s="8" t="s">
        <v>3716</v>
      </c>
      <c r="N32" s="891" t="s">
        <v>3374</v>
      </c>
    </row>
    <row r="33" spans="1:14" s="8" customFormat="1" x14ac:dyDescent="0.25">
      <c r="A33" s="8" t="str">
        <f t="shared" ca="1" si="2"/>
        <v>Nur anschrauben mit Holzschrauben möglich</v>
      </c>
      <c r="B33" s="906">
        <v>30</v>
      </c>
      <c r="C33" s="897" t="s">
        <v>1381</v>
      </c>
      <c r="D33" s="8" t="s">
        <v>2375</v>
      </c>
      <c r="E33" s="8" t="s">
        <v>3076</v>
      </c>
      <c r="F33" s="891" t="s">
        <v>3392</v>
      </c>
      <c r="G33" s="891" t="s">
        <v>3891</v>
      </c>
      <c r="H33" s="891" t="s">
        <v>2920</v>
      </c>
      <c r="I33" s="8" t="s">
        <v>2719</v>
      </c>
      <c r="J33" s="8" t="s">
        <v>2754</v>
      </c>
      <c r="K33" s="8" t="s">
        <v>3221</v>
      </c>
      <c r="L33" s="754" t="s">
        <v>3563</v>
      </c>
      <c r="M33" s="8" t="s">
        <v>3717</v>
      </c>
      <c r="N33" s="891" t="s">
        <v>3374</v>
      </c>
    </row>
    <row r="34" spans="1:14" s="8" customFormat="1" x14ac:dyDescent="0.25">
      <c r="A34" s="8" t="str">
        <f t="shared" ca="1" si="2"/>
        <v>Für Click-on Quick bitte Bohrbild 48/9 wählen</v>
      </c>
      <c r="B34" s="906">
        <v>31</v>
      </c>
      <c r="C34" s="897" t="s">
        <v>1369</v>
      </c>
      <c r="D34" s="8" t="s">
        <v>2376</v>
      </c>
      <c r="E34" s="8" t="s">
        <v>3077</v>
      </c>
      <c r="F34" s="891" t="s">
        <v>3393</v>
      </c>
      <c r="G34" s="891" t="s">
        <v>3892</v>
      </c>
      <c r="H34" s="891" t="s">
        <v>2921</v>
      </c>
      <c r="I34" s="8" t="s">
        <v>2720</v>
      </c>
      <c r="J34" s="8" t="s">
        <v>2755</v>
      </c>
      <c r="L34" s="754" t="s">
        <v>3564</v>
      </c>
      <c r="M34" s="8" t="s">
        <v>3718</v>
      </c>
      <c r="N34" s="891" t="s">
        <v>3374</v>
      </c>
    </row>
    <row r="35" spans="1:14" s="8" customFormat="1" x14ac:dyDescent="0.25">
      <c r="A35" s="8" t="str">
        <f t="shared" ca="1" si="2"/>
        <v>Versuchen Sie mit diesem</v>
      </c>
      <c r="B35" s="906">
        <v>32</v>
      </c>
      <c r="C35" s="897" t="s">
        <v>2207</v>
      </c>
      <c r="D35" s="8" t="s">
        <v>2377</v>
      </c>
      <c r="E35" s="8" t="s">
        <v>3078</v>
      </c>
      <c r="F35" s="891" t="s">
        <v>3394</v>
      </c>
      <c r="G35" s="891" t="s">
        <v>3893</v>
      </c>
      <c r="H35" s="891" t="s">
        <v>2922</v>
      </c>
      <c r="I35" s="8" t="s">
        <v>2552</v>
      </c>
      <c r="J35" s="8" t="s">
        <v>2756</v>
      </c>
      <c r="K35" s="8" t="s">
        <v>3222</v>
      </c>
      <c r="L35" s="754" t="s">
        <v>3565</v>
      </c>
      <c r="M35" s="8" t="s">
        <v>3719</v>
      </c>
      <c r="N35" s="891" t="s">
        <v>3374</v>
      </c>
    </row>
    <row r="36" spans="1:14" s="8" customFormat="1" x14ac:dyDescent="0.25">
      <c r="A36" s="8" t="str">
        <f t="shared" ca="1" si="2"/>
        <v>Dieses Scharnier ist nur ohne Soft-close auswählbar</v>
      </c>
      <c r="B36" s="906">
        <v>33</v>
      </c>
      <c r="C36" s="897" t="s">
        <v>2346</v>
      </c>
      <c r="D36" s="8" t="s">
        <v>2378</v>
      </c>
      <c r="E36" s="8" t="s">
        <v>3079</v>
      </c>
      <c r="F36" s="891" t="s">
        <v>3395</v>
      </c>
      <c r="G36" s="891" t="s">
        <v>3894</v>
      </c>
      <c r="H36" s="891" t="s">
        <v>2923</v>
      </c>
      <c r="I36" s="8" t="s">
        <v>2553</v>
      </c>
      <c r="J36" s="8" t="s">
        <v>2757</v>
      </c>
      <c r="K36" s="8" t="s">
        <v>3223</v>
      </c>
      <c r="L36" s="754" t="s">
        <v>3566</v>
      </c>
      <c r="M36" s="8" t="s">
        <v>3720</v>
      </c>
      <c r="N36" s="891" t="s">
        <v>3374</v>
      </c>
    </row>
    <row r="37" spans="1:14" s="8" customFormat="1" x14ac:dyDescent="0.25">
      <c r="A37" s="8" t="str">
        <f t="shared" ca="1" si="2"/>
        <v>Achtung ! Technisch schwierig umzusetzen.</v>
      </c>
      <c r="B37" s="906">
        <v>34</v>
      </c>
      <c r="C37" s="897" t="s">
        <v>2248</v>
      </c>
      <c r="D37" s="8" t="s">
        <v>2379</v>
      </c>
      <c r="E37" s="8" t="s">
        <v>3080</v>
      </c>
      <c r="F37" s="891" t="s">
        <v>3396</v>
      </c>
      <c r="G37" s="891" t="s">
        <v>3895</v>
      </c>
      <c r="H37" s="891" t="s">
        <v>2924</v>
      </c>
      <c r="I37" s="8" t="s">
        <v>2554</v>
      </c>
      <c r="J37" s="8" t="s">
        <v>2758</v>
      </c>
      <c r="K37" s="8" t="s">
        <v>3224</v>
      </c>
      <c r="L37" s="754" t="s">
        <v>3567</v>
      </c>
      <c r="M37" s="8" t="s">
        <v>3721</v>
      </c>
      <c r="N37" s="891" t="s">
        <v>3374</v>
      </c>
    </row>
    <row r="38" spans="1:14" s="8" customFormat="1" x14ac:dyDescent="0.25">
      <c r="A38" s="8" t="str">
        <f t="shared" ca="1" si="2"/>
        <v>Bitte Auswahl ändern!</v>
      </c>
      <c r="B38" s="906">
        <v>35</v>
      </c>
      <c r="C38" s="897" t="s">
        <v>1382</v>
      </c>
      <c r="D38" s="8" t="s">
        <v>2380</v>
      </c>
      <c r="E38" s="8" t="s">
        <v>3081</v>
      </c>
      <c r="F38" s="891" t="s">
        <v>3397</v>
      </c>
      <c r="G38" s="891" t="s">
        <v>3896</v>
      </c>
      <c r="H38" s="891" t="s">
        <v>2925</v>
      </c>
      <c r="I38" s="8" t="s">
        <v>2555</v>
      </c>
      <c r="J38" s="8" t="s">
        <v>2759</v>
      </c>
      <c r="K38" s="8" t="s">
        <v>3225</v>
      </c>
      <c r="L38" s="754" t="s">
        <v>3568</v>
      </c>
      <c r="M38" s="8" t="s">
        <v>3722</v>
      </c>
      <c r="N38" s="891" t="s">
        <v>3374</v>
      </c>
    </row>
    <row r="39" spans="1:14" s="8" customFormat="1" x14ac:dyDescent="0.25">
      <c r="A39" s="8" t="str">
        <f t="shared" ca="1" si="2"/>
        <v>Bitte nächst möglichen Wert einstellen</v>
      </c>
      <c r="B39" s="906">
        <v>36</v>
      </c>
      <c r="C39" s="895" t="s">
        <v>2228</v>
      </c>
      <c r="D39" s="8" t="s">
        <v>2381</v>
      </c>
      <c r="E39" s="8" t="s">
        <v>3082</v>
      </c>
      <c r="F39" s="891" t="s">
        <v>3398</v>
      </c>
      <c r="G39" s="891" t="s">
        <v>3897</v>
      </c>
      <c r="H39" s="891" t="s">
        <v>2926</v>
      </c>
      <c r="I39" s="8" t="s">
        <v>2556</v>
      </c>
      <c r="J39" s="8" t="s">
        <v>2760</v>
      </c>
      <c r="L39" s="754" t="s">
        <v>3569</v>
      </c>
      <c r="M39" s="8" t="s">
        <v>3723</v>
      </c>
      <c r="N39" s="891" t="s">
        <v>3374</v>
      </c>
    </row>
    <row r="40" spans="1:14" s="34" customFormat="1" x14ac:dyDescent="0.25">
      <c r="A40" s="8" t="str">
        <f t="shared" ca="1" si="2"/>
        <v>Bitte einen passenden Topfabstand auswählen</v>
      </c>
      <c r="B40" s="906">
        <v>37</v>
      </c>
      <c r="C40" s="895" t="s">
        <v>2204</v>
      </c>
      <c r="D40" s="8" t="s">
        <v>2382</v>
      </c>
      <c r="E40" s="8" t="s">
        <v>3083</v>
      </c>
      <c r="F40" s="891" t="s">
        <v>3399</v>
      </c>
      <c r="G40" s="891" t="s">
        <v>3898</v>
      </c>
      <c r="H40" s="891" t="s">
        <v>2927</v>
      </c>
      <c r="I40" s="8" t="s">
        <v>2557</v>
      </c>
      <c r="J40" s="8" t="s">
        <v>2761</v>
      </c>
      <c r="K40" s="8" t="s">
        <v>3226</v>
      </c>
      <c r="L40" s="890" t="s">
        <v>3570</v>
      </c>
      <c r="M40" s="34" t="s">
        <v>3724</v>
      </c>
      <c r="N40" s="891" t="s">
        <v>3374</v>
      </c>
    </row>
    <row r="41" spans="1:14" s="34" customFormat="1" x14ac:dyDescent="0.25">
      <c r="A41" s="8" t="str">
        <f t="shared" ca="1" si="2"/>
        <v>Bitte eine Türstärke auswählen</v>
      </c>
      <c r="B41" s="906">
        <v>38</v>
      </c>
      <c r="C41" s="895" t="s">
        <v>2017</v>
      </c>
      <c r="D41" s="8" t="s">
        <v>2383</v>
      </c>
      <c r="E41" s="8" t="s">
        <v>3084</v>
      </c>
      <c r="F41" s="891" t="s">
        <v>3400</v>
      </c>
      <c r="G41" s="891" t="s">
        <v>3899</v>
      </c>
      <c r="H41" s="891" t="s">
        <v>2928</v>
      </c>
      <c r="I41" s="8" t="s">
        <v>2558</v>
      </c>
      <c r="J41" s="8" t="s">
        <v>2762</v>
      </c>
      <c r="K41" s="8" t="s">
        <v>3227</v>
      </c>
      <c r="L41" s="890" t="s">
        <v>3571</v>
      </c>
      <c r="M41" s="34" t="s">
        <v>3725</v>
      </c>
      <c r="N41" s="891" t="s">
        <v>3374</v>
      </c>
    </row>
    <row r="42" spans="1:14" s="34" customFormat="1" x14ac:dyDescent="0.25">
      <c r="A42" s="8" t="str">
        <f t="shared" ca="1" si="2"/>
        <v>Bitte eine passende Türauflage auswählen</v>
      </c>
      <c r="B42" s="906">
        <v>39</v>
      </c>
      <c r="C42" s="895" t="s">
        <v>2205</v>
      </c>
      <c r="D42" s="8" t="s">
        <v>2384</v>
      </c>
      <c r="E42" s="8" t="s">
        <v>3085</v>
      </c>
      <c r="F42" s="891" t="s">
        <v>3401</v>
      </c>
      <c r="G42" s="891" t="s">
        <v>3900</v>
      </c>
      <c r="H42" s="891" t="s">
        <v>2929</v>
      </c>
      <c r="I42" s="8" t="s">
        <v>2559</v>
      </c>
      <c r="J42" s="8" t="s">
        <v>2763</v>
      </c>
      <c r="K42" s="8" t="s">
        <v>3228</v>
      </c>
      <c r="L42" s="890" t="s">
        <v>3572</v>
      </c>
      <c r="M42" s="34" t="s">
        <v>3726</v>
      </c>
      <c r="N42" s="891" t="s">
        <v>3374</v>
      </c>
    </row>
    <row r="43" spans="1:14" s="34" customFormat="1" x14ac:dyDescent="0.25">
      <c r="A43" s="8" t="str">
        <f t="shared" ca="1" si="2"/>
        <v>Bitte ein Bohrbild auswählen</v>
      </c>
      <c r="B43" s="906">
        <v>40</v>
      </c>
      <c r="C43" s="895" t="s">
        <v>2018</v>
      </c>
      <c r="D43" s="8" t="s">
        <v>2385</v>
      </c>
      <c r="E43" s="8" t="s">
        <v>3086</v>
      </c>
      <c r="F43" s="891" t="s">
        <v>3402</v>
      </c>
      <c r="G43" s="891" t="s">
        <v>3901</v>
      </c>
      <c r="H43" s="891" t="s">
        <v>2930</v>
      </c>
      <c r="I43" s="8" t="s">
        <v>2560</v>
      </c>
      <c r="J43" s="8" t="s">
        <v>2764</v>
      </c>
      <c r="K43" s="8" t="s">
        <v>3229</v>
      </c>
      <c r="L43" s="890" t="s">
        <v>3573</v>
      </c>
      <c r="M43" s="34" t="s">
        <v>3727</v>
      </c>
      <c r="N43" s="891" t="s">
        <v>3374</v>
      </c>
    </row>
    <row r="44" spans="1:14" s="34" customFormat="1" x14ac:dyDescent="0.25">
      <c r="A44" s="8" t="str">
        <f t="shared" ca="1" si="2"/>
        <v>Bitte die Scharnierbefestigung wählen</v>
      </c>
      <c r="B44" s="906">
        <v>41</v>
      </c>
      <c r="C44" s="895" t="s">
        <v>2019</v>
      </c>
      <c r="D44" s="8" t="s">
        <v>2386</v>
      </c>
      <c r="E44" s="8" t="s">
        <v>3087</v>
      </c>
      <c r="F44" s="891" t="s">
        <v>3403</v>
      </c>
      <c r="G44" s="891" t="s">
        <v>3902</v>
      </c>
      <c r="H44" s="891" t="s">
        <v>2931</v>
      </c>
      <c r="I44" s="8" t="s">
        <v>2561</v>
      </c>
      <c r="J44" s="8" t="s">
        <v>2765</v>
      </c>
      <c r="K44" s="8" t="s">
        <v>3230</v>
      </c>
      <c r="L44" s="890" t="s">
        <v>3574</v>
      </c>
      <c r="M44" s="34" t="s">
        <v>3728</v>
      </c>
      <c r="N44" s="891" t="s">
        <v>3374</v>
      </c>
    </row>
    <row r="45" spans="1:14" s="34" customFormat="1" x14ac:dyDescent="0.25">
      <c r="A45" s="8" t="str">
        <f t="shared" ca="1" si="2"/>
        <v>Bitte den Scharniertyp auswählen</v>
      </c>
      <c r="B45" s="906">
        <v>42</v>
      </c>
      <c r="C45" s="895" t="s">
        <v>2020</v>
      </c>
      <c r="D45" s="8" t="s">
        <v>2387</v>
      </c>
      <c r="E45" s="8" t="s">
        <v>3088</v>
      </c>
      <c r="F45" s="891" t="s">
        <v>3404</v>
      </c>
      <c r="G45" s="891" t="s">
        <v>3903</v>
      </c>
      <c r="H45" s="891" t="s">
        <v>2932</v>
      </c>
      <c r="I45" s="8" t="s">
        <v>2562</v>
      </c>
      <c r="J45" s="8" t="s">
        <v>2766</v>
      </c>
      <c r="K45" s="8" t="s">
        <v>3231</v>
      </c>
      <c r="L45" s="890" t="s">
        <v>3575</v>
      </c>
      <c r="M45" s="34" t="s">
        <v>3729</v>
      </c>
      <c r="N45" s="891" t="s">
        <v>3374</v>
      </c>
    </row>
    <row r="46" spans="1:14" s="34" customFormat="1" x14ac:dyDescent="0.25">
      <c r="A46" s="8" t="str">
        <f t="shared" ca="1" si="2"/>
        <v>Bitte den Winkel von der Tür zur Seite auswählen</v>
      </c>
      <c r="B46" s="906">
        <v>43</v>
      </c>
      <c r="C46" s="895" t="s">
        <v>2021</v>
      </c>
      <c r="D46" s="8" t="s">
        <v>2388</v>
      </c>
      <c r="E46" s="8" t="s">
        <v>3089</v>
      </c>
      <c r="F46" s="891" t="s">
        <v>3405</v>
      </c>
      <c r="G46" s="891" t="s">
        <v>3904</v>
      </c>
      <c r="H46" s="891" t="s">
        <v>2933</v>
      </c>
      <c r="I46" s="8" t="s">
        <v>2563</v>
      </c>
      <c r="J46" s="8" t="s">
        <v>2767</v>
      </c>
      <c r="K46" s="8" t="s">
        <v>3232</v>
      </c>
      <c r="L46" s="890" t="s">
        <v>3576</v>
      </c>
      <c r="M46" s="34" t="s">
        <v>3730</v>
      </c>
      <c r="N46" s="891" t="s">
        <v>3374</v>
      </c>
    </row>
    <row r="47" spans="1:14" s="34" customFormat="1" x14ac:dyDescent="0.25">
      <c r="A47" s="8" t="str">
        <f t="shared" ca="1" si="2"/>
        <v>Bitte ein Materialwerkstoff auswählen</v>
      </c>
      <c r="B47" s="906">
        <v>44</v>
      </c>
      <c r="C47" s="895" t="s">
        <v>2022</v>
      </c>
      <c r="D47" s="8" t="s">
        <v>2389</v>
      </c>
      <c r="E47" s="8" t="s">
        <v>3090</v>
      </c>
      <c r="F47" s="891" t="s">
        <v>3406</v>
      </c>
      <c r="G47" s="891" t="s">
        <v>3905</v>
      </c>
      <c r="H47" s="891" t="s">
        <v>2934</v>
      </c>
      <c r="I47" s="8" t="s">
        <v>2564</v>
      </c>
      <c r="J47" s="8" t="s">
        <v>2768</v>
      </c>
      <c r="K47" s="8" t="s">
        <v>3233</v>
      </c>
      <c r="L47" s="890" t="s">
        <v>3577</v>
      </c>
      <c r="M47" s="34" t="s">
        <v>3731</v>
      </c>
      <c r="N47" s="891" t="s">
        <v>3374</v>
      </c>
    </row>
    <row r="48" spans="1:14" s="34" customFormat="1" x14ac:dyDescent="0.25">
      <c r="A48" s="8" t="str">
        <f t="shared" ca="1" si="2"/>
        <v>Bitte den Öffnungswinkel auswählen</v>
      </c>
      <c r="B48" s="906">
        <v>45</v>
      </c>
      <c r="C48" s="895" t="s">
        <v>2023</v>
      </c>
      <c r="D48" s="8" t="s">
        <v>2390</v>
      </c>
      <c r="E48" s="8" t="s">
        <v>3091</v>
      </c>
      <c r="F48" s="891" t="s">
        <v>3407</v>
      </c>
      <c r="G48" s="891" t="s">
        <v>3906</v>
      </c>
      <c r="H48" s="891" t="s">
        <v>2935</v>
      </c>
      <c r="I48" s="8" t="s">
        <v>2565</v>
      </c>
      <c r="J48" s="8" t="s">
        <v>2769</v>
      </c>
      <c r="K48" s="8" t="s">
        <v>3234</v>
      </c>
      <c r="L48" s="890" t="s">
        <v>3578</v>
      </c>
      <c r="M48" s="34" t="s">
        <v>3732</v>
      </c>
      <c r="N48" s="891" t="s">
        <v>3374</v>
      </c>
    </row>
    <row r="49" spans="1:14" s="34" customFormat="1" x14ac:dyDescent="0.25">
      <c r="A49" s="8" t="str">
        <f t="shared" ca="1" si="2"/>
        <v>Bitte Zahlenwert auswählen</v>
      </c>
      <c r="B49" s="906">
        <v>46</v>
      </c>
      <c r="C49" s="895" t="s">
        <v>2203</v>
      </c>
      <c r="D49" s="8" t="s">
        <v>2391</v>
      </c>
      <c r="E49" s="8" t="s">
        <v>3092</v>
      </c>
      <c r="F49" s="891" t="s">
        <v>3408</v>
      </c>
      <c r="G49" s="891" t="s">
        <v>3907</v>
      </c>
      <c r="H49" s="891" t="s">
        <v>2936</v>
      </c>
      <c r="I49" s="8" t="s">
        <v>2566</v>
      </c>
      <c r="J49" s="8" t="s">
        <v>2770</v>
      </c>
      <c r="K49" s="8" t="s">
        <v>3235</v>
      </c>
      <c r="L49" s="890" t="s">
        <v>3579</v>
      </c>
      <c r="M49" s="34" t="s">
        <v>3733</v>
      </c>
      <c r="N49" s="891" t="s">
        <v>3374</v>
      </c>
    </row>
    <row r="50" spans="1:14" s="34" customFormat="1" x14ac:dyDescent="0.25">
      <c r="A50" s="8" t="str">
        <f t="shared" ca="1" si="2"/>
        <v>Bitte einen Montageplatten-Typ wählen</v>
      </c>
      <c r="B50" s="906">
        <v>47</v>
      </c>
      <c r="C50" s="895" t="s">
        <v>2121</v>
      </c>
      <c r="D50" s="8" t="s">
        <v>2392</v>
      </c>
      <c r="E50" s="8" t="s">
        <v>3093</v>
      </c>
      <c r="F50" s="891" t="s">
        <v>3409</v>
      </c>
      <c r="G50" s="891" t="s">
        <v>3908</v>
      </c>
      <c r="H50" s="891" t="s">
        <v>2937</v>
      </c>
      <c r="I50" s="8" t="s">
        <v>2567</v>
      </c>
      <c r="J50" s="8" t="s">
        <v>2771</v>
      </c>
      <c r="K50" s="8" t="s">
        <v>3236</v>
      </c>
      <c r="L50" s="890" t="s">
        <v>3580</v>
      </c>
      <c r="M50" s="34" t="s">
        <v>3734</v>
      </c>
      <c r="N50" s="891" t="s">
        <v>3374</v>
      </c>
    </row>
    <row r="51" spans="1:14" s="34" customFormat="1" x14ac:dyDescent="0.25">
      <c r="A51" s="8" t="str">
        <f t="shared" ca="1" si="2"/>
        <v>Bitte die passende Befestigung einstellen</v>
      </c>
      <c r="B51" s="906">
        <v>48</v>
      </c>
      <c r="C51" s="895" t="s">
        <v>2206</v>
      </c>
      <c r="D51" s="8" t="s">
        <v>2393</v>
      </c>
      <c r="E51" s="8" t="s">
        <v>3094</v>
      </c>
      <c r="F51" s="891" t="s">
        <v>3410</v>
      </c>
      <c r="G51" s="891" t="s">
        <v>3909</v>
      </c>
      <c r="H51" s="891" t="s">
        <v>2938</v>
      </c>
      <c r="I51" s="8" t="s">
        <v>2568</v>
      </c>
      <c r="J51" s="8" t="s">
        <v>2772</v>
      </c>
      <c r="K51" s="8" t="s">
        <v>3237</v>
      </c>
      <c r="L51" s="890" t="s">
        <v>3581</v>
      </c>
      <c r="M51" s="34" t="s">
        <v>3735</v>
      </c>
      <c r="N51" s="891" t="s">
        <v>3374</v>
      </c>
    </row>
    <row r="52" spans="1:14" s="672" customFormat="1" x14ac:dyDescent="0.25">
      <c r="A52" s="672" t="str">
        <f t="shared" ca="1" si="2"/>
        <v>Bitte die passende Kröpfung auswählen</v>
      </c>
      <c r="B52" s="907">
        <v>49</v>
      </c>
      <c r="C52" s="896" t="s">
        <v>2211</v>
      </c>
      <c r="D52" s="672" t="s">
        <v>2394</v>
      </c>
      <c r="E52" s="672" t="s">
        <v>3095</v>
      </c>
      <c r="F52" s="893" t="s">
        <v>3411</v>
      </c>
      <c r="G52" s="893" t="s">
        <v>3910</v>
      </c>
      <c r="H52" s="893" t="s">
        <v>2939</v>
      </c>
      <c r="I52" s="672" t="s">
        <v>2569</v>
      </c>
      <c r="J52" s="672" t="s">
        <v>2773</v>
      </c>
      <c r="K52" s="672" t="s">
        <v>3238</v>
      </c>
      <c r="L52" s="889" t="s">
        <v>3582</v>
      </c>
      <c r="M52" s="672" t="s">
        <v>3736</v>
      </c>
      <c r="N52" s="893" t="s">
        <v>3374</v>
      </c>
    </row>
    <row r="53" spans="1:14" s="8" customFormat="1" x14ac:dyDescent="0.25">
      <c r="A53" s="8" t="str">
        <f t="shared" ca="1" si="2"/>
        <v>zurück</v>
      </c>
      <c r="B53" s="906">
        <v>50</v>
      </c>
      <c r="C53" s="895" t="s">
        <v>1823</v>
      </c>
      <c r="D53" s="8" t="s">
        <v>2395</v>
      </c>
      <c r="E53" s="8" t="s">
        <v>3096</v>
      </c>
      <c r="F53" s="891" t="s">
        <v>3412</v>
      </c>
      <c r="G53" s="891" t="s">
        <v>3911</v>
      </c>
      <c r="H53" s="891" t="s">
        <v>2940</v>
      </c>
      <c r="I53" s="8" t="s">
        <v>2570</v>
      </c>
      <c r="J53" s="8" t="s">
        <v>2774</v>
      </c>
      <c r="K53" s="8" t="s">
        <v>3239</v>
      </c>
      <c r="L53" s="754" t="s">
        <v>3583</v>
      </c>
      <c r="M53" s="8" t="s">
        <v>3737</v>
      </c>
      <c r="N53" s="891" t="s">
        <v>3374</v>
      </c>
    </row>
    <row r="54" spans="1:14" s="34" customFormat="1" x14ac:dyDescent="0.25">
      <c r="A54" s="8" t="str">
        <f t="shared" ca="1" si="2"/>
        <v>ohne</v>
      </c>
      <c r="B54" s="906">
        <v>51</v>
      </c>
      <c r="C54" s="895" t="s">
        <v>2119</v>
      </c>
      <c r="D54" s="8" t="s">
        <v>2396</v>
      </c>
      <c r="E54" s="8" t="s">
        <v>3097</v>
      </c>
      <c r="F54" s="891" t="s">
        <v>3413</v>
      </c>
      <c r="G54" s="891" t="s">
        <v>3912</v>
      </c>
      <c r="H54" s="891" t="s">
        <v>2941</v>
      </c>
      <c r="I54" s="8" t="s">
        <v>2571</v>
      </c>
      <c r="J54" s="8" t="s">
        <v>2775</v>
      </c>
      <c r="K54" s="8" t="s">
        <v>3240</v>
      </c>
      <c r="L54" s="890" t="s">
        <v>3584</v>
      </c>
      <c r="M54" s="34" t="s">
        <v>3738</v>
      </c>
      <c r="N54" s="891" t="s">
        <v>3374</v>
      </c>
    </row>
    <row r="55" spans="1:14" s="8" customFormat="1" x14ac:dyDescent="0.25">
      <c r="A55" s="8" t="str">
        <f t="shared" ca="1" si="2"/>
        <v>oder</v>
      </c>
      <c r="B55" s="906">
        <v>52</v>
      </c>
      <c r="C55" s="895" t="s">
        <v>1351</v>
      </c>
      <c r="D55" s="8" t="s">
        <v>2397</v>
      </c>
      <c r="E55" s="8" t="s">
        <v>3098</v>
      </c>
      <c r="F55" s="891" t="s">
        <v>2276</v>
      </c>
      <c r="G55" s="891" t="s">
        <v>2942</v>
      </c>
      <c r="H55" s="891" t="s">
        <v>2942</v>
      </c>
      <c r="I55" s="8" t="s">
        <v>2572</v>
      </c>
      <c r="J55" s="8" t="s">
        <v>2776</v>
      </c>
      <c r="K55" s="8" t="s">
        <v>3241</v>
      </c>
      <c r="L55" s="754" t="s">
        <v>3585</v>
      </c>
      <c r="M55" s="8" t="s">
        <v>1442</v>
      </c>
      <c r="N55" s="891" t="s">
        <v>3374</v>
      </c>
    </row>
    <row r="56" spans="1:14" s="8" customFormat="1" x14ac:dyDescent="0.25">
      <c r="A56" s="8" t="str">
        <f t="shared" ca="1" si="2"/>
        <v>keine</v>
      </c>
      <c r="B56" s="906">
        <v>53</v>
      </c>
      <c r="C56" s="895" t="s">
        <v>1488</v>
      </c>
      <c r="D56" s="8" t="s">
        <v>2398</v>
      </c>
      <c r="E56" s="8" t="s">
        <v>3099</v>
      </c>
      <c r="F56" s="891" t="s">
        <v>2398</v>
      </c>
      <c r="G56" s="891" t="s">
        <v>3913</v>
      </c>
      <c r="H56" s="891" t="s">
        <v>2941</v>
      </c>
      <c r="I56" s="8" t="s">
        <v>2721</v>
      </c>
      <c r="J56" s="8" t="s">
        <v>2777</v>
      </c>
      <c r="K56" s="8" t="s">
        <v>3240</v>
      </c>
      <c r="L56" s="754" t="s">
        <v>3586</v>
      </c>
      <c r="M56" s="8" t="s">
        <v>3739</v>
      </c>
      <c r="N56" s="891" t="s">
        <v>3374</v>
      </c>
    </row>
    <row r="57" spans="1:14" s="672" customFormat="1" x14ac:dyDescent="0.25">
      <c r="A57" s="672" t="str">
        <f t="shared" ca="1" si="2"/>
        <v>alle</v>
      </c>
      <c r="B57" s="907">
        <v>54</v>
      </c>
      <c r="C57" s="896" t="s">
        <v>881</v>
      </c>
      <c r="D57" s="672" t="s">
        <v>2399</v>
      </c>
      <c r="E57" s="672" t="s">
        <v>3100</v>
      </c>
      <c r="F57" s="893" t="s">
        <v>3414</v>
      </c>
      <c r="G57" s="893" t="s">
        <v>3914</v>
      </c>
      <c r="H57" s="893" t="s">
        <v>2943</v>
      </c>
      <c r="I57" s="672" t="s">
        <v>2573</v>
      </c>
      <c r="J57" s="672" t="s">
        <v>2778</v>
      </c>
      <c r="K57" s="672" t="s">
        <v>3242</v>
      </c>
      <c r="L57" s="889" t="s">
        <v>3587</v>
      </c>
      <c r="M57" s="672" t="s">
        <v>3740</v>
      </c>
      <c r="N57" s="893" t="s">
        <v>3374</v>
      </c>
    </row>
    <row r="58" spans="1:14" s="8" customFormat="1" x14ac:dyDescent="0.25">
      <c r="A58" s="8" t="str">
        <f t="shared" ca="1" si="2"/>
        <v>aufl.</v>
      </c>
      <c r="B58" s="906">
        <v>55</v>
      </c>
      <c r="C58" s="895" t="s">
        <v>1778</v>
      </c>
      <c r="D58" s="8" t="s">
        <v>2400</v>
      </c>
      <c r="E58" s="8" t="s">
        <v>3101</v>
      </c>
      <c r="F58" s="891" t="s">
        <v>3415</v>
      </c>
      <c r="G58" s="891" t="s">
        <v>3915</v>
      </c>
      <c r="H58" s="891" t="s">
        <v>2944</v>
      </c>
      <c r="I58" s="8" t="s">
        <v>2574</v>
      </c>
      <c r="J58" s="8" t="s">
        <v>2779</v>
      </c>
      <c r="K58" s="8" t="s">
        <v>3243</v>
      </c>
      <c r="L58" s="754" t="s">
        <v>3588</v>
      </c>
      <c r="M58" s="8" t="s">
        <v>3741</v>
      </c>
      <c r="N58" s="891" t="s">
        <v>3374</v>
      </c>
    </row>
    <row r="59" spans="1:14" s="8" customFormat="1" x14ac:dyDescent="0.25">
      <c r="A59" s="8" t="str">
        <f t="shared" ca="1" si="2"/>
        <v>voll aufliegend (K0)</v>
      </c>
      <c r="B59" s="906">
        <v>56</v>
      </c>
      <c r="C59" s="895" t="s">
        <v>1346</v>
      </c>
      <c r="D59" s="8" t="s">
        <v>2504</v>
      </c>
      <c r="E59" s="8" t="s">
        <v>3102</v>
      </c>
      <c r="F59" s="891" t="s">
        <v>3416</v>
      </c>
      <c r="G59" s="891" t="s">
        <v>3916</v>
      </c>
      <c r="H59" s="891" t="s">
        <v>2945</v>
      </c>
      <c r="I59" s="8" t="s">
        <v>2575</v>
      </c>
      <c r="J59" s="8" t="s">
        <v>2780</v>
      </c>
      <c r="K59" s="8" t="s">
        <v>3244</v>
      </c>
      <c r="L59" s="754" t="s">
        <v>3589</v>
      </c>
      <c r="M59" s="8" t="s">
        <v>3862</v>
      </c>
      <c r="N59" s="891" t="s">
        <v>3374</v>
      </c>
    </row>
    <row r="60" spans="1:14" s="8" customFormat="1" x14ac:dyDescent="0.25">
      <c r="A60" s="8" t="str">
        <f t="shared" ca="1" si="2"/>
        <v>aufliegend (K3)</v>
      </c>
      <c r="B60" s="906">
        <v>57</v>
      </c>
      <c r="C60" s="895" t="s">
        <v>1347</v>
      </c>
      <c r="D60" s="8" t="s">
        <v>2505</v>
      </c>
      <c r="E60" s="8" t="s">
        <v>3103</v>
      </c>
      <c r="F60" s="891" t="s">
        <v>3417</v>
      </c>
      <c r="G60" s="891" t="s">
        <v>3917</v>
      </c>
      <c r="H60" s="891" t="s">
        <v>2946</v>
      </c>
      <c r="I60" s="8" t="s">
        <v>2576</v>
      </c>
      <c r="J60" s="8" t="s">
        <v>2779</v>
      </c>
      <c r="K60" s="8" t="s">
        <v>3245</v>
      </c>
      <c r="L60" s="754" t="s">
        <v>3590</v>
      </c>
      <c r="M60" s="8" t="s">
        <v>3863</v>
      </c>
      <c r="N60" s="891" t="s">
        <v>3374</v>
      </c>
    </row>
    <row r="61" spans="1:14" s="8" customFormat="1" x14ac:dyDescent="0.25">
      <c r="A61" s="8" t="str">
        <f t="shared" ca="1" si="2"/>
        <v>halb aufliegend (K9.5)</v>
      </c>
      <c r="B61" s="906">
        <v>58</v>
      </c>
      <c r="C61" s="895" t="s">
        <v>1348</v>
      </c>
      <c r="D61" s="8" t="s">
        <v>2506</v>
      </c>
      <c r="E61" s="8" t="s">
        <v>3104</v>
      </c>
      <c r="F61" s="891" t="s">
        <v>3418</v>
      </c>
      <c r="G61" s="891" t="s">
        <v>3918</v>
      </c>
      <c r="H61" s="891" t="s">
        <v>2947</v>
      </c>
      <c r="I61" s="8" t="s">
        <v>2577</v>
      </c>
      <c r="J61" s="8" t="s">
        <v>2781</v>
      </c>
      <c r="K61" s="8" t="s">
        <v>3246</v>
      </c>
      <c r="L61" s="754" t="s">
        <v>3591</v>
      </c>
      <c r="M61" s="8" t="s">
        <v>3864</v>
      </c>
      <c r="N61" s="891" t="s">
        <v>3374</v>
      </c>
    </row>
    <row r="62" spans="1:14" s="8" customFormat="1" x14ac:dyDescent="0.25">
      <c r="A62" s="8" t="str">
        <f t="shared" ca="1" si="2"/>
        <v>einl.</v>
      </c>
      <c r="B62" s="906">
        <v>59</v>
      </c>
      <c r="C62" s="895" t="s">
        <v>1779</v>
      </c>
      <c r="D62" s="8" t="s">
        <v>2120</v>
      </c>
      <c r="E62" s="8" t="s">
        <v>3105</v>
      </c>
      <c r="F62" s="891" t="s">
        <v>3419</v>
      </c>
      <c r="G62" s="891" t="s">
        <v>3919</v>
      </c>
      <c r="H62" s="891" t="s">
        <v>2948</v>
      </c>
      <c r="I62" s="8" t="s">
        <v>2578</v>
      </c>
      <c r="J62" s="8" t="s">
        <v>2782</v>
      </c>
      <c r="K62" s="8" t="s">
        <v>3247</v>
      </c>
      <c r="L62" s="754" t="s">
        <v>3592</v>
      </c>
      <c r="M62" s="8" t="s">
        <v>3742</v>
      </c>
      <c r="N62" s="891" t="s">
        <v>3374</v>
      </c>
    </row>
    <row r="63" spans="1:14" s="8" customFormat="1" x14ac:dyDescent="0.25">
      <c r="A63" s="8" t="str">
        <f t="shared" ref="A63:A100" ca="1" si="3">OFFSET(B63,0,$B$3,1,1)</f>
        <v>einliegend (K19)</v>
      </c>
      <c r="B63" s="906">
        <v>60</v>
      </c>
      <c r="C63" s="895" t="s">
        <v>1349</v>
      </c>
      <c r="D63" s="8" t="s">
        <v>2507</v>
      </c>
      <c r="E63" s="8" t="s">
        <v>3106</v>
      </c>
      <c r="F63" s="891" t="s">
        <v>3420</v>
      </c>
      <c r="G63" s="891" t="s">
        <v>3420</v>
      </c>
      <c r="H63" s="891" t="s">
        <v>2949</v>
      </c>
      <c r="I63" s="8" t="s">
        <v>2579</v>
      </c>
      <c r="J63" s="8" t="s">
        <v>2782</v>
      </c>
      <c r="K63" s="8" t="s">
        <v>3248</v>
      </c>
      <c r="L63" s="754" t="s">
        <v>3593</v>
      </c>
      <c r="M63" s="8" t="s">
        <v>3865</v>
      </c>
      <c r="N63" s="891" t="s">
        <v>3374</v>
      </c>
    </row>
    <row r="64" spans="1:14" s="8" customFormat="1" x14ac:dyDescent="0.25">
      <c r="A64" s="8" t="str">
        <f t="shared" ca="1" si="3"/>
        <v>Zum Anschrauben mit Holzschrauben</v>
      </c>
      <c r="B64" s="906">
        <v>61</v>
      </c>
      <c r="C64" s="895" t="s">
        <v>2293</v>
      </c>
      <c r="D64" s="8" t="s">
        <v>2401</v>
      </c>
      <c r="E64" s="8" t="s">
        <v>3107</v>
      </c>
      <c r="F64" s="891" t="s">
        <v>3421</v>
      </c>
      <c r="G64" s="891" t="s">
        <v>3920</v>
      </c>
      <c r="H64" s="891" t="s">
        <v>2950</v>
      </c>
      <c r="I64" s="8" t="s">
        <v>2580</v>
      </c>
      <c r="J64" s="8" t="s">
        <v>2783</v>
      </c>
      <c r="K64" s="8" t="s">
        <v>3249</v>
      </c>
      <c r="L64" s="754" t="s">
        <v>3594</v>
      </c>
      <c r="M64" s="8" t="s">
        <v>3743</v>
      </c>
      <c r="N64" s="891" t="s">
        <v>3374</v>
      </c>
    </row>
    <row r="65" spans="1:14" s="8" customFormat="1" x14ac:dyDescent="0.25">
      <c r="A65" s="8" t="str">
        <f t="shared" ca="1" si="3"/>
        <v>Zum Anschrauben mit Euroschrauben</v>
      </c>
      <c r="B65" s="906">
        <v>62</v>
      </c>
      <c r="C65" s="895" t="s">
        <v>2294</v>
      </c>
      <c r="D65" s="8" t="s">
        <v>2402</v>
      </c>
      <c r="E65" s="8" t="s">
        <v>3108</v>
      </c>
      <c r="F65" s="891" t="s">
        <v>3422</v>
      </c>
      <c r="G65" s="891" t="s">
        <v>3921</v>
      </c>
      <c r="H65" s="891" t="s">
        <v>2951</v>
      </c>
      <c r="I65" s="8" t="s">
        <v>2581</v>
      </c>
      <c r="J65" s="8" t="s">
        <v>2784</v>
      </c>
      <c r="K65" s="8" t="s">
        <v>3250</v>
      </c>
      <c r="L65" s="754" t="s">
        <v>3595</v>
      </c>
      <c r="M65" s="8" t="s">
        <v>3744</v>
      </c>
      <c r="N65" s="891" t="s">
        <v>3374</v>
      </c>
    </row>
    <row r="66" spans="1:14" s="8" customFormat="1" x14ac:dyDescent="0.25">
      <c r="A66" s="8" t="str">
        <f t="shared" ca="1" si="3"/>
        <v>Zum Einpressen</v>
      </c>
      <c r="B66" s="906">
        <v>63</v>
      </c>
      <c r="C66" s="895" t="s">
        <v>2307</v>
      </c>
      <c r="D66" s="8" t="s">
        <v>2403</v>
      </c>
      <c r="E66" s="8" t="s">
        <v>3109</v>
      </c>
      <c r="F66" s="891" t="s">
        <v>3423</v>
      </c>
      <c r="G66" s="891" t="s">
        <v>3922</v>
      </c>
      <c r="H66" s="891" t="s">
        <v>2952</v>
      </c>
      <c r="I66" s="8" t="s">
        <v>2582</v>
      </c>
      <c r="J66" s="8" t="s">
        <v>2785</v>
      </c>
      <c r="K66" s="8" t="s">
        <v>3251</v>
      </c>
      <c r="L66" s="754" t="s">
        <v>3596</v>
      </c>
      <c r="M66" s="8" t="s">
        <v>3745</v>
      </c>
      <c r="N66" s="891" t="s">
        <v>3374</v>
      </c>
    </row>
    <row r="67" spans="1:14" s="8" customFormat="1" x14ac:dyDescent="0.25">
      <c r="A67" s="8" t="str">
        <f t="shared" ca="1" si="3"/>
        <v>vormontierte Euroschrauben [13,5]</v>
      </c>
      <c r="B67" s="906">
        <v>64</v>
      </c>
      <c r="C67" s="895" t="s">
        <v>2291</v>
      </c>
      <c r="D67" s="8" t="s">
        <v>2404</v>
      </c>
      <c r="E67" s="8" t="s">
        <v>3110</v>
      </c>
      <c r="F67" s="891" t="s">
        <v>3424</v>
      </c>
      <c r="G67" s="891" t="s">
        <v>3923</v>
      </c>
      <c r="H67" s="891" t="s">
        <v>2953</v>
      </c>
      <c r="I67" s="8" t="s">
        <v>2583</v>
      </c>
      <c r="J67" s="8" t="s">
        <v>2786</v>
      </c>
      <c r="K67" s="8" t="s">
        <v>3252</v>
      </c>
      <c r="L67" s="754" t="s">
        <v>3597</v>
      </c>
      <c r="M67" s="8" t="s">
        <v>3746</v>
      </c>
      <c r="N67" s="891" t="s">
        <v>3374</v>
      </c>
    </row>
    <row r="68" spans="1:14" s="8" customFormat="1" x14ac:dyDescent="0.25">
      <c r="A68" s="8" t="str">
        <f ca="1">OFFSET(B68,0,$B$3,1,1)</f>
        <v>vormontierte Euroschrauben [10,5]</v>
      </c>
      <c r="B68" s="906">
        <v>65</v>
      </c>
      <c r="C68" s="895" t="s">
        <v>2292</v>
      </c>
      <c r="D68" s="8" t="s">
        <v>2405</v>
      </c>
      <c r="E68" s="8" t="s">
        <v>3111</v>
      </c>
      <c r="F68" s="891" t="s">
        <v>3425</v>
      </c>
      <c r="G68" s="891" t="s">
        <v>3924</v>
      </c>
      <c r="H68" s="891" t="s">
        <v>2954</v>
      </c>
      <c r="I68" s="8" t="s">
        <v>2584</v>
      </c>
      <c r="J68" s="8" t="s">
        <v>2787</v>
      </c>
      <c r="K68" s="8" t="s">
        <v>3253</v>
      </c>
      <c r="L68" s="754" t="s">
        <v>3598</v>
      </c>
      <c r="M68" s="8" t="s">
        <v>3747</v>
      </c>
      <c r="N68" s="891" t="s">
        <v>3374</v>
      </c>
    </row>
    <row r="69" spans="1:14" s="8" customFormat="1" x14ac:dyDescent="0.25">
      <c r="A69" s="8" t="str">
        <f t="shared" ca="1" si="3"/>
        <v>Spreizdübel 11 mm</v>
      </c>
      <c r="B69" s="906">
        <v>66</v>
      </c>
      <c r="C69" s="895" t="s">
        <v>2312</v>
      </c>
      <c r="D69" s="8" t="s">
        <v>2514</v>
      </c>
      <c r="E69" s="8" t="s">
        <v>3112</v>
      </c>
      <c r="F69" s="891" t="s">
        <v>3426</v>
      </c>
      <c r="G69" s="891" t="s">
        <v>3925</v>
      </c>
      <c r="H69" s="891" t="s">
        <v>2955</v>
      </c>
      <c r="I69" s="8" t="s">
        <v>2585</v>
      </c>
      <c r="J69" s="8" t="s">
        <v>2788</v>
      </c>
      <c r="K69" s="8" t="s">
        <v>3254</v>
      </c>
      <c r="L69" s="754" t="s">
        <v>3599</v>
      </c>
      <c r="M69" s="8" t="s">
        <v>3748</v>
      </c>
      <c r="N69" s="891" t="s">
        <v>3374</v>
      </c>
    </row>
    <row r="70" spans="1:14" s="8" customFormat="1" x14ac:dyDescent="0.25">
      <c r="A70" s="8" t="str">
        <f t="shared" ca="1" si="3"/>
        <v>Zwillingsmontageplatte (Spreizdübel 7,5 mm)</v>
      </c>
      <c r="B70" s="906">
        <v>67</v>
      </c>
      <c r="C70" s="895" t="s">
        <v>2313</v>
      </c>
      <c r="D70" s="8" t="s">
        <v>2515</v>
      </c>
      <c r="E70" s="8" t="s">
        <v>3113</v>
      </c>
      <c r="F70" s="891" t="s">
        <v>3427</v>
      </c>
      <c r="G70" s="891" t="s">
        <v>3926</v>
      </c>
      <c r="H70" s="891" t="s">
        <v>2956</v>
      </c>
      <c r="I70" s="8" t="s">
        <v>2586</v>
      </c>
      <c r="J70" s="8" t="s">
        <v>2789</v>
      </c>
      <c r="K70" s="8" t="s">
        <v>3255</v>
      </c>
      <c r="L70" s="754" t="s">
        <v>3600</v>
      </c>
      <c r="M70" s="8" t="s">
        <v>3749</v>
      </c>
      <c r="N70" s="891" t="s">
        <v>3374</v>
      </c>
    </row>
    <row r="71" spans="1:14" s="8" customFormat="1" x14ac:dyDescent="0.25">
      <c r="A71" s="8" t="str">
        <f t="shared" ca="1" si="3"/>
        <v>vorm. Euro</v>
      </c>
      <c r="B71" s="906">
        <v>68</v>
      </c>
      <c r="C71" s="895" t="s">
        <v>864</v>
      </c>
      <c r="D71" s="8" t="s">
        <v>2406</v>
      </c>
      <c r="E71" s="8" t="s">
        <v>3114</v>
      </c>
      <c r="F71" s="891" t="s">
        <v>3428</v>
      </c>
      <c r="G71" s="891" t="s">
        <v>3927</v>
      </c>
      <c r="H71" s="891" t="s">
        <v>2957</v>
      </c>
      <c r="I71" s="8" t="s">
        <v>2587</v>
      </c>
      <c r="J71" s="8" t="s">
        <v>2790</v>
      </c>
      <c r="K71" s="8" t="s">
        <v>3256</v>
      </c>
      <c r="L71" s="754" t="s">
        <v>3601</v>
      </c>
      <c r="M71" s="8" t="s">
        <v>3750</v>
      </c>
      <c r="N71" s="891" t="s">
        <v>3374</v>
      </c>
    </row>
    <row r="72" spans="1:14" s="8" customFormat="1" x14ac:dyDescent="0.25">
      <c r="A72" s="8" t="str">
        <f t="shared" ca="1" si="3"/>
        <v>vorm. Euro kurz</v>
      </c>
      <c r="B72" s="906">
        <v>69</v>
      </c>
      <c r="C72" s="895" t="s">
        <v>865</v>
      </c>
      <c r="D72" s="8" t="s">
        <v>2407</v>
      </c>
      <c r="E72" s="8" t="s">
        <v>3115</v>
      </c>
      <c r="F72" s="891" t="s">
        <v>3429</v>
      </c>
      <c r="G72" s="891" t="s">
        <v>3928</v>
      </c>
      <c r="H72" s="891" t="s">
        <v>2958</v>
      </c>
      <c r="I72" s="8" t="s">
        <v>2588</v>
      </c>
      <c r="J72" s="8" t="s">
        <v>2791</v>
      </c>
      <c r="K72" s="8" t="s">
        <v>3257</v>
      </c>
      <c r="L72" s="754" t="s">
        <v>3602</v>
      </c>
      <c r="M72" s="8" t="s">
        <v>3751</v>
      </c>
      <c r="N72" s="891" t="s">
        <v>3374</v>
      </c>
    </row>
    <row r="73" spans="1:14" s="8" customFormat="1" x14ac:dyDescent="0.25">
      <c r="A73" s="8" t="str">
        <f t="shared" ca="1" si="3"/>
        <v>mit Soft-close</v>
      </c>
      <c r="B73" s="906">
        <v>70</v>
      </c>
      <c r="C73" s="895" t="s">
        <v>2347</v>
      </c>
      <c r="D73" s="8" t="s">
        <v>2408</v>
      </c>
      <c r="E73" s="8" t="s">
        <v>3116</v>
      </c>
      <c r="F73" s="891" t="s">
        <v>3430</v>
      </c>
      <c r="G73" s="891" t="s">
        <v>3929</v>
      </c>
      <c r="H73" s="891" t="s">
        <v>2959</v>
      </c>
      <c r="I73" s="8" t="s">
        <v>2722</v>
      </c>
      <c r="J73" s="8" t="s">
        <v>2792</v>
      </c>
      <c r="K73" s="8" t="s">
        <v>3258</v>
      </c>
      <c r="L73" s="754" t="s">
        <v>3603</v>
      </c>
      <c r="M73" s="8" t="s">
        <v>3752</v>
      </c>
      <c r="N73" s="891" t="s">
        <v>3374</v>
      </c>
    </row>
    <row r="74" spans="1:14" s="8" customFormat="1" x14ac:dyDescent="0.25">
      <c r="A74" s="8" t="str">
        <f t="shared" ca="1" si="3"/>
        <v>ohne Soft-close</v>
      </c>
      <c r="B74" s="906">
        <v>71</v>
      </c>
      <c r="C74" s="895" t="s">
        <v>2348</v>
      </c>
      <c r="D74" s="8" t="s">
        <v>2409</v>
      </c>
      <c r="E74" s="8" t="s">
        <v>3117</v>
      </c>
      <c r="F74" s="891" t="s">
        <v>3431</v>
      </c>
      <c r="G74" s="891" t="s">
        <v>3930</v>
      </c>
      <c r="H74" s="891" t="s">
        <v>2960</v>
      </c>
      <c r="I74" s="8" t="s">
        <v>2723</v>
      </c>
      <c r="J74" s="8" t="s">
        <v>2793</v>
      </c>
      <c r="K74" s="8" t="s">
        <v>3259</v>
      </c>
      <c r="L74" s="754" t="s">
        <v>3604</v>
      </c>
      <c r="M74" s="8" t="s">
        <v>3753</v>
      </c>
      <c r="N74" s="891" t="s">
        <v>3374</v>
      </c>
    </row>
    <row r="75" spans="1:14" s="34" customFormat="1" x14ac:dyDescent="0.25">
      <c r="A75" s="8" t="str">
        <f t="shared" ca="1" si="3"/>
        <v>mit Öffnungswinkelbegrenzer</v>
      </c>
      <c r="B75" s="906">
        <v>72</v>
      </c>
      <c r="C75" s="895" t="s">
        <v>1921</v>
      </c>
      <c r="D75" s="8" t="s">
        <v>2410</v>
      </c>
      <c r="E75" s="8" t="s">
        <v>3119</v>
      </c>
      <c r="F75" s="893" t="s">
        <v>3433</v>
      </c>
      <c r="G75" s="892" t="s">
        <v>3931</v>
      </c>
      <c r="H75" s="893" t="s">
        <v>2962</v>
      </c>
      <c r="I75" s="8" t="s">
        <v>2589</v>
      </c>
      <c r="J75" s="8" t="s">
        <v>2794</v>
      </c>
      <c r="K75" s="8" t="s">
        <v>3260</v>
      </c>
      <c r="L75" s="890" t="s">
        <v>3605</v>
      </c>
      <c r="M75" s="34" t="s">
        <v>3754</v>
      </c>
      <c r="N75" s="891" t="s">
        <v>3374</v>
      </c>
    </row>
    <row r="76" spans="1:14" s="660" customFormat="1" x14ac:dyDescent="0.25">
      <c r="A76" s="892" t="str">
        <f t="shared" ca="1" si="3"/>
        <v>Für die Scharnierzahl entscheidende Faktoren</v>
      </c>
      <c r="B76" s="908">
        <v>73</v>
      </c>
      <c r="C76" s="898" t="s">
        <v>902</v>
      </c>
      <c r="D76" s="660" t="s">
        <v>2411</v>
      </c>
      <c r="E76" s="660" t="s">
        <v>3120</v>
      </c>
      <c r="F76" s="891" t="s">
        <v>3434</v>
      </c>
      <c r="G76" s="891" t="s">
        <v>3932</v>
      </c>
      <c r="H76" s="891" t="s">
        <v>2963</v>
      </c>
      <c r="I76" s="660" t="s">
        <v>2725</v>
      </c>
      <c r="J76" s="888" t="s">
        <v>2890</v>
      </c>
      <c r="K76" s="660" t="s">
        <v>3261</v>
      </c>
      <c r="L76" s="919" t="s">
        <v>3606</v>
      </c>
      <c r="M76" s="660" t="s">
        <v>3755</v>
      </c>
      <c r="N76" s="660" t="s">
        <v>3374</v>
      </c>
    </row>
    <row r="77" spans="1:14" s="8" customFormat="1" x14ac:dyDescent="0.25">
      <c r="A77" s="8" t="str">
        <f t="shared" ca="1" si="3"/>
        <v>sind Türhöhe, Türgewicht, Materialqualität, Topf-</v>
      </c>
      <c r="B77" s="906">
        <v>74</v>
      </c>
      <c r="C77" s="895" t="s">
        <v>903</v>
      </c>
      <c r="D77" s="8" t="s">
        <v>2412</v>
      </c>
      <c r="E77" s="8" t="s">
        <v>3121</v>
      </c>
      <c r="F77" s="891" t="s">
        <v>3435</v>
      </c>
      <c r="G77" s="891" t="s">
        <v>3933</v>
      </c>
      <c r="H77" s="891" t="s">
        <v>2964</v>
      </c>
      <c r="I77" s="8" t="s">
        <v>2590</v>
      </c>
      <c r="J77" s="8" t="s">
        <v>2891</v>
      </c>
      <c r="K77" s="8" t="s">
        <v>3262</v>
      </c>
      <c r="L77" s="754" t="s">
        <v>3607</v>
      </c>
      <c r="M77" s="8" t="s">
        <v>3756</v>
      </c>
      <c r="N77" s="868" t="s">
        <v>1916</v>
      </c>
    </row>
    <row r="78" spans="1:14" s="8" customFormat="1" x14ac:dyDescent="0.25">
      <c r="A78" s="8" t="str">
        <f t="shared" ca="1" si="3"/>
        <v>und Montageplattenbefestigung</v>
      </c>
      <c r="B78" s="906">
        <v>75</v>
      </c>
      <c r="C78" s="895" t="s">
        <v>904</v>
      </c>
      <c r="D78" s="8" t="s">
        <v>2413</v>
      </c>
      <c r="E78" s="8" t="s">
        <v>3122</v>
      </c>
      <c r="F78" s="891" t="s">
        <v>3436</v>
      </c>
      <c r="G78" s="891" t="s">
        <v>3934</v>
      </c>
      <c r="H78" s="891" t="s">
        <v>2965</v>
      </c>
      <c r="I78" s="8" t="s">
        <v>2591</v>
      </c>
      <c r="J78" s="8" t="s">
        <v>2892</v>
      </c>
      <c r="K78" s="8" t="s">
        <v>3263</v>
      </c>
      <c r="L78" s="754" t="s">
        <v>3608</v>
      </c>
      <c r="M78" s="8" t="s">
        <v>3757</v>
      </c>
      <c r="N78" s="868" t="s">
        <v>1916</v>
      </c>
    </row>
    <row r="79" spans="1:14" s="8" customFormat="1" x14ac:dyDescent="0.25">
      <c r="A79" s="8" t="str">
        <f t="shared" ca="1" si="3"/>
        <v xml:space="preserve">Die Belastungs- und Höhenangaben beziehen sich </v>
      </c>
      <c r="B79" s="906">
        <v>76</v>
      </c>
      <c r="C79" s="895" t="s">
        <v>905</v>
      </c>
      <c r="D79" s="8" t="s">
        <v>2414</v>
      </c>
      <c r="E79" s="8" t="s">
        <v>3123</v>
      </c>
      <c r="F79" s="891" t="s">
        <v>3437</v>
      </c>
      <c r="G79" s="891" t="s">
        <v>3935</v>
      </c>
      <c r="H79" s="891" t="s">
        <v>2966</v>
      </c>
      <c r="I79" s="8" t="s">
        <v>2592</v>
      </c>
      <c r="J79" s="8" t="s">
        <v>2893</v>
      </c>
      <c r="K79" s="8" t="s">
        <v>3264</v>
      </c>
      <c r="L79" s="754" t="s">
        <v>3609</v>
      </c>
      <c r="M79" s="8" t="s">
        <v>3758</v>
      </c>
      <c r="N79" s="868" t="s">
        <v>1916</v>
      </c>
    </row>
    <row r="80" spans="1:14" s="8" customFormat="1" x14ac:dyDescent="0.25">
      <c r="A80" s="8" t="str">
        <f t="shared" ca="1" si="3"/>
        <v>auf Normtürbreiten von 600mm. Im Zweifelsfall</v>
      </c>
      <c r="B80" s="906">
        <v>77</v>
      </c>
      <c r="C80" s="895" t="s">
        <v>906</v>
      </c>
      <c r="D80" s="8" t="s">
        <v>2415</v>
      </c>
      <c r="E80" s="8" t="s">
        <v>3124</v>
      </c>
      <c r="F80" s="891"/>
      <c r="G80" s="891" t="s">
        <v>4022</v>
      </c>
      <c r="H80" s="891" t="s">
        <v>2967</v>
      </c>
      <c r="I80" s="8" t="s">
        <v>2593</v>
      </c>
      <c r="J80" s="8" t="s">
        <v>2894</v>
      </c>
      <c r="K80" s="8" t="s">
        <v>3265</v>
      </c>
      <c r="L80" s="754" t="s">
        <v>3610</v>
      </c>
      <c r="M80" s="8" t="s">
        <v>3759</v>
      </c>
      <c r="N80" s="868" t="s">
        <v>1916</v>
      </c>
    </row>
    <row r="81" spans="1:14" s="8" customFormat="1" x14ac:dyDescent="0.25">
      <c r="A81" s="8" t="str">
        <f t="shared" ca="1" si="3"/>
        <v>ist die Scharnierzahl durch einen Probeanschlag</v>
      </c>
      <c r="B81" s="906">
        <v>78</v>
      </c>
      <c r="C81" s="895" t="s">
        <v>907</v>
      </c>
      <c r="D81" s="8" t="s">
        <v>2416</v>
      </c>
      <c r="E81" s="8" t="s">
        <v>3125</v>
      </c>
      <c r="F81" s="868"/>
      <c r="G81" s="868" t="s">
        <v>4023</v>
      </c>
      <c r="H81" s="891" t="s">
        <v>2968</v>
      </c>
      <c r="I81" s="8" t="s">
        <v>2594</v>
      </c>
      <c r="J81" s="8" t="s">
        <v>2895</v>
      </c>
      <c r="K81" s="8" t="s">
        <v>3266</v>
      </c>
      <c r="L81" s="754"/>
      <c r="M81" s="8" t="s">
        <v>3760</v>
      </c>
      <c r="N81" s="868" t="s">
        <v>1916</v>
      </c>
    </row>
    <row r="82" spans="1:14" s="8" customFormat="1" x14ac:dyDescent="0.25">
      <c r="A82" s="8" t="str">
        <f t="shared" ca="1" si="3"/>
        <v>zu ermitteln.</v>
      </c>
      <c r="B82" s="906">
        <v>79</v>
      </c>
      <c r="C82" s="895" t="s">
        <v>908</v>
      </c>
      <c r="D82" s="868" t="s">
        <v>1916</v>
      </c>
      <c r="E82" s="8" t="s">
        <v>3126</v>
      </c>
      <c r="F82" s="868"/>
      <c r="G82" s="868"/>
      <c r="H82" s="891"/>
      <c r="I82" s="8" t="s">
        <v>2595</v>
      </c>
      <c r="J82" s="868" t="s">
        <v>1916</v>
      </c>
      <c r="L82" s="754"/>
      <c r="M82" s="8" t="s">
        <v>3761</v>
      </c>
      <c r="N82" s="868" t="s">
        <v>1916</v>
      </c>
    </row>
    <row r="83" spans="1:14" s="8" customFormat="1" x14ac:dyDescent="0.25">
      <c r="A83" s="8" t="str">
        <f t="shared" ca="1" si="3"/>
        <v>Notizen</v>
      </c>
      <c r="B83" s="906">
        <v>80</v>
      </c>
      <c r="C83" s="895" t="s">
        <v>2521</v>
      </c>
      <c r="D83" s="868" t="s">
        <v>2522</v>
      </c>
      <c r="E83" s="8" t="s">
        <v>3127</v>
      </c>
      <c r="F83" s="868" t="s">
        <v>3438</v>
      </c>
      <c r="G83" s="868"/>
      <c r="H83" s="891" t="s">
        <v>2522</v>
      </c>
      <c r="I83" s="8" t="s">
        <v>2596</v>
      </c>
      <c r="J83" s="8" t="s">
        <v>2795</v>
      </c>
      <c r="K83" s="8" t="s">
        <v>3267</v>
      </c>
      <c r="L83" s="754"/>
      <c r="M83" s="8" t="s">
        <v>3762</v>
      </c>
      <c r="N83" s="868" t="s">
        <v>1916</v>
      </c>
    </row>
    <row r="84" spans="1:14" s="8" customFormat="1" x14ac:dyDescent="0.25">
      <c r="A84" s="8" t="str">
        <f t="shared" ca="1" si="3"/>
        <v>Zusätzl. Gewicht</v>
      </c>
      <c r="B84" s="906">
        <v>81</v>
      </c>
      <c r="C84" s="895" t="s">
        <v>2525</v>
      </c>
      <c r="D84" s="868" t="s">
        <v>2524</v>
      </c>
      <c r="E84" s="8" t="s">
        <v>3128</v>
      </c>
      <c r="F84" s="891" t="s">
        <v>3439</v>
      </c>
      <c r="G84" s="891" t="s">
        <v>3936</v>
      </c>
      <c r="H84" s="891" t="s">
        <v>2969</v>
      </c>
      <c r="I84" s="8" t="s">
        <v>2597</v>
      </c>
      <c r="J84" s="8" t="s">
        <v>2796</v>
      </c>
      <c r="K84" s="8" t="s">
        <v>3268</v>
      </c>
      <c r="L84" s="754" t="s">
        <v>3611</v>
      </c>
      <c r="M84" s="8" t="s">
        <v>3763</v>
      </c>
      <c r="N84" s="868" t="s">
        <v>1916</v>
      </c>
    </row>
    <row r="85" spans="1:14" s="8" customFormat="1" x14ac:dyDescent="0.25">
      <c r="A85" s="8" t="str">
        <f t="shared" ca="1" si="3"/>
        <v>Beispiel:</v>
      </c>
      <c r="B85" s="906">
        <v>82</v>
      </c>
      <c r="C85" s="895" t="s">
        <v>909</v>
      </c>
      <c r="D85" s="8" t="s">
        <v>2417</v>
      </c>
      <c r="E85" s="8" t="s">
        <v>3129</v>
      </c>
      <c r="F85" s="891" t="s">
        <v>3440</v>
      </c>
      <c r="G85" s="891" t="s">
        <v>3439</v>
      </c>
      <c r="H85" s="891" t="s">
        <v>2970</v>
      </c>
      <c r="I85" s="8" t="s">
        <v>2598</v>
      </c>
      <c r="J85" s="8" t="s">
        <v>2797</v>
      </c>
      <c r="K85" s="8" t="s">
        <v>3269</v>
      </c>
      <c r="L85" s="754" t="s">
        <v>3612</v>
      </c>
      <c r="M85" s="8" t="s">
        <v>3764</v>
      </c>
      <c r="N85" s="868" t="s">
        <v>1916</v>
      </c>
    </row>
    <row r="86" spans="1:14" s="8" customFormat="1" x14ac:dyDescent="0.25">
      <c r="A86" s="8" t="str">
        <f t="shared" ca="1" si="3"/>
        <v>Bei einer Tür mit den Maßen 2000 x 600 mm und</v>
      </c>
      <c r="B86" s="906">
        <v>83</v>
      </c>
      <c r="C86" s="895" t="s">
        <v>910</v>
      </c>
      <c r="D86" s="8" t="s">
        <v>2418</v>
      </c>
      <c r="E86" s="8" t="s">
        <v>3130</v>
      </c>
      <c r="F86" s="891" t="s">
        <v>3441</v>
      </c>
      <c r="G86" s="891" t="s">
        <v>3937</v>
      </c>
      <c r="H86" s="891" t="s">
        <v>2971</v>
      </c>
      <c r="I86" s="8" t="s">
        <v>2599</v>
      </c>
      <c r="J86" s="8" t="s">
        <v>2896</v>
      </c>
      <c r="K86" s="8" t="s">
        <v>3270</v>
      </c>
      <c r="L86" s="754" t="s">
        <v>3613</v>
      </c>
      <c r="M86" s="8" t="s">
        <v>3765</v>
      </c>
      <c r="N86" s="868" t="s">
        <v>1916</v>
      </c>
    </row>
    <row r="87" spans="1:14" s="8" customFormat="1" x14ac:dyDescent="0.25">
      <c r="A87" s="8" t="str">
        <f t="shared" ca="1" si="3"/>
        <v>einem Gewicht von 13 kg wird der Einsatz von</v>
      </c>
      <c r="B87" s="906">
        <v>84</v>
      </c>
      <c r="C87" s="895" t="s">
        <v>911</v>
      </c>
      <c r="D87" s="8" t="s">
        <v>2419</v>
      </c>
      <c r="E87" s="8" t="s">
        <v>3131</v>
      </c>
      <c r="F87" s="891"/>
      <c r="G87" s="891" t="s">
        <v>4020</v>
      </c>
      <c r="H87" s="891" t="s">
        <v>2972</v>
      </c>
      <c r="I87" s="8" t="s">
        <v>2726</v>
      </c>
      <c r="J87" s="8" t="s">
        <v>2897</v>
      </c>
      <c r="K87" s="8" t="s">
        <v>3271</v>
      </c>
      <c r="L87" s="754" t="s">
        <v>3614</v>
      </c>
      <c r="M87" s="8" t="s">
        <v>3766</v>
      </c>
      <c r="N87" s="868" t="s">
        <v>1916</v>
      </c>
    </row>
    <row r="88" spans="1:14" s="8" customFormat="1" x14ac:dyDescent="0.25">
      <c r="A88" s="8" t="str">
        <f t="shared" ca="1" si="3"/>
        <v>4 Scharnieren empfohlen.</v>
      </c>
      <c r="B88" s="906">
        <v>85</v>
      </c>
      <c r="C88" s="895" t="s">
        <v>912</v>
      </c>
      <c r="D88" s="8" t="s">
        <v>2420</v>
      </c>
      <c r="E88" s="8" t="s">
        <v>3132</v>
      </c>
      <c r="F88" s="891"/>
      <c r="G88" s="891" t="s">
        <v>4021</v>
      </c>
      <c r="H88" s="891" t="s">
        <v>2973</v>
      </c>
      <c r="I88" s="8" t="s">
        <v>2727</v>
      </c>
      <c r="J88" s="868" t="s">
        <v>1916</v>
      </c>
      <c r="K88" s="8" t="s">
        <v>3272</v>
      </c>
      <c r="L88" s="754"/>
      <c r="M88" s="8" t="s">
        <v>3767</v>
      </c>
      <c r="N88" s="868" t="s">
        <v>1916</v>
      </c>
    </row>
    <row r="89" spans="1:14" s="8" customFormat="1" x14ac:dyDescent="0.25">
      <c r="A89" s="8" t="str">
        <f ca="1">OFFSET(B89,0,$B$3,1,1)</f>
        <v>Gewichtsangaben gelten nicht für Mirro- und M0 Scharniere!</v>
      </c>
      <c r="B89" s="906">
        <v>86</v>
      </c>
      <c r="C89" s="895" t="s">
        <v>2512</v>
      </c>
      <c r="D89" s="8" t="s">
        <v>2513</v>
      </c>
      <c r="E89" s="8" t="s">
        <v>3133</v>
      </c>
      <c r="F89" s="891" t="s">
        <v>3442</v>
      </c>
      <c r="G89" s="893" t="s">
        <v>3938</v>
      </c>
      <c r="H89" s="891" t="s">
        <v>2974</v>
      </c>
      <c r="I89" s="8" t="s">
        <v>2600</v>
      </c>
      <c r="J89" s="8" t="s">
        <v>2798</v>
      </c>
      <c r="K89" s="8" t="s">
        <v>3273</v>
      </c>
      <c r="L89" s="754"/>
      <c r="M89" s="8" t="s">
        <v>3768</v>
      </c>
      <c r="N89" s="868" t="s">
        <v>1916</v>
      </c>
    </row>
    <row r="90" spans="1:14" s="8" customFormat="1" x14ac:dyDescent="0.25">
      <c r="A90" s="8" t="str">
        <f t="shared" ca="1" si="3"/>
        <v xml:space="preserve">Das Diagramm bezieht sich auf Scharniere mit und </v>
      </c>
      <c r="B90" s="906">
        <v>87</v>
      </c>
      <c r="C90" s="899" t="s">
        <v>2509</v>
      </c>
      <c r="D90" s="8" t="s">
        <v>2510</v>
      </c>
      <c r="E90" s="8" t="s">
        <v>3134</v>
      </c>
      <c r="F90" s="891" t="s">
        <v>3443</v>
      </c>
      <c r="G90" s="891" t="s">
        <v>3939</v>
      </c>
      <c r="H90" s="891" t="s">
        <v>2975</v>
      </c>
      <c r="I90" s="8" t="s">
        <v>2601</v>
      </c>
      <c r="J90" s="8" t="s">
        <v>2898</v>
      </c>
      <c r="K90" s="8" t="s">
        <v>3274</v>
      </c>
      <c r="L90" s="754" t="s">
        <v>3615</v>
      </c>
      <c r="M90" s="8" t="s">
        <v>3769</v>
      </c>
      <c r="N90" s="868" t="s">
        <v>1916</v>
      </c>
    </row>
    <row r="91" spans="1:14" s="672" customFormat="1" x14ac:dyDescent="0.25">
      <c r="A91" s="672" t="str">
        <f ca="1">OFFSET(B91,0,$B$3,1,1)</f>
        <v>ohne integrierte Dämpfung.</v>
      </c>
      <c r="B91" s="907">
        <v>88</v>
      </c>
      <c r="C91" s="900" t="s">
        <v>913</v>
      </c>
      <c r="D91" s="672" t="s">
        <v>2511</v>
      </c>
      <c r="E91" s="672" t="s">
        <v>3118</v>
      </c>
      <c r="F91" s="893" t="s">
        <v>3432</v>
      </c>
      <c r="H91" s="893" t="s">
        <v>2961</v>
      </c>
      <c r="I91" s="672" t="s">
        <v>2724</v>
      </c>
      <c r="J91" s="672" t="s">
        <v>2899</v>
      </c>
      <c r="K91" s="672" t="s">
        <v>3275</v>
      </c>
      <c r="L91" s="889" t="s">
        <v>3616</v>
      </c>
      <c r="M91" s="672" t="s">
        <v>3770</v>
      </c>
      <c r="N91" s="912" t="s">
        <v>1916</v>
      </c>
    </row>
    <row r="92" spans="1:14" s="8" customFormat="1" x14ac:dyDescent="0.25">
      <c r="A92" s="8" t="str">
        <f t="shared" ca="1" si="3"/>
        <v>Scharnier</v>
      </c>
      <c r="B92" s="906">
        <v>89</v>
      </c>
      <c r="C92" s="895" t="s">
        <v>26</v>
      </c>
      <c r="D92" s="8" t="s">
        <v>2421</v>
      </c>
      <c r="E92" s="8" t="s">
        <v>3135</v>
      </c>
      <c r="F92" s="891" t="s">
        <v>3444</v>
      </c>
      <c r="G92" s="891" t="s">
        <v>3940</v>
      </c>
      <c r="H92" s="891" t="s">
        <v>2976</v>
      </c>
      <c r="I92" s="8" t="s">
        <v>2602</v>
      </c>
      <c r="J92" s="8" t="s">
        <v>2799</v>
      </c>
      <c r="K92" s="8" t="s">
        <v>3276</v>
      </c>
      <c r="L92" s="754" t="s">
        <v>3617</v>
      </c>
      <c r="M92" s="8" t="s">
        <v>3771</v>
      </c>
      <c r="N92" s="891" t="s">
        <v>3374</v>
      </c>
    </row>
    <row r="93" spans="1:14" s="8" customFormat="1" x14ac:dyDescent="0.25">
      <c r="A93" s="8" t="str">
        <f t="shared" ca="1" si="3"/>
        <v>Standardscharnier</v>
      </c>
      <c r="B93" s="906">
        <v>90</v>
      </c>
      <c r="C93" s="895" t="s">
        <v>1354</v>
      </c>
      <c r="D93" s="8" t="s">
        <v>2422</v>
      </c>
      <c r="E93" s="8" t="s">
        <v>3136</v>
      </c>
      <c r="F93" s="891" t="s">
        <v>3445</v>
      </c>
      <c r="G93" s="891" t="s">
        <v>3941</v>
      </c>
      <c r="H93" s="891" t="s">
        <v>2977</v>
      </c>
      <c r="I93" s="8" t="s">
        <v>2728</v>
      </c>
      <c r="J93" s="8" t="s">
        <v>2800</v>
      </c>
      <c r="K93" s="8" t="s">
        <v>3277</v>
      </c>
      <c r="L93" s="754" t="s">
        <v>3618</v>
      </c>
      <c r="M93" s="8" t="s">
        <v>3772</v>
      </c>
      <c r="N93" s="891" t="s">
        <v>3374</v>
      </c>
    </row>
    <row r="94" spans="1:14" s="8" customFormat="1" ht="16.5" customHeight="1" x14ac:dyDescent="0.25">
      <c r="A94" s="8" t="str">
        <f t="shared" ca="1" si="3"/>
        <v>Winkelscharnier</v>
      </c>
      <c r="B94" s="906">
        <v>91</v>
      </c>
      <c r="C94" s="895" t="s">
        <v>1355</v>
      </c>
      <c r="D94" s="869" t="s">
        <v>2508</v>
      </c>
      <c r="E94" s="8" t="s">
        <v>3137</v>
      </c>
      <c r="F94" s="869" t="s">
        <v>3444</v>
      </c>
      <c r="G94" s="869" t="s">
        <v>3940</v>
      </c>
      <c r="H94" s="891" t="s">
        <v>2978</v>
      </c>
      <c r="I94" s="8" t="s">
        <v>2729</v>
      </c>
      <c r="J94" s="8" t="s">
        <v>2801</v>
      </c>
      <c r="K94" s="8" t="s">
        <v>3276</v>
      </c>
      <c r="L94" s="754" t="s">
        <v>3619</v>
      </c>
      <c r="M94" s="8" t="s">
        <v>3773</v>
      </c>
      <c r="N94" s="891" t="s">
        <v>3374</v>
      </c>
    </row>
    <row r="95" spans="1:14" s="8" customFormat="1" ht="15.75" customHeight="1" x14ac:dyDescent="0.25">
      <c r="A95" s="8" t="str">
        <f t="shared" ca="1" si="3"/>
        <v>Alu-/Glas- &amp; Spiegelscharnier</v>
      </c>
      <c r="B95" s="906">
        <v>92</v>
      </c>
      <c r="C95" s="895" t="s">
        <v>1356</v>
      </c>
      <c r="D95" s="869" t="s">
        <v>2518</v>
      </c>
      <c r="E95" s="8" t="s">
        <v>3138</v>
      </c>
      <c r="F95" s="869" t="s">
        <v>3446</v>
      </c>
      <c r="G95" s="869" t="s">
        <v>3942</v>
      </c>
      <c r="H95" s="891" t="s">
        <v>2979</v>
      </c>
      <c r="I95" s="8" t="s">
        <v>2730</v>
      </c>
      <c r="J95" s="8" t="s">
        <v>2802</v>
      </c>
      <c r="K95" s="8" t="s">
        <v>3278</v>
      </c>
      <c r="L95" s="754" t="s">
        <v>3620</v>
      </c>
      <c r="M95" s="8" t="s">
        <v>3774</v>
      </c>
      <c r="N95" s="891" t="s">
        <v>3374</v>
      </c>
    </row>
    <row r="96" spans="1:14" s="8" customFormat="1" x14ac:dyDescent="0.25">
      <c r="A96" s="8" t="str">
        <f t="shared" ca="1" si="3"/>
        <v>Spezialscharnier</v>
      </c>
      <c r="B96" s="906">
        <v>93</v>
      </c>
      <c r="C96" s="895" t="s">
        <v>1357</v>
      </c>
      <c r="D96" s="8" t="s">
        <v>2423</v>
      </c>
      <c r="E96" s="8" t="s">
        <v>3139</v>
      </c>
      <c r="F96" s="891" t="s">
        <v>3447</v>
      </c>
      <c r="G96" s="891" t="s">
        <v>3943</v>
      </c>
      <c r="H96" s="891" t="s">
        <v>2980</v>
      </c>
      <c r="I96" s="8" t="s">
        <v>2731</v>
      </c>
      <c r="J96" s="8" t="s">
        <v>2803</v>
      </c>
      <c r="K96" s="8" t="s">
        <v>3279</v>
      </c>
      <c r="L96" s="754" t="s">
        <v>3621</v>
      </c>
      <c r="M96" s="8" t="s">
        <v>3775</v>
      </c>
      <c r="N96" s="891" t="s">
        <v>3374</v>
      </c>
    </row>
    <row r="97" spans="1:14" s="8" customFormat="1" x14ac:dyDescent="0.25">
      <c r="A97" s="8" t="str">
        <f t="shared" ca="1" si="3"/>
        <v>Anzahl Scharniere</v>
      </c>
      <c r="B97" s="906">
        <v>94</v>
      </c>
      <c r="C97" s="895" t="s">
        <v>1341</v>
      </c>
      <c r="D97" s="8" t="s">
        <v>2424</v>
      </c>
      <c r="E97" s="8" t="s">
        <v>3140</v>
      </c>
      <c r="F97" s="891" t="s">
        <v>3448</v>
      </c>
      <c r="G97" s="891" t="s">
        <v>3944</v>
      </c>
      <c r="H97" s="891" t="s">
        <v>2981</v>
      </c>
      <c r="I97" s="8" t="s">
        <v>2603</v>
      </c>
      <c r="J97" s="8" t="s">
        <v>2804</v>
      </c>
      <c r="K97" s="8" t="s">
        <v>3280</v>
      </c>
      <c r="L97" s="754" t="s">
        <v>3622</v>
      </c>
      <c r="M97" s="8" t="s">
        <v>3776</v>
      </c>
      <c r="N97" s="891" t="s">
        <v>3374</v>
      </c>
    </row>
    <row r="98" spans="1:14" s="34" customFormat="1" x14ac:dyDescent="0.25">
      <c r="A98" s="8" t="str">
        <f t="shared" ca="1" si="3"/>
        <v>Öffnungswinkel Scharnier</v>
      </c>
      <c r="B98" s="906">
        <v>95</v>
      </c>
      <c r="C98" s="895" t="s">
        <v>1895</v>
      </c>
      <c r="D98" s="8" t="s">
        <v>2425</v>
      </c>
      <c r="E98" s="8" t="s">
        <v>3141</v>
      </c>
      <c r="F98" s="891" t="s">
        <v>3449</v>
      </c>
      <c r="G98" s="891" t="s">
        <v>3945</v>
      </c>
      <c r="H98" s="891" t="s">
        <v>2982</v>
      </c>
      <c r="I98" s="8" t="s">
        <v>2604</v>
      </c>
      <c r="J98" s="8" t="s">
        <v>2805</v>
      </c>
      <c r="K98" s="8" t="s">
        <v>3281</v>
      </c>
      <c r="L98" s="890" t="s">
        <v>3623</v>
      </c>
      <c r="M98" s="34" t="s">
        <v>3777</v>
      </c>
      <c r="N98" s="891" t="s">
        <v>3374</v>
      </c>
    </row>
    <row r="99" spans="1:14" s="34" customFormat="1" x14ac:dyDescent="0.25">
      <c r="A99" s="8" t="str">
        <f t="shared" ca="1" si="3"/>
        <v>Öffnungswinkelbegrenzer</v>
      </c>
      <c r="B99" s="906">
        <v>96</v>
      </c>
      <c r="C99" s="895" t="s">
        <v>2265</v>
      </c>
      <c r="D99" s="8" t="s">
        <v>2426</v>
      </c>
      <c r="E99" s="8" t="s">
        <v>3142</v>
      </c>
      <c r="F99" s="891" t="s">
        <v>3450</v>
      </c>
      <c r="G99" s="891" t="s">
        <v>3946</v>
      </c>
      <c r="H99" s="891" t="s">
        <v>2983</v>
      </c>
      <c r="I99" s="8" t="s">
        <v>2605</v>
      </c>
      <c r="J99" s="8" t="s">
        <v>2806</v>
      </c>
      <c r="K99" s="8" t="s">
        <v>3282</v>
      </c>
      <c r="L99" s="890" t="s">
        <v>3624</v>
      </c>
      <c r="M99" s="34" t="s">
        <v>3778</v>
      </c>
      <c r="N99" s="891" t="s">
        <v>3374</v>
      </c>
    </row>
    <row r="100" spans="1:14" s="8" customFormat="1" x14ac:dyDescent="0.25">
      <c r="A100" s="8" t="str">
        <f t="shared" ca="1" si="3"/>
        <v xml:space="preserve">Scharnierbefestigung </v>
      </c>
      <c r="B100" s="906">
        <v>97</v>
      </c>
      <c r="C100" s="895" t="s">
        <v>21</v>
      </c>
      <c r="D100" s="8" t="s">
        <v>2427</v>
      </c>
      <c r="E100" s="8" t="s">
        <v>3143</v>
      </c>
      <c r="F100" s="891" t="s">
        <v>3451</v>
      </c>
      <c r="G100" s="891" t="s">
        <v>3947</v>
      </c>
      <c r="H100" s="891" t="s">
        <v>2984</v>
      </c>
      <c r="I100" s="8" t="s">
        <v>2606</v>
      </c>
      <c r="J100" s="8" t="s">
        <v>2807</v>
      </c>
      <c r="K100" s="8" t="s">
        <v>3283</v>
      </c>
      <c r="L100" s="754" t="s">
        <v>3625</v>
      </c>
      <c r="M100" s="8" t="s">
        <v>3779</v>
      </c>
      <c r="N100" s="891" t="s">
        <v>3374</v>
      </c>
    </row>
    <row r="101" spans="1:14" s="8" customFormat="1" x14ac:dyDescent="0.25">
      <c r="A101" s="8" t="str">
        <f t="shared" ref="A101:A137" ca="1" si="4">OFFSET(B101,0,$B$3,1,1)</f>
        <v>Scharniertyp</v>
      </c>
      <c r="B101" s="906">
        <v>98</v>
      </c>
      <c r="C101" s="895" t="s">
        <v>13</v>
      </c>
      <c r="D101" s="8" t="s">
        <v>2428</v>
      </c>
      <c r="E101" s="8" t="s">
        <v>3144</v>
      </c>
      <c r="F101" s="891" t="s">
        <v>3452</v>
      </c>
      <c r="G101" s="891" t="s">
        <v>3948</v>
      </c>
      <c r="H101" s="891" t="s">
        <v>2985</v>
      </c>
      <c r="I101" s="8" t="s">
        <v>2607</v>
      </c>
      <c r="J101" s="8" t="s">
        <v>2808</v>
      </c>
      <c r="K101" s="8" t="s">
        <v>3284</v>
      </c>
      <c r="L101" s="754" t="s">
        <v>3626</v>
      </c>
      <c r="M101" s="8" t="s">
        <v>3780</v>
      </c>
      <c r="N101" s="891" t="s">
        <v>3374</v>
      </c>
    </row>
    <row r="102" spans="1:14" s="8" customFormat="1" x14ac:dyDescent="0.25">
      <c r="A102" s="8" t="str">
        <f t="shared" ca="1" si="4"/>
        <v>Tiomos Quick Scharnier</v>
      </c>
      <c r="B102" s="906">
        <v>99</v>
      </c>
      <c r="C102" s="895" t="s">
        <v>1508</v>
      </c>
      <c r="D102" s="8" t="s">
        <v>2429</v>
      </c>
      <c r="E102" s="8" t="s">
        <v>3145</v>
      </c>
      <c r="F102" s="891" t="s">
        <v>3453</v>
      </c>
      <c r="G102" s="891" t="s">
        <v>3949</v>
      </c>
      <c r="H102" s="891" t="s">
        <v>2986</v>
      </c>
      <c r="I102" s="8" t="s">
        <v>2608</v>
      </c>
      <c r="J102" s="8" t="s">
        <v>2809</v>
      </c>
      <c r="K102" s="8" t="s">
        <v>3285</v>
      </c>
      <c r="L102" s="754" t="s">
        <v>2608</v>
      </c>
      <c r="M102" s="8" t="s">
        <v>3781</v>
      </c>
      <c r="N102" s="891" t="s">
        <v>3374</v>
      </c>
    </row>
    <row r="103" spans="1:14" s="8" customFormat="1" x14ac:dyDescent="0.25">
      <c r="A103" s="8" t="str">
        <f t="shared" ca="1" si="4"/>
        <v>Tiomos Click-On Scharniere</v>
      </c>
      <c r="B103" s="906">
        <v>100</v>
      </c>
      <c r="C103" s="895" t="s">
        <v>227</v>
      </c>
      <c r="D103" s="8" t="s">
        <v>2430</v>
      </c>
      <c r="E103" s="8" t="s">
        <v>3146</v>
      </c>
      <c r="F103" s="891" t="s">
        <v>3454</v>
      </c>
      <c r="G103" s="891" t="s">
        <v>3950</v>
      </c>
      <c r="H103" s="891" t="s">
        <v>2987</v>
      </c>
      <c r="I103" s="8" t="s">
        <v>2609</v>
      </c>
      <c r="J103" s="8" t="s">
        <v>2810</v>
      </c>
      <c r="K103" s="8" t="s">
        <v>3286</v>
      </c>
      <c r="L103" s="754" t="s">
        <v>3627</v>
      </c>
      <c r="M103" s="8" t="s">
        <v>3782</v>
      </c>
      <c r="N103" s="891" t="s">
        <v>3374</v>
      </c>
    </row>
    <row r="104" spans="1:14" s="8" customFormat="1" x14ac:dyDescent="0.25">
      <c r="A104" s="8" t="str">
        <f t="shared" ca="1" si="4"/>
        <v>Scharnier T Click-on 110°</v>
      </c>
      <c r="B104" s="906">
        <v>101</v>
      </c>
      <c r="C104" s="895" t="s">
        <v>580</v>
      </c>
      <c r="D104" s="8" t="s">
        <v>2431</v>
      </c>
      <c r="E104" s="8" t="s">
        <v>3147</v>
      </c>
      <c r="F104" s="891" t="s">
        <v>3455</v>
      </c>
      <c r="G104" s="891" t="s">
        <v>3951</v>
      </c>
      <c r="H104" s="891" t="s">
        <v>2988</v>
      </c>
      <c r="I104" s="8" t="s">
        <v>2610</v>
      </c>
      <c r="J104" s="8" t="s">
        <v>2811</v>
      </c>
      <c r="K104" s="8" t="s">
        <v>3287</v>
      </c>
      <c r="L104" s="754" t="s">
        <v>2610</v>
      </c>
      <c r="M104" s="8" t="s">
        <v>3783</v>
      </c>
      <c r="N104" s="891" t="s">
        <v>3374</v>
      </c>
    </row>
    <row r="105" spans="1:14" s="8" customFormat="1" x14ac:dyDescent="0.25">
      <c r="A105" s="8" t="str">
        <f t="shared" ca="1" si="4"/>
        <v>Tiomos Mirro</v>
      </c>
      <c r="B105" s="906">
        <v>102</v>
      </c>
      <c r="C105" s="895" t="s">
        <v>1864</v>
      </c>
      <c r="D105" s="8" t="s">
        <v>1864</v>
      </c>
      <c r="E105" s="8" t="s">
        <v>1864</v>
      </c>
      <c r="F105" s="891" t="s">
        <v>1864</v>
      </c>
      <c r="G105" s="891" t="s">
        <v>1864</v>
      </c>
      <c r="H105" s="891" t="s">
        <v>1864</v>
      </c>
      <c r="I105" s="8" t="s">
        <v>1864</v>
      </c>
      <c r="J105" s="8" t="s">
        <v>1864</v>
      </c>
      <c r="K105" s="8" t="s">
        <v>3288</v>
      </c>
      <c r="L105" s="754" t="s">
        <v>1864</v>
      </c>
      <c r="M105" s="8" t="s">
        <v>1864</v>
      </c>
      <c r="N105" s="891" t="s">
        <v>3374</v>
      </c>
    </row>
    <row r="106" spans="1:14" s="8" customFormat="1" x14ac:dyDescent="0.25">
      <c r="A106" s="8" t="str">
        <f t="shared" ca="1" si="4"/>
        <v>Tiomos, 85°</v>
      </c>
      <c r="B106" s="906">
        <v>103</v>
      </c>
      <c r="C106" s="895" t="s">
        <v>2266</v>
      </c>
      <c r="D106" s="8" t="s">
        <v>2266</v>
      </c>
      <c r="E106" s="8" t="s">
        <v>2266</v>
      </c>
      <c r="F106" s="891" t="s">
        <v>3456</v>
      </c>
      <c r="G106" s="891" t="s">
        <v>3952</v>
      </c>
      <c r="H106" s="891" t="s">
        <v>2266</v>
      </c>
      <c r="I106" s="8" t="s">
        <v>2266</v>
      </c>
      <c r="J106" s="8" t="s">
        <v>2266</v>
      </c>
      <c r="K106" s="8" t="s">
        <v>3289</v>
      </c>
      <c r="L106" s="754" t="s">
        <v>2266</v>
      </c>
      <c r="M106" s="8" t="s">
        <v>3784</v>
      </c>
      <c r="N106" s="891" t="s">
        <v>3374</v>
      </c>
    </row>
    <row r="107" spans="1:14" s="8" customFormat="1" x14ac:dyDescent="0.25">
      <c r="A107" s="8" t="str">
        <f t="shared" ca="1" si="4"/>
        <v>Tiomos, 120°</v>
      </c>
      <c r="B107" s="906">
        <v>104</v>
      </c>
      <c r="C107" s="895" t="s">
        <v>2268</v>
      </c>
      <c r="D107" s="8" t="s">
        <v>2268</v>
      </c>
      <c r="E107" s="8" t="s">
        <v>2268</v>
      </c>
      <c r="F107" s="891" t="s">
        <v>3457</v>
      </c>
      <c r="G107" s="891" t="s">
        <v>3457</v>
      </c>
      <c r="H107" s="891" t="s">
        <v>2268</v>
      </c>
      <c r="I107" s="8" t="s">
        <v>2268</v>
      </c>
      <c r="J107" s="8" t="s">
        <v>2268</v>
      </c>
      <c r="K107" s="8" t="s">
        <v>3290</v>
      </c>
      <c r="L107" s="754" t="s">
        <v>2268</v>
      </c>
      <c r="M107" s="8" t="s">
        <v>2268</v>
      </c>
      <c r="N107" s="891" t="s">
        <v>3374</v>
      </c>
    </row>
    <row r="108" spans="1:14" s="8" customFormat="1" x14ac:dyDescent="0.25">
      <c r="A108" s="8" t="str">
        <f t="shared" ca="1" si="4"/>
        <v>90° Winkelbegrenzer</v>
      </c>
      <c r="B108" s="906">
        <v>105</v>
      </c>
      <c r="C108" s="895" t="s">
        <v>2270</v>
      </c>
      <c r="D108" s="8" t="s">
        <v>2432</v>
      </c>
      <c r="E108" s="8" t="s">
        <v>3148</v>
      </c>
      <c r="F108" s="891" t="s">
        <v>3458</v>
      </c>
      <c r="G108" s="891" t="s">
        <v>3953</v>
      </c>
      <c r="H108" s="891" t="s">
        <v>2989</v>
      </c>
      <c r="I108" s="8" t="s">
        <v>2611</v>
      </c>
      <c r="J108" s="8" t="s">
        <v>2812</v>
      </c>
      <c r="K108" s="8" t="s">
        <v>3291</v>
      </c>
      <c r="L108" s="754" t="s">
        <v>3628</v>
      </c>
      <c r="M108" s="8" t="s">
        <v>3785</v>
      </c>
      <c r="N108" s="891" t="s">
        <v>3374</v>
      </c>
    </row>
    <row r="109" spans="1:14" s="8" customFormat="1" x14ac:dyDescent="0.25">
      <c r="A109" s="8" t="str">
        <f t="shared" ca="1" si="4"/>
        <v>Öffnungswinkelbegrenzer</v>
      </c>
      <c r="B109" s="906">
        <v>106</v>
      </c>
      <c r="C109" s="895" t="s">
        <v>2265</v>
      </c>
      <c r="D109" s="8" t="s">
        <v>2426</v>
      </c>
      <c r="E109" s="8" t="s">
        <v>3142</v>
      </c>
      <c r="F109" s="891" t="s">
        <v>3459</v>
      </c>
      <c r="G109" s="891" t="s">
        <v>3946</v>
      </c>
      <c r="H109" s="891" t="s">
        <v>2983</v>
      </c>
      <c r="I109" s="8" t="s">
        <v>2605</v>
      </c>
      <c r="J109" s="8" t="s">
        <v>2813</v>
      </c>
      <c r="K109" s="8" t="s">
        <v>3282</v>
      </c>
      <c r="L109" s="754" t="s">
        <v>3629</v>
      </c>
      <c r="M109" s="8" t="s">
        <v>3778</v>
      </c>
      <c r="N109" s="891" t="s">
        <v>3374</v>
      </c>
    </row>
    <row r="110" spans="1:14" s="8" customFormat="1" x14ac:dyDescent="0.25">
      <c r="A110" s="8" t="str">
        <f t="shared" ca="1" si="4"/>
        <v>Tiomos Scharnier T Click-on</v>
      </c>
      <c r="B110" s="906">
        <v>107</v>
      </c>
      <c r="C110" s="895" t="s">
        <v>2349</v>
      </c>
      <c r="D110" s="8" t="s">
        <v>2433</v>
      </c>
      <c r="E110" s="8" t="s">
        <v>2433</v>
      </c>
      <c r="F110" s="891" t="s">
        <v>3460</v>
      </c>
      <c r="G110" s="891" t="s">
        <v>3954</v>
      </c>
      <c r="H110" s="891" t="s">
        <v>2990</v>
      </c>
      <c r="I110" s="8" t="s">
        <v>2612</v>
      </c>
      <c r="J110" s="8" t="s">
        <v>2814</v>
      </c>
      <c r="K110" s="8" t="s">
        <v>3292</v>
      </c>
      <c r="L110" s="754" t="s">
        <v>2612</v>
      </c>
      <c r="M110" s="8" t="s">
        <v>3786</v>
      </c>
      <c r="N110" s="891" t="s">
        <v>3374</v>
      </c>
    </row>
    <row r="111" spans="1:14" s="8" customFormat="1" x14ac:dyDescent="0.25">
      <c r="A111" s="8" t="str">
        <f t="shared" ca="1" si="4"/>
        <v>Tiomos Scharnier T Impresso</v>
      </c>
      <c r="B111" s="906">
        <v>108</v>
      </c>
      <c r="C111" s="895" t="s">
        <v>2350</v>
      </c>
      <c r="D111" s="8" t="s">
        <v>2434</v>
      </c>
      <c r="E111" s="8" t="s">
        <v>2434</v>
      </c>
      <c r="F111" s="891" t="s">
        <v>3461</v>
      </c>
      <c r="G111" s="891" t="s">
        <v>3955</v>
      </c>
      <c r="H111" s="891" t="s">
        <v>2991</v>
      </c>
      <c r="I111" s="8" t="s">
        <v>2613</v>
      </c>
      <c r="J111" s="8" t="s">
        <v>2815</v>
      </c>
      <c r="K111" s="8" t="s">
        <v>3293</v>
      </c>
      <c r="L111" s="754" t="s">
        <v>2613</v>
      </c>
      <c r="M111" s="8" t="s">
        <v>3787</v>
      </c>
      <c r="N111" s="891" t="s">
        <v>3374</v>
      </c>
    </row>
    <row r="112" spans="1:14" s="8" customFormat="1" x14ac:dyDescent="0.25">
      <c r="A112" s="8" t="str">
        <f t="shared" ca="1" si="4"/>
        <v>Tiomos Scharnier TS Click-on</v>
      </c>
      <c r="B112" s="906">
        <v>109</v>
      </c>
      <c r="C112" s="895" t="s">
        <v>2351</v>
      </c>
      <c r="D112" s="8" t="s">
        <v>2435</v>
      </c>
      <c r="E112" s="8" t="s">
        <v>2435</v>
      </c>
      <c r="F112" s="891" t="s">
        <v>3462</v>
      </c>
      <c r="G112" s="891" t="s">
        <v>3956</v>
      </c>
      <c r="H112" s="891" t="s">
        <v>2992</v>
      </c>
      <c r="I112" s="8" t="s">
        <v>2614</v>
      </c>
      <c r="J112" s="8" t="s">
        <v>2816</v>
      </c>
      <c r="K112" s="8" t="s">
        <v>3294</v>
      </c>
      <c r="L112" s="754" t="s">
        <v>3630</v>
      </c>
      <c r="M112" s="8" t="s">
        <v>3788</v>
      </c>
      <c r="N112" s="891" t="s">
        <v>3374</v>
      </c>
    </row>
    <row r="113" spans="1:14" s="8" customFormat="1" x14ac:dyDescent="0.25">
      <c r="A113" s="8" t="str">
        <f t="shared" ca="1" si="4"/>
        <v>Tiomos Scharnier TS Impresso</v>
      </c>
      <c r="B113" s="906">
        <v>110</v>
      </c>
      <c r="C113" s="895" t="s">
        <v>2352</v>
      </c>
      <c r="D113" s="8" t="s">
        <v>2436</v>
      </c>
      <c r="E113" s="8" t="s">
        <v>2436</v>
      </c>
      <c r="F113" s="891" t="s">
        <v>3463</v>
      </c>
      <c r="G113" s="891" t="s">
        <v>3957</v>
      </c>
      <c r="H113" s="891" t="s">
        <v>2993</v>
      </c>
      <c r="I113" s="8" t="s">
        <v>2615</v>
      </c>
      <c r="J113" s="8" t="s">
        <v>2817</v>
      </c>
      <c r="K113" s="8" t="s">
        <v>3295</v>
      </c>
      <c r="L113" s="754" t="s">
        <v>2615</v>
      </c>
      <c r="M113" s="8" t="s">
        <v>3789</v>
      </c>
      <c r="N113" s="891" t="s">
        <v>3374</v>
      </c>
    </row>
    <row r="114" spans="1:14" s="8" customFormat="1" x14ac:dyDescent="0.25">
      <c r="A114" s="8" t="str">
        <f t="shared" ca="1" si="4"/>
        <v>Tiomos Scharnier TT Click-on</v>
      </c>
      <c r="B114" s="906">
        <v>111</v>
      </c>
      <c r="C114" s="895" t="s">
        <v>2353</v>
      </c>
      <c r="D114" s="8" t="s">
        <v>2437</v>
      </c>
      <c r="E114" s="8" t="s">
        <v>2437</v>
      </c>
      <c r="F114" s="891" t="s">
        <v>3464</v>
      </c>
      <c r="G114" s="891" t="s">
        <v>3958</v>
      </c>
      <c r="H114" s="891" t="s">
        <v>2994</v>
      </c>
      <c r="I114" s="8" t="s">
        <v>2616</v>
      </c>
      <c r="J114" s="8" t="s">
        <v>2818</v>
      </c>
      <c r="K114" s="8" t="s">
        <v>3296</v>
      </c>
      <c r="L114" s="754" t="s">
        <v>2616</v>
      </c>
      <c r="M114" s="8" t="s">
        <v>3790</v>
      </c>
      <c r="N114" s="891" t="s">
        <v>3374</v>
      </c>
    </row>
    <row r="115" spans="1:14" s="8" customFormat="1" x14ac:dyDescent="0.25">
      <c r="A115" s="8" t="str">
        <f t="shared" ca="1" si="4"/>
        <v>Tiomos Scharnier TT Impresso</v>
      </c>
      <c r="B115" s="906">
        <v>112</v>
      </c>
      <c r="C115" s="895" t="s">
        <v>2354</v>
      </c>
      <c r="D115" s="8" t="s">
        <v>2438</v>
      </c>
      <c r="E115" s="8" t="s">
        <v>2438</v>
      </c>
      <c r="F115" s="891" t="s">
        <v>3465</v>
      </c>
      <c r="G115" s="891" t="s">
        <v>3959</v>
      </c>
      <c r="H115" s="891" t="s">
        <v>2995</v>
      </c>
      <c r="I115" s="8" t="s">
        <v>2617</v>
      </c>
      <c r="J115" s="8" t="s">
        <v>2819</v>
      </c>
      <c r="K115" s="8" t="s">
        <v>3297</v>
      </c>
      <c r="L115" s="754" t="s">
        <v>2617</v>
      </c>
      <c r="M115" s="8" t="s">
        <v>3791</v>
      </c>
      <c r="N115" s="891" t="s">
        <v>3374</v>
      </c>
    </row>
    <row r="116" spans="1:14" s="8" customFormat="1" x14ac:dyDescent="0.25">
      <c r="A116" s="8" t="str">
        <f t="shared" ca="1" si="4"/>
        <v>Tiomos Impresso Scharniere</v>
      </c>
      <c r="B116" s="906">
        <v>113</v>
      </c>
      <c r="C116" s="895" t="s">
        <v>60</v>
      </c>
      <c r="D116" s="8" t="s">
        <v>2439</v>
      </c>
      <c r="E116" s="8" t="s">
        <v>2439</v>
      </c>
      <c r="F116" s="891" t="s">
        <v>3466</v>
      </c>
      <c r="G116" s="891" t="s">
        <v>3960</v>
      </c>
      <c r="H116" s="891" t="s">
        <v>2996</v>
      </c>
      <c r="I116" s="8" t="s">
        <v>2618</v>
      </c>
      <c r="J116" s="8" t="s">
        <v>2820</v>
      </c>
      <c r="K116" s="8" t="s">
        <v>3298</v>
      </c>
      <c r="L116" s="754" t="s">
        <v>2618</v>
      </c>
      <c r="M116" s="8" t="s">
        <v>3792</v>
      </c>
      <c r="N116" s="891" t="s">
        <v>3374</v>
      </c>
    </row>
    <row r="117" spans="1:14" s="8" customFormat="1" x14ac:dyDescent="0.25">
      <c r="A117" s="8" t="str">
        <f t="shared" ca="1" si="4"/>
        <v>Tiomos Scharnier T M9 110°</v>
      </c>
      <c r="B117" s="906">
        <v>114</v>
      </c>
      <c r="C117" s="895" t="s">
        <v>1744</v>
      </c>
      <c r="D117" s="8" t="s">
        <v>2440</v>
      </c>
      <c r="E117" s="8" t="s">
        <v>2440</v>
      </c>
      <c r="F117" s="891" t="s">
        <v>3467</v>
      </c>
      <c r="G117" s="891" t="s">
        <v>3961</v>
      </c>
      <c r="H117" s="891" t="s">
        <v>2997</v>
      </c>
      <c r="I117" s="8" t="s">
        <v>2619</v>
      </c>
      <c r="J117" s="8" t="s">
        <v>2821</v>
      </c>
      <c r="K117" s="8" t="s">
        <v>3299</v>
      </c>
      <c r="L117" s="754" t="s">
        <v>3631</v>
      </c>
      <c r="M117" s="8" t="s">
        <v>3793</v>
      </c>
      <c r="N117" s="891" t="s">
        <v>3374</v>
      </c>
    </row>
    <row r="118" spans="1:14" s="8" customFormat="1" x14ac:dyDescent="0.25">
      <c r="A118" s="8" t="str">
        <f t="shared" ca="1" si="4"/>
        <v>Tiomos Scharnier T Click-on</v>
      </c>
      <c r="B118" s="906">
        <v>115</v>
      </c>
      <c r="C118" s="895" t="s">
        <v>2349</v>
      </c>
      <c r="D118" s="8" t="s">
        <v>2433</v>
      </c>
      <c r="E118" s="8" t="s">
        <v>2433</v>
      </c>
      <c r="F118" s="891" t="s">
        <v>3468</v>
      </c>
      <c r="G118" s="891" t="s">
        <v>3962</v>
      </c>
      <c r="H118" s="891" t="s">
        <v>2990</v>
      </c>
      <c r="I118" s="8" t="s">
        <v>2612</v>
      </c>
      <c r="J118" s="8" t="s">
        <v>2814</v>
      </c>
      <c r="K118" s="8" t="s">
        <v>3292</v>
      </c>
      <c r="L118" s="754" t="s">
        <v>2612</v>
      </c>
      <c r="M118" s="8" t="s">
        <v>3786</v>
      </c>
      <c r="N118" s="891" t="s">
        <v>3374</v>
      </c>
    </row>
    <row r="119" spans="1:14" s="8" customFormat="1" x14ac:dyDescent="0.25">
      <c r="A119" s="8" t="str">
        <f t="shared" ca="1" si="4"/>
        <v>Tiomos Scharnier T Impresso</v>
      </c>
      <c r="B119" s="906">
        <v>116</v>
      </c>
      <c r="C119" s="895" t="s">
        <v>2350</v>
      </c>
      <c r="D119" s="8" t="s">
        <v>2434</v>
      </c>
      <c r="E119" s="8" t="s">
        <v>2434</v>
      </c>
      <c r="F119" s="891" t="s">
        <v>3469</v>
      </c>
      <c r="G119" s="891" t="s">
        <v>3955</v>
      </c>
      <c r="H119" s="891" t="s">
        <v>2991</v>
      </c>
      <c r="I119" s="8" t="s">
        <v>2613</v>
      </c>
      <c r="J119" s="8" t="s">
        <v>2815</v>
      </c>
      <c r="K119" s="8" t="s">
        <v>3293</v>
      </c>
      <c r="L119" s="754" t="s">
        <v>2613</v>
      </c>
      <c r="M119" s="8" t="s">
        <v>3787</v>
      </c>
      <c r="N119" s="891" t="s">
        <v>3374</v>
      </c>
    </row>
    <row r="120" spans="1:14" s="8" customFormat="1" x14ac:dyDescent="0.25">
      <c r="A120" s="8" t="str">
        <f t="shared" ca="1" si="4"/>
        <v>Tiomos Scharnier T M0 125°</v>
      </c>
      <c r="B120" s="906">
        <v>117</v>
      </c>
      <c r="C120" s="895" t="s">
        <v>1742</v>
      </c>
      <c r="D120" s="8" t="s">
        <v>2441</v>
      </c>
      <c r="E120" s="8" t="s">
        <v>2441</v>
      </c>
      <c r="F120" s="891" t="s">
        <v>3470</v>
      </c>
      <c r="G120" s="891" t="s">
        <v>3963</v>
      </c>
      <c r="H120" s="891" t="s">
        <v>2998</v>
      </c>
      <c r="I120" s="8" t="s">
        <v>2620</v>
      </c>
      <c r="J120" s="8" t="s">
        <v>2822</v>
      </c>
      <c r="K120" s="8" t="s">
        <v>3300</v>
      </c>
      <c r="L120" s="754" t="s">
        <v>2620</v>
      </c>
      <c r="M120" s="8" t="s">
        <v>3794</v>
      </c>
      <c r="N120" s="891" t="s">
        <v>3374</v>
      </c>
    </row>
    <row r="121" spans="1:14" s="8" customFormat="1" x14ac:dyDescent="0.25">
      <c r="A121" s="8" t="str">
        <f t="shared" ca="1" si="4"/>
        <v>Tiomos Scharnier T M9 110°</v>
      </c>
      <c r="B121" s="906">
        <v>118</v>
      </c>
      <c r="C121" s="895" t="s">
        <v>1744</v>
      </c>
      <c r="D121" s="8" t="s">
        <v>2440</v>
      </c>
      <c r="E121" s="8" t="s">
        <v>2440</v>
      </c>
      <c r="F121" s="891" t="s">
        <v>3471</v>
      </c>
      <c r="G121" s="891" t="s">
        <v>3964</v>
      </c>
      <c r="H121" s="891" t="s">
        <v>2997</v>
      </c>
      <c r="I121" s="8" t="s">
        <v>2621</v>
      </c>
      <c r="J121" s="8" t="s">
        <v>2821</v>
      </c>
      <c r="K121" s="8" t="s">
        <v>3299</v>
      </c>
      <c r="L121" s="754" t="s">
        <v>2619</v>
      </c>
      <c r="M121" s="8" t="s">
        <v>3793</v>
      </c>
      <c r="N121" s="891" t="s">
        <v>3374</v>
      </c>
    </row>
    <row r="122" spans="1:14" s="8" customFormat="1" x14ac:dyDescent="0.25">
      <c r="A122" s="8" t="str">
        <f t="shared" ca="1" si="4"/>
        <v>Tiomos Scharnier T Mirro 125°</v>
      </c>
      <c r="B122" s="906">
        <v>119</v>
      </c>
      <c r="C122" s="895" t="s">
        <v>1739</v>
      </c>
      <c r="D122" s="8" t="s">
        <v>2442</v>
      </c>
      <c r="E122" s="8" t="s">
        <v>2442</v>
      </c>
      <c r="F122" s="891" t="s">
        <v>3472</v>
      </c>
      <c r="G122" s="891" t="s">
        <v>3965</v>
      </c>
      <c r="H122" s="891" t="s">
        <v>2999</v>
      </c>
      <c r="I122" s="8" t="s">
        <v>2622</v>
      </c>
      <c r="J122" s="8" t="s">
        <v>2823</v>
      </c>
      <c r="K122" s="8" t="s">
        <v>3301</v>
      </c>
      <c r="L122" s="754" t="s">
        <v>2622</v>
      </c>
      <c r="M122" s="8" t="s">
        <v>3795</v>
      </c>
      <c r="N122" s="891" t="s">
        <v>3374</v>
      </c>
    </row>
    <row r="123" spans="1:14" s="8" customFormat="1" x14ac:dyDescent="0.25">
      <c r="A123" s="8" t="str">
        <f t="shared" ca="1" si="4"/>
        <v>Tiomos Scharnier T Quick</v>
      </c>
      <c r="B123" s="906">
        <v>120</v>
      </c>
      <c r="C123" s="895" t="s">
        <v>2355</v>
      </c>
      <c r="D123" s="8" t="s">
        <v>2443</v>
      </c>
      <c r="E123" s="8" t="s">
        <v>2443</v>
      </c>
      <c r="F123" s="891" t="s">
        <v>3473</v>
      </c>
      <c r="G123" s="891" t="s">
        <v>3966</v>
      </c>
      <c r="H123" s="891" t="s">
        <v>3000</v>
      </c>
      <c r="I123" s="8" t="s">
        <v>2623</v>
      </c>
      <c r="J123" s="8" t="s">
        <v>2824</v>
      </c>
      <c r="K123" s="8" t="s">
        <v>3302</v>
      </c>
      <c r="L123" s="754" t="s">
        <v>2623</v>
      </c>
      <c r="M123" s="8" t="s">
        <v>3796</v>
      </c>
      <c r="N123" s="891" t="s">
        <v>3374</v>
      </c>
    </row>
    <row r="124" spans="1:14" s="8" customFormat="1" x14ac:dyDescent="0.25">
      <c r="A124" s="8" t="str">
        <f t="shared" ca="1" si="4"/>
        <v>Tiomos Scharnier TS M0 125°</v>
      </c>
      <c r="B124" s="906">
        <v>121</v>
      </c>
      <c r="C124" s="895" t="s">
        <v>1580</v>
      </c>
      <c r="D124" s="8" t="s">
        <v>2444</v>
      </c>
      <c r="E124" s="8" t="s">
        <v>2444</v>
      </c>
      <c r="F124" s="891" t="s">
        <v>3474</v>
      </c>
      <c r="G124" s="891" t="s">
        <v>3967</v>
      </c>
      <c r="H124" s="891" t="s">
        <v>3001</v>
      </c>
      <c r="I124" s="8" t="s">
        <v>2624</v>
      </c>
      <c r="J124" s="8" t="s">
        <v>2825</v>
      </c>
      <c r="K124" s="8" t="s">
        <v>3303</v>
      </c>
      <c r="L124" s="754" t="s">
        <v>2624</v>
      </c>
      <c r="M124" s="8" t="s">
        <v>3797</v>
      </c>
      <c r="N124" s="891" t="s">
        <v>3374</v>
      </c>
    </row>
    <row r="125" spans="1:14" s="8" customFormat="1" x14ac:dyDescent="0.25">
      <c r="A125" s="8" t="str">
        <f t="shared" ca="1" si="4"/>
        <v>Tiomos Scharnier TS M9 110°</v>
      </c>
      <c r="B125" s="906">
        <v>122</v>
      </c>
      <c r="C125" s="895" t="s">
        <v>1582</v>
      </c>
      <c r="D125" s="8" t="s">
        <v>2445</v>
      </c>
      <c r="E125" s="8" t="s">
        <v>2445</v>
      </c>
      <c r="F125" s="891" t="s">
        <v>3475</v>
      </c>
      <c r="G125" s="891" t="s">
        <v>3968</v>
      </c>
      <c r="H125" s="891" t="s">
        <v>3002</v>
      </c>
      <c r="I125" s="8" t="s">
        <v>2625</v>
      </c>
      <c r="J125" s="8" t="s">
        <v>2826</v>
      </c>
      <c r="K125" s="8" t="s">
        <v>3304</v>
      </c>
      <c r="L125" s="754" t="s">
        <v>2625</v>
      </c>
      <c r="M125" s="8" t="s">
        <v>3798</v>
      </c>
      <c r="N125" s="891" t="s">
        <v>3374</v>
      </c>
    </row>
    <row r="126" spans="1:14" s="8" customFormat="1" x14ac:dyDescent="0.25">
      <c r="A126" s="8" t="str">
        <f t="shared" ca="1" si="4"/>
        <v>Tiomos Scharnier TS Quick</v>
      </c>
      <c r="B126" s="906">
        <v>123</v>
      </c>
      <c r="C126" s="895" t="s">
        <v>2356</v>
      </c>
      <c r="D126" s="8" t="s">
        <v>2446</v>
      </c>
      <c r="E126" s="8" t="s">
        <v>2446</v>
      </c>
      <c r="F126" s="891" t="s">
        <v>3476</v>
      </c>
      <c r="G126" s="891" t="s">
        <v>3969</v>
      </c>
      <c r="H126" s="891" t="s">
        <v>3003</v>
      </c>
      <c r="I126" s="8" t="s">
        <v>2626</v>
      </c>
      <c r="J126" s="8" t="s">
        <v>2827</v>
      </c>
      <c r="K126" s="8" t="s">
        <v>3305</v>
      </c>
      <c r="L126" s="754" t="s">
        <v>2623</v>
      </c>
      <c r="M126" s="8" t="s">
        <v>3799</v>
      </c>
      <c r="N126" s="891" t="s">
        <v>3374</v>
      </c>
    </row>
    <row r="127" spans="1:14" s="8" customFormat="1" x14ac:dyDescent="0.25">
      <c r="A127" s="8" t="str">
        <f t="shared" ca="1" si="4"/>
        <v>Tiomos Scharnier TT M0 125°</v>
      </c>
      <c r="B127" s="906">
        <v>124</v>
      </c>
      <c r="C127" s="895" t="s">
        <v>1750</v>
      </c>
      <c r="D127" s="8" t="s">
        <v>2447</v>
      </c>
      <c r="E127" s="8" t="s">
        <v>2447</v>
      </c>
      <c r="F127" s="891" t="s">
        <v>3477</v>
      </c>
      <c r="G127" s="891" t="s">
        <v>3970</v>
      </c>
      <c r="H127" s="891" t="s">
        <v>3004</v>
      </c>
      <c r="I127" s="8" t="s">
        <v>2627</v>
      </c>
      <c r="J127" s="8" t="s">
        <v>2828</v>
      </c>
      <c r="K127" s="8" t="s">
        <v>3306</v>
      </c>
      <c r="L127" s="754" t="s">
        <v>2627</v>
      </c>
      <c r="M127" s="8" t="s">
        <v>3800</v>
      </c>
      <c r="N127" s="891" t="s">
        <v>3374</v>
      </c>
    </row>
    <row r="128" spans="1:14" s="8" customFormat="1" x14ac:dyDescent="0.25">
      <c r="A128" s="8" t="str">
        <f t="shared" ca="1" si="4"/>
        <v>Tiomos Scharnier TT M9 110°</v>
      </c>
      <c r="B128" s="906">
        <v>125</v>
      </c>
      <c r="C128" s="895" t="s">
        <v>1752</v>
      </c>
      <c r="D128" s="8" t="s">
        <v>2448</v>
      </c>
      <c r="E128" s="8" t="s">
        <v>2448</v>
      </c>
      <c r="F128" s="891" t="s">
        <v>3478</v>
      </c>
      <c r="G128" s="891" t="s">
        <v>3971</v>
      </c>
      <c r="H128" s="891" t="s">
        <v>3005</v>
      </c>
      <c r="I128" s="8" t="s">
        <v>2628</v>
      </c>
      <c r="J128" s="8" t="s">
        <v>2829</v>
      </c>
      <c r="K128" s="8" t="s">
        <v>3307</v>
      </c>
      <c r="L128" s="754" t="s">
        <v>2628</v>
      </c>
      <c r="M128" s="8" t="s">
        <v>3801</v>
      </c>
      <c r="N128" s="891" t="s">
        <v>3374</v>
      </c>
    </row>
    <row r="129" spans="1:14" s="8" customFormat="1" x14ac:dyDescent="0.25">
      <c r="A129" s="8" t="str">
        <f t="shared" ca="1" si="4"/>
        <v>Tiomos Scharnier TT Mirro 125°</v>
      </c>
      <c r="B129" s="906">
        <v>126</v>
      </c>
      <c r="C129" s="895" t="s">
        <v>1748</v>
      </c>
      <c r="D129" s="8" t="s">
        <v>2449</v>
      </c>
      <c r="E129" s="8" t="s">
        <v>2449</v>
      </c>
      <c r="F129" s="891" t="s">
        <v>3479</v>
      </c>
      <c r="G129" s="891" t="s">
        <v>3972</v>
      </c>
      <c r="H129" s="891" t="s">
        <v>3006</v>
      </c>
      <c r="I129" s="8" t="s">
        <v>2629</v>
      </c>
      <c r="J129" s="8" t="s">
        <v>2830</v>
      </c>
      <c r="K129" s="8" t="s">
        <v>3308</v>
      </c>
      <c r="L129" s="754" t="s">
        <v>2629</v>
      </c>
      <c r="M129" s="8" t="s">
        <v>3802</v>
      </c>
      <c r="N129" s="891" t="s">
        <v>3374</v>
      </c>
    </row>
    <row r="130" spans="1:14" s="8" customFormat="1" x14ac:dyDescent="0.25">
      <c r="A130" s="8" t="str">
        <f t="shared" ca="1" si="4"/>
        <v>Tiomos Scharnier TS Mirro 125°</v>
      </c>
      <c r="B130" s="906">
        <v>127</v>
      </c>
      <c r="C130" s="895" t="s">
        <v>1783</v>
      </c>
      <c r="D130" s="8" t="s">
        <v>2450</v>
      </c>
      <c r="E130" s="8" t="s">
        <v>2450</v>
      </c>
      <c r="F130" s="891" t="s">
        <v>3480</v>
      </c>
      <c r="G130" s="891" t="s">
        <v>3973</v>
      </c>
      <c r="H130" s="893" t="s">
        <v>3007</v>
      </c>
      <c r="I130" s="8" t="s">
        <v>2630</v>
      </c>
      <c r="J130" s="8" t="s">
        <v>2831</v>
      </c>
      <c r="K130" s="8" t="s">
        <v>3309</v>
      </c>
      <c r="L130" s="754" t="s">
        <v>2630</v>
      </c>
      <c r="M130" s="8" t="s">
        <v>3803</v>
      </c>
      <c r="N130" s="891" t="s">
        <v>3374</v>
      </c>
    </row>
    <row r="131" spans="1:14" s="660" customFormat="1" x14ac:dyDescent="0.25">
      <c r="A131" s="892" t="str">
        <f t="shared" ca="1" si="4"/>
        <v>Montageplatte</v>
      </c>
      <c r="B131" s="908">
        <v>128</v>
      </c>
      <c r="C131" s="898" t="s">
        <v>20</v>
      </c>
      <c r="D131" s="660" t="s">
        <v>2451</v>
      </c>
      <c r="E131" s="660" t="s">
        <v>3149</v>
      </c>
      <c r="F131" s="892" t="s">
        <v>3481</v>
      </c>
      <c r="G131" s="892" t="s">
        <v>3974</v>
      </c>
      <c r="H131" s="891" t="s">
        <v>3008</v>
      </c>
      <c r="I131" s="660" t="s">
        <v>2631</v>
      </c>
      <c r="J131" s="888" t="s">
        <v>2832</v>
      </c>
      <c r="K131" s="660" t="s">
        <v>3310</v>
      </c>
      <c r="L131" s="919" t="s">
        <v>3632</v>
      </c>
      <c r="M131" s="660" t="s">
        <v>3804</v>
      </c>
      <c r="N131" s="660" t="s">
        <v>3374</v>
      </c>
    </row>
    <row r="132" spans="1:14" s="34" customFormat="1" x14ac:dyDescent="0.25">
      <c r="A132" s="8" t="str">
        <f t="shared" ca="1" si="4"/>
        <v>Montageplattenhöhe</v>
      </c>
      <c r="B132" s="906">
        <v>129</v>
      </c>
      <c r="C132" s="895" t="s">
        <v>4</v>
      </c>
      <c r="D132" s="8" t="s">
        <v>2452</v>
      </c>
      <c r="E132" s="8" t="s">
        <v>3150</v>
      </c>
      <c r="F132" s="891" t="s">
        <v>3482</v>
      </c>
      <c r="G132" s="891" t="s">
        <v>3975</v>
      </c>
      <c r="H132" s="891" t="s">
        <v>3009</v>
      </c>
      <c r="I132" s="8" t="s">
        <v>2632</v>
      </c>
      <c r="J132" s="8" t="s">
        <v>2833</v>
      </c>
      <c r="K132" s="8" t="s">
        <v>3311</v>
      </c>
      <c r="L132" s="890" t="s">
        <v>3633</v>
      </c>
      <c r="M132" s="34" t="s">
        <v>3805</v>
      </c>
      <c r="N132" s="891" t="s">
        <v>3374</v>
      </c>
    </row>
    <row r="133" spans="1:14" s="8" customFormat="1" x14ac:dyDescent="0.25">
      <c r="A133" s="8" t="str">
        <f t="shared" ca="1" si="4"/>
        <v>Montageplattentyp</v>
      </c>
      <c r="B133" s="906">
        <v>130</v>
      </c>
      <c r="C133" s="895" t="s">
        <v>27</v>
      </c>
      <c r="D133" s="8" t="s">
        <v>2453</v>
      </c>
      <c r="E133" s="8" t="s">
        <v>3151</v>
      </c>
      <c r="F133" s="891" t="s">
        <v>3483</v>
      </c>
      <c r="G133" s="891" t="s">
        <v>3976</v>
      </c>
      <c r="H133" s="891" t="s">
        <v>3010</v>
      </c>
      <c r="I133" s="8" t="s">
        <v>2633</v>
      </c>
      <c r="J133" s="8" t="s">
        <v>2834</v>
      </c>
      <c r="K133" s="8" t="s">
        <v>3312</v>
      </c>
      <c r="L133" s="754" t="s">
        <v>3634</v>
      </c>
      <c r="M133" s="8" t="s">
        <v>3806</v>
      </c>
      <c r="N133" s="891" t="s">
        <v>3374</v>
      </c>
    </row>
    <row r="134" spans="1:14" s="8" customFormat="1" x14ac:dyDescent="0.25">
      <c r="A134" s="8" t="str">
        <f t="shared" ca="1" si="4"/>
        <v>Tiomos Montageplatten</v>
      </c>
      <c r="B134" s="906">
        <v>131</v>
      </c>
      <c r="C134" s="895" t="s">
        <v>735</v>
      </c>
      <c r="D134" s="8" t="s">
        <v>2454</v>
      </c>
      <c r="E134" s="8" t="s">
        <v>3152</v>
      </c>
      <c r="F134" s="891" t="s">
        <v>3484</v>
      </c>
      <c r="G134" s="891" t="s">
        <v>3977</v>
      </c>
      <c r="H134" s="891" t="s">
        <v>3011</v>
      </c>
      <c r="I134" s="8" t="s">
        <v>2634</v>
      </c>
      <c r="J134" s="8" t="s">
        <v>2835</v>
      </c>
      <c r="K134" s="8" t="s">
        <v>3313</v>
      </c>
      <c r="L134" s="754" t="s">
        <v>3635</v>
      </c>
      <c r="M134" s="8" t="s">
        <v>3807</v>
      </c>
      <c r="N134" s="891" t="s">
        <v>3374</v>
      </c>
    </row>
    <row r="135" spans="1:14" s="8" customFormat="1" x14ac:dyDescent="0.25">
      <c r="A135" s="8" t="str">
        <f t="shared" ca="1" si="4"/>
        <v>Kreuzmontageplatte</v>
      </c>
      <c r="B135" s="906">
        <v>132</v>
      </c>
      <c r="C135" s="895" t="s">
        <v>6</v>
      </c>
      <c r="D135" s="8" t="s">
        <v>2455</v>
      </c>
      <c r="E135" s="8" t="s">
        <v>3153</v>
      </c>
      <c r="F135" s="891" t="s">
        <v>3485</v>
      </c>
      <c r="G135" s="891" t="s">
        <v>3978</v>
      </c>
      <c r="H135" s="891" t="s">
        <v>3012</v>
      </c>
      <c r="I135" s="8" t="s">
        <v>2635</v>
      </c>
      <c r="J135" s="8" t="s">
        <v>2836</v>
      </c>
      <c r="K135" s="8" t="s">
        <v>3314</v>
      </c>
      <c r="L135" s="754" t="s">
        <v>3636</v>
      </c>
      <c r="M135" s="8" t="s">
        <v>3808</v>
      </c>
      <c r="N135" s="891" t="s">
        <v>3374</v>
      </c>
    </row>
    <row r="136" spans="1:14" s="8" customFormat="1" x14ac:dyDescent="0.25">
      <c r="A136" s="8" t="str">
        <f t="shared" ca="1" si="4"/>
        <v>1D Kreuz Mtg-Platte</v>
      </c>
      <c r="B136" s="906">
        <v>133</v>
      </c>
      <c r="C136" s="895" t="s">
        <v>2357</v>
      </c>
      <c r="D136" s="8" t="s">
        <v>2456</v>
      </c>
      <c r="E136" s="8" t="s">
        <v>3154</v>
      </c>
      <c r="F136" s="891" t="s">
        <v>3486</v>
      </c>
      <c r="G136" s="891" t="s">
        <v>3979</v>
      </c>
      <c r="H136" s="891" t="s">
        <v>3013</v>
      </c>
      <c r="I136" s="8" t="s">
        <v>2636</v>
      </c>
      <c r="J136" s="8" t="s">
        <v>2837</v>
      </c>
      <c r="K136" s="8" t="s">
        <v>3315</v>
      </c>
      <c r="L136" s="754" t="s">
        <v>3637</v>
      </c>
      <c r="M136" s="8" t="s">
        <v>3809</v>
      </c>
      <c r="N136" s="891" t="s">
        <v>3374</v>
      </c>
    </row>
    <row r="137" spans="1:14" s="8" customFormat="1" x14ac:dyDescent="0.25">
      <c r="A137" s="8" t="str">
        <f t="shared" ca="1" si="4"/>
        <v>Eco Kreuz Mtg-Platte</v>
      </c>
      <c r="B137" s="906">
        <v>134</v>
      </c>
      <c r="C137" s="895" t="s">
        <v>2358</v>
      </c>
      <c r="D137" s="8" t="s">
        <v>2457</v>
      </c>
      <c r="E137" s="8" t="s">
        <v>3155</v>
      </c>
      <c r="F137" s="891" t="s">
        <v>3487</v>
      </c>
      <c r="G137" s="891" t="s">
        <v>3980</v>
      </c>
      <c r="H137" s="891" t="s">
        <v>3014</v>
      </c>
      <c r="I137" s="8" t="s">
        <v>2637</v>
      </c>
      <c r="J137" s="8" t="s">
        <v>2838</v>
      </c>
      <c r="K137" s="8" t="s">
        <v>3316</v>
      </c>
      <c r="L137" s="754" t="s">
        <v>3638</v>
      </c>
      <c r="M137" s="8" t="s">
        <v>3810</v>
      </c>
      <c r="N137" s="891" t="s">
        <v>3374</v>
      </c>
    </row>
    <row r="138" spans="1:14" s="8" customFormat="1" x14ac:dyDescent="0.25">
      <c r="A138" s="8" t="str">
        <f t="shared" ref="A138:A169" ca="1" si="5">OFFSET(B138,0,$B$3,1,1)</f>
        <v>Linearmontageplatte</v>
      </c>
      <c r="B138" s="906">
        <v>135</v>
      </c>
      <c r="C138" s="895" t="s">
        <v>7</v>
      </c>
      <c r="D138" s="8" t="s">
        <v>2458</v>
      </c>
      <c r="E138" s="8" t="s">
        <v>3156</v>
      </c>
      <c r="F138" s="891" t="s">
        <v>3488</v>
      </c>
      <c r="G138" s="891" t="s">
        <v>3981</v>
      </c>
      <c r="H138" s="891" t="s">
        <v>3015</v>
      </c>
      <c r="I138" s="8" t="s">
        <v>2638</v>
      </c>
      <c r="J138" s="8" t="s">
        <v>2839</v>
      </c>
      <c r="K138" s="8" t="s">
        <v>3317</v>
      </c>
      <c r="L138" s="754" t="s">
        <v>3639</v>
      </c>
      <c r="M138" s="8" t="s">
        <v>3811</v>
      </c>
      <c r="N138" s="891" t="s">
        <v>3374</v>
      </c>
    </row>
    <row r="139" spans="1:14" s="8" customFormat="1" x14ac:dyDescent="0.25">
      <c r="A139" s="8" t="str">
        <f t="shared" ca="1" si="5"/>
        <v>1D Linear Mtg-Platte</v>
      </c>
      <c r="B139" s="906">
        <v>136</v>
      </c>
      <c r="C139" s="895" t="s">
        <v>2359</v>
      </c>
      <c r="D139" s="8" t="s">
        <v>2459</v>
      </c>
      <c r="E139" s="8" t="s">
        <v>3157</v>
      </c>
      <c r="F139" s="891" t="s">
        <v>3489</v>
      </c>
      <c r="G139" s="891" t="s">
        <v>3982</v>
      </c>
      <c r="H139" s="891" t="s">
        <v>3016</v>
      </c>
      <c r="I139" s="8" t="s">
        <v>2639</v>
      </c>
      <c r="J139" s="8" t="s">
        <v>2840</v>
      </c>
      <c r="K139" s="8" t="s">
        <v>3318</v>
      </c>
      <c r="L139" s="754" t="s">
        <v>3640</v>
      </c>
      <c r="M139" s="8" t="s">
        <v>3812</v>
      </c>
      <c r="N139" s="891" t="s">
        <v>3374</v>
      </c>
    </row>
    <row r="140" spans="1:14" s="8" customFormat="1" x14ac:dyDescent="0.25">
      <c r="A140" s="8" t="str">
        <f t="shared" ca="1" si="5"/>
        <v>Linear Distanzplatte</v>
      </c>
      <c r="B140" s="906">
        <v>137</v>
      </c>
      <c r="C140" s="895" t="s">
        <v>2360</v>
      </c>
      <c r="D140" s="8" t="s">
        <v>2460</v>
      </c>
      <c r="E140" s="8" t="s">
        <v>3158</v>
      </c>
      <c r="F140" s="891" t="s">
        <v>3490</v>
      </c>
      <c r="G140" s="891" t="s">
        <v>3983</v>
      </c>
      <c r="H140" s="917" t="s">
        <v>3546</v>
      </c>
      <c r="I140" s="8" t="s">
        <v>2640</v>
      </c>
      <c r="J140" s="8" t="s">
        <v>2841</v>
      </c>
      <c r="K140" s="8" t="s">
        <v>3319</v>
      </c>
      <c r="L140" s="754" t="s">
        <v>3641</v>
      </c>
      <c r="M140" s="8" t="s">
        <v>3813</v>
      </c>
      <c r="N140" s="891" t="s">
        <v>3374</v>
      </c>
    </row>
    <row r="141" spans="1:14" s="8" customFormat="1" x14ac:dyDescent="0.25">
      <c r="A141" s="8" t="str">
        <f t="shared" ca="1" si="5"/>
        <v>Deltamontageplatte</v>
      </c>
      <c r="B141" s="906">
        <v>138</v>
      </c>
      <c r="C141" s="895" t="s">
        <v>1362</v>
      </c>
      <c r="D141" s="8" t="s">
        <v>2461</v>
      </c>
      <c r="E141" s="8" t="s">
        <v>3159</v>
      </c>
      <c r="F141" s="891" t="s">
        <v>3491</v>
      </c>
      <c r="G141" s="891" t="s">
        <v>3984</v>
      </c>
      <c r="H141" s="891" t="s">
        <v>3017</v>
      </c>
      <c r="I141" s="8" t="s">
        <v>2641</v>
      </c>
      <c r="J141" s="8" t="s">
        <v>2842</v>
      </c>
      <c r="K141" s="8" t="s">
        <v>3320</v>
      </c>
      <c r="L141" s="754" t="s">
        <v>3642</v>
      </c>
      <c r="M141" s="8" t="s">
        <v>3814</v>
      </c>
      <c r="N141" s="891" t="s">
        <v>3374</v>
      </c>
    </row>
    <row r="142" spans="1:14" s="8" customFormat="1" x14ac:dyDescent="0.25">
      <c r="A142" s="8" t="str">
        <f t="shared" ca="1" si="5"/>
        <v>1D Delta Mtg-Platte</v>
      </c>
      <c r="B142" s="906">
        <v>139</v>
      </c>
      <c r="C142" s="895" t="s">
        <v>2361</v>
      </c>
      <c r="D142" s="8" t="s">
        <v>2462</v>
      </c>
      <c r="E142" s="8" t="s">
        <v>3160</v>
      </c>
      <c r="F142" s="891" t="s">
        <v>3492</v>
      </c>
      <c r="G142" s="891" t="s">
        <v>3985</v>
      </c>
      <c r="H142" s="891" t="s">
        <v>3018</v>
      </c>
      <c r="I142" s="8" t="s">
        <v>2642</v>
      </c>
      <c r="J142" s="8" t="s">
        <v>2843</v>
      </c>
      <c r="K142" s="8" t="s">
        <v>3321</v>
      </c>
      <c r="L142" s="754" t="s">
        <v>3643</v>
      </c>
      <c r="M142" s="8" t="s">
        <v>3815</v>
      </c>
      <c r="N142" s="891" t="s">
        <v>3374</v>
      </c>
    </row>
    <row r="143" spans="1:14" s="672" customFormat="1" x14ac:dyDescent="0.25">
      <c r="A143" s="672" t="str">
        <f t="shared" ca="1" si="5"/>
        <v>Inset Beaded (Rahmenkonstruktion)</v>
      </c>
      <c r="B143" s="907">
        <v>140</v>
      </c>
      <c r="C143" s="896" t="s">
        <v>1375</v>
      </c>
      <c r="D143" s="672" t="s">
        <v>2463</v>
      </c>
      <c r="E143" s="672" t="s">
        <v>3161</v>
      </c>
      <c r="F143" s="893" t="s">
        <v>3493</v>
      </c>
      <c r="G143" s="893" t="s">
        <v>3986</v>
      </c>
      <c r="H143" s="917" t="s">
        <v>3547</v>
      </c>
      <c r="I143" s="672" t="s">
        <v>2643</v>
      </c>
      <c r="J143" s="672" t="s">
        <v>2844</v>
      </c>
      <c r="K143" s="672" t="s">
        <v>3322</v>
      </c>
      <c r="L143" s="889" t="s">
        <v>3644</v>
      </c>
      <c r="M143" s="672" t="s">
        <v>3816</v>
      </c>
      <c r="N143" s="893" t="s">
        <v>3374</v>
      </c>
    </row>
    <row r="144" spans="1:14" s="8" customFormat="1" x14ac:dyDescent="0.25">
      <c r="A144" s="8" t="str">
        <f t="shared" ca="1" si="5"/>
        <v>Schnellauswahl</v>
      </c>
      <c r="B144" s="906">
        <v>141</v>
      </c>
      <c r="C144" s="895" t="s">
        <v>1403</v>
      </c>
      <c r="D144" s="8" t="s">
        <v>2464</v>
      </c>
      <c r="E144" s="8" t="s">
        <v>3162</v>
      </c>
      <c r="F144" s="891" t="s">
        <v>3494</v>
      </c>
      <c r="G144" s="891" t="s">
        <v>3987</v>
      </c>
      <c r="H144" s="891" t="s">
        <v>3019</v>
      </c>
      <c r="I144" s="8" t="s">
        <v>2644</v>
      </c>
      <c r="J144" s="8" t="s">
        <v>2845</v>
      </c>
      <c r="K144" s="8" t="s">
        <v>3323</v>
      </c>
      <c r="L144" s="754" t="s">
        <v>3645</v>
      </c>
      <c r="M144" s="8" t="s">
        <v>3817</v>
      </c>
      <c r="N144" s="891" t="s">
        <v>3374</v>
      </c>
    </row>
    <row r="145" spans="1:14" s="8" customFormat="1" x14ac:dyDescent="0.25">
      <c r="A145" s="8" t="str">
        <f t="shared" ca="1" si="5"/>
        <v>Konfigurator</v>
      </c>
      <c r="B145" s="906">
        <v>142</v>
      </c>
      <c r="C145" s="895" t="s">
        <v>1353</v>
      </c>
      <c r="D145" s="8" t="s">
        <v>2465</v>
      </c>
      <c r="E145" s="8" t="s">
        <v>3163</v>
      </c>
      <c r="F145" s="891" t="s">
        <v>3495</v>
      </c>
      <c r="G145" s="891" t="s">
        <v>3495</v>
      </c>
      <c r="H145" s="891" t="s">
        <v>3020</v>
      </c>
      <c r="I145" s="8" t="s">
        <v>1353</v>
      </c>
      <c r="J145" s="8" t="s">
        <v>2846</v>
      </c>
      <c r="K145" s="8" t="s">
        <v>3324</v>
      </c>
      <c r="L145" s="754" t="s">
        <v>3646</v>
      </c>
      <c r="M145" s="8" t="s">
        <v>3818</v>
      </c>
      <c r="N145" s="891" t="s">
        <v>3374</v>
      </c>
    </row>
    <row r="146" spans="1:14" s="8" customFormat="1" x14ac:dyDescent="0.25">
      <c r="A146" s="8" t="str">
        <f t="shared" ca="1" si="5"/>
        <v>Lösungen</v>
      </c>
      <c r="B146" s="906">
        <v>143</v>
      </c>
      <c r="C146" s="895" t="s">
        <v>884</v>
      </c>
      <c r="D146" s="8" t="s">
        <v>2466</v>
      </c>
      <c r="E146" s="8" t="s">
        <v>3164</v>
      </c>
      <c r="F146" s="891" t="s">
        <v>3496</v>
      </c>
      <c r="G146" s="891" t="s">
        <v>3988</v>
      </c>
      <c r="H146" s="891" t="s">
        <v>2466</v>
      </c>
      <c r="I146" s="8" t="s">
        <v>2732</v>
      </c>
      <c r="J146" s="8" t="s">
        <v>2847</v>
      </c>
      <c r="K146" s="8" t="s">
        <v>3325</v>
      </c>
      <c r="L146" s="754" t="s">
        <v>3647</v>
      </c>
      <c r="M146" s="8" t="s">
        <v>3819</v>
      </c>
      <c r="N146" s="891" t="s">
        <v>3374</v>
      </c>
    </row>
    <row r="147" spans="1:14" s="8" customFormat="1" x14ac:dyDescent="0.25">
      <c r="A147" s="8" t="str">
        <f t="shared" ca="1" si="5"/>
        <v>Möglichkeiten</v>
      </c>
      <c r="B147" s="906">
        <v>144</v>
      </c>
      <c r="C147" s="895" t="s">
        <v>1450</v>
      </c>
      <c r="D147" s="8" t="s">
        <v>2467</v>
      </c>
      <c r="E147" s="8" t="s">
        <v>3165</v>
      </c>
      <c r="F147" s="891" t="s">
        <v>3497</v>
      </c>
      <c r="G147" s="891" t="s">
        <v>3989</v>
      </c>
      <c r="H147" s="891" t="s">
        <v>3021</v>
      </c>
      <c r="I147" s="8" t="s">
        <v>2645</v>
      </c>
      <c r="J147" s="8" t="s">
        <v>2848</v>
      </c>
      <c r="K147" s="8" t="s">
        <v>3326</v>
      </c>
      <c r="L147" s="754" t="s">
        <v>3648</v>
      </c>
      <c r="M147" s="8" t="s">
        <v>3820</v>
      </c>
      <c r="N147" s="891" t="s">
        <v>3374</v>
      </c>
    </row>
    <row r="148" spans="1:14" s="34" customFormat="1" x14ac:dyDescent="0.25">
      <c r="A148" s="8" t="str">
        <f t="shared" ca="1" si="5"/>
        <v>Standard</v>
      </c>
      <c r="B148" s="906">
        <v>145</v>
      </c>
      <c r="C148" s="895" t="s">
        <v>1820</v>
      </c>
      <c r="D148" s="8" t="s">
        <v>1820</v>
      </c>
      <c r="E148" s="8" t="s">
        <v>3166</v>
      </c>
      <c r="F148" s="891" t="s">
        <v>3498</v>
      </c>
      <c r="G148" s="891" t="s">
        <v>1820</v>
      </c>
      <c r="H148" s="891" t="s">
        <v>1820</v>
      </c>
      <c r="I148" s="8" t="s">
        <v>1820</v>
      </c>
      <c r="J148" s="8" t="s">
        <v>2849</v>
      </c>
      <c r="K148" s="8" t="s">
        <v>3327</v>
      </c>
      <c r="L148" s="890" t="s">
        <v>3649</v>
      </c>
      <c r="M148" s="34" t="s">
        <v>1820</v>
      </c>
      <c r="N148" s="891" t="s">
        <v>3374</v>
      </c>
    </row>
    <row r="149" spans="1:14" s="34" customFormat="1" x14ac:dyDescent="0.25">
      <c r="A149" s="8" t="str">
        <f t="shared" ca="1" si="5"/>
        <v>Produktempfehlung</v>
      </c>
      <c r="B149" s="906">
        <v>146</v>
      </c>
      <c r="C149" s="895" t="s">
        <v>1897</v>
      </c>
      <c r="D149" s="8" t="s">
        <v>2468</v>
      </c>
      <c r="E149" s="8" t="s">
        <v>3167</v>
      </c>
      <c r="F149" s="891" t="s">
        <v>3499</v>
      </c>
      <c r="G149" s="891" t="s">
        <v>3990</v>
      </c>
      <c r="H149" s="891" t="s">
        <v>3022</v>
      </c>
      <c r="I149" s="8" t="s">
        <v>2646</v>
      </c>
      <c r="J149" s="8" t="s">
        <v>2850</v>
      </c>
      <c r="K149" s="8" t="s">
        <v>3328</v>
      </c>
      <c r="L149" s="890" t="s">
        <v>3650</v>
      </c>
      <c r="M149" s="34" t="s">
        <v>3821</v>
      </c>
      <c r="N149" s="891" t="s">
        <v>3374</v>
      </c>
    </row>
    <row r="150" spans="1:14" s="8" customFormat="1" x14ac:dyDescent="0.25">
      <c r="A150" s="8" t="str">
        <f t="shared" ca="1" si="5"/>
        <v>Bestellnummer</v>
      </c>
      <c r="B150" s="906">
        <v>147</v>
      </c>
      <c r="C150" s="895" t="s">
        <v>32</v>
      </c>
      <c r="D150" s="8" t="s">
        <v>2469</v>
      </c>
      <c r="E150" s="8" t="s">
        <v>3168</v>
      </c>
      <c r="F150" s="891" t="s">
        <v>3500</v>
      </c>
      <c r="G150" s="891" t="s">
        <v>3500</v>
      </c>
      <c r="H150" s="891" t="s">
        <v>3023</v>
      </c>
      <c r="I150" s="8" t="s">
        <v>2647</v>
      </c>
      <c r="J150" s="8" t="s">
        <v>2851</v>
      </c>
      <c r="K150" s="8" t="s">
        <v>3329</v>
      </c>
      <c r="L150" s="754" t="s">
        <v>3651</v>
      </c>
      <c r="M150" s="8" t="s">
        <v>3822</v>
      </c>
      <c r="N150" s="891" t="s">
        <v>3374</v>
      </c>
    </row>
    <row r="151" spans="1:14" s="672" customFormat="1" x14ac:dyDescent="0.25">
      <c r="A151" s="672" t="str">
        <f t="shared" ca="1" si="5"/>
        <v xml:space="preserve">Befestigung </v>
      </c>
      <c r="B151" s="907">
        <v>148</v>
      </c>
      <c r="C151" s="896" t="s">
        <v>895</v>
      </c>
      <c r="D151" s="672" t="s">
        <v>2470</v>
      </c>
      <c r="E151" s="672" t="s">
        <v>3169</v>
      </c>
      <c r="F151" s="893" t="s">
        <v>3501</v>
      </c>
      <c r="G151" s="893" t="s">
        <v>3991</v>
      </c>
      <c r="H151" s="893" t="s">
        <v>3024</v>
      </c>
      <c r="I151" s="672" t="s">
        <v>2648</v>
      </c>
      <c r="J151" s="672" t="s">
        <v>2852</v>
      </c>
      <c r="K151" s="672" t="s">
        <v>3283</v>
      </c>
      <c r="L151" s="889" t="s">
        <v>3652</v>
      </c>
      <c r="M151" s="672" t="s">
        <v>3823</v>
      </c>
      <c r="N151" s="893" t="s">
        <v>3374</v>
      </c>
    </row>
    <row r="152" spans="1:14" s="34" customFormat="1" x14ac:dyDescent="0.25">
      <c r="A152" s="8" t="str">
        <f t="shared" ca="1" si="5"/>
        <v>Winkel von Tür zur Seite</v>
      </c>
      <c r="B152" s="906">
        <v>149</v>
      </c>
      <c r="C152" s="895" t="s">
        <v>1894</v>
      </c>
      <c r="D152" s="8" t="s">
        <v>2471</v>
      </c>
      <c r="E152" s="8" t="s">
        <v>3170</v>
      </c>
      <c r="F152" s="891" t="s">
        <v>3502</v>
      </c>
      <c r="G152" s="891" t="s">
        <v>3992</v>
      </c>
      <c r="H152" s="891" t="s">
        <v>3025</v>
      </c>
      <c r="I152" s="8" t="s">
        <v>2649</v>
      </c>
      <c r="J152" s="8" t="s">
        <v>2853</v>
      </c>
      <c r="K152" s="8" t="s">
        <v>3330</v>
      </c>
      <c r="L152" s="890" t="s">
        <v>3653</v>
      </c>
      <c r="M152" s="34" t="s">
        <v>3824</v>
      </c>
      <c r="N152" s="891" t="s">
        <v>3374</v>
      </c>
    </row>
    <row r="153" spans="1:14" s="34" customFormat="1" x14ac:dyDescent="0.25">
      <c r="A153" s="8" t="str">
        <f t="shared" ca="1" si="5"/>
        <v>Materialauswahl Tür</v>
      </c>
      <c r="B153" s="906">
        <v>150</v>
      </c>
      <c r="C153" s="895" t="s">
        <v>1893</v>
      </c>
      <c r="D153" s="8" t="s">
        <v>2472</v>
      </c>
      <c r="E153" s="8" t="s">
        <v>3171</v>
      </c>
      <c r="F153" s="891" t="s">
        <v>3503</v>
      </c>
      <c r="G153" s="891" t="s">
        <v>3993</v>
      </c>
      <c r="H153" s="891" t="s">
        <v>3026</v>
      </c>
      <c r="I153" s="8" t="s">
        <v>2650</v>
      </c>
      <c r="J153" s="8" t="s">
        <v>2854</v>
      </c>
      <c r="K153" s="8" t="s">
        <v>3331</v>
      </c>
      <c r="L153" s="890" t="s">
        <v>3654</v>
      </c>
      <c r="M153" s="34" t="s">
        <v>3825</v>
      </c>
      <c r="N153" s="891" t="s">
        <v>3374</v>
      </c>
    </row>
    <row r="154" spans="1:14" s="8" customFormat="1" x14ac:dyDescent="0.25">
      <c r="A154" s="8" t="str">
        <f t="shared" ca="1" si="5"/>
        <v>Türauflage</v>
      </c>
      <c r="B154" s="906">
        <v>151</v>
      </c>
      <c r="C154" s="895" t="s">
        <v>0</v>
      </c>
      <c r="D154" s="8" t="s">
        <v>2473</v>
      </c>
      <c r="E154" s="8" t="s">
        <v>3172</v>
      </c>
      <c r="F154" s="891" t="s">
        <v>3504</v>
      </c>
      <c r="G154" s="891" t="s">
        <v>3994</v>
      </c>
      <c r="H154" s="891" t="s">
        <v>3027</v>
      </c>
      <c r="I154" s="8" t="s">
        <v>2651</v>
      </c>
      <c r="J154" s="8" t="s">
        <v>2855</v>
      </c>
      <c r="K154" s="8" t="s">
        <v>3332</v>
      </c>
      <c r="L154" s="754" t="s">
        <v>3655</v>
      </c>
      <c r="M154" s="8" t="s">
        <v>3826</v>
      </c>
      <c r="N154" s="891" t="s">
        <v>3374</v>
      </c>
    </row>
    <row r="155" spans="1:14" s="8" customFormat="1" x14ac:dyDescent="0.25">
      <c r="A155" s="8" t="str">
        <f t="shared" ca="1" si="5"/>
        <v>Türfuge</v>
      </c>
      <c r="B155" s="906">
        <v>152</v>
      </c>
      <c r="C155" s="895" t="s">
        <v>1407</v>
      </c>
      <c r="D155" s="8" t="s">
        <v>2474</v>
      </c>
      <c r="E155" s="8" t="s">
        <v>3173</v>
      </c>
      <c r="F155" s="891" t="s">
        <v>3504</v>
      </c>
      <c r="G155" s="891" t="s">
        <v>3994</v>
      </c>
      <c r="H155" s="891" t="s">
        <v>3028</v>
      </c>
      <c r="I155" s="8" t="s">
        <v>2652</v>
      </c>
      <c r="J155" s="8" t="s">
        <v>2856</v>
      </c>
      <c r="K155" s="8" t="s">
        <v>3333</v>
      </c>
      <c r="L155" s="754" t="s">
        <v>3656</v>
      </c>
      <c r="M155" s="8" t="s">
        <v>3827</v>
      </c>
      <c r="N155" s="891" t="s">
        <v>3374</v>
      </c>
    </row>
    <row r="156" spans="1:14" s="8" customFormat="1" x14ac:dyDescent="0.25">
      <c r="A156" s="8" t="str">
        <f t="shared" ca="1" si="5"/>
        <v>Türgewicht</v>
      </c>
      <c r="B156" s="906">
        <v>153</v>
      </c>
      <c r="C156" s="895" t="s">
        <v>898</v>
      </c>
      <c r="D156" s="8" t="s">
        <v>2475</v>
      </c>
      <c r="E156" s="8" t="s">
        <v>3174</v>
      </c>
      <c r="F156" s="891" t="s">
        <v>3505</v>
      </c>
      <c r="G156" s="891" t="s">
        <v>3995</v>
      </c>
      <c r="H156" s="891" t="s">
        <v>3029</v>
      </c>
      <c r="I156" s="8" t="s">
        <v>2653</v>
      </c>
      <c r="J156" s="8" t="s">
        <v>2857</v>
      </c>
      <c r="K156" s="8" t="s">
        <v>3334</v>
      </c>
      <c r="L156" s="754" t="s">
        <v>3657</v>
      </c>
      <c r="M156" s="8" t="s">
        <v>3828</v>
      </c>
      <c r="N156" s="891" t="s">
        <v>3374</v>
      </c>
    </row>
    <row r="157" spans="1:14" s="8" customFormat="1" x14ac:dyDescent="0.25">
      <c r="A157" s="8" t="str">
        <f t="shared" ca="1" si="5"/>
        <v>Scharnieranzahlberechnung</v>
      </c>
      <c r="B157" s="906">
        <v>154</v>
      </c>
      <c r="C157" s="895" t="s">
        <v>2229</v>
      </c>
      <c r="D157" s="8" t="s">
        <v>2476</v>
      </c>
      <c r="E157" s="8" t="s">
        <v>3175</v>
      </c>
      <c r="F157" s="891" t="s">
        <v>3506</v>
      </c>
      <c r="G157" s="891" t="s">
        <v>3996</v>
      </c>
      <c r="H157" s="891" t="s">
        <v>3030</v>
      </c>
      <c r="I157" s="8" t="s">
        <v>2654</v>
      </c>
      <c r="J157" s="8" t="s">
        <v>2858</v>
      </c>
      <c r="K157" s="8" t="s">
        <v>3335</v>
      </c>
      <c r="L157" s="754" t="s">
        <v>3622</v>
      </c>
      <c r="M157" s="8" t="s">
        <v>3829</v>
      </c>
      <c r="N157" s="891" t="s">
        <v>3374</v>
      </c>
    </row>
    <row r="158" spans="1:14" s="8" customFormat="1" x14ac:dyDescent="0.25">
      <c r="A158" s="8" t="str">
        <f t="shared" ca="1" si="5"/>
        <v>Türhöhe</v>
      </c>
      <c r="B158" s="906">
        <v>155</v>
      </c>
      <c r="C158" s="895" t="s">
        <v>899</v>
      </c>
      <c r="D158" s="8" t="s">
        <v>2477</v>
      </c>
      <c r="E158" s="8" t="s">
        <v>3176</v>
      </c>
      <c r="F158" s="891" t="s">
        <v>3507</v>
      </c>
      <c r="G158" s="891" t="s">
        <v>3997</v>
      </c>
      <c r="H158" s="891" t="s">
        <v>3031</v>
      </c>
      <c r="I158" s="8" t="s">
        <v>2655</v>
      </c>
      <c r="J158" s="8" t="s">
        <v>2859</v>
      </c>
      <c r="K158" s="8" t="s">
        <v>3334</v>
      </c>
      <c r="L158" s="754" t="s">
        <v>3658</v>
      </c>
      <c r="M158" s="8" t="s">
        <v>3830</v>
      </c>
      <c r="N158" s="891" t="s">
        <v>3374</v>
      </c>
    </row>
    <row r="159" spans="1:14" s="8" customFormat="1" x14ac:dyDescent="0.25">
      <c r="A159" s="8" t="str">
        <f t="shared" ca="1" si="5"/>
        <v>Türbreite</v>
      </c>
      <c r="B159" s="906">
        <v>156</v>
      </c>
      <c r="C159" s="895" t="s">
        <v>900</v>
      </c>
      <c r="D159" s="8" t="s">
        <v>2478</v>
      </c>
      <c r="E159" s="8" t="s">
        <v>3177</v>
      </c>
      <c r="F159" s="891" t="s">
        <v>3508</v>
      </c>
      <c r="G159" s="891" t="s">
        <v>3998</v>
      </c>
      <c r="H159" s="891" t="s">
        <v>3032</v>
      </c>
      <c r="I159" s="8" t="s">
        <v>2656</v>
      </c>
      <c r="J159" s="8" t="s">
        <v>2860</v>
      </c>
      <c r="K159" s="8" t="s">
        <v>3336</v>
      </c>
      <c r="L159" s="754" t="s">
        <v>3659</v>
      </c>
      <c r="M159" s="8" t="s">
        <v>3831</v>
      </c>
      <c r="N159" s="891" t="s">
        <v>3374</v>
      </c>
    </row>
    <row r="160" spans="1:14" s="8" customFormat="1" x14ac:dyDescent="0.25">
      <c r="A160" s="8" t="str">
        <f t="shared" ca="1" si="5"/>
        <v>Türstärke</v>
      </c>
      <c r="B160" s="906">
        <v>157</v>
      </c>
      <c r="C160" s="895" t="s">
        <v>1400</v>
      </c>
      <c r="D160" s="8" t="s">
        <v>2479</v>
      </c>
      <c r="E160" s="8" t="s">
        <v>3178</v>
      </c>
      <c r="F160" s="891" t="s">
        <v>3509</v>
      </c>
      <c r="G160" s="891" t="s">
        <v>3999</v>
      </c>
      <c r="H160" s="891" t="s">
        <v>3033</v>
      </c>
      <c r="I160" s="8" t="s">
        <v>2657</v>
      </c>
      <c r="J160" s="8" t="s">
        <v>2861</v>
      </c>
      <c r="K160" s="8" t="s">
        <v>3337</v>
      </c>
      <c r="L160" s="754" t="s">
        <v>3660</v>
      </c>
      <c r="M160" s="8" t="s">
        <v>3832</v>
      </c>
      <c r="N160" s="891" t="s">
        <v>3374</v>
      </c>
    </row>
    <row r="161" spans="1:14" s="8" customFormat="1" x14ac:dyDescent="0.25">
      <c r="A161" s="8" t="str">
        <f t="shared" ca="1" si="5"/>
        <v>Türhöhe</v>
      </c>
      <c r="B161" s="906">
        <v>158</v>
      </c>
      <c r="C161" s="895" t="s">
        <v>899</v>
      </c>
      <c r="D161" s="8" t="s">
        <v>2477</v>
      </c>
      <c r="E161" s="8" t="s">
        <v>3176</v>
      </c>
      <c r="F161" s="891" t="s">
        <v>3505</v>
      </c>
      <c r="G161" s="891" t="s">
        <v>3995</v>
      </c>
      <c r="H161" s="891" t="s">
        <v>3031</v>
      </c>
      <c r="I161" s="8" t="s">
        <v>2655</v>
      </c>
      <c r="J161" s="8" t="s">
        <v>2859</v>
      </c>
      <c r="K161" s="8" t="s">
        <v>3338</v>
      </c>
      <c r="L161" s="754" t="s">
        <v>3657</v>
      </c>
      <c r="M161" s="8" t="s">
        <v>3830</v>
      </c>
      <c r="N161" s="891" t="s">
        <v>3374</v>
      </c>
    </row>
    <row r="162" spans="1:14" s="672" customFormat="1" x14ac:dyDescent="0.25">
      <c r="A162" s="672" t="str">
        <f t="shared" ca="1" si="5"/>
        <v>Rahmenstärke</v>
      </c>
      <c r="B162" s="907">
        <v>159</v>
      </c>
      <c r="C162" s="896" t="s">
        <v>1965</v>
      </c>
      <c r="D162" s="672" t="s">
        <v>2480</v>
      </c>
      <c r="E162" s="672" t="s">
        <v>3179</v>
      </c>
      <c r="F162" s="893" t="s">
        <v>3510</v>
      </c>
      <c r="G162" s="893" t="s">
        <v>4000</v>
      </c>
      <c r="H162" s="893" t="s">
        <v>3034</v>
      </c>
      <c r="I162" s="672" t="s">
        <v>2658</v>
      </c>
      <c r="J162" s="672" t="s">
        <v>2862</v>
      </c>
      <c r="K162" s="672" t="s">
        <v>3339</v>
      </c>
      <c r="L162" s="889" t="s">
        <v>3661</v>
      </c>
      <c r="M162" s="672" t="s">
        <v>3833</v>
      </c>
      <c r="N162" s="893" t="s">
        <v>3374</v>
      </c>
    </row>
    <row r="163" spans="1:14" s="8" customFormat="1" x14ac:dyDescent="0.25">
      <c r="A163" s="8" t="str">
        <f t="shared" ca="1" si="5"/>
        <v>Höhe</v>
      </c>
      <c r="B163" s="906">
        <v>160</v>
      </c>
      <c r="C163" s="895" t="s">
        <v>42</v>
      </c>
      <c r="D163" s="8" t="s">
        <v>2481</v>
      </c>
      <c r="E163" s="8" t="s">
        <v>3180</v>
      </c>
      <c r="F163" s="891" t="s">
        <v>3511</v>
      </c>
      <c r="G163" s="891" t="s">
        <v>3511</v>
      </c>
      <c r="H163" s="891" t="s">
        <v>3035</v>
      </c>
      <c r="I163" s="8" t="s">
        <v>2659</v>
      </c>
      <c r="J163" s="8" t="s">
        <v>2863</v>
      </c>
      <c r="K163" s="8" t="s">
        <v>3340</v>
      </c>
      <c r="L163" s="754" t="s">
        <v>3662</v>
      </c>
      <c r="M163" s="8" t="s">
        <v>3834</v>
      </c>
      <c r="N163" s="891" t="s">
        <v>3374</v>
      </c>
    </row>
    <row r="164" spans="1:14" s="8" customFormat="1" x14ac:dyDescent="0.25">
      <c r="A164" s="8" t="str">
        <f t="shared" ca="1" si="5"/>
        <v>Bohrabstand (X)</v>
      </c>
      <c r="B164" s="906">
        <v>161</v>
      </c>
      <c r="C164" s="895" t="s">
        <v>1415</v>
      </c>
      <c r="D164" s="8" t="s">
        <v>2482</v>
      </c>
      <c r="E164" s="8" t="s">
        <v>3181</v>
      </c>
      <c r="F164" s="891" t="s">
        <v>3512</v>
      </c>
      <c r="G164" s="891" t="s">
        <v>4001</v>
      </c>
      <c r="H164" s="891" t="s">
        <v>3036</v>
      </c>
      <c r="I164" s="8" t="s">
        <v>2660</v>
      </c>
      <c r="J164" s="8" t="s">
        <v>2864</v>
      </c>
      <c r="K164" s="8" t="s">
        <v>3341</v>
      </c>
      <c r="L164" s="754" t="s">
        <v>3663</v>
      </c>
      <c r="M164" s="8" t="s">
        <v>3835</v>
      </c>
      <c r="N164" s="891" t="s">
        <v>3374</v>
      </c>
    </row>
    <row r="165" spans="1:14" s="8" customFormat="1" x14ac:dyDescent="0.25">
      <c r="A165" s="8" t="str">
        <f t="shared" ca="1" si="5"/>
        <v>Anschraubmaß (Z)</v>
      </c>
      <c r="B165" s="906">
        <v>162</v>
      </c>
      <c r="C165" s="895" t="s">
        <v>1957</v>
      </c>
      <c r="D165" s="8" t="s">
        <v>2483</v>
      </c>
      <c r="E165" s="8" t="s">
        <v>3182</v>
      </c>
      <c r="F165" s="891" t="s">
        <v>3513</v>
      </c>
      <c r="G165" s="891" t="s">
        <v>4002</v>
      </c>
      <c r="H165" s="891" t="s">
        <v>3037</v>
      </c>
      <c r="I165" s="8" t="s">
        <v>2661</v>
      </c>
      <c r="J165" s="8" t="s">
        <v>2865</v>
      </c>
      <c r="K165" s="8" t="s">
        <v>3342</v>
      </c>
      <c r="L165" s="754" t="s">
        <v>3664</v>
      </c>
      <c r="M165" s="8" t="s">
        <v>3836</v>
      </c>
      <c r="N165" s="891" t="s">
        <v>3374</v>
      </c>
    </row>
    <row r="166" spans="1:14" s="8" customFormat="1" x14ac:dyDescent="0.25">
      <c r="A166" s="8" t="str">
        <f t="shared" ca="1" si="5"/>
        <v>Klebemaß (Z)</v>
      </c>
      <c r="B166" s="906">
        <v>163</v>
      </c>
      <c r="C166" s="895" t="s">
        <v>2310</v>
      </c>
      <c r="D166" s="8" t="s">
        <v>2484</v>
      </c>
      <c r="E166" s="8" t="s">
        <v>3183</v>
      </c>
      <c r="F166" s="891" t="s">
        <v>3514</v>
      </c>
      <c r="G166" s="891" t="s">
        <v>4003</v>
      </c>
      <c r="H166" s="891" t="s">
        <v>3038</v>
      </c>
      <c r="I166" s="8" t="s">
        <v>2662</v>
      </c>
      <c r="J166" s="8" t="s">
        <v>2866</v>
      </c>
      <c r="K166" s="8" t="s">
        <v>3343</v>
      </c>
      <c r="L166" s="754" t="s">
        <v>3665</v>
      </c>
      <c r="M166" s="8" t="s">
        <v>3837</v>
      </c>
      <c r="N166" s="891" t="s">
        <v>3374</v>
      </c>
    </row>
    <row r="167" spans="1:14" s="8" customFormat="1" x14ac:dyDescent="0.25">
      <c r="A167" s="8" t="str">
        <f t="shared" ca="1" si="5"/>
        <v>Korpusstärke</v>
      </c>
      <c r="B167" s="906">
        <v>164</v>
      </c>
      <c r="C167" s="895" t="s">
        <v>1840</v>
      </c>
      <c r="D167" s="8" t="s">
        <v>2485</v>
      </c>
      <c r="E167" s="8" t="s">
        <v>3184</v>
      </c>
      <c r="F167" s="891" t="s">
        <v>3515</v>
      </c>
      <c r="G167" s="891" t="s">
        <v>4004</v>
      </c>
      <c r="H167" s="891" t="s">
        <v>3039</v>
      </c>
      <c r="I167" s="8" t="s">
        <v>2733</v>
      </c>
      <c r="J167" s="8" t="s">
        <v>2867</v>
      </c>
      <c r="K167" s="8" t="s">
        <v>3344</v>
      </c>
      <c r="L167" s="754" t="s">
        <v>3666</v>
      </c>
      <c r="M167" s="8" t="s">
        <v>3838</v>
      </c>
      <c r="N167" s="891" t="s">
        <v>3374</v>
      </c>
    </row>
    <row r="168" spans="1:14" s="8" customFormat="1" x14ac:dyDescent="0.25">
      <c r="A168" s="8" t="str">
        <f t="shared" ca="1" si="5"/>
        <v>Kröpfung</v>
      </c>
      <c r="B168" s="906">
        <v>165</v>
      </c>
      <c r="C168" s="895" t="s">
        <v>5</v>
      </c>
      <c r="D168" s="8" t="s">
        <v>2486</v>
      </c>
      <c r="E168" s="8" t="s">
        <v>3185</v>
      </c>
      <c r="F168" s="891" t="s">
        <v>3516</v>
      </c>
      <c r="G168" s="891" t="s">
        <v>3915</v>
      </c>
      <c r="H168" s="891" t="s">
        <v>3040</v>
      </c>
      <c r="I168" s="8" t="s">
        <v>2663</v>
      </c>
      <c r="J168" s="8" t="s">
        <v>2868</v>
      </c>
      <c r="K168" s="8" t="s">
        <v>3345</v>
      </c>
      <c r="L168" s="754" t="s">
        <v>3667</v>
      </c>
      <c r="M168" s="8" t="s">
        <v>3839</v>
      </c>
      <c r="N168" s="891" t="s">
        <v>3374</v>
      </c>
    </row>
    <row r="169" spans="1:14" s="34" customFormat="1" x14ac:dyDescent="0.25">
      <c r="A169" s="8" t="str">
        <f t="shared" ca="1" si="5"/>
        <v>Fuge</v>
      </c>
      <c r="B169" s="906">
        <v>166</v>
      </c>
      <c r="C169" s="895" t="s">
        <v>1896</v>
      </c>
      <c r="D169" s="8" t="s">
        <v>2487</v>
      </c>
      <c r="E169" s="8" t="s">
        <v>3186</v>
      </c>
      <c r="F169" s="891" t="s">
        <v>2856</v>
      </c>
      <c r="G169" s="891" t="s">
        <v>4005</v>
      </c>
      <c r="H169" s="891" t="s">
        <v>3041</v>
      </c>
      <c r="I169" s="8" t="s">
        <v>2734</v>
      </c>
      <c r="J169" s="8" t="s">
        <v>2856</v>
      </c>
      <c r="K169" s="8" t="s">
        <v>3333</v>
      </c>
      <c r="L169" s="890" t="s">
        <v>3668</v>
      </c>
      <c r="M169" s="34" t="s">
        <v>2856</v>
      </c>
      <c r="N169" s="891" t="s">
        <v>3374</v>
      </c>
    </row>
    <row r="170" spans="1:14" s="34" customFormat="1" x14ac:dyDescent="0.25">
      <c r="A170" s="8" t="str">
        <f t="shared" ref="A170:A205" ca="1" si="6">OFFSET(B170,0,$B$3,1,1)</f>
        <v>Spalt</v>
      </c>
      <c r="B170" s="906">
        <v>167</v>
      </c>
      <c r="C170" s="895" t="s">
        <v>1462</v>
      </c>
      <c r="D170" s="8" t="s">
        <v>2488</v>
      </c>
      <c r="E170" s="8" t="s">
        <v>3187</v>
      </c>
      <c r="F170" s="891" t="s">
        <v>3517</v>
      </c>
      <c r="G170" s="891" t="s">
        <v>4006</v>
      </c>
      <c r="H170" s="891" t="s">
        <v>3042</v>
      </c>
      <c r="I170" s="8" t="s">
        <v>2735</v>
      </c>
      <c r="J170" s="8" t="s">
        <v>2869</v>
      </c>
      <c r="K170" s="8" t="s">
        <v>3346</v>
      </c>
      <c r="L170" s="890" t="s">
        <v>3669</v>
      </c>
      <c r="M170" s="34" t="s">
        <v>3840</v>
      </c>
      <c r="N170" s="891" t="s">
        <v>3374</v>
      </c>
    </row>
    <row r="171" spans="1:14" s="8" customFormat="1" x14ac:dyDescent="0.25">
      <c r="A171" s="8" t="str">
        <f t="shared" ca="1" si="6"/>
        <v>Kühlsch.</v>
      </c>
      <c r="B171" s="906">
        <v>168</v>
      </c>
      <c r="C171" s="895" t="s">
        <v>1780</v>
      </c>
      <c r="D171" s="8" t="s">
        <v>2489</v>
      </c>
      <c r="E171" s="8" t="s">
        <v>3188</v>
      </c>
      <c r="F171" s="891" t="s">
        <v>3518</v>
      </c>
      <c r="G171" s="891" t="s">
        <v>3518</v>
      </c>
      <c r="H171" s="891" t="s">
        <v>3043</v>
      </c>
      <c r="I171" s="8" t="s">
        <v>2664</v>
      </c>
      <c r="J171" s="8" t="s">
        <v>2870</v>
      </c>
      <c r="K171" s="8" t="s">
        <v>3347</v>
      </c>
      <c r="L171" s="754" t="s">
        <v>3670</v>
      </c>
      <c r="M171" s="8" t="s">
        <v>3841</v>
      </c>
      <c r="N171" s="891" t="s">
        <v>3374</v>
      </c>
    </row>
    <row r="172" spans="1:14" s="8" customFormat="1" x14ac:dyDescent="0.25">
      <c r="A172" s="8" t="str">
        <f t="shared" ca="1" si="6"/>
        <v>Kühlschrank</v>
      </c>
      <c r="B172" s="906">
        <v>169</v>
      </c>
      <c r="C172" s="895" t="s">
        <v>2289</v>
      </c>
      <c r="D172" s="8" t="s">
        <v>2489</v>
      </c>
      <c r="E172" s="8" t="s">
        <v>3188</v>
      </c>
      <c r="F172" s="891" t="s">
        <v>3518</v>
      </c>
      <c r="G172" s="891" t="s">
        <v>3518</v>
      </c>
      <c r="H172" s="891" t="s">
        <v>3043</v>
      </c>
      <c r="I172" s="8" t="s">
        <v>2665</v>
      </c>
      <c r="J172" s="8" t="s">
        <v>2870</v>
      </c>
      <c r="K172" s="8" t="s">
        <v>3347</v>
      </c>
      <c r="L172" s="754" t="s">
        <v>3670</v>
      </c>
      <c r="M172" s="8" t="s">
        <v>3842</v>
      </c>
      <c r="N172" s="891" t="s">
        <v>3374</v>
      </c>
    </row>
    <row r="173" spans="1:14" s="8" customFormat="1" x14ac:dyDescent="0.25">
      <c r="A173" s="8" t="str">
        <f t="shared" ca="1" si="6"/>
        <v>Faltschrank</v>
      </c>
      <c r="B173" s="906">
        <v>170</v>
      </c>
      <c r="C173" s="895" t="s">
        <v>2290</v>
      </c>
      <c r="D173" s="8" t="s">
        <v>2490</v>
      </c>
      <c r="E173" s="8" t="s">
        <v>3189</v>
      </c>
      <c r="F173" s="891" t="s">
        <v>3519</v>
      </c>
      <c r="G173" s="891" t="s">
        <v>4007</v>
      </c>
      <c r="H173" s="917" t="s">
        <v>3548</v>
      </c>
      <c r="I173" s="8" t="s">
        <v>2666</v>
      </c>
      <c r="J173" s="8" t="s">
        <v>2871</v>
      </c>
      <c r="K173" s="8" t="s">
        <v>3348</v>
      </c>
      <c r="L173" s="754" t="s">
        <v>3671</v>
      </c>
      <c r="M173" s="8" t="s">
        <v>3843</v>
      </c>
      <c r="N173" s="891" t="s">
        <v>3374</v>
      </c>
    </row>
    <row r="174" spans="1:14" s="8" customFormat="1" x14ac:dyDescent="0.25">
      <c r="A174" s="8" t="str">
        <f t="shared" ca="1" si="6"/>
        <v>Mini</v>
      </c>
      <c r="B174" s="906">
        <v>171</v>
      </c>
      <c r="C174" s="895" t="s">
        <v>1781</v>
      </c>
      <c r="D174" s="8" t="s">
        <v>1781</v>
      </c>
      <c r="E174" s="8" t="s">
        <v>3190</v>
      </c>
      <c r="F174" s="891" t="s">
        <v>3520</v>
      </c>
      <c r="G174" s="891" t="s">
        <v>1781</v>
      </c>
      <c r="H174" s="891" t="s">
        <v>1781</v>
      </c>
      <c r="I174" s="8" t="s">
        <v>1781</v>
      </c>
      <c r="J174" s="8" t="s">
        <v>1781</v>
      </c>
      <c r="K174" s="8" t="s">
        <v>3349</v>
      </c>
      <c r="L174" s="754" t="s">
        <v>3672</v>
      </c>
      <c r="M174" s="8" t="s">
        <v>1781</v>
      </c>
      <c r="N174" s="891" t="s">
        <v>3374</v>
      </c>
    </row>
    <row r="175" spans="1:14" s="8" customFormat="1" x14ac:dyDescent="0.25">
      <c r="A175" s="8" t="str">
        <f t="shared" ca="1" si="6"/>
        <v>Bohrbild</v>
      </c>
      <c r="B175" s="906">
        <v>172</v>
      </c>
      <c r="C175" s="895" t="s">
        <v>2</v>
      </c>
      <c r="D175" s="8" t="s">
        <v>2491</v>
      </c>
      <c r="E175" s="8" t="s">
        <v>3191</v>
      </c>
      <c r="F175" s="891" t="s">
        <v>3521</v>
      </c>
      <c r="G175" s="891" t="s">
        <v>4008</v>
      </c>
      <c r="H175" s="891" t="s">
        <v>3044</v>
      </c>
      <c r="I175" s="8" t="s">
        <v>2736</v>
      </c>
      <c r="J175" s="8" t="s">
        <v>2872</v>
      </c>
      <c r="K175" s="8" t="s">
        <v>3350</v>
      </c>
      <c r="L175" s="754" t="s">
        <v>3673</v>
      </c>
      <c r="M175" s="8" t="s">
        <v>3844</v>
      </c>
      <c r="N175" s="891" t="s">
        <v>3374</v>
      </c>
    </row>
    <row r="176" spans="1:14" s="8" customFormat="1" x14ac:dyDescent="0.25">
      <c r="A176" s="8" t="str">
        <f t="shared" ca="1" si="6"/>
        <v>Topfabstand</v>
      </c>
      <c r="B176" s="906">
        <v>173</v>
      </c>
      <c r="C176" s="895" t="s">
        <v>1</v>
      </c>
      <c r="D176" s="8" t="s">
        <v>2482</v>
      </c>
      <c r="E176" s="8" t="s">
        <v>3181</v>
      </c>
      <c r="F176" s="891" t="s">
        <v>3512</v>
      </c>
      <c r="G176" s="891" t="s">
        <v>4001</v>
      </c>
      <c r="H176" s="891" t="s">
        <v>3045</v>
      </c>
      <c r="I176" s="8" t="s">
        <v>2667</v>
      </c>
      <c r="J176" s="8" t="s">
        <v>2873</v>
      </c>
      <c r="K176" s="8" t="s">
        <v>3341</v>
      </c>
      <c r="L176" s="754" t="s">
        <v>3663</v>
      </c>
      <c r="M176" s="8" t="s">
        <v>3845</v>
      </c>
      <c r="N176" s="891" t="s">
        <v>3374</v>
      </c>
    </row>
    <row r="177" spans="1:14" s="8" customFormat="1" x14ac:dyDescent="0.25">
      <c r="A177" s="8" t="str">
        <f t="shared" ca="1" si="6"/>
        <v>Mindestfuge</v>
      </c>
      <c r="B177" s="906">
        <v>174</v>
      </c>
      <c r="C177" s="895" t="s">
        <v>1401</v>
      </c>
      <c r="D177" s="8" t="s">
        <v>2492</v>
      </c>
      <c r="E177" s="8" t="s">
        <v>3192</v>
      </c>
      <c r="F177" s="891" t="s">
        <v>3522</v>
      </c>
      <c r="G177" s="891" t="s">
        <v>4009</v>
      </c>
      <c r="H177" s="891" t="s">
        <v>3046</v>
      </c>
      <c r="I177" s="8" t="s">
        <v>2737</v>
      </c>
      <c r="J177" s="8" t="s">
        <v>2874</v>
      </c>
      <c r="K177" s="8" t="s">
        <v>3351</v>
      </c>
      <c r="L177" s="754" t="s">
        <v>3674</v>
      </c>
      <c r="M177" s="8" t="s">
        <v>3846</v>
      </c>
      <c r="N177" s="891" t="s">
        <v>3374</v>
      </c>
    </row>
    <row r="178" spans="1:14" s="8" customFormat="1" x14ac:dyDescent="0.25">
      <c r="A178" s="8" t="str">
        <f t="shared" ca="1" si="6"/>
        <v>Mindestspalt</v>
      </c>
      <c r="B178" s="906">
        <v>175</v>
      </c>
      <c r="C178" s="895" t="s">
        <v>1421</v>
      </c>
      <c r="D178" s="8" t="s">
        <v>2493</v>
      </c>
      <c r="E178" s="8" t="s">
        <v>3193</v>
      </c>
      <c r="F178" s="891" t="s">
        <v>3523</v>
      </c>
      <c r="G178" s="891" t="s">
        <v>4010</v>
      </c>
      <c r="H178" s="891" t="s">
        <v>3046</v>
      </c>
      <c r="I178" s="8" t="s">
        <v>2738</v>
      </c>
      <c r="J178" s="8" t="s">
        <v>2875</v>
      </c>
      <c r="K178" s="8" t="s">
        <v>3352</v>
      </c>
      <c r="L178" s="754" t="s">
        <v>3675</v>
      </c>
      <c r="M178" s="8" t="s">
        <v>3847</v>
      </c>
      <c r="N178" s="891" t="s">
        <v>3374</v>
      </c>
    </row>
    <row r="179" spans="1:14" s="8" customFormat="1" x14ac:dyDescent="0.25">
      <c r="A179" s="8" t="str">
        <f t="shared" ca="1" si="6"/>
        <v>Zum Anschrauben</v>
      </c>
      <c r="B179" s="906">
        <v>176</v>
      </c>
      <c r="C179" s="895" t="s">
        <v>2306</v>
      </c>
      <c r="D179" s="8" t="s">
        <v>2494</v>
      </c>
      <c r="E179" s="8" t="s">
        <v>3194</v>
      </c>
      <c r="F179" s="891" t="s">
        <v>3524</v>
      </c>
      <c r="G179" s="891" t="s">
        <v>4011</v>
      </c>
      <c r="H179" s="891" t="s">
        <v>3047</v>
      </c>
      <c r="I179" s="8" t="s">
        <v>2668</v>
      </c>
      <c r="J179" s="8" t="s">
        <v>2876</v>
      </c>
      <c r="K179" s="8" t="s">
        <v>3353</v>
      </c>
      <c r="L179" s="754" t="s">
        <v>3676</v>
      </c>
      <c r="M179" s="8" t="s">
        <v>3848</v>
      </c>
      <c r="N179" s="891" t="s">
        <v>3374</v>
      </c>
    </row>
    <row r="180" spans="1:14" s="8" customFormat="1" x14ac:dyDescent="0.25">
      <c r="A180" s="8" t="str">
        <f t="shared" ca="1" si="6"/>
        <v>Zum Einpressen</v>
      </c>
      <c r="B180" s="906">
        <v>177</v>
      </c>
      <c r="C180" s="895" t="s">
        <v>2307</v>
      </c>
      <c r="D180" s="8" t="s">
        <v>2403</v>
      </c>
      <c r="E180" s="8" t="s">
        <v>3109</v>
      </c>
      <c r="F180" s="891" t="s">
        <v>3525</v>
      </c>
      <c r="G180" s="891" t="s">
        <v>4012</v>
      </c>
      <c r="H180" s="891" t="s">
        <v>2952</v>
      </c>
      <c r="I180" s="8" t="s">
        <v>2582</v>
      </c>
      <c r="J180" s="8" t="s">
        <v>2785</v>
      </c>
      <c r="K180" s="8" t="s">
        <v>3354</v>
      </c>
      <c r="L180" s="754" t="s">
        <v>3596</v>
      </c>
      <c r="M180" s="8" t="s">
        <v>3745</v>
      </c>
      <c r="N180" s="891" t="s">
        <v>3374</v>
      </c>
    </row>
    <row r="181" spans="1:14" s="8" customFormat="1" x14ac:dyDescent="0.25">
      <c r="A181" s="8" t="str">
        <f t="shared" ca="1" si="6"/>
        <v>Dübel</v>
      </c>
      <c r="B181" s="906">
        <v>178</v>
      </c>
      <c r="C181" s="895" t="s">
        <v>866</v>
      </c>
      <c r="D181" s="8" t="s">
        <v>2495</v>
      </c>
      <c r="E181" s="8" t="s">
        <v>3195</v>
      </c>
      <c r="F181" s="891" t="s">
        <v>3526</v>
      </c>
      <c r="G181" s="891" t="s">
        <v>4013</v>
      </c>
      <c r="H181" s="891" t="s">
        <v>3048</v>
      </c>
      <c r="I181" s="8" t="s">
        <v>2669</v>
      </c>
      <c r="J181" s="8" t="s">
        <v>866</v>
      </c>
      <c r="K181" s="8" t="s">
        <v>3355</v>
      </c>
      <c r="L181" s="754" t="s">
        <v>3677</v>
      </c>
      <c r="M181" s="8" t="s">
        <v>3849</v>
      </c>
      <c r="N181" s="891" t="s">
        <v>3374</v>
      </c>
    </row>
    <row r="182" spans="1:14" s="8" customFormat="1" x14ac:dyDescent="0.25">
      <c r="A182" s="8" t="str">
        <f t="shared" ca="1" si="6"/>
        <v>Für 5 mm Lochreihe</v>
      </c>
      <c r="B182" s="906">
        <v>179</v>
      </c>
      <c r="C182" s="895" t="s">
        <v>2308</v>
      </c>
      <c r="D182" s="8" t="s">
        <v>2496</v>
      </c>
      <c r="E182" s="8" t="s">
        <v>3196</v>
      </c>
      <c r="F182" s="891" t="s">
        <v>3527</v>
      </c>
      <c r="G182" s="891" t="s">
        <v>4014</v>
      </c>
      <c r="H182" s="891" t="s">
        <v>3049</v>
      </c>
      <c r="I182" s="8" t="s">
        <v>2739</v>
      </c>
      <c r="J182" s="8" t="s">
        <v>2877</v>
      </c>
      <c r="K182" s="8" t="s">
        <v>3356</v>
      </c>
      <c r="L182" s="754" t="s">
        <v>3678</v>
      </c>
      <c r="M182" s="8" t="s">
        <v>3850</v>
      </c>
      <c r="N182" s="891" t="s">
        <v>3374</v>
      </c>
    </row>
    <row r="183" spans="1:14" s="8" customFormat="1" x14ac:dyDescent="0.25">
      <c r="A183" s="8" t="str">
        <f t="shared" ca="1" si="6"/>
        <v>Spreizdübel</v>
      </c>
      <c r="B183" s="906">
        <v>180</v>
      </c>
      <c r="C183" s="895" t="s">
        <v>867</v>
      </c>
      <c r="D183" s="8" t="s">
        <v>2497</v>
      </c>
      <c r="E183" s="8" t="s">
        <v>3197</v>
      </c>
      <c r="F183" s="891" t="s">
        <v>3528</v>
      </c>
      <c r="G183" s="891" t="s">
        <v>4015</v>
      </c>
      <c r="H183" s="891" t="s">
        <v>3050</v>
      </c>
      <c r="I183" s="8" t="s">
        <v>2670</v>
      </c>
      <c r="J183" s="8" t="s">
        <v>2878</v>
      </c>
      <c r="K183" s="8" t="s">
        <v>3357</v>
      </c>
      <c r="L183" s="754" t="s">
        <v>3679</v>
      </c>
      <c r="M183" s="8" t="s">
        <v>3851</v>
      </c>
      <c r="N183" s="891" t="s">
        <v>3374</v>
      </c>
    </row>
    <row r="184" spans="1:14" s="8" customFormat="1" x14ac:dyDescent="0.25">
      <c r="A184" s="8" t="str">
        <f t="shared" ca="1" si="6"/>
        <v>Click-on Anschrauben</v>
      </c>
      <c r="B184" s="906">
        <v>181</v>
      </c>
      <c r="C184" s="895" t="s">
        <v>890</v>
      </c>
      <c r="D184" s="8" t="s">
        <v>2498</v>
      </c>
      <c r="E184" s="8" t="s">
        <v>3198</v>
      </c>
      <c r="F184" s="891" t="s">
        <v>3529</v>
      </c>
      <c r="G184" s="891" t="s">
        <v>4016</v>
      </c>
      <c r="H184" s="891" t="s">
        <v>3051</v>
      </c>
      <c r="I184" s="8" t="s">
        <v>2671</v>
      </c>
      <c r="J184" s="8" t="s">
        <v>2879</v>
      </c>
      <c r="K184" s="8" t="s">
        <v>3358</v>
      </c>
      <c r="L184" s="754" t="s">
        <v>3680</v>
      </c>
      <c r="M184" s="8" t="s">
        <v>3852</v>
      </c>
      <c r="N184" s="891" t="s">
        <v>3374</v>
      </c>
    </row>
    <row r="185" spans="1:14" s="8" customFormat="1" x14ac:dyDescent="0.25">
      <c r="A185" s="8" t="str">
        <f t="shared" ca="1" si="6"/>
        <v>Click-on Einpressen</v>
      </c>
      <c r="B185" s="906">
        <v>182</v>
      </c>
      <c r="C185" s="895" t="s">
        <v>889</v>
      </c>
      <c r="D185" s="8" t="s">
        <v>2499</v>
      </c>
      <c r="E185" s="8" t="s">
        <v>3199</v>
      </c>
      <c r="F185" s="891" t="s">
        <v>3530</v>
      </c>
      <c r="G185" s="891" t="s">
        <v>4017</v>
      </c>
      <c r="H185" s="891" t="s">
        <v>3052</v>
      </c>
      <c r="I185" s="8" t="s">
        <v>2672</v>
      </c>
      <c r="J185" s="8" t="s">
        <v>2880</v>
      </c>
      <c r="K185" s="8" t="s">
        <v>3359</v>
      </c>
      <c r="L185" s="754" t="s">
        <v>3681</v>
      </c>
      <c r="M185" s="8" t="s">
        <v>3853</v>
      </c>
      <c r="N185" s="891" t="s">
        <v>3374</v>
      </c>
    </row>
    <row r="186" spans="1:14" s="8" customFormat="1" x14ac:dyDescent="0.25">
      <c r="A186" s="8" t="str">
        <f t="shared" ca="1" si="6"/>
        <v>Click-on Quick</v>
      </c>
      <c r="B186" s="906">
        <v>183</v>
      </c>
      <c r="C186" s="895" t="s">
        <v>1368</v>
      </c>
      <c r="D186" s="8" t="s">
        <v>1368</v>
      </c>
      <c r="E186" s="8" t="s">
        <v>1368</v>
      </c>
      <c r="F186" s="891" t="s">
        <v>1368</v>
      </c>
      <c r="G186" s="891" t="s">
        <v>1368</v>
      </c>
      <c r="H186" s="891" t="s">
        <v>1368</v>
      </c>
      <c r="I186" s="8" t="s">
        <v>1368</v>
      </c>
      <c r="J186" s="8" t="s">
        <v>2881</v>
      </c>
      <c r="K186" s="8" t="s">
        <v>3360</v>
      </c>
      <c r="L186" s="754" t="s">
        <v>1368</v>
      </c>
      <c r="M186" s="8" t="s">
        <v>1368</v>
      </c>
      <c r="N186" s="891" t="s">
        <v>3374</v>
      </c>
    </row>
    <row r="187" spans="1:14" s="8" customFormat="1" x14ac:dyDescent="0.25">
      <c r="A187" s="8" t="str">
        <f t="shared" ca="1" si="6"/>
        <v>Maße in mm</v>
      </c>
      <c r="B187" s="906">
        <v>184</v>
      </c>
      <c r="C187" s="895" t="s">
        <v>2273</v>
      </c>
      <c r="D187" s="8" t="s">
        <v>2500</v>
      </c>
      <c r="E187" s="8" t="s">
        <v>3200</v>
      </c>
      <c r="F187" s="891" t="s">
        <v>3531</v>
      </c>
      <c r="G187" s="891" t="s">
        <v>4018</v>
      </c>
      <c r="H187" s="891" t="s">
        <v>3053</v>
      </c>
      <c r="I187" s="8" t="s">
        <v>2673</v>
      </c>
      <c r="J187" s="8" t="s">
        <v>2882</v>
      </c>
      <c r="K187" s="8" t="s">
        <v>3361</v>
      </c>
      <c r="L187" s="754" t="s">
        <v>3682</v>
      </c>
      <c r="M187" s="8" t="s">
        <v>3854</v>
      </c>
      <c r="N187" s="891" t="s">
        <v>3374</v>
      </c>
    </row>
    <row r="188" spans="1:14" s="8" customFormat="1" x14ac:dyDescent="0.25">
      <c r="A188" s="8" t="str">
        <f t="shared" ca="1" si="6"/>
        <v>Achtung: Der Verstellbereich ist bei einer Montageplattenhöhe von -2,0 eingeschränkt!</v>
      </c>
      <c r="B188" s="906">
        <v>185</v>
      </c>
      <c r="C188" s="895" t="s">
        <v>2516</v>
      </c>
      <c r="D188" s="8" t="s">
        <v>2517</v>
      </c>
      <c r="E188" s="8" t="s">
        <v>3201</v>
      </c>
      <c r="F188" s="891" t="s">
        <v>3532</v>
      </c>
      <c r="G188" s="891" t="s">
        <v>4019</v>
      </c>
      <c r="H188" s="891" t="s">
        <v>3054</v>
      </c>
      <c r="I188" s="8" t="s">
        <v>2674</v>
      </c>
      <c r="J188" s="8" t="s">
        <v>2883</v>
      </c>
      <c r="K188" s="8" t="s">
        <v>3362</v>
      </c>
      <c r="L188" s="754" t="s">
        <v>3683</v>
      </c>
      <c r="M188" s="8" t="s">
        <v>3855</v>
      </c>
      <c r="N188" s="891" t="s">
        <v>3374</v>
      </c>
    </row>
    <row r="189" spans="1:14" s="8" customFormat="1" x14ac:dyDescent="0.25">
      <c r="A189" s="8" t="str">
        <f t="shared" ca="1" si="6"/>
        <v>Impresso</v>
      </c>
      <c r="B189" s="906">
        <v>186</v>
      </c>
      <c r="C189" s="895" t="s">
        <v>888</v>
      </c>
      <c r="D189" s="8" t="s">
        <v>888</v>
      </c>
      <c r="E189" s="8" t="s">
        <v>888</v>
      </c>
      <c r="F189" s="891" t="s">
        <v>888</v>
      </c>
      <c r="G189" s="891" t="s">
        <v>888</v>
      </c>
      <c r="H189" s="891" t="s">
        <v>888</v>
      </c>
      <c r="I189" s="8" t="s">
        <v>888</v>
      </c>
      <c r="J189" s="8" t="s">
        <v>888</v>
      </c>
      <c r="K189" s="8" t="s">
        <v>3363</v>
      </c>
      <c r="L189" s="754" t="s">
        <v>888</v>
      </c>
      <c r="M189" s="8" t="s">
        <v>888</v>
      </c>
      <c r="N189" s="891" t="s">
        <v>3374</v>
      </c>
    </row>
    <row r="190" spans="1:14" s="8" customFormat="1" x14ac:dyDescent="0.25">
      <c r="A190" s="8" t="str">
        <f t="shared" ca="1" si="6"/>
        <v>Tipmatic</v>
      </c>
      <c r="B190" s="906">
        <v>187</v>
      </c>
      <c r="C190" s="895" t="s">
        <v>16</v>
      </c>
      <c r="D190" s="8" t="s">
        <v>16</v>
      </c>
      <c r="E190" s="8" t="s">
        <v>16</v>
      </c>
      <c r="F190" s="891" t="s">
        <v>16</v>
      </c>
      <c r="G190" s="891" t="s">
        <v>16</v>
      </c>
      <c r="H190" s="891" t="s">
        <v>16</v>
      </c>
      <c r="I190" s="8" t="s">
        <v>16</v>
      </c>
      <c r="J190" s="8" t="s">
        <v>2884</v>
      </c>
      <c r="K190" s="8" t="s">
        <v>3364</v>
      </c>
      <c r="L190" s="754" t="s">
        <v>16</v>
      </c>
      <c r="M190" s="8" t="s">
        <v>16</v>
      </c>
      <c r="N190" s="891" t="s">
        <v>3374</v>
      </c>
    </row>
    <row r="191" spans="1:14" s="672" customFormat="1" x14ac:dyDescent="0.25">
      <c r="A191" s="672" t="str">
        <f t="shared" ca="1" si="6"/>
        <v>Multilock</v>
      </c>
      <c r="B191" s="907">
        <v>188</v>
      </c>
      <c r="C191" s="896" t="s">
        <v>868</v>
      </c>
      <c r="D191" s="672" t="s">
        <v>868</v>
      </c>
      <c r="E191" s="672" t="s">
        <v>868</v>
      </c>
      <c r="F191" s="893" t="s">
        <v>868</v>
      </c>
      <c r="G191" s="893" t="s">
        <v>868</v>
      </c>
      <c r="H191" s="893" t="s">
        <v>868</v>
      </c>
      <c r="I191" s="672" t="s">
        <v>868</v>
      </c>
      <c r="J191" s="672" t="s">
        <v>868</v>
      </c>
      <c r="K191" s="672" t="s">
        <v>3365</v>
      </c>
      <c r="L191" s="889" t="s">
        <v>868</v>
      </c>
      <c r="M191" s="672" t="s">
        <v>868</v>
      </c>
      <c r="N191" s="893" t="s">
        <v>3374</v>
      </c>
    </row>
    <row r="192" spans="1:14" s="8" customFormat="1" x14ac:dyDescent="0.25">
      <c r="A192" s="8" t="str">
        <f t="shared" ca="1" si="6"/>
        <v>Aluprofil</v>
      </c>
      <c r="B192" s="906">
        <v>189</v>
      </c>
      <c r="C192" s="895" t="s">
        <v>1868</v>
      </c>
      <c r="D192" s="8" t="s">
        <v>2501</v>
      </c>
      <c r="E192" s="8" t="s">
        <v>3202</v>
      </c>
      <c r="F192" s="891" t="s">
        <v>3533</v>
      </c>
      <c r="G192" s="8" t="s">
        <v>4024</v>
      </c>
      <c r="H192" s="891" t="s">
        <v>3055</v>
      </c>
      <c r="I192" s="8" t="s">
        <v>2675</v>
      </c>
      <c r="J192" s="8" t="s">
        <v>2885</v>
      </c>
      <c r="K192" s="8" t="s">
        <v>3366</v>
      </c>
      <c r="L192" s="754" t="s">
        <v>3684</v>
      </c>
      <c r="M192" s="8" t="s">
        <v>3856</v>
      </c>
      <c r="N192" s="891" t="s">
        <v>3374</v>
      </c>
    </row>
    <row r="193" spans="1:14" s="34" customFormat="1" x14ac:dyDescent="0.25">
      <c r="A193" s="8" t="str">
        <f t="shared" ca="1" si="6"/>
        <v>Glas / Spiegel</v>
      </c>
      <c r="B193" s="906">
        <v>190</v>
      </c>
      <c r="C193" s="895" t="s">
        <v>1898</v>
      </c>
      <c r="D193" s="8" t="s">
        <v>2502</v>
      </c>
      <c r="E193" s="8" t="s">
        <v>3203</v>
      </c>
      <c r="F193" s="891" t="s">
        <v>3534</v>
      </c>
      <c r="G193" s="34" t="s">
        <v>4025</v>
      </c>
      <c r="H193" s="891" t="s">
        <v>3056</v>
      </c>
      <c r="I193" s="8" t="s">
        <v>2676</v>
      </c>
      <c r="J193" s="8" t="s">
        <v>2886</v>
      </c>
      <c r="K193" s="8" t="s">
        <v>3367</v>
      </c>
      <c r="L193" s="890" t="s">
        <v>3685</v>
      </c>
      <c r="M193" s="34" t="s">
        <v>3857</v>
      </c>
      <c r="N193" s="891" t="s">
        <v>3374</v>
      </c>
    </row>
    <row r="194" spans="1:14" s="34" customFormat="1" x14ac:dyDescent="0.25">
      <c r="A194" s="8" t="str">
        <f t="shared" ca="1" si="6"/>
        <v>Aluminium</v>
      </c>
      <c r="B194" s="906">
        <v>191</v>
      </c>
      <c r="C194" s="895" t="s">
        <v>1899</v>
      </c>
      <c r="D194" s="8" t="s">
        <v>1899</v>
      </c>
      <c r="E194" s="8" t="s">
        <v>1899</v>
      </c>
      <c r="F194" s="891" t="s">
        <v>3535</v>
      </c>
      <c r="G194" s="34" t="s">
        <v>4026</v>
      </c>
      <c r="H194" s="891" t="s">
        <v>1899</v>
      </c>
      <c r="I194" s="8" t="s">
        <v>1899</v>
      </c>
      <c r="J194" s="8" t="s">
        <v>2887</v>
      </c>
      <c r="K194" s="8" t="s">
        <v>3368</v>
      </c>
      <c r="L194" s="890" t="s">
        <v>3686</v>
      </c>
      <c r="M194" s="34" t="s">
        <v>3858</v>
      </c>
      <c r="N194" s="891" t="s">
        <v>3374</v>
      </c>
    </row>
    <row r="195" spans="1:14" s="34" customFormat="1" x14ac:dyDescent="0.25">
      <c r="A195" s="8" t="str">
        <f t="shared" ca="1" si="6"/>
        <v>Mineralwerkstoff</v>
      </c>
      <c r="B195" s="906">
        <v>192</v>
      </c>
      <c r="C195" s="895" t="s">
        <v>1912</v>
      </c>
      <c r="D195" s="8" t="s">
        <v>2503</v>
      </c>
      <c r="E195" s="8" t="s">
        <v>3204</v>
      </c>
      <c r="F195" s="891" t="s">
        <v>3536</v>
      </c>
      <c r="G195" s="34" t="s">
        <v>4027</v>
      </c>
      <c r="H195" s="891" t="s">
        <v>3057</v>
      </c>
      <c r="I195" s="8" t="s">
        <v>2677</v>
      </c>
      <c r="J195" s="8" t="s">
        <v>2888</v>
      </c>
      <c r="K195" s="8" t="s">
        <v>3369</v>
      </c>
      <c r="L195" s="890" t="s">
        <v>3687</v>
      </c>
      <c r="M195" s="34" t="s">
        <v>3859</v>
      </c>
      <c r="N195" s="891" t="s">
        <v>3374</v>
      </c>
    </row>
    <row r="196" spans="1:14" s="8" customFormat="1" x14ac:dyDescent="0.25">
      <c r="A196" s="8" t="str">
        <f t="shared" ca="1" si="6"/>
        <v>Material</v>
      </c>
      <c r="B196" s="906">
        <v>193</v>
      </c>
      <c r="C196" s="895" t="s">
        <v>1333</v>
      </c>
      <c r="D196" s="8" t="s">
        <v>1333</v>
      </c>
      <c r="E196" s="8" t="s">
        <v>3171</v>
      </c>
      <c r="F196" s="891" t="s">
        <v>3540</v>
      </c>
      <c r="G196" s="8" t="s">
        <v>1333</v>
      </c>
      <c r="H196" s="891" t="s">
        <v>3058</v>
      </c>
      <c r="I196" s="8" t="s">
        <v>2678</v>
      </c>
      <c r="J196" s="8" t="s">
        <v>2889</v>
      </c>
      <c r="K196" s="8" t="s">
        <v>3370</v>
      </c>
      <c r="L196" s="754" t="s">
        <v>3688</v>
      </c>
      <c r="M196" s="8" t="s">
        <v>3860</v>
      </c>
      <c r="N196" s="891" t="s">
        <v>3374</v>
      </c>
    </row>
    <row r="197" spans="1:14" s="34" customFormat="1" x14ac:dyDescent="0.25">
      <c r="A197" s="8" t="str">
        <f t="shared" ca="1" si="6"/>
        <v>MDF-Werkstoff</v>
      </c>
      <c r="B197" s="906">
        <v>194</v>
      </c>
      <c r="C197" s="895" t="s">
        <v>999</v>
      </c>
      <c r="D197" s="8" t="s">
        <v>1000</v>
      </c>
      <c r="E197" s="8" t="s">
        <v>1000</v>
      </c>
      <c r="F197" s="891" t="s">
        <v>1003</v>
      </c>
      <c r="G197" s="34" t="s">
        <v>1003</v>
      </c>
      <c r="H197" s="891" t="s">
        <v>1002</v>
      </c>
      <c r="I197" s="8" t="s">
        <v>2679</v>
      </c>
      <c r="J197" s="8" t="s">
        <v>1004</v>
      </c>
      <c r="K197" s="8" t="s">
        <v>1005</v>
      </c>
      <c r="L197" s="754" t="s">
        <v>1006</v>
      </c>
      <c r="M197" s="34" t="s">
        <v>1001</v>
      </c>
    </row>
    <row r="198" spans="1:14" s="34" customFormat="1" x14ac:dyDescent="0.25">
      <c r="A198" s="8" t="str">
        <f t="shared" ca="1" si="6"/>
        <v>Spanplatte</v>
      </c>
      <c r="B198" s="906">
        <v>195</v>
      </c>
      <c r="C198" s="895" t="s">
        <v>1007</v>
      </c>
      <c r="D198" s="8" t="s">
        <v>1008</v>
      </c>
      <c r="E198" s="8" t="s">
        <v>1009</v>
      </c>
      <c r="F198" s="891" t="s">
        <v>1012</v>
      </c>
      <c r="G198" s="34" t="s">
        <v>1012</v>
      </c>
      <c r="H198" s="891" t="s">
        <v>1011</v>
      </c>
      <c r="I198" s="8" t="s">
        <v>2680</v>
      </c>
      <c r="J198" s="8" t="s">
        <v>1013</v>
      </c>
      <c r="K198" s="8" t="s">
        <v>1014</v>
      </c>
      <c r="L198" s="754" t="s">
        <v>1015</v>
      </c>
      <c r="M198" s="34" t="s">
        <v>1010</v>
      </c>
    </row>
    <row r="199" spans="1:14" s="34" customFormat="1" x14ac:dyDescent="0.25">
      <c r="A199" s="8" t="str">
        <f t="shared" ca="1" si="6"/>
        <v>Fichte / Kiefer</v>
      </c>
      <c r="B199" s="906">
        <v>196</v>
      </c>
      <c r="C199" s="895" t="s">
        <v>1016</v>
      </c>
      <c r="D199" s="8" t="s">
        <v>1017</v>
      </c>
      <c r="E199" s="8" t="s">
        <v>1018</v>
      </c>
      <c r="F199" s="891" t="s">
        <v>1021</v>
      </c>
      <c r="G199" s="34" t="s">
        <v>1153</v>
      </c>
      <c r="H199" s="891" t="s">
        <v>1020</v>
      </c>
      <c r="I199" s="8" t="s">
        <v>2681</v>
      </c>
      <c r="J199" s="8" t="s">
        <v>1022</v>
      </c>
      <c r="K199" s="8" t="s">
        <v>1023</v>
      </c>
      <c r="L199" s="754" t="s">
        <v>1024</v>
      </c>
      <c r="M199" s="34" t="s">
        <v>1019</v>
      </c>
    </row>
    <row r="200" spans="1:14" s="34" customFormat="1" x14ac:dyDescent="0.25">
      <c r="A200" s="8" t="str">
        <f t="shared" ca="1" si="6"/>
        <v>Glas</v>
      </c>
      <c r="B200" s="906">
        <v>197</v>
      </c>
      <c r="C200" s="895" t="s">
        <v>1025</v>
      </c>
      <c r="D200" s="8" t="s">
        <v>1026</v>
      </c>
      <c r="E200" s="8" t="s">
        <v>1027</v>
      </c>
      <c r="F200" s="891" t="s">
        <v>1030</v>
      </c>
      <c r="G200" s="34" t="s">
        <v>1030</v>
      </c>
      <c r="H200" s="891" t="s">
        <v>1029</v>
      </c>
      <c r="I200" s="8" t="s">
        <v>2682</v>
      </c>
      <c r="J200" s="8" t="s">
        <v>1031</v>
      </c>
      <c r="K200" s="8" t="s">
        <v>1032</v>
      </c>
      <c r="L200" s="754" t="s">
        <v>1033</v>
      </c>
      <c r="M200" s="34" t="s">
        <v>1028</v>
      </c>
    </row>
    <row r="201" spans="1:14" s="34" customFormat="1" x14ac:dyDescent="0.25">
      <c r="A201" s="8" t="str">
        <f t="shared" ca="1" si="6"/>
        <v>-----------------</v>
      </c>
      <c r="B201" s="906">
        <v>198</v>
      </c>
      <c r="C201" s="895" t="s">
        <v>1034</v>
      </c>
      <c r="D201" s="8" t="s">
        <v>1034</v>
      </c>
      <c r="E201" s="8" t="s">
        <v>1034</v>
      </c>
      <c r="F201" s="891" t="s">
        <v>1034</v>
      </c>
      <c r="G201" s="34" t="s">
        <v>1034</v>
      </c>
      <c r="H201" s="891" t="s">
        <v>1034</v>
      </c>
      <c r="I201" s="8" t="s">
        <v>1034</v>
      </c>
      <c r="J201" s="8" t="s">
        <v>1034</v>
      </c>
      <c r="K201" s="8" t="s">
        <v>1034</v>
      </c>
      <c r="L201" s="754" t="s">
        <v>1034</v>
      </c>
      <c r="M201" s="34" t="s">
        <v>1034</v>
      </c>
    </row>
    <row r="202" spans="1:14" s="34" customFormat="1" x14ac:dyDescent="0.25">
      <c r="A202" s="8" t="str">
        <f t="shared" ca="1" si="6"/>
        <v>Afrormosia</v>
      </c>
      <c r="B202" s="906">
        <v>199</v>
      </c>
      <c r="C202" s="895" t="s">
        <v>1035</v>
      </c>
      <c r="D202" s="8" t="s">
        <v>1036</v>
      </c>
      <c r="E202" s="8" t="s">
        <v>1036</v>
      </c>
      <c r="F202" s="891" t="s">
        <v>1036</v>
      </c>
      <c r="G202" s="34" t="s">
        <v>1036</v>
      </c>
      <c r="H202" s="891" t="s">
        <v>1035</v>
      </c>
      <c r="I202" s="8" t="s">
        <v>1036</v>
      </c>
      <c r="J202" s="8" t="s">
        <v>1035</v>
      </c>
      <c r="K202" s="8" t="s">
        <v>1037</v>
      </c>
      <c r="L202" s="754" t="s">
        <v>1038</v>
      </c>
      <c r="M202" s="34" t="s">
        <v>1036</v>
      </c>
    </row>
    <row r="203" spans="1:14" s="34" customFormat="1" x14ac:dyDescent="0.25">
      <c r="A203" s="8" t="str">
        <f t="shared" ca="1" si="6"/>
        <v>Ahorn</v>
      </c>
      <c r="B203" s="906">
        <v>200</v>
      </c>
      <c r="C203" s="895" t="s">
        <v>1039</v>
      </c>
      <c r="D203" s="8" t="s">
        <v>1040</v>
      </c>
      <c r="E203" s="8" t="s">
        <v>1041</v>
      </c>
      <c r="F203" s="891" t="s">
        <v>1044</v>
      </c>
      <c r="G203" s="34" t="s">
        <v>1044</v>
      </c>
      <c r="H203" s="891" t="s">
        <v>1043</v>
      </c>
      <c r="I203" s="8" t="s">
        <v>2683</v>
      </c>
      <c r="J203" s="8" t="s">
        <v>1045</v>
      </c>
      <c r="K203" s="8" t="s">
        <v>1046</v>
      </c>
      <c r="L203" s="754" t="s">
        <v>1047</v>
      </c>
      <c r="M203" s="34" t="s">
        <v>1042</v>
      </c>
    </row>
    <row r="204" spans="1:14" s="34" customFormat="1" x14ac:dyDescent="0.25">
      <c r="A204" s="8" t="str">
        <f t="shared" ca="1" si="6"/>
        <v>Amerikanische Linde</v>
      </c>
      <c r="B204" s="906">
        <v>201</v>
      </c>
      <c r="C204" s="895" t="s">
        <v>1048</v>
      </c>
      <c r="D204" s="8" t="s">
        <v>1049</v>
      </c>
      <c r="E204" s="8" t="s">
        <v>1050</v>
      </c>
      <c r="F204" s="891" t="s">
        <v>1053</v>
      </c>
      <c r="G204" s="34" t="s">
        <v>1053</v>
      </c>
      <c r="H204" s="891" t="s">
        <v>1052</v>
      </c>
      <c r="I204" s="8" t="s">
        <v>2684</v>
      </c>
      <c r="J204" s="8" t="s">
        <v>1054</v>
      </c>
      <c r="K204" s="8" t="s">
        <v>1055</v>
      </c>
      <c r="L204" s="754" t="s">
        <v>1056</v>
      </c>
      <c r="M204" s="34" t="s">
        <v>1051</v>
      </c>
    </row>
    <row r="205" spans="1:14" s="34" customFormat="1" x14ac:dyDescent="0.25">
      <c r="A205" s="8" t="str">
        <f t="shared" ca="1" si="6"/>
        <v>Apfel</v>
      </c>
      <c r="B205" s="906">
        <v>202</v>
      </c>
      <c r="C205" s="895" t="s">
        <v>1057</v>
      </c>
      <c r="D205" s="8" t="s">
        <v>1058</v>
      </c>
      <c r="E205" s="8" t="s">
        <v>1059</v>
      </c>
      <c r="F205" s="891" t="s">
        <v>1062</v>
      </c>
      <c r="G205" s="34" t="s">
        <v>1062</v>
      </c>
      <c r="H205" s="891" t="s">
        <v>1061</v>
      </c>
      <c r="I205" s="8" t="s">
        <v>2685</v>
      </c>
      <c r="J205" s="8" t="s">
        <v>1063</v>
      </c>
      <c r="K205" s="8" t="s">
        <v>1064</v>
      </c>
      <c r="L205" s="754" t="s">
        <v>1065</v>
      </c>
      <c r="M205" s="34" t="s">
        <v>1060</v>
      </c>
    </row>
    <row r="206" spans="1:14" s="34" customFormat="1" x14ac:dyDescent="0.25">
      <c r="A206" s="8" t="str">
        <f t="shared" ref="A206:A238" ca="1" si="7">OFFSET(B206,0,$B$3,1,1)</f>
        <v>Balsa</v>
      </c>
      <c r="B206" s="906">
        <v>203</v>
      </c>
      <c r="C206" s="895" t="s">
        <v>1066</v>
      </c>
      <c r="D206" s="8" t="s">
        <v>1066</v>
      </c>
      <c r="E206" s="8" t="s">
        <v>1067</v>
      </c>
      <c r="F206" s="891" t="s">
        <v>1066</v>
      </c>
      <c r="G206" s="34" t="s">
        <v>1066</v>
      </c>
      <c r="H206" s="891" t="s">
        <v>1066</v>
      </c>
      <c r="I206" s="8" t="s">
        <v>1066</v>
      </c>
      <c r="J206" s="8" t="s">
        <v>1066</v>
      </c>
      <c r="K206" s="8" t="s">
        <v>1068</v>
      </c>
      <c r="L206" s="754" t="s">
        <v>1069</v>
      </c>
      <c r="M206" s="34" t="s">
        <v>1066</v>
      </c>
    </row>
    <row r="207" spans="1:14" s="34" customFormat="1" x14ac:dyDescent="0.25">
      <c r="A207" s="8" t="str">
        <f t="shared" ca="1" si="7"/>
        <v>Bambus</v>
      </c>
      <c r="B207" s="906">
        <v>204</v>
      </c>
      <c r="C207" s="895" t="s">
        <v>1070</v>
      </c>
      <c r="D207" s="8" t="s">
        <v>1071</v>
      </c>
      <c r="E207" s="8" t="s">
        <v>1072</v>
      </c>
      <c r="F207" s="891" t="s">
        <v>1072</v>
      </c>
      <c r="G207" s="34" t="s">
        <v>1072</v>
      </c>
      <c r="H207" s="891" t="s">
        <v>1074</v>
      </c>
      <c r="I207" s="8" t="s">
        <v>1070</v>
      </c>
      <c r="J207" s="8" t="s">
        <v>1075</v>
      </c>
      <c r="K207" s="8" t="s">
        <v>1076</v>
      </c>
      <c r="L207" s="754" t="s">
        <v>1077</v>
      </c>
      <c r="M207" s="34" t="s">
        <v>1073</v>
      </c>
    </row>
    <row r="208" spans="1:14" s="34" customFormat="1" x14ac:dyDescent="0.25">
      <c r="A208" s="8" t="str">
        <f t="shared" ca="1" si="7"/>
        <v>Birke</v>
      </c>
      <c r="B208" s="906">
        <v>205</v>
      </c>
      <c r="C208" s="895" t="s">
        <v>1078</v>
      </c>
      <c r="D208" s="8" t="s">
        <v>1079</v>
      </c>
      <c r="E208" s="8" t="s">
        <v>1080</v>
      </c>
      <c r="F208" s="891" t="s">
        <v>1083</v>
      </c>
      <c r="G208" s="34" t="s">
        <v>1083</v>
      </c>
      <c r="H208" s="891" t="s">
        <v>1082</v>
      </c>
      <c r="I208" s="8" t="s">
        <v>2686</v>
      </c>
      <c r="J208" s="8" t="s">
        <v>1084</v>
      </c>
      <c r="K208" s="8" t="s">
        <v>1085</v>
      </c>
      <c r="L208" s="754" t="s">
        <v>1086</v>
      </c>
      <c r="M208" s="34" t="s">
        <v>1081</v>
      </c>
    </row>
    <row r="209" spans="1:13" s="34" customFormat="1" x14ac:dyDescent="0.25">
      <c r="A209" s="8" t="str">
        <f t="shared" ca="1" si="7"/>
        <v>Birne</v>
      </c>
      <c r="B209" s="906">
        <v>206</v>
      </c>
      <c r="C209" s="895" t="s">
        <v>1087</v>
      </c>
      <c r="D209" s="8" t="s">
        <v>1088</v>
      </c>
      <c r="E209" s="8" t="s">
        <v>1089</v>
      </c>
      <c r="F209" s="891" t="s">
        <v>1092</v>
      </c>
      <c r="G209" s="34" t="s">
        <v>1092</v>
      </c>
      <c r="H209" s="891" t="s">
        <v>1091</v>
      </c>
      <c r="I209" s="8" t="s">
        <v>2687</v>
      </c>
      <c r="J209" s="8" t="s">
        <v>1093</v>
      </c>
      <c r="K209" s="8" t="s">
        <v>1094</v>
      </c>
      <c r="L209" s="754" t="s">
        <v>1095</v>
      </c>
      <c r="M209" s="34" t="s">
        <v>1090</v>
      </c>
    </row>
    <row r="210" spans="1:13" s="34" customFormat="1" x14ac:dyDescent="0.25">
      <c r="A210" s="8" t="str">
        <f t="shared" ca="1" si="7"/>
        <v>Buche</v>
      </c>
      <c r="B210" s="906">
        <v>207</v>
      </c>
      <c r="C210" s="895" t="s">
        <v>1096</v>
      </c>
      <c r="D210" s="8" t="s">
        <v>1097</v>
      </c>
      <c r="E210" s="8" t="s">
        <v>1098</v>
      </c>
      <c r="F210" s="891" t="s">
        <v>1101</v>
      </c>
      <c r="G210" s="34" t="s">
        <v>1101</v>
      </c>
      <c r="H210" s="891" t="s">
        <v>1100</v>
      </c>
      <c r="I210" s="8" t="s">
        <v>2688</v>
      </c>
      <c r="J210" s="8" t="s">
        <v>1102</v>
      </c>
      <c r="K210" s="8" t="s">
        <v>1103</v>
      </c>
      <c r="L210" s="754" t="s">
        <v>1104</v>
      </c>
      <c r="M210" s="34" t="s">
        <v>1099</v>
      </c>
    </row>
    <row r="211" spans="1:13" s="34" customFormat="1" x14ac:dyDescent="0.25">
      <c r="A211" s="8" t="str">
        <f t="shared" ca="1" si="7"/>
        <v>Douglasie</v>
      </c>
      <c r="B211" s="906">
        <v>208</v>
      </c>
      <c r="C211" s="895" t="s">
        <v>1105</v>
      </c>
      <c r="D211" s="8" t="s">
        <v>1106</v>
      </c>
      <c r="E211" s="8" t="s">
        <v>1107</v>
      </c>
      <c r="F211" s="891" t="s">
        <v>1110</v>
      </c>
      <c r="G211" s="34" t="s">
        <v>1110</v>
      </c>
      <c r="H211" s="891" t="s">
        <v>1109</v>
      </c>
      <c r="I211" s="8" t="s">
        <v>2689</v>
      </c>
      <c r="J211" s="8" t="s">
        <v>1105</v>
      </c>
      <c r="K211" s="8" t="s">
        <v>1111</v>
      </c>
      <c r="L211" s="754" t="s">
        <v>3691</v>
      </c>
      <c r="M211" s="34" t="s">
        <v>1108</v>
      </c>
    </row>
    <row r="212" spans="1:13" s="34" customFormat="1" x14ac:dyDescent="0.25">
      <c r="A212" s="8" t="str">
        <f t="shared" ca="1" si="7"/>
        <v>Ebenholz</v>
      </c>
      <c r="B212" s="906">
        <v>209</v>
      </c>
      <c r="C212" s="895" t="s">
        <v>1112</v>
      </c>
      <c r="D212" s="8" t="s">
        <v>1113</v>
      </c>
      <c r="E212" s="8" t="s">
        <v>1114</v>
      </c>
      <c r="F212" s="891" t="s">
        <v>1117</v>
      </c>
      <c r="G212" s="34" t="s">
        <v>1117</v>
      </c>
      <c r="H212" s="891" t="s">
        <v>1116</v>
      </c>
      <c r="I212" s="8" t="s">
        <v>2690</v>
      </c>
      <c r="J212" s="8" t="s">
        <v>1118</v>
      </c>
      <c r="K212" s="8" t="s">
        <v>1119</v>
      </c>
      <c r="L212" s="754" t="s">
        <v>1120</v>
      </c>
      <c r="M212" s="34" t="s">
        <v>1115</v>
      </c>
    </row>
    <row r="213" spans="1:13" s="34" customFormat="1" x14ac:dyDescent="0.25">
      <c r="A213" s="891" t="str">
        <f t="shared" ca="1" si="7"/>
        <v>Eiche</v>
      </c>
      <c r="B213" s="906">
        <v>210</v>
      </c>
      <c r="C213" s="895" t="s">
        <v>3866</v>
      </c>
      <c r="D213" s="891" t="s">
        <v>3867</v>
      </c>
      <c r="E213" s="891" t="s">
        <v>3868</v>
      </c>
      <c r="F213" s="891" t="s">
        <v>3869</v>
      </c>
      <c r="G213" s="891" t="s">
        <v>3870</v>
      </c>
      <c r="H213" s="891" t="s">
        <v>3871</v>
      </c>
      <c r="I213" s="891" t="s">
        <v>3872</v>
      </c>
      <c r="J213" s="891" t="s">
        <v>3873</v>
      </c>
      <c r="K213" s="891" t="s">
        <v>3874</v>
      </c>
      <c r="L213" s="754" t="s">
        <v>3876</v>
      </c>
      <c r="M213" s="891" t="s">
        <v>3875</v>
      </c>
    </row>
    <row r="214" spans="1:13" s="34" customFormat="1" x14ac:dyDescent="0.25">
      <c r="A214" s="8" t="str">
        <f t="shared" ca="1" si="7"/>
        <v>Erle</v>
      </c>
      <c r="B214" s="906">
        <v>211</v>
      </c>
      <c r="C214" s="895" t="s">
        <v>1121</v>
      </c>
      <c r="D214" s="8" t="s">
        <v>1122</v>
      </c>
      <c r="E214" s="8" t="s">
        <v>1123</v>
      </c>
      <c r="F214" s="891" t="s">
        <v>1126</v>
      </c>
      <c r="G214" s="34" t="s">
        <v>1126</v>
      </c>
      <c r="H214" s="891" t="s">
        <v>1125</v>
      </c>
      <c r="I214" s="8" t="s">
        <v>2691</v>
      </c>
      <c r="J214" s="8" t="s">
        <v>1127</v>
      </c>
      <c r="K214" s="8" t="s">
        <v>1128</v>
      </c>
      <c r="L214" s="754" t="s">
        <v>1129</v>
      </c>
      <c r="M214" s="34" t="s">
        <v>1124</v>
      </c>
    </row>
    <row r="215" spans="1:13" s="8" customFormat="1" x14ac:dyDescent="0.25">
      <c r="A215" s="8" t="str">
        <f t="shared" ca="1" si="7"/>
        <v>Esche</v>
      </c>
      <c r="B215" s="906">
        <v>212</v>
      </c>
      <c r="C215" s="895" t="s">
        <v>1130</v>
      </c>
      <c r="D215" s="8" t="s">
        <v>1131</v>
      </c>
      <c r="E215" s="8" t="s">
        <v>1132</v>
      </c>
      <c r="F215" s="891" t="s">
        <v>1135</v>
      </c>
      <c r="G215" s="34" t="s">
        <v>1135</v>
      </c>
      <c r="H215" s="891" t="s">
        <v>1134</v>
      </c>
      <c r="I215" s="8" t="s">
        <v>2692</v>
      </c>
      <c r="J215" s="8" t="s">
        <v>1136</v>
      </c>
      <c r="K215" s="8" t="s">
        <v>1137</v>
      </c>
      <c r="L215" s="754" t="s">
        <v>1138</v>
      </c>
      <c r="M215" s="8" t="s">
        <v>1133</v>
      </c>
    </row>
    <row r="216" spans="1:13" s="8" customFormat="1" x14ac:dyDescent="0.25">
      <c r="A216" s="8" t="str">
        <f t="shared" ca="1" si="7"/>
        <v>Espe</v>
      </c>
      <c r="B216" s="906">
        <v>213</v>
      </c>
      <c r="C216" s="895" t="s">
        <v>1139</v>
      </c>
      <c r="D216" s="8" t="s">
        <v>1140</v>
      </c>
      <c r="E216" s="8" t="s">
        <v>1141</v>
      </c>
      <c r="F216" s="891" t="s">
        <v>1144</v>
      </c>
      <c r="G216" s="8" t="s">
        <v>1144</v>
      </c>
      <c r="H216" s="891" t="s">
        <v>1143</v>
      </c>
      <c r="I216" s="8" t="s">
        <v>2693</v>
      </c>
      <c r="J216" s="8" t="s">
        <v>1145</v>
      </c>
      <c r="K216" s="8" t="s">
        <v>1146</v>
      </c>
      <c r="L216" s="754" t="s">
        <v>1147</v>
      </c>
      <c r="M216" s="8" t="s">
        <v>1142</v>
      </c>
    </row>
    <row r="217" spans="1:13" s="8" customFormat="1" x14ac:dyDescent="0.25">
      <c r="A217" s="8" t="str">
        <f t="shared" ca="1" si="7"/>
        <v>Fichte</v>
      </c>
      <c r="B217" s="906">
        <v>214</v>
      </c>
      <c r="C217" s="895" t="s">
        <v>1148</v>
      </c>
      <c r="D217" s="8" t="s">
        <v>1149</v>
      </c>
      <c r="E217" s="8" t="s">
        <v>1150</v>
      </c>
      <c r="F217" s="891" t="s">
        <v>1153</v>
      </c>
      <c r="G217" s="8" t="s">
        <v>1153</v>
      </c>
      <c r="H217" s="891" t="s">
        <v>1152</v>
      </c>
      <c r="I217" s="8" t="s">
        <v>2681</v>
      </c>
      <c r="J217" s="8" t="s">
        <v>1154</v>
      </c>
      <c r="K217" s="8" t="s">
        <v>1155</v>
      </c>
      <c r="L217" s="754" t="s">
        <v>1156</v>
      </c>
      <c r="M217" s="8" t="s">
        <v>1151</v>
      </c>
    </row>
    <row r="218" spans="1:13" s="8" customFormat="1" x14ac:dyDescent="0.25">
      <c r="A218" s="8" t="str">
        <f t="shared" ca="1" si="7"/>
        <v>Gabun</v>
      </c>
      <c r="B218" s="906">
        <v>215</v>
      </c>
      <c r="C218" s="895" t="s">
        <v>1157</v>
      </c>
      <c r="D218" s="8" t="s">
        <v>1158</v>
      </c>
      <c r="E218" s="8" t="s">
        <v>1159</v>
      </c>
      <c r="F218" s="891" t="s">
        <v>1161</v>
      </c>
      <c r="G218" s="8" t="s">
        <v>1161</v>
      </c>
      <c r="H218" s="891" t="s">
        <v>1159</v>
      </c>
      <c r="I218" s="8" t="s">
        <v>2694</v>
      </c>
      <c r="J218" s="8" t="s">
        <v>1157</v>
      </c>
      <c r="K218" s="8" t="s">
        <v>1162</v>
      </c>
      <c r="L218" s="754" t="s">
        <v>3689</v>
      </c>
      <c r="M218" s="8" t="s">
        <v>1160</v>
      </c>
    </row>
    <row r="219" spans="1:13" s="8" customFormat="1" x14ac:dyDescent="0.25">
      <c r="A219" s="8" t="str">
        <f t="shared" ca="1" si="7"/>
        <v>Hemlock</v>
      </c>
      <c r="B219" s="906">
        <v>216</v>
      </c>
      <c r="C219" s="895" t="s">
        <v>1163</v>
      </c>
      <c r="D219" s="8" t="s">
        <v>1163</v>
      </c>
      <c r="E219" s="8" t="s">
        <v>1163</v>
      </c>
      <c r="F219" s="891" t="s">
        <v>1163</v>
      </c>
      <c r="G219" s="8" t="s">
        <v>1163</v>
      </c>
      <c r="H219" s="891" t="s">
        <v>1163</v>
      </c>
      <c r="I219" s="8" t="s">
        <v>2695</v>
      </c>
      <c r="J219" s="8" t="s">
        <v>1163</v>
      </c>
      <c r="K219" s="8" t="s">
        <v>1165</v>
      </c>
      <c r="L219" s="754" t="s">
        <v>1166</v>
      </c>
      <c r="M219" s="8" t="s">
        <v>1164</v>
      </c>
    </row>
    <row r="220" spans="1:13" s="8" customFormat="1" x14ac:dyDescent="0.25">
      <c r="A220" s="8" t="str">
        <f t="shared" ca="1" si="7"/>
        <v>Iroko</v>
      </c>
      <c r="B220" s="906">
        <v>217</v>
      </c>
      <c r="C220" s="895" t="s">
        <v>1167</v>
      </c>
      <c r="D220" s="8" t="s">
        <v>1167</v>
      </c>
      <c r="E220" s="8" t="s">
        <v>1167</v>
      </c>
      <c r="F220" s="891" t="s">
        <v>1168</v>
      </c>
      <c r="G220" s="8" t="s">
        <v>1168</v>
      </c>
      <c r="H220" s="891" t="s">
        <v>1167</v>
      </c>
      <c r="I220" s="8" t="s">
        <v>1167</v>
      </c>
      <c r="J220" s="8" t="s">
        <v>1167</v>
      </c>
      <c r="K220" s="8" t="s">
        <v>1169</v>
      </c>
      <c r="L220" s="754" t="s">
        <v>1170</v>
      </c>
      <c r="M220" s="8" t="s">
        <v>1167</v>
      </c>
    </row>
    <row r="221" spans="1:13" s="8" customFormat="1" x14ac:dyDescent="0.25">
      <c r="A221" s="8" t="str">
        <f t="shared" ca="1" si="7"/>
        <v>Kastanie</v>
      </c>
      <c r="B221" s="906">
        <v>218</v>
      </c>
      <c r="C221" s="895" t="s">
        <v>1171</v>
      </c>
      <c r="D221" s="8" t="s">
        <v>1172</v>
      </c>
      <c r="E221" s="8" t="s">
        <v>1173</v>
      </c>
      <c r="F221" s="891" t="s">
        <v>1176</v>
      </c>
      <c r="G221" s="8" t="s">
        <v>1176</v>
      </c>
      <c r="H221" s="891" t="s">
        <v>1175</v>
      </c>
      <c r="I221" s="8" t="s">
        <v>2696</v>
      </c>
      <c r="J221" s="8" t="s">
        <v>1177</v>
      </c>
      <c r="K221" s="8" t="s">
        <v>1178</v>
      </c>
      <c r="L221" s="754" t="s">
        <v>1179</v>
      </c>
      <c r="M221" s="8" t="s">
        <v>1174</v>
      </c>
    </row>
    <row r="222" spans="1:13" s="8" customFormat="1" x14ac:dyDescent="0.25">
      <c r="A222" s="8" t="str">
        <f t="shared" ca="1" si="7"/>
        <v>Kiefer</v>
      </c>
      <c r="B222" s="906">
        <v>219</v>
      </c>
      <c r="C222" s="895" t="s">
        <v>1180</v>
      </c>
      <c r="D222" s="8" t="s">
        <v>1181</v>
      </c>
      <c r="E222" s="8" t="s">
        <v>1182</v>
      </c>
      <c r="F222" s="891" t="s">
        <v>1185</v>
      </c>
      <c r="G222" s="8" t="s">
        <v>1185</v>
      </c>
      <c r="H222" s="891" t="s">
        <v>1184</v>
      </c>
      <c r="I222" s="8" t="s">
        <v>2697</v>
      </c>
      <c r="J222" s="8" t="s">
        <v>1186</v>
      </c>
      <c r="K222" s="8" t="s">
        <v>1187</v>
      </c>
      <c r="L222" s="754" t="s">
        <v>1188</v>
      </c>
      <c r="M222" s="8" t="s">
        <v>1183</v>
      </c>
    </row>
    <row r="223" spans="1:13" s="8" customFormat="1" x14ac:dyDescent="0.25">
      <c r="A223" s="8" t="str">
        <f t="shared" ca="1" si="7"/>
        <v>Kirsche</v>
      </c>
      <c r="B223" s="906">
        <v>220</v>
      </c>
      <c r="C223" s="895" t="s">
        <v>1189</v>
      </c>
      <c r="D223" s="8" t="s">
        <v>1190</v>
      </c>
      <c r="E223" s="8" t="s">
        <v>1191</v>
      </c>
      <c r="F223" s="891" t="s">
        <v>1194</v>
      </c>
      <c r="G223" s="8" t="s">
        <v>1194</v>
      </c>
      <c r="H223" s="891" t="s">
        <v>1193</v>
      </c>
      <c r="I223" s="8" t="s">
        <v>2698</v>
      </c>
      <c r="J223" s="8" t="s">
        <v>1195</v>
      </c>
      <c r="K223" s="8" t="s">
        <v>1196</v>
      </c>
      <c r="L223" s="754" t="s">
        <v>1197</v>
      </c>
      <c r="M223" s="8" t="s">
        <v>1192</v>
      </c>
    </row>
    <row r="224" spans="1:13" s="8" customFormat="1" x14ac:dyDescent="0.25">
      <c r="A224" s="8" t="str">
        <f t="shared" ca="1" si="7"/>
        <v>Lärche</v>
      </c>
      <c r="B224" s="906">
        <v>221</v>
      </c>
      <c r="C224" s="895" t="s">
        <v>1198</v>
      </c>
      <c r="D224" s="8" t="s">
        <v>1199</v>
      </c>
      <c r="E224" s="8" t="s">
        <v>1200</v>
      </c>
      <c r="F224" s="891" t="s">
        <v>1203</v>
      </c>
      <c r="G224" s="8" t="s">
        <v>1203</v>
      </c>
      <c r="H224" s="891" t="s">
        <v>1202</v>
      </c>
      <c r="I224" s="8" t="s">
        <v>2699</v>
      </c>
      <c r="J224" s="8" t="s">
        <v>1204</v>
      </c>
      <c r="K224" s="8" t="s">
        <v>1205</v>
      </c>
      <c r="L224" s="754" t="s">
        <v>1206</v>
      </c>
      <c r="M224" s="8" t="s">
        <v>1201</v>
      </c>
    </row>
    <row r="225" spans="1:13" s="8" customFormat="1" x14ac:dyDescent="0.25">
      <c r="A225" s="8" t="str">
        <f t="shared" ca="1" si="7"/>
        <v>Mahagonie</v>
      </c>
      <c r="B225" s="906">
        <v>222</v>
      </c>
      <c r="C225" s="895" t="s">
        <v>1207</v>
      </c>
      <c r="D225" s="8" t="s">
        <v>1208</v>
      </c>
      <c r="E225" s="8" t="s">
        <v>1209</v>
      </c>
      <c r="F225" s="891" t="s">
        <v>1212</v>
      </c>
      <c r="G225" s="8" t="s">
        <v>1212</v>
      </c>
      <c r="H225" s="891" t="s">
        <v>1211</v>
      </c>
      <c r="I225" s="8" t="s">
        <v>2700</v>
      </c>
      <c r="J225" s="8" t="s">
        <v>1213</v>
      </c>
      <c r="K225" s="8" t="s">
        <v>1214</v>
      </c>
      <c r="L225" s="754" t="s">
        <v>1215</v>
      </c>
      <c r="M225" s="8" t="s">
        <v>1210</v>
      </c>
    </row>
    <row r="226" spans="1:13" s="8" customFormat="1" x14ac:dyDescent="0.25">
      <c r="A226" s="8" t="str">
        <f t="shared" ca="1" si="7"/>
        <v>Mammutbaum</v>
      </c>
      <c r="B226" s="906">
        <v>223</v>
      </c>
      <c r="C226" s="895" t="s">
        <v>1216</v>
      </c>
      <c r="D226" s="8" t="s">
        <v>1217</v>
      </c>
      <c r="E226" s="8" t="s">
        <v>1218</v>
      </c>
      <c r="F226" s="891" t="s">
        <v>1221</v>
      </c>
      <c r="G226" s="8" t="s">
        <v>1221</v>
      </c>
      <c r="H226" s="891" t="s">
        <v>1220</v>
      </c>
      <c r="I226" s="8" t="s">
        <v>2701</v>
      </c>
      <c r="J226" s="8" t="s">
        <v>1222</v>
      </c>
      <c r="K226" s="8" t="s">
        <v>1223</v>
      </c>
      <c r="L226" s="754" t="s">
        <v>1224</v>
      </c>
      <c r="M226" s="8" t="s">
        <v>1219</v>
      </c>
    </row>
    <row r="227" spans="1:13" s="8" customFormat="1" x14ac:dyDescent="0.25">
      <c r="A227" s="8" t="str">
        <f t="shared" ca="1" si="7"/>
        <v>Pappel</v>
      </c>
      <c r="B227" s="906">
        <v>224</v>
      </c>
      <c r="C227" s="895" t="s">
        <v>1225</v>
      </c>
      <c r="D227" s="8" t="s">
        <v>1226</v>
      </c>
      <c r="E227" s="8" t="s">
        <v>1227</v>
      </c>
      <c r="F227" s="891" t="s">
        <v>1144</v>
      </c>
      <c r="G227" s="8" t="s">
        <v>1144</v>
      </c>
      <c r="H227" s="891" t="s">
        <v>1229</v>
      </c>
      <c r="I227" s="8" t="s">
        <v>2702</v>
      </c>
      <c r="J227" s="8" t="s">
        <v>1230</v>
      </c>
      <c r="K227" s="8" t="s">
        <v>1231</v>
      </c>
      <c r="L227" s="754" t="s">
        <v>1232</v>
      </c>
      <c r="M227" s="8" t="s">
        <v>1228</v>
      </c>
    </row>
    <row r="228" spans="1:13" s="8" customFormat="1" x14ac:dyDescent="0.25">
      <c r="A228" s="8" t="str">
        <f t="shared" ca="1" si="7"/>
        <v>Pappel, kanadisch</v>
      </c>
      <c r="B228" s="906">
        <v>225</v>
      </c>
      <c r="C228" s="895" t="s">
        <v>1233</v>
      </c>
      <c r="D228" s="8" t="s">
        <v>1234</v>
      </c>
      <c r="E228" s="8" t="s">
        <v>1235</v>
      </c>
      <c r="F228" s="891" t="s">
        <v>1238</v>
      </c>
      <c r="G228" s="8" t="s">
        <v>1238</v>
      </c>
      <c r="H228" s="891" t="s">
        <v>1237</v>
      </c>
      <c r="I228" s="8" t="s">
        <v>2703</v>
      </c>
      <c r="J228" s="8" t="s">
        <v>1239</v>
      </c>
      <c r="K228" s="8" t="s">
        <v>1240</v>
      </c>
      <c r="L228" s="754" t="s">
        <v>1241</v>
      </c>
      <c r="M228" s="8" t="s">
        <v>1236</v>
      </c>
    </row>
    <row r="229" spans="1:13" s="8" customFormat="1" x14ac:dyDescent="0.25">
      <c r="A229" s="8" t="str">
        <f t="shared" ca="1" si="7"/>
        <v>Pekannussbaum</v>
      </c>
      <c r="B229" s="906">
        <v>226</v>
      </c>
      <c r="C229" s="895" t="s">
        <v>1242</v>
      </c>
      <c r="D229" s="8" t="s">
        <v>1243</v>
      </c>
      <c r="E229" s="8" t="s">
        <v>1244</v>
      </c>
      <c r="F229" s="891" t="s">
        <v>1246</v>
      </c>
      <c r="G229" s="8" t="s">
        <v>1246</v>
      </c>
      <c r="H229" s="891" t="s">
        <v>1245</v>
      </c>
      <c r="I229" s="8" t="s">
        <v>1244</v>
      </c>
      <c r="J229" s="8" t="s">
        <v>1242</v>
      </c>
      <c r="K229" s="8" t="s">
        <v>1247</v>
      </c>
      <c r="L229" s="754" t="s">
        <v>1248</v>
      </c>
      <c r="M229" s="8" t="s">
        <v>1243</v>
      </c>
    </row>
    <row r="230" spans="1:13" s="8" customFormat="1" x14ac:dyDescent="0.25">
      <c r="A230" s="8" t="str">
        <f t="shared" ca="1" si="7"/>
        <v>Platane</v>
      </c>
      <c r="B230" s="906">
        <v>227</v>
      </c>
      <c r="C230" s="895" t="s">
        <v>1249</v>
      </c>
      <c r="D230" s="8" t="s">
        <v>1250</v>
      </c>
      <c r="E230" s="8" t="s">
        <v>1251</v>
      </c>
      <c r="F230" s="891" t="s">
        <v>1253</v>
      </c>
      <c r="G230" s="8" t="s">
        <v>1253</v>
      </c>
      <c r="H230" s="891" t="s">
        <v>1249</v>
      </c>
      <c r="I230" s="8" t="s">
        <v>2704</v>
      </c>
      <c r="J230" s="8" t="s">
        <v>1249</v>
      </c>
      <c r="K230" s="8" t="s">
        <v>1254</v>
      </c>
      <c r="L230" s="754" t="s">
        <v>1255</v>
      </c>
      <c r="M230" s="8" t="s">
        <v>1252</v>
      </c>
    </row>
    <row r="231" spans="1:13" s="8" customFormat="1" x14ac:dyDescent="0.25">
      <c r="A231" s="8" t="str">
        <f t="shared" ca="1" si="7"/>
        <v>Pockholz</v>
      </c>
      <c r="B231" s="906">
        <v>228</v>
      </c>
      <c r="C231" s="895" t="s">
        <v>1256</v>
      </c>
      <c r="D231" s="8" t="s">
        <v>1257</v>
      </c>
      <c r="E231" s="8" t="s">
        <v>1257</v>
      </c>
      <c r="F231" s="891" t="s">
        <v>1260</v>
      </c>
      <c r="G231" s="8" t="s">
        <v>1260</v>
      </c>
      <c r="H231" s="891" t="s">
        <v>1259</v>
      </c>
      <c r="I231" s="8" t="s">
        <v>2705</v>
      </c>
      <c r="J231" s="8" t="s">
        <v>1256</v>
      </c>
      <c r="K231" s="8" t="s">
        <v>1261</v>
      </c>
      <c r="L231" s="754" t="s">
        <v>1262</v>
      </c>
      <c r="M231" s="8" t="s">
        <v>1258</v>
      </c>
    </row>
    <row r="232" spans="1:13" s="8" customFormat="1" x14ac:dyDescent="0.25">
      <c r="A232" s="8" t="str">
        <f t="shared" ca="1" si="7"/>
        <v>Ramin</v>
      </c>
      <c r="B232" s="906">
        <v>229</v>
      </c>
      <c r="C232" s="895" t="s">
        <v>1263</v>
      </c>
      <c r="D232" s="8" t="s">
        <v>1263</v>
      </c>
      <c r="E232" s="8" t="s">
        <v>1264</v>
      </c>
      <c r="F232" s="891" t="s">
        <v>1266</v>
      </c>
      <c r="G232" s="8" t="s">
        <v>1266</v>
      </c>
      <c r="H232" s="891" t="s">
        <v>1263</v>
      </c>
      <c r="I232" s="8" t="s">
        <v>1263</v>
      </c>
      <c r="J232" s="8" t="s">
        <v>1263</v>
      </c>
      <c r="K232" s="8" t="s">
        <v>1267</v>
      </c>
      <c r="L232" s="754" t="s">
        <v>1268</v>
      </c>
      <c r="M232" s="8" t="s">
        <v>1265</v>
      </c>
    </row>
    <row r="233" spans="1:13" s="8" customFormat="1" x14ac:dyDescent="0.25">
      <c r="A233" s="8" t="str">
        <f t="shared" ca="1" si="7"/>
        <v>Robinie</v>
      </c>
      <c r="B233" s="906">
        <v>230</v>
      </c>
      <c r="C233" s="895" t="s">
        <v>1269</v>
      </c>
      <c r="D233" s="8" t="s">
        <v>1270</v>
      </c>
      <c r="E233" s="8" t="s">
        <v>1271</v>
      </c>
      <c r="F233" s="891" t="s">
        <v>1271</v>
      </c>
      <c r="G233" s="8" t="s">
        <v>1271</v>
      </c>
      <c r="H233" s="891" t="s">
        <v>1272</v>
      </c>
      <c r="I233" s="8" t="s">
        <v>1271</v>
      </c>
      <c r="J233" s="8" t="s">
        <v>1269</v>
      </c>
      <c r="K233" s="8" t="s">
        <v>1273</v>
      </c>
      <c r="L233" s="754" t="s">
        <v>1274</v>
      </c>
      <c r="M233" s="8" t="s">
        <v>1271</v>
      </c>
    </row>
    <row r="234" spans="1:13" s="8" customFormat="1" x14ac:dyDescent="0.25">
      <c r="A234" s="8" t="str">
        <f t="shared" ca="1" si="7"/>
        <v>Spanplatte</v>
      </c>
      <c r="B234" s="906">
        <v>231</v>
      </c>
      <c r="C234" s="895" t="s">
        <v>1007</v>
      </c>
      <c r="D234" s="8" t="s">
        <v>1275</v>
      </c>
      <c r="E234" s="8" t="s">
        <v>1276</v>
      </c>
      <c r="F234" s="891" t="s">
        <v>1277</v>
      </c>
      <c r="G234" s="8" t="s">
        <v>1277</v>
      </c>
      <c r="H234" s="891" t="s">
        <v>1011</v>
      </c>
      <c r="I234" s="8" t="s">
        <v>2680</v>
      </c>
      <c r="J234" s="8" t="s">
        <v>1013</v>
      </c>
      <c r="K234" s="8" t="s">
        <v>1014</v>
      </c>
      <c r="L234" s="754" t="s">
        <v>1015</v>
      </c>
      <c r="M234" s="8" t="s">
        <v>1010</v>
      </c>
    </row>
    <row r="235" spans="1:13" s="8" customFormat="1" x14ac:dyDescent="0.25">
      <c r="A235" s="8" t="str">
        <f t="shared" ca="1" si="7"/>
        <v>Tanne</v>
      </c>
      <c r="B235" s="906">
        <v>232</v>
      </c>
      <c r="C235" s="895" t="s">
        <v>1278</v>
      </c>
      <c r="D235" s="8" t="s">
        <v>1279</v>
      </c>
      <c r="E235" s="8" t="s">
        <v>1280</v>
      </c>
      <c r="F235" s="891" t="s">
        <v>1153</v>
      </c>
      <c r="G235" s="8" t="s">
        <v>1153</v>
      </c>
      <c r="H235" s="891" t="s">
        <v>1282</v>
      </c>
      <c r="I235" s="8" t="s">
        <v>2706</v>
      </c>
      <c r="J235" s="8" t="s">
        <v>1186</v>
      </c>
      <c r="K235" s="8" t="s">
        <v>1283</v>
      </c>
      <c r="L235" s="754" t="s">
        <v>1284</v>
      </c>
      <c r="M235" s="8" t="s">
        <v>1281</v>
      </c>
    </row>
    <row r="236" spans="1:13" s="8" customFormat="1" x14ac:dyDescent="0.25">
      <c r="A236" s="8" t="str">
        <f t="shared" ca="1" si="7"/>
        <v>Teak</v>
      </c>
      <c r="B236" s="906">
        <v>233</v>
      </c>
      <c r="C236" s="895" t="s">
        <v>1285</v>
      </c>
      <c r="D236" s="8" t="s">
        <v>1285</v>
      </c>
      <c r="E236" s="8" t="s">
        <v>1285</v>
      </c>
      <c r="F236" s="891" t="s">
        <v>1286</v>
      </c>
      <c r="G236" s="8" t="s">
        <v>1286</v>
      </c>
      <c r="H236" s="891" t="s">
        <v>1285</v>
      </c>
      <c r="I236" s="8" t="s">
        <v>1285</v>
      </c>
      <c r="J236" s="8" t="s">
        <v>1287</v>
      </c>
      <c r="K236" s="8" t="s">
        <v>1288</v>
      </c>
      <c r="L236" s="754" t="s">
        <v>1289</v>
      </c>
      <c r="M236" s="8" t="s">
        <v>1285</v>
      </c>
    </row>
    <row r="237" spans="1:13" s="8" customFormat="1" x14ac:dyDescent="0.25">
      <c r="A237" s="8" t="str">
        <f t="shared" ca="1" si="7"/>
        <v>Ulme</v>
      </c>
      <c r="B237" s="906">
        <v>234</v>
      </c>
      <c r="C237" s="895" t="s">
        <v>1290</v>
      </c>
      <c r="D237" s="8" t="s">
        <v>1291</v>
      </c>
      <c r="E237" s="8" t="s">
        <v>1292</v>
      </c>
      <c r="F237" s="891" t="s">
        <v>1293</v>
      </c>
      <c r="G237" s="8" t="s">
        <v>1293</v>
      </c>
      <c r="H237" s="891" t="s">
        <v>1294</v>
      </c>
      <c r="I237" s="8" t="s">
        <v>2707</v>
      </c>
      <c r="J237" s="8" t="s">
        <v>1295</v>
      </c>
      <c r="K237" s="8" t="s">
        <v>1296</v>
      </c>
      <c r="L237" s="754" t="s">
        <v>1297</v>
      </c>
      <c r="M237" s="8" t="s">
        <v>1293</v>
      </c>
    </row>
    <row r="238" spans="1:13" s="8" customFormat="1" x14ac:dyDescent="0.25">
      <c r="A238" s="8" t="str">
        <f t="shared" ca="1" si="7"/>
        <v>Walnuss</v>
      </c>
      <c r="B238" s="906">
        <v>235</v>
      </c>
      <c r="C238" s="895" t="s">
        <v>1298</v>
      </c>
      <c r="D238" s="8" t="s">
        <v>1299</v>
      </c>
      <c r="E238" s="8" t="s">
        <v>1300</v>
      </c>
      <c r="F238" s="891" t="s">
        <v>1303</v>
      </c>
      <c r="G238" s="8" t="s">
        <v>1303</v>
      </c>
      <c r="H238" s="891" t="s">
        <v>1302</v>
      </c>
      <c r="I238" s="8" t="s">
        <v>2708</v>
      </c>
      <c r="J238" s="8" t="s">
        <v>1304</v>
      </c>
      <c r="K238" s="8" t="s">
        <v>1305</v>
      </c>
      <c r="L238" s="754" t="s">
        <v>3690</v>
      </c>
      <c r="M238" s="8" t="s">
        <v>1301</v>
      </c>
    </row>
    <row r="239" spans="1:13" s="8" customFormat="1" x14ac:dyDescent="0.25">
      <c r="A239" s="8" t="str">
        <f t="shared" ref="A239:A241" ca="1" si="8">OFFSET(B239,0,$B$3,1,1)</f>
        <v>Weide</v>
      </c>
      <c r="B239" s="906">
        <v>236</v>
      </c>
      <c r="C239" s="895" t="s">
        <v>1306</v>
      </c>
      <c r="D239" s="8" t="s">
        <v>1307</v>
      </c>
      <c r="E239" s="8" t="s">
        <v>1308</v>
      </c>
      <c r="F239" s="891" t="s">
        <v>1311</v>
      </c>
      <c r="G239" s="8" t="s">
        <v>1311</v>
      </c>
      <c r="H239" s="891" t="s">
        <v>1310</v>
      </c>
      <c r="I239" s="8" t="s">
        <v>2709</v>
      </c>
      <c r="J239" s="8" t="s">
        <v>1312</v>
      </c>
      <c r="K239" s="8" t="s">
        <v>1313</v>
      </c>
      <c r="L239" s="754" t="s">
        <v>1314</v>
      </c>
      <c r="M239" s="8" t="s">
        <v>1309</v>
      </c>
    </row>
    <row r="240" spans="1:13" s="8" customFormat="1" x14ac:dyDescent="0.25">
      <c r="A240" s="8" t="str">
        <f t="shared" ca="1" si="8"/>
        <v>Zeder</v>
      </c>
      <c r="B240" s="906">
        <v>237</v>
      </c>
      <c r="C240" s="895" t="s">
        <v>1315</v>
      </c>
      <c r="D240" s="8" t="s">
        <v>1316</v>
      </c>
      <c r="E240" s="8" t="s">
        <v>1317</v>
      </c>
      <c r="F240" s="891" t="s">
        <v>1320</v>
      </c>
      <c r="G240" s="8" t="s">
        <v>1320</v>
      </c>
      <c r="H240" s="891" t="s">
        <v>1319</v>
      </c>
      <c r="I240" s="8" t="s">
        <v>2710</v>
      </c>
      <c r="J240" s="8" t="s">
        <v>1321</v>
      </c>
      <c r="K240" s="8" t="s">
        <v>1322</v>
      </c>
      <c r="L240" s="754" t="s">
        <v>1323</v>
      </c>
      <c r="M240" s="8" t="s">
        <v>1318</v>
      </c>
    </row>
    <row r="241" spans="1:13" s="8" customFormat="1" x14ac:dyDescent="0.25">
      <c r="A241" s="8" t="str">
        <f t="shared" ca="1" si="8"/>
        <v>Zypresse</v>
      </c>
      <c r="B241" s="906">
        <v>238</v>
      </c>
      <c r="C241" s="895" t="s">
        <v>1324</v>
      </c>
      <c r="D241" s="8" t="s">
        <v>1325</v>
      </c>
      <c r="E241" s="8" t="s">
        <v>1325</v>
      </c>
      <c r="F241" s="891" t="s">
        <v>1328</v>
      </c>
      <c r="G241" s="8" t="s">
        <v>1328</v>
      </c>
      <c r="H241" s="891" t="s">
        <v>1327</v>
      </c>
      <c r="I241" s="8" t="s">
        <v>2711</v>
      </c>
      <c r="J241" s="8" t="s">
        <v>1329</v>
      </c>
      <c r="K241" s="8" t="s">
        <v>1330</v>
      </c>
      <c r="L241" s="754" t="s">
        <v>1331</v>
      </c>
      <c r="M241" s="8" t="s">
        <v>1326</v>
      </c>
    </row>
    <row r="242" spans="1:13" s="8" customFormat="1" x14ac:dyDescent="0.25">
      <c r="B242" s="909"/>
      <c r="C242" s="901"/>
      <c r="F242" s="891"/>
      <c r="G242" s="891"/>
      <c r="L242" s="754"/>
    </row>
    <row r="243" spans="1:13" s="8" customFormat="1" x14ac:dyDescent="0.25">
      <c r="B243" s="909"/>
      <c r="C243" s="901"/>
      <c r="F243" s="891"/>
      <c r="G243" s="891"/>
      <c r="L243" s="754"/>
    </row>
    <row r="244" spans="1:13" s="8" customFormat="1" x14ac:dyDescent="0.25">
      <c r="B244" s="909"/>
      <c r="C244" s="901"/>
      <c r="F244" s="891"/>
      <c r="G244" s="891"/>
      <c r="L244" s="754"/>
    </row>
    <row r="245" spans="1:13" s="8" customFormat="1" x14ac:dyDescent="0.25">
      <c r="B245" s="909"/>
      <c r="C245" s="901"/>
      <c r="F245" s="891"/>
      <c r="G245" s="891"/>
      <c r="L245" s="754"/>
    </row>
    <row r="246" spans="1:13" s="8" customFormat="1" x14ac:dyDescent="0.25">
      <c r="B246" s="909"/>
      <c r="C246" s="901"/>
      <c r="F246" s="891"/>
      <c r="G246" s="891"/>
      <c r="L246" s="754"/>
    </row>
    <row r="247" spans="1:13" s="8" customFormat="1" x14ac:dyDescent="0.25">
      <c r="B247" s="909"/>
      <c r="C247" s="901"/>
      <c r="F247" s="891"/>
      <c r="G247" s="891"/>
      <c r="L247" s="754"/>
    </row>
    <row r="248" spans="1:13" s="8" customFormat="1" x14ac:dyDescent="0.25">
      <c r="B248" s="909"/>
      <c r="C248" s="901"/>
      <c r="F248" s="891"/>
      <c r="G248" s="891"/>
      <c r="L248" s="754"/>
    </row>
    <row r="249" spans="1:13" s="8" customFormat="1" x14ac:dyDescent="0.25">
      <c r="B249" s="909"/>
      <c r="C249" s="901"/>
      <c r="F249" s="891"/>
      <c r="G249" s="891"/>
      <c r="L249" s="754"/>
    </row>
    <row r="250" spans="1:13" s="8" customFormat="1" x14ac:dyDescent="0.25">
      <c r="B250" s="909"/>
      <c r="C250" s="901"/>
      <c r="F250" s="891"/>
      <c r="G250" s="891"/>
      <c r="L250" s="754"/>
    </row>
    <row r="251" spans="1:13" s="8" customFormat="1" x14ac:dyDescent="0.25">
      <c r="B251" s="909"/>
      <c r="C251" s="901"/>
      <c r="F251" s="891"/>
      <c r="G251" s="891"/>
      <c r="L251" s="754"/>
    </row>
    <row r="252" spans="1:13" s="8" customFormat="1" x14ac:dyDescent="0.25">
      <c r="B252" s="909"/>
      <c r="C252" s="901"/>
      <c r="F252" s="891"/>
      <c r="G252" s="891"/>
      <c r="L252" s="754"/>
    </row>
    <row r="253" spans="1:13" s="8" customFormat="1" x14ac:dyDescent="0.25">
      <c r="B253" s="909"/>
      <c r="C253" s="901"/>
      <c r="F253" s="891"/>
      <c r="G253" s="891"/>
      <c r="L253" s="754"/>
    </row>
    <row r="254" spans="1:13" s="8" customFormat="1" x14ac:dyDescent="0.25">
      <c r="B254" s="909"/>
      <c r="C254" s="901"/>
      <c r="F254" s="891"/>
      <c r="G254" s="891"/>
      <c r="L254" s="754"/>
    </row>
    <row r="255" spans="1:13" s="8" customFormat="1" x14ac:dyDescent="0.25">
      <c r="B255" s="909"/>
      <c r="C255" s="901"/>
      <c r="F255" s="891"/>
      <c r="G255" s="891"/>
      <c r="L255" s="754"/>
    </row>
    <row r="256" spans="1:13" s="8" customFormat="1" x14ac:dyDescent="0.25">
      <c r="B256" s="909"/>
      <c r="C256" s="901"/>
      <c r="F256" s="891"/>
      <c r="G256" s="891"/>
      <c r="L256" s="754"/>
    </row>
    <row r="257" spans="2:12" s="8" customFormat="1" x14ac:dyDescent="0.25">
      <c r="B257" s="909"/>
      <c r="C257" s="901"/>
      <c r="F257" s="891"/>
      <c r="G257" s="891"/>
      <c r="L257" s="754"/>
    </row>
    <row r="258" spans="2:12" s="8" customFormat="1" x14ac:dyDescent="0.25">
      <c r="B258" s="909"/>
      <c r="C258" s="901"/>
      <c r="F258" s="891"/>
      <c r="G258" s="891"/>
      <c r="L258" s="754"/>
    </row>
    <row r="259" spans="2:12" s="8" customFormat="1" x14ac:dyDescent="0.25">
      <c r="B259" s="909"/>
      <c r="C259" s="901"/>
      <c r="F259" s="891"/>
      <c r="G259" s="891"/>
      <c r="L259" s="754"/>
    </row>
    <row r="260" spans="2:12" s="8" customFormat="1" x14ac:dyDescent="0.25">
      <c r="B260" s="909"/>
      <c r="C260" s="901"/>
      <c r="F260" s="891"/>
      <c r="G260" s="891"/>
      <c r="L260" s="754"/>
    </row>
    <row r="261" spans="2:12" s="8" customFormat="1" x14ac:dyDescent="0.25">
      <c r="B261" s="909"/>
      <c r="C261" s="901"/>
      <c r="F261" s="891"/>
      <c r="G261" s="891"/>
      <c r="L261" s="754"/>
    </row>
    <row r="262" spans="2:12" s="8" customFormat="1" x14ac:dyDescent="0.25">
      <c r="B262" s="909"/>
      <c r="C262" s="901"/>
      <c r="F262" s="891"/>
      <c r="G262" s="891"/>
      <c r="L262" s="754"/>
    </row>
    <row r="263" spans="2:12" s="8" customFormat="1" x14ac:dyDescent="0.25">
      <c r="B263" s="909"/>
      <c r="C263" s="901"/>
      <c r="F263" s="891"/>
      <c r="G263" s="891"/>
      <c r="L263" s="754"/>
    </row>
    <row r="264" spans="2:12" s="8" customFormat="1" x14ac:dyDescent="0.25">
      <c r="B264" s="909"/>
      <c r="C264" s="901"/>
      <c r="F264" s="891"/>
      <c r="G264" s="891"/>
      <c r="L264" s="754"/>
    </row>
    <row r="265" spans="2:12" s="8" customFormat="1" x14ac:dyDescent="0.25">
      <c r="B265" s="909"/>
      <c r="C265" s="901"/>
      <c r="F265" s="891"/>
      <c r="G265" s="891"/>
      <c r="L265" s="754"/>
    </row>
    <row r="266" spans="2:12" s="8" customFormat="1" x14ac:dyDescent="0.25">
      <c r="B266" s="909"/>
      <c r="C266" s="901"/>
      <c r="F266" s="891"/>
      <c r="G266" s="891"/>
      <c r="L266" s="754"/>
    </row>
    <row r="267" spans="2:12" s="8" customFormat="1" x14ac:dyDescent="0.25">
      <c r="B267" s="909"/>
      <c r="C267" s="901"/>
      <c r="F267" s="891"/>
      <c r="G267" s="891"/>
      <c r="L267" s="754"/>
    </row>
    <row r="268" spans="2:12" s="8" customFormat="1" x14ac:dyDescent="0.25">
      <c r="B268" s="909"/>
      <c r="C268" s="901"/>
      <c r="F268" s="891"/>
      <c r="G268" s="891"/>
      <c r="L268" s="754"/>
    </row>
    <row r="269" spans="2:12" s="8" customFormat="1" x14ac:dyDescent="0.25">
      <c r="B269" s="909"/>
      <c r="C269" s="901"/>
      <c r="F269" s="891"/>
      <c r="G269" s="891"/>
      <c r="L269" s="754"/>
    </row>
    <row r="270" spans="2:12" s="8" customFormat="1" x14ac:dyDescent="0.25">
      <c r="B270" s="909"/>
      <c r="C270" s="901"/>
      <c r="F270" s="891"/>
      <c r="G270" s="891"/>
      <c r="L270" s="754"/>
    </row>
    <row r="271" spans="2:12" s="8" customFormat="1" x14ac:dyDescent="0.25">
      <c r="B271" s="909"/>
      <c r="C271" s="901"/>
      <c r="F271" s="891"/>
      <c r="G271" s="891"/>
      <c r="L271" s="754"/>
    </row>
    <row r="272" spans="2:12" s="8" customFormat="1" x14ac:dyDescent="0.25">
      <c r="B272" s="909"/>
      <c r="C272" s="901"/>
      <c r="F272" s="891"/>
      <c r="G272" s="891"/>
      <c r="L272" s="754"/>
    </row>
    <row r="273" spans="2:12" s="8" customFormat="1" x14ac:dyDescent="0.25">
      <c r="B273" s="909"/>
      <c r="C273" s="901"/>
      <c r="F273" s="891"/>
      <c r="G273" s="891"/>
      <c r="L273" s="754"/>
    </row>
    <row r="274" spans="2:12" s="8" customFormat="1" x14ac:dyDescent="0.25">
      <c r="B274" s="909"/>
      <c r="C274" s="901"/>
      <c r="F274" s="891"/>
      <c r="G274" s="891"/>
      <c r="L274" s="754"/>
    </row>
    <row r="275" spans="2:12" s="8" customFormat="1" x14ac:dyDescent="0.25">
      <c r="B275" s="909"/>
      <c r="C275" s="901"/>
      <c r="F275" s="891"/>
      <c r="G275" s="891"/>
      <c r="L275" s="754"/>
    </row>
    <row r="276" spans="2:12" s="8" customFormat="1" x14ac:dyDescent="0.25">
      <c r="B276" s="909"/>
      <c r="C276" s="901"/>
      <c r="F276" s="891"/>
      <c r="G276" s="891"/>
      <c r="L276" s="754"/>
    </row>
    <row r="277" spans="2:12" s="8" customFormat="1" x14ac:dyDescent="0.25">
      <c r="B277" s="909"/>
      <c r="C277" s="901"/>
      <c r="F277" s="891"/>
      <c r="G277" s="891"/>
      <c r="L277" s="754"/>
    </row>
    <row r="278" spans="2:12" s="8" customFormat="1" x14ac:dyDescent="0.25">
      <c r="B278" s="909"/>
      <c r="C278" s="901"/>
      <c r="F278" s="891"/>
      <c r="G278" s="891"/>
      <c r="L278" s="754"/>
    </row>
    <row r="279" spans="2:12" s="8" customFormat="1" x14ac:dyDescent="0.25">
      <c r="B279" s="909"/>
      <c r="C279" s="901"/>
      <c r="F279" s="891"/>
      <c r="G279" s="891"/>
      <c r="L279" s="754"/>
    </row>
    <row r="280" spans="2:12" s="8" customFormat="1" x14ac:dyDescent="0.25">
      <c r="B280" s="909"/>
      <c r="C280" s="901"/>
      <c r="F280" s="891"/>
      <c r="G280" s="891"/>
      <c r="L280" s="754"/>
    </row>
    <row r="281" spans="2:12" s="8" customFormat="1" x14ac:dyDescent="0.25">
      <c r="B281" s="909"/>
      <c r="C281" s="901"/>
      <c r="F281" s="891"/>
      <c r="G281" s="891"/>
      <c r="L281" s="754"/>
    </row>
    <row r="282" spans="2:12" s="8" customFormat="1" x14ac:dyDescent="0.25">
      <c r="B282" s="909"/>
      <c r="C282" s="901"/>
      <c r="F282" s="891"/>
      <c r="G282" s="891"/>
      <c r="L282" s="754"/>
    </row>
    <row r="283" spans="2:12" s="8" customFormat="1" x14ac:dyDescent="0.25">
      <c r="B283" s="909"/>
      <c r="C283" s="901"/>
      <c r="F283" s="891"/>
      <c r="G283" s="891"/>
      <c r="L283" s="754"/>
    </row>
    <row r="284" spans="2:12" s="8" customFormat="1" x14ac:dyDescent="0.25">
      <c r="B284" s="909"/>
      <c r="C284" s="901"/>
      <c r="F284" s="891"/>
      <c r="G284" s="891"/>
      <c r="L284" s="754"/>
    </row>
    <row r="285" spans="2:12" s="8" customFormat="1" x14ac:dyDescent="0.25">
      <c r="B285" s="909"/>
      <c r="C285" s="901"/>
      <c r="F285" s="891"/>
      <c r="G285" s="891"/>
      <c r="L285" s="754"/>
    </row>
    <row r="286" spans="2:12" s="34" customFormat="1" x14ac:dyDescent="0.25">
      <c r="B286" s="906"/>
      <c r="C286" s="894"/>
      <c r="L286" s="890"/>
    </row>
    <row r="287" spans="2:12" s="34" customFormat="1" x14ac:dyDescent="0.25">
      <c r="B287" s="906"/>
      <c r="C287" s="894"/>
      <c r="L287" s="890"/>
    </row>
    <row r="288" spans="2:12" s="34" customFormat="1" x14ac:dyDescent="0.25">
      <c r="B288" s="906"/>
      <c r="C288" s="894"/>
      <c r="L288" s="890"/>
    </row>
    <row r="289" spans="2:12" s="34" customFormat="1" x14ac:dyDescent="0.25">
      <c r="B289" s="906"/>
      <c r="C289" s="894"/>
      <c r="L289" s="890"/>
    </row>
    <row r="290" spans="2:12" s="34" customFormat="1" x14ac:dyDescent="0.25">
      <c r="B290" s="906"/>
      <c r="C290" s="894"/>
      <c r="L290" s="890"/>
    </row>
    <row r="291" spans="2:12" s="34" customFormat="1" x14ac:dyDescent="0.25">
      <c r="B291" s="906"/>
      <c r="C291" s="894"/>
      <c r="L291" s="890"/>
    </row>
    <row r="292" spans="2:12" s="34" customFormat="1" x14ac:dyDescent="0.25">
      <c r="B292" s="906"/>
      <c r="C292" s="894"/>
      <c r="L292" s="890"/>
    </row>
    <row r="293" spans="2:12" s="34" customFormat="1" x14ac:dyDescent="0.25">
      <c r="B293" s="906"/>
      <c r="C293" s="894"/>
      <c r="L293" s="890"/>
    </row>
    <row r="294" spans="2:12" s="34" customFormat="1" x14ac:dyDescent="0.25">
      <c r="B294" s="906"/>
      <c r="C294" s="894"/>
      <c r="L294" s="890"/>
    </row>
    <row r="295" spans="2:12" s="34" customFormat="1" x14ac:dyDescent="0.25">
      <c r="B295" s="906"/>
      <c r="C295" s="894"/>
      <c r="L295" s="890"/>
    </row>
    <row r="296" spans="2:12" s="34" customFormat="1" x14ac:dyDescent="0.25">
      <c r="B296" s="906"/>
      <c r="C296" s="894"/>
      <c r="L296" s="890"/>
    </row>
    <row r="297" spans="2:12" s="34" customFormat="1" x14ac:dyDescent="0.25">
      <c r="B297" s="906"/>
      <c r="C297" s="894"/>
      <c r="L297" s="890"/>
    </row>
    <row r="298" spans="2:12" s="34" customFormat="1" x14ac:dyDescent="0.25">
      <c r="B298" s="906"/>
      <c r="C298" s="894"/>
      <c r="L298" s="890"/>
    </row>
    <row r="299" spans="2:12" s="34" customFormat="1" x14ac:dyDescent="0.25">
      <c r="B299" s="906"/>
      <c r="C299" s="894"/>
      <c r="L299" s="890"/>
    </row>
    <row r="300" spans="2:12" s="34" customFormat="1" x14ac:dyDescent="0.25">
      <c r="B300" s="906"/>
      <c r="C300" s="894"/>
      <c r="L300" s="890"/>
    </row>
    <row r="301" spans="2:12" s="34" customFormat="1" x14ac:dyDescent="0.25">
      <c r="B301" s="906"/>
      <c r="C301" s="894"/>
      <c r="L301" s="890"/>
    </row>
    <row r="302" spans="2:12" s="34" customFormat="1" x14ac:dyDescent="0.25">
      <c r="B302" s="906"/>
      <c r="C302" s="894"/>
      <c r="L302" s="890"/>
    </row>
    <row r="303" spans="2:12" s="34" customFormat="1" x14ac:dyDescent="0.25">
      <c r="B303" s="906"/>
      <c r="C303" s="894"/>
      <c r="L303" s="890"/>
    </row>
    <row r="304" spans="2:12" s="34" customFormat="1" x14ac:dyDescent="0.25">
      <c r="B304" s="906"/>
      <c r="C304" s="894"/>
      <c r="L304" s="890"/>
    </row>
    <row r="305" spans="2:12" s="34" customFormat="1" x14ac:dyDescent="0.25">
      <c r="B305" s="906"/>
      <c r="C305" s="894"/>
      <c r="L305" s="890"/>
    </row>
    <row r="306" spans="2:12" s="34" customFormat="1" x14ac:dyDescent="0.25">
      <c r="B306" s="906"/>
      <c r="C306" s="894"/>
      <c r="L306" s="890"/>
    </row>
    <row r="307" spans="2:12" s="34" customFormat="1" x14ac:dyDescent="0.25">
      <c r="B307" s="906"/>
      <c r="C307" s="894"/>
      <c r="L307" s="890"/>
    </row>
    <row r="308" spans="2:12" s="34" customFormat="1" x14ac:dyDescent="0.25">
      <c r="B308" s="906"/>
      <c r="C308" s="894"/>
      <c r="L308" s="89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1">
    <tabColor theme="0" tint="-0.499984740745262"/>
    <pageSetUpPr fitToPage="1"/>
  </sheetPr>
  <dimension ref="C2:AP53"/>
  <sheetViews>
    <sheetView showGridLines="0" showRowColHeaders="0" zoomScaleNormal="100" workbookViewId="0">
      <selection activeCell="E6" sqref="E6"/>
    </sheetView>
  </sheetViews>
  <sheetFormatPr baseColWidth="10" defaultRowHeight="15" x14ac:dyDescent="0.25"/>
  <cols>
    <col min="1" max="1" width="3" customWidth="1"/>
    <col min="2" max="25" width="3.28515625" customWidth="1"/>
    <col min="26" max="26" width="3.5703125" customWidth="1"/>
    <col min="27" max="28" width="3.28515625" customWidth="1"/>
    <col min="29" max="29" width="3.7109375" customWidth="1"/>
    <col min="30" max="30" width="3.85546875" customWidth="1"/>
    <col min="31" max="33" width="3.28515625" customWidth="1"/>
    <col min="34" max="34" width="3.7109375" customWidth="1"/>
    <col min="35" max="51" width="3.28515625" customWidth="1"/>
  </cols>
  <sheetData>
    <row r="2" spans="3:42" ht="15" customHeight="1" x14ac:dyDescent="0.25">
      <c r="AC2" s="959" t="str">
        <f ca="1">Sprache!A53</f>
        <v>zurück</v>
      </c>
      <c r="AD2" s="959"/>
      <c r="AE2" s="959"/>
      <c r="AF2" s="959"/>
    </row>
    <row r="3" spans="3:42" ht="18" customHeight="1" thickBot="1" x14ac:dyDescent="0.4">
      <c r="C3" s="50" t="str">
        <f ca="1">Sprache!A93&amp;" "&amp;select!D43</f>
        <v>Standardscharnier Tiomos 110°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264"/>
      <c r="AC3" s="959"/>
      <c r="AD3" s="959"/>
      <c r="AE3" s="959"/>
      <c r="AF3" s="959"/>
    </row>
    <row r="4" spans="3:42" ht="15.95" customHeight="1" x14ac:dyDescent="0.35">
      <c r="C4" s="264"/>
      <c r="AO4" s="100"/>
      <c r="AP4" s="100"/>
    </row>
    <row r="5" spans="3:42" ht="15.95" customHeight="1" x14ac:dyDescent="0.25">
      <c r="C5" s="107">
        <f>select!$A$44</f>
        <v>1</v>
      </c>
      <c r="D5" s="108">
        <f>select!$A$44</f>
        <v>1</v>
      </c>
      <c r="E5" s="108">
        <f>select!$A$44</f>
        <v>1</v>
      </c>
      <c r="F5" s="108">
        <f>select!$A$44</f>
        <v>1</v>
      </c>
      <c r="G5" s="108">
        <f>select!$A$44</f>
        <v>1</v>
      </c>
      <c r="H5" s="113">
        <f>select!$A$44</f>
        <v>1</v>
      </c>
      <c r="K5" s="107">
        <f>select!$A$44</f>
        <v>1</v>
      </c>
      <c r="L5" s="108">
        <f>select!$A$44</f>
        <v>1</v>
      </c>
      <c r="M5" s="108">
        <f>select!$A$44</f>
        <v>1</v>
      </c>
      <c r="N5" s="108">
        <f>select!$A$44</f>
        <v>1</v>
      </c>
      <c r="O5" s="108">
        <f>select!$A$44</f>
        <v>1</v>
      </c>
      <c r="P5" s="113">
        <f>select!$A$44</f>
        <v>1</v>
      </c>
      <c r="S5" s="107">
        <f>select!$A$44</f>
        <v>1</v>
      </c>
      <c r="T5" s="108">
        <f>select!$A$44</f>
        <v>1</v>
      </c>
      <c r="U5" s="108">
        <f>select!$A$44</f>
        <v>1</v>
      </c>
      <c r="V5" s="108">
        <f>select!$A$44</f>
        <v>1</v>
      </c>
      <c r="W5" s="108">
        <f>select!$A$44</f>
        <v>1</v>
      </c>
      <c r="X5" s="113">
        <f>select!$A$44</f>
        <v>1</v>
      </c>
      <c r="AA5" s="107">
        <f>select!$A$44</f>
        <v>1</v>
      </c>
      <c r="AB5" s="108">
        <f>select!$A$44</f>
        <v>1</v>
      </c>
      <c r="AC5" s="108">
        <f>select!$A$44</f>
        <v>1</v>
      </c>
      <c r="AD5" s="108">
        <f>select!$A$44</f>
        <v>1</v>
      </c>
      <c r="AE5" s="108">
        <f>select!$A$44</f>
        <v>1</v>
      </c>
      <c r="AF5" s="113">
        <f>select!$A$44</f>
        <v>1</v>
      </c>
      <c r="AM5" s="3"/>
    </row>
    <row r="6" spans="3:42" ht="15.95" customHeight="1" x14ac:dyDescent="0.25">
      <c r="C6" s="109">
        <f>select!$A$44</f>
        <v>1</v>
      </c>
      <c r="D6" s="110">
        <f>select!$A$44</f>
        <v>1</v>
      </c>
      <c r="E6" s="110">
        <f>select!$A$44</f>
        <v>1</v>
      </c>
      <c r="F6" s="110">
        <f>select!$A$44</f>
        <v>1</v>
      </c>
      <c r="G6" s="110">
        <f>select!$A$44</f>
        <v>1</v>
      </c>
      <c r="H6" s="114">
        <f>select!$A$44</f>
        <v>1</v>
      </c>
      <c r="K6" s="109">
        <f>select!$A$44</f>
        <v>1</v>
      </c>
      <c r="L6" s="110">
        <f>select!$A$44</f>
        <v>1</v>
      </c>
      <c r="M6" s="110">
        <f>select!$A$44</f>
        <v>1</v>
      </c>
      <c r="N6" s="110">
        <f>select!$A$44</f>
        <v>1</v>
      </c>
      <c r="O6" s="110">
        <f>select!$A$44</f>
        <v>1</v>
      </c>
      <c r="P6" s="114">
        <f>select!$A$44</f>
        <v>1</v>
      </c>
      <c r="S6" s="109">
        <f>select!$A$44</f>
        <v>1</v>
      </c>
      <c r="T6" s="110">
        <f>select!$A$44</f>
        <v>1</v>
      </c>
      <c r="U6" s="110">
        <f>select!$A$44</f>
        <v>1</v>
      </c>
      <c r="V6" s="110">
        <f>select!$A$44</f>
        <v>1</v>
      </c>
      <c r="W6" s="110">
        <f>select!$A$44</f>
        <v>1</v>
      </c>
      <c r="X6" s="114">
        <f>select!$A$44</f>
        <v>1</v>
      </c>
      <c r="AA6" s="109">
        <f>select!$A$44</f>
        <v>1</v>
      </c>
      <c r="AB6" s="110">
        <f>select!$A$44</f>
        <v>1</v>
      </c>
      <c r="AC6" s="110">
        <f>select!$A$44</f>
        <v>1</v>
      </c>
      <c r="AD6" s="110">
        <f>select!$A$44</f>
        <v>1</v>
      </c>
      <c r="AE6" s="110">
        <f>select!$A$44</f>
        <v>1</v>
      </c>
      <c r="AF6" s="114">
        <f>select!$A$44</f>
        <v>1</v>
      </c>
    </row>
    <row r="7" spans="3:42" ht="15.95" customHeight="1" x14ac:dyDescent="0.25">
      <c r="C7" s="109">
        <f>select!$A$44</f>
        <v>1</v>
      </c>
      <c r="D7" s="110">
        <f>select!$A$44</f>
        <v>1</v>
      </c>
      <c r="E7" s="110">
        <f>select!$A$44</f>
        <v>1</v>
      </c>
      <c r="F7" s="110">
        <f>select!$A$44</f>
        <v>1</v>
      </c>
      <c r="G7" s="110">
        <f>select!$A$44</f>
        <v>1</v>
      </c>
      <c r="H7" s="114">
        <f>select!$A$44</f>
        <v>1</v>
      </c>
      <c r="K7" s="109">
        <f>select!$A$44</f>
        <v>1</v>
      </c>
      <c r="L7" s="110">
        <f>select!$A$44</f>
        <v>1</v>
      </c>
      <c r="M7" s="110">
        <f>select!$A$44</f>
        <v>1</v>
      </c>
      <c r="N7" s="110">
        <f>select!$A$44</f>
        <v>1</v>
      </c>
      <c r="O7" s="110">
        <f>select!$A$44</f>
        <v>1</v>
      </c>
      <c r="P7" s="114">
        <f>select!$A$44</f>
        <v>1</v>
      </c>
      <c r="S7" s="109">
        <f>select!$A$44</f>
        <v>1</v>
      </c>
      <c r="T7" s="110">
        <f>select!$A$44</f>
        <v>1</v>
      </c>
      <c r="U7" s="110">
        <f>select!$A$44</f>
        <v>1</v>
      </c>
      <c r="V7" s="110">
        <f>select!$A$44</f>
        <v>1</v>
      </c>
      <c r="W7" s="110">
        <f>select!$A$44</f>
        <v>1</v>
      </c>
      <c r="X7" s="114">
        <f>select!$A$44</f>
        <v>1</v>
      </c>
      <c r="AA7" s="109">
        <f>select!$A$44</f>
        <v>1</v>
      </c>
      <c r="AB7" s="110">
        <f>select!$A$44</f>
        <v>1</v>
      </c>
      <c r="AC7" s="110">
        <f>select!$A$44</f>
        <v>1</v>
      </c>
      <c r="AD7" s="110">
        <f>select!$A$44</f>
        <v>1</v>
      </c>
      <c r="AE7" s="110">
        <f>select!$A$44</f>
        <v>1</v>
      </c>
      <c r="AF7" s="114">
        <f>select!$A$44</f>
        <v>1</v>
      </c>
      <c r="AO7" s="100"/>
      <c r="AP7" s="100"/>
    </row>
    <row r="8" spans="3:42" ht="15.95" customHeight="1" x14ac:dyDescent="0.25">
      <c r="C8" s="109">
        <f>select!$A$44</f>
        <v>1</v>
      </c>
      <c r="D8" s="110">
        <f>select!$A$44</f>
        <v>1</v>
      </c>
      <c r="E8" s="110">
        <f>select!$A$44</f>
        <v>1</v>
      </c>
      <c r="F8" s="110">
        <f>select!$A$44</f>
        <v>1</v>
      </c>
      <c r="G8" s="110">
        <f>select!$A$44</f>
        <v>1</v>
      </c>
      <c r="H8" s="114">
        <f>select!$A$44</f>
        <v>1</v>
      </c>
      <c r="K8" s="109">
        <f>select!$A$44</f>
        <v>1</v>
      </c>
      <c r="L8" s="110">
        <f>select!$A$44</f>
        <v>1</v>
      </c>
      <c r="M8" s="110">
        <f>select!$A$44</f>
        <v>1</v>
      </c>
      <c r="N8" s="110">
        <f>select!$A$44</f>
        <v>1</v>
      </c>
      <c r="O8" s="110">
        <f>select!$A$44</f>
        <v>1</v>
      </c>
      <c r="P8" s="114">
        <f>select!$A$44</f>
        <v>1</v>
      </c>
      <c r="S8" s="109">
        <f>select!$A$44</f>
        <v>1</v>
      </c>
      <c r="T8" s="110">
        <f>select!$A$44</f>
        <v>1</v>
      </c>
      <c r="U8" s="110">
        <f>select!$A$44</f>
        <v>1</v>
      </c>
      <c r="V8" s="110">
        <f>select!$A$44</f>
        <v>1</v>
      </c>
      <c r="W8" s="110">
        <f>select!$A$44</f>
        <v>1</v>
      </c>
      <c r="X8" s="114">
        <f>select!$A$44</f>
        <v>1</v>
      </c>
      <c r="AA8" s="109">
        <f>select!$A$44</f>
        <v>1</v>
      </c>
      <c r="AB8" s="110">
        <f>select!$A$44</f>
        <v>1</v>
      </c>
      <c r="AC8" s="110">
        <f>select!$A$44</f>
        <v>1</v>
      </c>
      <c r="AD8" s="110">
        <f>select!$A$44</f>
        <v>1</v>
      </c>
      <c r="AE8" s="110">
        <f>select!$A$44</f>
        <v>1</v>
      </c>
      <c r="AF8" s="114">
        <f>select!$A$44</f>
        <v>1</v>
      </c>
    </row>
    <row r="9" spans="3:42" ht="15.95" customHeight="1" x14ac:dyDescent="0.25">
      <c r="C9" s="109">
        <f>select!$A$44</f>
        <v>1</v>
      </c>
      <c r="D9" s="110">
        <f>select!$A$44</f>
        <v>1</v>
      </c>
      <c r="E9" s="110">
        <f>select!$A$44</f>
        <v>1</v>
      </c>
      <c r="F9" s="110">
        <f>select!$A$44</f>
        <v>1</v>
      </c>
      <c r="G9" s="110">
        <f>select!$A$44</f>
        <v>1</v>
      </c>
      <c r="H9" s="114">
        <f>select!$A$44</f>
        <v>1</v>
      </c>
      <c r="K9" s="109">
        <f>select!$A$44</f>
        <v>1</v>
      </c>
      <c r="L9" s="110">
        <f>select!$A$44</f>
        <v>1</v>
      </c>
      <c r="M9" s="110">
        <f>select!$A$44</f>
        <v>1</v>
      </c>
      <c r="N9" s="110">
        <f>select!$A$44</f>
        <v>1</v>
      </c>
      <c r="O9" s="110">
        <f>select!$A$44</f>
        <v>1</v>
      </c>
      <c r="P9" s="114">
        <f>select!$A$44</f>
        <v>1</v>
      </c>
      <c r="S9" s="109">
        <f>select!$A$44</f>
        <v>1</v>
      </c>
      <c r="T9" s="110">
        <f>select!$A$44</f>
        <v>1</v>
      </c>
      <c r="U9" s="110">
        <f>select!$A$44</f>
        <v>1</v>
      </c>
      <c r="V9" s="110">
        <f>select!$A$44</f>
        <v>1</v>
      </c>
      <c r="W9" s="110">
        <f>select!$A$44</f>
        <v>1</v>
      </c>
      <c r="X9" s="114">
        <f>select!$A$44</f>
        <v>1</v>
      </c>
      <c r="AA9" s="109">
        <f>select!$A$44</f>
        <v>1</v>
      </c>
      <c r="AB9" s="110">
        <f>select!$A$44</f>
        <v>1</v>
      </c>
      <c r="AC9" s="110">
        <f>select!$A$44</f>
        <v>1</v>
      </c>
      <c r="AD9" s="110">
        <f>select!$A$44</f>
        <v>1</v>
      </c>
      <c r="AE9" s="110">
        <f>select!$A$44</f>
        <v>1</v>
      </c>
      <c r="AF9" s="114">
        <f>select!$A$44</f>
        <v>1</v>
      </c>
    </row>
    <row r="10" spans="3:42" ht="15.95" customHeight="1" x14ac:dyDescent="0.25">
      <c r="C10" s="109">
        <f>select!$A$44</f>
        <v>1</v>
      </c>
      <c r="D10" s="110">
        <f>select!$A$44</f>
        <v>1</v>
      </c>
      <c r="E10" s="110">
        <f>select!$A$44</f>
        <v>1</v>
      </c>
      <c r="F10" s="110">
        <f>select!$A$44</f>
        <v>1</v>
      </c>
      <c r="G10" s="110">
        <f>select!$A$44</f>
        <v>1</v>
      </c>
      <c r="H10" s="114">
        <f>select!$A$44</f>
        <v>1</v>
      </c>
      <c r="K10" s="109">
        <f>select!$A$44</f>
        <v>1</v>
      </c>
      <c r="L10" s="110">
        <f>select!$A$44</f>
        <v>1</v>
      </c>
      <c r="M10" s="110">
        <f>select!$A$44</f>
        <v>1</v>
      </c>
      <c r="N10" s="110">
        <f>select!$A$44</f>
        <v>1</v>
      </c>
      <c r="O10" s="110">
        <f>select!$A$44</f>
        <v>1</v>
      </c>
      <c r="P10" s="114">
        <f>select!$A$44</f>
        <v>1</v>
      </c>
      <c r="S10" s="109">
        <f>select!$A$44</f>
        <v>1</v>
      </c>
      <c r="T10" s="110">
        <f>select!$A$44</f>
        <v>1</v>
      </c>
      <c r="U10" s="110">
        <f>select!$A$44</f>
        <v>1</v>
      </c>
      <c r="V10" s="110">
        <f>select!$A$44</f>
        <v>1</v>
      </c>
      <c r="W10" s="110">
        <f>select!$A$44</f>
        <v>1</v>
      </c>
      <c r="X10" s="114">
        <f>select!$A$44</f>
        <v>1</v>
      </c>
      <c r="AA10" s="109">
        <f>select!$A$44</f>
        <v>1</v>
      </c>
      <c r="AB10" s="110">
        <f>select!$A$44</f>
        <v>1</v>
      </c>
      <c r="AC10" s="110">
        <f>select!$A$44</f>
        <v>1</v>
      </c>
      <c r="AD10" s="110">
        <f>select!$A$44</f>
        <v>1</v>
      </c>
      <c r="AE10" s="110">
        <f>select!$A$44</f>
        <v>1</v>
      </c>
      <c r="AF10" s="114">
        <f>select!$A$44</f>
        <v>1</v>
      </c>
    </row>
    <row r="11" spans="3:42" ht="15.95" customHeight="1" x14ac:dyDescent="0.25">
      <c r="C11" s="944" t="str">
        <f>"
Tiomos 110"</f>
        <v xml:space="preserve">
Tiomos 110</v>
      </c>
      <c r="D11" s="945"/>
      <c r="E11" s="945"/>
      <c r="F11" s="945"/>
      <c r="G11" s="945"/>
      <c r="H11" s="946"/>
      <c r="K11" s="944" t="str">
        <f>"
Tiomos 160"</f>
        <v xml:space="preserve">
Tiomos 160</v>
      </c>
      <c r="L11" s="945"/>
      <c r="M11" s="945"/>
      <c r="N11" s="945"/>
      <c r="O11" s="945"/>
      <c r="P11" s="946"/>
      <c r="S11" s="944" t="str">
        <f>"
Tiomos 120"</f>
        <v xml:space="preserve">
Tiomos 120</v>
      </c>
      <c r="T11" s="945"/>
      <c r="U11" s="945"/>
      <c r="V11" s="945"/>
      <c r="W11" s="945"/>
      <c r="X11" s="946"/>
      <c r="AA11" s="944" t="str">
        <f>"
Tiomos 95"</f>
        <v xml:space="preserve">
Tiomos 95</v>
      </c>
      <c r="AB11" s="945"/>
      <c r="AC11" s="945"/>
      <c r="AD11" s="945"/>
      <c r="AE11" s="945"/>
      <c r="AF11" s="946"/>
    </row>
    <row r="12" spans="3:42" ht="15.95" customHeight="1" x14ac:dyDescent="0.25">
      <c r="C12" s="947"/>
      <c r="D12" s="945"/>
      <c r="E12" s="945"/>
      <c r="F12" s="945"/>
      <c r="G12" s="945"/>
      <c r="H12" s="946"/>
      <c r="K12" s="947"/>
      <c r="L12" s="945"/>
      <c r="M12" s="945"/>
      <c r="N12" s="945"/>
      <c r="O12" s="945"/>
      <c r="P12" s="946"/>
      <c r="S12" s="947"/>
      <c r="T12" s="945"/>
      <c r="U12" s="945"/>
      <c r="V12" s="945"/>
      <c r="W12" s="945"/>
      <c r="X12" s="946"/>
      <c r="AA12" s="947"/>
      <c r="AB12" s="945"/>
      <c r="AC12" s="945"/>
      <c r="AD12" s="945"/>
      <c r="AE12" s="945"/>
      <c r="AF12" s="946"/>
    </row>
    <row r="13" spans="3:42" ht="15.95" customHeight="1" x14ac:dyDescent="0.25">
      <c r="C13" s="947"/>
      <c r="D13" s="945"/>
      <c r="E13" s="945"/>
      <c r="F13" s="945"/>
      <c r="G13" s="945"/>
      <c r="H13" s="946"/>
      <c r="K13" s="947"/>
      <c r="L13" s="945"/>
      <c r="M13" s="945"/>
      <c r="N13" s="945"/>
      <c r="O13" s="945"/>
      <c r="P13" s="946"/>
      <c r="S13" s="947"/>
      <c r="T13" s="945"/>
      <c r="U13" s="945"/>
      <c r="V13" s="945"/>
      <c r="W13" s="945"/>
      <c r="X13" s="946"/>
      <c r="AA13" s="947"/>
      <c r="AB13" s="945"/>
      <c r="AC13" s="945"/>
      <c r="AD13" s="945"/>
      <c r="AE13" s="945"/>
      <c r="AF13" s="946"/>
    </row>
    <row r="14" spans="3:42" ht="15.95" customHeight="1" x14ac:dyDescent="0.25">
      <c r="C14" s="947"/>
      <c r="D14" s="945"/>
      <c r="E14" s="945"/>
      <c r="F14" s="945"/>
      <c r="G14" s="945"/>
      <c r="H14" s="946"/>
      <c r="K14" s="947"/>
      <c r="L14" s="945"/>
      <c r="M14" s="945"/>
      <c r="N14" s="945"/>
      <c r="O14" s="945"/>
      <c r="P14" s="946"/>
      <c r="S14" s="947"/>
      <c r="T14" s="945"/>
      <c r="U14" s="945"/>
      <c r="V14" s="945"/>
      <c r="W14" s="945"/>
      <c r="X14" s="946"/>
      <c r="AA14" s="947"/>
      <c r="AB14" s="945"/>
      <c r="AC14" s="945"/>
      <c r="AD14" s="945"/>
      <c r="AE14" s="945"/>
      <c r="AF14" s="946"/>
    </row>
    <row r="15" spans="3:42" ht="15.95" customHeight="1" x14ac:dyDescent="0.25">
      <c r="C15" s="947"/>
      <c r="D15" s="945"/>
      <c r="E15" s="945"/>
      <c r="F15" s="945"/>
      <c r="G15" s="945"/>
      <c r="H15" s="946"/>
      <c r="K15" s="947"/>
      <c r="L15" s="945"/>
      <c r="M15" s="945"/>
      <c r="N15" s="945"/>
      <c r="O15" s="945"/>
      <c r="P15" s="946"/>
      <c r="S15" s="947"/>
      <c r="T15" s="945"/>
      <c r="U15" s="945"/>
      <c r="V15" s="945"/>
      <c r="W15" s="945"/>
      <c r="X15" s="946"/>
      <c r="AA15" s="947"/>
      <c r="AB15" s="945"/>
      <c r="AC15" s="945"/>
      <c r="AD15" s="945"/>
      <c r="AE15" s="945"/>
      <c r="AF15" s="946"/>
    </row>
    <row r="16" spans="3:42" ht="15.95" customHeight="1" x14ac:dyDescent="0.25">
      <c r="C16" s="948"/>
      <c r="D16" s="949"/>
      <c r="E16" s="949"/>
      <c r="F16" s="949"/>
      <c r="G16" s="949"/>
      <c r="H16" s="950"/>
      <c r="K16" s="948"/>
      <c r="L16" s="949"/>
      <c r="M16" s="949"/>
      <c r="N16" s="949"/>
      <c r="O16" s="949"/>
      <c r="P16" s="950"/>
      <c r="S16" s="948"/>
      <c r="T16" s="949"/>
      <c r="U16" s="949"/>
      <c r="V16" s="949"/>
      <c r="W16" s="949"/>
      <c r="X16" s="950"/>
      <c r="AA16" s="948"/>
      <c r="AB16" s="949"/>
      <c r="AC16" s="949"/>
      <c r="AD16" s="949"/>
      <c r="AE16" s="949"/>
      <c r="AF16" s="950"/>
    </row>
    <row r="17" spans="3:36" ht="15.95" customHeight="1" x14ac:dyDescent="0.25"/>
    <row r="18" spans="3:36" ht="14.25" customHeight="1" x14ac:dyDescent="0.25">
      <c r="C18" s="77"/>
    </row>
    <row r="19" spans="3:36" ht="14.25" customHeight="1" x14ac:dyDescent="0.25">
      <c r="C19" s="58" t="str">
        <f ca="1">Sprache!A154</f>
        <v>Türauflage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 t="str">
        <f ca="1">Sprache!A176</f>
        <v>Topfabstand</v>
      </c>
      <c r="Q19" s="57"/>
      <c r="R19" s="57"/>
      <c r="S19" s="57"/>
      <c r="T19" s="58"/>
      <c r="U19" s="276" t="str">
        <f ca="1">Sprache!A175</f>
        <v>Bohrbild</v>
      </c>
      <c r="V19" s="57"/>
      <c r="W19" s="58"/>
      <c r="X19" s="57"/>
      <c r="Y19" s="58"/>
      <c r="Z19" s="58"/>
      <c r="AA19" s="103" t="str">
        <f ca="1">Sprache!A147</f>
        <v>Möglichkeiten</v>
      </c>
      <c r="AB19" s="58"/>
      <c r="AC19" s="57"/>
      <c r="AD19" s="57"/>
      <c r="AE19" s="57"/>
      <c r="AF19" s="57"/>
    </row>
    <row r="20" spans="3:36" ht="14.25" customHeight="1" thickBot="1" x14ac:dyDescent="0.3">
      <c r="C20" s="277" t="str">
        <f ca="1">select!J183</f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831" t="str">
        <f>select!X43</f>
        <v/>
      </c>
      <c r="V20" s="3"/>
      <c r="W20" s="3"/>
      <c r="X20" s="3"/>
      <c r="Y20" s="3"/>
      <c r="Z20" s="3"/>
      <c r="AA20" s="3"/>
      <c r="AB20" s="3"/>
    </row>
    <row r="21" spans="3:36" ht="14.25" customHeight="1" thickTop="1" x14ac:dyDescent="0.25">
      <c r="C21" s="941">
        <f>IFERROR(C22+select!A172,"---")</f>
        <v>1.5</v>
      </c>
      <c r="D21" s="941"/>
      <c r="E21" s="941"/>
      <c r="F21" s="943"/>
      <c r="G21" s="104"/>
      <c r="R21" s="1"/>
    </row>
    <row r="22" spans="3:36" ht="14.25" customHeight="1" x14ac:dyDescent="0.25">
      <c r="C22" s="951">
        <f>select!G44</f>
        <v>1</v>
      </c>
      <c r="D22" s="952"/>
      <c r="E22" s="952"/>
      <c r="F22" s="952"/>
      <c r="G22" s="105"/>
    </row>
    <row r="23" spans="3:36" ht="14.25" customHeight="1" x14ac:dyDescent="0.25">
      <c r="C23" s="953"/>
      <c r="D23" s="954"/>
      <c r="E23" s="954"/>
      <c r="F23" s="954"/>
      <c r="G23" s="105"/>
    </row>
    <row r="24" spans="3:36" ht="14.25" customHeight="1" x14ac:dyDescent="0.25">
      <c r="C24" s="953"/>
      <c r="D24" s="954"/>
      <c r="E24" s="954"/>
      <c r="F24" s="954"/>
      <c r="G24" s="105"/>
    </row>
    <row r="25" spans="3:36" ht="14.25" customHeight="1" x14ac:dyDescent="0.25">
      <c r="C25" s="955"/>
      <c r="D25" s="956"/>
      <c r="E25" s="956"/>
      <c r="F25" s="956"/>
      <c r="G25" s="105"/>
      <c r="AA25" s="280"/>
    </row>
    <row r="26" spans="3:36" ht="14.25" customHeight="1" thickBot="1" x14ac:dyDescent="0.3">
      <c r="C26" s="941">
        <f>IFERROR(C22+select!A120,"---")</f>
        <v>-1</v>
      </c>
      <c r="D26" s="941"/>
      <c r="E26" s="941"/>
      <c r="F26" s="942"/>
      <c r="G26" s="106"/>
      <c r="AA26" s="819"/>
      <c r="AB26" s="819"/>
      <c r="AC26" s="819"/>
      <c r="AD26" s="819"/>
      <c r="AE26" s="819"/>
      <c r="AF26" s="819"/>
      <c r="AG26" s="819"/>
      <c r="AH26" s="819"/>
      <c r="AI26" s="279"/>
      <c r="AJ26" s="279"/>
    </row>
    <row r="27" spans="3:36" ht="15.75" thickTop="1" x14ac:dyDescent="0.25">
      <c r="P27" s="736" t="str">
        <f>select!L43</f>
        <v/>
      </c>
      <c r="AA27" s="819"/>
      <c r="AB27" s="819"/>
      <c r="AC27" s="819"/>
      <c r="AD27" s="819"/>
      <c r="AE27" s="819"/>
      <c r="AF27" s="819"/>
      <c r="AG27" s="819"/>
      <c r="AH27" s="819"/>
      <c r="AI27" s="279"/>
      <c r="AJ27" s="279"/>
    </row>
    <row r="28" spans="3:36" x14ac:dyDescent="0.25">
      <c r="C28" s="58" t="str">
        <f ca="1">Sprache!A101</f>
        <v>Scharniertyp</v>
      </c>
      <c r="D28" s="58"/>
      <c r="E28" s="58"/>
      <c r="F28" s="58"/>
      <c r="G28" s="58"/>
      <c r="H28" s="58"/>
      <c r="I28" s="58"/>
      <c r="J28" s="59"/>
      <c r="K28" s="59"/>
      <c r="L28" s="57"/>
      <c r="M28" s="57"/>
      <c r="N28" s="58" t="str">
        <f ca="1">Sprache!A100</f>
        <v xml:space="preserve">Scharnierbefestigung </v>
      </c>
      <c r="O28" s="59"/>
      <c r="P28" s="59"/>
      <c r="Q28" s="59"/>
      <c r="R28" s="59"/>
      <c r="S28" s="59"/>
      <c r="T28" s="59"/>
      <c r="U28" s="59"/>
      <c r="V28" s="59"/>
      <c r="W28" s="58"/>
      <c r="X28" s="57"/>
      <c r="Y28" s="57"/>
      <c r="Z28" s="57"/>
      <c r="AA28" s="57"/>
      <c r="AB28" s="57"/>
      <c r="AC28" s="57"/>
      <c r="AD28" s="59"/>
      <c r="AE28" s="59"/>
      <c r="AF28" s="59"/>
    </row>
    <row r="29" spans="3:36" ht="15" customHeight="1" x14ac:dyDescent="0.25"/>
    <row r="30" spans="3:36" ht="15" customHeight="1" x14ac:dyDescent="0.25">
      <c r="U30" s="278"/>
    </row>
    <row r="31" spans="3:36" ht="15" customHeight="1" x14ac:dyDescent="0.25">
      <c r="C31" s="736" t="str">
        <f>select!H56</f>
        <v/>
      </c>
      <c r="N31" s="716" t="str">
        <f>select!H47</f>
        <v/>
      </c>
    </row>
    <row r="32" spans="3:36" ht="15" customHeight="1" x14ac:dyDescent="0.25">
      <c r="C32" s="24" t="str">
        <f ca="1">C3</f>
        <v>Standardscharnier Tiomos 110°</v>
      </c>
      <c r="T32" s="6"/>
      <c r="AD32" s="42" t="str">
        <f ca="1">AD47</f>
        <v>Bestellnummer</v>
      </c>
    </row>
    <row r="33" spans="3:40" x14ac:dyDescent="0.25">
      <c r="C33" s="64" t="str">
        <f ca="1">select!F212</f>
        <v>Tiomos Click-On Scharniere</v>
      </c>
      <c r="D33" s="65"/>
      <c r="E33" s="65"/>
      <c r="F33" s="65"/>
      <c r="G33" s="65"/>
      <c r="H33" s="65"/>
      <c r="I33" s="65"/>
      <c r="J33" s="65"/>
      <c r="K33" s="65" t="str">
        <f ca="1">select!D212</f>
        <v>Tiomos Scharnier TT Click-on</v>
      </c>
      <c r="L33" s="65"/>
      <c r="M33" s="65"/>
      <c r="N33" s="65"/>
      <c r="O33" s="65"/>
      <c r="P33" s="65"/>
      <c r="Q33" s="65"/>
      <c r="R33" s="65"/>
      <c r="S33" s="65"/>
      <c r="U33" s="65" t="str">
        <f ca="1">select!E212</f>
        <v>110°, M-BB, K19, Dübel, ni</v>
      </c>
      <c r="V33" s="65"/>
      <c r="W33" s="65"/>
      <c r="X33" s="65"/>
      <c r="Y33" s="65"/>
      <c r="Z33" s="65"/>
      <c r="AA33" s="65"/>
      <c r="AB33" s="65"/>
      <c r="AC33" s="43" t="str">
        <f ca="1">select!A212</f>
        <v>F046</v>
      </c>
      <c r="AD33" s="41" t="str">
        <f ca="1">select!B212</f>
        <v>138</v>
      </c>
      <c r="AE33" s="46" t="str">
        <f ca="1">select!C212</f>
        <v>191</v>
      </c>
      <c r="AF33" s="54"/>
      <c r="AN33" s="1"/>
    </row>
    <row r="34" spans="3:40" x14ac:dyDescent="0.25">
      <c r="C34" s="66" t="str">
        <f ca="1">select!F213</f>
        <v>Tiomos Click-On Scharniere</v>
      </c>
      <c r="D34" s="67"/>
      <c r="E34" s="67"/>
      <c r="F34" s="67"/>
      <c r="G34" s="67"/>
      <c r="H34" s="67"/>
      <c r="I34" s="67"/>
      <c r="J34" s="67"/>
      <c r="K34" s="67" t="str">
        <f ca="1">select!D213</f>
        <v>Tiomos Scharnier TT Click-on</v>
      </c>
      <c r="L34" s="67"/>
      <c r="M34" s="67"/>
      <c r="N34" s="67"/>
      <c r="O34" s="67"/>
      <c r="P34" s="67"/>
      <c r="Q34" s="67"/>
      <c r="R34" s="67"/>
      <c r="S34" s="67"/>
      <c r="U34" s="67" t="str">
        <f ca="1">select!E213</f>
        <v>110°, M-BB, K9.5, Dübel, ni</v>
      </c>
      <c r="V34" s="67"/>
      <c r="W34" s="67"/>
      <c r="X34" s="67"/>
      <c r="Y34" s="67"/>
      <c r="Z34" s="67"/>
      <c r="AA34" s="67"/>
      <c r="AB34" s="67"/>
      <c r="AC34" s="44" t="str">
        <f ca="1">select!A213</f>
        <v>F046</v>
      </c>
      <c r="AD34" s="34" t="str">
        <f ca="1">select!B213</f>
        <v>138</v>
      </c>
      <c r="AE34" s="47" t="str">
        <f ca="1">select!C213</f>
        <v>190</v>
      </c>
      <c r="AF34" s="55"/>
      <c r="AN34" s="1"/>
    </row>
    <row r="35" spans="3:40" x14ac:dyDescent="0.25">
      <c r="C35" s="66" t="str">
        <f ca="1">select!F214</f>
        <v>Tiomos Click-On Scharniere</v>
      </c>
      <c r="D35" s="67"/>
      <c r="E35" s="67"/>
      <c r="F35" s="67"/>
      <c r="G35" s="67"/>
      <c r="H35" s="67"/>
      <c r="I35" s="67"/>
      <c r="J35" s="67"/>
      <c r="K35" s="67" t="str">
        <f ca="1">select!D214</f>
        <v>Tiomos Scharnier TT Click-on</v>
      </c>
      <c r="L35" s="67"/>
      <c r="M35" s="67"/>
      <c r="N35" s="67"/>
      <c r="O35" s="67"/>
      <c r="P35" s="67"/>
      <c r="Q35" s="67"/>
      <c r="R35" s="67"/>
      <c r="S35" s="67"/>
      <c r="U35" s="67" t="str">
        <f ca="1">select!E214</f>
        <v>110°, M-BB, K00, Dübel, ni</v>
      </c>
      <c r="V35" s="67"/>
      <c r="W35" s="67"/>
      <c r="X35" s="67"/>
      <c r="Y35" s="67"/>
      <c r="Z35" s="67"/>
      <c r="AA35" s="67"/>
      <c r="AB35" s="67"/>
      <c r="AC35" s="44" t="str">
        <f ca="1">select!A214</f>
        <v>F046</v>
      </c>
      <c r="AD35" s="34" t="str">
        <f ca="1">select!B214</f>
        <v>138</v>
      </c>
      <c r="AE35" s="47" t="str">
        <f ca="1">select!C214</f>
        <v>188</v>
      </c>
      <c r="AF35" s="55"/>
      <c r="AN35" s="1"/>
    </row>
    <row r="36" spans="3:40" x14ac:dyDescent="0.25">
      <c r="C36" s="66" t="str">
        <f ca="1">select!F215</f>
        <v/>
      </c>
      <c r="D36" s="67"/>
      <c r="E36" s="67"/>
      <c r="F36" s="67"/>
      <c r="G36" s="67"/>
      <c r="H36" s="67"/>
      <c r="I36" s="67"/>
      <c r="J36" s="67"/>
      <c r="K36" s="67" t="str">
        <f ca="1">select!D215</f>
        <v/>
      </c>
      <c r="L36" s="67"/>
      <c r="M36" s="67"/>
      <c r="N36" s="67"/>
      <c r="O36" s="67"/>
      <c r="P36" s="67"/>
      <c r="Q36" s="67"/>
      <c r="R36" s="67"/>
      <c r="S36" s="67"/>
      <c r="U36" s="67" t="str">
        <f ca="1">select!E215</f>
        <v/>
      </c>
      <c r="V36" s="67"/>
      <c r="W36" s="67"/>
      <c r="X36" s="67"/>
      <c r="Y36" s="67"/>
      <c r="Z36" s="67"/>
      <c r="AA36" s="67"/>
      <c r="AB36" s="67"/>
      <c r="AC36" s="44" t="str">
        <f ca="1">select!A215</f>
        <v/>
      </c>
      <c r="AD36" s="34" t="str">
        <f ca="1">select!B215</f>
        <v/>
      </c>
      <c r="AE36" s="47" t="str">
        <f ca="1">select!C215</f>
        <v/>
      </c>
      <c r="AF36" s="55"/>
      <c r="AN36" s="1"/>
    </row>
    <row r="37" spans="3:40" x14ac:dyDescent="0.25">
      <c r="C37" s="68" t="str">
        <f ca="1">select!F216</f>
        <v/>
      </c>
      <c r="D37" s="69"/>
      <c r="E37" s="69"/>
      <c r="F37" s="69"/>
      <c r="G37" s="69"/>
      <c r="H37" s="69"/>
      <c r="I37" s="69"/>
      <c r="J37" s="69"/>
      <c r="K37" s="69" t="str">
        <f ca="1">select!D216</f>
        <v/>
      </c>
      <c r="L37" s="69"/>
      <c r="M37" s="69"/>
      <c r="N37" s="69"/>
      <c r="O37" s="69"/>
      <c r="P37" s="69"/>
      <c r="Q37" s="69"/>
      <c r="R37" s="69"/>
      <c r="S37" s="69"/>
      <c r="T37" s="6"/>
      <c r="U37" s="69" t="str">
        <f ca="1">select!E216</f>
        <v/>
      </c>
      <c r="V37" s="69"/>
      <c r="W37" s="69"/>
      <c r="X37" s="69"/>
      <c r="Y37" s="69"/>
      <c r="Z37" s="69"/>
      <c r="AA37" s="69"/>
      <c r="AB37" s="69"/>
      <c r="AC37" s="45" t="str">
        <f ca="1">select!A216</f>
        <v/>
      </c>
      <c r="AD37" s="6" t="str">
        <f ca="1">select!B216</f>
        <v/>
      </c>
      <c r="AE37" s="48" t="str">
        <f ca="1">select!C216</f>
        <v/>
      </c>
      <c r="AF37" s="56"/>
      <c r="AN37" s="1"/>
    </row>
    <row r="38" spans="3:40" x14ac:dyDescent="0.25">
      <c r="AN38" s="1"/>
    </row>
    <row r="39" spans="3:40" ht="24" thickBot="1" x14ac:dyDescent="0.4">
      <c r="C39" s="50" t="str">
        <f ca="1">Sprache!A131</f>
        <v>Montageplatte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N39" s="1"/>
    </row>
    <row r="40" spans="3:40" x14ac:dyDescent="0.25">
      <c r="AN40" s="1"/>
    </row>
    <row r="41" spans="3:40" x14ac:dyDescent="0.25">
      <c r="C41" s="58" t="str">
        <f ca="1">Sprache!A133</f>
        <v>Montageplattentyp</v>
      </c>
      <c r="D41" s="58"/>
      <c r="E41" s="58"/>
      <c r="F41" s="58"/>
      <c r="G41" s="58"/>
      <c r="H41" s="58"/>
      <c r="I41" s="58"/>
      <c r="J41" s="58"/>
      <c r="K41" s="57"/>
      <c r="L41" s="57"/>
      <c r="M41" s="57"/>
      <c r="N41" s="58"/>
      <c r="O41" s="58" t="str">
        <f ca="1">Sprache!A151</f>
        <v xml:space="preserve">Befestigung </v>
      </c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3:40" ht="7.5" customHeight="1" x14ac:dyDescent="0.25">
      <c r="C42" s="60"/>
      <c r="D42" s="60"/>
      <c r="E42" s="60"/>
      <c r="F42" s="60"/>
      <c r="G42" s="60"/>
      <c r="H42" s="60"/>
      <c r="I42" s="60"/>
      <c r="J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3"/>
    </row>
    <row r="43" spans="3:40" x14ac:dyDescent="0.25">
      <c r="X43" s="277"/>
    </row>
    <row r="44" spans="3:40" x14ac:dyDescent="0.25">
      <c r="C44" s="736" t="str">
        <f>select!Q43</f>
        <v/>
      </c>
      <c r="S44" s="958" t="str">
        <f>select!AO74</f>
        <v/>
      </c>
      <c r="T44" s="958"/>
      <c r="U44" s="958"/>
      <c r="V44" s="958"/>
      <c r="W44" s="958"/>
      <c r="X44" s="958"/>
      <c r="Y44" s="958"/>
      <c r="Z44" s="958"/>
      <c r="AA44" s="958"/>
      <c r="AB44" s="958"/>
      <c r="AC44" s="958"/>
      <c r="AD44" s="958"/>
    </row>
    <row r="45" spans="3:40" x14ac:dyDescent="0.25">
      <c r="S45" s="958"/>
      <c r="T45" s="958"/>
      <c r="U45" s="958"/>
      <c r="V45" s="958"/>
      <c r="W45" s="958"/>
      <c r="X45" s="958"/>
      <c r="Y45" s="958"/>
      <c r="Z45" s="958"/>
      <c r="AA45" s="958"/>
      <c r="AB45" s="958"/>
      <c r="AC45" s="958"/>
      <c r="AD45" s="958"/>
    </row>
    <row r="47" spans="3:40" x14ac:dyDescent="0.25">
      <c r="C47" s="24" t="str">
        <f>select!A255</f>
        <v>37/32</v>
      </c>
      <c r="O47" s="736" t="str">
        <f>select!P220</f>
        <v/>
      </c>
      <c r="Z47" s="6"/>
      <c r="AA47" s="265" t="str">
        <f ca="1">Sprache!A163</f>
        <v>Höhe</v>
      </c>
      <c r="AD47" s="42" t="str">
        <f ca="1">Sprache!A150</f>
        <v>Bestellnummer</v>
      </c>
    </row>
    <row r="48" spans="3:40" x14ac:dyDescent="0.25">
      <c r="C48" s="64" t="str">
        <f ca="1">select!A256</f>
        <v>Tiomos Montageplatten</v>
      </c>
      <c r="D48" s="65"/>
      <c r="E48" s="65"/>
      <c r="F48" s="65"/>
      <c r="G48" s="65"/>
      <c r="H48" s="65"/>
      <c r="I48" s="65"/>
      <c r="J48" s="65" t="str">
        <f ca="1">select!C256</f>
        <v>Eco Kreuz Mtg-Platte</v>
      </c>
      <c r="K48" s="65"/>
      <c r="L48" s="65"/>
      <c r="M48" s="65"/>
      <c r="N48" s="65"/>
      <c r="O48" s="65"/>
      <c r="P48" s="65"/>
      <c r="Q48" s="65"/>
      <c r="R48" s="65"/>
      <c r="S48" s="822" t="str">
        <f ca="1">select!F256</f>
        <v>H 00, ni /37</v>
      </c>
      <c r="T48" s="61"/>
      <c r="U48" s="61"/>
      <c r="V48" s="61"/>
      <c r="W48" s="61"/>
      <c r="X48" s="61"/>
      <c r="Y48" s="61"/>
      <c r="Z48" s="957">
        <f ca="1">select!H256</f>
        <v>0</v>
      </c>
      <c r="AA48" s="957"/>
      <c r="AB48" s="61"/>
      <c r="AC48" s="43" t="str">
        <f ca="1">select!I256</f>
        <v>F058</v>
      </c>
      <c r="AD48" s="41" t="str">
        <f ca="1">select!J256</f>
        <v>139</v>
      </c>
      <c r="AE48" s="46" t="str">
        <f ca="1">select!K256</f>
        <v>721</v>
      </c>
      <c r="AF48" s="54"/>
    </row>
    <row r="49" spans="3:32" x14ac:dyDescent="0.25">
      <c r="C49" s="66" t="str">
        <f ca="1">select!A257</f>
        <v>Tiomos Montageplatten</v>
      </c>
      <c r="D49" s="67"/>
      <c r="E49" s="67"/>
      <c r="F49" s="67"/>
      <c r="G49" s="67"/>
      <c r="H49" s="67"/>
      <c r="I49" s="67"/>
      <c r="J49" s="67" t="str">
        <f ca="1">select!C257</f>
        <v>1D Kreuz Mtg-Platte</v>
      </c>
      <c r="K49" s="67"/>
      <c r="L49" s="67"/>
      <c r="M49" s="67"/>
      <c r="N49" s="67"/>
      <c r="O49" s="67"/>
      <c r="P49" s="67"/>
      <c r="Q49" s="67"/>
      <c r="R49" s="67"/>
      <c r="S49" s="823" t="str">
        <f ca="1">select!F257</f>
        <v>H 00, ni /37</v>
      </c>
      <c r="T49" s="62"/>
      <c r="U49" s="62"/>
      <c r="V49" s="62"/>
      <c r="W49" s="62"/>
      <c r="X49" s="62"/>
      <c r="Y49" s="62"/>
      <c r="Z49" s="957">
        <f ca="1">select!H257</f>
        <v>0</v>
      </c>
      <c r="AA49" s="957"/>
      <c r="AB49" s="62"/>
      <c r="AC49" s="44" t="str">
        <f ca="1">select!I257</f>
        <v>F058</v>
      </c>
      <c r="AD49" s="34" t="str">
        <f ca="1">select!J257</f>
        <v>139</v>
      </c>
      <c r="AE49" s="47" t="str">
        <f ca="1">select!K257</f>
        <v>746</v>
      </c>
      <c r="AF49" s="55"/>
    </row>
    <row r="50" spans="3:32" x14ac:dyDescent="0.25">
      <c r="C50" s="81" t="str">
        <f ca="1">select!A258</f>
        <v>Tiomos Montageplatten</v>
      </c>
      <c r="D50" s="67"/>
      <c r="E50" s="67"/>
      <c r="F50" s="67"/>
      <c r="G50" s="67"/>
      <c r="H50" s="67"/>
      <c r="I50" s="67"/>
      <c r="J50" s="67" t="str">
        <f ca="1">select!C258</f>
        <v>1D Kreuz Mtg-Platte</v>
      </c>
      <c r="K50" s="67"/>
      <c r="L50" s="67"/>
      <c r="M50" s="67"/>
      <c r="N50" s="67"/>
      <c r="O50" s="67"/>
      <c r="P50" s="67"/>
      <c r="Q50" s="67"/>
      <c r="R50" s="67"/>
      <c r="S50" s="823" t="str">
        <f ca="1">select!F258</f>
        <v>H 9,5, ni /37</v>
      </c>
      <c r="T50" s="62"/>
      <c r="U50" s="62"/>
      <c r="V50" s="62"/>
      <c r="W50" s="62"/>
      <c r="X50" s="62"/>
      <c r="Y50" s="62"/>
      <c r="Z50" s="957">
        <f ca="1">select!H258</f>
        <v>9.5</v>
      </c>
      <c r="AA50" s="957"/>
      <c r="AB50" s="62"/>
      <c r="AC50" s="44" t="str">
        <f ca="1">select!I258</f>
        <v>F058</v>
      </c>
      <c r="AD50" s="34" t="str">
        <f ca="1">select!J258</f>
        <v>139</v>
      </c>
      <c r="AE50" s="47" t="str">
        <f ca="1">select!K258</f>
        <v>888</v>
      </c>
      <c r="AF50" s="55"/>
    </row>
    <row r="51" spans="3:32" x14ac:dyDescent="0.25">
      <c r="C51" s="81" t="str">
        <f ca="1">select!A259</f>
        <v>Tiomos Montageplatten</v>
      </c>
      <c r="D51" s="67"/>
      <c r="E51" s="67"/>
      <c r="F51" s="67"/>
      <c r="G51" s="67"/>
      <c r="H51" s="67"/>
      <c r="I51" s="67"/>
      <c r="J51" s="67" t="str">
        <f ca="1">select!C259</f>
        <v>1D Kreuz Mtg-Platte</v>
      </c>
      <c r="K51" s="67"/>
      <c r="L51" s="67"/>
      <c r="M51" s="67"/>
      <c r="N51" s="67"/>
      <c r="O51" s="67"/>
      <c r="P51" s="67"/>
      <c r="Q51" s="67"/>
      <c r="R51" s="67"/>
      <c r="S51" s="823" t="str">
        <f ca="1">select!F259</f>
        <v>H 19, ni /37</v>
      </c>
      <c r="T51" s="62"/>
      <c r="U51" s="62"/>
      <c r="V51" s="62"/>
      <c r="W51" s="62"/>
      <c r="X51" s="62"/>
      <c r="Y51" s="62"/>
      <c r="Z51" s="957">
        <f ca="1">select!H259</f>
        <v>19</v>
      </c>
      <c r="AA51" s="957"/>
      <c r="AB51" s="62"/>
      <c r="AC51" s="44" t="str">
        <f ca="1">select!I259</f>
        <v>F058</v>
      </c>
      <c r="AD51" s="34" t="str">
        <f ca="1">select!J259</f>
        <v>139</v>
      </c>
      <c r="AE51" s="47" t="str">
        <f ca="1">select!K259</f>
        <v>894</v>
      </c>
      <c r="AF51" s="55"/>
    </row>
    <row r="52" spans="3:32" x14ac:dyDescent="0.25">
      <c r="C52" s="68" t="str">
        <f ca="1">select!A260</f>
        <v/>
      </c>
      <c r="D52" s="69"/>
      <c r="E52" s="69"/>
      <c r="F52" s="69"/>
      <c r="G52" s="69"/>
      <c r="H52" s="69"/>
      <c r="I52" s="69"/>
      <c r="J52" s="69" t="str">
        <f ca="1">select!C260</f>
        <v/>
      </c>
      <c r="K52" s="69"/>
      <c r="L52" s="69"/>
      <c r="M52" s="69"/>
      <c r="N52" s="69"/>
      <c r="O52" s="69"/>
      <c r="P52" s="69"/>
      <c r="Q52" s="69"/>
      <c r="R52" s="69"/>
      <c r="S52" s="824" t="str">
        <f ca="1">select!F260</f>
        <v/>
      </c>
      <c r="T52" s="63"/>
      <c r="U52" s="63"/>
      <c r="V52" s="63"/>
      <c r="W52" s="63"/>
      <c r="X52" s="63"/>
      <c r="Y52" s="63"/>
      <c r="Z52" s="960" t="str">
        <f ca="1">select!H260</f>
        <v/>
      </c>
      <c r="AA52" s="960"/>
      <c r="AB52" s="63"/>
      <c r="AC52" s="45" t="str">
        <f ca="1">select!I260</f>
        <v/>
      </c>
      <c r="AD52" s="6" t="str">
        <f ca="1">select!J260</f>
        <v/>
      </c>
      <c r="AE52" s="48" t="str">
        <f ca="1">select!K260</f>
        <v/>
      </c>
      <c r="AF52" s="56"/>
    </row>
    <row r="53" spans="3:32" x14ac:dyDescent="0.25">
      <c r="C53" s="865" t="str">
        <f ca="1">select!O255</f>
        <v/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</sheetData>
  <sheetProtection password="9438" sheet="1" objects="1" scenarios="1"/>
  <mergeCells count="14">
    <mergeCell ref="AC2:AF3"/>
    <mergeCell ref="Z51:AA51"/>
    <mergeCell ref="Z52:AA52"/>
    <mergeCell ref="K11:P16"/>
    <mergeCell ref="S11:X16"/>
    <mergeCell ref="AA11:AF16"/>
    <mergeCell ref="Z48:AA48"/>
    <mergeCell ref="Z49:AA49"/>
    <mergeCell ref="C26:F26"/>
    <mergeCell ref="C21:F21"/>
    <mergeCell ref="C11:H16"/>
    <mergeCell ref="C22:F25"/>
    <mergeCell ref="Z50:AA50"/>
    <mergeCell ref="S44:AD45"/>
  </mergeCells>
  <conditionalFormatting sqref="C5:H10">
    <cfRule type="cellIs" dxfId="139" priority="9" operator="equal">
      <formula>1</formula>
    </cfRule>
  </conditionalFormatting>
  <conditionalFormatting sqref="C11:H16">
    <cfRule type="expression" dxfId="138" priority="8">
      <formula>$C$5=1</formula>
    </cfRule>
  </conditionalFormatting>
  <conditionalFormatting sqref="K11:P16">
    <cfRule type="expression" dxfId="137" priority="7">
      <formula>$K$5=3</formula>
    </cfRule>
  </conditionalFormatting>
  <conditionalFormatting sqref="K5:P10">
    <cfRule type="cellIs" dxfId="136" priority="6" operator="equal">
      <formula>3</formula>
    </cfRule>
  </conditionalFormatting>
  <conditionalFormatting sqref="S11:X16">
    <cfRule type="expression" dxfId="135" priority="5">
      <formula>$S$5=2</formula>
    </cfRule>
  </conditionalFormatting>
  <conditionalFormatting sqref="S5:X10">
    <cfRule type="cellIs" dxfId="134" priority="4" operator="equal">
      <formula>2</formula>
    </cfRule>
  </conditionalFormatting>
  <conditionalFormatting sqref="AA11:AF16">
    <cfRule type="expression" dxfId="133" priority="3">
      <formula>$AA$5=4</formula>
    </cfRule>
  </conditionalFormatting>
  <conditionalFormatting sqref="AA5:AF10">
    <cfRule type="cellIs" dxfId="132" priority="2" operator="equal">
      <formula>4</formula>
    </cfRule>
  </conditionalFormatting>
  <pageMargins left="0.35" right="0.4" top="0.52" bottom="0.78740157499999996" header="0.3" footer="0.3"/>
  <pageSetup paperSize="9" scale="8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Drop Down 4">
              <controlPr defaultSize="0" autoLine="0" autoPict="0">
                <anchor moveWithCells="1">
                  <from>
                    <xdr:col>20</xdr:col>
                    <xdr:colOff>142875</xdr:colOff>
                    <xdr:row>24</xdr:row>
                    <xdr:rowOff>95250</xdr:rowOff>
                  </from>
                  <to>
                    <xdr:col>24</xdr:col>
                    <xdr:colOff>190500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autoLine="0" autoPict="0">
                <anchor moveWithCells="1">
                  <from>
                    <xdr:col>15</xdr:col>
                    <xdr:colOff>9525</xdr:colOff>
                    <xdr:row>24</xdr:row>
                    <xdr:rowOff>95250</xdr:rowOff>
                  </from>
                  <to>
                    <xdr:col>19</xdr:col>
                    <xdr:colOff>76200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Drop Down 6">
              <controlPr defaultSize="0" autoLine="0" autoPict="0">
                <anchor moveWithCells="1">
                  <from>
                    <xdr:col>18</xdr:col>
                    <xdr:colOff>133350</xdr:colOff>
                    <xdr:row>42</xdr:row>
                    <xdr:rowOff>19050</xdr:rowOff>
                  </from>
                  <to>
                    <xdr:col>25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Drop Down 7">
              <controlPr defaultSize="0" autoLine="0" autoPict="0">
                <anchor moveWithCells="1">
                  <from>
                    <xdr:col>2</xdr:col>
                    <xdr:colOff>19050</xdr:colOff>
                    <xdr:row>28</xdr:row>
                    <xdr:rowOff>161925</xdr:rowOff>
                  </from>
                  <to>
                    <xdr:col>7</xdr:col>
                    <xdr:colOff>190500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2</xdr:col>
                    <xdr:colOff>28575</xdr:colOff>
                    <xdr:row>42</xdr:row>
                    <xdr:rowOff>9525</xdr:rowOff>
                  </from>
                  <to>
                    <xdr:col>12</xdr:col>
                    <xdr:colOff>85725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Option Button 11">
              <controlPr defaultSize="0" autoFill="0" autoLine="0" autoPict="0">
                <anchor moveWithCells="1">
                  <from>
                    <xdr:col>4</xdr:col>
                    <xdr:colOff>104775</xdr:colOff>
                    <xdr:row>12</xdr:row>
                    <xdr:rowOff>76200</xdr:rowOff>
                  </from>
                  <to>
                    <xdr:col>5</xdr:col>
                    <xdr:colOff>66675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Option Button 12">
              <controlPr defaultSize="0" autoFill="0" autoLine="0" autoPict="0">
                <anchor moveWithCells="1">
                  <from>
                    <xdr:col>20</xdr:col>
                    <xdr:colOff>104775</xdr:colOff>
                    <xdr:row>12</xdr:row>
                    <xdr:rowOff>66675</xdr:rowOff>
                  </from>
                  <to>
                    <xdr:col>21</xdr:col>
                    <xdr:colOff>123825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Option Button 13">
              <controlPr defaultSize="0" autoFill="0" autoLine="0" autoPict="0">
                <anchor moveWithCells="1">
                  <from>
                    <xdr:col>12</xdr:col>
                    <xdr:colOff>133350</xdr:colOff>
                    <xdr:row>12</xdr:row>
                    <xdr:rowOff>95250</xdr:rowOff>
                  </from>
                  <to>
                    <xdr:col>13</xdr:col>
                    <xdr:colOff>152400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>
                <anchor moveWithCells="1">
                  <from>
                    <xdr:col>28</xdr:col>
                    <xdr:colOff>123825</xdr:colOff>
                    <xdr:row>12</xdr:row>
                    <xdr:rowOff>76200</xdr:rowOff>
                  </from>
                  <to>
                    <xdr:col>29</xdr:col>
                    <xdr:colOff>114300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Drop Down 25">
              <controlPr defaultSize="0" autoLine="0" autoPict="0">
                <anchor moveWithCells="1">
                  <from>
                    <xdr:col>18</xdr:col>
                    <xdr:colOff>123825</xdr:colOff>
                    <xdr:row>44</xdr:row>
                    <xdr:rowOff>104775</xdr:rowOff>
                  </from>
                  <to>
                    <xdr:col>28</xdr:col>
                    <xdr:colOff>190500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List Box 26">
              <controlPr locked="0" defaultSize="0" autoLine="0" autoPict="0">
                <anchor moveWithCells="1">
                  <from>
                    <xdr:col>25</xdr:col>
                    <xdr:colOff>228600</xdr:colOff>
                    <xdr:row>19</xdr:row>
                    <xdr:rowOff>171450</xdr:rowOff>
                  </from>
                  <to>
                    <xdr:col>32</xdr:col>
                    <xdr:colOff>142875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Drop Down 27">
              <controlPr defaultSize="0" autoLine="0" autoPict="0">
                <anchor moveWithCells="1">
                  <from>
                    <xdr:col>13</xdr:col>
                    <xdr:colOff>0</xdr:colOff>
                    <xdr:row>28</xdr:row>
                    <xdr:rowOff>152400</xdr:rowOff>
                  </from>
                  <to>
                    <xdr:col>20</xdr:col>
                    <xdr:colOff>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List Box 30">
              <controlPr defaultSize="0" autoLine="0" autoPict="0">
                <anchor moveWithCells="1">
                  <from>
                    <xdr:col>14</xdr:col>
                    <xdr:colOff>66675</xdr:colOff>
                    <xdr:row>42</xdr:row>
                    <xdr:rowOff>19050</xdr:rowOff>
                  </from>
                  <to>
                    <xdr:col>17</xdr:col>
                    <xdr:colOff>190500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Scroll Bar 31">
              <controlPr defaultSize="0" autoPict="0">
                <anchor moveWithCells="1">
                  <from>
                    <xdr:col>6</xdr:col>
                    <xdr:colOff>9525</xdr:colOff>
                    <xdr:row>20</xdr:row>
                    <xdr:rowOff>19050</xdr:rowOff>
                  </from>
                  <to>
                    <xdr:col>6</xdr:col>
                    <xdr:colOff>209550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75E171-3A74-4C06-A695-296A5EAEDE03}">
            <xm:f>select!$K$67=1</xm:f>
            <x14:dxf>
              <font>
                <b/>
                <i val="0"/>
                <color rgb="FF008228"/>
              </font>
            </x14:dxf>
          </x14:cfRule>
          <xm:sqref>C22:F25</xm:sqref>
        </x14:conditionalFormatting>
        <x14:conditionalFormatting xmlns:xm="http://schemas.microsoft.com/office/excel/2006/main">
          <x14:cfRule type="cellIs" priority="41" operator="equal" id="{E6453AF1-691D-4D31-9A0D-449B74F1F0AD}">
            <xm:f>Sprache!$A$38</xm:f>
            <x14:dxf>
              <font>
                <color theme="0" tint="-0.34998626667073579"/>
              </font>
            </x14:dxf>
          </x14:cfRule>
          <xm:sqref>J48:J52 K33</xm:sqref>
        </x14:conditionalFormatting>
        <x14:conditionalFormatting xmlns:xm="http://schemas.microsoft.com/office/excel/2006/main">
          <x14:cfRule type="cellIs" priority="49" operator="equal" id="{7944211C-51B9-41A7-8634-178C58B3945A}">
            <xm:f>Sprache!$A$56</xm:f>
            <x14:dxf>
              <font>
                <color theme="0" tint="-0.34998626667073579"/>
              </font>
            </x14:dxf>
          </x14:cfRule>
          <xm:sqref>C48:C52 C33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2">
    <tabColor theme="0" tint="-0.499984740745262"/>
    <pageSetUpPr fitToPage="1"/>
  </sheetPr>
  <dimension ref="C1:AU243"/>
  <sheetViews>
    <sheetView showGridLines="0" showRowColHeaders="0" topLeftCell="A19" zoomScaleNormal="100" workbookViewId="0">
      <selection activeCell="F6" sqref="F6"/>
    </sheetView>
  </sheetViews>
  <sheetFormatPr baseColWidth="10" defaultRowHeight="15" x14ac:dyDescent="0.25"/>
  <cols>
    <col min="1" max="15" width="3.28515625" customWidth="1"/>
    <col min="16" max="16" width="4" customWidth="1"/>
    <col min="17" max="65" width="3.28515625" customWidth="1"/>
  </cols>
  <sheetData>
    <row r="1" spans="3:47" ht="15.95" customHeight="1" x14ac:dyDescent="0.25"/>
    <row r="2" spans="3:47" ht="15.95" customHeight="1" x14ac:dyDescent="0.25">
      <c r="C2" s="989" t="str">
        <f ca="1">Sprache!A94&amp;" 110°"</f>
        <v>Winkelscharnier 110°</v>
      </c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989"/>
      <c r="R2" s="126"/>
      <c r="S2" s="126"/>
      <c r="T2" s="126"/>
      <c r="U2" s="126"/>
      <c r="AD2" s="989" t="str">
        <f ca="1">Sprache!A94&amp;" 120°"</f>
        <v>Winkelscharnier 120°</v>
      </c>
      <c r="AE2" s="989"/>
      <c r="AF2" s="989"/>
      <c r="AG2" s="989"/>
      <c r="AH2" s="989"/>
      <c r="AI2" s="989"/>
      <c r="AJ2" s="989"/>
      <c r="AK2" s="989"/>
      <c r="AL2" s="989"/>
      <c r="AM2" s="989"/>
      <c r="AN2" s="989"/>
      <c r="AO2" s="989"/>
      <c r="AP2" s="989"/>
      <c r="AQ2" s="989"/>
      <c r="AR2" s="989"/>
      <c r="AS2" s="989"/>
      <c r="AT2" s="989"/>
      <c r="AU2" s="989"/>
    </row>
    <row r="3" spans="3:47" ht="15.95" customHeight="1" x14ac:dyDescent="0.25">
      <c r="C3" s="990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990"/>
      <c r="S3" s="126"/>
      <c r="T3" s="126"/>
      <c r="U3" s="126"/>
      <c r="V3" s="126"/>
      <c r="AD3" s="990"/>
      <c r="AE3" s="990"/>
      <c r="AF3" s="990"/>
      <c r="AG3" s="990"/>
      <c r="AH3" s="990"/>
      <c r="AI3" s="990"/>
      <c r="AJ3" s="990"/>
      <c r="AK3" s="990"/>
      <c r="AL3" s="990"/>
      <c r="AM3" s="990"/>
      <c r="AN3" s="990"/>
      <c r="AO3" s="990"/>
      <c r="AP3" s="990"/>
      <c r="AQ3" s="990"/>
      <c r="AR3" s="990"/>
      <c r="AS3" s="990"/>
      <c r="AT3" s="990"/>
      <c r="AU3" s="990"/>
    </row>
    <row r="4" spans="3:47" ht="15.95" customHeight="1" x14ac:dyDescent="0.25">
      <c r="C4" s="107">
        <f>select!$A$318</f>
        <v>1</v>
      </c>
      <c r="D4" s="108">
        <f>select!$A$318</f>
        <v>1</v>
      </c>
      <c r="E4" s="108">
        <f>select!$A$318</f>
        <v>1</v>
      </c>
      <c r="F4" s="108">
        <f>select!$A$318</f>
        <v>1</v>
      </c>
      <c r="G4" s="108">
        <f>select!$A$318</f>
        <v>1</v>
      </c>
      <c r="H4" s="108">
        <f>select!$A$318</f>
        <v>1</v>
      </c>
      <c r="I4" s="991" t="str">
        <f>"
"&amp;select!B319</f>
        <v xml:space="preserve">
Tiomos 110/90A</v>
      </c>
      <c r="J4" s="992"/>
      <c r="K4" s="992"/>
      <c r="L4" s="992"/>
      <c r="M4" s="992"/>
      <c r="N4" s="993"/>
      <c r="R4" s="978" t="str">
        <f ca="1">Sprache!A144</f>
        <v>Schnellauswahl</v>
      </c>
      <c r="T4" s="75"/>
      <c r="V4" s="75"/>
      <c r="Z4" s="75"/>
      <c r="AA4" s="75"/>
      <c r="AD4" s="107">
        <f>select!$A$318</f>
        <v>1</v>
      </c>
      <c r="AE4" s="108">
        <f>select!$A$318</f>
        <v>1</v>
      </c>
      <c r="AF4" s="108">
        <f>select!$A$318</f>
        <v>1</v>
      </c>
      <c r="AG4" s="108">
        <f>select!$A$318</f>
        <v>1</v>
      </c>
      <c r="AH4" s="108">
        <f>select!$A$318</f>
        <v>1</v>
      </c>
      <c r="AI4" s="113">
        <f>select!$A$318</f>
        <v>1</v>
      </c>
      <c r="AJ4" s="107">
        <f>select!$A$318</f>
        <v>1</v>
      </c>
      <c r="AK4" s="108">
        <f>select!$A$318</f>
        <v>1</v>
      </c>
      <c r="AL4" s="108">
        <f>select!$A$318</f>
        <v>1</v>
      </c>
      <c r="AM4" s="108">
        <f>select!$A$318</f>
        <v>1</v>
      </c>
      <c r="AN4" s="108">
        <f>select!$A$318</f>
        <v>1</v>
      </c>
      <c r="AO4" s="113">
        <f>select!$A$318</f>
        <v>1</v>
      </c>
      <c r="AP4" s="107">
        <f>select!$A$318</f>
        <v>1</v>
      </c>
      <c r="AQ4" s="108">
        <f>select!$A$318</f>
        <v>1</v>
      </c>
      <c r="AR4" s="108">
        <f>select!$A$318</f>
        <v>1</v>
      </c>
      <c r="AS4" s="108">
        <f>select!$A$318</f>
        <v>1</v>
      </c>
      <c r="AT4" s="108">
        <f>select!$A$318</f>
        <v>1</v>
      </c>
      <c r="AU4" s="113">
        <f>select!$A$318</f>
        <v>1</v>
      </c>
    </row>
    <row r="5" spans="3:47" ht="15.95" customHeight="1" x14ac:dyDescent="0.25">
      <c r="C5" s="109">
        <f>select!$A$318</f>
        <v>1</v>
      </c>
      <c r="D5" s="110">
        <f>select!$A$318</f>
        <v>1</v>
      </c>
      <c r="E5" s="110">
        <f>select!$A$318</f>
        <v>1</v>
      </c>
      <c r="F5" s="110">
        <f>select!$A$318</f>
        <v>1</v>
      </c>
      <c r="G5" s="110">
        <f>select!$A$318</f>
        <v>1</v>
      </c>
      <c r="H5" s="110">
        <f>select!$A$318</f>
        <v>1</v>
      </c>
      <c r="I5" s="994"/>
      <c r="J5" s="994"/>
      <c r="K5" s="994"/>
      <c r="L5" s="994"/>
      <c r="M5" s="994"/>
      <c r="N5" s="995"/>
      <c r="R5" s="979"/>
      <c r="T5" s="75"/>
      <c r="V5" s="75"/>
      <c r="Z5" s="75"/>
      <c r="AA5" s="75"/>
      <c r="AD5" s="109">
        <f>select!$A$318</f>
        <v>1</v>
      </c>
      <c r="AE5" s="110">
        <f>select!$A$318</f>
        <v>1</v>
      </c>
      <c r="AF5" s="110">
        <f>select!$A$318</f>
        <v>1</v>
      </c>
      <c r="AG5" s="110">
        <f>select!$A$318</f>
        <v>1</v>
      </c>
      <c r="AH5" s="110">
        <f>select!$A$318</f>
        <v>1</v>
      </c>
      <c r="AI5" s="114">
        <f>select!$A$318</f>
        <v>1</v>
      </c>
      <c r="AJ5" s="109">
        <f>select!$A$318</f>
        <v>1</v>
      </c>
      <c r="AK5" s="110">
        <f>select!$A$318</f>
        <v>1</v>
      </c>
      <c r="AL5" s="110">
        <f>select!$A$318</f>
        <v>1</v>
      </c>
      <c r="AM5" s="110">
        <f>select!$A$318</f>
        <v>1</v>
      </c>
      <c r="AN5" s="110">
        <f>select!$A$318</f>
        <v>1</v>
      </c>
      <c r="AO5" s="114">
        <f>select!$A$318</f>
        <v>1</v>
      </c>
      <c r="AP5" s="109">
        <f>select!$A$318</f>
        <v>1</v>
      </c>
      <c r="AQ5" s="110">
        <f>select!$A$318</f>
        <v>1</v>
      </c>
      <c r="AR5" s="110">
        <f>select!$A$318</f>
        <v>1</v>
      </c>
      <c r="AS5" s="110">
        <f>select!$A$318</f>
        <v>1</v>
      </c>
      <c r="AT5" s="110">
        <f>select!$A$318</f>
        <v>1</v>
      </c>
      <c r="AU5" s="114">
        <f>select!$A$318</f>
        <v>1</v>
      </c>
    </row>
    <row r="6" spans="3:47" ht="15.95" customHeight="1" x14ac:dyDescent="0.25">
      <c r="C6" s="109">
        <f>select!$A$318</f>
        <v>1</v>
      </c>
      <c r="D6" s="110">
        <f>select!$A$318</f>
        <v>1</v>
      </c>
      <c r="E6" s="110">
        <f>select!$A$318</f>
        <v>1</v>
      </c>
      <c r="F6" s="110">
        <f>select!$A$318</f>
        <v>1</v>
      </c>
      <c r="G6" s="110">
        <f>select!$A$318</f>
        <v>1</v>
      </c>
      <c r="H6" s="110">
        <f>select!$A$318</f>
        <v>1</v>
      </c>
      <c r="I6" s="994"/>
      <c r="J6" s="994"/>
      <c r="K6" s="994"/>
      <c r="L6" s="994"/>
      <c r="M6" s="994"/>
      <c r="N6" s="995"/>
      <c r="R6" s="979"/>
      <c r="T6" s="75"/>
      <c r="V6" s="75"/>
      <c r="Z6" s="75"/>
      <c r="AA6" s="75"/>
      <c r="AD6" s="109">
        <f>select!$A$318</f>
        <v>1</v>
      </c>
      <c r="AE6" s="110">
        <f>select!$A$318</f>
        <v>1</v>
      </c>
      <c r="AF6" s="110">
        <f>select!$A$318</f>
        <v>1</v>
      </c>
      <c r="AG6" s="110">
        <f>select!$A$318</f>
        <v>1</v>
      </c>
      <c r="AH6" s="110">
        <f>select!$A$318</f>
        <v>1</v>
      </c>
      <c r="AI6" s="114">
        <f>select!$A$318</f>
        <v>1</v>
      </c>
      <c r="AJ6" s="109">
        <f>select!$A$318</f>
        <v>1</v>
      </c>
      <c r="AK6" s="110">
        <f>select!$A$318</f>
        <v>1</v>
      </c>
      <c r="AL6" s="110">
        <f>select!$A$318</f>
        <v>1</v>
      </c>
      <c r="AM6" s="110">
        <f>select!$A$318</f>
        <v>1</v>
      </c>
      <c r="AN6" s="110">
        <f>select!$A$318</f>
        <v>1</v>
      </c>
      <c r="AO6" s="114">
        <f>select!$A$318</f>
        <v>1</v>
      </c>
      <c r="AP6" s="109">
        <f>select!$A$318</f>
        <v>1</v>
      </c>
      <c r="AQ6" s="110">
        <f>select!$A$318</f>
        <v>1</v>
      </c>
      <c r="AR6" s="110">
        <f>select!$A$318</f>
        <v>1</v>
      </c>
      <c r="AS6" s="110">
        <f>select!$A$318</f>
        <v>1</v>
      </c>
      <c r="AT6" s="110">
        <f>select!$A$318</f>
        <v>1</v>
      </c>
      <c r="AU6" s="114">
        <f>select!$A$318</f>
        <v>1</v>
      </c>
    </row>
    <row r="7" spans="3:47" ht="15.95" customHeight="1" x14ac:dyDescent="0.25">
      <c r="C7" s="109">
        <f>select!$A$318</f>
        <v>1</v>
      </c>
      <c r="D7" s="110">
        <f>select!$A$318</f>
        <v>1</v>
      </c>
      <c r="E7" s="110">
        <f>select!$A$318</f>
        <v>1</v>
      </c>
      <c r="F7" s="110">
        <f>select!$A$318</f>
        <v>1</v>
      </c>
      <c r="G7" s="110">
        <f>select!$A$318</f>
        <v>1</v>
      </c>
      <c r="H7" s="110">
        <f>select!$A$318</f>
        <v>1</v>
      </c>
      <c r="I7" s="994"/>
      <c r="J7" s="994"/>
      <c r="K7" s="994"/>
      <c r="L7" s="994"/>
      <c r="M7" s="994"/>
      <c r="N7" s="995"/>
      <c r="R7" s="979"/>
      <c r="T7" s="75"/>
      <c r="V7" s="75"/>
      <c r="Z7" s="75"/>
      <c r="AA7" s="75"/>
      <c r="AD7" s="109">
        <f>select!$A$318</f>
        <v>1</v>
      </c>
      <c r="AE7" s="110">
        <f>select!$A$318</f>
        <v>1</v>
      </c>
      <c r="AF7" s="110">
        <f>select!$A$318</f>
        <v>1</v>
      </c>
      <c r="AG7" s="110">
        <f>select!$A$318</f>
        <v>1</v>
      </c>
      <c r="AH7" s="110">
        <f>select!$A$318</f>
        <v>1</v>
      </c>
      <c r="AI7" s="114">
        <f>select!$A$318</f>
        <v>1</v>
      </c>
      <c r="AJ7" s="109">
        <f>select!$A$318</f>
        <v>1</v>
      </c>
      <c r="AK7" s="110">
        <f>select!$A$318</f>
        <v>1</v>
      </c>
      <c r="AL7" s="110">
        <f>select!$A$318</f>
        <v>1</v>
      </c>
      <c r="AM7" s="110">
        <f>select!$A$318</f>
        <v>1</v>
      </c>
      <c r="AN7" s="110">
        <f>select!$A$318</f>
        <v>1</v>
      </c>
      <c r="AO7" s="114">
        <f>select!$A$318</f>
        <v>1</v>
      </c>
      <c r="AP7" s="109">
        <f>select!$A$318</f>
        <v>1</v>
      </c>
      <c r="AQ7" s="110">
        <f>select!$A$318</f>
        <v>1</v>
      </c>
      <c r="AR7" s="110">
        <f>select!$A$318</f>
        <v>1</v>
      </c>
      <c r="AS7" s="110">
        <f>select!$A$318</f>
        <v>1</v>
      </c>
      <c r="AT7" s="110">
        <f>select!$A$318</f>
        <v>1</v>
      </c>
      <c r="AU7" s="114">
        <f>select!$A$318</f>
        <v>1</v>
      </c>
    </row>
    <row r="8" spans="3:47" ht="15.95" customHeight="1" x14ac:dyDescent="0.25">
      <c r="C8" s="109">
        <f>select!$A$318</f>
        <v>1</v>
      </c>
      <c r="D8" s="110">
        <f>select!$A$318</f>
        <v>1</v>
      </c>
      <c r="E8" s="110">
        <f>select!$A$318</f>
        <v>1</v>
      </c>
      <c r="F8" s="110">
        <f>select!$A$318</f>
        <v>1</v>
      </c>
      <c r="G8" s="110">
        <f>select!$A$318</f>
        <v>1</v>
      </c>
      <c r="H8" s="110">
        <f>select!$A$318</f>
        <v>1</v>
      </c>
      <c r="I8" s="994"/>
      <c r="J8" s="994"/>
      <c r="K8" s="994"/>
      <c r="L8" s="994"/>
      <c r="M8" s="994"/>
      <c r="N8" s="995"/>
      <c r="R8" s="979"/>
      <c r="T8" s="75"/>
      <c r="V8" s="75"/>
      <c r="Z8" s="75"/>
      <c r="AA8" s="75"/>
      <c r="AD8" s="109">
        <f>select!$A$318</f>
        <v>1</v>
      </c>
      <c r="AE8" s="110">
        <f>select!$A$318</f>
        <v>1</v>
      </c>
      <c r="AF8" s="110">
        <f>select!$A$318</f>
        <v>1</v>
      </c>
      <c r="AG8" s="110">
        <f>select!$A$318</f>
        <v>1</v>
      </c>
      <c r="AH8" s="110">
        <f>select!$A$318</f>
        <v>1</v>
      </c>
      <c r="AI8" s="114">
        <f>select!$A$318</f>
        <v>1</v>
      </c>
      <c r="AJ8" s="109">
        <f>select!$A$318</f>
        <v>1</v>
      </c>
      <c r="AK8" s="110">
        <f>select!$A$318</f>
        <v>1</v>
      </c>
      <c r="AL8" s="110">
        <f>select!$A$318</f>
        <v>1</v>
      </c>
      <c r="AM8" s="110">
        <f>select!$A$318</f>
        <v>1</v>
      </c>
      <c r="AN8" s="110">
        <f>select!$A$318</f>
        <v>1</v>
      </c>
      <c r="AO8" s="114">
        <f>select!$A$318</f>
        <v>1</v>
      </c>
      <c r="AP8" s="109">
        <f>select!$A$318</f>
        <v>1</v>
      </c>
      <c r="AQ8" s="110">
        <f>select!$A$318</f>
        <v>1</v>
      </c>
      <c r="AR8" s="110">
        <f>select!$A$318</f>
        <v>1</v>
      </c>
      <c r="AS8" s="110">
        <f>select!$A$318</f>
        <v>1</v>
      </c>
      <c r="AT8" s="110">
        <f>select!$A$318</f>
        <v>1</v>
      </c>
      <c r="AU8" s="114">
        <f>select!$A$318</f>
        <v>1</v>
      </c>
    </row>
    <row r="9" spans="3:47" ht="15.95" customHeight="1" x14ac:dyDescent="0.25">
      <c r="C9" s="111">
        <f>select!$A$318</f>
        <v>1</v>
      </c>
      <c r="D9" s="112">
        <f>select!$A$318</f>
        <v>1</v>
      </c>
      <c r="E9" s="112">
        <f>select!$A$318</f>
        <v>1</v>
      </c>
      <c r="F9" s="112">
        <f>select!$A$318</f>
        <v>1</v>
      </c>
      <c r="G9" s="112">
        <f>select!$A$318</f>
        <v>1</v>
      </c>
      <c r="H9" s="112">
        <f>select!$A$318</f>
        <v>1</v>
      </c>
      <c r="I9" s="996"/>
      <c r="J9" s="996"/>
      <c r="K9" s="996"/>
      <c r="L9" s="996"/>
      <c r="M9" s="996"/>
      <c r="N9" s="997"/>
      <c r="R9" s="979"/>
      <c r="T9" s="75"/>
      <c r="V9" s="75"/>
      <c r="Z9" s="75"/>
      <c r="AA9" s="75"/>
      <c r="AD9" s="109">
        <f>select!$A$318</f>
        <v>1</v>
      </c>
      <c r="AE9" s="110">
        <f>select!$A$318</f>
        <v>1</v>
      </c>
      <c r="AF9" s="110">
        <f>select!$A$318</f>
        <v>1</v>
      </c>
      <c r="AG9" s="110">
        <f>select!$A$318</f>
        <v>1</v>
      </c>
      <c r="AH9" s="110">
        <f>select!$A$318</f>
        <v>1</v>
      </c>
      <c r="AI9" s="114">
        <f>select!$A$318</f>
        <v>1</v>
      </c>
      <c r="AJ9" s="109">
        <f>select!$A$318</f>
        <v>1</v>
      </c>
      <c r="AK9" s="110">
        <f>select!$A$318</f>
        <v>1</v>
      </c>
      <c r="AL9" s="110">
        <f>select!$A$318</f>
        <v>1</v>
      </c>
      <c r="AM9" s="110">
        <f>select!$A$318</f>
        <v>1</v>
      </c>
      <c r="AN9" s="110">
        <f>select!$A$318</f>
        <v>1</v>
      </c>
      <c r="AO9" s="114">
        <f>select!$A$318</f>
        <v>1</v>
      </c>
      <c r="AP9" s="109">
        <f>select!$A$318</f>
        <v>1</v>
      </c>
      <c r="AQ9" s="110">
        <f>select!$A$318</f>
        <v>1</v>
      </c>
      <c r="AR9" s="110">
        <f>select!$A$318</f>
        <v>1</v>
      </c>
      <c r="AS9" s="110">
        <f>select!$A$318</f>
        <v>1</v>
      </c>
      <c r="AT9" s="110">
        <f>select!$A$318</f>
        <v>1</v>
      </c>
      <c r="AU9" s="114">
        <f>select!$A$318</f>
        <v>1</v>
      </c>
    </row>
    <row r="10" spans="3:47" ht="15.95" customHeight="1" x14ac:dyDescent="0.25">
      <c r="C10" s="107">
        <f>select!$A$318</f>
        <v>1</v>
      </c>
      <c r="D10" s="108">
        <f>select!$A$318</f>
        <v>1</v>
      </c>
      <c r="E10" s="108">
        <f>select!$A$318</f>
        <v>1</v>
      </c>
      <c r="F10" s="108">
        <f>select!$A$318</f>
        <v>1</v>
      </c>
      <c r="G10" s="108">
        <f>select!$A$318</f>
        <v>1</v>
      </c>
      <c r="H10" s="108">
        <f>select!$A$318</f>
        <v>1</v>
      </c>
      <c r="I10" s="972" t="str">
        <f>"
"&amp;select!B320</f>
        <v xml:space="preserve">
Tiomos 110/90E</v>
      </c>
      <c r="J10" s="973"/>
      <c r="K10" s="973"/>
      <c r="L10" s="973"/>
      <c r="M10" s="973"/>
      <c r="N10" s="974"/>
      <c r="R10" s="980"/>
      <c r="AD10" s="944" t="str">
        <f>"
"&amp;select!B327</f>
        <v xml:space="preserve">
Tiomos 120/-15A</v>
      </c>
      <c r="AE10" s="945"/>
      <c r="AF10" s="945"/>
      <c r="AG10" s="945"/>
      <c r="AH10" s="945"/>
      <c r="AI10" s="946"/>
      <c r="AJ10" s="944" t="str">
        <f>"
"&amp;select!B328</f>
        <v xml:space="preserve">
Tiomos 120/-30A</v>
      </c>
      <c r="AK10" s="945"/>
      <c r="AL10" s="945"/>
      <c r="AM10" s="945"/>
      <c r="AN10" s="945"/>
      <c r="AO10" s="946"/>
      <c r="AP10" s="944" t="str">
        <f>"
"&amp;select!B329</f>
        <v xml:space="preserve">
Tiomos 120/-45A</v>
      </c>
      <c r="AQ10" s="945"/>
      <c r="AR10" s="945"/>
      <c r="AS10" s="945"/>
      <c r="AT10" s="945"/>
      <c r="AU10" s="946"/>
    </row>
    <row r="11" spans="3:47" ht="15.95" customHeight="1" x14ac:dyDescent="0.25">
      <c r="C11" s="109">
        <f>select!$A$318</f>
        <v>1</v>
      </c>
      <c r="D11" s="110">
        <f>select!$A$318</f>
        <v>1</v>
      </c>
      <c r="E11" s="110">
        <f>select!$A$318</f>
        <v>1</v>
      </c>
      <c r="F11" s="110">
        <f>select!$A$318</f>
        <v>1</v>
      </c>
      <c r="G11" s="110">
        <f>select!$A$318</f>
        <v>1</v>
      </c>
      <c r="H11" s="110">
        <f>select!$A$318</f>
        <v>1</v>
      </c>
      <c r="I11" s="973"/>
      <c r="J11" s="973"/>
      <c r="K11" s="973"/>
      <c r="L11" s="973"/>
      <c r="M11" s="973"/>
      <c r="N11" s="974"/>
      <c r="AD11" s="947"/>
      <c r="AE11" s="945"/>
      <c r="AF11" s="945"/>
      <c r="AG11" s="945"/>
      <c r="AH11" s="945"/>
      <c r="AI11" s="946"/>
      <c r="AJ11" s="947"/>
      <c r="AK11" s="945"/>
      <c r="AL11" s="945"/>
      <c r="AM11" s="945"/>
      <c r="AN11" s="945"/>
      <c r="AO11" s="946"/>
      <c r="AP11" s="947"/>
      <c r="AQ11" s="945"/>
      <c r="AR11" s="945"/>
      <c r="AS11" s="945"/>
      <c r="AT11" s="945"/>
      <c r="AU11" s="946"/>
    </row>
    <row r="12" spans="3:47" ht="15.95" customHeight="1" x14ac:dyDescent="0.25">
      <c r="C12" s="109">
        <f>select!$A$318</f>
        <v>1</v>
      </c>
      <c r="D12" s="110">
        <f>select!$A$318</f>
        <v>1</v>
      </c>
      <c r="E12" s="110">
        <f>select!$A$318</f>
        <v>1</v>
      </c>
      <c r="F12" s="110">
        <f>select!$A$318</f>
        <v>1</v>
      </c>
      <c r="G12" s="110">
        <f>select!$A$318</f>
        <v>1</v>
      </c>
      <c r="H12" s="110">
        <f>select!$A$318</f>
        <v>1</v>
      </c>
      <c r="I12" s="973"/>
      <c r="J12" s="973"/>
      <c r="K12" s="973"/>
      <c r="L12" s="973"/>
      <c r="M12" s="973"/>
      <c r="N12" s="974"/>
      <c r="Y12" s="3"/>
      <c r="Z12" s="100"/>
      <c r="AA12" s="100"/>
      <c r="AD12" s="947"/>
      <c r="AE12" s="945"/>
      <c r="AF12" s="945"/>
      <c r="AG12" s="945"/>
      <c r="AH12" s="945"/>
      <c r="AI12" s="946"/>
      <c r="AJ12" s="947"/>
      <c r="AK12" s="945"/>
      <c r="AL12" s="945"/>
      <c r="AM12" s="945"/>
      <c r="AN12" s="945"/>
      <c r="AO12" s="946"/>
      <c r="AP12" s="947"/>
      <c r="AQ12" s="945"/>
      <c r="AR12" s="945"/>
      <c r="AS12" s="945"/>
      <c r="AT12" s="945"/>
      <c r="AU12" s="946"/>
    </row>
    <row r="13" spans="3:47" ht="15.95" customHeight="1" x14ac:dyDescent="0.25">
      <c r="C13" s="109">
        <f>select!$A$318</f>
        <v>1</v>
      </c>
      <c r="D13" s="110">
        <f>select!$A$318</f>
        <v>1</v>
      </c>
      <c r="E13" s="110">
        <f>select!$A$318</f>
        <v>1</v>
      </c>
      <c r="F13" s="110">
        <f>select!$A$318</f>
        <v>1</v>
      </c>
      <c r="G13" s="110">
        <f>select!$A$318</f>
        <v>1</v>
      </c>
      <c r="H13" s="110">
        <f>select!$A$318</f>
        <v>1</v>
      </c>
      <c r="I13" s="973"/>
      <c r="J13" s="973"/>
      <c r="K13" s="973"/>
      <c r="L13" s="973"/>
      <c r="M13" s="973"/>
      <c r="N13" s="974"/>
      <c r="Z13" s="100"/>
      <c r="AA13" s="100"/>
      <c r="AD13" s="947"/>
      <c r="AE13" s="945"/>
      <c r="AF13" s="945"/>
      <c r="AG13" s="945"/>
      <c r="AH13" s="945"/>
      <c r="AI13" s="946"/>
      <c r="AJ13" s="947"/>
      <c r="AK13" s="945"/>
      <c r="AL13" s="945"/>
      <c r="AM13" s="945"/>
      <c r="AN13" s="945"/>
      <c r="AO13" s="946"/>
      <c r="AP13" s="947"/>
      <c r="AQ13" s="945"/>
      <c r="AR13" s="945"/>
      <c r="AS13" s="945"/>
      <c r="AT13" s="945"/>
      <c r="AU13" s="946"/>
    </row>
    <row r="14" spans="3:47" ht="15.95" customHeight="1" x14ac:dyDescent="0.25">
      <c r="C14" s="109">
        <f>select!$A$318</f>
        <v>1</v>
      </c>
      <c r="D14" s="110">
        <f>select!$A$318</f>
        <v>1</v>
      </c>
      <c r="E14" s="110">
        <f>select!$A$318</f>
        <v>1</v>
      </c>
      <c r="F14" s="110">
        <f>select!$A$318</f>
        <v>1</v>
      </c>
      <c r="G14" s="110">
        <f>select!$A$318</f>
        <v>1</v>
      </c>
      <c r="H14" s="110">
        <f>select!$A$318</f>
        <v>1</v>
      </c>
      <c r="I14" s="973"/>
      <c r="J14" s="973"/>
      <c r="K14" s="973"/>
      <c r="L14" s="973"/>
      <c r="M14" s="973"/>
      <c r="N14" s="974"/>
      <c r="Q14" s="967" t="str">
        <f ca="1">Sprache!A92</f>
        <v>Scharnier</v>
      </c>
      <c r="R14" s="967"/>
      <c r="S14" s="967"/>
      <c r="T14" s="967"/>
      <c r="U14" s="967"/>
      <c r="V14" s="967"/>
      <c r="W14" s="967"/>
      <c r="X14" s="967"/>
      <c r="Z14" s="959" t="str">
        <f ca="1">Sprache!A53</f>
        <v>zurück</v>
      </c>
      <c r="AA14" s="959"/>
      <c r="AB14" s="959"/>
      <c r="AD14" s="947"/>
      <c r="AE14" s="945"/>
      <c r="AF14" s="945"/>
      <c r="AG14" s="945"/>
      <c r="AH14" s="945"/>
      <c r="AI14" s="946"/>
      <c r="AJ14" s="947"/>
      <c r="AK14" s="945"/>
      <c r="AL14" s="945"/>
      <c r="AM14" s="945"/>
      <c r="AN14" s="945"/>
      <c r="AO14" s="946"/>
      <c r="AP14" s="947"/>
      <c r="AQ14" s="945"/>
      <c r="AR14" s="945"/>
      <c r="AS14" s="945"/>
      <c r="AT14" s="945"/>
      <c r="AU14" s="946"/>
    </row>
    <row r="15" spans="3:47" ht="15.95" customHeight="1" thickBot="1" x14ac:dyDescent="0.3">
      <c r="C15" s="111">
        <f>select!$A$318</f>
        <v>1</v>
      </c>
      <c r="D15" s="112">
        <f>select!$A$318</f>
        <v>1</v>
      </c>
      <c r="E15" s="112">
        <f>select!$A$318</f>
        <v>1</v>
      </c>
      <c r="F15" s="112">
        <f>select!$A$318</f>
        <v>1</v>
      </c>
      <c r="G15" s="112">
        <f>select!$A$318</f>
        <v>1</v>
      </c>
      <c r="H15" s="112">
        <f>select!$A$318</f>
        <v>1</v>
      </c>
      <c r="I15" s="973"/>
      <c r="J15" s="973"/>
      <c r="K15" s="973"/>
      <c r="L15" s="973"/>
      <c r="M15" s="973"/>
      <c r="N15" s="974"/>
      <c r="Q15" s="968"/>
      <c r="R15" s="968"/>
      <c r="S15" s="968"/>
      <c r="T15" s="968"/>
      <c r="U15" s="968"/>
      <c r="V15" s="968"/>
      <c r="W15" s="968"/>
      <c r="X15" s="968"/>
      <c r="Z15" s="959"/>
      <c r="AA15" s="959"/>
      <c r="AB15" s="959"/>
      <c r="AD15" s="948"/>
      <c r="AE15" s="949"/>
      <c r="AF15" s="949"/>
      <c r="AG15" s="949"/>
      <c r="AH15" s="949"/>
      <c r="AI15" s="950"/>
      <c r="AJ15" s="948"/>
      <c r="AK15" s="949"/>
      <c r="AL15" s="949"/>
      <c r="AM15" s="949"/>
      <c r="AN15" s="949"/>
      <c r="AO15" s="950"/>
      <c r="AP15" s="948"/>
      <c r="AQ15" s="949"/>
      <c r="AR15" s="949"/>
      <c r="AS15" s="949"/>
      <c r="AT15" s="949"/>
      <c r="AU15" s="950"/>
    </row>
    <row r="16" spans="3:47" ht="15.95" customHeight="1" x14ac:dyDescent="0.25">
      <c r="C16" s="107">
        <f>select!$A$318</f>
        <v>1</v>
      </c>
      <c r="D16" s="108">
        <f>select!$A$318</f>
        <v>1</v>
      </c>
      <c r="E16" s="108">
        <f>select!$A$318</f>
        <v>1</v>
      </c>
      <c r="F16" s="108">
        <f>select!$A$318</f>
        <v>1</v>
      </c>
      <c r="G16" s="108">
        <f>select!$A$318</f>
        <v>1</v>
      </c>
      <c r="H16" s="108">
        <f>select!$A$318</f>
        <v>1</v>
      </c>
      <c r="I16" s="975" t="str">
        <f>"
"&amp;select!B321</f>
        <v xml:space="preserve">
Tiomos 110/30A</v>
      </c>
      <c r="J16" s="976"/>
      <c r="K16" s="976"/>
      <c r="L16" s="976"/>
      <c r="M16" s="976"/>
      <c r="N16" s="977"/>
      <c r="Q16" s="988" t="str">
        <f>select!D353&amp;select!D354</f>
        <v/>
      </c>
      <c r="R16" s="988"/>
      <c r="S16" s="988"/>
      <c r="T16" s="988"/>
      <c r="U16" s="988"/>
      <c r="V16" s="988"/>
      <c r="W16" s="988"/>
      <c r="X16" s="988"/>
      <c r="Y16" s="988"/>
      <c r="Z16" s="988"/>
      <c r="AA16" s="988"/>
      <c r="AB16" s="988"/>
      <c r="AC16" s="988"/>
      <c r="AD16" s="988"/>
      <c r="AE16" s="988"/>
      <c r="AF16" s="988"/>
      <c r="AG16" s="988"/>
      <c r="AH16" s="988"/>
      <c r="AI16" s="988"/>
      <c r="AJ16" s="988"/>
      <c r="AK16" s="988"/>
      <c r="AL16" s="988"/>
      <c r="AM16" s="988"/>
      <c r="AN16" s="988"/>
      <c r="AO16" s="988"/>
      <c r="AP16" s="988"/>
      <c r="AQ16" s="988"/>
      <c r="AR16" s="988"/>
      <c r="AS16" s="988"/>
      <c r="AT16" s="988"/>
      <c r="AU16" s="988"/>
    </row>
    <row r="17" spans="3:47" ht="15.95" customHeight="1" x14ac:dyDescent="0.25">
      <c r="C17" s="109">
        <f>select!$A$318</f>
        <v>1</v>
      </c>
      <c r="D17" s="110">
        <f>select!$A$318</f>
        <v>1</v>
      </c>
      <c r="E17" s="110">
        <f>select!$A$318</f>
        <v>1</v>
      </c>
      <c r="F17" s="110">
        <f>select!$A$318</f>
        <v>1</v>
      </c>
      <c r="G17" s="110">
        <f>select!$A$318</f>
        <v>1</v>
      </c>
      <c r="H17" s="110">
        <f>select!$A$318</f>
        <v>1</v>
      </c>
      <c r="I17" s="976"/>
      <c r="J17" s="976"/>
      <c r="K17" s="976"/>
      <c r="L17" s="976"/>
      <c r="M17" s="976"/>
      <c r="N17" s="977"/>
      <c r="Q17" s="988"/>
      <c r="R17" s="988"/>
      <c r="S17" s="988"/>
      <c r="T17" s="988"/>
      <c r="U17" s="988"/>
      <c r="V17" s="988"/>
      <c r="W17" s="988"/>
      <c r="X17" s="988"/>
      <c r="Y17" s="988"/>
      <c r="Z17" s="988"/>
      <c r="AA17" s="988"/>
      <c r="AB17" s="988"/>
      <c r="AC17" s="988"/>
      <c r="AD17" s="988"/>
      <c r="AE17" s="988"/>
      <c r="AF17" s="988"/>
      <c r="AG17" s="988"/>
      <c r="AH17" s="988"/>
      <c r="AI17" s="988"/>
      <c r="AJ17" s="988"/>
      <c r="AK17" s="988"/>
      <c r="AL17" s="988"/>
      <c r="AM17" s="988"/>
      <c r="AN17" s="988"/>
      <c r="AO17" s="988"/>
      <c r="AP17" s="988"/>
      <c r="AQ17" s="988"/>
      <c r="AR17" s="988"/>
      <c r="AS17" s="988"/>
      <c r="AT17" s="988"/>
      <c r="AU17" s="988"/>
    </row>
    <row r="18" spans="3:47" ht="15.95" customHeight="1" x14ac:dyDescent="0.25">
      <c r="C18" s="109">
        <f>select!$A$318</f>
        <v>1</v>
      </c>
      <c r="D18" s="110">
        <f>select!$A$318</f>
        <v>1</v>
      </c>
      <c r="E18" s="110">
        <f>select!$A$318</f>
        <v>1</v>
      </c>
      <c r="F18" s="110">
        <f>select!$A$318</f>
        <v>1</v>
      </c>
      <c r="G18" s="110">
        <f>select!$A$318</f>
        <v>1</v>
      </c>
      <c r="H18" s="110">
        <f>select!$A$318</f>
        <v>1</v>
      </c>
      <c r="I18" s="976"/>
      <c r="J18" s="976"/>
      <c r="K18" s="976"/>
      <c r="L18" s="976"/>
      <c r="M18" s="976"/>
      <c r="N18" s="977"/>
      <c r="Q18" s="58" t="str">
        <f ca="1">select!D317</f>
        <v>Türfuge</v>
      </c>
      <c r="R18" s="58"/>
      <c r="S18" s="58"/>
      <c r="T18" s="58"/>
      <c r="U18" s="58"/>
      <c r="V18" s="57"/>
      <c r="W18" s="58"/>
      <c r="X18" s="737" t="str">
        <f ca="1">select!J317</f>
        <v>Bohrabstand (X)</v>
      </c>
      <c r="Y18" s="58"/>
      <c r="Z18" s="58"/>
      <c r="AA18" s="58"/>
      <c r="AB18" s="58"/>
      <c r="AC18" s="58"/>
      <c r="AD18" s="58"/>
      <c r="AE18" s="58" t="str">
        <f ca="1">Sprache!A176</f>
        <v>Topfabstand</v>
      </c>
      <c r="AF18" s="57"/>
      <c r="AG18" s="57"/>
      <c r="AH18" s="58"/>
      <c r="AI18" s="58"/>
      <c r="AJ18" s="58"/>
      <c r="AK18" s="58" t="str">
        <f ca="1">select!O317</f>
        <v>Korpusstärke</v>
      </c>
      <c r="AL18" s="57"/>
      <c r="AM18" s="57"/>
      <c r="AN18" s="58"/>
      <c r="AO18" s="57"/>
      <c r="AP18" s="58"/>
      <c r="AQ18" s="58" t="str">
        <f ca="1">Sprache!A175</f>
        <v>Bohrbild</v>
      </c>
      <c r="AR18" s="57"/>
      <c r="AS18" s="57"/>
      <c r="AT18" s="57"/>
      <c r="AU18" s="57"/>
    </row>
    <row r="19" spans="3:47" ht="15.95" customHeight="1" thickBot="1" x14ac:dyDescent="0.3">
      <c r="C19" s="109">
        <f>select!$A$318</f>
        <v>1</v>
      </c>
      <c r="D19" s="110">
        <f>select!$A$318</f>
        <v>1</v>
      </c>
      <c r="E19" s="110">
        <f>select!$A$318</f>
        <v>1</v>
      </c>
      <c r="F19" s="110">
        <f>select!$A$318</f>
        <v>1</v>
      </c>
      <c r="G19" s="110">
        <f>select!$A$318</f>
        <v>1</v>
      </c>
      <c r="H19" s="110">
        <f>select!$A$318</f>
        <v>1</v>
      </c>
      <c r="I19" s="976"/>
      <c r="J19" s="976"/>
      <c r="K19" s="976"/>
      <c r="L19" s="976"/>
      <c r="M19" s="976"/>
      <c r="N19" s="977"/>
      <c r="Q19" s="49"/>
      <c r="R19" s="3"/>
      <c r="S19" s="3"/>
      <c r="T19" s="3"/>
      <c r="U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15" t="str">
        <f ca="1">select!B375</f>
        <v/>
      </c>
      <c r="AL19" s="3"/>
      <c r="AM19" s="3"/>
      <c r="AN19" s="3"/>
      <c r="AO19" s="3"/>
      <c r="AP19" s="3"/>
    </row>
    <row r="20" spans="3:47" ht="15.95" customHeight="1" thickTop="1" x14ac:dyDescent="0.25">
      <c r="C20" s="109">
        <f>select!$A$318</f>
        <v>1</v>
      </c>
      <c r="D20" s="110">
        <f>select!$A$318</f>
        <v>1</v>
      </c>
      <c r="E20" s="110">
        <f>select!$A$318</f>
        <v>1</v>
      </c>
      <c r="F20" s="110">
        <f>select!$A$318</f>
        <v>1</v>
      </c>
      <c r="G20" s="110">
        <f>select!$A$318</f>
        <v>1</v>
      </c>
      <c r="H20" s="110">
        <f>select!$A$318</f>
        <v>1</v>
      </c>
      <c r="I20" s="976"/>
      <c r="J20" s="976"/>
      <c r="K20" s="976"/>
      <c r="L20" s="976"/>
      <c r="M20" s="976"/>
      <c r="N20" s="977"/>
      <c r="Q20" s="941" t="str">
        <f ca="1">select!H317</f>
        <v>---</v>
      </c>
      <c r="R20" s="941"/>
      <c r="S20" s="941"/>
      <c r="T20" s="941"/>
      <c r="U20" s="1004"/>
      <c r="X20" s="981" t="str">
        <f ca="1">select!L317</f>
        <v>Kreuzmontageplatte</v>
      </c>
      <c r="Y20" s="981"/>
      <c r="Z20" s="981"/>
      <c r="AA20" s="981"/>
      <c r="AB20" s="981"/>
      <c r="AG20" s="1"/>
      <c r="AK20" s="127"/>
      <c r="AL20" s="127"/>
      <c r="AM20" s="127"/>
      <c r="AN20" s="127"/>
    </row>
    <row r="21" spans="3:47" ht="15.95" customHeight="1" x14ac:dyDescent="0.25">
      <c r="C21" s="111">
        <f>select!$A$318</f>
        <v>1</v>
      </c>
      <c r="D21" s="112">
        <f>select!$A$318</f>
        <v>1</v>
      </c>
      <c r="E21" s="112">
        <f>select!$A$318</f>
        <v>1</v>
      </c>
      <c r="F21" s="112">
        <f>select!$A$318</f>
        <v>1</v>
      </c>
      <c r="G21" s="112">
        <f>select!$A$318</f>
        <v>1</v>
      </c>
      <c r="H21" s="112">
        <f>select!$A$318</f>
        <v>1</v>
      </c>
      <c r="I21" s="976"/>
      <c r="J21" s="976"/>
      <c r="K21" s="976"/>
      <c r="L21" s="976"/>
      <c r="M21" s="976"/>
      <c r="N21" s="977"/>
      <c r="Q21" s="982">
        <f>select!L334</f>
        <v>18</v>
      </c>
      <c r="R21" s="983"/>
      <c r="S21" s="983"/>
      <c r="T21" s="984"/>
      <c r="U21" s="1005"/>
      <c r="AK21" s="127"/>
      <c r="AL21" s="127"/>
      <c r="AM21" s="127"/>
      <c r="AN21" s="127"/>
    </row>
    <row r="22" spans="3:47" ht="15.95" customHeight="1" x14ac:dyDescent="0.25">
      <c r="C22" s="107">
        <f>select!$A$318</f>
        <v>1</v>
      </c>
      <c r="D22" s="108">
        <f>select!$A$318</f>
        <v>1</v>
      </c>
      <c r="E22" s="108">
        <f>select!$A$318</f>
        <v>1</v>
      </c>
      <c r="F22" s="108">
        <f>select!$A$318</f>
        <v>1</v>
      </c>
      <c r="G22" s="108">
        <f>select!$A$318</f>
        <v>1</v>
      </c>
      <c r="H22" s="108">
        <f>select!$A$318</f>
        <v>1</v>
      </c>
      <c r="I22" s="961" t="str">
        <f>"
"&amp;select!B322</f>
        <v xml:space="preserve">
Tiomos 110/30E</v>
      </c>
      <c r="J22" s="961"/>
      <c r="K22" s="961"/>
      <c r="L22" s="961"/>
      <c r="M22" s="961"/>
      <c r="N22" s="962"/>
      <c r="Q22" s="985"/>
      <c r="R22" s="954"/>
      <c r="S22" s="954"/>
      <c r="T22" s="986"/>
      <c r="U22" s="1005"/>
      <c r="X22" s="998">
        <f ca="1">select!K317</f>
        <v>30</v>
      </c>
      <c r="Y22" s="998"/>
      <c r="Z22" s="998"/>
      <c r="AA22" s="998"/>
      <c r="AB22" s="998"/>
    </row>
    <row r="23" spans="3:47" ht="15.95" customHeight="1" x14ac:dyDescent="0.25">
      <c r="C23" s="109">
        <f>select!$A$318</f>
        <v>1</v>
      </c>
      <c r="D23" s="110">
        <f>select!$A$318</f>
        <v>1</v>
      </c>
      <c r="E23" s="110">
        <f>select!$A$318</f>
        <v>1</v>
      </c>
      <c r="F23" s="110">
        <f>select!$A$318</f>
        <v>1</v>
      </c>
      <c r="G23" s="110">
        <f>select!$A$318</f>
        <v>1</v>
      </c>
      <c r="H23" s="110">
        <f>select!$A$318</f>
        <v>1</v>
      </c>
      <c r="I23" s="963"/>
      <c r="J23" s="963"/>
      <c r="K23" s="963"/>
      <c r="L23" s="963"/>
      <c r="M23" s="963"/>
      <c r="N23" s="964"/>
      <c r="Q23" s="985"/>
      <c r="R23" s="954"/>
      <c r="S23" s="954"/>
      <c r="T23" s="986"/>
      <c r="U23" s="1005"/>
      <c r="X23" s="998"/>
      <c r="Y23" s="998"/>
      <c r="Z23" s="998"/>
      <c r="AA23" s="998"/>
      <c r="AB23" s="998"/>
    </row>
    <row r="24" spans="3:47" ht="15.95" customHeight="1" x14ac:dyDescent="0.25">
      <c r="C24" s="109">
        <f>select!$A$318</f>
        <v>1</v>
      </c>
      <c r="D24" s="110">
        <f>select!$A$318</f>
        <v>1</v>
      </c>
      <c r="E24" s="110">
        <f>select!$A$318</f>
        <v>1</v>
      </c>
      <c r="F24" s="110">
        <f>select!$A$318</f>
        <v>1</v>
      </c>
      <c r="G24" s="110">
        <f>select!$A$318</f>
        <v>1</v>
      </c>
      <c r="H24" s="110">
        <f>select!$A$318</f>
        <v>1</v>
      </c>
      <c r="I24" s="963"/>
      <c r="J24" s="963"/>
      <c r="K24" s="963"/>
      <c r="L24" s="963"/>
      <c r="M24" s="963"/>
      <c r="N24" s="964"/>
      <c r="Q24" s="955"/>
      <c r="R24" s="956"/>
      <c r="S24" s="956"/>
      <c r="T24" s="987"/>
      <c r="U24" s="1005"/>
      <c r="X24" s="998"/>
      <c r="Y24" s="998"/>
      <c r="Z24" s="998"/>
      <c r="AA24" s="998"/>
      <c r="AB24" s="998"/>
    </row>
    <row r="25" spans="3:47" ht="15.95" customHeight="1" thickBot="1" x14ac:dyDescent="0.3">
      <c r="C25" s="109">
        <f>select!$A$318</f>
        <v>1</v>
      </c>
      <c r="D25" s="110">
        <f>select!$A$318</f>
        <v>1</v>
      </c>
      <c r="E25" s="110">
        <f>select!$A$318</f>
        <v>1</v>
      </c>
      <c r="F25" s="110">
        <f>select!$A$318</f>
        <v>1</v>
      </c>
      <c r="G25" s="110">
        <f>select!$A$318</f>
        <v>1</v>
      </c>
      <c r="H25" s="110">
        <f>select!$A$318</f>
        <v>1</v>
      </c>
      <c r="I25" s="963"/>
      <c r="J25" s="963"/>
      <c r="K25" s="963"/>
      <c r="L25" s="963"/>
      <c r="M25" s="963"/>
      <c r="N25" s="964"/>
      <c r="Q25" s="969">
        <f ca="1">select!I317</f>
        <v>17</v>
      </c>
      <c r="R25" s="970"/>
      <c r="S25" s="970"/>
      <c r="T25" s="971"/>
      <c r="U25" s="1006"/>
    </row>
    <row r="26" spans="3:47" ht="15.95" customHeight="1" thickTop="1" x14ac:dyDescent="0.25">
      <c r="C26" s="109">
        <f>select!$A$318</f>
        <v>1</v>
      </c>
      <c r="D26" s="110">
        <f>select!$A$318</f>
        <v>1</v>
      </c>
      <c r="E26" s="110">
        <f>select!$A$318</f>
        <v>1</v>
      </c>
      <c r="F26" s="110">
        <f>select!$A$318</f>
        <v>1</v>
      </c>
      <c r="G26" s="110">
        <f>select!$A$318</f>
        <v>1</v>
      </c>
      <c r="H26" s="110">
        <f>select!$A$318</f>
        <v>1</v>
      </c>
      <c r="I26" s="963"/>
      <c r="J26" s="963"/>
      <c r="K26" s="963"/>
      <c r="L26" s="963"/>
      <c r="M26" s="963"/>
      <c r="N26" s="964"/>
      <c r="Q26" s="736" t="str">
        <f ca="1">select!S315</f>
        <v/>
      </c>
      <c r="AE26" s="736" t="str">
        <f ca="1">select!D346</f>
        <v/>
      </c>
      <c r="AQ26" s="821" t="str">
        <f>select!Q334</f>
        <v/>
      </c>
    </row>
    <row r="27" spans="3:47" ht="15.95" customHeight="1" x14ac:dyDescent="0.25">
      <c r="C27" s="111">
        <f>select!$A$318</f>
        <v>1</v>
      </c>
      <c r="D27" s="112">
        <f>select!$A$318</f>
        <v>1</v>
      </c>
      <c r="E27" s="112">
        <f>select!$A$318</f>
        <v>1</v>
      </c>
      <c r="F27" s="112">
        <f>select!$A$318</f>
        <v>1</v>
      </c>
      <c r="G27" s="112">
        <f>select!$A$318</f>
        <v>1</v>
      </c>
      <c r="H27" s="112">
        <f>select!$A$318</f>
        <v>1</v>
      </c>
      <c r="I27" s="965"/>
      <c r="J27" s="965"/>
      <c r="K27" s="965"/>
      <c r="L27" s="965"/>
      <c r="M27" s="965"/>
      <c r="N27" s="966"/>
      <c r="Q27" s="58" t="str">
        <f ca="1">Sprache!A101</f>
        <v>Scharniertyp</v>
      </c>
      <c r="R27" s="58"/>
      <c r="S27" s="58"/>
      <c r="T27" s="58"/>
      <c r="U27" s="58"/>
      <c r="V27" s="58"/>
      <c r="W27" s="58"/>
      <c r="X27" s="59"/>
      <c r="Y27" s="59"/>
      <c r="Z27" s="57"/>
      <c r="AA27" s="57"/>
      <c r="AB27" s="58" t="str">
        <f ca="1">Sprache!A100</f>
        <v xml:space="preserve">Scharnierbefestigung </v>
      </c>
      <c r="AC27" s="59"/>
      <c r="AD27" s="59"/>
      <c r="AE27" s="59"/>
      <c r="AF27" s="59"/>
      <c r="AG27" s="59"/>
      <c r="AH27" s="59"/>
      <c r="AI27" s="59"/>
      <c r="AJ27" s="59"/>
      <c r="AK27" s="58" t="str">
        <f ca="1">select!R317</f>
        <v>Türstärke</v>
      </c>
      <c r="AL27" s="57"/>
      <c r="AM27" s="57"/>
      <c r="AN27" s="103"/>
      <c r="AO27" s="57"/>
      <c r="AP27" s="57"/>
      <c r="AQ27" s="737" t="str">
        <f ca="1">select!N317</f>
        <v>Mindestspalt</v>
      </c>
      <c r="AR27" s="59"/>
      <c r="AS27" s="59"/>
      <c r="AT27" s="57"/>
      <c r="AU27" s="57"/>
    </row>
    <row r="28" spans="3:47" ht="15.95" customHeight="1" thickBot="1" x14ac:dyDescent="0.3">
      <c r="C28" s="107">
        <f>select!$A$318</f>
        <v>1</v>
      </c>
      <c r="D28" s="108">
        <f>select!$A$318</f>
        <v>1</v>
      </c>
      <c r="E28" s="108">
        <f>select!$A$318</f>
        <v>1</v>
      </c>
      <c r="F28" s="108">
        <f>select!$A$318</f>
        <v>1</v>
      </c>
      <c r="G28" s="108">
        <f>select!$A$318</f>
        <v>1</v>
      </c>
      <c r="H28" s="108">
        <f>select!$A$318</f>
        <v>1</v>
      </c>
      <c r="I28" s="961" t="str">
        <f>"
"&amp;select!B323</f>
        <v xml:space="preserve">
Tiomos 110/37A</v>
      </c>
      <c r="J28" s="961"/>
      <c r="K28" s="961"/>
      <c r="L28" s="961"/>
      <c r="M28" s="961"/>
      <c r="N28" s="962"/>
      <c r="Q28" s="715" t="str">
        <f>select!C361</f>
        <v/>
      </c>
      <c r="AB28" s="277" t="str">
        <f>select!G361</f>
        <v/>
      </c>
      <c r="AJ28" s="277" t="str">
        <f>select!M337</f>
        <v/>
      </c>
    </row>
    <row r="29" spans="3:47" ht="15.95" customHeight="1" x14ac:dyDescent="0.25">
      <c r="C29" s="109">
        <f>select!$A$318</f>
        <v>1</v>
      </c>
      <c r="D29" s="110">
        <f>select!$A$318</f>
        <v>1</v>
      </c>
      <c r="E29" s="110">
        <f>select!$A$318</f>
        <v>1</v>
      </c>
      <c r="F29" s="110">
        <f>select!$A$318</f>
        <v>1</v>
      </c>
      <c r="G29" s="110">
        <f>select!$A$318</f>
        <v>1</v>
      </c>
      <c r="H29" s="110">
        <f>select!$A$318</f>
        <v>1</v>
      </c>
      <c r="I29" s="963"/>
      <c r="J29" s="963"/>
      <c r="K29" s="963"/>
      <c r="L29" s="963"/>
      <c r="M29" s="963"/>
      <c r="N29" s="964"/>
      <c r="AK29" s="1002" t="str">
        <f>select!M338</f>
        <v xml:space="preserve">     21,0 mm</v>
      </c>
      <c r="AL29" s="1003"/>
      <c r="AM29" s="1003"/>
      <c r="AN29" s="328"/>
      <c r="AO29" s="34"/>
      <c r="AQ29" s="999" t="str">
        <f>select!Q317</f>
        <v>1 mm</v>
      </c>
      <c r="AR29" s="1000"/>
      <c r="AS29" s="1000"/>
      <c r="AT29" s="1001"/>
    </row>
    <row r="30" spans="3:47" ht="15.95" customHeight="1" x14ac:dyDescent="0.25">
      <c r="C30" s="109">
        <f>select!$A$318</f>
        <v>1</v>
      </c>
      <c r="D30" s="110">
        <f>select!$A$318</f>
        <v>1</v>
      </c>
      <c r="E30" s="110">
        <f>select!$A$318</f>
        <v>1</v>
      </c>
      <c r="F30" s="110">
        <f>select!$A$318</f>
        <v>1</v>
      </c>
      <c r="G30" s="110">
        <f>select!$A$318</f>
        <v>1</v>
      </c>
      <c r="H30" s="110">
        <f>select!$A$318</f>
        <v>1</v>
      </c>
      <c r="I30" s="963"/>
      <c r="J30" s="963"/>
      <c r="K30" s="963"/>
      <c r="L30" s="963"/>
      <c r="M30" s="963"/>
      <c r="N30" s="964"/>
      <c r="AB30" s="709" t="str">
        <f>IF(select!E362=3,IF(select!O335=1,"",Sprache!A34),"")</f>
        <v/>
      </c>
    </row>
    <row r="31" spans="3:47" ht="15.95" customHeight="1" x14ac:dyDescent="0.25">
      <c r="C31" s="109">
        <f>select!$A$318</f>
        <v>1</v>
      </c>
      <c r="D31" s="110">
        <f>select!$A$318</f>
        <v>1</v>
      </c>
      <c r="E31" s="110">
        <f>select!$A$318</f>
        <v>1</v>
      </c>
      <c r="F31" s="110">
        <f>select!$A$318</f>
        <v>1</v>
      </c>
      <c r="G31" s="110">
        <f>select!$A$318</f>
        <v>1</v>
      </c>
      <c r="H31" s="110">
        <f>select!$A$318</f>
        <v>1</v>
      </c>
      <c r="I31" s="963"/>
      <c r="J31" s="963"/>
      <c r="K31" s="963"/>
      <c r="L31" s="963"/>
      <c r="M31" s="963"/>
      <c r="N31" s="964"/>
      <c r="Q31" s="24" t="str">
        <f>select!A317</f>
        <v>Tiomos 110/90A</v>
      </c>
      <c r="AS31" s="84" t="str">
        <f ca="1">AS46</f>
        <v>Bestellnummer</v>
      </c>
    </row>
    <row r="32" spans="3:47" ht="15.95" customHeight="1" x14ac:dyDescent="0.25">
      <c r="C32" s="109">
        <f>select!$A$318</f>
        <v>1</v>
      </c>
      <c r="D32" s="110">
        <f>select!$A$318</f>
        <v>1</v>
      </c>
      <c r="E32" s="110">
        <f>select!$A$318</f>
        <v>1</v>
      </c>
      <c r="F32" s="110">
        <f>select!$A$318</f>
        <v>1</v>
      </c>
      <c r="G32" s="110">
        <f>select!$A$318</f>
        <v>1</v>
      </c>
      <c r="H32" s="110">
        <f>select!$A$318</f>
        <v>1</v>
      </c>
      <c r="I32" s="963"/>
      <c r="J32" s="963"/>
      <c r="K32" s="963"/>
      <c r="L32" s="963"/>
      <c r="M32" s="963"/>
      <c r="N32" s="964"/>
      <c r="Q32" s="64" t="str">
        <f ca="1">select!F370</f>
        <v>Tiomos Click-On Scharniere</v>
      </c>
      <c r="R32" s="65"/>
      <c r="S32" s="65"/>
      <c r="T32" s="65"/>
      <c r="U32" s="65"/>
      <c r="V32" s="65"/>
      <c r="W32" s="65"/>
      <c r="X32" s="65"/>
      <c r="Y32" s="65" t="str">
        <f ca="1">select!D370</f>
        <v>Tiomos Scharnier TS Click-on</v>
      </c>
      <c r="Z32" s="65"/>
      <c r="AA32" s="65"/>
      <c r="AB32" s="65"/>
      <c r="AC32" s="65"/>
      <c r="AD32" s="65"/>
      <c r="AE32" s="65"/>
      <c r="AF32" s="65"/>
      <c r="AG32" s="65"/>
      <c r="AH32" s="65" t="str">
        <f ca="1">select!E370</f>
        <v>110/90°, M-BB, aufl. ni</v>
      </c>
      <c r="AI32" s="65"/>
      <c r="AJ32" s="65"/>
      <c r="AK32" s="65"/>
      <c r="AL32" s="65"/>
      <c r="AM32" s="65"/>
      <c r="AN32" s="65"/>
      <c r="AO32" s="41"/>
      <c r="AP32" s="41"/>
      <c r="AQ32" s="61"/>
      <c r="AR32" s="152" t="str">
        <f ca="1">select!A370</f>
        <v>F028</v>
      </c>
      <c r="AS32" s="161" t="str">
        <f ca="1">select!B370</f>
        <v>138</v>
      </c>
      <c r="AT32" s="153" t="str">
        <f ca="1">select!C370</f>
        <v>109</v>
      </c>
      <c r="AU32" s="154"/>
    </row>
    <row r="33" spans="3:47" ht="15.95" customHeight="1" x14ac:dyDescent="0.25">
      <c r="C33" s="111">
        <f>select!$A$318</f>
        <v>1</v>
      </c>
      <c r="D33" s="112">
        <f>select!$A$318</f>
        <v>1</v>
      </c>
      <c r="E33" s="112">
        <f>select!$A$318</f>
        <v>1</v>
      </c>
      <c r="F33" s="112">
        <f>select!$A$318</f>
        <v>1</v>
      </c>
      <c r="G33" s="112">
        <f>select!$A$318</f>
        <v>1</v>
      </c>
      <c r="H33" s="112">
        <f>select!$A$318</f>
        <v>1</v>
      </c>
      <c r="I33" s="965"/>
      <c r="J33" s="965"/>
      <c r="K33" s="965"/>
      <c r="L33" s="965"/>
      <c r="M33" s="965"/>
      <c r="N33" s="966"/>
      <c r="Q33" s="66" t="str">
        <f ca="1">select!F371</f>
        <v/>
      </c>
      <c r="R33" s="67"/>
      <c r="S33" s="67"/>
      <c r="T33" s="67"/>
      <c r="U33" s="67"/>
      <c r="V33" s="67"/>
      <c r="W33" s="67"/>
      <c r="X33" s="67"/>
      <c r="Y33" s="67" t="str">
        <f ca="1">select!D371</f>
        <v/>
      </c>
      <c r="Z33" s="67"/>
      <c r="AA33" s="67"/>
      <c r="AB33" s="67"/>
      <c r="AC33" s="67"/>
      <c r="AD33" s="67"/>
      <c r="AE33" s="67"/>
      <c r="AF33" s="67"/>
      <c r="AG33" s="67"/>
      <c r="AH33" s="67" t="str">
        <f ca="1">select!E371</f>
        <v/>
      </c>
      <c r="AI33" s="67"/>
      <c r="AJ33" s="67"/>
      <c r="AK33" s="67"/>
      <c r="AL33" s="67"/>
      <c r="AM33" s="67"/>
      <c r="AN33" s="67"/>
      <c r="AO33" s="34"/>
      <c r="AP33" s="34"/>
      <c r="AQ33" s="62"/>
      <c r="AR33" s="155" t="str">
        <f ca="1">select!A371</f>
        <v/>
      </c>
      <c r="AS33" s="162" t="str">
        <f ca="1">select!B371</f>
        <v/>
      </c>
      <c r="AT33" s="156" t="str">
        <f ca="1">select!C371</f>
        <v/>
      </c>
      <c r="AU33" s="157"/>
    </row>
    <row r="34" spans="3:47" ht="15.95" customHeight="1" x14ac:dyDescent="0.25">
      <c r="C34" s="107">
        <f>select!$A$318</f>
        <v>1</v>
      </c>
      <c r="D34" s="108">
        <f>select!$A$318</f>
        <v>1</v>
      </c>
      <c r="E34" s="108">
        <f>select!$A$318</f>
        <v>1</v>
      </c>
      <c r="F34" s="108">
        <f>select!$A$318</f>
        <v>1</v>
      </c>
      <c r="G34" s="108">
        <f>select!$A$318</f>
        <v>1</v>
      </c>
      <c r="H34" s="108">
        <f>select!$A$318</f>
        <v>1</v>
      </c>
      <c r="I34" s="961" t="str">
        <f>"
"&amp;select!B324</f>
        <v xml:space="preserve">
Tiomos 110/37E</v>
      </c>
      <c r="J34" s="961"/>
      <c r="K34" s="961"/>
      <c r="L34" s="961"/>
      <c r="M34" s="961"/>
      <c r="N34" s="962"/>
      <c r="Q34" s="66" t="str">
        <f ca="1">select!F372</f>
        <v/>
      </c>
      <c r="R34" s="67"/>
      <c r="S34" s="67"/>
      <c r="T34" s="67"/>
      <c r="U34" s="67"/>
      <c r="V34" s="67"/>
      <c r="W34" s="67"/>
      <c r="X34" s="67"/>
      <c r="Y34" s="67" t="str">
        <f ca="1">select!D372</f>
        <v/>
      </c>
      <c r="Z34" s="67"/>
      <c r="AA34" s="67"/>
      <c r="AB34" s="67"/>
      <c r="AC34" s="67"/>
      <c r="AD34" s="67"/>
      <c r="AE34" s="67"/>
      <c r="AF34" s="67"/>
      <c r="AG34" s="67"/>
      <c r="AH34" s="67" t="str">
        <f ca="1">select!E372</f>
        <v/>
      </c>
      <c r="AI34" s="67"/>
      <c r="AJ34" s="67"/>
      <c r="AK34" s="67"/>
      <c r="AL34" s="67"/>
      <c r="AM34" s="67"/>
      <c r="AN34" s="67"/>
      <c r="AO34" s="34"/>
      <c r="AP34" s="34"/>
      <c r="AQ34" s="62"/>
      <c r="AR34" s="155" t="str">
        <f ca="1">select!A372</f>
        <v/>
      </c>
      <c r="AS34" s="162" t="str">
        <f ca="1">select!B372</f>
        <v/>
      </c>
      <c r="AT34" s="156" t="str">
        <f ca="1">select!C372</f>
        <v/>
      </c>
      <c r="AU34" s="157"/>
    </row>
    <row r="35" spans="3:47" ht="15.95" customHeight="1" x14ac:dyDescent="0.25">
      <c r="C35" s="109">
        <f>select!$A$318</f>
        <v>1</v>
      </c>
      <c r="D35" s="110">
        <f>select!$A$318</f>
        <v>1</v>
      </c>
      <c r="E35" s="110">
        <f>select!$A$318</f>
        <v>1</v>
      </c>
      <c r="F35" s="110">
        <f>select!$A$318</f>
        <v>1</v>
      </c>
      <c r="G35" s="110">
        <f>select!$A$318</f>
        <v>1</v>
      </c>
      <c r="H35" s="110">
        <f>select!$A$318</f>
        <v>1</v>
      </c>
      <c r="I35" s="963"/>
      <c r="J35" s="963"/>
      <c r="K35" s="963"/>
      <c r="L35" s="963"/>
      <c r="M35" s="963"/>
      <c r="N35" s="964"/>
      <c r="Q35" s="66" t="str">
        <f ca="1">select!F373</f>
        <v/>
      </c>
      <c r="R35" s="67"/>
      <c r="S35" s="67"/>
      <c r="T35" s="67"/>
      <c r="U35" s="67"/>
      <c r="V35" s="67"/>
      <c r="W35" s="67"/>
      <c r="X35" s="67"/>
      <c r="Y35" s="67" t="str">
        <f ca="1">select!D373</f>
        <v/>
      </c>
      <c r="Z35" s="67"/>
      <c r="AA35" s="67"/>
      <c r="AB35" s="67"/>
      <c r="AC35" s="67"/>
      <c r="AD35" s="67"/>
      <c r="AE35" s="67"/>
      <c r="AF35" s="67"/>
      <c r="AG35" s="67"/>
      <c r="AH35" s="67" t="str">
        <f ca="1">select!E373</f>
        <v/>
      </c>
      <c r="AI35" s="67"/>
      <c r="AJ35" s="67"/>
      <c r="AK35" s="67"/>
      <c r="AL35" s="67"/>
      <c r="AM35" s="67"/>
      <c r="AN35" s="67"/>
      <c r="AO35" s="34"/>
      <c r="AP35" s="34"/>
      <c r="AQ35" s="62"/>
      <c r="AR35" s="155" t="str">
        <f ca="1">select!A373</f>
        <v/>
      </c>
      <c r="AS35" s="162" t="str">
        <f ca="1">select!B373</f>
        <v/>
      </c>
      <c r="AT35" s="156" t="str">
        <f ca="1">select!C373</f>
        <v/>
      </c>
      <c r="AU35" s="157"/>
    </row>
    <row r="36" spans="3:47" ht="15.95" customHeight="1" x14ac:dyDescent="0.25">
      <c r="C36" s="109">
        <f>select!$A$318</f>
        <v>1</v>
      </c>
      <c r="D36" s="110">
        <f>select!$A$318</f>
        <v>1</v>
      </c>
      <c r="E36" s="110">
        <f>select!$A$318</f>
        <v>1</v>
      </c>
      <c r="F36" s="110">
        <f>select!$A$318</f>
        <v>1</v>
      </c>
      <c r="G36" s="110">
        <f>select!$A$318</f>
        <v>1</v>
      </c>
      <c r="H36" s="110">
        <f>select!$A$318</f>
        <v>1</v>
      </c>
      <c r="I36" s="963"/>
      <c r="J36" s="963"/>
      <c r="K36" s="963"/>
      <c r="L36" s="963"/>
      <c r="M36" s="963"/>
      <c r="N36" s="964"/>
      <c r="Q36" s="68" t="str">
        <f ca="1">select!F374</f>
        <v/>
      </c>
      <c r="R36" s="69"/>
      <c r="S36" s="69"/>
      <c r="T36" s="69"/>
      <c r="U36" s="69"/>
      <c r="V36" s="69"/>
      <c r="W36" s="69"/>
      <c r="X36" s="69"/>
      <c r="Y36" s="69" t="str">
        <f ca="1">select!D374</f>
        <v/>
      </c>
      <c r="Z36" s="69"/>
      <c r="AA36" s="69"/>
      <c r="AB36" s="69"/>
      <c r="AC36" s="69"/>
      <c r="AD36" s="69"/>
      <c r="AE36" s="69"/>
      <c r="AF36" s="69"/>
      <c r="AG36" s="69"/>
      <c r="AH36" s="69" t="str">
        <f ca="1">select!E374</f>
        <v/>
      </c>
      <c r="AI36" s="69"/>
      <c r="AJ36" s="69"/>
      <c r="AK36" s="69"/>
      <c r="AL36" s="69"/>
      <c r="AM36" s="69"/>
      <c r="AN36" s="69"/>
      <c r="AO36" s="6"/>
      <c r="AP36" s="6"/>
      <c r="AQ36" s="63"/>
      <c r="AR36" s="158" t="str">
        <f ca="1">select!A374</f>
        <v/>
      </c>
      <c r="AS36" s="163" t="str">
        <f ca="1">select!B374</f>
        <v/>
      </c>
      <c r="AT36" s="159" t="str">
        <f ca="1">select!C374</f>
        <v/>
      </c>
      <c r="AU36" s="160"/>
    </row>
    <row r="37" spans="3:47" ht="15.95" customHeight="1" x14ac:dyDescent="0.25">
      <c r="C37" s="109">
        <f>select!$A$318</f>
        <v>1</v>
      </c>
      <c r="D37" s="110">
        <f>select!$A$318</f>
        <v>1</v>
      </c>
      <c r="E37" s="110">
        <f>select!$A$318</f>
        <v>1</v>
      </c>
      <c r="F37" s="110">
        <f>select!$A$318</f>
        <v>1</v>
      </c>
      <c r="G37" s="110">
        <f>select!$A$318</f>
        <v>1</v>
      </c>
      <c r="H37" s="110">
        <f>select!$A$318</f>
        <v>1</v>
      </c>
      <c r="I37" s="963"/>
      <c r="J37" s="963"/>
      <c r="K37" s="963"/>
      <c r="L37" s="963"/>
      <c r="M37" s="963"/>
      <c r="N37" s="964"/>
      <c r="Q37" s="967" t="str">
        <f ca="1">Sprache!A131</f>
        <v>Montageplatte</v>
      </c>
      <c r="R37" s="967"/>
      <c r="S37" s="967"/>
      <c r="T37" s="967"/>
      <c r="U37" s="967"/>
      <c r="V37" s="967"/>
      <c r="W37" s="967"/>
      <c r="X37" s="967"/>
    </row>
    <row r="38" spans="3:47" ht="15.95" customHeight="1" thickBot="1" x14ac:dyDescent="0.3">
      <c r="C38" s="109">
        <f>select!$A$318</f>
        <v>1</v>
      </c>
      <c r="D38" s="110">
        <f>select!$A$318</f>
        <v>1</v>
      </c>
      <c r="E38" s="110">
        <f>select!$A$318</f>
        <v>1</v>
      </c>
      <c r="F38" s="110">
        <f>select!$A$318</f>
        <v>1</v>
      </c>
      <c r="G38" s="110">
        <f>select!$A$318</f>
        <v>1</v>
      </c>
      <c r="H38" s="110">
        <f>select!$A$318</f>
        <v>1</v>
      </c>
      <c r="I38" s="963"/>
      <c r="J38" s="963"/>
      <c r="K38" s="963"/>
      <c r="L38" s="963"/>
      <c r="M38" s="963"/>
      <c r="N38" s="964"/>
      <c r="Q38" s="968"/>
      <c r="R38" s="968"/>
      <c r="S38" s="968"/>
      <c r="T38" s="968"/>
      <c r="U38" s="968"/>
      <c r="V38" s="968"/>
      <c r="W38" s="968"/>
      <c r="X38" s="968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</row>
    <row r="39" spans="3:47" ht="15.95" customHeight="1" x14ac:dyDescent="0.25">
      <c r="C39" s="111">
        <f>select!$A$318</f>
        <v>1</v>
      </c>
      <c r="D39" s="112">
        <f>select!$A$318</f>
        <v>1</v>
      </c>
      <c r="E39" s="112">
        <f>select!$A$318</f>
        <v>1</v>
      </c>
      <c r="F39" s="112">
        <f>select!$A$318</f>
        <v>1</v>
      </c>
      <c r="G39" s="112">
        <f>select!$A$318</f>
        <v>1</v>
      </c>
      <c r="H39" s="112">
        <f>select!$A$318</f>
        <v>1</v>
      </c>
      <c r="I39" s="965"/>
      <c r="J39" s="965"/>
      <c r="K39" s="965"/>
      <c r="L39" s="965"/>
      <c r="M39" s="965"/>
      <c r="N39" s="966"/>
    </row>
    <row r="40" spans="3:47" ht="15.95" customHeight="1" x14ac:dyDescent="0.25">
      <c r="C40" s="107">
        <f>select!$A$318</f>
        <v>1</v>
      </c>
      <c r="D40" s="108">
        <f>select!$A$318</f>
        <v>1</v>
      </c>
      <c r="E40" s="108">
        <f>select!$A$318</f>
        <v>1</v>
      </c>
      <c r="F40" s="108">
        <f>select!$A$318</f>
        <v>1</v>
      </c>
      <c r="G40" s="108">
        <f>select!$A$318</f>
        <v>1</v>
      </c>
      <c r="H40" s="108">
        <f>select!$A$318</f>
        <v>1</v>
      </c>
      <c r="I40" s="961" t="str">
        <f>"
"&amp;select!B325</f>
        <v xml:space="preserve">
Tiomos 110/45A</v>
      </c>
      <c r="J40" s="961"/>
      <c r="K40" s="961"/>
      <c r="L40" s="961"/>
      <c r="M40" s="961"/>
      <c r="N40" s="962"/>
      <c r="Q40" s="58" t="str">
        <f ca="1">Sprache!A133</f>
        <v>Montageplattentyp</v>
      </c>
      <c r="R40" s="58"/>
      <c r="S40" s="58"/>
      <c r="T40" s="58"/>
      <c r="U40" s="58"/>
      <c r="V40" s="58"/>
      <c r="W40" s="58"/>
      <c r="X40" s="58"/>
      <c r="Y40" s="57"/>
      <c r="Z40" s="57"/>
      <c r="AA40" s="57"/>
      <c r="AB40" s="58"/>
      <c r="AC40" s="58"/>
      <c r="AD40" s="58"/>
      <c r="AE40" s="276" t="str">
        <f ca="1">Sprache!A151</f>
        <v xml:space="preserve">Befestigung </v>
      </c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3:47" ht="15.95" customHeight="1" x14ac:dyDescent="0.25">
      <c r="C41" s="109">
        <f>select!$A$318</f>
        <v>1</v>
      </c>
      <c r="D41" s="110">
        <f>select!$A$318</f>
        <v>1</v>
      </c>
      <c r="E41" s="110">
        <f>select!$A$318</f>
        <v>1</v>
      </c>
      <c r="F41" s="110">
        <f>select!$A$318</f>
        <v>1</v>
      </c>
      <c r="G41" s="110">
        <f>select!$A$318</f>
        <v>1</v>
      </c>
      <c r="H41" s="110">
        <f>select!$A$318</f>
        <v>1</v>
      </c>
      <c r="I41" s="963"/>
      <c r="J41" s="963"/>
      <c r="K41" s="963"/>
      <c r="L41" s="963"/>
      <c r="M41" s="963"/>
      <c r="N41" s="964"/>
      <c r="P41" s="738" t="str">
        <f>select!G333</f>
        <v/>
      </c>
      <c r="R41" s="60"/>
      <c r="S41" s="60"/>
      <c r="T41" s="60"/>
      <c r="U41" s="60"/>
      <c r="V41" s="60"/>
      <c r="W41" s="60"/>
      <c r="X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3"/>
    </row>
    <row r="42" spans="3:47" ht="15.95" customHeight="1" x14ac:dyDescent="0.25">
      <c r="C42" s="109">
        <f>select!$A$318</f>
        <v>1</v>
      </c>
      <c r="D42" s="110">
        <f>select!$A$318</f>
        <v>1</v>
      </c>
      <c r="E42" s="110">
        <f>select!$A$318</f>
        <v>1</v>
      </c>
      <c r="F42" s="110">
        <f>select!$A$318</f>
        <v>1</v>
      </c>
      <c r="G42" s="110">
        <f>select!$A$318</f>
        <v>1</v>
      </c>
      <c r="H42" s="110">
        <f>select!$A$318</f>
        <v>1</v>
      </c>
      <c r="I42" s="963"/>
      <c r="J42" s="963"/>
      <c r="K42" s="963"/>
      <c r="L42" s="963"/>
      <c r="M42" s="963"/>
      <c r="N42" s="964"/>
      <c r="X42" s="199"/>
      <c r="Y42" s="200"/>
      <c r="Z42" s="202" t="s">
        <v>1442</v>
      </c>
      <c r="AA42" s="39"/>
      <c r="AB42" s="39"/>
      <c r="AC42" s="39"/>
    </row>
    <row r="43" spans="3:47" ht="15.95" customHeight="1" x14ac:dyDescent="0.25">
      <c r="C43" s="109">
        <f>select!$A$318</f>
        <v>1</v>
      </c>
      <c r="D43" s="110">
        <f>select!$A$318</f>
        <v>1</v>
      </c>
      <c r="E43" s="110">
        <f>select!$A$318</f>
        <v>1</v>
      </c>
      <c r="F43" s="110">
        <f>select!$A$318</f>
        <v>1</v>
      </c>
      <c r="G43" s="110">
        <f>select!$A$318</f>
        <v>1</v>
      </c>
      <c r="H43" s="110">
        <f>select!$A$318</f>
        <v>1</v>
      </c>
      <c r="I43" s="963"/>
      <c r="J43" s="963"/>
      <c r="K43" s="963"/>
      <c r="L43" s="963"/>
      <c r="M43" s="963"/>
      <c r="N43" s="964"/>
      <c r="X43" s="199"/>
      <c r="Y43" s="165" t="s">
        <v>1442</v>
      </c>
      <c r="Z43" s="166"/>
      <c r="AA43" s="222" t="s">
        <v>1442</v>
      </c>
      <c r="AB43" s="167"/>
      <c r="AC43" s="39"/>
      <c r="AJ43" s="365" t="str">
        <f>select!BL363</f>
        <v/>
      </c>
      <c r="AK43" s="709"/>
    </row>
    <row r="44" spans="3:47" ht="15.95" customHeight="1" x14ac:dyDescent="0.25">
      <c r="C44" s="109">
        <f>select!$A$318</f>
        <v>1</v>
      </c>
      <c r="D44" s="110">
        <f>select!$A$318</f>
        <v>1</v>
      </c>
      <c r="E44" s="110">
        <f>select!$A$318</f>
        <v>1</v>
      </c>
      <c r="F44" s="110">
        <f>select!$A$318</f>
        <v>1</v>
      </c>
      <c r="G44" s="110">
        <f>select!$A$318</f>
        <v>1</v>
      </c>
      <c r="H44" s="110">
        <f>select!$A$318</f>
        <v>1</v>
      </c>
      <c r="I44" s="963"/>
      <c r="J44" s="963"/>
      <c r="K44" s="963"/>
      <c r="L44" s="963"/>
      <c r="M44" s="963"/>
      <c r="N44" s="964"/>
      <c r="Q44" s="1007">
        <f ca="1">select!C356</f>
        <v>5</v>
      </c>
      <c r="R44" s="1008"/>
      <c r="S44" s="203" t="str">
        <f ca="1">Sprache!A147</f>
        <v>Möglichkeiten</v>
      </c>
      <c r="X44" s="199"/>
      <c r="Y44" s="201"/>
      <c r="Z44" s="202" t="s">
        <v>1442</v>
      </c>
      <c r="AA44" s="39"/>
      <c r="AB44" s="39"/>
      <c r="AC44" s="39"/>
    </row>
    <row r="45" spans="3:47" ht="15.95" customHeight="1" x14ac:dyDescent="0.25">
      <c r="C45" s="111">
        <f>select!$A$318</f>
        <v>1</v>
      </c>
      <c r="D45" s="112">
        <f>select!$A$318</f>
        <v>1</v>
      </c>
      <c r="E45" s="112">
        <f>select!$A$318</f>
        <v>1</v>
      </c>
      <c r="F45" s="112">
        <f>select!$A$318</f>
        <v>1</v>
      </c>
      <c r="G45" s="112">
        <f>select!$A$318</f>
        <v>1</v>
      </c>
      <c r="H45" s="112">
        <f>select!$A$318</f>
        <v>1</v>
      </c>
      <c r="I45" s="965"/>
      <c r="J45" s="965"/>
      <c r="K45" s="965"/>
      <c r="L45" s="965"/>
      <c r="M45" s="965"/>
      <c r="N45" s="966"/>
      <c r="X45" s="1010" t="str">
        <f ca="1">IF(select!D334=1,"   "&amp;select!K317,select!K317)</f>
        <v xml:space="preserve">   30</v>
      </c>
      <c r="Y45" s="1011"/>
      <c r="Z45" s="202" t="s">
        <v>1443</v>
      </c>
      <c r="AA45" s="39"/>
      <c r="AB45" s="39"/>
      <c r="AC45" s="39"/>
      <c r="AF45" s="735" t="str">
        <f>select!O400</f>
        <v/>
      </c>
    </row>
    <row r="46" spans="3:47" ht="15.95" customHeight="1" x14ac:dyDescent="0.25">
      <c r="C46" s="107">
        <f>select!$A$318</f>
        <v>1</v>
      </c>
      <c r="D46" s="108">
        <f>select!$A$318</f>
        <v>1</v>
      </c>
      <c r="E46" s="108">
        <f>select!$A$318</f>
        <v>1</v>
      </c>
      <c r="F46" s="108">
        <f>select!$A$318</f>
        <v>1</v>
      </c>
      <c r="G46" s="108">
        <f>select!$A$318</f>
        <v>1</v>
      </c>
      <c r="H46" s="108">
        <f>select!$A$318</f>
        <v>1</v>
      </c>
      <c r="I46" s="961" t="str">
        <f>"
"&amp;select!B326</f>
        <v xml:space="preserve">
Tiomos 110/45E</v>
      </c>
      <c r="J46" s="961"/>
      <c r="K46" s="961"/>
      <c r="L46" s="961"/>
      <c r="M46" s="961"/>
      <c r="N46" s="962"/>
      <c r="Q46" s="24" t="str">
        <f>select!I409</f>
        <v>37/32</v>
      </c>
      <c r="X46" s="780" t="str">
        <f ca="1">select!AL453</f>
        <v/>
      </c>
      <c r="AO46" s="1" t="str">
        <f ca="1">Sprache!A163</f>
        <v>Höhe</v>
      </c>
      <c r="AS46" s="84" t="str">
        <f ca="1">Sprache!A150</f>
        <v>Bestellnummer</v>
      </c>
    </row>
    <row r="47" spans="3:47" ht="15.95" customHeight="1" x14ac:dyDescent="0.25">
      <c r="C47" s="109">
        <f>select!$A$318</f>
        <v>1</v>
      </c>
      <c r="D47" s="110">
        <f>select!$A$318</f>
        <v>1</v>
      </c>
      <c r="E47" s="110">
        <f>select!$A$318</f>
        <v>1</v>
      </c>
      <c r="F47" s="110">
        <f>select!$A$318</f>
        <v>1</v>
      </c>
      <c r="G47" s="110">
        <f>select!$A$318</f>
        <v>1</v>
      </c>
      <c r="H47" s="110">
        <f>select!$A$318</f>
        <v>1</v>
      </c>
      <c r="I47" s="963"/>
      <c r="J47" s="963"/>
      <c r="K47" s="963"/>
      <c r="L47" s="963"/>
      <c r="M47" s="963"/>
      <c r="N47" s="964"/>
      <c r="Q47" s="64" t="str">
        <f ca="1">select!J417</f>
        <v>Tiomos Montageplatten</v>
      </c>
      <c r="R47" s="41"/>
      <c r="S47" s="65"/>
      <c r="T47" s="65"/>
      <c r="U47" s="65"/>
      <c r="V47" s="65"/>
      <c r="W47" s="65"/>
      <c r="X47" s="61" t="str">
        <f ca="1">select!I417</f>
        <v>Eco Kreuz Mtg-Platte</v>
      </c>
      <c r="Y47" s="65"/>
      <c r="Z47" s="65"/>
      <c r="AA47" s="65"/>
      <c r="AB47" s="65"/>
      <c r="AC47" s="65"/>
      <c r="AD47" s="65"/>
      <c r="AE47" s="65"/>
      <c r="AF47" s="275" t="str">
        <f ca="1">select!K417</f>
        <v>H-02, ni /37</v>
      </c>
      <c r="AG47" s="863"/>
      <c r="AH47" s="270"/>
      <c r="AI47" s="275"/>
      <c r="AJ47" s="61"/>
      <c r="AK47" s="61"/>
      <c r="AL47" s="61"/>
      <c r="AM47" s="61"/>
      <c r="AN47" s="1009">
        <f ca="1">select!L417</f>
        <v>-2</v>
      </c>
      <c r="AO47" s="1009"/>
      <c r="AP47" s="41"/>
      <c r="AQ47" s="61"/>
      <c r="AR47" s="152" t="str">
        <f ca="1">select!M417</f>
        <v>F058</v>
      </c>
      <c r="AS47" s="161" t="str">
        <f ca="1">select!N417</f>
        <v>139</v>
      </c>
      <c r="AT47" s="153" t="str">
        <f ca="1">select!O417</f>
        <v>720</v>
      </c>
      <c r="AU47" s="54"/>
    </row>
    <row r="48" spans="3:47" ht="15.95" customHeight="1" x14ac:dyDescent="0.25">
      <c r="C48" s="109">
        <f>select!$A$318</f>
        <v>1</v>
      </c>
      <c r="D48" s="110">
        <f>select!$A$318</f>
        <v>1</v>
      </c>
      <c r="E48" s="110">
        <f>select!$A$318</f>
        <v>1</v>
      </c>
      <c r="F48" s="110">
        <f>select!$A$318</f>
        <v>1</v>
      </c>
      <c r="G48" s="110">
        <f>select!$A$318</f>
        <v>1</v>
      </c>
      <c r="H48" s="110">
        <f>select!$A$318</f>
        <v>1</v>
      </c>
      <c r="I48" s="963"/>
      <c r="J48" s="963"/>
      <c r="K48" s="963"/>
      <c r="L48" s="963"/>
      <c r="M48" s="963"/>
      <c r="N48" s="964"/>
      <c r="Q48" s="66" t="str">
        <f ca="1">select!J418</f>
        <v/>
      </c>
      <c r="R48" s="34"/>
      <c r="S48" s="67"/>
      <c r="T48" s="67"/>
      <c r="U48" s="67"/>
      <c r="V48" s="67"/>
      <c r="W48" s="67"/>
      <c r="X48" s="62" t="str">
        <f ca="1">select!I418</f>
        <v/>
      </c>
      <c r="Y48" s="67"/>
      <c r="Z48" s="67"/>
      <c r="AA48" s="67"/>
      <c r="AB48" s="67"/>
      <c r="AC48" s="67"/>
      <c r="AD48" s="67"/>
      <c r="AE48" s="67"/>
      <c r="AF48" s="62" t="str">
        <f ca="1">select!K418</f>
        <v/>
      </c>
      <c r="AG48" s="34"/>
      <c r="AH48" s="34"/>
      <c r="AI48" s="62"/>
      <c r="AJ48" s="62"/>
      <c r="AK48" s="62"/>
      <c r="AL48" s="62"/>
      <c r="AM48" s="62"/>
      <c r="AN48" s="957" t="str">
        <f ca="1">select!L418</f>
        <v/>
      </c>
      <c r="AO48" s="957"/>
      <c r="AP48" s="34"/>
      <c r="AQ48" s="62"/>
      <c r="AR48" s="155" t="str">
        <f ca="1">select!M418</f>
        <v/>
      </c>
      <c r="AS48" s="162" t="str">
        <f ca="1">select!N418</f>
        <v/>
      </c>
      <c r="AT48" s="156" t="str">
        <f ca="1">select!O418</f>
        <v/>
      </c>
      <c r="AU48" s="55"/>
    </row>
    <row r="49" spans="3:47" ht="15.95" customHeight="1" x14ac:dyDescent="0.25">
      <c r="C49" s="109">
        <f>select!$A$318</f>
        <v>1</v>
      </c>
      <c r="D49" s="110">
        <f>select!$A$318</f>
        <v>1</v>
      </c>
      <c r="E49" s="110">
        <f>select!$A$318</f>
        <v>1</v>
      </c>
      <c r="F49" s="110">
        <f>select!$A$318</f>
        <v>1</v>
      </c>
      <c r="G49" s="110">
        <f>select!$A$318</f>
        <v>1</v>
      </c>
      <c r="H49" s="110">
        <f>select!$A$318</f>
        <v>1</v>
      </c>
      <c r="I49" s="963"/>
      <c r="J49" s="963"/>
      <c r="K49" s="963"/>
      <c r="L49" s="963"/>
      <c r="M49" s="963"/>
      <c r="N49" s="964"/>
      <c r="Q49" s="66" t="str">
        <f ca="1">select!J419</f>
        <v/>
      </c>
      <c r="R49" s="34"/>
      <c r="S49" s="67"/>
      <c r="T49" s="67"/>
      <c r="U49" s="67"/>
      <c r="V49" s="67"/>
      <c r="W49" s="67"/>
      <c r="X49" s="62" t="str">
        <f ca="1">select!I419</f>
        <v/>
      </c>
      <c r="Y49" s="67"/>
      <c r="Z49" s="67"/>
      <c r="AA49" s="67"/>
      <c r="AB49" s="67"/>
      <c r="AC49" s="67"/>
      <c r="AD49" s="67"/>
      <c r="AE49" s="67"/>
      <c r="AF49" s="62" t="str">
        <f ca="1">select!K419</f>
        <v/>
      </c>
      <c r="AG49" s="34"/>
      <c r="AH49" s="34"/>
      <c r="AI49" s="62"/>
      <c r="AJ49" s="62"/>
      <c r="AK49" s="62"/>
      <c r="AL49" s="62"/>
      <c r="AM49" s="62"/>
      <c r="AN49" s="957" t="str">
        <f ca="1">select!L419</f>
        <v/>
      </c>
      <c r="AO49" s="957"/>
      <c r="AP49" s="34"/>
      <c r="AQ49" s="62"/>
      <c r="AR49" s="155" t="str">
        <f ca="1">select!M419</f>
        <v/>
      </c>
      <c r="AS49" s="162" t="str">
        <f ca="1">select!N419</f>
        <v/>
      </c>
      <c r="AT49" s="156" t="str">
        <f ca="1">select!O419</f>
        <v/>
      </c>
      <c r="AU49" s="55"/>
    </row>
    <row r="50" spans="3:47" ht="15.95" customHeight="1" x14ac:dyDescent="0.25">
      <c r="C50" s="109">
        <f>select!$A$318</f>
        <v>1</v>
      </c>
      <c r="D50" s="110">
        <f>select!$A$318</f>
        <v>1</v>
      </c>
      <c r="E50" s="110">
        <f>select!$A$318</f>
        <v>1</v>
      </c>
      <c r="F50" s="110">
        <f>select!$A$318</f>
        <v>1</v>
      </c>
      <c r="G50" s="110">
        <f>select!$A$318</f>
        <v>1</v>
      </c>
      <c r="H50" s="110">
        <f>select!$A$318</f>
        <v>1</v>
      </c>
      <c r="I50" s="963"/>
      <c r="J50" s="963"/>
      <c r="K50" s="963"/>
      <c r="L50" s="963"/>
      <c r="M50" s="963"/>
      <c r="N50" s="964"/>
      <c r="Q50" s="66" t="str">
        <f ca="1">select!J420</f>
        <v/>
      </c>
      <c r="R50" s="34"/>
      <c r="S50" s="67"/>
      <c r="T50" s="67"/>
      <c r="U50" s="67"/>
      <c r="V50" s="67"/>
      <c r="W50" s="67"/>
      <c r="X50" s="62" t="str">
        <f ca="1">select!I420</f>
        <v/>
      </c>
      <c r="Y50" s="67"/>
      <c r="Z50" s="67"/>
      <c r="AA50" s="67"/>
      <c r="AB50" s="67"/>
      <c r="AC50" s="67"/>
      <c r="AD50" s="67"/>
      <c r="AE50" s="67"/>
      <c r="AF50" s="62" t="str">
        <f ca="1">select!K420</f>
        <v/>
      </c>
      <c r="AG50" s="34"/>
      <c r="AH50" s="34"/>
      <c r="AI50" s="62"/>
      <c r="AJ50" s="62"/>
      <c r="AK50" s="62"/>
      <c r="AL50" s="62"/>
      <c r="AM50" s="62"/>
      <c r="AN50" s="957" t="str">
        <f ca="1">select!L420</f>
        <v/>
      </c>
      <c r="AO50" s="957"/>
      <c r="AP50" s="34"/>
      <c r="AQ50" s="62"/>
      <c r="AR50" s="155" t="str">
        <f ca="1">select!M420</f>
        <v/>
      </c>
      <c r="AS50" s="162" t="str">
        <f ca="1">select!N420</f>
        <v/>
      </c>
      <c r="AT50" s="156" t="str">
        <f ca="1">select!O420</f>
        <v/>
      </c>
      <c r="AU50" s="55"/>
    </row>
    <row r="51" spans="3:47" ht="15.95" customHeight="1" x14ac:dyDescent="0.25">
      <c r="C51" s="111">
        <f>select!$A$318</f>
        <v>1</v>
      </c>
      <c r="D51" s="112">
        <f>select!$A$318</f>
        <v>1</v>
      </c>
      <c r="E51" s="112">
        <f>select!$A$318</f>
        <v>1</v>
      </c>
      <c r="F51" s="112">
        <f>select!$A$318</f>
        <v>1</v>
      </c>
      <c r="G51" s="112">
        <f>select!$A$318</f>
        <v>1</v>
      </c>
      <c r="H51" s="112">
        <f>select!$A$318</f>
        <v>1</v>
      </c>
      <c r="I51" s="965"/>
      <c r="J51" s="965"/>
      <c r="K51" s="965"/>
      <c r="L51" s="965"/>
      <c r="M51" s="965"/>
      <c r="N51" s="966"/>
      <c r="Q51" s="68" t="str">
        <f ca="1">select!J421</f>
        <v/>
      </c>
      <c r="R51" s="6"/>
      <c r="S51" s="69"/>
      <c r="T51" s="69"/>
      <c r="U51" s="69"/>
      <c r="V51" s="69"/>
      <c r="W51" s="69"/>
      <c r="X51" s="63" t="str">
        <f ca="1">select!I421</f>
        <v/>
      </c>
      <c r="Y51" s="69"/>
      <c r="Z51" s="69"/>
      <c r="AA51" s="69"/>
      <c r="AB51" s="69"/>
      <c r="AC51" s="69"/>
      <c r="AD51" s="69"/>
      <c r="AE51" s="69"/>
      <c r="AF51" s="63" t="str">
        <f ca="1">select!K421</f>
        <v/>
      </c>
      <c r="AG51" s="6"/>
      <c r="AH51" s="6"/>
      <c r="AI51" s="63"/>
      <c r="AJ51" s="63"/>
      <c r="AK51" s="63"/>
      <c r="AL51" s="63"/>
      <c r="AM51" s="63"/>
      <c r="AN51" s="960" t="str">
        <f ca="1">select!L421</f>
        <v/>
      </c>
      <c r="AO51" s="960"/>
      <c r="AP51" s="6"/>
      <c r="AQ51" s="63"/>
      <c r="AR51" s="158" t="str">
        <f ca="1">select!M421</f>
        <v/>
      </c>
      <c r="AS51" s="163" t="str">
        <f ca="1">select!N421</f>
        <v/>
      </c>
      <c r="AT51" s="159" t="str">
        <f ca="1">select!O421</f>
        <v/>
      </c>
      <c r="AU51" s="56"/>
    </row>
    <row r="52" spans="3:47" ht="15.95" customHeight="1" x14ac:dyDescent="0.25">
      <c r="Q52" s="865" t="str">
        <f ca="1">select!R409</f>
        <v>Achtung: Der Verstellbereich ist bei einer Montageplattenhöhe von -2,0 eingeschränkt!</v>
      </c>
    </row>
    <row r="53" spans="3:47" ht="15.95" customHeight="1" x14ac:dyDescent="0.25"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3:47" ht="15.95" customHeight="1" x14ac:dyDescent="0.25"/>
    <row r="55" spans="3:47" ht="15.95" customHeight="1" x14ac:dyDescent="0.25"/>
    <row r="56" spans="3:47" ht="15.95" customHeight="1" x14ac:dyDescent="0.25"/>
    <row r="57" spans="3:47" ht="15.95" customHeight="1" x14ac:dyDescent="0.25"/>
    <row r="58" spans="3:47" ht="15.95" customHeight="1" x14ac:dyDescent="0.25"/>
    <row r="59" spans="3:47" ht="15.95" customHeight="1" x14ac:dyDescent="0.25"/>
    <row r="60" spans="3:47" ht="15.95" customHeight="1" x14ac:dyDescent="0.25"/>
    <row r="61" spans="3:47" ht="15.95" customHeight="1" x14ac:dyDescent="0.25"/>
    <row r="62" spans="3:47" ht="15.95" customHeight="1" x14ac:dyDescent="0.25"/>
    <row r="63" spans="3:47" ht="15.95" customHeight="1" x14ac:dyDescent="0.25"/>
    <row r="64" spans="3:47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</sheetData>
  <sheetProtection password="9438" sheet="1" objects="1" scenarios="1"/>
  <mergeCells count="33">
    <mergeCell ref="AN49:AO49"/>
    <mergeCell ref="AN50:AO50"/>
    <mergeCell ref="AN51:AO51"/>
    <mergeCell ref="Q44:R44"/>
    <mergeCell ref="AN47:AO47"/>
    <mergeCell ref="AN48:AO48"/>
    <mergeCell ref="X45:Y45"/>
    <mergeCell ref="AP10:AU15"/>
    <mergeCell ref="C2:N3"/>
    <mergeCell ref="AD2:AU3"/>
    <mergeCell ref="I28:N33"/>
    <mergeCell ref="I4:N9"/>
    <mergeCell ref="X22:AB24"/>
    <mergeCell ref="Z14:AB15"/>
    <mergeCell ref="AQ29:AT29"/>
    <mergeCell ref="AK29:AM29"/>
    <mergeCell ref="U20:U25"/>
    <mergeCell ref="I34:N39"/>
    <mergeCell ref="I40:N45"/>
    <mergeCell ref="I46:N51"/>
    <mergeCell ref="AD10:AI15"/>
    <mergeCell ref="Q37:X38"/>
    <mergeCell ref="Q20:T20"/>
    <mergeCell ref="Q25:T25"/>
    <mergeCell ref="I10:N15"/>
    <mergeCell ref="I16:N21"/>
    <mergeCell ref="I22:N27"/>
    <mergeCell ref="R4:R10"/>
    <mergeCell ref="Q14:X15"/>
    <mergeCell ref="X20:AB20"/>
    <mergeCell ref="Q21:T24"/>
    <mergeCell ref="Q16:AU17"/>
    <mergeCell ref="AJ10:AO15"/>
  </mergeCells>
  <conditionalFormatting sqref="C4:H9">
    <cfRule type="cellIs" dxfId="128" priority="40" operator="equal">
      <formula>1</formula>
    </cfRule>
  </conditionalFormatting>
  <conditionalFormatting sqref="C10:H15">
    <cfRule type="cellIs" dxfId="127" priority="39" operator="equal">
      <formula>2</formula>
    </cfRule>
  </conditionalFormatting>
  <conditionalFormatting sqref="I4:N9">
    <cfRule type="expression" dxfId="126" priority="38">
      <formula>$C$4=1</formula>
    </cfRule>
  </conditionalFormatting>
  <conditionalFormatting sqref="I10:N15">
    <cfRule type="expression" dxfId="125" priority="37">
      <formula>$C$10=2</formula>
    </cfRule>
  </conditionalFormatting>
  <conditionalFormatting sqref="C16:H21">
    <cfRule type="cellIs" dxfId="124" priority="36" operator="equal">
      <formula>3</formula>
    </cfRule>
  </conditionalFormatting>
  <conditionalFormatting sqref="I16:N21">
    <cfRule type="expression" dxfId="123" priority="35">
      <formula>$C$16=3</formula>
    </cfRule>
  </conditionalFormatting>
  <conditionalFormatting sqref="C22:H27">
    <cfRule type="cellIs" dxfId="122" priority="34" operator="equal">
      <formula>4</formula>
    </cfRule>
  </conditionalFormatting>
  <conditionalFormatting sqref="I22:N27">
    <cfRule type="expression" dxfId="121" priority="33">
      <formula>$C$22=4</formula>
    </cfRule>
  </conditionalFormatting>
  <conditionalFormatting sqref="C28:H33">
    <cfRule type="cellIs" dxfId="120" priority="32" operator="equal">
      <formula>5</formula>
    </cfRule>
  </conditionalFormatting>
  <conditionalFormatting sqref="I28:N33">
    <cfRule type="expression" dxfId="119" priority="31">
      <formula>$C$28=5</formula>
    </cfRule>
  </conditionalFormatting>
  <conditionalFormatting sqref="C34:H39">
    <cfRule type="cellIs" dxfId="118" priority="30" operator="equal">
      <formula>6</formula>
    </cfRule>
  </conditionalFormatting>
  <conditionalFormatting sqref="I34:N39">
    <cfRule type="expression" dxfId="117" priority="29">
      <formula>$C$34=6</formula>
    </cfRule>
  </conditionalFormatting>
  <conditionalFormatting sqref="C40:H45">
    <cfRule type="cellIs" dxfId="116" priority="28" operator="equal">
      <formula>7</formula>
    </cfRule>
  </conditionalFormatting>
  <conditionalFormatting sqref="I40:N45">
    <cfRule type="expression" dxfId="115" priority="27">
      <formula>$C$40=7</formula>
    </cfRule>
  </conditionalFormatting>
  <conditionalFormatting sqref="C46:H51">
    <cfRule type="cellIs" dxfId="114" priority="26" operator="equal">
      <formula>8</formula>
    </cfRule>
  </conditionalFormatting>
  <conditionalFormatting sqref="I46:N51">
    <cfRule type="expression" dxfId="113" priority="25">
      <formula>$C$46=8</formula>
    </cfRule>
  </conditionalFormatting>
  <conditionalFormatting sqref="AD4:AI9">
    <cfRule type="cellIs" dxfId="112" priority="24" operator="equal">
      <formula>9</formula>
    </cfRule>
  </conditionalFormatting>
  <conditionalFormatting sqref="AD10:AI15">
    <cfRule type="expression" dxfId="111" priority="23">
      <formula>$AD$4=9</formula>
    </cfRule>
  </conditionalFormatting>
  <conditionalFormatting sqref="AJ4:AO9">
    <cfRule type="cellIs" dxfId="110" priority="22" operator="equal">
      <formula>10</formula>
    </cfRule>
  </conditionalFormatting>
  <conditionalFormatting sqref="AJ10:AO15">
    <cfRule type="expression" dxfId="109" priority="21">
      <formula>$AJ$4=10</formula>
    </cfRule>
  </conditionalFormatting>
  <conditionalFormatting sqref="AP4:AU9">
    <cfRule type="cellIs" dxfId="108" priority="20" operator="equal">
      <formula>11</formula>
    </cfRule>
  </conditionalFormatting>
  <conditionalFormatting sqref="AP10:AU15">
    <cfRule type="expression" dxfId="107" priority="19">
      <formula>$AP$4=11</formula>
    </cfRule>
  </conditionalFormatting>
  <conditionalFormatting sqref="X22:AB24">
    <cfRule type="cellIs" dxfId="106" priority="14" operator="notEqual">
      <formula>""</formula>
    </cfRule>
  </conditionalFormatting>
  <pageMargins left="0.24" right="0.24" top="0.78740157499999996" bottom="0.78740157499999996" header="0.3" footer="0.3"/>
  <pageSetup paperSize="9" scale="63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42</xdr:col>
                    <xdr:colOff>0</xdr:colOff>
                    <xdr:row>23</xdr:row>
                    <xdr:rowOff>114300</xdr:rowOff>
                  </from>
                  <to>
                    <xdr:col>46</xdr:col>
                    <xdr:colOff>47625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Drop Down 2">
              <controlPr defaultSize="0" autoLine="0" autoPict="0">
                <anchor moveWithCells="1">
                  <from>
                    <xdr:col>29</xdr:col>
                    <xdr:colOff>209550</xdr:colOff>
                    <xdr:row>23</xdr:row>
                    <xdr:rowOff>114300</xdr:rowOff>
                  </from>
                  <to>
                    <xdr:col>34</xdr:col>
                    <xdr:colOff>57150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Drop Down 3">
              <controlPr defaultSize="0" autoLine="0" autoPict="0">
                <anchor moveWithCells="1">
                  <from>
                    <xdr:col>35</xdr:col>
                    <xdr:colOff>57150</xdr:colOff>
                    <xdr:row>40</xdr:row>
                    <xdr:rowOff>152400</xdr:rowOff>
                  </from>
                  <to>
                    <xdr:col>41</xdr:col>
                    <xdr:colOff>133350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Drop Down 4">
              <controlPr defaultSize="0" autoLine="0" autoPict="0">
                <anchor moveWithCells="1">
                  <from>
                    <xdr:col>16</xdr:col>
                    <xdr:colOff>19050</xdr:colOff>
                    <xdr:row>28</xdr:row>
                    <xdr:rowOff>28575</xdr:rowOff>
                  </from>
                  <to>
                    <xdr:col>21</xdr:col>
                    <xdr:colOff>123825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Drop Down 5">
              <controlPr defaultSize="0" autoLine="0" autoPict="0">
                <anchor moveWithCells="1">
                  <from>
                    <xdr:col>15</xdr:col>
                    <xdr:colOff>209550</xdr:colOff>
                    <xdr:row>40</xdr:row>
                    <xdr:rowOff>180975</xdr:rowOff>
                  </from>
                  <to>
                    <xdr:col>22</xdr:col>
                    <xdr:colOff>76200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9" name="Drop Down 11">
              <controlPr defaultSize="0" autoLine="0" autoPict="0">
                <anchor moveWithCells="1">
                  <from>
                    <xdr:col>35</xdr:col>
                    <xdr:colOff>47625</xdr:colOff>
                    <xdr:row>42</xdr:row>
                    <xdr:rowOff>190500</xdr:rowOff>
                  </from>
                  <to>
                    <xdr:col>44</xdr:col>
                    <xdr:colOff>209550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0" name="Drop Down 13">
              <controlPr defaultSize="0" autoLine="0" autoPict="0">
                <anchor moveWithCells="1">
                  <from>
                    <xdr:col>27</xdr:col>
                    <xdr:colOff>0</xdr:colOff>
                    <xdr:row>28</xdr:row>
                    <xdr:rowOff>19050</xdr:rowOff>
                  </from>
                  <to>
                    <xdr:col>33</xdr:col>
                    <xdr:colOff>209550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1" name="List Box 14">
              <controlPr defaultSize="0" autoLine="0" autoPict="0">
                <anchor moveWithCells="1">
                  <from>
                    <xdr:col>31</xdr:col>
                    <xdr:colOff>47625</xdr:colOff>
                    <xdr:row>40</xdr:row>
                    <xdr:rowOff>142875</xdr:rowOff>
                  </from>
                  <to>
                    <xdr:col>35</xdr:col>
                    <xdr:colOff>9525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2" name="List Box 15">
              <controlPr defaultSize="0" autoLine="0" autoPict="0">
                <anchor moveWithCells="1">
                  <from>
                    <xdr:col>18</xdr:col>
                    <xdr:colOff>114300</xdr:colOff>
                    <xdr:row>2</xdr:row>
                    <xdr:rowOff>161925</xdr:rowOff>
                  </from>
                  <to>
                    <xdr:col>23</xdr:col>
                    <xdr:colOff>104775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13" name="Option Button 17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114300</xdr:rowOff>
                  </from>
                  <to>
                    <xdr:col>11</xdr:col>
                    <xdr:colOff>114300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14" name="Option Button 21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114300</xdr:rowOff>
                  </from>
                  <to>
                    <xdr:col>11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15" name="Option Button 22">
              <controlPr defaultSize="0" autoFill="0" autoLine="0" autoPict="0">
                <anchor moveWithCells="1">
                  <from>
                    <xdr:col>10</xdr:col>
                    <xdr:colOff>104775</xdr:colOff>
                    <xdr:row>17</xdr:row>
                    <xdr:rowOff>114300</xdr:rowOff>
                  </from>
                  <to>
                    <xdr:col>11</xdr:col>
                    <xdr:colOff>114300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16" name="Option Button 23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114300</xdr:rowOff>
                  </from>
                  <to>
                    <xdr:col>11</xdr:col>
                    <xdr:colOff>114300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17" name="Option Button 25">
              <controlPr defaultSize="0" autoFill="0" autoLine="0" autoPict="0">
                <anchor moveWithCells="1">
                  <from>
                    <xdr:col>10</xdr:col>
                    <xdr:colOff>104775</xdr:colOff>
                    <xdr:row>29</xdr:row>
                    <xdr:rowOff>114300</xdr:rowOff>
                  </from>
                  <to>
                    <xdr:col>11</xdr:col>
                    <xdr:colOff>114300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18" name="Option Button 26">
              <controlPr defaultSize="0" autoFill="0" autoLine="0" autoPict="0">
                <anchor moveWithCells="1">
                  <from>
                    <xdr:col>10</xdr:col>
                    <xdr:colOff>104775</xdr:colOff>
                    <xdr:row>35</xdr:row>
                    <xdr:rowOff>114300</xdr:rowOff>
                  </from>
                  <to>
                    <xdr:col>11</xdr:col>
                    <xdr:colOff>114300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19" name="Option Button 27">
              <controlPr defaultSize="0" autoFill="0" autoLine="0" autoPict="0">
                <anchor moveWithCells="1">
                  <from>
                    <xdr:col>10</xdr:col>
                    <xdr:colOff>104775</xdr:colOff>
                    <xdr:row>41</xdr:row>
                    <xdr:rowOff>114300</xdr:rowOff>
                  </from>
                  <to>
                    <xdr:col>11</xdr:col>
                    <xdr:colOff>114300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20" name="Option Button 28">
              <controlPr defaultSize="0" autoFill="0" autoLine="0" autoPict="0">
                <anchor moveWithCells="1">
                  <from>
                    <xdr:col>10</xdr:col>
                    <xdr:colOff>104775</xdr:colOff>
                    <xdr:row>47</xdr:row>
                    <xdr:rowOff>114300</xdr:rowOff>
                  </from>
                  <to>
                    <xdr:col>11</xdr:col>
                    <xdr:colOff>114300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21" name="Option Button 29">
              <controlPr defaultSize="0" autoFill="0" autoLine="0" autoPict="0">
                <anchor moveWithCells="1">
                  <from>
                    <xdr:col>31</xdr:col>
                    <xdr:colOff>104775</xdr:colOff>
                    <xdr:row>11</xdr:row>
                    <xdr:rowOff>114300</xdr:rowOff>
                  </from>
                  <to>
                    <xdr:col>32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22" name="Option Button 31">
              <controlPr defaultSize="0" autoFill="0" autoLine="0" autoPict="0">
                <anchor moveWithCells="1">
                  <from>
                    <xdr:col>37</xdr:col>
                    <xdr:colOff>104775</xdr:colOff>
                    <xdr:row>11</xdr:row>
                    <xdr:rowOff>114300</xdr:rowOff>
                  </from>
                  <to>
                    <xdr:col>38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23" name="Option Button 32">
              <controlPr defaultSize="0" autoFill="0" autoLine="0" autoPict="0">
                <anchor moveWithCells="1">
                  <from>
                    <xdr:col>43</xdr:col>
                    <xdr:colOff>104775</xdr:colOff>
                    <xdr:row>11</xdr:row>
                    <xdr:rowOff>114300</xdr:rowOff>
                  </from>
                  <to>
                    <xdr:col>44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6" r:id="rId24" name="Scroll Bar 70">
              <controlPr locked="0" defaultSize="0" autoPict="0">
                <anchor moveWithCells="1">
                  <from>
                    <xdr:col>20</xdr:col>
                    <xdr:colOff>9525</xdr:colOff>
                    <xdr:row>19</xdr:row>
                    <xdr:rowOff>9525</xdr:rowOff>
                  </from>
                  <to>
                    <xdr:col>20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8" r:id="rId25" name="List Box 72">
              <controlPr defaultSize="0" autoLine="0" autoPict="0">
                <anchor moveWithCells="1">
                  <from>
                    <xdr:col>36</xdr:col>
                    <xdr:colOff>47625</xdr:colOff>
                    <xdr:row>18</xdr:row>
                    <xdr:rowOff>200025</xdr:rowOff>
                  </from>
                  <to>
                    <xdr:col>40</xdr:col>
                    <xdr:colOff>19050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9" r:id="rId26" name="Spinner 73">
              <controlPr defaultSize="0" autoPict="0">
                <anchor moveWithCells="1" sizeWithCells="1">
                  <from>
                    <xdr:col>39</xdr:col>
                    <xdr:colOff>19050</xdr:colOff>
                    <xdr:row>27</xdr:row>
                    <xdr:rowOff>171450</xdr:rowOff>
                  </from>
                  <to>
                    <xdr:col>39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2213F1-527A-4E57-9C4D-01646105FF67}">
            <xm:f>select!$G$317=1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Q20:T20</xm:sqref>
        </x14:conditionalFormatting>
        <x14:conditionalFormatting xmlns:xm="http://schemas.microsoft.com/office/excel/2006/main">
          <x14:cfRule type="expression" priority="17" id="{9F488DCE-F0F4-4FB8-8E57-6D37A56EC528}">
            <xm:f>select!$G$317=1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Q25:T25</xm:sqref>
        </x14:conditionalFormatting>
        <x14:conditionalFormatting xmlns:xm="http://schemas.microsoft.com/office/excel/2006/main">
          <x14:cfRule type="expression" priority="13" id="{BD0A7534-4B14-4943-A3CD-221B70AC3A8C}">
            <xm:f>select!$D$334=1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vertical/>
                <horizontal/>
              </border>
            </x14:dxf>
          </x14:cfRule>
          <xm:sqref>Z42</xm:sqref>
        </x14:conditionalFormatting>
        <x14:conditionalFormatting xmlns:xm="http://schemas.microsoft.com/office/excel/2006/main">
          <x14:cfRule type="expression" priority="12" id="{D7160301-1A22-4A05-9DAE-254F0D117E71}">
            <xm:f>select!$D$334=1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Z44</xm:sqref>
        </x14:conditionalFormatting>
        <x14:conditionalFormatting xmlns:xm="http://schemas.microsoft.com/office/excel/2006/main">
          <x14:cfRule type="expression" priority="11" id="{061E0265-14E3-4F03-84B2-0025588872F9}">
            <xm:f>select!$D$334=1</xm:f>
            <x14:dxf>
              <font>
                <color theme="1"/>
              </font>
              <border>
                <left/>
                <right/>
                <bottom/>
              </border>
            </x14:dxf>
          </x14:cfRule>
          <xm:sqref>Z45</xm:sqref>
        </x14:conditionalFormatting>
        <x14:conditionalFormatting xmlns:xm="http://schemas.microsoft.com/office/excel/2006/main">
          <x14:cfRule type="expression" priority="10" id="{02EA25CA-E29B-4044-8460-7BE00DF036BD}">
            <xm:f>select!$D$334=1</xm:f>
            <x14:dxf>
              <font>
                <color theme="0" tint="-0.34998626667073579"/>
              </font>
            </x14:dxf>
          </x14:cfRule>
          <xm:sqref>Y43</xm:sqref>
        </x14:conditionalFormatting>
        <x14:conditionalFormatting xmlns:xm="http://schemas.microsoft.com/office/excel/2006/main">
          <x14:cfRule type="expression" priority="9" id="{A47F55F5-11DB-4F03-8737-6C14C56C6342}">
            <xm:f>select!$D$334=1</xm:f>
            <x14:dxf>
              <font>
                <color theme="0" tint="-0.34998626667073579"/>
              </font>
            </x14:dxf>
          </x14:cfRule>
          <xm:sqref>AA43</xm:sqref>
        </x14:conditionalFormatting>
        <x14:conditionalFormatting xmlns:xm="http://schemas.microsoft.com/office/excel/2006/main">
          <x14:cfRule type="expression" priority="5" id="{E1A18E27-2840-4487-A4BD-1B5B4F19AEB7}">
            <xm:f>select!$S$317=1</xm:f>
            <x14:dxf>
              <font>
                <b/>
                <i val="0"/>
                <color rgb="FF008228"/>
              </font>
            </x14:dxf>
          </x14:cfRule>
          <x14:cfRule type="expression" priority="8" id="{92CD1D3C-21EF-4DF6-AC71-869262BBE40A}">
            <xm:f>select!$G$317=1</xm:f>
            <x14:dxf>
              <font>
                <color theme="0"/>
              </font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Q21:T24</xm:sqref>
        </x14:conditionalFormatting>
        <x14:conditionalFormatting xmlns:xm="http://schemas.microsoft.com/office/excel/2006/main">
          <x14:cfRule type="expression" priority="6" id="{CC4E552F-F13A-422C-8F87-AF1842D74A98}">
            <xm:f>select!$G$317=1</xm:f>
            <x14:dxf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U20:U25</xm:sqref>
        </x14:conditionalFormatting>
        <x14:conditionalFormatting xmlns:xm="http://schemas.microsoft.com/office/excel/2006/main">
          <x14:cfRule type="cellIs" priority="47" operator="equal" id="{71D13220-24BE-4CAF-B896-6B5791186112}">
            <xm:f>Sprache!$A$38</xm:f>
            <x14:dxf>
              <font>
                <color theme="0" tint="-0.34998626667073579"/>
              </font>
            </x14:dxf>
          </x14:cfRule>
          <xm:sqref>Y32:Y36</xm:sqref>
        </x14:conditionalFormatting>
        <x14:conditionalFormatting xmlns:xm="http://schemas.microsoft.com/office/excel/2006/main">
          <x14:cfRule type="cellIs" priority="55" operator="equal" id="{C1F16847-E28C-4C58-86FA-5BB4BB3E8C14}">
            <xm:f>Sprache!$A$56</xm:f>
            <x14:dxf>
              <font>
                <color theme="0" tint="-0.34998626667073579"/>
              </font>
            </x14:dxf>
          </x14:cfRule>
          <xm:sqref>Q47:Q51 X47:X51 Q32:Q36</xm:sqref>
        </x14:conditionalFormatting>
        <x14:conditionalFormatting xmlns:xm="http://schemas.microsoft.com/office/excel/2006/main">
          <x14:cfRule type="expression" priority="4" id="{A19EDC2D-049C-4458-875A-3E63CF661173}">
            <xm:f>select!$P$317=0</xm:f>
            <x14:dxf>
              <font>
                <color rgb="FF92D050"/>
              </font>
            </x14:dxf>
          </x14:cfRule>
          <xm:sqref>AK27</xm:sqref>
        </x14:conditionalFormatting>
        <x14:conditionalFormatting xmlns:xm="http://schemas.microsoft.com/office/excel/2006/main">
          <x14:cfRule type="expression" priority="3" id="{0FA9BD92-75AF-4A4F-B539-10FECC4D2557}">
            <xm:f>$Q$18=Sprache!$A$56</xm:f>
            <x14:dxf>
              <font>
                <color rgb="FF92D050"/>
              </font>
            </x14:dxf>
          </x14:cfRule>
          <xm:sqref>Q18</xm:sqref>
        </x14:conditionalFormatting>
        <x14:conditionalFormatting xmlns:xm="http://schemas.microsoft.com/office/excel/2006/main">
          <x14:cfRule type="expression" priority="1" id="{6EA70804-321C-4AB7-9B3B-0E740305C56F}">
            <xm:f>select!$P$317=0</xm:f>
            <x14:dxf>
              <border>
                <left style="thin">
                  <color theme="0" tint="-0.14996795556505021"/>
                </left>
                <right style="thin">
                  <color theme="0" tint="-0.499984740745262"/>
                </right>
                <top style="thin">
                  <color theme="0" tint="-0.14996795556505021"/>
                </top>
                <bottom style="thin">
                  <color theme="0" tint="-0.499984740745262"/>
                </bottom>
                <vertical/>
                <horizontal/>
              </border>
            </x14:dxf>
          </x14:cfRule>
          <xm:sqref>AK29:AM29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tabColor theme="0" tint="-0.499984740745262"/>
    <pageSetUpPr fitToPage="1"/>
  </sheetPr>
  <dimension ref="C2:AF58"/>
  <sheetViews>
    <sheetView showGridLines="0" showRowColHeaders="0" zoomScaleNormal="100" workbookViewId="0">
      <selection activeCell="E6" sqref="E6"/>
    </sheetView>
  </sheetViews>
  <sheetFormatPr baseColWidth="10" defaultRowHeight="15" x14ac:dyDescent="0.25"/>
  <cols>
    <col min="1" max="1" width="3.42578125" customWidth="1"/>
    <col min="2" max="28" width="3.28515625" customWidth="1"/>
    <col min="29" max="29" width="3.140625" customWidth="1"/>
    <col min="30" max="30" width="3.7109375" customWidth="1"/>
    <col min="31" max="51" width="3.28515625" customWidth="1"/>
  </cols>
  <sheetData>
    <row r="2" spans="3:32" ht="15.95" customHeight="1" x14ac:dyDescent="0.35">
      <c r="C2" s="967" t="str">
        <f ca="1">Sprache!A95&amp;" "&amp;select!A833</f>
        <v xml:space="preserve">Alu-/Glas- &amp; Spiegelscharnier </v>
      </c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272"/>
      <c r="AB2" s="272"/>
      <c r="AC2" s="959" t="str">
        <f ca="1">Sprache!A53</f>
        <v>zurück</v>
      </c>
      <c r="AD2" s="959"/>
      <c r="AE2" s="959"/>
      <c r="AF2" s="959"/>
    </row>
    <row r="3" spans="3:32" ht="15.95" customHeight="1" thickBot="1" x14ac:dyDescent="0.4"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273"/>
      <c r="AB3" s="272"/>
      <c r="AC3" s="959"/>
      <c r="AD3" s="959"/>
      <c r="AE3" s="959"/>
      <c r="AF3" s="959"/>
    </row>
    <row r="4" spans="3:32" ht="15.95" customHeight="1" x14ac:dyDescent="0.25"/>
    <row r="5" spans="3:32" ht="15.95" customHeight="1" x14ac:dyDescent="0.25">
      <c r="C5" s="107">
        <f>select!$A$981</f>
        <v>1</v>
      </c>
      <c r="D5" s="108">
        <f>select!$A$981</f>
        <v>1</v>
      </c>
      <c r="E5" s="108">
        <f>select!$A$981</f>
        <v>1</v>
      </c>
      <c r="F5" s="108">
        <f>select!$A$981</f>
        <v>1</v>
      </c>
      <c r="G5" s="108">
        <f>select!$A$981</f>
        <v>1</v>
      </c>
      <c r="H5" s="113">
        <f>select!$A$981</f>
        <v>1</v>
      </c>
      <c r="K5" s="107">
        <f>select!$A$981</f>
        <v>1</v>
      </c>
      <c r="L5" s="108">
        <f>select!$A$981</f>
        <v>1</v>
      </c>
      <c r="M5" s="108">
        <f>select!$A$981</f>
        <v>1</v>
      </c>
      <c r="N5" s="108">
        <f>select!$A$981</f>
        <v>1</v>
      </c>
      <c r="O5" s="108">
        <f>select!$A$981</f>
        <v>1</v>
      </c>
      <c r="P5" s="113">
        <f>select!$A$981</f>
        <v>1</v>
      </c>
      <c r="S5" s="107">
        <f>select!$A$981</f>
        <v>1</v>
      </c>
      <c r="T5" s="108">
        <f>select!$A$981</f>
        <v>1</v>
      </c>
      <c r="U5" s="108">
        <f>select!$A$981</f>
        <v>1</v>
      </c>
      <c r="V5" s="108">
        <f>select!$A$981</f>
        <v>1</v>
      </c>
      <c r="W5" s="108">
        <f>select!$A$981</f>
        <v>1</v>
      </c>
      <c r="X5" s="113">
        <f>select!$A$981</f>
        <v>1</v>
      </c>
      <c r="AA5" s="107">
        <f>select!$A$981</f>
        <v>1</v>
      </c>
      <c r="AB5" s="108">
        <f>select!$A$981</f>
        <v>1</v>
      </c>
      <c r="AC5" s="108">
        <f>select!$A$981</f>
        <v>1</v>
      </c>
      <c r="AD5" s="108">
        <f>select!$A$981</f>
        <v>1</v>
      </c>
      <c r="AE5" s="108">
        <f>select!$A$981</f>
        <v>1</v>
      </c>
      <c r="AF5" s="113">
        <f>select!$A$981</f>
        <v>1</v>
      </c>
    </row>
    <row r="6" spans="3:32" ht="15.95" customHeight="1" x14ac:dyDescent="0.25">
      <c r="C6" s="109">
        <f>select!$A$981</f>
        <v>1</v>
      </c>
      <c r="D6" s="110">
        <f>select!$A$981</f>
        <v>1</v>
      </c>
      <c r="E6" s="110">
        <f>select!$A$981</f>
        <v>1</v>
      </c>
      <c r="F6" s="110">
        <f>select!$A$981</f>
        <v>1</v>
      </c>
      <c r="G6" s="110">
        <f>select!$A$981</f>
        <v>1</v>
      </c>
      <c r="H6" s="114">
        <f>select!$A$981</f>
        <v>1</v>
      </c>
      <c r="K6" s="109">
        <f>select!$A$981</f>
        <v>1</v>
      </c>
      <c r="L6" s="110">
        <f>select!$A$981</f>
        <v>1</v>
      </c>
      <c r="M6" s="110">
        <f>select!$A$981</f>
        <v>1</v>
      </c>
      <c r="N6" s="110">
        <f>select!$A$981</f>
        <v>1</v>
      </c>
      <c r="O6" s="110">
        <f>select!$A$981</f>
        <v>1</v>
      </c>
      <c r="P6" s="114">
        <f>select!$A$981</f>
        <v>1</v>
      </c>
      <c r="S6" s="109">
        <f>select!$A$981</f>
        <v>1</v>
      </c>
      <c r="T6" s="110">
        <f>select!$A$981</f>
        <v>1</v>
      </c>
      <c r="U6" s="110">
        <f>select!$A$981</f>
        <v>1</v>
      </c>
      <c r="V6" s="110">
        <f>select!$A$981</f>
        <v>1</v>
      </c>
      <c r="W6" s="110">
        <f>select!$A$981</f>
        <v>1</v>
      </c>
      <c r="X6" s="114">
        <f>select!$A$981</f>
        <v>1</v>
      </c>
      <c r="AA6" s="109">
        <f>select!$A$981</f>
        <v>1</v>
      </c>
      <c r="AB6" s="110">
        <f>select!$A$981</f>
        <v>1</v>
      </c>
      <c r="AC6" s="110">
        <f>select!$A$981</f>
        <v>1</v>
      </c>
      <c r="AD6" s="110">
        <f>select!$A$981</f>
        <v>1</v>
      </c>
      <c r="AE6" s="110">
        <f>select!$A$981</f>
        <v>1</v>
      </c>
      <c r="AF6" s="114">
        <f>select!$A$981</f>
        <v>1</v>
      </c>
    </row>
    <row r="7" spans="3:32" ht="15.95" customHeight="1" x14ac:dyDescent="0.25">
      <c r="C7" s="109">
        <f>select!$A$981</f>
        <v>1</v>
      </c>
      <c r="D7" s="110">
        <f>select!$A$981</f>
        <v>1</v>
      </c>
      <c r="E7" s="110">
        <f>select!$A$981</f>
        <v>1</v>
      </c>
      <c r="F7" s="110">
        <f>select!$A$981</f>
        <v>1</v>
      </c>
      <c r="G7" s="110">
        <f>select!$A$981</f>
        <v>1</v>
      </c>
      <c r="H7" s="114">
        <f>select!$A$981</f>
        <v>1</v>
      </c>
      <c r="K7" s="109">
        <f>select!$A$981</f>
        <v>1</v>
      </c>
      <c r="L7" s="110">
        <f>select!$A$981</f>
        <v>1</v>
      </c>
      <c r="M7" s="110">
        <f>select!$A$981</f>
        <v>1</v>
      </c>
      <c r="N7" s="110">
        <f>select!$A$981</f>
        <v>1</v>
      </c>
      <c r="O7" s="110">
        <f>select!$A$981</f>
        <v>1</v>
      </c>
      <c r="P7" s="114">
        <f>select!$A$981</f>
        <v>1</v>
      </c>
      <c r="S7" s="109">
        <f>select!$A$981</f>
        <v>1</v>
      </c>
      <c r="T7" s="110">
        <f>select!$A$981</f>
        <v>1</v>
      </c>
      <c r="U7" s="110">
        <f>select!$A$981</f>
        <v>1</v>
      </c>
      <c r="V7" s="110">
        <f>select!$A$981</f>
        <v>1</v>
      </c>
      <c r="W7" s="110">
        <f>select!$A$981</f>
        <v>1</v>
      </c>
      <c r="X7" s="114">
        <f>select!$A$981</f>
        <v>1</v>
      </c>
      <c r="AA7" s="109">
        <f>select!$A$981</f>
        <v>1</v>
      </c>
      <c r="AB7" s="110">
        <f>select!$A$981</f>
        <v>1</v>
      </c>
      <c r="AC7" s="110">
        <f>select!$A$981</f>
        <v>1</v>
      </c>
      <c r="AD7" s="110">
        <f>select!$A$981</f>
        <v>1</v>
      </c>
      <c r="AE7" s="110">
        <f>select!$A$981</f>
        <v>1</v>
      </c>
      <c r="AF7" s="114">
        <f>select!$A$981</f>
        <v>1</v>
      </c>
    </row>
    <row r="8" spans="3:32" ht="15.95" customHeight="1" x14ac:dyDescent="0.25">
      <c r="C8" s="109">
        <f>select!$A$981</f>
        <v>1</v>
      </c>
      <c r="D8" s="110">
        <f>select!$A$981</f>
        <v>1</v>
      </c>
      <c r="E8" s="110">
        <f>select!$A$981</f>
        <v>1</v>
      </c>
      <c r="F8" s="110">
        <f>select!$A$981</f>
        <v>1</v>
      </c>
      <c r="G8" s="110">
        <f>select!$A$981</f>
        <v>1</v>
      </c>
      <c r="H8" s="114">
        <f>select!$A$981</f>
        <v>1</v>
      </c>
      <c r="K8" s="109">
        <f>select!$A$981</f>
        <v>1</v>
      </c>
      <c r="L8" s="110">
        <f>select!$A$981</f>
        <v>1</v>
      </c>
      <c r="M8" s="110">
        <f>select!$A$981</f>
        <v>1</v>
      </c>
      <c r="N8" s="110">
        <f>select!$A$981</f>
        <v>1</v>
      </c>
      <c r="O8" s="110">
        <f>select!$A$981</f>
        <v>1</v>
      </c>
      <c r="P8" s="114">
        <f>select!$A$981</f>
        <v>1</v>
      </c>
      <c r="S8" s="109">
        <f>select!$A$981</f>
        <v>1</v>
      </c>
      <c r="T8" s="110">
        <f>select!$A$981</f>
        <v>1</v>
      </c>
      <c r="U8" s="110">
        <f>select!$A$981</f>
        <v>1</v>
      </c>
      <c r="V8" s="110">
        <f>select!$A$981</f>
        <v>1</v>
      </c>
      <c r="W8" s="110">
        <f>select!$A$981</f>
        <v>1</v>
      </c>
      <c r="X8" s="114">
        <f>select!$A$981</f>
        <v>1</v>
      </c>
      <c r="AA8" s="109">
        <f>select!$A$981</f>
        <v>1</v>
      </c>
      <c r="AB8" s="110">
        <f>select!$A$981</f>
        <v>1</v>
      </c>
      <c r="AC8" s="110">
        <f>select!$A$981</f>
        <v>1</v>
      </c>
      <c r="AD8" s="110">
        <f>select!$A$981</f>
        <v>1</v>
      </c>
      <c r="AE8" s="110">
        <f>select!$A$981</f>
        <v>1</v>
      </c>
      <c r="AF8" s="114">
        <f>select!$A$981</f>
        <v>1</v>
      </c>
    </row>
    <row r="9" spans="3:32" ht="15.95" customHeight="1" x14ac:dyDescent="0.25">
      <c r="C9" s="109">
        <f>select!$A$981</f>
        <v>1</v>
      </c>
      <c r="D9" s="110">
        <f>select!$A$981</f>
        <v>1</v>
      </c>
      <c r="E9" s="110">
        <f>select!$A$981</f>
        <v>1</v>
      </c>
      <c r="F9" s="110">
        <f>select!$A$981</f>
        <v>1</v>
      </c>
      <c r="G9" s="110">
        <f>select!$A$981</f>
        <v>1</v>
      </c>
      <c r="H9" s="114">
        <f>select!$A$981</f>
        <v>1</v>
      </c>
      <c r="K9" s="109">
        <f>select!$A$981</f>
        <v>1</v>
      </c>
      <c r="L9" s="110">
        <f>select!$A$981</f>
        <v>1</v>
      </c>
      <c r="M9" s="110">
        <f>select!$A$981</f>
        <v>1</v>
      </c>
      <c r="N9" s="110">
        <f>select!$A$981</f>
        <v>1</v>
      </c>
      <c r="O9" s="110">
        <f>select!$A$981</f>
        <v>1</v>
      </c>
      <c r="P9" s="114">
        <f>select!$A$981</f>
        <v>1</v>
      </c>
      <c r="S9" s="109">
        <f>select!$A$981</f>
        <v>1</v>
      </c>
      <c r="T9" s="110">
        <f>select!$A$981</f>
        <v>1</v>
      </c>
      <c r="U9" s="110">
        <f>select!$A$981</f>
        <v>1</v>
      </c>
      <c r="V9" s="110">
        <f>select!$A$981</f>
        <v>1</v>
      </c>
      <c r="W9" s="110">
        <f>select!$A$981</f>
        <v>1</v>
      </c>
      <c r="X9" s="114">
        <f>select!$A$981</f>
        <v>1</v>
      </c>
      <c r="AA9" s="109">
        <f>select!$A$981</f>
        <v>1</v>
      </c>
      <c r="AB9" s="110">
        <f>select!$A$981</f>
        <v>1</v>
      </c>
      <c r="AC9" s="110">
        <f>select!$A$981</f>
        <v>1</v>
      </c>
      <c r="AD9" s="110">
        <f>select!$A$981</f>
        <v>1</v>
      </c>
      <c r="AE9" s="110">
        <f>select!$A$981</f>
        <v>1</v>
      </c>
      <c r="AF9" s="114">
        <f>select!$A$981</f>
        <v>1</v>
      </c>
    </row>
    <row r="10" spans="3:32" ht="15.95" customHeight="1" x14ac:dyDescent="0.25">
      <c r="C10" s="109">
        <f>select!$A$981</f>
        <v>1</v>
      </c>
      <c r="D10" s="110">
        <f>select!$A$981</f>
        <v>1</v>
      </c>
      <c r="E10" s="110">
        <f>select!$A$981</f>
        <v>1</v>
      </c>
      <c r="F10" s="110">
        <f>select!$A$981</f>
        <v>1</v>
      </c>
      <c r="G10" s="110">
        <f>select!$A$981</f>
        <v>1</v>
      </c>
      <c r="H10" s="114">
        <f>select!$A$981</f>
        <v>1</v>
      </c>
      <c r="K10" s="109">
        <f>select!$A$981</f>
        <v>1</v>
      </c>
      <c r="L10" s="110">
        <f>select!$A$981</f>
        <v>1</v>
      </c>
      <c r="M10" s="110">
        <f>select!$A$981</f>
        <v>1</v>
      </c>
      <c r="N10" s="110">
        <f>select!$A$981</f>
        <v>1</v>
      </c>
      <c r="O10" s="110">
        <f>select!$A$981</f>
        <v>1</v>
      </c>
      <c r="P10" s="114">
        <f>select!$A$981</f>
        <v>1</v>
      </c>
      <c r="S10" s="109">
        <f>select!$A$981</f>
        <v>1</v>
      </c>
      <c r="T10" s="110">
        <f>select!$A$981</f>
        <v>1</v>
      </c>
      <c r="U10" s="110">
        <f>select!$A$981</f>
        <v>1</v>
      </c>
      <c r="V10" s="110">
        <f>select!$A$981</f>
        <v>1</v>
      </c>
      <c r="W10" s="110">
        <f>select!$A$981</f>
        <v>1</v>
      </c>
      <c r="X10" s="114">
        <f>select!$A$981</f>
        <v>1</v>
      </c>
      <c r="AA10" s="109">
        <f>select!$A$981</f>
        <v>1</v>
      </c>
      <c r="AB10" s="110">
        <f>select!$A$981</f>
        <v>1</v>
      </c>
      <c r="AC10" s="110">
        <f>select!$A$981</f>
        <v>1</v>
      </c>
      <c r="AD10" s="110">
        <f>select!$A$981</f>
        <v>1</v>
      </c>
      <c r="AE10" s="110">
        <f>select!$A$981</f>
        <v>1</v>
      </c>
      <c r="AF10" s="114">
        <f>select!$A$981</f>
        <v>1</v>
      </c>
    </row>
    <row r="11" spans="3:32" ht="15.95" customHeight="1" x14ac:dyDescent="0.25">
      <c r="C11" s="944" t="str">
        <f>"
Tiomos 95 GL  Mini"</f>
        <v xml:space="preserve">
Tiomos 95 GL  Mini</v>
      </c>
      <c r="D11" s="963"/>
      <c r="E11" s="963"/>
      <c r="F11" s="963"/>
      <c r="G11" s="963"/>
      <c r="H11" s="964"/>
      <c r="I11" s="98"/>
      <c r="J11" s="98"/>
      <c r="K11" s="944" t="str">
        <f>"
Tiomos Mirro"</f>
        <v xml:space="preserve">
Tiomos Mirro</v>
      </c>
      <c r="L11" s="963"/>
      <c r="M11" s="963"/>
      <c r="N11" s="963"/>
      <c r="O11" s="963"/>
      <c r="P11" s="964"/>
      <c r="Q11" s="98"/>
      <c r="R11" s="98"/>
      <c r="S11" s="944" t="str">
        <f>"
Tiomos 110 AL"</f>
        <v xml:space="preserve">
Tiomos 110 AL</v>
      </c>
      <c r="T11" s="963"/>
      <c r="U11" s="963"/>
      <c r="V11" s="963"/>
      <c r="W11" s="963"/>
      <c r="X11" s="964"/>
      <c r="Y11" s="98"/>
      <c r="Z11" s="98"/>
      <c r="AA11" s="944" t="str">
        <f>"
Tiomos M0"</f>
        <v xml:space="preserve">
Tiomos M0</v>
      </c>
      <c r="AB11" s="963"/>
      <c r="AC11" s="963"/>
      <c r="AD11" s="963"/>
      <c r="AE11" s="963"/>
      <c r="AF11" s="964"/>
    </row>
    <row r="12" spans="3:32" ht="15.95" customHeight="1" x14ac:dyDescent="0.25">
      <c r="C12" s="944"/>
      <c r="D12" s="963"/>
      <c r="E12" s="963"/>
      <c r="F12" s="963"/>
      <c r="G12" s="963"/>
      <c r="H12" s="964"/>
      <c r="I12" s="98"/>
      <c r="J12" s="98"/>
      <c r="K12" s="944"/>
      <c r="L12" s="963"/>
      <c r="M12" s="963"/>
      <c r="N12" s="963"/>
      <c r="O12" s="963"/>
      <c r="P12" s="964"/>
      <c r="Q12" s="98"/>
      <c r="R12" s="98"/>
      <c r="S12" s="944"/>
      <c r="T12" s="963"/>
      <c r="U12" s="963"/>
      <c r="V12" s="963"/>
      <c r="W12" s="963"/>
      <c r="X12" s="964"/>
      <c r="Y12" s="98"/>
      <c r="Z12" s="98"/>
      <c r="AA12" s="944"/>
      <c r="AB12" s="963"/>
      <c r="AC12" s="963"/>
      <c r="AD12" s="963"/>
      <c r="AE12" s="963"/>
      <c r="AF12" s="964"/>
    </row>
    <row r="13" spans="3:32" ht="15.95" customHeight="1" x14ac:dyDescent="0.25">
      <c r="C13" s="944"/>
      <c r="D13" s="963"/>
      <c r="E13" s="963"/>
      <c r="F13" s="963"/>
      <c r="G13" s="963"/>
      <c r="H13" s="964"/>
      <c r="I13" s="98"/>
      <c r="J13" s="98"/>
      <c r="K13" s="944"/>
      <c r="L13" s="963"/>
      <c r="M13" s="963"/>
      <c r="N13" s="963"/>
      <c r="O13" s="963"/>
      <c r="P13" s="964"/>
      <c r="Q13" s="98"/>
      <c r="R13" s="98"/>
      <c r="S13" s="944"/>
      <c r="T13" s="963"/>
      <c r="U13" s="963"/>
      <c r="V13" s="963"/>
      <c r="W13" s="963"/>
      <c r="X13" s="964"/>
      <c r="Y13" s="98"/>
      <c r="Z13" s="98"/>
      <c r="AA13" s="944"/>
      <c r="AB13" s="963"/>
      <c r="AC13" s="963"/>
      <c r="AD13" s="963"/>
      <c r="AE13" s="963"/>
      <c r="AF13" s="964"/>
    </row>
    <row r="14" spans="3:32" ht="15.95" customHeight="1" x14ac:dyDescent="0.25">
      <c r="C14" s="944"/>
      <c r="D14" s="963"/>
      <c r="E14" s="963"/>
      <c r="F14" s="963"/>
      <c r="G14" s="963"/>
      <c r="H14" s="964"/>
      <c r="I14" s="98"/>
      <c r="J14" s="98"/>
      <c r="K14" s="944"/>
      <c r="L14" s="963"/>
      <c r="M14" s="963"/>
      <c r="N14" s="963"/>
      <c r="O14" s="963"/>
      <c r="P14" s="964"/>
      <c r="Q14" s="98"/>
      <c r="R14" s="98"/>
      <c r="S14" s="944"/>
      <c r="T14" s="963"/>
      <c r="U14" s="963"/>
      <c r="V14" s="963"/>
      <c r="W14" s="963"/>
      <c r="X14" s="964"/>
      <c r="Y14" s="98"/>
      <c r="Z14" s="98"/>
      <c r="AA14" s="944"/>
      <c r="AB14" s="963"/>
      <c r="AC14" s="963"/>
      <c r="AD14" s="963"/>
      <c r="AE14" s="963"/>
      <c r="AF14" s="964"/>
    </row>
    <row r="15" spans="3:32" ht="15.95" customHeight="1" x14ac:dyDescent="0.25">
      <c r="C15" s="944"/>
      <c r="D15" s="963"/>
      <c r="E15" s="963"/>
      <c r="F15" s="963"/>
      <c r="G15" s="963"/>
      <c r="H15" s="964"/>
      <c r="I15" s="98"/>
      <c r="J15" s="98"/>
      <c r="K15" s="944"/>
      <c r="L15" s="963"/>
      <c r="M15" s="963"/>
      <c r="N15" s="963"/>
      <c r="O15" s="963"/>
      <c r="P15" s="964"/>
      <c r="Q15" s="98"/>
      <c r="R15" s="98"/>
      <c r="S15" s="944"/>
      <c r="T15" s="963"/>
      <c r="U15" s="963"/>
      <c r="V15" s="963"/>
      <c r="W15" s="963"/>
      <c r="X15" s="964"/>
      <c r="Y15" s="98"/>
      <c r="Z15" s="98"/>
      <c r="AA15" s="944"/>
      <c r="AB15" s="963"/>
      <c r="AC15" s="963"/>
      <c r="AD15" s="963"/>
      <c r="AE15" s="963"/>
      <c r="AF15" s="964"/>
    </row>
    <row r="16" spans="3:32" ht="15.95" customHeight="1" x14ac:dyDescent="0.25">
      <c r="C16" s="1012"/>
      <c r="D16" s="965"/>
      <c r="E16" s="965"/>
      <c r="F16" s="965"/>
      <c r="G16" s="965"/>
      <c r="H16" s="966"/>
      <c r="I16" s="98"/>
      <c r="J16" s="98"/>
      <c r="K16" s="1012"/>
      <c r="L16" s="965"/>
      <c r="M16" s="965"/>
      <c r="N16" s="965"/>
      <c r="O16" s="965"/>
      <c r="P16" s="966"/>
      <c r="Q16" s="98"/>
      <c r="R16" s="98"/>
      <c r="S16" s="1012"/>
      <c r="T16" s="965"/>
      <c r="U16" s="965"/>
      <c r="V16" s="965"/>
      <c r="W16" s="965"/>
      <c r="X16" s="966"/>
      <c r="Y16" s="98"/>
      <c r="Z16" s="98"/>
      <c r="AA16" s="1012"/>
      <c r="AB16" s="965"/>
      <c r="AC16" s="965"/>
      <c r="AD16" s="965"/>
      <c r="AE16" s="965"/>
      <c r="AF16" s="966"/>
    </row>
    <row r="17" spans="3:32" ht="15.95" customHeight="1" x14ac:dyDescent="0.25"/>
    <row r="18" spans="3:32" ht="15.95" customHeight="1" x14ac:dyDescent="0.25">
      <c r="C18" s="58" t="str">
        <f ca="1">select!D980</f>
        <v>Türauflage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7"/>
      <c r="R18" s="57"/>
      <c r="S18" s="58" t="str">
        <f ca="1">select!L980</f>
        <v>Topfabstand</v>
      </c>
      <c r="T18" s="58"/>
      <c r="U18" s="58"/>
      <c r="V18" s="58"/>
      <c r="W18" s="58"/>
      <c r="X18" s="57"/>
      <c r="Y18" s="58"/>
      <c r="Z18" s="58"/>
      <c r="AA18" s="58" t="str">
        <f ca="1">Sprache!A175</f>
        <v>Bohrbild</v>
      </c>
      <c r="AB18" s="58"/>
      <c r="AC18" s="57"/>
      <c r="AD18" s="57"/>
      <c r="AE18" s="57"/>
      <c r="AF18" s="57"/>
    </row>
    <row r="19" spans="3:32" ht="14.25" customHeight="1" thickBot="1" x14ac:dyDescent="0.3">
      <c r="C19" s="716" t="str">
        <f ca="1">select!O978</f>
        <v/>
      </c>
      <c r="G19" s="3"/>
      <c r="H19" s="3"/>
      <c r="J19" s="3"/>
      <c r="K19" s="3"/>
      <c r="L19" s="3"/>
      <c r="M19" s="3"/>
      <c r="N19" s="3"/>
      <c r="O19" s="3"/>
      <c r="P19" s="3"/>
      <c r="Q19" s="3"/>
      <c r="R19" s="3"/>
      <c r="S19" s="714" t="str">
        <f ca="1">select!Q987</f>
        <v/>
      </c>
      <c r="T19" s="3"/>
      <c r="U19" s="3"/>
      <c r="V19" s="3"/>
      <c r="W19" s="3"/>
      <c r="X19" s="3"/>
      <c r="Y19" s="3"/>
      <c r="Z19" s="3"/>
      <c r="AA19" s="3"/>
      <c r="AB19" s="3"/>
    </row>
    <row r="20" spans="3:32" ht="14.25" customHeight="1" thickTop="1" x14ac:dyDescent="0.25">
      <c r="C20" s="941">
        <f ca="1">IFERROR(select!P1008+select!$H$980,"---")</f>
        <v>11.5</v>
      </c>
      <c r="D20" s="941"/>
      <c r="E20" s="941"/>
      <c r="F20" s="941"/>
      <c r="G20" s="104"/>
      <c r="R20" s="1"/>
      <c r="AA20" s="1019"/>
      <c r="AB20" s="1019"/>
      <c r="AC20" s="1019"/>
      <c r="AD20" s="1019"/>
      <c r="AE20" s="1019"/>
      <c r="AF20" s="1019"/>
    </row>
    <row r="21" spans="3:32" ht="14.25" customHeight="1" x14ac:dyDescent="0.25">
      <c r="C21" s="1013">
        <f>select!P1008</f>
        <v>9</v>
      </c>
      <c r="D21" s="1014"/>
      <c r="E21" s="1014"/>
      <c r="F21" s="1015"/>
      <c r="G21" s="105"/>
      <c r="AA21" s="1019"/>
      <c r="AB21" s="1019"/>
      <c r="AC21" s="1019"/>
      <c r="AD21" s="1019"/>
      <c r="AE21" s="1019"/>
      <c r="AF21" s="1019"/>
    </row>
    <row r="22" spans="3:32" ht="14.25" customHeight="1" x14ac:dyDescent="0.25">
      <c r="C22" s="953"/>
      <c r="D22" s="954"/>
      <c r="E22" s="954"/>
      <c r="F22" s="1016"/>
      <c r="G22" s="105"/>
      <c r="AA22" s="1019"/>
      <c r="AB22" s="1019"/>
      <c r="AC22" s="1019"/>
      <c r="AD22" s="1019"/>
      <c r="AE22" s="1019"/>
      <c r="AF22" s="1019"/>
    </row>
    <row r="23" spans="3:32" ht="14.25" customHeight="1" x14ac:dyDescent="0.25">
      <c r="C23" s="953"/>
      <c r="D23" s="954"/>
      <c r="E23" s="954"/>
      <c r="F23" s="1016"/>
      <c r="G23" s="105"/>
      <c r="AA23" s="1019"/>
      <c r="AB23" s="1019"/>
      <c r="AC23" s="1019"/>
      <c r="AD23" s="1019"/>
      <c r="AE23" s="1019"/>
      <c r="AF23" s="1019"/>
    </row>
    <row r="24" spans="3:32" ht="14.25" customHeight="1" x14ac:dyDescent="0.25">
      <c r="C24" s="955"/>
      <c r="D24" s="956"/>
      <c r="E24" s="956"/>
      <c r="F24" s="1017"/>
      <c r="G24" s="105"/>
    </row>
    <row r="25" spans="3:32" ht="14.25" customHeight="1" thickBot="1" x14ac:dyDescent="0.3">
      <c r="C25" s="941">
        <f ca="1">IFERROR(select!P1008+select!I980,"---")</f>
        <v>7</v>
      </c>
      <c r="D25" s="941"/>
      <c r="E25" s="941"/>
      <c r="F25" s="941"/>
      <c r="G25" s="106"/>
    </row>
    <row r="26" spans="3:32" ht="14.25" customHeight="1" thickTop="1" x14ac:dyDescent="0.25">
      <c r="AA26" s="716" t="str">
        <f>select!C989</f>
        <v/>
      </c>
    </row>
    <row r="27" spans="3:32" ht="15.95" customHeight="1" x14ac:dyDescent="0.25">
      <c r="C27" s="58" t="str">
        <f ca="1">Sprache!A101</f>
        <v>Scharniertyp</v>
      </c>
      <c r="D27" s="58"/>
      <c r="E27" s="58"/>
      <c r="F27" s="58"/>
      <c r="G27" s="58"/>
      <c r="H27" s="58"/>
      <c r="I27" s="58"/>
      <c r="J27" s="59"/>
      <c r="K27" s="59"/>
      <c r="L27" s="57"/>
      <c r="M27" s="57"/>
      <c r="N27" s="58" t="str">
        <f ca="1">Sprache!A100</f>
        <v xml:space="preserve">Scharnierbefestigung </v>
      </c>
      <c r="O27" s="59"/>
      <c r="P27" s="59"/>
      <c r="Q27" s="59"/>
      <c r="R27" s="59"/>
      <c r="S27" s="59"/>
      <c r="T27" s="59"/>
      <c r="U27" s="276" t="str">
        <f ca="1">select!N1026</f>
        <v/>
      </c>
      <c r="V27" s="57"/>
      <c r="W27" s="58"/>
      <c r="X27" s="57"/>
      <c r="Y27" s="57"/>
      <c r="Z27" s="57"/>
      <c r="AA27" s="103" t="str">
        <f ca="1">Sprache!A147</f>
        <v>Möglichkeiten</v>
      </c>
      <c r="AB27" s="57"/>
      <c r="AC27" s="57"/>
      <c r="AD27" s="59"/>
      <c r="AE27" s="59"/>
      <c r="AF27" s="59"/>
    </row>
    <row r="28" spans="3:32" ht="15.95" customHeight="1" x14ac:dyDescent="0.25">
      <c r="C28" s="716" t="str">
        <f>select!C1011</f>
        <v/>
      </c>
    </row>
    <row r="29" spans="3:32" ht="15.95" customHeight="1" x14ac:dyDescent="0.25"/>
    <row r="30" spans="3:32" ht="15.95" customHeight="1" x14ac:dyDescent="0.25">
      <c r="N30" s="715" t="str">
        <f>select!C1002</f>
        <v/>
      </c>
    </row>
    <row r="31" spans="3:32" ht="15.95" customHeight="1" x14ac:dyDescent="0.25"/>
    <row r="32" spans="3:32" ht="15.95" customHeight="1" x14ac:dyDescent="0.25">
      <c r="AA32" s="365" t="str">
        <f ca="1">select!F1318</f>
        <v/>
      </c>
    </row>
    <row r="33" spans="3:32" ht="15.95" customHeight="1" x14ac:dyDescent="0.25">
      <c r="C33" s="24" t="str">
        <f ca="1">C2</f>
        <v xml:space="preserve">Alu-/Glas- &amp; Spiegelscharnier </v>
      </c>
      <c r="AD33" s="84" t="str">
        <f ca="1">AD48</f>
        <v>Bestellnummer</v>
      </c>
    </row>
    <row r="34" spans="3:32" ht="15.95" customHeight="1" x14ac:dyDescent="0.25">
      <c r="C34" s="64" t="str">
        <f ca="1">select!F1019</f>
        <v>Tiomos Click-On Scharniere</v>
      </c>
      <c r="D34" s="65"/>
      <c r="E34" s="65"/>
      <c r="F34" s="65"/>
      <c r="G34" s="65"/>
      <c r="H34" s="65"/>
      <c r="I34" s="65"/>
      <c r="J34" s="65"/>
      <c r="K34" s="65" t="str">
        <f ca="1">select!D1019</f>
        <v>Tiomos Scharnier T Click-on</v>
      </c>
      <c r="L34" s="65"/>
      <c r="M34" s="65"/>
      <c r="N34" s="65"/>
      <c r="O34" s="65"/>
      <c r="P34" s="65"/>
      <c r="Q34" s="65"/>
      <c r="R34" s="65"/>
      <c r="S34" s="65"/>
      <c r="T34" s="65" t="str">
        <f ca="1">select!E1019</f>
        <v>95°, GL, K03, ni</v>
      </c>
      <c r="U34" s="65"/>
      <c r="V34" s="65"/>
      <c r="W34" s="65"/>
      <c r="X34" s="65"/>
      <c r="Y34" s="65"/>
      <c r="Z34" s="65"/>
      <c r="AA34" s="367"/>
      <c r="AB34" s="65"/>
      <c r="AC34" s="43" t="str">
        <f ca="1">select!A1019</f>
        <v>F045</v>
      </c>
      <c r="AD34" s="41" t="str">
        <f ca="1">select!B1019</f>
        <v>138</v>
      </c>
      <c r="AE34" s="46" t="str">
        <f ca="1">select!C1019</f>
        <v>079</v>
      </c>
      <c r="AF34" s="54"/>
    </row>
    <row r="35" spans="3:32" ht="15.95" customHeight="1" x14ac:dyDescent="0.25">
      <c r="C35" s="66" t="str">
        <f ca="1">select!F1020</f>
        <v/>
      </c>
      <c r="D35" s="67"/>
      <c r="E35" s="67"/>
      <c r="F35" s="67"/>
      <c r="G35" s="67"/>
      <c r="H35" s="67"/>
      <c r="I35" s="67"/>
      <c r="J35" s="67"/>
      <c r="K35" s="67" t="str">
        <f ca="1">select!D1020</f>
        <v/>
      </c>
      <c r="L35" s="67"/>
      <c r="M35" s="67"/>
      <c r="N35" s="67"/>
      <c r="O35" s="67"/>
      <c r="P35" s="67"/>
      <c r="Q35" s="67"/>
      <c r="R35" s="67"/>
      <c r="S35" s="67"/>
      <c r="T35" s="67" t="str">
        <f ca="1">select!E1020</f>
        <v/>
      </c>
      <c r="U35" s="67"/>
      <c r="V35" s="67"/>
      <c r="W35" s="67"/>
      <c r="X35" s="67"/>
      <c r="Y35" s="67"/>
      <c r="Z35" s="67"/>
      <c r="AA35" s="34"/>
      <c r="AB35" s="67"/>
      <c r="AC35" s="44" t="str">
        <f ca="1">select!A1020</f>
        <v/>
      </c>
      <c r="AD35" s="34" t="str">
        <f ca="1">select!B1020</f>
        <v/>
      </c>
      <c r="AE35" s="47" t="str">
        <f ca="1">select!C1020</f>
        <v/>
      </c>
      <c r="AF35" s="55"/>
    </row>
    <row r="36" spans="3:32" ht="15.95" customHeight="1" x14ac:dyDescent="0.25">
      <c r="C36" s="66" t="str">
        <f ca="1">select!F1021</f>
        <v/>
      </c>
      <c r="D36" s="67"/>
      <c r="E36" s="67"/>
      <c r="F36" s="67"/>
      <c r="G36" s="67"/>
      <c r="H36" s="67"/>
      <c r="I36" s="67"/>
      <c r="J36" s="67"/>
      <c r="K36" s="67" t="str">
        <f ca="1">select!D1021</f>
        <v/>
      </c>
      <c r="L36" s="67"/>
      <c r="M36" s="67"/>
      <c r="N36" s="67"/>
      <c r="O36" s="67"/>
      <c r="P36" s="67"/>
      <c r="Q36" s="67"/>
      <c r="R36" s="67"/>
      <c r="S36" s="67"/>
      <c r="T36" s="67" t="str">
        <f ca="1">select!E1021</f>
        <v/>
      </c>
      <c r="U36" s="67"/>
      <c r="V36" s="67"/>
      <c r="W36" s="67"/>
      <c r="X36" s="67"/>
      <c r="Y36" s="67"/>
      <c r="Z36" s="67"/>
      <c r="AA36" s="34"/>
      <c r="AB36" s="67"/>
      <c r="AC36" s="44" t="str">
        <f ca="1">select!A1021</f>
        <v/>
      </c>
      <c r="AD36" s="34" t="str">
        <f ca="1">select!B1021</f>
        <v/>
      </c>
      <c r="AE36" s="47" t="str">
        <f ca="1">select!C1021</f>
        <v/>
      </c>
      <c r="AF36" s="55"/>
    </row>
    <row r="37" spans="3:32" ht="15.95" customHeight="1" x14ac:dyDescent="0.25">
      <c r="C37" s="66" t="str">
        <f ca="1">select!F1022</f>
        <v/>
      </c>
      <c r="D37" s="67"/>
      <c r="E37" s="67"/>
      <c r="F37" s="67"/>
      <c r="G37" s="67"/>
      <c r="H37" s="67"/>
      <c r="I37" s="67"/>
      <c r="J37" s="67"/>
      <c r="K37" s="67" t="str">
        <f ca="1">select!D1022</f>
        <v/>
      </c>
      <c r="L37" s="67"/>
      <c r="M37" s="67"/>
      <c r="N37" s="67"/>
      <c r="O37" s="67"/>
      <c r="P37" s="67"/>
      <c r="Q37" s="67"/>
      <c r="R37" s="67"/>
      <c r="S37" s="67"/>
      <c r="T37" s="67" t="str">
        <f ca="1">select!E1022</f>
        <v/>
      </c>
      <c r="U37" s="67"/>
      <c r="V37" s="67"/>
      <c r="W37" s="67"/>
      <c r="X37" s="67"/>
      <c r="Y37" s="67"/>
      <c r="Z37" s="67"/>
      <c r="AA37" s="34"/>
      <c r="AB37" s="67"/>
      <c r="AC37" s="44" t="str">
        <f ca="1">select!A1022</f>
        <v/>
      </c>
      <c r="AD37" s="34" t="str">
        <f ca="1">select!B1022</f>
        <v/>
      </c>
      <c r="AE37" s="47" t="str">
        <f ca="1">select!C1022</f>
        <v/>
      </c>
      <c r="AF37" s="55"/>
    </row>
    <row r="38" spans="3:32" ht="15.95" customHeight="1" x14ac:dyDescent="0.25">
      <c r="C38" s="68" t="str">
        <f ca="1">select!F1023</f>
        <v/>
      </c>
      <c r="D38" s="69"/>
      <c r="E38" s="69"/>
      <c r="F38" s="69"/>
      <c r="G38" s="69"/>
      <c r="H38" s="69"/>
      <c r="I38" s="69"/>
      <c r="J38" s="69"/>
      <c r="K38" s="69" t="str">
        <f ca="1">select!D1023</f>
        <v/>
      </c>
      <c r="L38" s="69"/>
      <c r="M38" s="69"/>
      <c r="N38" s="69"/>
      <c r="O38" s="69"/>
      <c r="P38" s="69"/>
      <c r="Q38" s="69"/>
      <c r="R38" s="69"/>
      <c r="S38" s="69"/>
      <c r="T38" s="69" t="str">
        <f ca="1">select!E1023</f>
        <v/>
      </c>
      <c r="U38" s="69"/>
      <c r="V38" s="69"/>
      <c r="W38" s="69"/>
      <c r="X38" s="69"/>
      <c r="Y38" s="69"/>
      <c r="Z38" s="69"/>
      <c r="AA38" s="6"/>
      <c r="AB38" s="69"/>
      <c r="AC38" s="45" t="str">
        <f ca="1">select!A1023</f>
        <v/>
      </c>
      <c r="AD38" s="6" t="str">
        <f ca="1">select!B1023</f>
        <v/>
      </c>
      <c r="AE38" s="48" t="str">
        <f ca="1">select!C1023</f>
        <v/>
      </c>
      <c r="AF38" s="56"/>
    </row>
    <row r="39" spans="3:32" ht="15.95" customHeight="1" x14ac:dyDescent="0.25"/>
    <row r="40" spans="3:32" ht="17.25" customHeight="1" thickBot="1" x14ac:dyDescent="0.4">
      <c r="C40" s="50" t="str">
        <f ca="1">Sprache!A131</f>
        <v>Montageplatte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3:32" ht="15.95" customHeight="1" x14ac:dyDescent="0.25"/>
    <row r="42" spans="3:32" ht="15.95" customHeight="1" x14ac:dyDescent="0.25">
      <c r="C42" s="58" t="str">
        <f ca="1">Sprache!A133</f>
        <v>Montageplattentyp</v>
      </c>
      <c r="D42" s="58"/>
      <c r="E42" s="58"/>
      <c r="F42" s="58"/>
      <c r="G42" s="58"/>
      <c r="H42" s="58"/>
      <c r="I42" s="58"/>
      <c r="J42" s="58"/>
      <c r="K42" s="57"/>
      <c r="L42" s="57"/>
      <c r="M42" s="57"/>
      <c r="N42" s="57"/>
      <c r="O42" s="58" t="str">
        <f ca="1">Sprache!A151</f>
        <v xml:space="preserve">Befestigung </v>
      </c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3:32" ht="15.95" customHeight="1" x14ac:dyDescent="0.25">
      <c r="C43" s="60"/>
      <c r="D43" s="60"/>
      <c r="E43" s="60"/>
      <c r="F43" s="60"/>
      <c r="G43" s="60"/>
      <c r="H43" s="60"/>
      <c r="I43" s="60"/>
      <c r="J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3"/>
    </row>
    <row r="44" spans="3:32" ht="15.95" customHeight="1" x14ac:dyDescent="0.25">
      <c r="T44" s="830"/>
      <c r="U44" s="830"/>
      <c r="V44" s="830"/>
      <c r="W44" s="830"/>
      <c r="X44" s="830"/>
      <c r="Y44" s="830"/>
      <c r="Z44" s="830"/>
      <c r="AA44" s="830"/>
      <c r="AB44" s="830"/>
      <c r="AC44" s="830"/>
    </row>
    <row r="45" spans="3:32" ht="15.95" customHeight="1" x14ac:dyDescent="0.25">
      <c r="C45" s="736" t="str">
        <f ca="1">select!H990</f>
        <v/>
      </c>
      <c r="S45" s="830" t="str">
        <f ca="1">select!AJ1032</f>
        <v/>
      </c>
      <c r="T45" s="830"/>
      <c r="U45" s="830"/>
      <c r="V45" s="830"/>
      <c r="W45" s="830"/>
      <c r="X45" s="830"/>
      <c r="Y45" s="830"/>
      <c r="Z45" s="830"/>
      <c r="AA45" s="830"/>
      <c r="AB45" s="830"/>
      <c r="AC45" s="830"/>
    </row>
    <row r="46" spans="3:32" ht="15.95" customHeight="1" x14ac:dyDescent="0.25">
      <c r="C46" s="846"/>
      <c r="D46" s="846"/>
      <c r="E46" s="846"/>
      <c r="F46" s="846"/>
      <c r="G46" s="846"/>
      <c r="H46" s="846"/>
      <c r="I46" s="846"/>
      <c r="J46" s="846"/>
      <c r="K46" s="846"/>
      <c r="L46" s="846"/>
      <c r="M46" s="846"/>
      <c r="N46" s="846"/>
    </row>
    <row r="47" spans="3:32" ht="15.95" customHeight="1" x14ac:dyDescent="0.25">
      <c r="C47" s="846"/>
      <c r="D47" s="846"/>
      <c r="E47" s="846"/>
      <c r="F47" s="846"/>
      <c r="G47" s="846"/>
      <c r="H47" s="846"/>
      <c r="I47" s="846"/>
      <c r="J47" s="846"/>
      <c r="K47" s="846"/>
      <c r="L47" s="846"/>
      <c r="M47" s="846"/>
      <c r="N47" s="846"/>
      <c r="O47" s="716" t="str">
        <f ca="1">select!K1161</f>
        <v/>
      </c>
    </row>
    <row r="48" spans="3:32" ht="15.95" customHeight="1" x14ac:dyDescent="0.25">
      <c r="C48" s="24" t="str">
        <f>select!A255</f>
        <v>37/32</v>
      </c>
      <c r="AA48" s="366" t="str">
        <f ca="1">Sprache!A163</f>
        <v>Höhe</v>
      </c>
      <c r="AD48" s="84" t="str">
        <f ca="1">Sprache!A150</f>
        <v>Bestellnummer</v>
      </c>
    </row>
    <row r="49" spans="3:32" ht="15.95" customHeight="1" x14ac:dyDescent="0.25">
      <c r="C49" s="64" t="str">
        <f ca="1">select!J1178</f>
        <v>Tiomos Montageplatten</v>
      </c>
      <c r="D49" s="65"/>
      <c r="E49" s="65"/>
      <c r="F49" s="65"/>
      <c r="G49" s="65"/>
      <c r="H49" s="65"/>
      <c r="I49" s="65"/>
      <c r="J49" s="61" t="str">
        <f ca="1">select!I1178</f>
        <v>1D Kreuz Mtg-Platte</v>
      </c>
      <c r="K49" s="65"/>
      <c r="L49" s="65"/>
      <c r="M49" s="65"/>
      <c r="N49" s="65"/>
      <c r="O49" s="65"/>
      <c r="P49" s="65"/>
      <c r="Q49" s="65"/>
      <c r="R49" s="61" t="str">
        <f ca="1">select!K1178</f>
        <v>H 06, ni /37</v>
      </c>
      <c r="S49" s="863"/>
      <c r="T49" s="61"/>
      <c r="U49" s="61"/>
      <c r="V49" s="61"/>
      <c r="W49" s="61"/>
      <c r="X49" s="61"/>
      <c r="Y49" s="367"/>
      <c r="Z49" s="1018">
        <f ca="1">select!L1178</f>
        <v>6</v>
      </c>
      <c r="AA49" s="1018"/>
      <c r="AB49" s="61"/>
      <c r="AC49" s="43" t="str">
        <f ca="1">select!M1178</f>
        <v>F058</v>
      </c>
      <c r="AD49" s="41" t="str">
        <f ca="1">select!N1178</f>
        <v>139</v>
      </c>
      <c r="AE49" s="368" t="str">
        <f ca="1">select!O1178</f>
        <v>892</v>
      </c>
      <c r="AF49" s="369"/>
    </row>
    <row r="50" spans="3:32" ht="15.95" customHeight="1" x14ac:dyDescent="0.25">
      <c r="C50" s="66" t="str">
        <f ca="1">select!J1179</f>
        <v/>
      </c>
      <c r="D50" s="67"/>
      <c r="E50" s="67"/>
      <c r="F50" s="67"/>
      <c r="G50" s="67"/>
      <c r="H50" s="67"/>
      <c r="I50" s="67"/>
      <c r="J50" s="62" t="str">
        <f ca="1">select!I1179</f>
        <v/>
      </c>
      <c r="K50" s="67"/>
      <c r="L50" s="67"/>
      <c r="M50" s="67"/>
      <c r="N50" s="67"/>
      <c r="O50" s="67"/>
      <c r="P50" s="67"/>
      <c r="Q50" s="67"/>
      <c r="R50" s="62" t="str">
        <f ca="1">select!K1179</f>
        <v/>
      </c>
      <c r="S50" s="34"/>
      <c r="T50" s="62"/>
      <c r="U50" s="62"/>
      <c r="V50" s="62"/>
      <c r="W50" s="62"/>
      <c r="X50" s="62"/>
      <c r="Y50" s="34"/>
      <c r="Z50" s="957" t="str">
        <f ca="1">select!L1179</f>
        <v/>
      </c>
      <c r="AA50" s="957"/>
      <c r="AB50" s="62"/>
      <c r="AC50" s="44" t="str">
        <f ca="1">select!M1179</f>
        <v/>
      </c>
      <c r="AD50" s="34" t="str">
        <f ca="1">select!N1179</f>
        <v/>
      </c>
      <c r="AE50" s="47" t="str">
        <f ca="1">select!O1179</f>
        <v/>
      </c>
      <c r="AF50" s="55"/>
    </row>
    <row r="51" spans="3:32" ht="15.95" customHeight="1" x14ac:dyDescent="0.25">
      <c r="C51" s="81" t="str">
        <f ca="1">select!J1180</f>
        <v/>
      </c>
      <c r="D51" s="67"/>
      <c r="E51" s="67"/>
      <c r="F51" s="67"/>
      <c r="G51" s="67"/>
      <c r="H51" s="67"/>
      <c r="I51" s="67"/>
      <c r="J51" s="62" t="str">
        <f ca="1">select!I1180</f>
        <v/>
      </c>
      <c r="K51" s="67"/>
      <c r="L51" s="67"/>
      <c r="M51" s="67"/>
      <c r="N51" s="67"/>
      <c r="O51" s="67"/>
      <c r="P51" s="67"/>
      <c r="Q51" s="67"/>
      <c r="R51" s="62" t="str">
        <f ca="1">select!K1180</f>
        <v/>
      </c>
      <c r="S51" s="34"/>
      <c r="T51" s="62"/>
      <c r="U51" s="62"/>
      <c r="V51" s="62"/>
      <c r="W51" s="62"/>
      <c r="X51" s="62"/>
      <c r="Y51" s="34"/>
      <c r="Z51" s="957" t="str">
        <f ca="1">select!L1180</f>
        <v/>
      </c>
      <c r="AA51" s="957"/>
      <c r="AB51" s="62"/>
      <c r="AC51" s="44" t="str">
        <f ca="1">select!M1180</f>
        <v/>
      </c>
      <c r="AD51" s="34" t="str">
        <f ca="1">select!N1180</f>
        <v/>
      </c>
      <c r="AE51" s="47" t="str">
        <f ca="1">select!O1180</f>
        <v/>
      </c>
      <c r="AF51" s="55"/>
    </row>
    <row r="52" spans="3:32" ht="15.95" customHeight="1" x14ac:dyDescent="0.25">
      <c r="C52" s="81" t="str">
        <f ca="1">select!J1181</f>
        <v/>
      </c>
      <c r="D52" s="67"/>
      <c r="E52" s="67"/>
      <c r="F52" s="67"/>
      <c r="G52" s="67"/>
      <c r="H52" s="67"/>
      <c r="I52" s="67"/>
      <c r="J52" s="62" t="str">
        <f ca="1">select!I1181</f>
        <v/>
      </c>
      <c r="K52" s="67"/>
      <c r="L52" s="67"/>
      <c r="M52" s="67"/>
      <c r="N52" s="67"/>
      <c r="O52" s="67"/>
      <c r="P52" s="67"/>
      <c r="Q52" s="67"/>
      <c r="R52" s="62" t="str">
        <f ca="1">select!K1181</f>
        <v/>
      </c>
      <c r="S52" s="34"/>
      <c r="T52" s="62"/>
      <c r="U52" s="62"/>
      <c r="V52" s="62"/>
      <c r="W52" s="62"/>
      <c r="X52" s="62"/>
      <c r="Y52" s="34"/>
      <c r="Z52" s="957" t="str">
        <f ca="1">select!L1181</f>
        <v/>
      </c>
      <c r="AA52" s="957"/>
      <c r="AB52" s="62"/>
      <c r="AC52" s="44" t="str">
        <f ca="1">select!M1181</f>
        <v/>
      </c>
      <c r="AD52" s="34" t="str">
        <f ca="1">select!N1181</f>
        <v/>
      </c>
      <c r="AE52" s="47" t="str">
        <f ca="1">select!O1181</f>
        <v/>
      </c>
      <c r="AF52" s="55"/>
    </row>
    <row r="53" spans="3:32" ht="15.95" customHeight="1" x14ac:dyDescent="0.25">
      <c r="C53" s="68" t="str">
        <f ca="1">select!J1182</f>
        <v/>
      </c>
      <c r="D53" s="69"/>
      <c r="E53" s="69"/>
      <c r="F53" s="69"/>
      <c r="G53" s="69"/>
      <c r="H53" s="69"/>
      <c r="I53" s="69"/>
      <c r="J53" s="63" t="str">
        <f ca="1">select!I1182</f>
        <v/>
      </c>
      <c r="K53" s="69"/>
      <c r="L53" s="69"/>
      <c r="M53" s="69"/>
      <c r="N53" s="69"/>
      <c r="O53" s="69"/>
      <c r="P53" s="69"/>
      <c r="Q53" s="69"/>
      <c r="R53" s="63" t="str">
        <f ca="1">select!K1182</f>
        <v/>
      </c>
      <c r="S53" s="6"/>
      <c r="T53" s="63"/>
      <c r="U53" s="63"/>
      <c r="V53" s="63"/>
      <c r="W53" s="63"/>
      <c r="X53" s="63"/>
      <c r="Y53" s="6"/>
      <c r="Z53" s="960" t="str">
        <f ca="1">select!L1182</f>
        <v/>
      </c>
      <c r="AA53" s="960"/>
      <c r="AB53" s="63"/>
      <c r="AC53" s="45" t="str">
        <f ca="1">select!M1182</f>
        <v/>
      </c>
      <c r="AD53" s="6" t="str">
        <f ca="1">select!N1182</f>
        <v/>
      </c>
      <c r="AE53" s="48" t="str">
        <f ca="1">select!O1182</f>
        <v/>
      </c>
      <c r="AF53" s="56"/>
    </row>
    <row r="54" spans="3:32" ht="15.95" customHeight="1" x14ac:dyDescent="0.25">
      <c r="C54" s="865" t="str">
        <f ca="1">select!R1170</f>
        <v/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32" ht="15.95" customHeight="1" x14ac:dyDescent="0.25"/>
    <row r="56" spans="3:32" ht="15.95" customHeight="1" x14ac:dyDescent="0.25"/>
    <row r="57" spans="3:32" ht="15.95" customHeight="1" x14ac:dyDescent="0.25"/>
    <row r="58" spans="3:32" ht="15.95" customHeight="1" x14ac:dyDescent="0.25"/>
  </sheetData>
  <sheetProtection password="9438" sheet="1" objects="1" scenarios="1"/>
  <mergeCells count="15">
    <mergeCell ref="Z53:AA53"/>
    <mergeCell ref="AC2:AF3"/>
    <mergeCell ref="C2:Z3"/>
    <mergeCell ref="C20:F20"/>
    <mergeCell ref="C25:F25"/>
    <mergeCell ref="C11:H16"/>
    <mergeCell ref="K11:P16"/>
    <mergeCell ref="S11:X16"/>
    <mergeCell ref="AA11:AF16"/>
    <mergeCell ref="C21:F24"/>
    <mergeCell ref="Z49:AA49"/>
    <mergeCell ref="Z50:AA50"/>
    <mergeCell ref="Z51:AA51"/>
    <mergeCell ref="Z52:AA52"/>
    <mergeCell ref="AA20:AF23"/>
  </mergeCells>
  <conditionalFormatting sqref="C5:H10">
    <cfRule type="cellIs" dxfId="90" priority="11" operator="equal">
      <formula>1</formula>
    </cfRule>
  </conditionalFormatting>
  <conditionalFormatting sqref="C11:H16">
    <cfRule type="expression" dxfId="89" priority="10">
      <formula>$C$5=1</formula>
    </cfRule>
  </conditionalFormatting>
  <conditionalFormatting sqref="S5:X10">
    <cfRule type="cellIs" dxfId="88" priority="7" operator="equal">
      <formula>3</formula>
    </cfRule>
  </conditionalFormatting>
  <conditionalFormatting sqref="S11:X16">
    <cfRule type="expression" dxfId="87" priority="6">
      <formula>$S$5=3</formula>
    </cfRule>
  </conditionalFormatting>
  <conditionalFormatting sqref="AA5:AF10">
    <cfRule type="cellIs" dxfId="86" priority="5" operator="equal">
      <formula>4</formula>
    </cfRule>
  </conditionalFormatting>
  <conditionalFormatting sqref="AA11:AF16">
    <cfRule type="expression" dxfId="85" priority="4">
      <formula>$AA$5=4</formula>
    </cfRule>
  </conditionalFormatting>
  <conditionalFormatting sqref="K5:P10">
    <cfRule type="cellIs" dxfId="84" priority="3" operator="equal">
      <formula>2</formula>
    </cfRule>
  </conditionalFormatting>
  <conditionalFormatting sqref="K11:P16">
    <cfRule type="expression" dxfId="83" priority="2">
      <formula>$K$5=2</formula>
    </cfRule>
  </conditionalFormatting>
  <pageMargins left="0.7" right="0.7" top="0.78740157499999996" bottom="0.78740157499999996" header="0.3" footer="0.3"/>
  <pageSetup paperSize="9" scale="78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26</xdr:col>
                    <xdr:colOff>38100</xdr:colOff>
                    <xdr:row>23</xdr:row>
                    <xdr:rowOff>142875</xdr:rowOff>
                  </from>
                  <to>
                    <xdr:col>30</xdr:col>
                    <xdr:colOff>66675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18</xdr:col>
                    <xdr:colOff>47625</xdr:colOff>
                    <xdr:row>23</xdr:row>
                    <xdr:rowOff>142875</xdr:rowOff>
                  </from>
                  <to>
                    <xdr:col>22</xdr:col>
                    <xdr:colOff>114300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Drop Down 3">
              <controlPr defaultSize="0" autoLine="0" autoPict="0">
                <anchor moveWithCells="1">
                  <from>
                    <xdr:col>18</xdr:col>
                    <xdr:colOff>9525</xdr:colOff>
                    <xdr:row>42</xdr:row>
                    <xdr:rowOff>152400</xdr:rowOff>
                  </from>
                  <to>
                    <xdr:col>25</xdr:col>
                    <xdr:colOff>9525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Drop Down 4">
              <controlPr defaultSize="0" autoLine="0" autoPict="0">
                <anchor moveWithCells="1">
                  <from>
                    <xdr:col>2</xdr:col>
                    <xdr:colOff>19050</xdr:colOff>
                    <xdr:row>28</xdr:row>
                    <xdr:rowOff>38100</xdr:rowOff>
                  </from>
                  <to>
                    <xdr:col>7</xdr:col>
                    <xdr:colOff>133350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Drop Down 5">
              <controlPr defaultSize="0" autoLine="0" autoPict="0">
                <anchor moveWithCells="1">
                  <from>
                    <xdr:col>2</xdr:col>
                    <xdr:colOff>28575</xdr:colOff>
                    <xdr:row>42</xdr:row>
                    <xdr:rowOff>142875</xdr:rowOff>
                  </from>
                  <to>
                    <xdr:col>12</xdr:col>
                    <xdr:colOff>180975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Option Button 6">
              <controlPr defaultSize="0" autoFill="0" autoLine="0" autoPict="0">
                <anchor moveWithCells="1">
                  <from>
                    <xdr:col>4</xdr:col>
                    <xdr:colOff>114300</xdr:colOff>
                    <xdr:row>12</xdr:row>
                    <xdr:rowOff>114300</xdr:rowOff>
                  </from>
                  <to>
                    <xdr:col>5</xdr:col>
                    <xdr:colOff>76200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0" name="Drop Down 9">
              <controlPr defaultSize="0" autoLine="0" autoPict="0">
                <anchor moveWithCells="1">
                  <from>
                    <xdr:col>18</xdr:col>
                    <xdr:colOff>0</xdr:colOff>
                    <xdr:row>45</xdr:row>
                    <xdr:rowOff>19050</xdr:rowOff>
                  </from>
                  <to>
                    <xdr:col>27</xdr:col>
                    <xdr:colOff>9525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1" name="List Box 10">
              <controlPr defaultSize="0" autoLine="0" autoPict="0">
                <anchor moveWithCells="1">
                  <from>
                    <xdr:col>26</xdr:col>
                    <xdr:colOff>28575</xdr:colOff>
                    <xdr:row>27</xdr:row>
                    <xdr:rowOff>180975</xdr:rowOff>
                  </from>
                  <to>
                    <xdr:col>32</xdr:col>
                    <xdr:colOff>190500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2" name="Drop Down 11">
              <controlPr defaultSize="0" autoLine="0" autoPict="0">
                <anchor moveWithCells="1">
                  <from>
                    <xdr:col>13</xdr:col>
                    <xdr:colOff>0</xdr:colOff>
                    <xdr:row>28</xdr:row>
                    <xdr:rowOff>19050</xdr:rowOff>
                  </from>
                  <to>
                    <xdr:col>19</xdr:col>
                    <xdr:colOff>85725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3" name="List Box 12">
              <controlPr defaultSize="0" autoLine="0" autoPict="0">
                <anchor moveWithCells="1">
                  <from>
                    <xdr:col>14</xdr:col>
                    <xdr:colOff>38100</xdr:colOff>
                    <xdr:row>42</xdr:row>
                    <xdr:rowOff>152400</xdr:rowOff>
                  </from>
                  <to>
                    <xdr:col>17</xdr:col>
                    <xdr:colOff>133350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4" name="Option Button 14">
              <controlPr defaultSize="0" autoFill="0" autoLine="0" autoPict="0">
                <anchor moveWithCells="1">
                  <from>
                    <xdr:col>12</xdr:col>
                    <xdr:colOff>142875</xdr:colOff>
                    <xdr:row>12</xdr:row>
                    <xdr:rowOff>133350</xdr:rowOff>
                  </from>
                  <to>
                    <xdr:col>13</xdr:col>
                    <xdr:colOff>104775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5" name="Option Button 15">
              <controlPr defaultSize="0" autoFill="0" autoLine="0" autoPict="0">
                <anchor moveWithCells="1">
                  <from>
                    <xdr:col>20</xdr:col>
                    <xdr:colOff>123825</xdr:colOff>
                    <xdr:row>12</xdr:row>
                    <xdr:rowOff>104775</xdr:rowOff>
                  </from>
                  <to>
                    <xdr:col>21</xdr:col>
                    <xdr:colOff>85725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6" name="Option Button 16">
              <controlPr defaultSize="0" autoFill="0" autoLine="0" autoPict="0">
                <anchor moveWithCells="1">
                  <from>
                    <xdr:col>28</xdr:col>
                    <xdr:colOff>133350</xdr:colOff>
                    <xdr:row>12</xdr:row>
                    <xdr:rowOff>95250</xdr:rowOff>
                  </from>
                  <to>
                    <xdr:col>29</xdr:col>
                    <xdr:colOff>104775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17" name="Scroll Bar 18">
              <controlPr defaultSize="0" autoPict="0">
                <anchor moveWithCells="1">
                  <from>
                    <xdr:col>6</xdr:col>
                    <xdr:colOff>9525</xdr:colOff>
                    <xdr:row>19</xdr:row>
                    <xdr:rowOff>9525</xdr:rowOff>
                  </from>
                  <to>
                    <xdr:col>6</xdr:col>
                    <xdr:colOff>209550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18" name="Drop Down 20">
              <controlPr defaultSize="0" autoLine="0" autoPict="0">
                <anchor moveWithCells="1">
                  <from>
                    <xdr:col>20</xdr:col>
                    <xdr:colOff>152400</xdr:colOff>
                    <xdr:row>28</xdr:row>
                    <xdr:rowOff>19050</xdr:rowOff>
                  </from>
                  <to>
                    <xdr:col>24</xdr:col>
                    <xdr:colOff>200025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BBF013-C92B-464F-BDFA-036F9CDAD70F}">
            <xm:f>select!$P$980=1</xm:f>
            <x14:dxf>
              <font>
                <b/>
                <i val="0"/>
                <color rgb="FF008228"/>
              </font>
            </x14:dxf>
          </x14:cfRule>
          <xm:sqref>C21:F24</xm:sqref>
        </x14:conditionalFormatting>
        <x14:conditionalFormatting xmlns:xm="http://schemas.microsoft.com/office/excel/2006/main">
          <x14:cfRule type="cellIs" priority="44" operator="equal" id="{52226A15-F557-402C-8847-488582282EB7}">
            <xm:f>Sprache!$A$38</xm:f>
            <x14:dxf>
              <font>
                <color theme="0" tint="-0.34998626667073579"/>
              </font>
            </x14:dxf>
          </x14:cfRule>
          <xm:sqref>J49:J53 K34</xm:sqref>
        </x14:conditionalFormatting>
        <x14:conditionalFormatting xmlns:xm="http://schemas.microsoft.com/office/excel/2006/main">
          <x14:cfRule type="cellIs" priority="54" operator="equal" id="{E6AFEB8E-CD3E-42FE-997C-C808AC4F099F}">
            <xm:f>Sprache!$A$56</xm:f>
            <x14:dxf>
              <font>
                <color theme="0" tint="-0.34998626667073579"/>
              </font>
            </x14:dxf>
          </x14:cfRule>
          <xm:sqref>C49:C53 C34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>
    <tabColor theme="0" tint="-0.499984740745262"/>
    <pageSetUpPr fitToPage="1"/>
  </sheetPr>
  <dimension ref="C2:AY235"/>
  <sheetViews>
    <sheetView showGridLines="0" showRowColHeaders="0" zoomScaleNormal="100" workbookViewId="0">
      <selection activeCell="E6" sqref="E6"/>
    </sheetView>
  </sheetViews>
  <sheetFormatPr baseColWidth="10" defaultRowHeight="15" x14ac:dyDescent="0.25"/>
  <cols>
    <col min="1" max="1" width="3.140625" customWidth="1"/>
    <col min="2" max="28" width="3.28515625" customWidth="1"/>
    <col min="29" max="29" width="3.85546875" customWidth="1"/>
    <col min="30" max="30" width="3.7109375" customWidth="1"/>
    <col min="31" max="31" width="3.28515625" customWidth="1"/>
    <col min="32" max="32" width="2.42578125" customWidth="1"/>
    <col min="33" max="51" width="3.28515625" customWidth="1"/>
  </cols>
  <sheetData>
    <row r="2" spans="3:40" ht="15.95" customHeight="1" x14ac:dyDescent="0.25">
      <c r="C2" s="967" t="str">
        <f ca="1">Sprache!A96&amp;" "&amp;select!A746</f>
        <v>Spezialscharnier Tiomos 100</v>
      </c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C2" s="959" t="str">
        <f ca="1">Sprache!A53</f>
        <v>zurück</v>
      </c>
      <c r="AD2" s="959"/>
      <c r="AE2" s="959"/>
      <c r="AF2" s="959"/>
    </row>
    <row r="3" spans="3:40" ht="15.95" customHeight="1" thickBot="1" x14ac:dyDescent="0.3"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34"/>
      <c r="AC3" s="959"/>
      <c r="AD3" s="959"/>
      <c r="AE3" s="959"/>
      <c r="AF3" s="959"/>
    </row>
    <row r="4" spans="3:40" ht="15.95" customHeight="1" x14ac:dyDescent="0.25"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</row>
    <row r="5" spans="3:40" ht="15.95" customHeight="1" x14ac:dyDescent="0.25">
      <c r="C5" s="107">
        <f>select!$A$747</f>
        <v>1</v>
      </c>
      <c r="D5" s="108">
        <f>select!$A$747</f>
        <v>1</v>
      </c>
      <c r="E5" s="108">
        <f>select!$A$747</f>
        <v>1</v>
      </c>
      <c r="F5" s="108">
        <f>select!$A$747</f>
        <v>1</v>
      </c>
      <c r="G5" s="108">
        <f>select!$A$747</f>
        <v>1</v>
      </c>
      <c r="H5" s="113">
        <f>select!$A$747</f>
        <v>1</v>
      </c>
      <c r="I5" s="107">
        <f>select!$A$747</f>
        <v>1</v>
      </c>
      <c r="J5" s="108">
        <f>select!$A$747</f>
        <v>1</v>
      </c>
      <c r="K5" s="108">
        <f>select!$A$747</f>
        <v>1</v>
      </c>
      <c r="L5" s="108">
        <f>select!$A$747</f>
        <v>1</v>
      </c>
      <c r="M5" s="108">
        <f>select!$A$747</f>
        <v>1</v>
      </c>
      <c r="N5" s="113">
        <f>select!$A$747</f>
        <v>1</v>
      </c>
      <c r="O5" s="107">
        <f>select!$A$747</f>
        <v>1</v>
      </c>
      <c r="P5" s="108">
        <f>select!$A$747</f>
        <v>1</v>
      </c>
      <c r="Q5" s="108">
        <f>select!$A$747</f>
        <v>1</v>
      </c>
      <c r="R5" s="108">
        <f>select!$A$747</f>
        <v>1</v>
      </c>
      <c r="S5" s="108">
        <f>select!$A$747</f>
        <v>1</v>
      </c>
      <c r="T5" s="113">
        <f>select!$A$747</f>
        <v>1</v>
      </c>
      <c r="U5" s="107">
        <f>select!$A$747</f>
        <v>1</v>
      </c>
      <c r="V5" s="108">
        <f>select!$A$747</f>
        <v>1</v>
      </c>
      <c r="W5" s="108">
        <f>select!$A$747</f>
        <v>1</v>
      </c>
      <c r="X5" s="108">
        <f>select!$A$747</f>
        <v>1</v>
      </c>
      <c r="Y5" s="108">
        <f>select!$A$747</f>
        <v>1</v>
      </c>
      <c r="Z5" s="113">
        <f>select!$A$747</f>
        <v>1</v>
      </c>
      <c r="AA5" s="107">
        <f>select!$A$747</f>
        <v>1</v>
      </c>
      <c r="AB5" s="108">
        <f>select!$A$747</f>
        <v>1</v>
      </c>
      <c r="AC5" s="108">
        <f>select!$A$747</f>
        <v>1</v>
      </c>
      <c r="AD5" s="108">
        <f>select!$A$747</f>
        <v>1</v>
      </c>
      <c r="AE5" s="108">
        <f>select!$A$747</f>
        <v>1</v>
      </c>
      <c r="AF5" s="113">
        <f>select!$A$747</f>
        <v>1</v>
      </c>
      <c r="AN5" t="str">
        <f>"
"</f>
        <v xml:space="preserve">
</v>
      </c>
    </row>
    <row r="6" spans="3:40" ht="15.95" customHeight="1" x14ac:dyDescent="0.25">
      <c r="C6" s="109">
        <f>select!$A$747</f>
        <v>1</v>
      </c>
      <c r="D6" s="110">
        <f>select!$A$747</f>
        <v>1</v>
      </c>
      <c r="E6" s="110">
        <f>select!$A$747</f>
        <v>1</v>
      </c>
      <c r="F6" s="110">
        <f>select!$A$747</f>
        <v>1</v>
      </c>
      <c r="G6" s="110">
        <f>select!$A$747</f>
        <v>1</v>
      </c>
      <c r="H6" s="114">
        <f>select!$A$747</f>
        <v>1</v>
      </c>
      <c r="I6" s="109">
        <f>select!$A$747</f>
        <v>1</v>
      </c>
      <c r="J6" s="110">
        <f>select!$A$747</f>
        <v>1</v>
      </c>
      <c r="K6" s="110">
        <f>select!$A$747</f>
        <v>1</v>
      </c>
      <c r="L6" s="110">
        <f>select!$A$747</f>
        <v>1</v>
      </c>
      <c r="M6" s="110">
        <f>select!$A$747</f>
        <v>1</v>
      </c>
      <c r="N6" s="114">
        <f>select!$A$747</f>
        <v>1</v>
      </c>
      <c r="O6" s="109">
        <f>select!$A$747</f>
        <v>1</v>
      </c>
      <c r="P6" s="110">
        <f>select!$A$747</f>
        <v>1</v>
      </c>
      <c r="Q6" s="110">
        <f>select!$A$747</f>
        <v>1</v>
      </c>
      <c r="R6" s="110">
        <f>select!$A$747</f>
        <v>1</v>
      </c>
      <c r="S6" s="110">
        <f>select!$A$747</f>
        <v>1</v>
      </c>
      <c r="T6" s="114">
        <f>select!$A$747</f>
        <v>1</v>
      </c>
      <c r="U6" s="109">
        <f>select!$A$747</f>
        <v>1</v>
      </c>
      <c r="V6" s="110">
        <f>select!$A$747</f>
        <v>1</v>
      </c>
      <c r="W6" s="110">
        <f>select!$A$747</f>
        <v>1</v>
      </c>
      <c r="X6" s="110">
        <f>select!$A$747</f>
        <v>1</v>
      </c>
      <c r="Y6" s="110">
        <f>select!$A$747</f>
        <v>1</v>
      </c>
      <c r="Z6" s="114">
        <f>select!$A$747</f>
        <v>1</v>
      </c>
      <c r="AA6" s="109">
        <f>select!$A$747</f>
        <v>1</v>
      </c>
      <c r="AB6" s="110">
        <f>select!$A$747</f>
        <v>1</v>
      </c>
      <c r="AC6" s="110">
        <f>select!$A$747</f>
        <v>1</v>
      </c>
      <c r="AD6" s="110">
        <f>select!$A$747</f>
        <v>1</v>
      </c>
      <c r="AE6" s="110">
        <f>select!$A$747</f>
        <v>1</v>
      </c>
      <c r="AF6" s="114">
        <f>select!$A$747</f>
        <v>1</v>
      </c>
    </row>
    <row r="7" spans="3:40" ht="15.95" customHeight="1" x14ac:dyDescent="0.25">
      <c r="C7" s="109">
        <f>select!$A$747</f>
        <v>1</v>
      </c>
      <c r="D7" s="110">
        <f>select!$A$747</f>
        <v>1</v>
      </c>
      <c r="E7" s="110">
        <f>select!$A$747</f>
        <v>1</v>
      </c>
      <c r="F7" s="110">
        <f>select!$A$747</f>
        <v>1</v>
      </c>
      <c r="G7" s="110">
        <f>select!$A$747</f>
        <v>1</v>
      </c>
      <c r="H7" s="114">
        <f>select!$A$747</f>
        <v>1</v>
      </c>
      <c r="I7" s="109">
        <f>select!$A$747</f>
        <v>1</v>
      </c>
      <c r="J7" s="110">
        <f>select!$A$747</f>
        <v>1</v>
      </c>
      <c r="K7" s="110">
        <f>select!$A$747</f>
        <v>1</v>
      </c>
      <c r="L7" s="110">
        <f>select!$A$747</f>
        <v>1</v>
      </c>
      <c r="M7" s="110">
        <f>select!$A$747</f>
        <v>1</v>
      </c>
      <c r="N7" s="114">
        <f>select!$A$747</f>
        <v>1</v>
      </c>
      <c r="O7" s="109">
        <f>select!$A$747</f>
        <v>1</v>
      </c>
      <c r="P7" s="110">
        <f>select!$A$747</f>
        <v>1</v>
      </c>
      <c r="Q7" s="110">
        <f>select!$A$747</f>
        <v>1</v>
      </c>
      <c r="R7" s="110">
        <f>select!$A$747</f>
        <v>1</v>
      </c>
      <c r="S7" s="110">
        <f>select!$A$747</f>
        <v>1</v>
      </c>
      <c r="T7" s="114">
        <f>select!$A$747</f>
        <v>1</v>
      </c>
      <c r="U7" s="109">
        <f>select!$A$747</f>
        <v>1</v>
      </c>
      <c r="V7" s="110">
        <f>select!$A$747</f>
        <v>1</v>
      </c>
      <c r="W7" s="110">
        <f>select!$A$747</f>
        <v>1</v>
      </c>
      <c r="X7" s="110">
        <f>select!$A$747</f>
        <v>1</v>
      </c>
      <c r="Y7" s="110">
        <f>select!$A$747</f>
        <v>1</v>
      </c>
      <c r="Z7" s="114">
        <f>select!$A$747</f>
        <v>1</v>
      </c>
      <c r="AA7" s="109">
        <f>select!$A$747</f>
        <v>1</v>
      </c>
      <c r="AB7" s="110">
        <f>select!$A$747</f>
        <v>1</v>
      </c>
      <c r="AC7" s="110">
        <f>select!$A$747</f>
        <v>1</v>
      </c>
      <c r="AD7" s="110">
        <f>select!$A$747</f>
        <v>1</v>
      </c>
      <c r="AE7" s="110">
        <f>select!$A$747</f>
        <v>1</v>
      </c>
      <c r="AF7" s="114">
        <f>select!$A$747</f>
        <v>1</v>
      </c>
    </row>
    <row r="8" spans="3:40" ht="15.95" customHeight="1" x14ac:dyDescent="0.25">
      <c r="C8" s="109">
        <f>select!$A$747</f>
        <v>1</v>
      </c>
      <c r="D8" s="110">
        <f>select!$A$747</f>
        <v>1</v>
      </c>
      <c r="E8" s="110">
        <f>select!$A$747</f>
        <v>1</v>
      </c>
      <c r="F8" s="110">
        <f>select!$A$747</f>
        <v>1</v>
      </c>
      <c r="G8" s="110">
        <f>select!$A$747</f>
        <v>1</v>
      </c>
      <c r="H8" s="114">
        <f>select!$A$747</f>
        <v>1</v>
      </c>
      <c r="I8" s="109">
        <f>select!$A$747</f>
        <v>1</v>
      </c>
      <c r="J8" s="110">
        <f>select!$A$747</f>
        <v>1</v>
      </c>
      <c r="K8" s="110">
        <f>select!$A$747</f>
        <v>1</v>
      </c>
      <c r="L8" s="110">
        <f>select!$A$747</f>
        <v>1</v>
      </c>
      <c r="M8" s="110">
        <f>select!$A$747</f>
        <v>1</v>
      </c>
      <c r="N8" s="114">
        <f>select!$A$747</f>
        <v>1</v>
      </c>
      <c r="O8" s="109">
        <f>select!$A$747</f>
        <v>1</v>
      </c>
      <c r="P8" s="110">
        <f>select!$A$747</f>
        <v>1</v>
      </c>
      <c r="Q8" s="110">
        <f>select!$A$747</f>
        <v>1</v>
      </c>
      <c r="R8" s="110">
        <f>select!$A$747</f>
        <v>1</v>
      </c>
      <c r="S8" s="110">
        <f>select!$A$747</f>
        <v>1</v>
      </c>
      <c r="T8" s="114">
        <f>select!$A$747</f>
        <v>1</v>
      </c>
      <c r="U8" s="109">
        <f>select!$A$747</f>
        <v>1</v>
      </c>
      <c r="V8" s="110">
        <f>select!$A$747</f>
        <v>1</v>
      </c>
      <c r="W8" s="110">
        <f>select!$A$747</f>
        <v>1</v>
      </c>
      <c r="X8" s="110">
        <f>select!$A$747</f>
        <v>1</v>
      </c>
      <c r="Y8" s="110">
        <f>select!$A$747</f>
        <v>1</v>
      </c>
      <c r="Z8" s="114">
        <f>select!$A$747</f>
        <v>1</v>
      </c>
      <c r="AA8" s="109">
        <f>select!$A$747</f>
        <v>1</v>
      </c>
      <c r="AB8" s="110">
        <f>select!$A$747</f>
        <v>1</v>
      </c>
      <c r="AC8" s="110">
        <f>select!$A$747</f>
        <v>1</v>
      </c>
      <c r="AD8" s="110">
        <f>select!$A$747</f>
        <v>1</v>
      </c>
      <c r="AE8" s="110">
        <f>select!$A$747</f>
        <v>1</v>
      </c>
      <c r="AF8" s="114">
        <f>select!$A$747</f>
        <v>1</v>
      </c>
    </row>
    <row r="9" spans="3:40" ht="15.95" customHeight="1" x14ac:dyDescent="0.25">
      <c r="C9" s="109">
        <f>select!$A$747</f>
        <v>1</v>
      </c>
      <c r="D9" s="110">
        <f>select!$A$747</f>
        <v>1</v>
      </c>
      <c r="E9" s="110">
        <f>select!$A$747</f>
        <v>1</v>
      </c>
      <c r="F9" s="110">
        <f>select!$A$747</f>
        <v>1</v>
      </c>
      <c r="G9" s="110">
        <f>select!$A$747</f>
        <v>1</v>
      </c>
      <c r="H9" s="114">
        <f>select!$A$747</f>
        <v>1</v>
      </c>
      <c r="I9" s="109">
        <f>select!$A$747</f>
        <v>1</v>
      </c>
      <c r="J9" s="110">
        <f>select!$A$747</f>
        <v>1</v>
      </c>
      <c r="K9" s="110">
        <f>select!$A$747</f>
        <v>1</v>
      </c>
      <c r="L9" s="110">
        <f>select!$A$747</f>
        <v>1</v>
      </c>
      <c r="M9" s="110">
        <f>select!$A$747</f>
        <v>1</v>
      </c>
      <c r="N9" s="114">
        <f>select!$A$747</f>
        <v>1</v>
      </c>
      <c r="O9" s="109">
        <f>select!$A$747</f>
        <v>1</v>
      </c>
      <c r="P9" s="110">
        <f>select!$A$747</f>
        <v>1</v>
      </c>
      <c r="Q9" s="110">
        <f>select!$A$747</f>
        <v>1</v>
      </c>
      <c r="R9" s="110">
        <f>select!$A$747</f>
        <v>1</v>
      </c>
      <c r="S9" s="110">
        <f>select!$A$747</f>
        <v>1</v>
      </c>
      <c r="T9" s="114">
        <f>select!$A$747</f>
        <v>1</v>
      </c>
      <c r="U9" s="109">
        <f>select!$A$747</f>
        <v>1</v>
      </c>
      <c r="V9" s="110">
        <f>select!$A$747</f>
        <v>1</v>
      </c>
      <c r="W9" s="110">
        <f>select!$A$747</f>
        <v>1</v>
      </c>
      <c r="X9" s="110">
        <f>select!$A$747</f>
        <v>1</v>
      </c>
      <c r="Y9" s="110">
        <f>select!$A$747</f>
        <v>1</v>
      </c>
      <c r="Z9" s="114">
        <f>select!$A$747</f>
        <v>1</v>
      </c>
      <c r="AA9" s="109">
        <f>select!$A$747</f>
        <v>1</v>
      </c>
      <c r="AB9" s="110">
        <f>select!$A$747</f>
        <v>1</v>
      </c>
      <c r="AC9" s="110">
        <f>select!$A$747</f>
        <v>1</v>
      </c>
      <c r="AD9" s="110">
        <f>select!$A$747</f>
        <v>1</v>
      </c>
      <c r="AE9" s="110">
        <f>select!$A$747</f>
        <v>1</v>
      </c>
      <c r="AF9" s="114">
        <f>select!$A$747</f>
        <v>1</v>
      </c>
    </row>
    <row r="10" spans="3:40" ht="15.95" customHeight="1" x14ac:dyDescent="0.25">
      <c r="C10" s="109">
        <f>select!$A$747</f>
        <v>1</v>
      </c>
      <c r="D10" s="110">
        <f>select!$A$747</f>
        <v>1</v>
      </c>
      <c r="E10" s="110">
        <f>select!$A$747</f>
        <v>1</v>
      </c>
      <c r="F10" s="110">
        <f>select!$A$747</f>
        <v>1</v>
      </c>
      <c r="G10" s="110">
        <f>select!$A$747</f>
        <v>1</v>
      </c>
      <c r="H10" s="114">
        <f>select!$A$747</f>
        <v>1</v>
      </c>
      <c r="I10" s="109">
        <f>select!$A$747</f>
        <v>1</v>
      </c>
      <c r="J10" s="110">
        <f>select!$A$747</f>
        <v>1</v>
      </c>
      <c r="K10" s="110">
        <f>select!$A$747</f>
        <v>1</v>
      </c>
      <c r="L10" s="110">
        <f>select!$A$747</f>
        <v>1</v>
      </c>
      <c r="M10" s="110">
        <f>select!$A$747</f>
        <v>1</v>
      </c>
      <c r="N10" s="114">
        <f>select!$A$747</f>
        <v>1</v>
      </c>
      <c r="O10" s="109">
        <f>select!$A$747</f>
        <v>1</v>
      </c>
      <c r="P10" s="110">
        <f>select!$A$747</f>
        <v>1</v>
      </c>
      <c r="Q10" s="110">
        <f>select!$A$747</f>
        <v>1</v>
      </c>
      <c r="R10" s="110">
        <f>select!$A$747</f>
        <v>1</v>
      </c>
      <c r="S10" s="110">
        <f>select!$A$747</f>
        <v>1</v>
      </c>
      <c r="T10" s="114">
        <f>select!$A$747</f>
        <v>1</v>
      </c>
      <c r="U10" s="109">
        <f>select!$A$747</f>
        <v>1</v>
      </c>
      <c r="V10" s="110">
        <f>select!$A$747</f>
        <v>1</v>
      </c>
      <c r="W10" s="110">
        <f>select!$A$747</f>
        <v>1</v>
      </c>
      <c r="X10" s="110">
        <f>select!$A$747</f>
        <v>1</v>
      </c>
      <c r="Y10" s="110">
        <f>select!$A$747</f>
        <v>1</v>
      </c>
      <c r="Z10" s="114">
        <f>select!$A$747</f>
        <v>1</v>
      </c>
      <c r="AA10" s="109">
        <f>select!$A$747</f>
        <v>1</v>
      </c>
      <c r="AB10" s="110">
        <f>select!$A$747</f>
        <v>1</v>
      </c>
      <c r="AC10" s="110">
        <f>select!$A$747</f>
        <v>1</v>
      </c>
      <c r="AD10" s="110">
        <f>select!$A$747</f>
        <v>1</v>
      </c>
      <c r="AE10" s="110">
        <f>select!$A$747</f>
        <v>1</v>
      </c>
      <c r="AF10" s="114">
        <f>select!$A$747</f>
        <v>1</v>
      </c>
    </row>
    <row r="11" spans="3:40" ht="15.95" customHeight="1" x14ac:dyDescent="0.25">
      <c r="C11" s="944" t="str">
        <f ca="1">"
Tiomos 100
"&amp;Sprache!A172&amp;"
"&amp;Sprache!A92</f>
        <v xml:space="preserve">
Tiomos 100
Kühlschrank
Scharnier</v>
      </c>
      <c r="D11" s="963"/>
      <c r="E11" s="963"/>
      <c r="F11" s="963"/>
      <c r="G11" s="963"/>
      <c r="H11" s="964"/>
      <c r="I11" s="944" t="str">
        <f ca="1">"
Tiomos PCC
"&amp;Sprache!A173&amp;"
"&amp;Sprache!A92</f>
        <v xml:space="preserve">
Tiomos PCC
Faltschrank
Scharnier</v>
      </c>
      <c r="J11" s="963"/>
      <c r="K11" s="963"/>
      <c r="L11" s="963"/>
      <c r="M11" s="963"/>
      <c r="N11" s="964"/>
      <c r="O11" s="944" t="str">
        <f>"
Tiomos 95 Mini"</f>
        <v xml:space="preserve">
Tiomos 95 Mini</v>
      </c>
      <c r="P11" s="963"/>
      <c r="Q11" s="963"/>
      <c r="R11" s="963"/>
      <c r="S11" s="963"/>
      <c r="T11" s="964"/>
      <c r="U11" s="944" t="str">
        <f>"
Tiomos M9"</f>
        <v xml:space="preserve">
Tiomos M9</v>
      </c>
      <c r="V11" s="963"/>
      <c r="W11" s="963"/>
      <c r="X11" s="963"/>
      <c r="Y11" s="963"/>
      <c r="Z11" s="964"/>
      <c r="AA11" s="944" t="str">
        <f>"
Tiomos M0"</f>
        <v xml:space="preserve">
Tiomos M0</v>
      </c>
      <c r="AB11" s="963"/>
      <c r="AC11" s="963"/>
      <c r="AD11" s="963"/>
      <c r="AE11" s="963"/>
      <c r="AF11" s="964"/>
    </row>
    <row r="12" spans="3:40" ht="15.95" customHeight="1" x14ac:dyDescent="0.25">
      <c r="C12" s="944"/>
      <c r="D12" s="963"/>
      <c r="E12" s="963"/>
      <c r="F12" s="963"/>
      <c r="G12" s="963"/>
      <c r="H12" s="964"/>
      <c r="I12" s="944"/>
      <c r="J12" s="963"/>
      <c r="K12" s="963"/>
      <c r="L12" s="963"/>
      <c r="M12" s="963"/>
      <c r="N12" s="964"/>
      <c r="O12" s="944"/>
      <c r="P12" s="963"/>
      <c r="Q12" s="963"/>
      <c r="R12" s="963"/>
      <c r="S12" s="963"/>
      <c r="T12" s="964"/>
      <c r="U12" s="944"/>
      <c r="V12" s="963"/>
      <c r="W12" s="963"/>
      <c r="X12" s="963"/>
      <c r="Y12" s="963"/>
      <c r="Z12" s="964"/>
      <c r="AA12" s="944"/>
      <c r="AB12" s="963"/>
      <c r="AC12" s="963"/>
      <c r="AD12" s="963"/>
      <c r="AE12" s="963"/>
      <c r="AF12" s="964"/>
    </row>
    <row r="13" spans="3:40" ht="15.95" customHeight="1" x14ac:dyDescent="0.25">
      <c r="C13" s="944"/>
      <c r="D13" s="963"/>
      <c r="E13" s="963"/>
      <c r="F13" s="963"/>
      <c r="G13" s="963"/>
      <c r="H13" s="964"/>
      <c r="I13" s="944"/>
      <c r="J13" s="963"/>
      <c r="K13" s="963"/>
      <c r="L13" s="963"/>
      <c r="M13" s="963"/>
      <c r="N13" s="964"/>
      <c r="O13" s="944"/>
      <c r="P13" s="963"/>
      <c r="Q13" s="963"/>
      <c r="R13" s="963"/>
      <c r="S13" s="963"/>
      <c r="T13" s="964"/>
      <c r="U13" s="944"/>
      <c r="V13" s="963"/>
      <c r="W13" s="963"/>
      <c r="X13" s="963"/>
      <c r="Y13" s="963"/>
      <c r="Z13" s="964"/>
      <c r="AA13" s="944"/>
      <c r="AB13" s="963"/>
      <c r="AC13" s="963"/>
      <c r="AD13" s="963"/>
      <c r="AE13" s="963"/>
      <c r="AF13" s="964"/>
    </row>
    <row r="14" spans="3:40" ht="15.95" customHeight="1" x14ac:dyDescent="0.25">
      <c r="C14" s="944"/>
      <c r="D14" s="963"/>
      <c r="E14" s="963"/>
      <c r="F14" s="963"/>
      <c r="G14" s="963"/>
      <c r="H14" s="964"/>
      <c r="I14" s="944"/>
      <c r="J14" s="963"/>
      <c r="K14" s="963"/>
      <c r="L14" s="963"/>
      <c r="M14" s="963"/>
      <c r="N14" s="964"/>
      <c r="O14" s="944"/>
      <c r="P14" s="963"/>
      <c r="Q14" s="963"/>
      <c r="R14" s="963"/>
      <c r="S14" s="963"/>
      <c r="T14" s="964"/>
      <c r="U14" s="944"/>
      <c r="V14" s="963"/>
      <c r="W14" s="963"/>
      <c r="X14" s="963"/>
      <c r="Y14" s="963"/>
      <c r="Z14" s="964"/>
      <c r="AA14" s="944"/>
      <c r="AB14" s="963"/>
      <c r="AC14" s="963"/>
      <c r="AD14" s="963"/>
      <c r="AE14" s="963"/>
      <c r="AF14" s="964"/>
    </row>
    <row r="15" spans="3:40" ht="15.95" customHeight="1" x14ac:dyDescent="0.25">
      <c r="C15" s="944"/>
      <c r="D15" s="963"/>
      <c r="E15" s="963"/>
      <c r="F15" s="963"/>
      <c r="G15" s="963"/>
      <c r="H15" s="964"/>
      <c r="I15" s="944"/>
      <c r="J15" s="963"/>
      <c r="K15" s="963"/>
      <c r="L15" s="963"/>
      <c r="M15" s="963"/>
      <c r="N15" s="964"/>
      <c r="O15" s="944"/>
      <c r="P15" s="963"/>
      <c r="Q15" s="963"/>
      <c r="R15" s="963"/>
      <c r="S15" s="963"/>
      <c r="T15" s="964"/>
      <c r="U15" s="944"/>
      <c r="V15" s="963"/>
      <c r="W15" s="963"/>
      <c r="X15" s="963"/>
      <c r="Y15" s="963"/>
      <c r="Z15" s="964"/>
      <c r="AA15" s="944"/>
      <c r="AB15" s="963"/>
      <c r="AC15" s="963"/>
      <c r="AD15" s="963"/>
      <c r="AE15" s="963"/>
      <c r="AF15" s="964"/>
    </row>
    <row r="16" spans="3:40" ht="15.95" customHeight="1" x14ac:dyDescent="0.25">
      <c r="C16" s="1012"/>
      <c r="D16" s="965"/>
      <c r="E16" s="965"/>
      <c r="F16" s="965"/>
      <c r="G16" s="965"/>
      <c r="H16" s="966"/>
      <c r="I16" s="1012"/>
      <c r="J16" s="965"/>
      <c r="K16" s="965"/>
      <c r="L16" s="965"/>
      <c r="M16" s="965"/>
      <c r="N16" s="966"/>
      <c r="O16" s="1012"/>
      <c r="P16" s="965"/>
      <c r="Q16" s="965"/>
      <c r="R16" s="965"/>
      <c r="S16" s="965"/>
      <c r="T16" s="966"/>
      <c r="U16" s="1012"/>
      <c r="V16" s="965"/>
      <c r="W16" s="965"/>
      <c r="X16" s="965"/>
      <c r="Y16" s="965"/>
      <c r="Z16" s="966"/>
      <c r="AA16" s="1012"/>
      <c r="AB16" s="965"/>
      <c r="AC16" s="965"/>
      <c r="AD16" s="965"/>
      <c r="AE16" s="965"/>
      <c r="AF16" s="966"/>
    </row>
    <row r="17" spans="3:51" ht="15.95" customHeight="1" x14ac:dyDescent="0.25"/>
    <row r="18" spans="3:51" ht="15.95" customHeight="1" x14ac:dyDescent="0.25">
      <c r="C18" s="719" t="str">
        <f ca="1">select!O744</f>
        <v/>
      </c>
      <c r="D18" s="100"/>
    </row>
    <row r="19" spans="3:51" ht="15.95" customHeight="1" x14ac:dyDescent="0.25">
      <c r="C19" s="58" t="str">
        <f ca="1">select!D746</f>
        <v>Türauflage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7"/>
      <c r="R19" s="57"/>
      <c r="S19" s="58" t="str">
        <f ca="1">select!L746</f>
        <v>Topfabstand</v>
      </c>
      <c r="T19" s="58"/>
      <c r="U19" s="58"/>
      <c r="V19" s="58"/>
      <c r="W19" s="58"/>
      <c r="X19" s="57"/>
      <c r="Y19" s="58"/>
      <c r="Z19" s="58"/>
      <c r="AA19" s="58" t="str">
        <f ca="1">Sprache!A175</f>
        <v>Bohrbild</v>
      </c>
      <c r="AB19" s="58"/>
      <c r="AC19" s="57"/>
      <c r="AD19" s="57"/>
      <c r="AE19" s="57"/>
      <c r="AF19" s="57"/>
    </row>
    <row r="20" spans="3:51" ht="14.25" customHeight="1" thickBot="1" x14ac:dyDescent="0.3">
      <c r="D20" s="3"/>
      <c r="E20" s="3"/>
      <c r="F20" s="3"/>
      <c r="G20" s="3"/>
      <c r="H20" s="3"/>
      <c r="I20" s="3"/>
      <c r="J20" s="717" t="str">
        <f ca="1">Sprache!A62</f>
        <v>einl.</v>
      </c>
      <c r="K20" s="717"/>
      <c r="L20" s="717"/>
      <c r="M20" s="718" t="str">
        <f ca="1">Sprache!A58</f>
        <v>aufl.</v>
      </c>
      <c r="N20" s="717"/>
      <c r="O20" s="717"/>
      <c r="P20" s="3"/>
      <c r="Q20" s="3"/>
      <c r="R20" s="3"/>
      <c r="S20" s="277" t="str">
        <f ca="1">select!Q754</f>
        <v/>
      </c>
      <c r="T20" s="3"/>
      <c r="U20" s="3"/>
      <c r="V20" s="3"/>
      <c r="W20" s="3"/>
      <c r="X20" s="3"/>
      <c r="Y20" s="3"/>
      <c r="Z20" s="3"/>
      <c r="AA20" s="3"/>
      <c r="AB20" s="3"/>
    </row>
    <row r="21" spans="3:51" ht="14.25" customHeight="1" thickTop="1" x14ac:dyDescent="0.25">
      <c r="C21" s="941">
        <f ca="1">IFERROR(select!T787+select!H746,"---")</f>
        <v>5</v>
      </c>
      <c r="D21" s="941"/>
      <c r="E21" s="941"/>
      <c r="F21" s="941"/>
      <c r="G21" s="1004"/>
      <c r="R21" s="1"/>
    </row>
    <row r="22" spans="3:51" ht="14.25" customHeight="1" x14ac:dyDescent="0.25">
      <c r="C22" s="982">
        <f>select!$T$787</f>
        <v>3</v>
      </c>
      <c r="D22" s="983"/>
      <c r="E22" s="983"/>
      <c r="F22" s="984"/>
      <c r="G22" s="1005"/>
    </row>
    <row r="23" spans="3:51" ht="14.25" customHeight="1" x14ac:dyDescent="0.25">
      <c r="C23" s="985"/>
      <c r="D23" s="954"/>
      <c r="E23" s="954"/>
      <c r="F23" s="986"/>
      <c r="G23" s="1005"/>
    </row>
    <row r="24" spans="3:51" ht="14.25" customHeight="1" x14ac:dyDescent="0.25">
      <c r="C24" s="985"/>
      <c r="D24" s="954"/>
      <c r="E24" s="954"/>
      <c r="F24" s="986"/>
      <c r="G24" s="1005"/>
    </row>
    <row r="25" spans="3:51" ht="14.25" customHeight="1" x14ac:dyDescent="0.25">
      <c r="C25" s="955"/>
      <c r="D25" s="956"/>
      <c r="E25" s="956"/>
      <c r="F25" s="987"/>
      <c r="G25" s="1005"/>
    </row>
    <row r="26" spans="3:51" ht="14.25" customHeight="1" thickBot="1" x14ac:dyDescent="0.3">
      <c r="C26" s="969">
        <f ca="1">IFERROR(select!T787+select!I746,"---")</f>
        <v>2</v>
      </c>
      <c r="D26" s="970"/>
      <c r="E26" s="970"/>
      <c r="F26" s="971"/>
      <c r="G26" s="1006"/>
      <c r="AM26" s="3"/>
      <c r="AP26" s="99"/>
      <c r="AQ26" s="99"/>
      <c r="AT26" s="99"/>
      <c r="AW26" s="99"/>
      <c r="AY26" s="99"/>
    </row>
    <row r="27" spans="3:51" ht="14.25" customHeight="1" thickTop="1" x14ac:dyDescent="0.25">
      <c r="AA27" s="716" t="str">
        <f ca="1">select!C755</f>
        <v>Bitte ein Bohrbild auswählen</v>
      </c>
      <c r="AM27" s="708"/>
    </row>
    <row r="28" spans="3:51" ht="15.95" customHeight="1" x14ac:dyDescent="0.25">
      <c r="C28" s="58" t="str">
        <f ca="1">Sprache!A101</f>
        <v>Scharniertyp</v>
      </c>
      <c r="D28" s="58"/>
      <c r="E28" s="58"/>
      <c r="F28" s="58"/>
      <c r="G28" s="58"/>
      <c r="H28" s="58"/>
      <c r="I28" s="58"/>
      <c r="J28" s="59"/>
      <c r="K28" s="59"/>
      <c r="L28" s="57"/>
      <c r="M28" s="57"/>
      <c r="N28" s="58" t="str">
        <f ca="1">Sprache!A100</f>
        <v xml:space="preserve">Scharnierbefestigung </v>
      </c>
      <c r="O28" s="59"/>
      <c r="P28" s="59"/>
      <c r="Q28" s="59"/>
      <c r="R28" s="59"/>
      <c r="S28" s="59"/>
      <c r="T28" s="59"/>
      <c r="U28" s="59"/>
      <c r="V28" s="59"/>
      <c r="W28" s="58"/>
      <c r="X28" s="57"/>
      <c r="Y28" s="57"/>
      <c r="Z28" s="57"/>
      <c r="AA28" s="103"/>
      <c r="AB28" s="57"/>
      <c r="AC28" s="57"/>
      <c r="AD28" s="59"/>
      <c r="AE28" s="59"/>
      <c r="AF28" s="59"/>
      <c r="AM28" s="3"/>
    </row>
    <row r="29" spans="3:51" ht="15.95" customHeight="1" x14ac:dyDescent="0.25">
      <c r="C29" s="736" t="str">
        <f>select!C777</f>
        <v/>
      </c>
      <c r="N29" s="716" t="str">
        <f>select!C768</f>
        <v/>
      </c>
    </row>
    <row r="30" spans="3:51" ht="15.95" customHeight="1" x14ac:dyDescent="0.25"/>
    <row r="31" spans="3:51" ht="15.95" customHeight="1" x14ac:dyDescent="0.25"/>
    <row r="32" spans="3:51" ht="15.95" customHeight="1" x14ac:dyDescent="0.25">
      <c r="C32" s="24" t="str">
        <f ca="1">C2</f>
        <v>Spezialscharnier Tiomos 100</v>
      </c>
      <c r="AD32" s="84" t="str">
        <f ca="1">AD47</f>
        <v>Bestellnummer</v>
      </c>
    </row>
    <row r="33" spans="3:32" ht="15.95" customHeight="1" x14ac:dyDescent="0.25">
      <c r="C33" s="64" t="str">
        <f ca="1">select!F785</f>
        <v>keine Lösungen</v>
      </c>
      <c r="D33" s="65"/>
      <c r="E33" s="65"/>
      <c r="F33" s="65"/>
      <c r="G33" s="65"/>
      <c r="H33" s="65"/>
      <c r="I33" s="65"/>
      <c r="J33" s="65"/>
      <c r="K33" s="65" t="str">
        <f ca="1">select!D785</f>
        <v>Bitte Auswahl ändern!</v>
      </c>
      <c r="L33" s="65"/>
      <c r="M33" s="65"/>
      <c r="N33" s="65"/>
      <c r="O33" s="65"/>
      <c r="P33" s="65"/>
      <c r="Q33" s="65"/>
      <c r="R33" s="65"/>
      <c r="S33" s="65"/>
      <c r="T33" s="65" t="str">
        <f ca="1">select!E785</f>
        <v/>
      </c>
      <c r="U33" s="65"/>
      <c r="V33" s="65"/>
      <c r="W33" s="65"/>
      <c r="X33" s="65"/>
      <c r="Y33" s="65"/>
      <c r="Z33" s="65"/>
      <c r="AA33" s="65"/>
      <c r="AB33" s="300"/>
      <c r="AC33" s="43" t="str">
        <f ca="1">select!A785</f>
        <v/>
      </c>
      <c r="AD33" s="41" t="str">
        <f ca="1">select!B785</f>
        <v/>
      </c>
      <c r="AE33" s="46" t="str">
        <f ca="1">select!C785</f>
        <v/>
      </c>
      <c r="AF33" s="54"/>
    </row>
    <row r="34" spans="3:32" ht="15.95" customHeight="1" x14ac:dyDescent="0.25">
      <c r="C34" s="66" t="str">
        <f ca="1">select!F786</f>
        <v/>
      </c>
      <c r="D34" s="67"/>
      <c r="E34" s="67"/>
      <c r="F34" s="67"/>
      <c r="G34" s="67"/>
      <c r="H34" s="67"/>
      <c r="I34" s="67"/>
      <c r="J34" s="67"/>
      <c r="K34" s="67" t="str">
        <f ca="1">select!D786</f>
        <v/>
      </c>
      <c r="L34" s="67"/>
      <c r="M34" s="67"/>
      <c r="N34" s="67"/>
      <c r="O34" s="67"/>
      <c r="P34" s="67"/>
      <c r="Q34" s="67"/>
      <c r="R34" s="67"/>
      <c r="S34" s="67"/>
      <c r="T34" s="67" t="str">
        <f ca="1">select!E786</f>
        <v/>
      </c>
      <c r="U34" s="67"/>
      <c r="V34" s="67"/>
      <c r="W34" s="67"/>
      <c r="X34" s="67"/>
      <c r="Y34" s="67"/>
      <c r="Z34" s="67"/>
      <c r="AA34" s="67"/>
      <c r="AB34" s="34"/>
      <c r="AC34" s="44" t="str">
        <f ca="1">select!A786</f>
        <v/>
      </c>
      <c r="AD34" s="34" t="str">
        <f ca="1">select!B786</f>
        <v/>
      </c>
      <c r="AE34" s="47" t="str">
        <f ca="1">select!C786</f>
        <v/>
      </c>
      <c r="AF34" s="55"/>
    </row>
    <row r="35" spans="3:32" ht="15.95" customHeight="1" x14ac:dyDescent="0.25">
      <c r="C35" s="66" t="str">
        <f ca="1">select!F787</f>
        <v/>
      </c>
      <c r="D35" s="67"/>
      <c r="E35" s="67"/>
      <c r="F35" s="67"/>
      <c r="G35" s="67"/>
      <c r="H35" s="67"/>
      <c r="I35" s="67"/>
      <c r="J35" s="67"/>
      <c r="K35" s="67" t="str">
        <f ca="1">select!D787</f>
        <v/>
      </c>
      <c r="L35" s="67"/>
      <c r="M35" s="67"/>
      <c r="N35" s="67"/>
      <c r="O35" s="67"/>
      <c r="P35" s="67"/>
      <c r="Q35" s="67"/>
      <c r="R35" s="67"/>
      <c r="S35" s="67"/>
      <c r="T35" s="67" t="str">
        <f ca="1">select!E787</f>
        <v/>
      </c>
      <c r="U35" s="67"/>
      <c r="V35" s="67"/>
      <c r="W35" s="67"/>
      <c r="X35" s="67"/>
      <c r="Y35" s="67"/>
      <c r="Z35" s="67"/>
      <c r="AA35" s="67"/>
      <c r="AB35" s="34"/>
      <c r="AC35" s="44" t="str">
        <f ca="1">select!A787</f>
        <v/>
      </c>
      <c r="AD35" s="34" t="str">
        <f ca="1">select!B787</f>
        <v/>
      </c>
      <c r="AE35" s="47" t="str">
        <f ca="1">select!C787</f>
        <v/>
      </c>
      <c r="AF35" s="55"/>
    </row>
    <row r="36" spans="3:32" ht="15.95" customHeight="1" x14ac:dyDescent="0.25">
      <c r="C36" s="66" t="str">
        <f ca="1">select!F788</f>
        <v/>
      </c>
      <c r="D36" s="67"/>
      <c r="E36" s="67"/>
      <c r="F36" s="67"/>
      <c r="G36" s="67"/>
      <c r="H36" s="67"/>
      <c r="I36" s="67"/>
      <c r="J36" s="67"/>
      <c r="K36" s="67" t="str">
        <f ca="1">select!D788</f>
        <v/>
      </c>
      <c r="L36" s="67"/>
      <c r="M36" s="67"/>
      <c r="N36" s="67"/>
      <c r="O36" s="67"/>
      <c r="P36" s="67"/>
      <c r="Q36" s="67"/>
      <c r="R36" s="67"/>
      <c r="S36" s="67"/>
      <c r="T36" s="67" t="str">
        <f ca="1">select!E788</f>
        <v/>
      </c>
      <c r="U36" s="67"/>
      <c r="V36" s="67"/>
      <c r="W36" s="67"/>
      <c r="X36" s="67"/>
      <c r="Y36" s="67"/>
      <c r="Z36" s="67"/>
      <c r="AA36" s="67"/>
      <c r="AB36" s="34"/>
      <c r="AC36" s="44" t="str">
        <f ca="1">select!A788</f>
        <v/>
      </c>
      <c r="AD36" s="34" t="str">
        <f ca="1">select!B788</f>
        <v/>
      </c>
      <c r="AE36" s="47" t="str">
        <f ca="1">select!C788</f>
        <v/>
      </c>
      <c r="AF36" s="55"/>
    </row>
    <row r="37" spans="3:32" ht="15.95" customHeight="1" x14ac:dyDescent="0.25">
      <c r="C37" s="68" t="str">
        <f ca="1">select!F789</f>
        <v/>
      </c>
      <c r="D37" s="69"/>
      <c r="E37" s="69"/>
      <c r="F37" s="69"/>
      <c r="G37" s="69"/>
      <c r="H37" s="69"/>
      <c r="I37" s="69"/>
      <c r="J37" s="69"/>
      <c r="K37" s="69" t="str">
        <f ca="1">select!D789</f>
        <v/>
      </c>
      <c r="L37" s="69"/>
      <c r="M37" s="69"/>
      <c r="N37" s="69"/>
      <c r="O37" s="69"/>
      <c r="P37" s="69"/>
      <c r="Q37" s="69"/>
      <c r="R37" s="69"/>
      <c r="S37" s="69"/>
      <c r="T37" s="69" t="str">
        <f ca="1">select!E789</f>
        <v/>
      </c>
      <c r="U37" s="69"/>
      <c r="V37" s="69"/>
      <c r="W37" s="69"/>
      <c r="X37" s="69"/>
      <c r="Y37" s="69"/>
      <c r="Z37" s="69"/>
      <c r="AA37" s="69"/>
      <c r="AB37" s="6"/>
      <c r="AC37" s="45" t="str">
        <f ca="1">select!A789</f>
        <v/>
      </c>
      <c r="AD37" s="6" t="str">
        <f ca="1">select!B789</f>
        <v/>
      </c>
      <c r="AE37" s="48" t="str">
        <f ca="1">select!C789</f>
        <v/>
      </c>
      <c r="AF37" s="56"/>
    </row>
    <row r="38" spans="3:32" ht="15.95" customHeight="1" x14ac:dyDescent="0.25">
      <c r="C38" s="1021" t="str">
        <f ca="1">Sprache!A131</f>
        <v>Montageplatte</v>
      </c>
      <c r="D38" s="1021"/>
      <c r="E38" s="1021"/>
      <c r="F38" s="1021"/>
      <c r="G38" s="1021"/>
      <c r="H38" s="1021"/>
      <c r="I38" s="1021"/>
      <c r="J38" s="1021"/>
      <c r="K38" s="1021"/>
    </row>
    <row r="39" spans="3:32" ht="15.95" customHeight="1" thickBot="1" x14ac:dyDescent="0.3">
      <c r="C39" s="968"/>
      <c r="D39" s="968"/>
      <c r="E39" s="968"/>
      <c r="F39" s="968"/>
      <c r="G39" s="968"/>
      <c r="H39" s="968"/>
      <c r="I39" s="968"/>
      <c r="J39" s="968"/>
      <c r="K39" s="968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</row>
    <row r="40" spans="3:32" ht="15.95" customHeight="1" x14ac:dyDescent="0.25"/>
    <row r="41" spans="3:32" ht="15.95" customHeight="1" x14ac:dyDescent="0.25">
      <c r="C41" s="58" t="str">
        <f ca="1">Sprache!A133</f>
        <v>Montageplattentyp</v>
      </c>
      <c r="D41" s="58"/>
      <c r="E41" s="58"/>
      <c r="F41" s="58"/>
      <c r="G41" s="58"/>
      <c r="H41" s="58"/>
      <c r="I41" s="58"/>
      <c r="J41" s="58"/>
      <c r="K41" s="57"/>
      <c r="L41" s="57"/>
      <c r="M41" s="57"/>
      <c r="N41" s="57"/>
      <c r="O41" s="58" t="str">
        <f ca="1">Sprache!A151</f>
        <v xml:space="preserve">Befestigung </v>
      </c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3:32" ht="15.95" customHeight="1" x14ac:dyDescent="0.25">
      <c r="D42" s="60"/>
      <c r="E42" s="60"/>
      <c r="F42" s="60"/>
      <c r="G42" s="60"/>
      <c r="H42" s="60"/>
      <c r="I42" s="60"/>
      <c r="J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3"/>
    </row>
    <row r="43" spans="3:32" ht="15.95" customHeight="1" x14ac:dyDescent="0.25"/>
    <row r="44" spans="3:32" ht="15.95" customHeight="1" x14ac:dyDescent="0.25">
      <c r="C44" s="715" t="str">
        <f ca="1">select!M782</f>
        <v/>
      </c>
      <c r="R44" s="721"/>
      <c r="S44" s="736" t="str">
        <f ca="1">select!AJ793</f>
        <v/>
      </c>
    </row>
    <row r="45" spans="3:32" ht="15.95" customHeight="1" x14ac:dyDescent="0.25"/>
    <row r="46" spans="3:32" ht="15.95" customHeight="1" x14ac:dyDescent="0.25">
      <c r="O46" s="716" t="str">
        <f ca="1">select!K921</f>
        <v/>
      </c>
    </row>
    <row r="47" spans="3:32" ht="15.95" customHeight="1" x14ac:dyDescent="0.25">
      <c r="C47" s="24" t="str">
        <f>select!A255</f>
        <v>37/32</v>
      </c>
      <c r="AA47" s="1" t="str">
        <f ca="1">Sprache!A163</f>
        <v>Höhe</v>
      </c>
      <c r="AD47" s="84" t="str">
        <f ca="1">Sprache!A150</f>
        <v>Bestellnummer</v>
      </c>
    </row>
    <row r="48" spans="3:32" ht="15.95" customHeight="1" x14ac:dyDescent="0.25">
      <c r="C48" s="64" t="str">
        <f ca="1">select!J938</f>
        <v>Tiomos Montageplatten</v>
      </c>
      <c r="D48" s="65"/>
      <c r="E48" s="65"/>
      <c r="F48" s="65"/>
      <c r="G48" s="65"/>
      <c r="H48" s="65"/>
      <c r="I48" s="65"/>
      <c r="J48" s="65" t="str">
        <f ca="1">select!I938</f>
        <v>1D Kreuz Mtg-Platte</v>
      </c>
      <c r="K48" s="65"/>
      <c r="L48" s="65"/>
      <c r="M48" s="65"/>
      <c r="N48" s="65"/>
      <c r="O48" s="65"/>
      <c r="P48" s="65"/>
      <c r="Q48" s="65"/>
      <c r="R48" s="65"/>
      <c r="S48" s="61" t="str">
        <f ca="1">select!K938</f>
        <v>H 14, ni /37</v>
      </c>
      <c r="T48" s="61"/>
      <c r="U48" s="61"/>
      <c r="V48" s="61"/>
      <c r="W48" s="61"/>
      <c r="X48" s="302"/>
      <c r="Y48" s="300"/>
      <c r="Z48" s="1020">
        <f ca="1">select!L938</f>
        <v>14</v>
      </c>
      <c r="AA48" s="1020"/>
      <c r="AB48" s="61"/>
      <c r="AC48" s="43" t="str">
        <f ca="1">select!M938</f>
        <v>F058</v>
      </c>
      <c r="AD48" s="41" t="str">
        <f ca="1">select!N938</f>
        <v>139</v>
      </c>
      <c r="AE48" s="46" t="str">
        <f ca="1">select!O938</f>
        <v>889</v>
      </c>
      <c r="AF48" s="54"/>
    </row>
    <row r="49" spans="3:32" ht="15.95" customHeight="1" x14ac:dyDescent="0.25">
      <c r="C49" s="66" t="str">
        <f ca="1">select!J939</f>
        <v/>
      </c>
      <c r="D49" s="67"/>
      <c r="E49" s="67"/>
      <c r="F49" s="67"/>
      <c r="G49" s="67"/>
      <c r="H49" s="67"/>
      <c r="I49" s="67"/>
      <c r="J49" s="67" t="str">
        <f ca="1">select!I939</f>
        <v/>
      </c>
      <c r="K49" s="67"/>
      <c r="L49" s="67"/>
      <c r="M49" s="67"/>
      <c r="N49" s="67"/>
      <c r="O49" s="67"/>
      <c r="P49" s="67"/>
      <c r="Q49" s="67"/>
      <c r="R49" s="67"/>
      <c r="S49" s="62" t="str">
        <f ca="1">select!K939</f>
        <v/>
      </c>
      <c r="T49" s="62"/>
      <c r="U49" s="62"/>
      <c r="V49" s="62"/>
      <c r="W49" s="62"/>
      <c r="X49" s="62"/>
      <c r="Y49" s="34"/>
      <c r="Z49" s="957" t="str">
        <f ca="1">select!L939</f>
        <v/>
      </c>
      <c r="AA49" s="957"/>
      <c r="AB49" s="62"/>
      <c r="AC49" s="44" t="str">
        <f ca="1">select!M939</f>
        <v/>
      </c>
      <c r="AD49" s="34" t="str">
        <f ca="1">select!N939</f>
        <v/>
      </c>
      <c r="AE49" s="47" t="str">
        <f ca="1">select!O939</f>
        <v/>
      </c>
      <c r="AF49" s="55"/>
    </row>
    <row r="50" spans="3:32" ht="15.95" customHeight="1" x14ac:dyDescent="0.25">
      <c r="C50" s="81" t="str">
        <f ca="1">select!J940</f>
        <v/>
      </c>
      <c r="D50" s="67"/>
      <c r="E50" s="67"/>
      <c r="F50" s="67"/>
      <c r="G50" s="67"/>
      <c r="H50" s="67"/>
      <c r="I50" s="67"/>
      <c r="J50" s="67" t="str">
        <f ca="1">select!I940</f>
        <v/>
      </c>
      <c r="K50" s="67"/>
      <c r="L50" s="67"/>
      <c r="M50" s="67"/>
      <c r="N50" s="67"/>
      <c r="O50" s="67"/>
      <c r="P50" s="67"/>
      <c r="Q50" s="67"/>
      <c r="R50" s="67"/>
      <c r="S50" s="62" t="str">
        <f ca="1">select!K940</f>
        <v/>
      </c>
      <c r="T50" s="62"/>
      <c r="U50" s="62"/>
      <c r="V50" s="62"/>
      <c r="W50" s="62"/>
      <c r="X50" s="62"/>
      <c r="Y50" s="34"/>
      <c r="Z50" s="957" t="str">
        <f ca="1">select!L940</f>
        <v/>
      </c>
      <c r="AA50" s="957"/>
      <c r="AB50" s="62"/>
      <c r="AC50" s="44" t="str">
        <f ca="1">select!M940</f>
        <v/>
      </c>
      <c r="AD50" s="34" t="str">
        <f ca="1">select!N940</f>
        <v/>
      </c>
      <c r="AE50" s="47" t="str">
        <f ca="1">select!O940</f>
        <v/>
      </c>
      <c r="AF50" s="55"/>
    </row>
    <row r="51" spans="3:32" ht="15.95" customHeight="1" x14ac:dyDescent="0.25">
      <c r="C51" s="81" t="str">
        <f ca="1">select!J941</f>
        <v/>
      </c>
      <c r="D51" s="67"/>
      <c r="E51" s="67"/>
      <c r="F51" s="67"/>
      <c r="G51" s="67"/>
      <c r="H51" s="67"/>
      <c r="I51" s="67"/>
      <c r="J51" s="67" t="str">
        <f ca="1">select!I941</f>
        <v/>
      </c>
      <c r="K51" s="67"/>
      <c r="L51" s="67"/>
      <c r="M51" s="67"/>
      <c r="N51" s="67"/>
      <c r="O51" s="67"/>
      <c r="P51" s="67"/>
      <c r="Q51" s="67"/>
      <c r="R51" s="67"/>
      <c r="S51" s="62" t="str">
        <f ca="1">select!K941</f>
        <v/>
      </c>
      <c r="T51" s="62"/>
      <c r="U51" s="62"/>
      <c r="V51" s="62"/>
      <c r="W51" s="62"/>
      <c r="X51" s="62"/>
      <c r="Y51" s="34"/>
      <c r="Z51" s="957" t="str">
        <f ca="1">select!L941</f>
        <v/>
      </c>
      <c r="AA51" s="957"/>
      <c r="AB51" s="62"/>
      <c r="AC51" s="44" t="str">
        <f ca="1">select!M941</f>
        <v/>
      </c>
      <c r="AD51" s="34" t="str">
        <f ca="1">select!N941</f>
        <v/>
      </c>
      <c r="AE51" s="47" t="str">
        <f ca="1">select!O941</f>
        <v/>
      </c>
      <c r="AF51" s="55"/>
    </row>
    <row r="52" spans="3:32" ht="15.95" customHeight="1" x14ac:dyDescent="0.25">
      <c r="C52" s="68" t="str">
        <f ca="1">select!J942</f>
        <v/>
      </c>
      <c r="D52" s="69"/>
      <c r="E52" s="69"/>
      <c r="F52" s="69"/>
      <c r="G52" s="69"/>
      <c r="H52" s="69"/>
      <c r="I52" s="69"/>
      <c r="J52" s="69" t="str">
        <f ca="1">select!I942</f>
        <v/>
      </c>
      <c r="K52" s="69"/>
      <c r="L52" s="69"/>
      <c r="M52" s="69"/>
      <c r="N52" s="69"/>
      <c r="O52" s="69"/>
      <c r="P52" s="69"/>
      <c r="Q52" s="69"/>
      <c r="R52" s="69"/>
      <c r="S52" s="63" t="str">
        <f ca="1">select!K942</f>
        <v/>
      </c>
      <c r="T52" s="63"/>
      <c r="U52" s="63"/>
      <c r="V52" s="63"/>
      <c r="W52" s="63"/>
      <c r="X52" s="63"/>
      <c r="Y52" s="6"/>
      <c r="Z52" s="960" t="str">
        <f ca="1">select!L942</f>
        <v/>
      </c>
      <c r="AA52" s="960"/>
      <c r="AB52" s="63"/>
      <c r="AC52" s="45" t="str">
        <f ca="1">select!M942</f>
        <v/>
      </c>
      <c r="AD52" s="6" t="str">
        <f ca="1">select!N942</f>
        <v/>
      </c>
      <c r="AE52" s="48" t="str">
        <f ca="1">select!O942</f>
        <v/>
      </c>
      <c r="AF52" s="56"/>
    </row>
    <row r="53" spans="3:32" ht="15.95" customHeight="1" x14ac:dyDescent="0.25">
      <c r="C53" s="865" t="str">
        <f ca="1">select!S930</f>
        <v/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32" ht="15.95" customHeight="1" x14ac:dyDescent="0.25"/>
    <row r="55" spans="3:32" ht="15.95" customHeight="1" x14ac:dyDescent="0.25"/>
    <row r="56" spans="3:32" ht="15.95" customHeight="1" x14ac:dyDescent="0.25"/>
    <row r="57" spans="3:32" ht="15.95" customHeight="1" x14ac:dyDescent="0.25"/>
    <row r="58" spans="3:32" ht="15.95" customHeight="1" x14ac:dyDescent="0.25"/>
    <row r="59" spans="3:32" ht="15.95" customHeight="1" x14ac:dyDescent="0.25"/>
    <row r="60" spans="3:32" ht="15.95" customHeight="1" x14ac:dyDescent="0.25"/>
    <row r="61" spans="3:32" ht="15.95" customHeight="1" x14ac:dyDescent="0.25"/>
    <row r="62" spans="3:32" ht="15.95" customHeight="1" x14ac:dyDescent="0.25"/>
    <row r="63" spans="3:32" ht="15.95" customHeight="1" x14ac:dyDescent="0.25"/>
    <row r="64" spans="3:32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</sheetData>
  <sheetProtection password="9438" sheet="1" objects="1" scenarios="1"/>
  <mergeCells count="17">
    <mergeCell ref="AC2:AF3"/>
    <mergeCell ref="C38:K39"/>
    <mergeCell ref="O11:T16"/>
    <mergeCell ref="U11:Z16"/>
    <mergeCell ref="AA11:AF16"/>
    <mergeCell ref="C22:F25"/>
    <mergeCell ref="C21:F21"/>
    <mergeCell ref="C26:F26"/>
    <mergeCell ref="C11:H16"/>
    <mergeCell ref="I11:N16"/>
    <mergeCell ref="Z50:AA50"/>
    <mergeCell ref="Z51:AA51"/>
    <mergeCell ref="G21:G26"/>
    <mergeCell ref="Z52:AA52"/>
    <mergeCell ref="C2:AA3"/>
    <mergeCell ref="Z48:AA48"/>
    <mergeCell ref="Z49:AA49"/>
  </mergeCells>
  <conditionalFormatting sqref="C5:H10">
    <cfRule type="cellIs" dxfId="79" priority="15" operator="equal">
      <formula>1</formula>
    </cfRule>
  </conditionalFormatting>
  <conditionalFormatting sqref="C11:H16">
    <cfRule type="expression" dxfId="78" priority="14">
      <formula>$C$5=1</formula>
    </cfRule>
  </conditionalFormatting>
  <conditionalFormatting sqref="I5:N10">
    <cfRule type="cellIs" dxfId="77" priority="13" operator="equal">
      <formula>2</formula>
    </cfRule>
  </conditionalFormatting>
  <conditionalFormatting sqref="I11:N16">
    <cfRule type="expression" dxfId="76" priority="12">
      <formula>$I$5=2</formula>
    </cfRule>
  </conditionalFormatting>
  <conditionalFormatting sqref="O5:T10">
    <cfRule type="cellIs" dxfId="75" priority="11" operator="equal">
      <formula>3</formula>
    </cfRule>
  </conditionalFormatting>
  <conditionalFormatting sqref="O11:T16">
    <cfRule type="expression" dxfId="74" priority="10">
      <formula>$O$5=3</formula>
    </cfRule>
  </conditionalFormatting>
  <conditionalFormatting sqref="U5:Z10">
    <cfRule type="cellIs" dxfId="73" priority="9" operator="equal">
      <formula>4</formula>
    </cfRule>
  </conditionalFormatting>
  <conditionalFormatting sqref="U11:Z16">
    <cfRule type="expression" dxfId="72" priority="8">
      <formula>$U$5=4</formula>
    </cfRule>
  </conditionalFormatting>
  <conditionalFormatting sqref="AA5:AF10">
    <cfRule type="cellIs" dxfId="71" priority="7" operator="equal">
      <formula>5</formula>
    </cfRule>
  </conditionalFormatting>
  <conditionalFormatting sqref="AA11:AF16">
    <cfRule type="expression" dxfId="70" priority="6">
      <formula>$AA$5=5</formula>
    </cfRule>
  </conditionalFormatting>
  <pageMargins left="0.7" right="0.7" top="0.78740157499999996" bottom="0.78740157499999996" header="0.3" footer="0.3"/>
  <pageSetup paperSize="9" scale="78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defaultSize="0" autoLine="0" autoPict="0">
                <anchor moveWithCells="1">
                  <from>
                    <xdr:col>26</xdr:col>
                    <xdr:colOff>38100</xdr:colOff>
                    <xdr:row>24</xdr:row>
                    <xdr:rowOff>95250</xdr:rowOff>
                  </from>
                  <to>
                    <xdr:col>30</xdr:col>
                    <xdr:colOff>19050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Drop Down 2">
              <controlPr defaultSize="0" autoLine="0" autoPict="0">
                <anchor moveWithCells="1">
                  <from>
                    <xdr:col>18</xdr:col>
                    <xdr:colOff>38100</xdr:colOff>
                    <xdr:row>24</xdr:row>
                    <xdr:rowOff>95250</xdr:rowOff>
                  </from>
                  <to>
                    <xdr:col>22</xdr:col>
                    <xdr:colOff>104775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Drop Down 3">
              <controlPr defaultSize="0" autoLine="0" autoPict="0">
                <anchor moveWithCells="1">
                  <from>
                    <xdr:col>17</xdr:col>
                    <xdr:colOff>171450</xdr:colOff>
                    <xdr:row>41</xdr:row>
                    <xdr:rowOff>152400</xdr:rowOff>
                  </from>
                  <to>
                    <xdr:col>23</xdr:col>
                    <xdr:colOff>123825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Drop Down 4">
              <controlPr defaultSize="0" autoLine="0" autoPict="0">
                <anchor moveWithCells="1">
                  <from>
                    <xdr:col>2</xdr:col>
                    <xdr:colOff>19050</xdr:colOff>
                    <xdr:row>29</xdr:row>
                    <xdr:rowOff>47625</xdr:rowOff>
                  </from>
                  <to>
                    <xdr:col>7</xdr:col>
                    <xdr:colOff>200025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Drop Down 5">
              <controlPr defaultSize="0" autoLine="0" autoPict="0">
                <anchor moveWithCells="1">
                  <from>
                    <xdr:col>2</xdr:col>
                    <xdr:colOff>28575</xdr:colOff>
                    <xdr:row>41</xdr:row>
                    <xdr:rowOff>152400</xdr:rowOff>
                  </from>
                  <to>
                    <xdr:col>12</xdr:col>
                    <xdr:colOff>180975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9" name="Drop Down 9">
              <controlPr defaultSize="0" autoLine="0" autoPict="0">
                <anchor moveWithCells="1">
                  <from>
                    <xdr:col>17</xdr:col>
                    <xdr:colOff>171450</xdr:colOff>
                    <xdr:row>44</xdr:row>
                    <xdr:rowOff>38100</xdr:rowOff>
                  </from>
                  <to>
                    <xdr:col>26</xdr:col>
                    <xdr:colOff>180975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0" name="Drop Down 11">
              <controlPr defaultSize="0" autoLine="0" autoPict="0">
                <anchor moveWithCells="1">
                  <from>
                    <xdr:col>13</xdr:col>
                    <xdr:colOff>0</xdr:colOff>
                    <xdr:row>29</xdr:row>
                    <xdr:rowOff>38100</xdr:rowOff>
                  </from>
                  <to>
                    <xdr:col>19</xdr:col>
                    <xdr:colOff>76200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1" name="List Box 12">
              <controlPr defaultSize="0" autoLine="0" autoPict="0">
                <anchor moveWithCells="1">
                  <from>
                    <xdr:col>14</xdr:col>
                    <xdr:colOff>28575</xdr:colOff>
                    <xdr:row>41</xdr:row>
                    <xdr:rowOff>152400</xdr:rowOff>
                  </from>
                  <to>
                    <xdr:col>17</xdr:col>
                    <xdr:colOff>38100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2" name="Option Button 13">
              <controlPr defaultSize="0" autoFill="0" autoLine="0" autoPict="0">
                <anchor moveWithCells="1">
                  <from>
                    <xdr:col>4</xdr:col>
                    <xdr:colOff>114300</xdr:colOff>
                    <xdr:row>12</xdr:row>
                    <xdr:rowOff>123825</xdr:rowOff>
                  </from>
                  <to>
                    <xdr:col>5</xdr:col>
                    <xdr:colOff>104775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3" name="Option Button 14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123825</xdr:rowOff>
                  </from>
                  <to>
                    <xdr:col>11</xdr:col>
                    <xdr:colOff>95250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4" name="Option Button 15">
              <controlPr defaultSize="0" autoFill="0" autoLine="0" autoPict="0">
                <anchor moveWithCells="1">
                  <from>
                    <xdr:col>16</xdr:col>
                    <xdr:colOff>95250</xdr:colOff>
                    <xdr:row>12</xdr:row>
                    <xdr:rowOff>123825</xdr:rowOff>
                  </from>
                  <to>
                    <xdr:col>17</xdr:col>
                    <xdr:colOff>85725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5" name="Option Button 16">
              <controlPr defaultSize="0" autoFill="0" autoLine="0" autoPict="0">
                <anchor moveWithCells="1">
                  <from>
                    <xdr:col>22</xdr:col>
                    <xdr:colOff>104775</xdr:colOff>
                    <xdr:row>12</xdr:row>
                    <xdr:rowOff>123825</xdr:rowOff>
                  </from>
                  <to>
                    <xdr:col>23</xdr:col>
                    <xdr:colOff>95250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16" name="Option Button 17">
              <controlPr defaultSize="0" autoFill="0" autoLine="0" autoPict="0">
                <anchor moveWithCells="1">
                  <from>
                    <xdr:col>28</xdr:col>
                    <xdr:colOff>123825</xdr:colOff>
                    <xdr:row>12</xdr:row>
                    <xdr:rowOff>123825</xdr:rowOff>
                  </from>
                  <to>
                    <xdr:col>29</xdr:col>
                    <xdr:colOff>76200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17" name="Scroll Bar 18">
              <controlPr defaultSiz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209550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8701275-11F3-4867-9159-D7213D0F4963}">
            <xm:f>select!$G$746=1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C21:F21</xm:sqref>
        </x14:conditionalFormatting>
        <x14:conditionalFormatting xmlns:xm="http://schemas.microsoft.com/office/excel/2006/main">
          <x14:cfRule type="expression" priority="5" id="{DC0389CF-0395-4424-9CA5-8B5E7838CD73}">
            <xm:f>select!$G$746=1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C26:F26</xm:sqref>
        </x14:conditionalFormatting>
        <x14:conditionalFormatting xmlns:xm="http://schemas.microsoft.com/office/excel/2006/main">
          <x14:cfRule type="expression" priority="1" id="{E42363FE-CFCC-45A1-8569-0B93E2392627}">
            <xm:f>select!$C$798=1</xm:f>
            <x14:dxf>
              <font>
                <b/>
                <i val="0"/>
                <color rgb="FF008228"/>
              </font>
            </x14:dxf>
          </x14:cfRule>
          <x14:cfRule type="expression" priority="4" id="{970D9472-0FF6-4055-9CAD-4F1BAAAF6CDB}">
            <xm:f>select!$G$746=1</xm:f>
            <x14:dxf>
              <font>
                <color theme="0"/>
              </font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C22:F25</xm:sqref>
        </x14:conditionalFormatting>
        <x14:conditionalFormatting xmlns:xm="http://schemas.microsoft.com/office/excel/2006/main">
          <x14:cfRule type="expression" priority="2" id="{A3DE3DA1-99C8-4DB8-A01F-CE216AE45AD8}">
            <xm:f>select!$G$746=1</xm:f>
            <x14:dxf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G21:G26</xm:sqref>
        </x14:conditionalFormatting>
        <x14:conditionalFormatting xmlns:xm="http://schemas.microsoft.com/office/excel/2006/main">
          <x14:cfRule type="cellIs" priority="46" operator="equal" id="{AC389C51-A9F9-4591-9B64-9437DF792450}">
            <xm:f>Sprache!$A$38</xm:f>
            <x14:dxf>
              <font>
                <color theme="0" tint="-0.34998626667073579"/>
              </font>
            </x14:dxf>
          </x14:cfRule>
          <xm:sqref>J48:J52 K33</xm:sqref>
        </x14:conditionalFormatting>
        <x14:conditionalFormatting xmlns:xm="http://schemas.microsoft.com/office/excel/2006/main">
          <x14:cfRule type="cellIs" priority="56" operator="equal" id="{ADE7AD99-A500-41A0-B11C-1D21CE566370}">
            <xm:f>Sprache!$A$56</xm:f>
            <x14:dxf>
              <font>
                <color theme="0" tint="-0.34998626667073579"/>
              </font>
            </x14:dxf>
          </x14:cfRule>
          <xm:sqref>C48:C52 C33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0" tint="-0.499984740745262"/>
    <pageSetUpPr fitToPage="1"/>
  </sheetPr>
  <dimension ref="A2:BP75"/>
  <sheetViews>
    <sheetView showGridLines="0" showRowColHeaders="0" zoomScaleNormal="100" workbookViewId="0"/>
  </sheetViews>
  <sheetFormatPr baseColWidth="10" defaultRowHeight="15" x14ac:dyDescent="0.25"/>
  <cols>
    <col min="1" max="46" width="3.28515625" customWidth="1"/>
    <col min="47" max="56" width="3.28515625" hidden="1" customWidth="1"/>
    <col min="57" max="57" width="4.85546875" hidden="1" customWidth="1"/>
    <col min="58" max="62" width="3.28515625" hidden="1" customWidth="1"/>
    <col min="63" max="94" width="3.28515625" customWidth="1"/>
    <col min="95" max="101" width="12.140625" customWidth="1"/>
  </cols>
  <sheetData>
    <row r="2" spans="2:67" ht="15" customHeight="1" x14ac:dyDescent="0.25">
      <c r="B2" s="72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4"/>
      <c r="T2" s="34"/>
      <c r="U2" s="34"/>
      <c r="V2" s="34"/>
      <c r="W2" s="34"/>
      <c r="X2" s="34"/>
      <c r="Y2" s="445"/>
      <c r="Z2" s="34"/>
      <c r="AA2" s="34"/>
      <c r="AB2" s="34"/>
      <c r="AC2" s="445"/>
      <c r="AD2" s="445"/>
      <c r="AE2" s="871"/>
      <c r="AF2" s="871"/>
      <c r="AG2" s="871"/>
      <c r="AH2" s="871"/>
      <c r="AI2" s="445"/>
      <c r="AJ2" s="445"/>
      <c r="AK2" s="445"/>
      <c r="AL2" s="445"/>
      <c r="AM2" s="445"/>
      <c r="AN2" s="72"/>
    </row>
    <row r="3" spans="2:67" ht="26.25" customHeight="1" thickBot="1" x14ac:dyDescent="0.55000000000000004">
      <c r="B3" s="879" t="str">
        <f ca="1">"Tiomos "&amp;Sprache!A145</f>
        <v>Tiomos Konfigurator</v>
      </c>
      <c r="C3" s="880"/>
      <c r="D3" s="880"/>
      <c r="E3" s="880"/>
      <c r="F3" s="880"/>
      <c r="G3" s="880"/>
      <c r="H3" s="880"/>
      <c r="I3" s="880"/>
      <c r="J3" s="880"/>
      <c r="K3" s="880"/>
      <c r="L3" s="880"/>
      <c r="M3" s="880"/>
      <c r="N3" s="880"/>
      <c r="O3" s="880"/>
      <c r="P3" s="880"/>
      <c r="Q3" s="880"/>
      <c r="R3" s="880"/>
      <c r="S3" s="880"/>
      <c r="T3" s="880"/>
      <c r="U3" s="880"/>
      <c r="V3" s="880"/>
      <c r="W3" s="880"/>
      <c r="X3" s="880"/>
      <c r="Y3" s="880"/>
      <c r="Z3" s="880"/>
      <c r="AA3" s="880"/>
      <c r="AB3" s="880"/>
      <c r="AC3" s="880"/>
      <c r="AD3" s="880"/>
      <c r="AE3" s="880"/>
      <c r="AF3" s="880"/>
      <c r="AG3" s="880"/>
      <c r="AH3" s="880"/>
      <c r="AI3" s="880"/>
      <c r="AJ3" s="880"/>
      <c r="AK3" s="881" t="str">
        <f ca="1">Sprache!A53</f>
        <v>zurück</v>
      </c>
      <c r="AL3" s="880"/>
      <c r="AM3" s="880"/>
      <c r="AN3" s="707"/>
    </row>
    <row r="4" spans="2:67" ht="15.95" customHeight="1" thickBot="1" x14ac:dyDescent="0.3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</row>
    <row r="5" spans="2:67" ht="15.75" customHeight="1" thickTop="1" x14ac:dyDescent="0.25">
      <c r="B5" s="1025" t="str">
        <f ca="1">Sprache!A153</f>
        <v>Materialauswahl Tür</v>
      </c>
      <c r="C5" s="1025"/>
      <c r="D5" s="1025"/>
      <c r="E5" s="1025"/>
      <c r="F5" s="1025"/>
      <c r="G5" s="1025"/>
      <c r="H5" s="1025"/>
      <c r="I5" s="1025"/>
      <c r="J5" s="72"/>
      <c r="K5" s="1025" t="str">
        <f ca="1">Sprache!A152</f>
        <v>Winkel von Tür zur Seite</v>
      </c>
      <c r="L5" s="1025"/>
      <c r="M5" s="1025"/>
      <c r="N5" s="1025"/>
      <c r="O5" s="1025"/>
      <c r="P5" s="1025"/>
      <c r="Q5" s="1025"/>
      <c r="R5" s="1025"/>
      <c r="S5" s="1025"/>
      <c r="T5" s="1025"/>
      <c r="U5" s="72"/>
      <c r="V5" s="799"/>
      <c r="W5" s="1031" t="str">
        <f ca="1">select!D1463</f>
        <v>Tiomos 110°</v>
      </c>
      <c r="X5" s="1031" t="str">
        <f ca="1">select!D1464</f>
        <v/>
      </c>
      <c r="Y5" s="1031" t="str">
        <f ca="1">select!D1465</f>
        <v/>
      </c>
      <c r="Z5" s="1031" t="str">
        <f ca="1">select!D1466</f>
        <v/>
      </c>
      <c r="AA5" s="1036" t="str">
        <f ca="1">select!S1373</f>
        <v>14,0</v>
      </c>
      <c r="AB5" s="1036"/>
      <c r="AC5" s="1036"/>
      <c r="AD5" s="1036"/>
      <c r="AE5" s="1036"/>
      <c r="AF5" s="788"/>
      <c r="AG5" s="1030">
        <f>select!B1434</f>
        <v>19</v>
      </c>
      <c r="AH5" s="1030"/>
      <c r="AI5" s="1030"/>
      <c r="AJ5" s="789"/>
      <c r="AK5" s="788"/>
      <c r="AL5" s="1022" t="str">
        <f ca="1">Sprache!A168&amp;" :  "&amp;select!T1373</f>
        <v>Kröpfung :  0</v>
      </c>
      <c r="AM5" s="790"/>
      <c r="AN5" s="72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</row>
    <row r="6" spans="2:67" x14ac:dyDescent="0.25">
      <c r="B6" s="72"/>
      <c r="C6" s="703" t="str">
        <f>select!D1333</f>
        <v/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800"/>
      <c r="W6" s="1032"/>
      <c r="X6" s="1032"/>
      <c r="Y6" s="1032"/>
      <c r="Z6" s="1032"/>
      <c r="AA6" s="1037"/>
      <c r="AB6" s="1037"/>
      <c r="AC6" s="1037"/>
      <c r="AD6" s="1037"/>
      <c r="AE6" s="1037"/>
      <c r="AF6" s="445"/>
      <c r="AG6" s="445"/>
      <c r="AH6" s="445"/>
      <c r="AI6" s="445"/>
      <c r="AJ6" s="445"/>
      <c r="AK6" s="445"/>
      <c r="AL6" s="1023"/>
      <c r="AM6" s="791"/>
      <c r="AN6" s="72"/>
      <c r="AS6" s="13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</row>
    <row r="7" spans="2:67" ht="15" customHeight="1" x14ac:dyDescent="0.25">
      <c r="B7" s="72"/>
      <c r="C7" s="1024" t="str">
        <f ca="1">select!D1332</f>
        <v>Zypresse</v>
      </c>
      <c r="D7" s="1024"/>
      <c r="E7" s="1024"/>
      <c r="F7" s="1024"/>
      <c r="G7" s="1024"/>
      <c r="H7" s="1024"/>
      <c r="I7" s="72"/>
      <c r="J7" s="72"/>
      <c r="K7" s="1024" t="str">
        <f ca="1">select!L1336</f>
        <v>Standard 90°</v>
      </c>
      <c r="L7" s="1024"/>
      <c r="M7" s="1024"/>
      <c r="N7" s="1024"/>
      <c r="O7" s="72"/>
      <c r="P7" s="72"/>
      <c r="Q7" s="72"/>
      <c r="R7" s="72"/>
      <c r="S7" s="72"/>
      <c r="T7" s="72"/>
      <c r="U7" s="72"/>
      <c r="V7" s="800"/>
      <c r="W7" s="1032"/>
      <c r="X7" s="1032"/>
      <c r="Y7" s="1032"/>
      <c r="Z7" s="1032"/>
      <c r="AA7" s="34"/>
      <c r="AB7" s="34"/>
      <c r="AC7" s="445"/>
      <c r="AD7" s="445"/>
      <c r="AE7" s="445"/>
      <c r="AF7" s="445"/>
      <c r="AG7" s="445"/>
      <c r="AH7" s="445"/>
      <c r="AI7" s="445"/>
      <c r="AJ7" s="445"/>
      <c r="AK7" s="445"/>
      <c r="AL7" s="1023"/>
      <c r="AM7" s="791"/>
      <c r="AN7" s="72"/>
    </row>
    <row r="8" spans="2:67" ht="15" customHeight="1" x14ac:dyDescent="0.25">
      <c r="B8" s="72"/>
      <c r="C8" s="1024"/>
      <c r="D8" s="1024"/>
      <c r="E8" s="1024"/>
      <c r="F8" s="1024"/>
      <c r="G8" s="1024"/>
      <c r="H8" s="1024"/>
      <c r="I8" s="72"/>
      <c r="J8" s="72"/>
      <c r="K8" s="1024"/>
      <c r="L8" s="1024"/>
      <c r="M8" s="1024"/>
      <c r="N8" s="1024"/>
      <c r="O8" s="72"/>
      <c r="P8" s="72"/>
      <c r="Q8" s="72"/>
      <c r="R8" s="72"/>
      <c r="S8" s="72"/>
      <c r="T8" s="72"/>
      <c r="U8" s="72"/>
      <c r="V8" s="800"/>
      <c r="W8" s="1032"/>
      <c r="X8" s="1032"/>
      <c r="Y8" s="1032"/>
      <c r="Z8" s="1032"/>
      <c r="AA8" s="34"/>
      <c r="AB8" s="34"/>
      <c r="AC8" s="445"/>
      <c r="AD8" s="445"/>
      <c r="AE8" s="445"/>
      <c r="AF8" s="445"/>
      <c r="AG8" s="445"/>
      <c r="AH8" s="445"/>
      <c r="AI8" s="445"/>
      <c r="AJ8" s="445"/>
      <c r="AK8" s="445"/>
      <c r="AL8" s="1023"/>
      <c r="AM8" s="791"/>
      <c r="AN8" s="72"/>
    </row>
    <row r="9" spans="2:67" x14ac:dyDescent="0.25">
      <c r="B9" s="72"/>
      <c r="C9" s="1024"/>
      <c r="D9" s="1024"/>
      <c r="E9" s="1024"/>
      <c r="F9" s="1024"/>
      <c r="G9" s="1024"/>
      <c r="H9" s="1024"/>
      <c r="I9" s="72"/>
      <c r="J9" s="72"/>
      <c r="K9" s="1024"/>
      <c r="L9" s="1024"/>
      <c r="M9" s="1024"/>
      <c r="N9" s="1024"/>
      <c r="O9" s="72"/>
      <c r="P9" s="72"/>
      <c r="Q9" s="72"/>
      <c r="R9" s="72"/>
      <c r="S9" s="72"/>
      <c r="T9" s="72"/>
      <c r="U9" s="72"/>
      <c r="V9" s="800"/>
      <c r="W9" s="1032"/>
      <c r="X9" s="1032"/>
      <c r="Y9" s="1032"/>
      <c r="Z9" s="1032"/>
      <c r="AA9" s="34"/>
      <c r="AB9" s="34"/>
      <c r="AC9" s="445"/>
      <c r="AD9" s="445"/>
      <c r="AE9" s="445"/>
      <c r="AF9" s="445"/>
      <c r="AG9" s="445"/>
      <c r="AH9" s="445"/>
      <c r="AI9" s="445"/>
      <c r="AJ9" s="445"/>
      <c r="AK9" s="445"/>
      <c r="AL9" s="1023"/>
      <c r="AM9" s="792"/>
      <c r="AN9" s="72"/>
    </row>
    <row r="10" spans="2:67" x14ac:dyDescent="0.25">
      <c r="B10" s="72"/>
      <c r="C10" s="1024"/>
      <c r="D10" s="1024"/>
      <c r="E10" s="1024"/>
      <c r="F10" s="1024"/>
      <c r="G10" s="1024"/>
      <c r="H10" s="1024"/>
      <c r="I10" s="72"/>
      <c r="J10" s="72"/>
      <c r="K10" s="1024"/>
      <c r="L10" s="1024"/>
      <c r="M10" s="1024"/>
      <c r="N10" s="1024"/>
      <c r="O10" s="72"/>
      <c r="P10" s="72"/>
      <c r="Q10" s="72"/>
      <c r="R10" s="72"/>
      <c r="S10" s="72"/>
      <c r="T10" s="72"/>
      <c r="U10" s="72"/>
      <c r="V10" s="800"/>
      <c r="W10" s="1032"/>
      <c r="X10" s="1032"/>
      <c r="Y10" s="1032"/>
      <c r="Z10" s="1032"/>
      <c r="AA10" s="34"/>
      <c r="AB10" s="34"/>
      <c r="AC10" s="445"/>
      <c r="AD10" s="445"/>
      <c r="AE10" s="445"/>
      <c r="AF10" s="445"/>
      <c r="AG10" s="445"/>
      <c r="AH10" s="445"/>
      <c r="AI10" s="445"/>
      <c r="AJ10" s="445"/>
      <c r="AK10" s="445"/>
      <c r="AL10" s="1023"/>
      <c r="AM10" s="792"/>
      <c r="AN10" s="72"/>
    </row>
    <row r="11" spans="2:67" x14ac:dyDescent="0.25">
      <c r="B11" s="72"/>
      <c r="C11" s="1024"/>
      <c r="D11" s="1024"/>
      <c r="E11" s="1024"/>
      <c r="F11" s="1024"/>
      <c r="G11" s="1024"/>
      <c r="H11" s="1024"/>
      <c r="I11" s="72"/>
      <c r="J11" s="72"/>
      <c r="K11" s="1024"/>
      <c r="L11" s="1024"/>
      <c r="M11" s="1024"/>
      <c r="N11" s="1024"/>
      <c r="O11" s="72"/>
      <c r="P11" s="72"/>
      <c r="Q11" s="72"/>
      <c r="R11" s="72"/>
      <c r="S11" s="72"/>
      <c r="T11" s="72"/>
      <c r="U11" s="72"/>
      <c r="V11" s="800"/>
      <c r="W11" s="1032"/>
      <c r="X11" s="1032"/>
      <c r="Y11" s="1032"/>
      <c r="Z11" s="1032"/>
      <c r="AA11" s="34"/>
      <c r="AB11" s="34"/>
      <c r="AC11" s="445"/>
      <c r="AD11" s="445"/>
      <c r="AE11" s="445"/>
      <c r="AF11" s="445"/>
      <c r="AG11" s="445"/>
      <c r="AH11" s="445"/>
      <c r="AI11" s="445"/>
      <c r="AJ11" s="445"/>
      <c r="AK11" s="445"/>
      <c r="AL11" s="1023"/>
      <c r="AM11" s="792"/>
      <c r="AN11" s="72"/>
    </row>
    <row r="12" spans="2:67" x14ac:dyDescent="0.25">
      <c r="B12" s="72"/>
      <c r="C12" s="1024"/>
      <c r="D12" s="1024"/>
      <c r="E12" s="1024"/>
      <c r="F12" s="1024"/>
      <c r="G12" s="1024"/>
      <c r="H12" s="1024"/>
      <c r="I12" s="72"/>
      <c r="U12" s="72"/>
      <c r="V12" s="800"/>
      <c r="W12" s="1032"/>
      <c r="X12" s="1032"/>
      <c r="Y12" s="1032"/>
      <c r="Z12" s="1032"/>
      <c r="AA12" s="34"/>
      <c r="AB12" s="34"/>
      <c r="AC12" s="445"/>
      <c r="AD12" s="445"/>
      <c r="AE12" s="445"/>
      <c r="AF12" s="445"/>
      <c r="AG12" s="445"/>
      <c r="AH12" s="445"/>
      <c r="AI12" s="445"/>
      <c r="AJ12" s="445"/>
      <c r="AK12" s="445"/>
      <c r="AL12" s="1023"/>
      <c r="AM12" s="792"/>
      <c r="AN12" s="72"/>
    </row>
    <row r="13" spans="2:67" x14ac:dyDescent="0.25">
      <c r="B13" s="72"/>
      <c r="C13" s="1024"/>
      <c r="D13" s="1024"/>
      <c r="E13" s="1024"/>
      <c r="F13" s="1024"/>
      <c r="G13" s="1024"/>
      <c r="H13" s="1024"/>
      <c r="I13" s="72"/>
      <c r="J13" s="72"/>
      <c r="K13" s="1035" t="str">
        <f ca="1">select!L1335</f>
        <v/>
      </c>
      <c r="L13" s="1035"/>
      <c r="M13" s="1035"/>
      <c r="N13" s="1035"/>
      <c r="O13" s="1035"/>
      <c r="P13" s="1035"/>
      <c r="Q13" s="1035"/>
      <c r="R13" s="1035"/>
      <c r="S13" s="1035"/>
      <c r="T13" s="1035"/>
      <c r="U13" s="72"/>
      <c r="V13" s="800"/>
      <c r="W13" s="1032"/>
      <c r="X13" s="1032"/>
      <c r="Y13" s="1032"/>
      <c r="Z13" s="1032"/>
      <c r="AA13" s="34"/>
      <c r="AB13" s="34"/>
      <c r="AC13" s="445"/>
      <c r="AD13" s="445"/>
      <c r="AE13" s="445"/>
      <c r="AF13" s="445"/>
      <c r="AG13" s="445"/>
      <c r="AH13" s="445"/>
      <c r="AI13" s="445"/>
      <c r="AJ13" s="1033" t="str">
        <f ca="1">select!K1701</f>
        <v>1,0 | 1,5</v>
      </c>
      <c r="AK13" s="445"/>
      <c r="AL13" s="1023"/>
      <c r="AM13" s="792"/>
      <c r="AN13" s="72"/>
    </row>
    <row r="14" spans="2:67" x14ac:dyDescent="0.25">
      <c r="B14" s="72"/>
      <c r="C14" s="1024"/>
      <c r="D14" s="1024"/>
      <c r="E14" s="1024"/>
      <c r="F14" s="1024"/>
      <c r="G14" s="1024"/>
      <c r="H14" s="1024"/>
      <c r="I14" s="72"/>
      <c r="J14" s="72"/>
      <c r="K14" s="1035"/>
      <c r="L14" s="1035"/>
      <c r="M14" s="1035"/>
      <c r="N14" s="1035"/>
      <c r="O14" s="1035"/>
      <c r="P14" s="1035"/>
      <c r="Q14" s="1035"/>
      <c r="R14" s="1035"/>
      <c r="S14" s="1035"/>
      <c r="T14" s="1035"/>
      <c r="U14" s="72"/>
      <c r="V14" s="800"/>
      <c r="W14" s="1032"/>
      <c r="X14" s="1032"/>
      <c r="Y14" s="1032"/>
      <c r="Z14" s="1032"/>
      <c r="AA14" s="34"/>
      <c r="AB14" s="34"/>
      <c r="AC14" s="445"/>
      <c r="AD14" s="445"/>
      <c r="AE14" s="445"/>
      <c r="AF14" s="445"/>
      <c r="AG14" s="445"/>
      <c r="AH14" s="445"/>
      <c r="AI14" s="445"/>
      <c r="AJ14" s="1033"/>
      <c r="AK14" s="445"/>
      <c r="AL14" s="1023"/>
      <c r="AM14" s="792"/>
      <c r="AN14" s="72"/>
    </row>
    <row r="15" spans="2:67" ht="15" customHeight="1" x14ac:dyDescent="0.25">
      <c r="B15" s="72"/>
      <c r="C15" s="1024"/>
      <c r="D15" s="1024"/>
      <c r="E15" s="1024"/>
      <c r="F15" s="1024"/>
      <c r="G15" s="1024"/>
      <c r="H15" s="1024"/>
      <c r="I15" s="72"/>
      <c r="J15" s="72"/>
      <c r="K15" s="1025" t="str">
        <f ca="1">Sprache!A98</f>
        <v>Öffnungswinkel Scharnier</v>
      </c>
      <c r="L15" s="1025"/>
      <c r="M15" s="1025"/>
      <c r="N15" s="1025"/>
      <c r="O15" s="1025"/>
      <c r="P15" s="1025"/>
      <c r="Q15" s="1025"/>
      <c r="R15" s="1025"/>
      <c r="S15" s="1025"/>
      <c r="T15" s="1025"/>
      <c r="U15" s="72"/>
      <c r="V15" s="800"/>
      <c r="W15" s="1032"/>
      <c r="X15" s="1032"/>
      <c r="Y15" s="1032"/>
      <c r="Z15" s="1032"/>
      <c r="AA15" s="34"/>
      <c r="AB15" s="34"/>
      <c r="AC15" s="445"/>
      <c r="AD15" s="445"/>
      <c r="AE15" s="445"/>
      <c r="AF15" s="445"/>
      <c r="AG15" s="445"/>
      <c r="AH15" s="445"/>
      <c r="AI15" s="445"/>
      <c r="AJ15" s="1033"/>
      <c r="AK15" s="445"/>
      <c r="AL15" s="1023"/>
      <c r="AM15" s="792"/>
      <c r="AN15" s="72"/>
    </row>
    <row r="16" spans="2:67" x14ac:dyDescent="0.25">
      <c r="B16" s="72"/>
      <c r="C16" s="1024"/>
      <c r="D16" s="1024"/>
      <c r="E16" s="1024"/>
      <c r="F16" s="1024"/>
      <c r="G16" s="1024"/>
      <c r="H16" s="1024"/>
      <c r="I16" s="72"/>
      <c r="J16" s="72"/>
      <c r="K16" s="703" t="str">
        <f ca="1">select!K1347</f>
        <v/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800"/>
      <c r="W16" s="1032"/>
      <c r="X16" s="1032"/>
      <c r="Y16" s="1032"/>
      <c r="Z16" s="1032"/>
      <c r="AA16" s="34"/>
      <c r="AB16" s="34"/>
      <c r="AC16" s="445"/>
      <c r="AD16" s="445"/>
      <c r="AE16" s="445"/>
      <c r="AF16" s="445"/>
      <c r="AG16" s="445"/>
      <c r="AH16" s="445"/>
      <c r="AI16" s="445"/>
      <c r="AJ16" s="1033"/>
      <c r="AK16" s="445"/>
      <c r="AL16" s="1023"/>
      <c r="AM16" s="792"/>
      <c r="AN16" s="72"/>
    </row>
    <row r="17" spans="2:68" ht="15" customHeight="1" x14ac:dyDescent="0.25">
      <c r="B17" s="72"/>
      <c r="C17" s="1024"/>
      <c r="D17" s="1024"/>
      <c r="E17" s="1024"/>
      <c r="F17" s="1024"/>
      <c r="G17" s="1024"/>
      <c r="H17" s="1024"/>
      <c r="I17" s="72"/>
      <c r="J17" s="72"/>
      <c r="K17" s="1027">
        <f ca="1">select!L1347</f>
        <v>110</v>
      </c>
      <c r="L17" s="1027"/>
      <c r="M17" s="1027"/>
      <c r="N17" s="1027"/>
      <c r="O17" s="72"/>
      <c r="P17" s="72"/>
      <c r="Q17" s="72"/>
      <c r="R17" s="72"/>
      <c r="S17" s="72"/>
      <c r="T17" s="72"/>
      <c r="U17" s="72"/>
      <c r="V17" s="800"/>
      <c r="W17" s="1032"/>
      <c r="X17" s="1032"/>
      <c r="Y17" s="1032"/>
      <c r="Z17" s="1032"/>
      <c r="AA17" s="1034">
        <f ca="1">select!N1337</f>
        <v>90</v>
      </c>
      <c r="AB17" s="1034"/>
      <c r="AC17" s="445"/>
      <c r="AD17" s="445"/>
      <c r="AE17" s="445"/>
      <c r="AF17" s="445"/>
      <c r="AG17" s="445"/>
      <c r="AH17" s="445"/>
      <c r="AI17" s="445"/>
      <c r="AJ17" s="1033"/>
      <c r="AK17" s="445"/>
      <c r="AL17" s="1023"/>
      <c r="AM17" s="792"/>
      <c r="AN17" s="72"/>
    </row>
    <row r="18" spans="2:68" ht="15.75" x14ac:dyDescent="0.25">
      <c r="B18" s="72"/>
      <c r="C18" s="1024"/>
      <c r="D18" s="1024"/>
      <c r="E18" s="1024"/>
      <c r="F18" s="1024"/>
      <c r="G18" s="1024"/>
      <c r="H18" s="1024"/>
      <c r="I18" s="72"/>
      <c r="J18" s="72"/>
      <c r="K18" s="1027"/>
      <c r="L18" s="1027"/>
      <c r="M18" s="1027"/>
      <c r="N18" s="1027"/>
      <c r="O18" s="72"/>
      <c r="P18" s="72"/>
      <c r="Q18" s="72"/>
      <c r="R18" s="72"/>
      <c r="S18" s="72"/>
      <c r="T18" s="72"/>
      <c r="U18" s="72"/>
      <c r="V18" s="800"/>
      <c r="W18" s="1032"/>
      <c r="X18" s="1032"/>
      <c r="Y18" s="1032"/>
      <c r="Z18" s="1032"/>
      <c r="AA18" s="1034"/>
      <c r="AB18" s="1034"/>
      <c r="AC18" s="445"/>
      <c r="AD18" s="445"/>
      <c r="AE18" s="445"/>
      <c r="AF18" s="445"/>
      <c r="AG18" s="924">
        <f ca="1">select!I1388</f>
        <v>6</v>
      </c>
      <c r="AH18" s="924"/>
      <c r="AI18" s="772"/>
      <c r="AJ18" s="1033"/>
      <c r="AK18" s="445"/>
      <c r="AL18" s="445"/>
      <c r="AM18" s="792"/>
      <c r="AN18" s="72"/>
      <c r="AP18" s="787"/>
      <c r="BP18" s="126"/>
    </row>
    <row r="19" spans="2:68" x14ac:dyDescent="0.25">
      <c r="B19" s="72"/>
      <c r="C19" s="1024"/>
      <c r="D19" s="1024"/>
      <c r="E19" s="1024"/>
      <c r="F19" s="1024"/>
      <c r="G19" s="1024"/>
      <c r="H19" s="1024"/>
      <c r="I19" s="72"/>
      <c r="J19" s="72"/>
      <c r="K19" s="1027"/>
      <c r="L19" s="1027"/>
      <c r="M19" s="1027"/>
      <c r="N19" s="1027"/>
      <c r="O19" s="72"/>
      <c r="P19" s="72"/>
      <c r="Q19" s="72"/>
      <c r="R19" s="72"/>
      <c r="S19" s="72"/>
      <c r="T19" s="72"/>
      <c r="U19" s="72"/>
      <c r="V19" s="800"/>
      <c r="W19" s="1032"/>
      <c r="X19" s="1032"/>
      <c r="Y19" s="1032"/>
      <c r="Z19" s="1032"/>
      <c r="AA19" s="445"/>
      <c r="AB19" s="445"/>
      <c r="AC19" s="445"/>
      <c r="AD19" s="445"/>
      <c r="AE19" s="445"/>
      <c r="AF19" s="445"/>
      <c r="AG19" s="924"/>
      <c r="AH19" s="924"/>
      <c r="AI19" s="445"/>
      <c r="AJ19" s="1033"/>
      <c r="AK19" s="445"/>
      <c r="AL19" s="445"/>
      <c r="AM19" s="792"/>
      <c r="AN19" s="72"/>
      <c r="AP19" s="787"/>
      <c r="BP19" s="126"/>
    </row>
    <row r="20" spans="2:68" x14ac:dyDescent="0.25">
      <c r="B20" s="72"/>
      <c r="C20" s="1024"/>
      <c r="D20" s="1024"/>
      <c r="E20" s="1024"/>
      <c r="F20" s="1024"/>
      <c r="G20" s="1024"/>
      <c r="H20" s="1024"/>
      <c r="I20" s="72"/>
      <c r="J20" s="72"/>
      <c r="K20" s="1027"/>
      <c r="L20" s="1027"/>
      <c r="M20" s="1027"/>
      <c r="N20" s="1027"/>
      <c r="O20" s="72"/>
      <c r="P20" s="72"/>
      <c r="Q20" s="673"/>
      <c r="R20" s="72"/>
      <c r="S20" s="72"/>
      <c r="T20" s="72"/>
      <c r="U20" s="72"/>
      <c r="V20" s="793"/>
      <c r="W20" s="34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792"/>
      <c r="AN20" s="72"/>
      <c r="AP20" s="787"/>
    </row>
    <row r="21" spans="2:68" ht="15" customHeight="1" x14ac:dyDescent="0.25">
      <c r="B21" s="72"/>
      <c r="C21" s="1024"/>
      <c r="D21" s="1024"/>
      <c r="E21" s="1024"/>
      <c r="F21" s="1024"/>
      <c r="G21" s="1024"/>
      <c r="H21" s="1024"/>
      <c r="I21" s="72"/>
      <c r="J21" s="72"/>
      <c r="K21" s="1027"/>
      <c r="L21" s="1027"/>
      <c r="M21" s="1027"/>
      <c r="N21" s="1027"/>
      <c r="O21" s="72"/>
      <c r="P21" s="72"/>
      <c r="Q21" s="72"/>
      <c r="R21" s="72"/>
      <c r="S21" s="72"/>
      <c r="T21" s="72"/>
      <c r="U21" s="72"/>
      <c r="V21" s="794"/>
      <c r="W21" s="34"/>
      <c r="X21" s="770"/>
      <c r="Y21" s="1047">
        <f ca="1">select!B1388</f>
        <v>16</v>
      </c>
      <c r="Z21" s="1047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792"/>
      <c r="AN21" s="72"/>
      <c r="AP21" s="787"/>
    </row>
    <row r="22" spans="2:68" ht="15" customHeight="1" x14ac:dyDescent="0.25">
      <c r="B22" s="72"/>
      <c r="C22" s="1024"/>
      <c r="D22" s="1024"/>
      <c r="E22" s="1024"/>
      <c r="F22" s="1024"/>
      <c r="G22" s="1024"/>
      <c r="H22" s="1024"/>
      <c r="I22" s="72"/>
      <c r="J22" s="72"/>
      <c r="K22" s="1027"/>
      <c r="L22" s="1027"/>
      <c r="M22" s="1027"/>
      <c r="N22" s="1027"/>
      <c r="O22" s="72"/>
      <c r="P22" s="72"/>
      <c r="Q22" s="72"/>
      <c r="R22" s="674"/>
      <c r="S22" s="72"/>
      <c r="T22" s="72"/>
      <c r="U22" s="72"/>
      <c r="V22" s="794"/>
      <c r="W22" s="34"/>
      <c r="X22" s="770"/>
      <c r="Y22" s="1047"/>
      <c r="Z22" s="1047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792"/>
      <c r="AN22" s="72"/>
      <c r="AP22" s="787"/>
      <c r="BB22" s="1039"/>
      <c r="BC22" s="1039"/>
      <c r="BD22" s="1039"/>
      <c r="BE22" s="1038"/>
      <c r="BF22" s="1038"/>
      <c r="BG22" s="1038"/>
      <c r="BH22" s="1038"/>
    </row>
    <row r="23" spans="2:68" x14ac:dyDescent="0.25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93"/>
      <c r="W23" s="34"/>
      <c r="X23" s="445"/>
      <c r="Y23" s="1047"/>
      <c r="Z23" s="1047"/>
      <c r="AA23" s="445"/>
      <c r="AB23" s="445"/>
      <c r="AC23" s="445"/>
      <c r="AD23" s="445"/>
      <c r="AE23" s="445"/>
      <c r="AF23" s="445"/>
      <c r="AG23" s="445"/>
      <c r="AH23" s="445"/>
      <c r="AI23" s="445"/>
      <c r="AJ23" s="924" t="str">
        <f ca="1">select!P1701</f>
        <v>0,6 | 1,0</v>
      </c>
      <c r="AK23" s="924"/>
      <c r="AL23" s="924"/>
      <c r="AM23" s="792"/>
      <c r="AN23" s="72"/>
      <c r="AP23" s="787"/>
      <c r="BB23" s="1039"/>
      <c r="BC23" s="1039"/>
      <c r="BD23" s="1039"/>
      <c r="BE23" s="1038"/>
      <c r="BF23" s="1038"/>
      <c r="BG23" s="1038"/>
      <c r="BH23" s="1038"/>
    </row>
    <row r="24" spans="2:68" x14ac:dyDescent="0.25">
      <c r="U24" s="72"/>
      <c r="V24" s="793"/>
      <c r="W24" s="34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924"/>
      <c r="AK24" s="924"/>
      <c r="AL24" s="924"/>
      <c r="AM24" s="795"/>
      <c r="AN24" s="72"/>
      <c r="AP24" s="787"/>
      <c r="BB24" s="1039"/>
      <c r="BC24" s="1039"/>
      <c r="BD24" s="1039"/>
      <c r="BE24" s="1038"/>
      <c r="BF24" s="1038"/>
      <c r="BG24" s="1038"/>
      <c r="BH24" s="1038"/>
    </row>
    <row r="25" spans="2:68" ht="15" customHeight="1" x14ac:dyDescent="0.25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05" t="s">
        <v>1887</v>
      </c>
      <c r="P25" s="72"/>
      <c r="Q25" s="72"/>
      <c r="R25" s="72"/>
      <c r="S25" s="72"/>
      <c r="T25" s="72"/>
      <c r="U25" s="72"/>
      <c r="V25" s="793"/>
      <c r="W25" s="34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1045">
        <f ca="1">select!O1388</f>
        <v>5</v>
      </c>
      <c r="AL25" s="1045"/>
      <c r="AM25" s="1046"/>
      <c r="AN25" s="72"/>
      <c r="AP25" s="787"/>
      <c r="BB25" s="1039"/>
      <c r="BC25" s="1039"/>
      <c r="BD25" s="1039"/>
      <c r="BE25" s="1038"/>
      <c r="BF25" s="1038"/>
      <c r="BG25" s="1038"/>
      <c r="BH25" s="1038"/>
    </row>
    <row r="26" spans="2:68" ht="15" customHeight="1" x14ac:dyDescent="0.25">
      <c r="B26" s="1025" t="str">
        <f ca="1">select!A1388</f>
        <v>Türstärke</v>
      </c>
      <c r="C26" s="1025"/>
      <c r="D26" s="1025"/>
      <c r="E26" s="1025"/>
      <c r="F26" s="1025"/>
      <c r="G26" s="1025"/>
      <c r="H26" s="72"/>
      <c r="I26" s="1025" t="str">
        <f ca="1">Sprache!A167</f>
        <v>Korpusstärke</v>
      </c>
      <c r="J26" s="1025"/>
      <c r="K26" s="1025"/>
      <c r="L26" s="1025"/>
      <c r="M26" s="1025"/>
      <c r="N26" s="72"/>
      <c r="O26" s="1025" t="str">
        <f ca="1">select!H1388</f>
        <v>Türauflage</v>
      </c>
      <c r="P26" s="1025"/>
      <c r="Q26" s="1025"/>
      <c r="R26" s="1025"/>
      <c r="S26" s="1025"/>
      <c r="T26" s="1025"/>
      <c r="U26" s="72"/>
      <c r="V26" s="793"/>
      <c r="W26" s="34"/>
      <c r="X26" s="445"/>
      <c r="Y26" s="445"/>
      <c r="Z26" s="445"/>
      <c r="AA26" s="445"/>
      <c r="AB26" s="1042">
        <f ca="1">select!N1348</f>
        <v>110</v>
      </c>
      <c r="AC26" s="1042"/>
      <c r="AD26" s="445"/>
      <c r="AE26" s="445"/>
      <c r="AF26" s="445"/>
      <c r="AG26" s="445"/>
      <c r="AH26" s="445"/>
      <c r="AI26" s="445"/>
      <c r="AJ26" s="445"/>
      <c r="AK26" s="445"/>
      <c r="AL26" s="773"/>
      <c r="AM26" s="796"/>
      <c r="AN26" s="72"/>
      <c r="AP26" s="787"/>
      <c r="AW26" s="40"/>
      <c r="BB26" s="71"/>
      <c r="BC26" s="34"/>
      <c r="BD26" s="34"/>
      <c r="BE26" s="55"/>
    </row>
    <row r="27" spans="2:68" ht="15" customHeight="1" x14ac:dyDescent="0.25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677" t="str">
        <f ca="1">IF(N28&lt;&gt;"",IF(N28=Sprache!A56&amp;" "&amp;Sprache!A147,"",1),"")</f>
        <v/>
      </c>
      <c r="P27" s="72"/>
      <c r="Q27" s="72"/>
      <c r="R27" s="72"/>
      <c r="S27" s="72"/>
      <c r="T27" s="72"/>
      <c r="U27" s="72"/>
      <c r="V27" s="793"/>
      <c r="W27" s="34"/>
      <c r="X27" s="445"/>
      <c r="Y27" s="445"/>
      <c r="Z27" s="445"/>
      <c r="AA27" s="771"/>
      <c r="AB27" s="1042"/>
      <c r="AC27" s="1042"/>
      <c r="AD27" s="445"/>
      <c r="AE27" s="445"/>
      <c r="AF27" s="445"/>
      <c r="AG27" s="445"/>
      <c r="AH27" s="445"/>
      <c r="AI27" s="445"/>
      <c r="AJ27" s="445"/>
      <c r="AK27" s="445"/>
      <c r="AL27" s="445"/>
      <c r="AM27" s="791"/>
      <c r="AN27" s="72"/>
      <c r="AP27" s="787"/>
      <c r="AW27" s="40"/>
      <c r="BB27" s="71"/>
      <c r="BC27" s="34"/>
      <c r="BD27" s="34"/>
      <c r="BE27" s="55"/>
    </row>
    <row r="28" spans="2:68" x14ac:dyDescent="0.25">
      <c r="B28" s="1026" t="str">
        <f ca="1">select!B1387</f>
        <v/>
      </c>
      <c r="C28" s="1028">
        <f ca="1">select!B1388</f>
        <v>16</v>
      </c>
      <c r="D28" s="1028"/>
      <c r="E28" s="1028"/>
      <c r="F28" s="1028"/>
      <c r="G28" s="72"/>
      <c r="H28" s="72"/>
      <c r="I28" s="1028">
        <f>select!B1434</f>
        <v>19</v>
      </c>
      <c r="J28" s="1028"/>
      <c r="K28" s="1028"/>
      <c r="L28" s="1028"/>
      <c r="M28" s="72"/>
      <c r="N28" s="1026" t="str">
        <f ca="1">select!I1387</f>
        <v/>
      </c>
      <c r="O28" s="1028">
        <f ca="1">select!I1388</f>
        <v>6</v>
      </c>
      <c r="P28" s="1028"/>
      <c r="Q28" s="1028"/>
      <c r="R28" s="1028"/>
      <c r="S28" s="72"/>
      <c r="T28" s="72"/>
      <c r="U28" s="72"/>
      <c r="V28" s="793"/>
      <c r="W28" s="34"/>
      <c r="X28" s="445"/>
      <c r="Y28" s="445"/>
      <c r="Z28" s="445"/>
      <c r="AA28" s="771"/>
      <c r="AB28" s="771"/>
      <c r="AC28" s="1042"/>
      <c r="AD28" s="1042"/>
      <c r="AE28" s="445"/>
      <c r="AF28" s="445"/>
      <c r="AG28" s="445"/>
      <c r="AH28" s="445"/>
      <c r="AI28" s="445"/>
      <c r="AJ28" s="445"/>
      <c r="AK28" s="445"/>
      <c r="AL28" s="445"/>
      <c r="AM28" s="791"/>
      <c r="AN28" s="72"/>
      <c r="AP28" s="787"/>
      <c r="AW28" s="40"/>
      <c r="BB28" s="71"/>
      <c r="BC28" s="34"/>
      <c r="BD28" s="34"/>
      <c r="BE28" s="55"/>
    </row>
    <row r="29" spans="2:68" x14ac:dyDescent="0.25">
      <c r="B29" s="1026"/>
      <c r="C29" s="1028"/>
      <c r="D29" s="1028"/>
      <c r="E29" s="1028"/>
      <c r="F29" s="1028"/>
      <c r="G29" s="72"/>
      <c r="H29" s="72"/>
      <c r="I29" s="1028"/>
      <c r="J29" s="1028"/>
      <c r="K29" s="1028"/>
      <c r="L29" s="1028"/>
      <c r="M29" s="72"/>
      <c r="N29" s="1026"/>
      <c r="O29" s="1028"/>
      <c r="P29" s="1028"/>
      <c r="Q29" s="1028"/>
      <c r="R29" s="1028"/>
      <c r="S29" s="72"/>
      <c r="T29" s="72"/>
      <c r="U29" s="72"/>
      <c r="V29" s="793"/>
      <c r="W29" s="34"/>
      <c r="X29" s="445"/>
      <c r="Y29" s="445"/>
      <c r="Z29" s="445"/>
      <c r="AA29" s="445"/>
      <c r="AB29" s="445"/>
      <c r="AC29" s="1042"/>
      <c r="AD29" s="1042"/>
      <c r="AE29" s="445"/>
      <c r="AF29" s="445"/>
      <c r="AG29" s="445"/>
      <c r="AH29" s="445"/>
      <c r="AI29" s="445"/>
      <c r="AJ29" s="445"/>
      <c r="AK29" s="445"/>
      <c r="AL29" s="445"/>
      <c r="AM29" s="791"/>
      <c r="AN29" s="72"/>
      <c r="AP29" s="787"/>
      <c r="AW29" s="40"/>
      <c r="BB29" s="92"/>
      <c r="BC29" s="6"/>
      <c r="BD29" s="6"/>
      <c r="BE29" s="56"/>
    </row>
    <row r="30" spans="2:68" ht="15.75" thickBot="1" x14ac:dyDescent="0.3">
      <c r="B30" s="1026"/>
      <c r="C30" s="1028"/>
      <c r="D30" s="1028"/>
      <c r="E30" s="1028"/>
      <c r="F30" s="1028"/>
      <c r="G30" s="72"/>
      <c r="H30" s="72"/>
      <c r="I30" s="1028"/>
      <c r="J30" s="1028"/>
      <c r="K30" s="1028"/>
      <c r="L30" s="1028"/>
      <c r="M30" s="72"/>
      <c r="N30" s="1026"/>
      <c r="O30" s="1028"/>
      <c r="P30" s="1028"/>
      <c r="Q30" s="1028"/>
      <c r="R30" s="1028"/>
      <c r="S30" s="72"/>
      <c r="T30" s="72"/>
      <c r="U30" s="72"/>
      <c r="V30" s="870" t="str">
        <f ca="1">Sprache!A187</f>
        <v>Maße in mm</v>
      </c>
      <c r="W30" s="797"/>
      <c r="X30" s="798"/>
      <c r="Y30" s="798"/>
      <c r="Z30" s="798"/>
      <c r="AA30" s="798"/>
      <c r="AB30" s="798"/>
      <c r="AC30" s="798"/>
      <c r="AD30" s="798"/>
      <c r="AE30" s="798"/>
      <c r="AF30" s="798"/>
      <c r="AG30" s="798"/>
      <c r="AH30" s="798"/>
      <c r="AI30" s="798"/>
      <c r="AJ30" s="798"/>
      <c r="AK30" s="798"/>
      <c r="AL30" s="798"/>
      <c r="AM30" s="816"/>
      <c r="AN30" s="72"/>
      <c r="AP30" s="787"/>
    </row>
    <row r="31" spans="2:68" ht="15.75" thickTop="1" x14ac:dyDescent="0.25">
      <c r="B31" s="1026"/>
      <c r="C31" s="1028"/>
      <c r="D31" s="1028"/>
      <c r="E31" s="1028"/>
      <c r="F31" s="1028"/>
      <c r="G31" s="72"/>
      <c r="H31" s="72"/>
      <c r="I31" s="1028"/>
      <c r="J31" s="1028"/>
      <c r="K31" s="1028"/>
      <c r="L31" s="1028"/>
      <c r="M31" s="72"/>
      <c r="N31" s="1026"/>
      <c r="O31" s="1028"/>
      <c r="P31" s="1028"/>
      <c r="Q31" s="1028"/>
      <c r="R31" s="1028"/>
      <c r="S31" s="72"/>
      <c r="T31" s="72"/>
      <c r="U31" s="1041" t="str">
        <f ca="1">select!V1386</f>
        <v/>
      </c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P31" s="787"/>
    </row>
    <row r="32" spans="2:68" ht="15" customHeight="1" x14ac:dyDescent="0.25">
      <c r="B32" s="1026"/>
      <c r="C32" s="1028"/>
      <c r="D32" s="1028"/>
      <c r="E32" s="1028"/>
      <c r="F32" s="1028"/>
      <c r="G32" s="72"/>
      <c r="H32" s="72"/>
      <c r="I32" s="1028"/>
      <c r="J32" s="1028"/>
      <c r="K32" s="1028"/>
      <c r="L32" s="1028"/>
      <c r="M32" s="72"/>
      <c r="N32" s="1026"/>
      <c r="O32" s="1028"/>
      <c r="P32" s="1028"/>
      <c r="Q32" s="1028"/>
      <c r="R32" s="1028"/>
      <c r="S32" s="72"/>
      <c r="T32" s="72"/>
      <c r="U32" s="1041"/>
      <c r="V32" s="1044" t="str">
        <f ca="1">Sprache!A175</f>
        <v>Bohrbild</v>
      </c>
      <c r="W32" s="1044"/>
      <c r="X32" s="1044"/>
      <c r="Y32" s="1044"/>
      <c r="AA32" s="1025" t="str">
        <f ca="1">Sprache!A100</f>
        <v xml:space="preserve">Scharnierbefestigung </v>
      </c>
      <c r="AB32" s="1025"/>
      <c r="AC32" s="1025"/>
      <c r="AD32" s="1025"/>
      <c r="AE32" s="1025"/>
      <c r="AF32" s="1025"/>
      <c r="AH32" s="1025" t="str">
        <f ca="1">Sprache!A101</f>
        <v>Scharniertyp</v>
      </c>
      <c r="AI32" s="1025"/>
      <c r="AJ32" s="1025"/>
      <c r="AK32" s="1025"/>
      <c r="AL32" s="1025"/>
      <c r="AM32" s="1025"/>
    </row>
    <row r="33" spans="2:62" x14ac:dyDescent="0.25">
      <c r="B33" s="1026"/>
      <c r="C33" s="1028"/>
      <c r="D33" s="1028"/>
      <c r="E33" s="1028"/>
      <c r="F33" s="1028"/>
      <c r="G33" s="72"/>
      <c r="H33" s="72"/>
      <c r="I33" s="72"/>
      <c r="J33" s="72"/>
      <c r="K33" s="72"/>
      <c r="L33" s="72"/>
      <c r="M33" s="72"/>
      <c r="N33" s="1026"/>
      <c r="O33" s="1028"/>
      <c r="P33" s="1028"/>
      <c r="Q33" s="1028"/>
      <c r="R33" s="1028"/>
      <c r="S33" s="72"/>
      <c r="T33" s="72"/>
      <c r="U33" s="1041"/>
      <c r="V33" s="445"/>
      <c r="W33" s="445"/>
      <c r="X33" s="445"/>
      <c r="Y33" s="445"/>
      <c r="AA33" s="72"/>
      <c r="AB33" s="72"/>
      <c r="AC33" s="72"/>
      <c r="AD33" s="72"/>
      <c r="AE33" s="72"/>
      <c r="AF33" s="72"/>
      <c r="AH33" s="704" t="str">
        <f ca="1">select!V1398</f>
        <v/>
      </c>
      <c r="AI33" s="72"/>
      <c r="AJ33" s="72"/>
      <c r="AK33" s="72"/>
      <c r="AL33" s="72"/>
      <c r="AM33" s="72"/>
    </row>
    <row r="34" spans="2:62" ht="15" customHeight="1" x14ac:dyDescent="0.25">
      <c r="B34" s="1026"/>
      <c r="C34" s="1028"/>
      <c r="D34" s="1028"/>
      <c r="E34" s="1028"/>
      <c r="F34" s="1028"/>
      <c r="G34" s="72"/>
      <c r="H34" s="72"/>
      <c r="I34" s="72"/>
      <c r="J34" s="72"/>
      <c r="K34" s="72"/>
      <c r="L34" s="72"/>
      <c r="M34" s="72"/>
      <c r="N34" s="1026"/>
      <c r="O34" s="1028"/>
      <c r="P34" s="1028"/>
      <c r="Q34" s="1028"/>
      <c r="R34" s="1028"/>
      <c r="S34" s="72"/>
      <c r="T34" s="72"/>
      <c r="U34" s="1041"/>
      <c r="V34" s="1024" t="str">
        <f ca="1">select!V1387</f>
        <v>42/11</v>
      </c>
      <c r="W34" s="1024"/>
      <c r="X34" s="1024"/>
      <c r="Y34" s="72"/>
      <c r="AA34" s="1024" t="str">
        <f ca="1">select!V1407</f>
        <v>Click-on Anschrauben</v>
      </c>
      <c r="AB34" s="1024"/>
      <c r="AC34" s="1024"/>
      <c r="AD34" s="1024"/>
      <c r="AE34" s="1024"/>
      <c r="AF34" s="1024"/>
      <c r="AH34" s="1024" t="str">
        <f ca="1">select!V1399</f>
        <v>mit Soft-close</v>
      </c>
      <c r="AI34" s="1024"/>
      <c r="AJ34" s="1024"/>
      <c r="AK34" s="1024"/>
      <c r="AL34" s="1024"/>
      <c r="AM34" s="72"/>
      <c r="AO34" s="72"/>
    </row>
    <row r="35" spans="2:62" x14ac:dyDescent="0.25">
      <c r="B35" s="1026"/>
      <c r="C35" s="1028"/>
      <c r="D35" s="1028"/>
      <c r="E35" s="1028"/>
      <c r="F35" s="1028"/>
      <c r="G35" s="72"/>
      <c r="H35" s="72"/>
      <c r="I35" s="1025" t="str">
        <f ca="1">select!N1388</f>
        <v>Topfabstand</v>
      </c>
      <c r="J35" s="1025"/>
      <c r="K35" s="1025"/>
      <c r="L35" s="1025"/>
      <c r="M35" s="1025"/>
      <c r="N35" s="1026"/>
      <c r="O35" s="1028"/>
      <c r="P35" s="1028"/>
      <c r="Q35" s="1028"/>
      <c r="R35" s="1028"/>
      <c r="S35" s="72"/>
      <c r="T35" s="72"/>
      <c r="U35" s="1041"/>
      <c r="V35" s="1024"/>
      <c r="W35" s="1024"/>
      <c r="X35" s="1024"/>
      <c r="Y35" s="72"/>
      <c r="AA35" s="1024"/>
      <c r="AB35" s="1024"/>
      <c r="AC35" s="1024"/>
      <c r="AD35" s="1024"/>
      <c r="AE35" s="1024"/>
      <c r="AF35" s="1024"/>
      <c r="AH35" s="1024"/>
      <c r="AI35" s="1024"/>
      <c r="AJ35" s="1024"/>
      <c r="AK35" s="1024"/>
      <c r="AL35" s="1024"/>
      <c r="AM35" s="72"/>
      <c r="AO35" s="72"/>
    </row>
    <row r="36" spans="2:62" ht="15" customHeight="1" x14ac:dyDescent="0.25">
      <c r="B36" s="1026"/>
      <c r="C36" s="1028"/>
      <c r="D36" s="1028"/>
      <c r="E36" s="1028"/>
      <c r="F36" s="1028"/>
      <c r="G36" s="72"/>
      <c r="H36" s="675"/>
      <c r="I36" s="675" t="str">
        <f ca="1">IF(H37&lt;&gt;"",IF(H37=Sprache!A56&amp;" "&amp;Sprache!A147,"",1),"")</f>
        <v/>
      </c>
      <c r="J36" s="675"/>
      <c r="K36" s="675"/>
      <c r="L36" s="675"/>
      <c r="M36" s="675"/>
      <c r="N36" s="1026"/>
      <c r="O36" s="1028"/>
      <c r="P36" s="1028"/>
      <c r="Q36" s="1028"/>
      <c r="R36" s="1028"/>
      <c r="S36" s="72"/>
      <c r="T36" s="72"/>
      <c r="U36" s="1041"/>
      <c r="V36" s="1024"/>
      <c r="W36" s="1024"/>
      <c r="X36" s="1024"/>
      <c r="Y36" s="72"/>
      <c r="AA36" s="1024"/>
      <c r="AB36" s="1024"/>
      <c r="AC36" s="1024"/>
      <c r="AD36" s="1024"/>
      <c r="AE36" s="1024"/>
      <c r="AF36" s="1024"/>
      <c r="AH36" s="1024"/>
      <c r="AI36" s="1024"/>
      <c r="AJ36" s="1024"/>
      <c r="AK36" s="1024"/>
      <c r="AL36" s="1024"/>
      <c r="AM36" s="72"/>
      <c r="AO36" s="72"/>
    </row>
    <row r="37" spans="2:62" x14ac:dyDescent="0.25">
      <c r="B37" s="1026"/>
      <c r="C37" s="1028"/>
      <c r="D37" s="1028"/>
      <c r="E37" s="1028"/>
      <c r="F37" s="1028"/>
      <c r="G37" s="72"/>
      <c r="H37" s="1026" t="str">
        <f ca="1">select!O1387</f>
        <v/>
      </c>
      <c r="I37" s="1029">
        <f ca="1">select!O1388</f>
        <v>5</v>
      </c>
      <c r="J37" s="1029"/>
      <c r="K37" s="1029"/>
      <c r="L37" s="1029"/>
      <c r="M37" s="72"/>
      <c r="N37" s="1026"/>
      <c r="O37" s="1028"/>
      <c r="P37" s="1028"/>
      <c r="Q37" s="1028"/>
      <c r="R37" s="1028"/>
      <c r="S37" s="72"/>
      <c r="T37" s="72"/>
      <c r="U37" s="1041"/>
      <c r="V37" s="1024"/>
      <c r="W37" s="1024"/>
      <c r="X37" s="1024"/>
      <c r="Y37" s="72"/>
      <c r="AA37" s="703" t="str">
        <f ca="1">select!V1406</f>
        <v/>
      </c>
      <c r="AB37" s="72"/>
      <c r="AC37" s="72"/>
      <c r="AD37" s="72"/>
      <c r="AE37" s="72"/>
      <c r="AF37" s="72"/>
      <c r="AI37" s="72"/>
      <c r="AJ37" s="72"/>
      <c r="AK37" s="72"/>
      <c r="AL37" s="72"/>
      <c r="AM37" s="72"/>
      <c r="AO37" s="72"/>
    </row>
    <row r="38" spans="2:62" x14ac:dyDescent="0.25">
      <c r="B38" s="1026"/>
      <c r="C38" s="1028"/>
      <c r="D38" s="1028"/>
      <c r="E38" s="1028"/>
      <c r="F38" s="1028"/>
      <c r="G38" s="72"/>
      <c r="H38" s="1026"/>
      <c r="I38" s="1029"/>
      <c r="J38" s="1029"/>
      <c r="K38" s="1029"/>
      <c r="L38" s="1029"/>
      <c r="M38" s="72"/>
      <c r="N38" s="1026"/>
      <c r="O38" s="1028"/>
      <c r="P38" s="1028"/>
      <c r="Q38" s="1028"/>
      <c r="R38" s="1028"/>
      <c r="S38" s="72"/>
      <c r="T38" s="72"/>
      <c r="U38" s="1041"/>
      <c r="V38" s="72"/>
      <c r="W38" s="72"/>
      <c r="X38" s="72"/>
      <c r="Y38" s="72"/>
      <c r="AA38" s="72"/>
      <c r="AB38" s="72"/>
      <c r="AC38" s="72"/>
      <c r="AD38" s="72"/>
      <c r="AE38" s="72"/>
      <c r="AF38" s="72"/>
      <c r="AM38" s="72"/>
    </row>
    <row r="39" spans="2:62" x14ac:dyDescent="0.25">
      <c r="B39" s="1026"/>
      <c r="C39" s="1028"/>
      <c r="D39" s="1028"/>
      <c r="E39" s="1028"/>
      <c r="F39" s="1028"/>
      <c r="G39" s="72"/>
      <c r="H39" s="1026"/>
      <c r="I39" s="1029"/>
      <c r="J39" s="1029"/>
      <c r="K39" s="1029"/>
      <c r="L39" s="1029"/>
      <c r="M39" s="72"/>
      <c r="N39" s="1026"/>
      <c r="O39" s="1028"/>
      <c r="P39" s="1028"/>
      <c r="Q39" s="1028"/>
      <c r="R39" s="1028"/>
      <c r="S39" s="72"/>
      <c r="T39" s="72"/>
      <c r="U39" s="1041"/>
      <c r="V39" s="58" t="str">
        <f ca="1">Sprache!A133</f>
        <v>Montageplattentyp</v>
      </c>
      <c r="W39" s="57"/>
      <c r="X39" s="57"/>
      <c r="Y39" s="57"/>
      <c r="Z39" s="57"/>
      <c r="AA39" s="57"/>
      <c r="AB39" s="57"/>
      <c r="AC39" s="57"/>
      <c r="AD39" s="57"/>
      <c r="AE39" s="57"/>
      <c r="AF39" s="72"/>
      <c r="AG39" s="1025" t="str">
        <f ca="1">Sprache!A132</f>
        <v>Montageplattenhöhe</v>
      </c>
      <c r="AH39" s="1025"/>
      <c r="AI39" s="1025"/>
      <c r="AJ39" s="1025"/>
      <c r="AK39" s="1025"/>
      <c r="AL39" s="1025"/>
      <c r="AM39" s="1025"/>
      <c r="AN39" s="72"/>
    </row>
    <row r="40" spans="2:62" ht="15.75" thickBot="1" x14ac:dyDescent="0.3">
      <c r="B40" s="1026"/>
      <c r="C40" s="1028"/>
      <c r="D40" s="1028"/>
      <c r="E40" s="1028"/>
      <c r="F40" s="1028"/>
      <c r="G40" s="72"/>
      <c r="H40" s="1026"/>
      <c r="I40" s="1029"/>
      <c r="J40" s="1029"/>
      <c r="K40" s="1029"/>
      <c r="L40" s="1029"/>
      <c r="M40" s="72"/>
      <c r="N40" s="1026"/>
      <c r="O40" s="1028"/>
      <c r="P40" s="1028"/>
      <c r="Q40" s="1028"/>
      <c r="R40" s="1028"/>
      <c r="S40" s="72"/>
      <c r="T40" s="72"/>
      <c r="U40" s="1041"/>
      <c r="V40" s="703" t="str">
        <f ca="1">select!D1427</f>
        <v/>
      </c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</row>
    <row r="41" spans="2:62" x14ac:dyDescent="0.25">
      <c r="B41" s="1026"/>
      <c r="C41" s="1028"/>
      <c r="D41" s="1028"/>
      <c r="E41" s="1028"/>
      <c r="F41" s="1028"/>
      <c r="G41" s="72"/>
      <c r="H41" s="1026"/>
      <c r="I41" s="1029"/>
      <c r="J41" s="1029"/>
      <c r="K41" s="1029"/>
      <c r="L41" s="1029"/>
      <c r="M41" s="72"/>
      <c r="N41" s="1026"/>
      <c r="O41" s="1028"/>
      <c r="P41" s="1028"/>
      <c r="Q41" s="1028"/>
      <c r="R41" s="1028"/>
      <c r="S41" s="72"/>
      <c r="T41" s="72"/>
      <c r="U41" s="1041"/>
      <c r="V41" s="1024" t="str">
        <f ca="1">select!C1426</f>
        <v>Kreuzmontageplatte</v>
      </c>
      <c r="W41" s="1024"/>
      <c r="X41" s="1024"/>
      <c r="Y41" s="1024"/>
      <c r="Z41" s="1024"/>
      <c r="AA41" s="1024"/>
      <c r="AB41" s="1024"/>
      <c r="AC41" s="1024"/>
      <c r="AD41" s="1024"/>
      <c r="AE41" s="1024"/>
      <c r="AF41" s="72"/>
      <c r="AG41" s="1002" t="str">
        <f ca="1">AA5</f>
        <v>14,0</v>
      </c>
      <c r="AH41" s="1003"/>
      <c r="AI41" s="1003"/>
      <c r="AJ41" s="1003"/>
      <c r="AK41" s="1040"/>
      <c r="AN41" s="72"/>
      <c r="AO41" s="34"/>
      <c r="AP41" s="34"/>
      <c r="AV41" s="34"/>
      <c r="AW41" s="34"/>
      <c r="AX41" s="34"/>
    </row>
    <row r="42" spans="2:62" ht="15" customHeight="1" x14ac:dyDescent="0.25">
      <c r="B42" s="72"/>
      <c r="C42" s="1028"/>
      <c r="D42" s="1028"/>
      <c r="E42" s="1028"/>
      <c r="F42" s="1028"/>
      <c r="G42" s="72"/>
      <c r="H42" s="1026"/>
      <c r="I42" s="1029"/>
      <c r="J42" s="1029"/>
      <c r="K42" s="1029"/>
      <c r="L42" s="1029"/>
      <c r="M42" s="72"/>
      <c r="N42" s="1026"/>
      <c r="O42" s="1028"/>
      <c r="P42" s="1028"/>
      <c r="Q42" s="1028"/>
      <c r="R42" s="1028"/>
      <c r="S42" s="72"/>
      <c r="T42" s="72"/>
      <c r="U42" s="74" t="str">
        <f ca="1">IF(V40=Sprache!A50,1,IF(AND(H37=Sprache!A56&amp;" "&amp;Sprache!A147,N28=Sprache!A56&amp;" "&amp;Sprache!A147,V40=Sprache!A56&amp;" "&amp;Sprache!A147)=TRUE,1,""))</f>
        <v/>
      </c>
      <c r="V42" s="1024"/>
      <c r="W42" s="1024"/>
      <c r="X42" s="1024"/>
      <c r="Y42" s="1024"/>
      <c r="Z42" s="1024"/>
      <c r="AA42" s="1024"/>
      <c r="AB42" s="1024"/>
      <c r="AC42" s="1024"/>
      <c r="AD42" s="1024"/>
      <c r="AE42" s="1024"/>
      <c r="AF42" s="72"/>
      <c r="AG42" s="866"/>
      <c r="AH42" s="866"/>
      <c r="AI42" s="866"/>
      <c r="AJ42" s="866"/>
      <c r="AK42" s="866"/>
      <c r="AL42" s="866"/>
      <c r="AM42" s="866"/>
      <c r="AN42" s="866"/>
      <c r="AO42" s="866"/>
      <c r="AP42" s="34"/>
      <c r="AQ42" s="34"/>
      <c r="AR42" s="34"/>
      <c r="AX42" s="34"/>
    </row>
    <row r="43" spans="2:62" x14ac:dyDescent="0.25">
      <c r="B43" s="72"/>
      <c r="C43" s="1028"/>
      <c r="D43" s="1028"/>
      <c r="E43" s="1028"/>
      <c r="F43" s="1028"/>
      <c r="G43" s="72"/>
      <c r="H43" s="1026"/>
      <c r="I43" s="1029"/>
      <c r="J43" s="1029"/>
      <c r="K43" s="1029"/>
      <c r="L43" s="1029"/>
      <c r="M43" s="72"/>
      <c r="N43" s="1026"/>
      <c r="O43" s="1028"/>
      <c r="P43" s="1028"/>
      <c r="Q43" s="1028"/>
      <c r="R43" s="1028"/>
      <c r="S43" s="72"/>
      <c r="T43" s="72"/>
      <c r="U43" s="72"/>
      <c r="V43" s="1024"/>
      <c r="W43" s="1024"/>
      <c r="X43" s="1024"/>
      <c r="Y43" s="1024"/>
      <c r="Z43" s="1024"/>
      <c r="AA43" s="1024"/>
      <c r="AB43" s="1024"/>
      <c r="AC43" s="1024"/>
      <c r="AD43" s="1024"/>
      <c r="AE43" s="1024"/>
      <c r="AF43" s="72"/>
      <c r="AG43" s="866"/>
      <c r="AH43" s="866"/>
      <c r="AI43" s="866"/>
      <c r="AJ43" s="866"/>
      <c r="AK43" s="866"/>
      <c r="AL43" s="866"/>
      <c r="AM43" s="866"/>
      <c r="AN43" s="866"/>
      <c r="AO43" s="866"/>
      <c r="AP43" s="34"/>
      <c r="AQ43" s="34"/>
      <c r="AR43" s="34"/>
      <c r="AX43" s="34"/>
    </row>
    <row r="44" spans="2:62" x14ac:dyDescent="0.25">
      <c r="B44" s="72"/>
      <c r="C44" s="1028"/>
      <c r="D44" s="1028"/>
      <c r="E44" s="1028"/>
      <c r="F44" s="1028"/>
      <c r="G44" s="72"/>
      <c r="H44" s="1026"/>
      <c r="I44" s="1029"/>
      <c r="J44" s="1029"/>
      <c r="K44" s="1029"/>
      <c r="L44" s="1029"/>
      <c r="M44" s="72"/>
      <c r="N44" s="72"/>
      <c r="O44" s="1028"/>
      <c r="P44" s="1028"/>
      <c r="Q44" s="1028"/>
      <c r="R44" s="1028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866"/>
      <c r="AH44" s="866"/>
      <c r="AI44" s="866"/>
      <c r="AJ44" s="866"/>
      <c r="AK44" s="866"/>
      <c r="AL44" s="866"/>
      <c r="AM44" s="866"/>
      <c r="AN44" s="866"/>
      <c r="AO44" s="866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2:62" ht="15" customHeight="1" x14ac:dyDescent="0.25">
      <c r="B45" s="72"/>
      <c r="C45" s="1028"/>
      <c r="D45" s="1028"/>
      <c r="E45" s="1028"/>
      <c r="F45" s="1028"/>
      <c r="G45" s="72"/>
      <c r="H45" s="1026"/>
      <c r="I45" s="1029"/>
      <c r="J45" s="1029"/>
      <c r="K45" s="1029"/>
      <c r="L45" s="1029"/>
      <c r="M45" s="72"/>
      <c r="N45" s="72"/>
      <c r="O45" s="1028"/>
      <c r="P45" s="1028"/>
      <c r="Q45" s="1028"/>
      <c r="R45" s="1028"/>
      <c r="S45" s="72"/>
      <c r="T45" s="72"/>
      <c r="U45" s="72"/>
      <c r="V45" s="58" t="str">
        <f ca="1">Sprache!A151</f>
        <v xml:space="preserve">Befestigung </v>
      </c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72"/>
      <c r="AO45" s="34"/>
      <c r="AP45" s="34"/>
      <c r="AQ45" s="34"/>
      <c r="AR45" s="34"/>
      <c r="AT45" s="8"/>
    </row>
    <row r="46" spans="2:62" ht="15" customHeight="1" x14ac:dyDescent="0.25">
      <c r="B46" s="72"/>
      <c r="C46" s="1028"/>
      <c r="D46" s="1028"/>
      <c r="E46" s="1028"/>
      <c r="F46" s="1028"/>
      <c r="G46" s="72"/>
      <c r="H46" s="1026"/>
      <c r="I46" s="1029"/>
      <c r="J46" s="1029"/>
      <c r="K46" s="1029"/>
      <c r="L46" s="1029"/>
      <c r="M46" s="72"/>
      <c r="N46" s="72"/>
      <c r="O46" s="1028"/>
      <c r="P46" s="1028"/>
      <c r="Q46" s="1028"/>
      <c r="R46" s="1028"/>
      <c r="S46" s="72"/>
      <c r="T46" s="72"/>
      <c r="U46" s="72"/>
      <c r="V46" s="72"/>
      <c r="W46" s="72"/>
      <c r="X46" s="72"/>
      <c r="Y46" s="72"/>
      <c r="Z46" s="72"/>
      <c r="AA46" s="703" t="str">
        <f>select!D1457</f>
        <v/>
      </c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34"/>
      <c r="AP46" s="34"/>
      <c r="AQ46" s="34"/>
      <c r="AR46" s="34"/>
      <c r="AT46" s="8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</row>
    <row r="47" spans="2:62" x14ac:dyDescent="0.25">
      <c r="B47" s="72"/>
      <c r="C47" s="1028"/>
      <c r="D47" s="1028"/>
      <c r="E47" s="1028"/>
      <c r="F47" s="1028"/>
      <c r="G47" s="72"/>
      <c r="H47" s="1026"/>
      <c r="I47" s="1029"/>
      <c r="J47" s="1029"/>
      <c r="K47" s="1029"/>
      <c r="L47" s="1029"/>
      <c r="M47" s="72"/>
      <c r="N47" s="72"/>
      <c r="O47" s="1028"/>
      <c r="P47" s="1028"/>
      <c r="Q47" s="1028"/>
      <c r="R47" s="1028"/>
      <c r="S47" s="72"/>
      <c r="T47" s="72"/>
      <c r="U47" s="72"/>
      <c r="V47" s="1024" t="str">
        <f ca="1">select!B1472</f>
        <v>37/32</v>
      </c>
      <c r="W47" s="1024"/>
      <c r="X47" s="1024"/>
      <c r="Y47" s="72"/>
      <c r="Z47" s="72"/>
      <c r="AA47" s="1024" t="str">
        <f ca="1">select!C1456</f>
        <v>Zum Anschrauben</v>
      </c>
      <c r="AB47" s="1024"/>
      <c r="AC47" s="1024"/>
      <c r="AD47" s="1024"/>
      <c r="AE47" s="1024"/>
      <c r="AF47" s="1024"/>
      <c r="AG47" s="72"/>
      <c r="AH47" s="72"/>
      <c r="AI47" s="72"/>
      <c r="AJ47" s="72"/>
      <c r="AK47" s="72"/>
      <c r="AL47" s="72"/>
      <c r="AM47" s="72"/>
      <c r="AN47" s="72"/>
      <c r="AO47" s="34"/>
      <c r="AP47" s="34"/>
      <c r="AQ47" s="34"/>
      <c r="AR47" s="34"/>
      <c r="AS47" s="34"/>
      <c r="AT47" s="8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</row>
    <row r="48" spans="2:62" x14ac:dyDescent="0.25">
      <c r="B48" s="72"/>
      <c r="C48" s="1028"/>
      <c r="D48" s="1028"/>
      <c r="E48" s="1028"/>
      <c r="F48" s="1028"/>
      <c r="G48" s="72"/>
      <c r="H48" s="1026"/>
      <c r="I48" s="1029"/>
      <c r="J48" s="1029"/>
      <c r="K48" s="1029"/>
      <c r="L48" s="1029"/>
      <c r="M48" s="72"/>
      <c r="N48" s="72"/>
      <c r="O48" s="1028"/>
      <c r="P48" s="1028"/>
      <c r="Q48" s="1028"/>
      <c r="R48" s="1028"/>
      <c r="S48" s="72"/>
      <c r="T48" s="72"/>
      <c r="U48" s="72"/>
      <c r="V48" s="1024"/>
      <c r="W48" s="1024"/>
      <c r="X48" s="1024"/>
      <c r="Y48" s="72"/>
      <c r="Z48" s="72"/>
      <c r="AA48" s="1024"/>
      <c r="AB48" s="1024"/>
      <c r="AC48" s="1024"/>
      <c r="AD48" s="1024"/>
      <c r="AE48" s="1024"/>
      <c r="AF48" s="1024"/>
      <c r="AG48" s="72"/>
      <c r="AH48" s="72"/>
      <c r="AI48" s="72"/>
      <c r="AJ48" s="72"/>
      <c r="AK48" s="72"/>
      <c r="AL48" s="72"/>
      <c r="AM48" s="72"/>
      <c r="AN48" s="72"/>
      <c r="AO48" s="445"/>
      <c r="AP48" s="34"/>
      <c r="AQ48" s="34"/>
      <c r="AR48" s="34"/>
      <c r="AT48" s="34"/>
    </row>
    <row r="49" spans="1:62" x14ac:dyDescent="0.25">
      <c r="B49" s="72"/>
      <c r="C49" s="1028"/>
      <c r="D49" s="1028"/>
      <c r="E49" s="1028"/>
      <c r="F49" s="1028"/>
      <c r="G49" s="72"/>
      <c r="H49" s="1026"/>
      <c r="I49" s="1029"/>
      <c r="J49" s="1029"/>
      <c r="K49" s="1029"/>
      <c r="L49" s="1029"/>
      <c r="M49" s="72"/>
      <c r="N49" s="72"/>
      <c r="O49" s="1028"/>
      <c r="P49" s="1028"/>
      <c r="Q49" s="1028"/>
      <c r="R49" s="1028"/>
      <c r="S49" s="72"/>
      <c r="T49" s="72"/>
      <c r="U49" s="72"/>
      <c r="V49" s="1024"/>
      <c r="W49" s="1024"/>
      <c r="X49" s="1024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445"/>
      <c r="AP49" s="34"/>
      <c r="AQ49" s="34"/>
      <c r="AT49" s="8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</row>
    <row r="50" spans="1:62" x14ac:dyDescent="0.25">
      <c r="B50" s="72"/>
      <c r="C50" s="1028"/>
      <c r="D50" s="1028"/>
      <c r="E50" s="1028"/>
      <c r="F50" s="1028"/>
      <c r="G50" s="72"/>
      <c r="H50" s="1026"/>
      <c r="I50" s="1029"/>
      <c r="J50" s="1029"/>
      <c r="K50" s="1029"/>
      <c r="L50" s="1029"/>
      <c r="M50" s="72"/>
      <c r="N50" s="72"/>
      <c r="O50" s="1028"/>
      <c r="P50" s="1028"/>
      <c r="Q50" s="1028"/>
      <c r="R50" s="1028"/>
      <c r="S50" s="72"/>
      <c r="T50" s="72"/>
      <c r="U50" s="72"/>
      <c r="V50" s="1024"/>
      <c r="W50" s="1024"/>
      <c r="X50" s="1024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445"/>
      <c r="AP50" s="34"/>
      <c r="AQ50" s="34"/>
      <c r="AT50" s="8"/>
    </row>
    <row r="51" spans="1:62" x14ac:dyDescent="0.25">
      <c r="B51" s="72"/>
      <c r="C51" s="1028"/>
      <c r="D51" s="1028"/>
      <c r="E51" s="1028"/>
      <c r="F51" s="1028"/>
      <c r="G51" s="72"/>
      <c r="H51" s="1026"/>
      <c r="I51" s="1029"/>
      <c r="J51" s="1029"/>
      <c r="K51" s="1029"/>
      <c r="L51" s="1029"/>
      <c r="M51" s="72"/>
      <c r="N51" s="676"/>
      <c r="O51" s="1028"/>
      <c r="P51" s="1028"/>
      <c r="Q51" s="1028"/>
      <c r="R51" s="1028"/>
      <c r="S51" s="72"/>
      <c r="T51" s="72"/>
      <c r="U51" s="72"/>
      <c r="V51" s="706" t="str">
        <f ca="1">select!D1472</f>
        <v/>
      </c>
      <c r="AO51" s="445"/>
      <c r="AP51" s="34"/>
      <c r="AQ51" s="34"/>
      <c r="AT51" s="8"/>
    </row>
    <row r="52" spans="1:62" x14ac:dyDescent="0.25">
      <c r="B52" s="72"/>
      <c r="C52" s="1028"/>
      <c r="D52" s="1028"/>
      <c r="E52" s="1028"/>
      <c r="F52" s="1028"/>
      <c r="G52" s="72"/>
      <c r="H52" s="1026"/>
      <c r="I52" s="1029"/>
      <c r="J52" s="1029"/>
      <c r="K52" s="1029"/>
      <c r="L52" s="1029"/>
      <c r="M52" s="72"/>
      <c r="N52" s="676"/>
      <c r="O52" s="1028"/>
      <c r="P52" s="1028"/>
      <c r="Q52" s="1028"/>
      <c r="R52" s="1028"/>
      <c r="S52" s="72"/>
      <c r="T52" s="72"/>
      <c r="U52" s="72"/>
      <c r="V52" s="1043" t="str">
        <f ca="1">Sprache!A169</f>
        <v>Fuge</v>
      </c>
      <c r="W52" s="1043"/>
      <c r="X52" s="1043"/>
      <c r="Y52" s="1043"/>
      <c r="Z52" s="1043"/>
      <c r="AB52" s="1043" t="str">
        <f ca="1">Sprache!A170</f>
        <v>Spalt</v>
      </c>
      <c r="AC52" s="1043"/>
      <c r="AD52" s="1043"/>
      <c r="AE52" s="1043"/>
      <c r="AF52" s="1043"/>
    </row>
    <row r="53" spans="1:62" ht="15.75" thickBot="1" x14ac:dyDescent="0.3">
      <c r="B53" s="72"/>
      <c r="C53" s="1028"/>
      <c r="D53" s="1028"/>
      <c r="E53" s="1028"/>
      <c r="F53" s="1028"/>
      <c r="G53" s="72"/>
      <c r="H53" s="1026"/>
      <c r="I53" s="1029"/>
      <c r="J53" s="1029"/>
      <c r="K53" s="1029"/>
      <c r="L53" s="1029"/>
      <c r="M53" s="72"/>
      <c r="N53" s="676"/>
      <c r="O53" s="1028"/>
      <c r="P53" s="1028"/>
      <c r="Q53" s="1028"/>
      <c r="R53" s="1028"/>
      <c r="S53" s="72"/>
      <c r="T53" s="72"/>
      <c r="U53" s="72"/>
      <c r="AT53" s="8"/>
    </row>
    <row r="54" spans="1:62" x14ac:dyDescent="0.25">
      <c r="B54" s="72"/>
      <c r="C54" s="1028"/>
      <c r="D54" s="1028"/>
      <c r="E54" s="1028"/>
      <c r="F54" s="1028"/>
      <c r="G54" s="72"/>
      <c r="H54" s="72"/>
      <c r="I54" s="1029"/>
      <c r="J54" s="1029"/>
      <c r="K54" s="1029"/>
      <c r="L54" s="1029"/>
      <c r="M54" s="72"/>
      <c r="N54" s="676"/>
      <c r="O54" s="1028"/>
      <c r="P54" s="1028"/>
      <c r="Q54" s="1028"/>
      <c r="R54" s="1028"/>
      <c r="S54" s="72"/>
      <c r="T54" s="72"/>
      <c r="V54" s="1002" t="str">
        <f ca="1">AJ23</f>
        <v>0,6 | 1,0</v>
      </c>
      <c r="W54" s="1003"/>
      <c r="X54" s="1003"/>
      <c r="Y54" s="1003"/>
      <c r="Z54" s="1040"/>
      <c r="AB54" s="1002" t="str">
        <f ca="1">AJ13</f>
        <v>1,0 | 1,5</v>
      </c>
      <c r="AC54" s="1003"/>
      <c r="AD54" s="1003"/>
      <c r="AE54" s="1003"/>
      <c r="AF54" s="1040"/>
      <c r="AT54" s="8"/>
    </row>
    <row r="55" spans="1:62" x14ac:dyDescent="0.25">
      <c r="AT55" s="8"/>
    </row>
    <row r="56" spans="1:62" x14ac:dyDescent="0.25">
      <c r="A56" s="57"/>
      <c r="B56" s="58" t="str">
        <f ca="1">Sprache!A149</f>
        <v>Produktempfehlung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T56" s="8"/>
    </row>
    <row r="57" spans="1:62" x14ac:dyDescent="0.25">
      <c r="A57" s="57"/>
      <c r="B57" s="867" t="str">
        <f ca="1">select!W1644</f>
        <v/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444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80" t="str">
        <f ca="1">Sprache!A150</f>
        <v>Bestellnummer</v>
      </c>
      <c r="AK57" s="57"/>
      <c r="AL57" s="57"/>
      <c r="AM57" s="57"/>
      <c r="AT57" s="8"/>
    </row>
    <row r="58" spans="1:62" x14ac:dyDescent="0.25">
      <c r="A58" s="817" t="str">
        <f ca="1">select!H1680</f>
        <v>S</v>
      </c>
      <c r="B58" s="73" t="str">
        <f ca="1">select!B1680</f>
        <v>Tiomos Click-On Scharniere</v>
      </c>
      <c r="C58" s="73"/>
      <c r="D58" s="73"/>
      <c r="E58" s="73"/>
      <c r="F58" s="73"/>
      <c r="G58" s="73"/>
      <c r="H58" s="73"/>
      <c r="I58" s="73"/>
      <c r="J58" s="579" t="str">
        <f ca="1">select!C1680</f>
        <v>Tiomos Scharnier TS Click-on</v>
      </c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2"/>
      <c r="W58" s="72"/>
      <c r="X58" s="72"/>
      <c r="Y58" s="72"/>
      <c r="Z58" s="72" t="str">
        <f ca="1">select!D1680</f>
        <v>110°, G-BB, K00, ni</v>
      </c>
      <c r="AA58" s="72"/>
      <c r="AB58" s="72"/>
      <c r="AC58" s="72"/>
      <c r="AD58" s="72"/>
      <c r="AE58" s="72"/>
      <c r="AF58" s="72"/>
      <c r="AG58" s="72"/>
      <c r="AH58" s="573" t="str">
        <f ca="1">select!E1680</f>
        <v>F028</v>
      </c>
      <c r="AI58" s="73"/>
      <c r="AJ58" s="572" t="str">
        <f ca="1">select!F1680</f>
        <v>138</v>
      </c>
      <c r="AK58" s="574" t="str">
        <f ca="1">select!G1680</f>
        <v>337</v>
      </c>
      <c r="AL58" s="72"/>
      <c r="AM58" s="57"/>
      <c r="AT58" s="8"/>
    </row>
    <row r="59" spans="1:62" x14ac:dyDescent="0.25">
      <c r="A59" s="817" t="str">
        <f ca="1">select!H1681</f>
        <v>M</v>
      </c>
      <c r="B59" s="807" t="str">
        <f ca="1">select!B1681</f>
        <v>Tiomos Montageplatten</v>
      </c>
      <c r="C59" s="807"/>
      <c r="D59" s="807"/>
      <c r="E59" s="807"/>
      <c r="F59" s="807"/>
      <c r="G59" s="807"/>
      <c r="H59" s="807"/>
      <c r="I59" s="807"/>
      <c r="J59" s="808" t="str">
        <f ca="1">select!C1681</f>
        <v>1D Kreuz Mtg-Platte</v>
      </c>
      <c r="K59" s="807"/>
      <c r="L59" s="807"/>
      <c r="M59" s="807"/>
      <c r="N59" s="807"/>
      <c r="O59" s="807"/>
      <c r="P59" s="807"/>
      <c r="Q59" s="807"/>
      <c r="R59" s="807"/>
      <c r="S59" s="807"/>
      <c r="T59" s="807"/>
      <c r="U59" s="807"/>
      <c r="V59" s="809"/>
      <c r="W59" s="809"/>
      <c r="X59" s="809"/>
      <c r="Y59" s="809"/>
      <c r="Z59" s="809" t="str">
        <f ca="1">select!D1681</f>
        <v>H 14, ni /37</v>
      </c>
      <c r="AA59" s="809"/>
      <c r="AB59" s="809"/>
      <c r="AC59" s="809"/>
      <c r="AD59" s="809"/>
      <c r="AE59" s="809"/>
      <c r="AF59" s="809"/>
      <c r="AG59" s="809"/>
      <c r="AH59" s="810" t="str">
        <f ca="1">select!E1681</f>
        <v>F058</v>
      </c>
      <c r="AI59" s="807"/>
      <c r="AJ59" s="811" t="str">
        <f ca="1">select!F1681</f>
        <v>139</v>
      </c>
      <c r="AK59" s="812" t="str">
        <f ca="1">select!G1681</f>
        <v>889</v>
      </c>
      <c r="AL59" s="809"/>
      <c r="AM59" s="57"/>
      <c r="AT59" s="8"/>
    </row>
    <row r="60" spans="1:62" x14ac:dyDescent="0.25">
      <c r="A60" s="817" t="str">
        <f ca="1">select!H1682</f>
        <v/>
      </c>
      <c r="B60" s="83" t="str">
        <f ca="1">select!B1682</f>
        <v/>
      </c>
      <c r="C60" s="83"/>
      <c r="D60" s="83"/>
      <c r="E60" s="83"/>
      <c r="F60" s="83"/>
      <c r="G60" s="83"/>
      <c r="H60" s="83"/>
      <c r="I60" s="83"/>
      <c r="J60" s="803" t="str">
        <f ca="1">select!C1682</f>
        <v/>
      </c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3"/>
      <c r="W60" s="3"/>
      <c r="X60" s="3"/>
      <c r="Y60" s="3"/>
      <c r="Z60" s="3" t="str">
        <f ca="1">select!D1682</f>
        <v/>
      </c>
      <c r="AA60" s="3"/>
      <c r="AB60" s="3"/>
      <c r="AC60" s="3"/>
      <c r="AD60" s="3"/>
      <c r="AE60" s="3"/>
      <c r="AF60" s="3"/>
      <c r="AG60" s="3"/>
      <c r="AH60" s="804" t="str">
        <f ca="1">select!E1682</f>
        <v/>
      </c>
      <c r="AI60" s="83"/>
      <c r="AJ60" s="805" t="str">
        <f ca="1">select!F1682</f>
        <v/>
      </c>
      <c r="AK60" s="806" t="str">
        <f ca="1">select!G1682</f>
        <v/>
      </c>
      <c r="AL60" s="3"/>
      <c r="AM60" s="57"/>
    </row>
    <row r="61" spans="1:62" x14ac:dyDescent="0.25">
      <c r="A61" s="817" t="str">
        <f ca="1">select!H1683</f>
        <v/>
      </c>
      <c r="B61" s="807" t="str">
        <f ca="1">select!B1683</f>
        <v/>
      </c>
      <c r="C61" s="807"/>
      <c r="D61" s="807"/>
      <c r="E61" s="807"/>
      <c r="F61" s="807"/>
      <c r="G61" s="807"/>
      <c r="H61" s="807"/>
      <c r="I61" s="807"/>
      <c r="J61" s="808" t="str">
        <f ca="1">select!C1683</f>
        <v/>
      </c>
      <c r="K61" s="807"/>
      <c r="L61" s="807"/>
      <c r="M61" s="807"/>
      <c r="N61" s="807"/>
      <c r="O61" s="807"/>
      <c r="P61" s="807"/>
      <c r="Q61" s="807"/>
      <c r="R61" s="807"/>
      <c r="S61" s="807"/>
      <c r="T61" s="807"/>
      <c r="U61" s="807"/>
      <c r="V61" s="809"/>
      <c r="W61" s="809"/>
      <c r="X61" s="809"/>
      <c r="Y61" s="809"/>
      <c r="Z61" s="809" t="str">
        <f ca="1">select!D1683</f>
        <v/>
      </c>
      <c r="AA61" s="809"/>
      <c r="AB61" s="809"/>
      <c r="AC61" s="809"/>
      <c r="AD61" s="809"/>
      <c r="AE61" s="809"/>
      <c r="AF61" s="809"/>
      <c r="AG61" s="809"/>
      <c r="AH61" s="810" t="str">
        <f ca="1">select!E1683</f>
        <v/>
      </c>
      <c r="AI61" s="807"/>
      <c r="AJ61" s="811" t="str">
        <f ca="1">select!F1683</f>
        <v/>
      </c>
      <c r="AK61" s="812" t="str">
        <f ca="1">select!G1683</f>
        <v/>
      </c>
      <c r="AL61" s="809"/>
      <c r="AM61" s="57"/>
    </row>
    <row r="62" spans="1:62" x14ac:dyDescent="0.25">
      <c r="A62" s="817" t="str">
        <f ca="1">select!H1684</f>
        <v/>
      </c>
      <c r="B62" s="83" t="str">
        <f ca="1">select!B1684</f>
        <v/>
      </c>
      <c r="C62" s="83"/>
      <c r="D62" s="83"/>
      <c r="E62" s="83"/>
      <c r="F62" s="83"/>
      <c r="G62" s="83"/>
      <c r="H62" s="83"/>
      <c r="I62" s="83"/>
      <c r="J62" s="803" t="str">
        <f ca="1">select!C1684</f>
        <v/>
      </c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3"/>
      <c r="W62" s="3"/>
      <c r="X62" s="3"/>
      <c r="Y62" s="3"/>
      <c r="Z62" s="3" t="str">
        <f ca="1">select!D1684</f>
        <v/>
      </c>
      <c r="AA62" s="3"/>
      <c r="AB62" s="3"/>
      <c r="AC62" s="3"/>
      <c r="AD62" s="3"/>
      <c r="AE62" s="3"/>
      <c r="AF62" s="3"/>
      <c r="AG62" s="3"/>
      <c r="AH62" s="804" t="str">
        <f ca="1">select!E1684</f>
        <v/>
      </c>
      <c r="AI62" s="83"/>
      <c r="AJ62" s="805" t="str">
        <f ca="1">select!F1684</f>
        <v/>
      </c>
      <c r="AK62" s="806" t="str">
        <f ca="1">select!G1684</f>
        <v/>
      </c>
      <c r="AL62" s="3"/>
      <c r="AM62" s="57"/>
    </row>
    <row r="63" spans="1:62" x14ac:dyDescent="0.25">
      <c r="A63" s="817" t="str">
        <f ca="1">select!H1685</f>
        <v/>
      </c>
      <c r="B63" s="807" t="str">
        <f ca="1">select!B1685</f>
        <v/>
      </c>
      <c r="C63" s="807"/>
      <c r="D63" s="807"/>
      <c r="E63" s="807"/>
      <c r="F63" s="807"/>
      <c r="G63" s="807"/>
      <c r="H63" s="807"/>
      <c r="I63" s="807"/>
      <c r="J63" s="808" t="str">
        <f ca="1">select!C1685</f>
        <v/>
      </c>
      <c r="K63" s="807"/>
      <c r="L63" s="807"/>
      <c r="M63" s="807"/>
      <c r="N63" s="807"/>
      <c r="O63" s="807"/>
      <c r="P63" s="807"/>
      <c r="Q63" s="807"/>
      <c r="R63" s="807"/>
      <c r="S63" s="807"/>
      <c r="T63" s="807"/>
      <c r="U63" s="807"/>
      <c r="V63" s="809"/>
      <c r="W63" s="809"/>
      <c r="X63" s="809"/>
      <c r="Y63" s="809"/>
      <c r="Z63" s="809" t="str">
        <f ca="1">select!D1685</f>
        <v/>
      </c>
      <c r="AA63" s="809"/>
      <c r="AB63" s="809"/>
      <c r="AC63" s="809"/>
      <c r="AD63" s="809"/>
      <c r="AE63" s="809"/>
      <c r="AF63" s="809"/>
      <c r="AG63" s="809"/>
      <c r="AH63" s="810" t="str">
        <f ca="1">select!E1685</f>
        <v/>
      </c>
      <c r="AI63" s="807"/>
      <c r="AJ63" s="811" t="str">
        <f ca="1">select!F1685</f>
        <v/>
      </c>
      <c r="AK63" s="812" t="str">
        <f ca="1">select!G1685</f>
        <v/>
      </c>
      <c r="AL63" s="809"/>
      <c r="AM63" s="57"/>
    </row>
    <row r="64" spans="1:62" x14ac:dyDescent="0.25">
      <c r="A64" s="817" t="str">
        <f ca="1">select!H1686</f>
        <v/>
      </c>
      <c r="B64" s="83" t="str">
        <f ca="1">select!B1686</f>
        <v/>
      </c>
      <c r="C64" s="83"/>
      <c r="D64" s="83"/>
      <c r="E64" s="83"/>
      <c r="F64" s="83"/>
      <c r="G64" s="83"/>
      <c r="H64" s="83"/>
      <c r="I64" s="83"/>
      <c r="J64" s="803" t="str">
        <f ca="1">select!C1686</f>
        <v/>
      </c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3"/>
      <c r="W64" s="3"/>
      <c r="X64" s="3"/>
      <c r="Y64" s="3"/>
      <c r="Z64" s="3" t="str">
        <f ca="1">select!D1686</f>
        <v/>
      </c>
      <c r="AA64" s="3"/>
      <c r="AB64" s="3"/>
      <c r="AC64" s="3"/>
      <c r="AD64" s="3"/>
      <c r="AE64" s="3"/>
      <c r="AF64" s="3"/>
      <c r="AG64" s="3"/>
      <c r="AH64" s="804" t="str">
        <f ca="1">select!E1686</f>
        <v/>
      </c>
      <c r="AI64" s="83"/>
      <c r="AJ64" s="805" t="str">
        <f ca="1">select!F1686</f>
        <v/>
      </c>
      <c r="AK64" s="806" t="str">
        <f ca="1">select!G1686</f>
        <v/>
      </c>
      <c r="AL64" s="3"/>
      <c r="AM64" s="57"/>
    </row>
    <row r="65" spans="1:39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444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</row>
    <row r="66" spans="1:39" x14ac:dyDescent="0.25">
      <c r="B66" s="865"/>
    </row>
    <row r="67" spans="1:39" x14ac:dyDescent="0.25">
      <c r="A67" s="58" t="str">
        <f ca="1">Sprache!A83</f>
        <v>Notizen</v>
      </c>
      <c r="B67" s="58"/>
      <c r="C67" s="58"/>
      <c r="D67" s="58"/>
    </row>
    <row r="68" spans="1:39" x14ac:dyDescent="0.25">
      <c r="B68" s="1054"/>
      <c r="C68" s="1055"/>
      <c r="D68" s="1055"/>
      <c r="E68" s="1055"/>
      <c r="F68" s="1055"/>
      <c r="G68" s="1055"/>
      <c r="H68" s="1055"/>
      <c r="I68" s="1055"/>
      <c r="J68" s="1055"/>
      <c r="K68" s="1055"/>
      <c r="L68" s="1055"/>
      <c r="M68" s="1055"/>
      <c r="N68" s="1055"/>
      <c r="O68" s="1055"/>
      <c r="P68" s="1055"/>
      <c r="Q68" s="1055"/>
      <c r="R68" s="1055"/>
      <c r="S68" s="1055"/>
      <c r="T68" s="1055"/>
      <c r="U68" s="1055"/>
      <c r="V68" s="1055"/>
      <c r="W68" s="1055"/>
      <c r="X68" s="1055"/>
      <c r="Y68" s="1055"/>
      <c r="Z68" s="1055"/>
      <c r="AA68" s="1055"/>
      <c r="AB68" s="1055"/>
      <c r="AC68" s="1055"/>
      <c r="AD68" s="1055"/>
      <c r="AE68" s="1055"/>
      <c r="AF68" s="1055"/>
      <c r="AG68" s="1055"/>
      <c r="AH68" s="1055"/>
      <c r="AI68" s="1055"/>
      <c r="AJ68" s="1055"/>
      <c r="AK68" s="1055"/>
      <c r="AL68" s="1055"/>
      <c r="AM68" s="1056"/>
    </row>
    <row r="69" spans="1:39" x14ac:dyDescent="0.25">
      <c r="B69" s="1048"/>
      <c r="C69" s="1049"/>
      <c r="D69" s="1049"/>
      <c r="E69" s="1049"/>
      <c r="F69" s="1049"/>
      <c r="G69" s="1049"/>
      <c r="H69" s="1049"/>
      <c r="I69" s="1049"/>
      <c r="J69" s="1049"/>
      <c r="K69" s="1049"/>
      <c r="L69" s="1049"/>
      <c r="M69" s="1049"/>
      <c r="N69" s="1049"/>
      <c r="O69" s="1049"/>
      <c r="P69" s="1049"/>
      <c r="Q69" s="1049"/>
      <c r="R69" s="1049"/>
      <c r="S69" s="1049"/>
      <c r="T69" s="1049"/>
      <c r="U69" s="1049"/>
      <c r="V69" s="1049"/>
      <c r="W69" s="1049"/>
      <c r="X69" s="1049"/>
      <c r="Y69" s="1049"/>
      <c r="Z69" s="1049"/>
      <c r="AA69" s="1049"/>
      <c r="AB69" s="1049"/>
      <c r="AC69" s="1049"/>
      <c r="AD69" s="1049"/>
      <c r="AE69" s="1049"/>
      <c r="AF69" s="1049"/>
      <c r="AG69" s="1049"/>
      <c r="AH69" s="1049"/>
      <c r="AI69" s="1049"/>
      <c r="AJ69" s="1049"/>
      <c r="AK69" s="1049"/>
      <c r="AL69" s="1049"/>
      <c r="AM69" s="1050"/>
    </row>
    <row r="70" spans="1:39" x14ac:dyDescent="0.25">
      <c r="B70" s="1048"/>
      <c r="C70" s="1049"/>
      <c r="D70" s="1049"/>
      <c r="E70" s="1049"/>
      <c r="F70" s="1049"/>
      <c r="G70" s="1049"/>
      <c r="H70" s="1049"/>
      <c r="I70" s="1049"/>
      <c r="J70" s="1049"/>
      <c r="K70" s="1049"/>
      <c r="L70" s="1049"/>
      <c r="M70" s="1049"/>
      <c r="N70" s="1049"/>
      <c r="O70" s="1049"/>
      <c r="P70" s="1049"/>
      <c r="Q70" s="1049"/>
      <c r="R70" s="1049"/>
      <c r="S70" s="1049"/>
      <c r="T70" s="1049"/>
      <c r="U70" s="1049"/>
      <c r="V70" s="1049"/>
      <c r="W70" s="1049"/>
      <c r="X70" s="1049"/>
      <c r="Y70" s="1049"/>
      <c r="Z70" s="1049"/>
      <c r="AA70" s="1049"/>
      <c r="AB70" s="1049"/>
      <c r="AC70" s="1049"/>
      <c r="AD70" s="1049"/>
      <c r="AE70" s="1049"/>
      <c r="AF70" s="1049"/>
      <c r="AG70" s="1049"/>
      <c r="AH70" s="1049"/>
      <c r="AI70" s="1049"/>
      <c r="AJ70" s="1049"/>
      <c r="AK70" s="1049"/>
      <c r="AL70" s="1049"/>
      <c r="AM70" s="1050"/>
    </row>
    <row r="71" spans="1:39" x14ac:dyDescent="0.25">
      <c r="B71" s="1048"/>
      <c r="C71" s="1049"/>
      <c r="D71" s="1049"/>
      <c r="E71" s="1049"/>
      <c r="F71" s="1049"/>
      <c r="G71" s="1049"/>
      <c r="H71" s="1049"/>
      <c r="I71" s="1049"/>
      <c r="J71" s="1049"/>
      <c r="K71" s="1049"/>
      <c r="L71" s="1049"/>
      <c r="M71" s="1049"/>
      <c r="N71" s="1049"/>
      <c r="O71" s="1049"/>
      <c r="P71" s="1049"/>
      <c r="Q71" s="1049"/>
      <c r="R71" s="1049"/>
      <c r="S71" s="1049"/>
      <c r="T71" s="1049"/>
      <c r="U71" s="1049"/>
      <c r="V71" s="1049"/>
      <c r="W71" s="1049"/>
      <c r="X71" s="1049"/>
      <c r="Y71" s="1049"/>
      <c r="Z71" s="1049"/>
      <c r="AA71" s="1049"/>
      <c r="AB71" s="1049"/>
      <c r="AC71" s="1049"/>
      <c r="AD71" s="1049"/>
      <c r="AE71" s="1049"/>
      <c r="AF71" s="1049"/>
      <c r="AG71" s="1049"/>
      <c r="AH71" s="1049"/>
      <c r="AI71" s="1049"/>
      <c r="AJ71" s="1049"/>
      <c r="AK71" s="1049"/>
      <c r="AL71" s="1049"/>
      <c r="AM71" s="1050"/>
    </row>
    <row r="72" spans="1:39" x14ac:dyDescent="0.25">
      <c r="B72" s="1048"/>
      <c r="C72" s="1049"/>
      <c r="D72" s="1049"/>
      <c r="E72" s="1049"/>
      <c r="F72" s="1049"/>
      <c r="G72" s="1049"/>
      <c r="H72" s="1049"/>
      <c r="I72" s="1049"/>
      <c r="J72" s="1049"/>
      <c r="K72" s="1049"/>
      <c r="L72" s="1049"/>
      <c r="M72" s="1049"/>
      <c r="N72" s="1049"/>
      <c r="O72" s="1049"/>
      <c r="P72" s="1049"/>
      <c r="Q72" s="1049"/>
      <c r="R72" s="1049"/>
      <c r="S72" s="1049"/>
      <c r="T72" s="1049"/>
      <c r="U72" s="1049"/>
      <c r="V72" s="1049"/>
      <c r="W72" s="1049"/>
      <c r="X72" s="1049"/>
      <c r="Y72" s="1049"/>
      <c r="Z72" s="1049"/>
      <c r="AA72" s="1049"/>
      <c r="AB72" s="1049"/>
      <c r="AC72" s="1049"/>
      <c r="AD72" s="1049"/>
      <c r="AE72" s="1049"/>
      <c r="AF72" s="1049"/>
      <c r="AG72" s="1049"/>
      <c r="AH72" s="1049"/>
      <c r="AI72" s="1049"/>
      <c r="AJ72" s="1049"/>
      <c r="AK72" s="1049"/>
      <c r="AL72" s="1049"/>
      <c r="AM72" s="1050"/>
    </row>
    <row r="73" spans="1:39" x14ac:dyDescent="0.25">
      <c r="B73" s="1048"/>
      <c r="C73" s="1049"/>
      <c r="D73" s="1049"/>
      <c r="E73" s="1049"/>
      <c r="F73" s="1049"/>
      <c r="G73" s="1049"/>
      <c r="H73" s="1049"/>
      <c r="I73" s="1049"/>
      <c r="J73" s="1049"/>
      <c r="K73" s="1049"/>
      <c r="L73" s="1049"/>
      <c r="M73" s="1049"/>
      <c r="N73" s="1049"/>
      <c r="O73" s="1049"/>
      <c r="P73" s="1049"/>
      <c r="Q73" s="1049"/>
      <c r="R73" s="1049"/>
      <c r="S73" s="1049"/>
      <c r="T73" s="1049"/>
      <c r="U73" s="1049"/>
      <c r="V73" s="1049"/>
      <c r="W73" s="1049"/>
      <c r="X73" s="1049"/>
      <c r="Y73" s="1049"/>
      <c r="Z73" s="1049"/>
      <c r="AA73" s="1049"/>
      <c r="AB73" s="1049"/>
      <c r="AC73" s="1049"/>
      <c r="AD73" s="1049"/>
      <c r="AE73" s="1049"/>
      <c r="AF73" s="1049"/>
      <c r="AG73" s="1049"/>
      <c r="AH73" s="1049"/>
      <c r="AI73" s="1049"/>
      <c r="AJ73" s="1049"/>
      <c r="AK73" s="1049"/>
      <c r="AL73" s="1049"/>
      <c r="AM73" s="1050"/>
    </row>
    <row r="74" spans="1:39" x14ac:dyDescent="0.25">
      <c r="B74" s="1048"/>
      <c r="C74" s="1049"/>
      <c r="D74" s="1049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1049"/>
      <c r="AB74" s="1049"/>
      <c r="AC74" s="1049"/>
      <c r="AD74" s="1049"/>
      <c r="AE74" s="1049"/>
      <c r="AF74" s="1049"/>
      <c r="AG74" s="1049"/>
      <c r="AH74" s="1049"/>
      <c r="AI74" s="1049"/>
      <c r="AJ74" s="1049"/>
      <c r="AK74" s="1049"/>
      <c r="AL74" s="1049"/>
      <c r="AM74" s="1050"/>
    </row>
    <row r="75" spans="1:39" x14ac:dyDescent="0.25">
      <c r="B75" s="1051"/>
      <c r="C75" s="1052"/>
      <c r="D75" s="1052"/>
      <c r="E75" s="1052"/>
      <c r="F75" s="1052"/>
      <c r="G75" s="1052"/>
      <c r="H75" s="1052"/>
      <c r="I75" s="1052"/>
      <c r="J75" s="1052"/>
      <c r="K75" s="1052"/>
      <c r="L75" s="1052"/>
      <c r="M75" s="1052"/>
      <c r="N75" s="1052"/>
      <c r="O75" s="1052"/>
      <c r="P75" s="1052"/>
      <c r="Q75" s="1052"/>
      <c r="R75" s="1052"/>
      <c r="S75" s="1052"/>
      <c r="T75" s="1052"/>
      <c r="U75" s="1052"/>
      <c r="V75" s="1052"/>
      <c r="W75" s="1052"/>
      <c r="X75" s="1052"/>
      <c r="Y75" s="1052"/>
      <c r="Z75" s="1052"/>
      <c r="AA75" s="1052"/>
      <c r="AB75" s="1052"/>
      <c r="AC75" s="1052"/>
      <c r="AD75" s="1052"/>
      <c r="AE75" s="1052"/>
      <c r="AF75" s="1052"/>
      <c r="AG75" s="1052"/>
      <c r="AH75" s="1052"/>
      <c r="AI75" s="1052"/>
      <c r="AJ75" s="1052"/>
      <c r="AK75" s="1052"/>
      <c r="AL75" s="1052"/>
      <c r="AM75" s="1053"/>
    </row>
  </sheetData>
  <sheetProtection password="9438" sheet="1" objects="1" scenarios="1"/>
  <mergeCells count="64">
    <mergeCell ref="B73:AM73"/>
    <mergeCell ref="B74:AM74"/>
    <mergeCell ref="B75:AM75"/>
    <mergeCell ref="B68:AM68"/>
    <mergeCell ref="B69:AM69"/>
    <mergeCell ref="B70:AM70"/>
    <mergeCell ref="B71:AM71"/>
    <mergeCell ref="B72:AM72"/>
    <mergeCell ref="AJ23:AL24"/>
    <mergeCell ref="V52:Z52"/>
    <mergeCell ref="AB52:AF52"/>
    <mergeCell ref="V32:Y32"/>
    <mergeCell ref="AA32:AF32"/>
    <mergeCell ref="AH32:AM32"/>
    <mergeCell ref="AG39:AM39"/>
    <mergeCell ref="AK25:AM25"/>
    <mergeCell ref="Y21:Z23"/>
    <mergeCell ref="AA34:AF36"/>
    <mergeCell ref="AH34:AL36"/>
    <mergeCell ref="AB54:AF54"/>
    <mergeCell ref="AG41:AK41"/>
    <mergeCell ref="U31:U41"/>
    <mergeCell ref="AB26:AC27"/>
    <mergeCell ref="AC28:AD29"/>
    <mergeCell ref="V54:Z54"/>
    <mergeCell ref="BH22:BH25"/>
    <mergeCell ref="BB22:BB25"/>
    <mergeCell ref="BC22:BC25"/>
    <mergeCell ref="BD22:BD25"/>
    <mergeCell ref="BE22:BE25"/>
    <mergeCell ref="BF22:BF25"/>
    <mergeCell ref="BG22:BG25"/>
    <mergeCell ref="AJ13:AJ19"/>
    <mergeCell ref="AG18:AH19"/>
    <mergeCell ref="AA17:AB18"/>
    <mergeCell ref="K13:T14"/>
    <mergeCell ref="K5:T5"/>
    <mergeCell ref="AA5:AE6"/>
    <mergeCell ref="Z5:Z19"/>
    <mergeCell ref="O26:T26"/>
    <mergeCell ref="I26:M26"/>
    <mergeCell ref="V34:X37"/>
    <mergeCell ref="AG5:AI5"/>
    <mergeCell ref="X5:X19"/>
    <mergeCell ref="Y5:Y19"/>
    <mergeCell ref="B5:I5"/>
    <mergeCell ref="W5:W19"/>
    <mergeCell ref="I35:M35"/>
    <mergeCell ref="AL5:AL17"/>
    <mergeCell ref="V41:AE43"/>
    <mergeCell ref="V47:X50"/>
    <mergeCell ref="AA47:AF48"/>
    <mergeCell ref="C7:H22"/>
    <mergeCell ref="B26:G26"/>
    <mergeCell ref="K15:T15"/>
    <mergeCell ref="B28:B41"/>
    <mergeCell ref="H37:H53"/>
    <mergeCell ref="N28:N43"/>
    <mergeCell ref="K17:N22"/>
    <mergeCell ref="K7:N11"/>
    <mergeCell ref="C28:F54"/>
    <mergeCell ref="I37:L54"/>
    <mergeCell ref="I28:L32"/>
    <mergeCell ref="O28:R54"/>
  </mergeCells>
  <conditionalFormatting sqref="B5">
    <cfRule type="expression" dxfId="62" priority="20">
      <formula>$C$6&lt;&gt;""</formula>
    </cfRule>
  </conditionalFormatting>
  <conditionalFormatting sqref="K15">
    <cfRule type="expression" dxfId="61" priority="17">
      <formula>$K$16&lt;&gt;""</formula>
    </cfRule>
  </conditionalFormatting>
  <conditionalFormatting sqref="B26">
    <cfRule type="expression" dxfId="60" priority="16">
      <formula>$B$28&lt;&gt;""</formula>
    </cfRule>
  </conditionalFormatting>
  <conditionalFormatting sqref="I35">
    <cfRule type="expression" dxfId="59" priority="15">
      <formula>$I$36&lt;&gt;""</formula>
    </cfRule>
  </conditionalFormatting>
  <conditionalFormatting sqref="O26">
    <cfRule type="expression" dxfId="58" priority="14">
      <formula>$O$27&lt;&gt;""</formula>
    </cfRule>
  </conditionalFormatting>
  <conditionalFormatting sqref="V32">
    <cfRule type="expression" dxfId="57" priority="13">
      <formula>$U$31&lt;&gt;""</formula>
    </cfRule>
  </conditionalFormatting>
  <conditionalFormatting sqref="AA32">
    <cfRule type="expression" dxfId="56" priority="12">
      <formula>$AA$37&lt;&gt;""</formula>
    </cfRule>
  </conditionalFormatting>
  <conditionalFormatting sqref="AH32">
    <cfRule type="expression" dxfId="55" priority="11">
      <formula>$AH$33&lt;&gt;""</formula>
    </cfRule>
  </conditionalFormatting>
  <conditionalFormatting sqref="V39:AE39">
    <cfRule type="expression" dxfId="54" priority="8">
      <formula>$U$42&lt;&gt;""</formula>
    </cfRule>
  </conditionalFormatting>
  <conditionalFormatting sqref="V45:AM45">
    <cfRule type="expression" dxfId="53" priority="6">
      <formula>$AA$46&lt;&gt;""</formula>
    </cfRule>
    <cfRule type="expression" dxfId="52" priority="7">
      <formula>$V$51&lt;&gt;""</formula>
    </cfRule>
  </conditionalFormatting>
  <conditionalFormatting sqref="K5">
    <cfRule type="expression" dxfId="51" priority="63">
      <formula>$K$13&lt;&gt;""</formula>
    </cfRule>
  </conditionalFormatting>
  <conditionalFormatting sqref="B59:AL59">
    <cfRule type="expression" dxfId="50" priority="5">
      <formula>$A59="S"</formula>
    </cfRule>
  </conditionalFormatting>
  <conditionalFormatting sqref="B60:AL64">
    <cfRule type="expression" dxfId="49" priority="4">
      <formula>$A60="S"</formula>
    </cfRule>
  </conditionalFormatting>
  <pageMargins left="0.35" right="0.34" top="0.32" bottom="0.28999999999999998" header="0.3" footer="0.3"/>
  <pageSetup paperSize="9" scale="73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List Box 1">
              <controlPr defaultSize="0" print="0" autoLine="0" autoPict="0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7</xdr:col>
                    <xdr:colOff>200025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5" name="List Box 3">
              <controlPr defaultSize="0" print="0" autoLine="0" autoPict="0">
                <anchor moveWithCells="1">
                  <from>
                    <xdr:col>10</xdr:col>
                    <xdr:colOff>19050</xdr:colOff>
                    <xdr:row>6</xdr:row>
                    <xdr:rowOff>19050</xdr:rowOff>
                  </from>
                  <to>
                    <xdr:col>14</xdr:col>
                    <xdr:colOff>95250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6" name="List Box 4">
              <controlPr defaultSize="0" print="0" autoLine="0" autoPict="0">
                <anchor moveWithCells="1">
                  <from>
                    <xdr:col>10</xdr:col>
                    <xdr:colOff>0</xdr:colOff>
                    <xdr:row>16</xdr:row>
                    <xdr:rowOff>9525</xdr:rowOff>
                  </from>
                  <to>
                    <xdr:col>14</xdr:col>
                    <xdr:colOff>76200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7" name="List Box 5">
              <controlPr defaultSize="0" print="0" autoLine="0" autoPict="0">
                <anchor moveWithCells="1">
                  <from>
                    <xdr:col>2</xdr:col>
                    <xdr:colOff>19050</xdr:colOff>
                    <xdr:row>26</xdr:row>
                    <xdr:rowOff>171450</xdr:rowOff>
                  </from>
                  <to>
                    <xdr:col>6</xdr:col>
                    <xdr:colOff>9525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8" name="List Box 6">
              <controlPr defaultSize="0" print="0" autoLine="0" autoPict="0">
                <anchor moveWithCells="1">
                  <from>
                    <xdr:col>8</xdr:col>
                    <xdr:colOff>38100</xdr:colOff>
                    <xdr:row>26</xdr:row>
                    <xdr:rowOff>180975</xdr:rowOff>
                  </from>
                  <to>
                    <xdr:col>12</xdr:col>
                    <xdr:colOff>28575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9" name="List Box 7">
              <controlPr defaultSize="0" print="0" autoLine="0" autoPict="0">
                <anchor moveWithCells="1">
                  <from>
                    <xdr:col>14</xdr:col>
                    <xdr:colOff>9525</xdr:colOff>
                    <xdr:row>26</xdr:row>
                    <xdr:rowOff>180975</xdr:rowOff>
                  </from>
                  <to>
                    <xdr:col>18</xdr:col>
                    <xdr:colOff>28575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0" name="List Box 8">
              <controlPr defaultSize="0" print="0" autoLine="0" autoPict="0">
                <anchor moveWithCells="1">
                  <from>
                    <xdr:col>8</xdr:col>
                    <xdr:colOff>38100</xdr:colOff>
                    <xdr:row>35</xdr:row>
                    <xdr:rowOff>180975</xdr:rowOff>
                  </from>
                  <to>
                    <xdr:col>12</xdr:col>
                    <xdr:colOff>57150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1" name="List Box 9">
              <controlPr defaultSize="0" print="0" autoLine="0" autoPict="0">
                <anchor moveWithCells="1">
                  <from>
                    <xdr:col>21</xdr:col>
                    <xdr:colOff>19050</xdr:colOff>
                    <xdr:row>32</xdr:row>
                    <xdr:rowOff>76200</xdr:rowOff>
                  </from>
                  <to>
                    <xdr:col>24</xdr:col>
                    <xdr:colOff>47625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2" name="List Box 12">
              <controlPr defaultSize="0" print="0" autoLine="0" autoPict="0">
                <anchor moveWithCells="1">
                  <from>
                    <xdr:col>25</xdr:col>
                    <xdr:colOff>209550</xdr:colOff>
                    <xdr:row>32</xdr:row>
                    <xdr:rowOff>180975</xdr:rowOff>
                  </from>
                  <to>
                    <xdr:col>32</xdr:col>
                    <xdr:colOff>114300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3" name="List Box 13">
              <controlPr defaultSize="0" print="0" autoLine="0" autoPict="0">
                <anchor moveWithCells="1">
                  <from>
                    <xdr:col>33</xdr:col>
                    <xdr:colOff>0</xdr:colOff>
                    <xdr:row>32</xdr:row>
                    <xdr:rowOff>180975</xdr:rowOff>
                  </from>
                  <to>
                    <xdr:col>38</xdr:col>
                    <xdr:colOff>104775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14" name="Drop Down 21">
              <controlPr defaultSize="0" autoLine="0" autoPict="0">
                <anchor moveWithCells="1">
                  <from>
                    <xdr:col>26</xdr:col>
                    <xdr:colOff>28575</xdr:colOff>
                    <xdr:row>48</xdr:row>
                    <xdr:rowOff>85725</xdr:rowOff>
                  </from>
                  <to>
                    <xdr:col>36</xdr:col>
                    <xdr:colOff>76200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15" name="List Box 22">
              <controlPr defaultSize="0" print="0" autoLine="0" autoPict="0">
                <anchor moveWithCells="1">
                  <from>
                    <xdr:col>21</xdr:col>
                    <xdr:colOff>9525</xdr:colOff>
                    <xdr:row>45</xdr:row>
                    <xdr:rowOff>180975</xdr:rowOff>
                  </from>
                  <to>
                    <xdr:col>24</xdr:col>
                    <xdr:colOff>133350</xdr:colOff>
                    <xdr:row>49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16" name="List Box 23">
              <controlPr defaultSize="0" print="0" autoLine="0" autoPict="0">
                <anchor moveWithCells="1">
                  <from>
                    <xdr:col>21</xdr:col>
                    <xdr:colOff>9525</xdr:colOff>
                    <xdr:row>40</xdr:row>
                    <xdr:rowOff>9525</xdr:rowOff>
                  </from>
                  <to>
                    <xdr:col>31</xdr:col>
                    <xdr:colOff>95250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17" name="List Box 24">
              <controlPr defaultSize="0" print="0" autoLine="0" autoPict="0">
                <anchor moveWithCells="1">
                  <from>
                    <xdr:col>26</xdr:col>
                    <xdr:colOff>28575</xdr:colOff>
                    <xdr:row>46</xdr:row>
                    <xdr:rowOff>9525</xdr:rowOff>
                  </from>
                  <to>
                    <xdr:col>32</xdr:col>
                    <xdr:colOff>28575</xdr:colOff>
                    <xdr:row>48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08C0FF-A475-457A-B702-FD218EC26681}">
            <xm:f>select!$AF$1367&gt;0</xm:f>
            <x14:dxf>
              <font>
                <b/>
                <i val="0"/>
                <color rgb="FFFF0000"/>
              </font>
            </x14:dxf>
          </x14:cfRule>
          <xm:sqref>AL5:AL17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1">
    <tabColor theme="0" tint="-0.499984740745262"/>
  </sheetPr>
  <dimension ref="C1:CC45"/>
  <sheetViews>
    <sheetView showGridLines="0" showRowColHeaders="0" workbookViewId="0">
      <selection activeCell="BO21" sqref="BO21"/>
    </sheetView>
  </sheetViews>
  <sheetFormatPr baseColWidth="10" defaultColWidth="3" defaultRowHeight="15" x14ac:dyDescent="0.25"/>
  <cols>
    <col min="4" max="4" width="2.7109375" customWidth="1"/>
    <col min="11" max="11" width="3.28515625" bestFit="1" customWidth="1"/>
    <col min="12" max="12" width="3" customWidth="1"/>
    <col min="65" max="65" width="2.42578125" customWidth="1"/>
  </cols>
  <sheetData>
    <row r="1" spans="3:81" ht="7.5" customHeight="1" x14ac:dyDescent="0.25"/>
    <row r="2" spans="3:81" ht="15" customHeight="1" x14ac:dyDescent="0.25"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445"/>
      <c r="AV2" s="874"/>
      <c r="AW2" s="874"/>
      <c r="AX2" s="874"/>
      <c r="AY2" s="874"/>
      <c r="AZ2" s="445"/>
      <c r="BA2" s="445"/>
    </row>
    <row r="3" spans="3:81" ht="26.25" customHeight="1" thickBot="1" x14ac:dyDescent="0.4">
      <c r="C3" s="34"/>
      <c r="D3" s="50" t="str">
        <f ca="1">Sprache!A157</f>
        <v>Scharnieranzahlberechnung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875"/>
      <c r="AV3" s="875"/>
      <c r="AW3" s="875"/>
      <c r="AX3" s="875"/>
      <c r="AY3" s="875"/>
      <c r="AZ3" s="876"/>
      <c r="BA3" s="877" t="str">
        <f ca="1">Sprache!A53</f>
        <v>zurück</v>
      </c>
      <c r="BB3" s="51"/>
      <c r="BC3" s="51"/>
    </row>
    <row r="4" spans="3:81" ht="15" customHeight="1" thickBot="1" x14ac:dyDescent="0.3"/>
    <row r="5" spans="3:81" ht="16.5" customHeight="1" x14ac:dyDescent="0.35">
      <c r="D5" s="741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2"/>
      <c r="R5" s="742"/>
      <c r="S5" s="742"/>
      <c r="T5" s="742"/>
      <c r="U5" s="742"/>
      <c r="V5" s="743"/>
      <c r="Y5" s="766"/>
      <c r="BF5" s="763"/>
      <c r="BG5" s="763"/>
      <c r="BH5" s="763"/>
      <c r="BI5" s="763"/>
      <c r="BJ5" s="763"/>
      <c r="BK5" s="763"/>
      <c r="BL5" s="763"/>
      <c r="BM5" s="763"/>
      <c r="BN5" s="763"/>
      <c r="BO5" s="763"/>
      <c r="BP5" s="763"/>
      <c r="BQ5" s="763"/>
      <c r="BR5" s="763"/>
      <c r="BS5" s="763"/>
      <c r="BT5" s="763"/>
      <c r="BU5" s="763"/>
      <c r="BV5" s="763"/>
      <c r="BW5" s="763"/>
      <c r="BX5" s="763"/>
      <c r="BY5" s="763"/>
      <c r="BZ5" s="763"/>
      <c r="CA5" s="763"/>
      <c r="CB5" s="763"/>
      <c r="CC5" s="763"/>
    </row>
    <row r="6" spans="3:81" ht="21" customHeight="1" x14ac:dyDescent="0.35">
      <c r="D6" s="744"/>
      <c r="E6" s="762" t="str">
        <f ca="1">F37</f>
        <v>Türgewicht</v>
      </c>
      <c r="F6" s="764"/>
      <c r="G6" s="764"/>
      <c r="H6" s="764"/>
      <c r="I6" s="764"/>
      <c r="J6" s="764"/>
      <c r="K6" s="764"/>
      <c r="L6" s="765"/>
      <c r="M6" s="765"/>
      <c r="N6" s="765"/>
      <c r="O6" s="765"/>
      <c r="P6" s="765"/>
      <c r="Q6" s="765"/>
      <c r="R6" s="765"/>
      <c r="S6" s="765"/>
      <c r="T6" s="765"/>
      <c r="U6" s="8"/>
      <c r="V6" s="745"/>
      <c r="Y6" s="766"/>
      <c r="BF6" s="763"/>
      <c r="BG6" s="763"/>
      <c r="BH6" s="763"/>
      <c r="BI6" s="763"/>
      <c r="BJ6" s="763"/>
      <c r="BK6" s="763"/>
      <c r="BL6" s="763"/>
      <c r="BM6" s="763"/>
      <c r="BN6" s="763"/>
      <c r="BO6" s="763"/>
      <c r="BP6" s="763"/>
      <c r="BQ6" s="763"/>
      <c r="BR6" s="763"/>
      <c r="BS6" s="763"/>
      <c r="BT6" s="763"/>
      <c r="BU6" s="763"/>
      <c r="BV6" s="763"/>
      <c r="BW6" s="763"/>
      <c r="BX6" s="763"/>
      <c r="BY6" s="763"/>
      <c r="BZ6" s="763"/>
      <c r="CA6" s="763"/>
      <c r="CB6" s="763"/>
      <c r="CC6" s="763"/>
    </row>
    <row r="7" spans="3:81" x14ac:dyDescent="0.25">
      <c r="D7" s="74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745"/>
      <c r="Y7" s="766"/>
      <c r="AA7" t="str">
        <f ca="1">Sprache!A158</f>
        <v>Türhöhe</v>
      </c>
    </row>
    <row r="8" spans="3:81" x14ac:dyDescent="0.25">
      <c r="D8" s="744"/>
      <c r="E8" s="746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60"/>
      <c r="V8" s="745"/>
      <c r="Y8" s="766"/>
      <c r="AA8" s="959">
        <v>2500</v>
      </c>
      <c r="AB8" s="959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3:81" x14ac:dyDescent="0.25">
      <c r="D9" s="744"/>
      <c r="E9" s="74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757"/>
      <c r="V9" s="745"/>
      <c r="Y9" s="766"/>
      <c r="AA9" s="959"/>
      <c r="AB9" s="959"/>
      <c r="AV9" s="57"/>
      <c r="AW9" s="57"/>
      <c r="AX9" s="57"/>
      <c r="AY9" s="57"/>
      <c r="AZ9" s="57"/>
      <c r="BA9" s="57"/>
    </row>
    <row r="10" spans="3:81" x14ac:dyDescent="0.25">
      <c r="D10" s="744"/>
      <c r="E10" s="748"/>
      <c r="F10" s="8" t="str">
        <f ca="1">Sprache!A76</f>
        <v>Für die Scharnierzahl entscheidende Faktoren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757"/>
      <c r="V10" s="745"/>
      <c r="Y10" s="766"/>
      <c r="AV10" s="57"/>
      <c r="AW10" s="57"/>
      <c r="AX10" s="57"/>
      <c r="AY10" s="57"/>
      <c r="AZ10" s="57"/>
      <c r="BA10" s="57"/>
    </row>
    <row r="11" spans="3:81" x14ac:dyDescent="0.25">
      <c r="D11" s="744"/>
      <c r="E11" s="748"/>
      <c r="F11" s="8" t="str">
        <f ca="1">Sprache!A77</f>
        <v>sind Türhöhe, Türgewicht, Materialqualität, Topf-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757"/>
      <c r="V11" s="745"/>
      <c r="Y11" s="766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57"/>
      <c r="AW11" s="57"/>
      <c r="AX11" s="57"/>
      <c r="AY11" s="57"/>
      <c r="AZ11" s="57"/>
      <c r="BA11" s="57"/>
    </row>
    <row r="12" spans="3:81" x14ac:dyDescent="0.25">
      <c r="D12" s="744"/>
      <c r="E12" s="748"/>
      <c r="F12" s="8" t="str">
        <f ca="1">Sprache!A78</f>
        <v>und Montageplattenbefestigung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757"/>
      <c r="V12" s="745"/>
      <c r="Y12" s="766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</row>
    <row r="13" spans="3:81" x14ac:dyDescent="0.25">
      <c r="D13" s="744"/>
      <c r="E13" s="74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757"/>
      <c r="V13" s="745"/>
      <c r="Y13" s="766"/>
      <c r="AA13" s="959">
        <v>2000</v>
      </c>
      <c r="AB13" s="959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70"/>
      <c r="AQ13" s="70"/>
      <c r="AR13" s="70"/>
      <c r="AS13" s="70"/>
      <c r="AT13" s="70"/>
      <c r="AU13" s="57"/>
      <c r="AV13" s="57"/>
      <c r="AW13" s="57"/>
      <c r="AX13" s="57"/>
      <c r="AY13" s="57"/>
      <c r="AZ13" s="57"/>
      <c r="BA13" s="57"/>
    </row>
    <row r="14" spans="3:81" x14ac:dyDescent="0.25">
      <c r="D14" s="744"/>
      <c r="E14" s="748"/>
      <c r="F14" s="8" t="str">
        <f ca="1">Sprache!A79</f>
        <v xml:space="preserve">Die Belastungs- und Höhenangaben beziehen sich 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757"/>
      <c r="V14" s="745"/>
      <c r="Y14" s="766"/>
      <c r="AA14" s="959"/>
      <c r="AB14" s="959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70"/>
      <c r="AQ14" s="70"/>
      <c r="AR14" s="70"/>
      <c r="AS14" s="70"/>
      <c r="AT14" s="70"/>
      <c r="AU14" s="57"/>
      <c r="AV14" s="57"/>
      <c r="AW14" s="57"/>
      <c r="AX14" s="57"/>
      <c r="AY14" s="57"/>
      <c r="AZ14" s="57"/>
      <c r="BA14" s="57"/>
    </row>
    <row r="15" spans="3:81" x14ac:dyDescent="0.25">
      <c r="D15" s="744"/>
      <c r="E15" s="748"/>
      <c r="F15" s="8" t="str">
        <f ca="1">Sprache!A80</f>
        <v>auf Normtürbreiten von 600mm. Im Zweifelsfall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757"/>
      <c r="V15" s="745"/>
      <c r="Y15" s="766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70"/>
      <c r="AQ15" s="70"/>
      <c r="AR15" s="70"/>
      <c r="AS15" s="70"/>
      <c r="AT15" s="70"/>
      <c r="AU15" s="57"/>
      <c r="AV15" s="57"/>
      <c r="AW15" s="57"/>
      <c r="AX15" s="57"/>
      <c r="AY15" s="57"/>
      <c r="AZ15" s="57"/>
      <c r="BA15" s="57"/>
    </row>
    <row r="16" spans="3:81" x14ac:dyDescent="0.25">
      <c r="D16" s="744"/>
      <c r="E16" s="748"/>
      <c r="F16" s="8" t="str">
        <f ca="1">Sprache!A81</f>
        <v>ist die Scharnierzahl durch einen Probeanschlag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757"/>
      <c r="V16" s="745"/>
      <c r="Y16" s="766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70"/>
      <c r="AQ16" s="70"/>
      <c r="AR16" s="70"/>
      <c r="AS16" s="70"/>
      <c r="AT16" s="70"/>
      <c r="AU16" s="57"/>
      <c r="AV16" s="57"/>
      <c r="AW16" s="57"/>
      <c r="AX16" s="57"/>
      <c r="AY16" s="57"/>
      <c r="AZ16" s="57"/>
      <c r="BA16" s="57"/>
    </row>
    <row r="17" spans="4:53" x14ac:dyDescent="0.25">
      <c r="D17" s="744"/>
      <c r="E17" s="748"/>
      <c r="F17" s="8" t="str">
        <f ca="1">Sprache!A82</f>
        <v>zu ermitteln.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757"/>
      <c r="V17" s="745"/>
      <c r="Y17" s="766"/>
      <c r="AA17" s="959">
        <v>1600</v>
      </c>
      <c r="AB17" s="959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70"/>
      <c r="AQ17" s="70"/>
      <c r="AR17" s="70"/>
      <c r="AS17" s="70"/>
      <c r="AT17" s="70"/>
      <c r="AU17" s="57"/>
      <c r="AV17" s="57"/>
      <c r="AW17" s="57"/>
      <c r="AX17" s="57"/>
      <c r="AY17" s="57"/>
      <c r="AZ17" s="57"/>
      <c r="BA17" s="57"/>
    </row>
    <row r="18" spans="4:53" x14ac:dyDescent="0.25">
      <c r="D18" s="744"/>
      <c r="E18" s="74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757"/>
      <c r="V18" s="745"/>
      <c r="Y18" s="766"/>
      <c r="AA18" s="959"/>
      <c r="AB18" s="959"/>
      <c r="AJ18" s="57"/>
      <c r="AK18" s="57"/>
      <c r="AL18" s="57"/>
      <c r="AM18" s="57"/>
      <c r="AN18" s="70"/>
      <c r="AO18" s="57"/>
      <c r="AP18" s="70"/>
      <c r="AQ18" s="70"/>
      <c r="AR18" s="70"/>
      <c r="AS18" s="70"/>
      <c r="AT18" s="70"/>
      <c r="AU18" s="57"/>
      <c r="AV18" s="57"/>
      <c r="AW18" s="57"/>
      <c r="AX18" s="57"/>
      <c r="AY18" s="57"/>
      <c r="AZ18" s="57"/>
      <c r="BA18" s="57"/>
    </row>
    <row r="19" spans="4:53" x14ac:dyDescent="0.25">
      <c r="D19" s="744"/>
      <c r="E19" s="748"/>
      <c r="F19" s="151" t="str">
        <f ca="1">Sprache!A85</f>
        <v>Beispiel: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757"/>
      <c r="V19" s="745"/>
      <c r="Y19" s="766"/>
      <c r="AJ19" s="57"/>
      <c r="AK19" s="57"/>
      <c r="AL19" s="57"/>
      <c r="AM19" s="70"/>
      <c r="AN19" s="70"/>
      <c r="AO19" s="57"/>
      <c r="AP19" s="70"/>
      <c r="AQ19" s="70"/>
      <c r="AR19" s="70"/>
      <c r="AS19" s="70"/>
      <c r="AT19" s="70"/>
      <c r="AU19" s="57"/>
      <c r="AV19" s="57"/>
      <c r="AW19" s="57"/>
      <c r="AX19" s="57"/>
      <c r="AY19" s="57"/>
      <c r="AZ19" s="57"/>
      <c r="BA19" s="57"/>
    </row>
    <row r="20" spans="4:53" x14ac:dyDescent="0.25">
      <c r="D20" s="744"/>
      <c r="E20" s="748"/>
      <c r="F20" s="8" t="str">
        <f ca="1">Sprache!A86</f>
        <v>Bei einer Tür mit den Maßen 2000 x 600 mm und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757"/>
      <c r="V20" s="745"/>
      <c r="Y20" s="766"/>
      <c r="AJ20" s="57"/>
      <c r="AK20" s="57"/>
      <c r="AL20" s="57"/>
      <c r="AM20" s="70"/>
      <c r="AN20" s="70"/>
      <c r="AO20" s="57"/>
      <c r="AP20" s="70"/>
      <c r="AQ20" s="70"/>
      <c r="AR20" s="70"/>
      <c r="AS20" s="70"/>
      <c r="AT20" s="70"/>
      <c r="AU20" s="57"/>
      <c r="AV20" s="57"/>
      <c r="AW20" s="57"/>
      <c r="AX20" s="57"/>
      <c r="AY20" s="57"/>
      <c r="AZ20" s="57"/>
      <c r="BA20" s="57"/>
    </row>
    <row r="21" spans="4:53" x14ac:dyDescent="0.25">
      <c r="D21" s="744"/>
      <c r="E21" s="748"/>
      <c r="F21" s="8" t="str">
        <f ca="1">Sprache!A87</f>
        <v>einem Gewicht von 13 kg wird der Einsatz von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757"/>
      <c r="V21" s="745"/>
      <c r="Y21" s="766"/>
      <c r="AJ21" s="57"/>
      <c r="AK21" s="57"/>
      <c r="AL21" s="57"/>
      <c r="AM21" s="70"/>
      <c r="AN21" s="70"/>
      <c r="AO21" s="57"/>
      <c r="AP21" s="70"/>
      <c r="AQ21" s="70"/>
      <c r="AR21" s="70"/>
      <c r="AS21" s="70"/>
      <c r="AT21" s="70"/>
      <c r="AU21" s="57"/>
      <c r="AV21" s="57"/>
      <c r="AW21" s="57"/>
      <c r="AX21" s="57"/>
      <c r="AY21" s="57"/>
      <c r="AZ21" s="57"/>
      <c r="BA21" s="57"/>
    </row>
    <row r="22" spans="4:53" x14ac:dyDescent="0.25">
      <c r="D22" s="744"/>
      <c r="E22" s="748"/>
      <c r="F22" s="8" t="str">
        <f ca="1">Sprache!A88</f>
        <v>4 Scharnieren empfohlen.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757"/>
      <c r="V22" s="745"/>
      <c r="Y22" s="766"/>
      <c r="AJ22" s="57"/>
      <c r="AK22" s="57"/>
      <c r="AL22" s="57"/>
      <c r="AM22" s="70"/>
      <c r="AN22" s="70"/>
      <c r="AO22" s="57"/>
      <c r="AP22" s="70"/>
      <c r="AQ22" s="70"/>
      <c r="AR22" s="70"/>
      <c r="AS22" s="70"/>
      <c r="AT22" s="70"/>
      <c r="AU22" s="57"/>
      <c r="AV22" s="57"/>
      <c r="AW22" s="57"/>
      <c r="AX22" s="57"/>
      <c r="AY22" s="57"/>
      <c r="AZ22" s="57"/>
      <c r="BA22" s="57"/>
    </row>
    <row r="23" spans="4:53" x14ac:dyDescent="0.25">
      <c r="D23" s="744"/>
      <c r="E23" s="74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757"/>
      <c r="V23" s="745"/>
      <c r="Y23" s="766"/>
      <c r="AJ23" s="57"/>
      <c r="AK23" s="57"/>
      <c r="AL23" s="57"/>
      <c r="AM23" s="70"/>
      <c r="AN23" s="70"/>
      <c r="AO23" s="57"/>
      <c r="AP23" s="70"/>
      <c r="AQ23" s="70"/>
      <c r="AR23" s="70"/>
      <c r="AS23" s="70"/>
      <c r="AT23" s="70"/>
      <c r="AU23" s="57"/>
      <c r="AV23" s="59"/>
      <c r="AW23" s="1058" t="str">
        <f ca="1">Sprache!A159</f>
        <v>Türbreite</v>
      </c>
      <c r="AX23" s="1058"/>
      <c r="AY23" s="1058"/>
      <c r="AZ23" s="1058"/>
      <c r="BA23" s="59"/>
    </row>
    <row r="24" spans="4:53" x14ac:dyDescent="0.25">
      <c r="D24" s="744"/>
      <c r="E24" s="748"/>
      <c r="F24" s="8" t="str">
        <f ca="1">Sprache!A90</f>
        <v xml:space="preserve">Das Diagramm bezieht sich auf Scharniere mit und 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757"/>
      <c r="V24" s="745"/>
      <c r="Y24" s="766"/>
      <c r="AA24" s="959">
        <v>900</v>
      </c>
      <c r="AB24" s="959"/>
      <c r="AC24" s="6"/>
      <c r="AD24" s="6"/>
      <c r="AE24" s="6"/>
      <c r="AF24" s="6"/>
      <c r="AG24" s="6"/>
      <c r="AH24" s="6"/>
      <c r="AI24" s="6"/>
      <c r="AJ24" s="57"/>
      <c r="AK24" s="57"/>
      <c r="AL24" s="57"/>
      <c r="AM24" s="70"/>
      <c r="AN24" s="70"/>
      <c r="AO24" s="57"/>
      <c r="AP24" s="70"/>
      <c r="AQ24" s="70"/>
      <c r="AR24" s="70"/>
      <c r="AS24" s="70"/>
      <c r="AT24" s="70"/>
      <c r="AU24" s="57"/>
      <c r="AV24" s="59"/>
      <c r="AW24" s="1058" t="s">
        <v>901</v>
      </c>
      <c r="AX24" s="1058"/>
      <c r="AY24" s="1058"/>
      <c r="AZ24" s="1058"/>
      <c r="BA24" s="59"/>
    </row>
    <row r="25" spans="4:53" x14ac:dyDescent="0.25">
      <c r="D25" s="744"/>
      <c r="E25" s="748"/>
      <c r="F25" s="8" t="str">
        <f ca="1">Sprache!A91</f>
        <v>ohne integrierte Dämpfung.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757"/>
      <c r="V25" s="745"/>
      <c r="Y25" s="766"/>
      <c r="AA25" s="959"/>
      <c r="AB25" s="959"/>
      <c r="AD25" s="57"/>
      <c r="AE25" s="57"/>
      <c r="AF25" s="57"/>
      <c r="AG25" s="57"/>
      <c r="AH25" s="57"/>
      <c r="AI25" s="57"/>
      <c r="AJ25" s="57"/>
      <c r="AK25" s="57"/>
      <c r="AL25" s="57"/>
      <c r="AM25" s="70"/>
      <c r="AN25" s="70"/>
      <c r="AO25" s="57"/>
      <c r="AP25" s="70"/>
      <c r="AQ25" s="70"/>
      <c r="AR25" s="70"/>
      <c r="AS25" s="70"/>
      <c r="AT25" s="70"/>
      <c r="AU25" s="57"/>
      <c r="AV25" s="57"/>
      <c r="AW25" s="57"/>
      <c r="AX25" s="57"/>
      <c r="AY25" s="57"/>
      <c r="AZ25" s="57"/>
      <c r="BA25" s="57"/>
    </row>
    <row r="26" spans="4:53" x14ac:dyDescent="0.25">
      <c r="D26" s="744"/>
      <c r="E26" s="761"/>
      <c r="F26" s="758"/>
      <c r="G26" s="758"/>
      <c r="H26" s="758"/>
      <c r="I26" s="758"/>
      <c r="J26" s="758"/>
      <c r="K26" s="758"/>
      <c r="L26" s="758"/>
      <c r="M26" s="758"/>
      <c r="N26" s="758"/>
      <c r="O26" s="758"/>
      <c r="P26" s="758"/>
      <c r="Q26" s="758"/>
      <c r="R26" s="758"/>
      <c r="S26" s="758"/>
      <c r="T26" s="758"/>
      <c r="U26" s="759"/>
      <c r="V26" s="745"/>
      <c r="Y26" s="766"/>
      <c r="AD26" s="57"/>
      <c r="AE26" s="57"/>
      <c r="AF26" s="57"/>
      <c r="AG26" s="57"/>
      <c r="AH26" s="57"/>
      <c r="AI26" s="57"/>
      <c r="AJ26" s="57"/>
      <c r="AK26" s="57"/>
      <c r="AL26" s="57"/>
      <c r="AM26" s="70"/>
      <c r="AN26" s="70"/>
      <c r="AO26" s="57"/>
      <c r="AP26" s="70"/>
      <c r="AQ26" s="70"/>
      <c r="AR26" s="70"/>
      <c r="AS26" s="70"/>
      <c r="AT26" s="70"/>
      <c r="AU26" s="57"/>
      <c r="AV26" s="57"/>
      <c r="AW26" s="57"/>
      <c r="AX26" s="57"/>
      <c r="AY26" s="57"/>
      <c r="AZ26" s="57"/>
      <c r="BA26" s="57"/>
    </row>
    <row r="27" spans="4:53" x14ac:dyDescent="0.25">
      <c r="D27" s="744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745"/>
      <c r="Y27" s="766"/>
      <c r="AD27" s="57"/>
      <c r="AE27" s="57"/>
      <c r="AF27" s="57"/>
      <c r="AG27" s="57"/>
      <c r="AH27" s="57"/>
      <c r="AI27" s="57"/>
      <c r="AJ27" s="57"/>
      <c r="AK27" s="57"/>
      <c r="AL27" s="57"/>
      <c r="AM27" s="70"/>
      <c r="AN27" s="70"/>
      <c r="AO27" s="57"/>
      <c r="AP27" s="70"/>
      <c r="AQ27" s="70"/>
      <c r="AR27" s="70"/>
      <c r="AS27" s="70"/>
      <c r="AT27" s="70"/>
      <c r="AU27" s="57"/>
      <c r="AV27" s="57"/>
      <c r="AW27" s="57"/>
      <c r="AX27" s="57"/>
      <c r="AY27" s="57"/>
      <c r="AZ27" s="57"/>
      <c r="BA27" s="57"/>
    </row>
    <row r="28" spans="4:53" x14ac:dyDescent="0.25">
      <c r="D28" s="744"/>
      <c r="E28" s="749"/>
      <c r="F28" s="767" t="str">
        <f ca="1">Sprache!A196</f>
        <v>Material</v>
      </c>
      <c r="G28" s="755"/>
      <c r="H28" s="755"/>
      <c r="I28" s="754"/>
      <c r="J28" s="754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745"/>
      <c r="Y28" s="766"/>
      <c r="AD28" s="57"/>
      <c r="AE28" s="57"/>
      <c r="AF28" s="57"/>
      <c r="AG28" s="57"/>
      <c r="AH28" s="57"/>
      <c r="AI28" s="57"/>
      <c r="AJ28" s="57"/>
      <c r="AK28" s="57"/>
      <c r="AL28" s="57"/>
      <c r="AM28" s="70"/>
      <c r="AN28" s="70"/>
      <c r="AO28" s="57"/>
      <c r="AP28" s="70"/>
      <c r="AQ28" s="70"/>
      <c r="AR28" s="70"/>
      <c r="AS28" s="70"/>
      <c r="AT28" s="70"/>
      <c r="AU28" s="57"/>
      <c r="AV28" s="57"/>
      <c r="AW28" s="57"/>
      <c r="AX28" s="57"/>
      <c r="AY28" s="57"/>
      <c r="AZ28" s="57"/>
      <c r="BA28" s="57"/>
    </row>
    <row r="29" spans="4:53" x14ac:dyDescent="0.25">
      <c r="D29" s="744"/>
      <c r="E29" s="8"/>
      <c r="F29" s="754"/>
      <c r="G29" s="754"/>
      <c r="H29" s="754"/>
      <c r="I29" s="754"/>
      <c r="J29" s="75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745"/>
      <c r="Y29" s="766"/>
      <c r="AD29" s="57"/>
      <c r="AE29" s="57"/>
      <c r="AF29" s="57"/>
      <c r="AG29" s="57"/>
      <c r="AH29" s="57"/>
      <c r="AI29" s="57"/>
      <c r="AJ29" s="57"/>
      <c r="AK29" s="57"/>
      <c r="AL29" s="57"/>
      <c r="AM29" s="70"/>
      <c r="AN29" s="70"/>
      <c r="AO29" s="57"/>
      <c r="AP29" s="70"/>
      <c r="AQ29" s="70"/>
      <c r="AR29" s="70"/>
      <c r="AS29" s="70"/>
      <c r="AT29" s="70"/>
      <c r="AU29" s="57"/>
      <c r="AV29" s="57"/>
      <c r="AW29" s="57"/>
      <c r="AX29" s="57"/>
      <c r="AY29" s="57"/>
      <c r="AZ29" s="57"/>
      <c r="BA29" s="57"/>
    </row>
    <row r="30" spans="4:53" ht="15.75" thickBot="1" x14ac:dyDescent="0.3">
      <c r="D30" s="744"/>
      <c r="E30" s="8"/>
      <c r="F30" s="754"/>
      <c r="G30" s="754"/>
      <c r="H30" s="754"/>
      <c r="I30" s="754"/>
      <c r="J30" s="75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745"/>
      <c r="Y30" s="766"/>
      <c r="AD30" s="57"/>
      <c r="AE30" s="57"/>
      <c r="AF30" s="57"/>
      <c r="AG30" s="70"/>
      <c r="AH30" s="70"/>
      <c r="AI30" s="70"/>
      <c r="AJ30" s="57"/>
      <c r="AK30" s="57"/>
      <c r="AL30" s="57"/>
      <c r="AM30" s="70"/>
      <c r="AN30" s="70"/>
      <c r="AO30" s="57"/>
      <c r="AP30" s="70"/>
      <c r="AQ30" s="70"/>
      <c r="AR30" s="70"/>
      <c r="AS30" s="70"/>
      <c r="AT30" s="70"/>
      <c r="AU30" s="57"/>
      <c r="AV30" s="57"/>
      <c r="AW30" s="57"/>
      <c r="AX30" s="57"/>
      <c r="AY30" s="57"/>
      <c r="AZ30" s="57"/>
      <c r="BA30" s="57"/>
    </row>
    <row r="31" spans="4:53" x14ac:dyDescent="0.25">
      <c r="D31" s="744"/>
      <c r="E31" s="749"/>
      <c r="F31" s="1066" t="str">
        <f ca="1">Sprache!A159</f>
        <v>Türbreite</v>
      </c>
      <c r="G31" s="1066"/>
      <c r="H31" s="1066"/>
      <c r="I31" s="1066"/>
      <c r="J31" s="1066"/>
      <c r="K31" s="750"/>
      <c r="L31" s="1067">
        <v>230</v>
      </c>
      <c r="M31" s="1068"/>
      <c r="N31" s="1068"/>
      <c r="O31" s="1069"/>
      <c r="P31" s="750"/>
      <c r="Q31" s="750"/>
      <c r="R31" s="8"/>
      <c r="S31" s="8"/>
      <c r="T31" s="8"/>
      <c r="U31" s="8"/>
      <c r="V31" s="745"/>
      <c r="Y31" s="766"/>
      <c r="AD31" s="57"/>
      <c r="AE31" s="57"/>
      <c r="AF31" s="57"/>
      <c r="AG31" s="70"/>
      <c r="AH31" s="70"/>
      <c r="AI31" s="70"/>
      <c r="AJ31" s="57"/>
      <c r="AK31" s="57"/>
      <c r="AL31" s="57"/>
      <c r="AM31" s="70"/>
      <c r="AN31" s="70"/>
      <c r="AO31" s="57"/>
      <c r="AP31" s="70"/>
      <c r="AQ31" s="70"/>
      <c r="AR31" s="70"/>
      <c r="AS31" s="70"/>
      <c r="AT31" s="70"/>
      <c r="AU31" s="57"/>
      <c r="AV31" s="57"/>
      <c r="AW31" s="57"/>
      <c r="AX31" s="57"/>
      <c r="AY31" s="57"/>
      <c r="AZ31" s="57"/>
      <c r="BA31" s="57"/>
    </row>
    <row r="32" spans="4:53" x14ac:dyDescent="0.25">
      <c r="D32" s="744"/>
      <c r="E32" s="756"/>
      <c r="F32" s="1062" t="str">
        <f ca="1">Sprache!A161</f>
        <v>Türhöhe</v>
      </c>
      <c r="G32" s="1062"/>
      <c r="H32" s="1062"/>
      <c r="I32" s="1062"/>
      <c r="J32" s="1062"/>
      <c r="K32" s="750"/>
      <c r="L32" s="1070">
        <v>1400</v>
      </c>
      <c r="M32" s="1071"/>
      <c r="N32" s="1071"/>
      <c r="O32" s="1072"/>
      <c r="P32" s="750"/>
      <c r="Q32" s="750"/>
      <c r="R32" s="8"/>
      <c r="S32" s="8"/>
      <c r="T32" s="8"/>
      <c r="U32" s="8"/>
      <c r="V32" s="745"/>
      <c r="Y32" s="766"/>
      <c r="AD32" s="57"/>
      <c r="AE32" s="57"/>
      <c r="AF32" s="57"/>
      <c r="AG32" s="70"/>
      <c r="AH32" s="70"/>
      <c r="AI32" s="70"/>
      <c r="AJ32" s="57"/>
      <c r="AK32" s="57"/>
      <c r="AL32" s="57"/>
      <c r="AM32" s="70"/>
      <c r="AN32" s="70"/>
      <c r="AO32" s="57"/>
      <c r="AP32" s="70"/>
      <c r="AQ32" s="70"/>
      <c r="AR32" s="70"/>
      <c r="AS32" s="57"/>
      <c r="AT32" s="57"/>
      <c r="AU32" s="57"/>
      <c r="AV32" s="57"/>
      <c r="AW32" s="57"/>
      <c r="AX32" s="57"/>
      <c r="AY32" s="57"/>
      <c r="AZ32" s="57"/>
      <c r="BA32" s="57"/>
    </row>
    <row r="33" spans="4:54" ht="15.75" thickBot="1" x14ac:dyDescent="0.3">
      <c r="D33" s="744"/>
      <c r="E33" s="756"/>
      <c r="F33" s="1062" t="str">
        <f ca="1">Sprache!A160</f>
        <v>Türstärke</v>
      </c>
      <c r="G33" s="1062"/>
      <c r="H33" s="1062"/>
      <c r="I33" s="1062"/>
      <c r="J33" s="1062"/>
      <c r="K33" s="750"/>
      <c r="L33" s="1063">
        <v>19</v>
      </c>
      <c r="M33" s="1064"/>
      <c r="N33" s="1064"/>
      <c r="O33" s="1065"/>
      <c r="P33" s="750"/>
      <c r="Q33" s="750"/>
      <c r="R33" s="8"/>
      <c r="S33" s="8"/>
      <c r="T33" s="8"/>
      <c r="U33" s="8"/>
      <c r="V33" s="745"/>
      <c r="Y33" s="766"/>
      <c r="AA33" s="959" t="s">
        <v>896</v>
      </c>
      <c r="AB33" s="959"/>
      <c r="AC33" s="6"/>
      <c r="AD33" s="57"/>
      <c r="AE33" s="57"/>
      <c r="AF33" s="57"/>
      <c r="AG33" s="57"/>
      <c r="AH33" s="57"/>
      <c r="AI33" s="57"/>
      <c r="AJ33" s="57"/>
      <c r="AK33" s="57"/>
      <c r="AL33" s="57"/>
      <c r="AM33" s="70"/>
      <c r="AN33" s="70"/>
      <c r="AO33" s="57"/>
      <c r="AP33" s="70"/>
      <c r="AQ33" s="70"/>
      <c r="AR33" s="70"/>
      <c r="AS33" s="57"/>
      <c r="AT33" s="57"/>
      <c r="AU33" s="57"/>
      <c r="AV33" s="57"/>
      <c r="AW33" s="57"/>
      <c r="AX33" s="57"/>
      <c r="AY33" s="57"/>
      <c r="AZ33" s="57"/>
      <c r="BA33" s="57"/>
    </row>
    <row r="34" spans="4:54" ht="15.75" thickBot="1" x14ac:dyDescent="0.3">
      <c r="D34" s="744"/>
      <c r="E34" s="8"/>
      <c r="F34" s="754"/>
      <c r="G34" s="754"/>
      <c r="H34" s="754"/>
      <c r="I34" s="754"/>
      <c r="J34" s="75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745"/>
      <c r="Y34" s="766"/>
      <c r="AA34" s="959"/>
      <c r="AB34" s="959"/>
      <c r="AD34" s="10"/>
      <c r="AF34" s="10"/>
      <c r="AH34" s="10"/>
      <c r="AJ34" s="10"/>
      <c r="AL34" s="10"/>
      <c r="AM34" s="55"/>
      <c r="AP34" s="10"/>
      <c r="AR34" s="71"/>
      <c r="AS34" s="55"/>
      <c r="AV34" s="10"/>
      <c r="AX34" s="71"/>
      <c r="AY34" s="55"/>
      <c r="BB34" s="10"/>
    </row>
    <row r="35" spans="4:54" x14ac:dyDescent="0.25">
      <c r="D35" s="744"/>
      <c r="E35" s="882" t="str">
        <f ca="1">Sprache!A84</f>
        <v>Zusätzl. Gewicht</v>
      </c>
      <c r="G35" s="754"/>
      <c r="H35" s="754"/>
      <c r="I35" s="754"/>
      <c r="J35" s="754"/>
      <c r="K35" s="883"/>
      <c r="L35" s="1073">
        <f>select!K295</f>
        <v>0</v>
      </c>
      <c r="M35" s="1074"/>
      <c r="N35" s="1074"/>
      <c r="O35" s="1075"/>
      <c r="P35" s="8"/>
      <c r="Q35" s="8"/>
      <c r="R35" s="8"/>
      <c r="S35" s="8"/>
      <c r="T35" s="8"/>
      <c r="U35" s="8"/>
      <c r="V35" s="745"/>
      <c r="Y35" s="766"/>
      <c r="AA35" s="878"/>
      <c r="AB35" s="878"/>
      <c r="AD35" t="s">
        <v>897</v>
      </c>
      <c r="AI35" s="1057">
        <v>6</v>
      </c>
      <c r="AJ35" s="1057"/>
      <c r="AO35" s="1057">
        <v>10</v>
      </c>
      <c r="AP35" s="1057"/>
      <c r="AU35" s="1057">
        <v>17</v>
      </c>
      <c r="AV35" s="1057"/>
      <c r="BA35" s="1057">
        <v>22</v>
      </c>
      <c r="BB35" s="1057"/>
    </row>
    <row r="36" spans="4:54" ht="15.75" thickBot="1" x14ac:dyDescent="0.3">
      <c r="D36" s="744"/>
      <c r="E36" s="8"/>
      <c r="F36" s="754"/>
      <c r="G36" s="754"/>
      <c r="H36" s="754"/>
      <c r="I36" s="754"/>
      <c r="J36" s="75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745"/>
      <c r="Y36" s="766"/>
      <c r="AA36" s="878"/>
      <c r="AB36" s="878"/>
      <c r="AD36" t="str">
        <f ca="1">Sprache!A156</f>
        <v>Türgewicht</v>
      </c>
      <c r="AF36" s="34"/>
      <c r="AH36" s="34"/>
      <c r="AJ36" s="34"/>
      <c r="AL36" s="34"/>
      <c r="AM36" s="34"/>
      <c r="AP36" s="34"/>
      <c r="AR36" s="34"/>
      <c r="AS36" s="34"/>
      <c r="AV36" s="34"/>
      <c r="AX36" s="34"/>
      <c r="AY36" s="34"/>
      <c r="BB36" s="34"/>
    </row>
    <row r="37" spans="4:54" ht="16.5" thickBot="1" x14ac:dyDescent="0.3">
      <c r="D37" s="744"/>
      <c r="E37" s="749"/>
      <c r="F37" s="755" t="str">
        <f ca="1">Sprache!A156</f>
        <v>Türgewicht</v>
      </c>
      <c r="G37" s="755"/>
      <c r="H37" s="755"/>
      <c r="I37" s="755"/>
      <c r="J37" s="755"/>
      <c r="K37" s="8"/>
      <c r="L37" s="1076">
        <f>select!L273</f>
        <v>5.2</v>
      </c>
      <c r="M37" s="1077"/>
      <c r="N37" s="1077"/>
      <c r="O37" s="1078"/>
      <c r="P37" s="8"/>
      <c r="Q37" s="781" t="str">
        <f>select!J290</f>
        <v/>
      </c>
      <c r="R37" s="8"/>
      <c r="S37" s="8"/>
      <c r="T37" s="8"/>
      <c r="U37" s="8"/>
      <c r="V37" s="745"/>
      <c r="Y37" s="766"/>
    </row>
    <row r="38" spans="4:54" ht="15.75" thickBot="1" x14ac:dyDescent="0.3">
      <c r="D38" s="744"/>
      <c r="E38" s="8"/>
      <c r="F38" s="754"/>
      <c r="G38" s="754"/>
      <c r="H38" s="754"/>
      <c r="I38" s="754"/>
      <c r="J38" s="75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745"/>
      <c r="Y38" s="766"/>
    </row>
    <row r="39" spans="4:54" ht="16.5" thickBot="1" x14ac:dyDescent="0.3">
      <c r="D39" s="744"/>
      <c r="E39" s="8"/>
      <c r="F39" s="754" t="str">
        <f ca="1">Sprache!A97</f>
        <v>Anzahl Scharniere</v>
      </c>
      <c r="G39" s="754"/>
      <c r="H39" s="754"/>
      <c r="I39" s="754"/>
      <c r="J39" s="754"/>
      <c r="K39" s="8"/>
      <c r="L39" s="1059">
        <f>select!K289</f>
        <v>2</v>
      </c>
      <c r="M39" s="1060"/>
      <c r="N39" s="1060"/>
      <c r="O39" s="1061"/>
      <c r="P39" s="8"/>
      <c r="Q39" s="8"/>
      <c r="R39" s="8"/>
      <c r="S39" s="8"/>
      <c r="T39" s="8"/>
      <c r="U39" s="8"/>
      <c r="V39" s="745"/>
      <c r="Y39" s="766"/>
    </row>
    <row r="40" spans="4:54" ht="15.75" thickBot="1" x14ac:dyDescent="0.3">
      <c r="D40" s="751"/>
      <c r="E40" s="752"/>
      <c r="F40" s="752"/>
      <c r="G40" s="752"/>
      <c r="H40" s="752"/>
      <c r="I40" s="752"/>
      <c r="J40" s="752"/>
      <c r="K40" s="752"/>
      <c r="L40" s="752"/>
      <c r="M40" s="752"/>
      <c r="N40" s="752"/>
      <c r="O40" s="752"/>
      <c r="P40" s="752"/>
      <c r="Q40" s="752"/>
      <c r="R40" s="752"/>
      <c r="S40" s="752"/>
      <c r="T40" s="752"/>
      <c r="U40" s="752"/>
      <c r="V40" s="753"/>
      <c r="Y40" s="766"/>
    </row>
    <row r="41" spans="4:54" x14ac:dyDescent="0.25">
      <c r="Y41" s="766"/>
    </row>
    <row r="42" spans="4:54" x14ac:dyDescent="0.25">
      <c r="D42" t="str">
        <f ca="1">Sprache!A89</f>
        <v>Gewichtsangaben gelten nicht für Mirro- und M0 Scharniere!</v>
      </c>
    </row>
    <row r="44" spans="4:54" x14ac:dyDescent="0.25">
      <c r="D44" s="786" t="str">
        <f ca="1">Sprache!A29</f>
        <v>Das angenommene, spezifische Gewicht entspricht einem Durchschnittswert.</v>
      </c>
    </row>
    <row r="45" spans="4:54" x14ac:dyDescent="0.25">
      <c r="D45" s="786" t="str">
        <f ca="1">Sprache!A30</f>
        <v>Tatsächliche Werte können variieren. Wir empfehlen einen Probeanschlag.</v>
      </c>
    </row>
  </sheetData>
  <sheetProtection password="9438" sheet="1" objects="1" scenarios="1"/>
  <mergeCells count="20">
    <mergeCell ref="L39:O39"/>
    <mergeCell ref="F33:J33"/>
    <mergeCell ref="L33:O33"/>
    <mergeCell ref="F31:J31"/>
    <mergeCell ref="L31:O31"/>
    <mergeCell ref="F32:J32"/>
    <mergeCell ref="L32:O32"/>
    <mergeCell ref="L35:O35"/>
    <mergeCell ref="L37:O37"/>
    <mergeCell ref="BA35:BB35"/>
    <mergeCell ref="AI35:AJ35"/>
    <mergeCell ref="AA8:AB9"/>
    <mergeCell ref="AA13:AB14"/>
    <mergeCell ref="AA17:AB18"/>
    <mergeCell ref="AA24:AB25"/>
    <mergeCell ref="AA33:AB34"/>
    <mergeCell ref="AO35:AP35"/>
    <mergeCell ref="AU35:AV35"/>
    <mergeCell ref="AW23:AZ23"/>
    <mergeCell ref="AW24:AZ24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Drop Down 5">
              <controlPr defaultSize="0" autoLine="0" autoPict="0">
                <anchor moveWithCells="1">
                  <from>
                    <xdr:col>8</xdr:col>
                    <xdr:colOff>171450</xdr:colOff>
                    <xdr:row>27</xdr:row>
                    <xdr:rowOff>19050</xdr:rowOff>
                  </from>
                  <to>
                    <xdr:col>16</xdr:col>
                    <xdr:colOff>161925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5" name="Spinner 15">
              <controlPr locked="0" defaultSize="0" autoPict="0">
                <anchor moveWithCells="1" sizeWithCells="1">
                  <from>
                    <xdr:col>15</xdr:col>
                    <xdr:colOff>38100</xdr:colOff>
                    <xdr:row>29</xdr:row>
                    <xdr:rowOff>190500</xdr:rowOff>
                  </from>
                  <to>
                    <xdr:col>16</xdr:col>
                    <xdr:colOff>47625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6" name="Spinner 16">
              <controlPr locked="0" defaultSize="0" autoPict="0">
                <anchor moveWithCells="1" sizeWithCells="1">
                  <from>
                    <xdr:col>15</xdr:col>
                    <xdr:colOff>38100</xdr:colOff>
                    <xdr:row>31</xdr:row>
                    <xdr:rowOff>0</xdr:rowOff>
                  </from>
                  <to>
                    <xdr:col>16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7" name="Spinner 17">
              <controlPr locked="0" defaultSize="0" autoPict="0">
                <anchor moveWithCells="1" sizeWithCells="1">
                  <from>
                    <xdr:col>15</xdr:col>
                    <xdr:colOff>38100</xdr:colOff>
                    <xdr:row>32</xdr:row>
                    <xdr:rowOff>9525</xdr:rowOff>
                  </from>
                  <to>
                    <xdr:col>16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8" name="Spinner 18">
              <controlPr locked="0" defaultSize="0" autoPict="0">
                <anchor moveWithCells="1" sizeWithCells="1">
                  <from>
                    <xdr:col>15</xdr:col>
                    <xdr:colOff>28575</xdr:colOff>
                    <xdr:row>33</xdr:row>
                    <xdr:rowOff>190500</xdr:rowOff>
                  </from>
                  <to>
                    <xdr:col>16</xdr:col>
                    <xdr:colOff>38100</xdr:colOff>
                    <xdr:row>34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between" id="{F7F282AE-87D1-4E7B-8BB3-F27F15B774F9}">
            <xm:f>select!$K$268</xm:f>
            <xm:f>select!$L$268</xm:f>
            <x14:dxf>
              <font>
                <b val="0"/>
                <i val="0"/>
                <color theme="1"/>
              </font>
            </x14:dxf>
          </x14:cfRule>
          <xm:sqref>L32</xm:sqref>
        </x14:conditionalFormatting>
        <x14:conditionalFormatting xmlns:xm="http://schemas.microsoft.com/office/excel/2006/main">
          <x14:cfRule type="cellIs" priority="5" operator="between" id="{D28B5E92-AB0D-412D-AFCA-DFCDA6C4E545}">
            <xm:f>select!$K$269</xm:f>
            <xm:f>select!$L$269</xm:f>
            <x14:dxf>
              <font>
                <b val="0"/>
                <i val="0"/>
                <color theme="1"/>
              </font>
            </x14:dxf>
          </x14:cfRule>
          <xm:sqref>L33</xm:sqref>
        </x14:conditionalFormatting>
        <x14:conditionalFormatting xmlns:xm="http://schemas.microsoft.com/office/excel/2006/main">
          <x14:cfRule type="cellIs" priority="6" operator="between" id="{ADAC20ED-2382-4A2C-AEF7-9FC6593EF20A}">
            <xm:f>select!$K$267</xm:f>
            <xm:f>select!$L$267</xm:f>
            <x14:dxf>
              <font>
                <b val="0"/>
                <i val="0"/>
                <color theme="1"/>
              </font>
            </x14:dxf>
          </x14:cfRule>
          <xm:sqref>L31</xm:sqref>
        </x14:conditionalFormatting>
        <x14:conditionalFormatting xmlns:xm="http://schemas.microsoft.com/office/excel/2006/main">
          <x14:cfRule type="cellIs" priority="3" operator="between" id="{59164C95-64CA-47AF-93C2-5B636DF7E5B3}">
            <xm:f>select!$K$270</xm:f>
            <xm:f>select!$L$270</xm:f>
            <x14:dxf>
              <font>
                <b val="0"/>
                <i val="0"/>
                <color theme="1"/>
              </font>
            </x14:dxf>
          </x14:cfRule>
          <xm:sqref>L37</xm:sqref>
        </x14:conditionalFormatting>
        <x14:conditionalFormatting xmlns:xm="http://schemas.microsoft.com/office/excel/2006/main">
          <x14:cfRule type="cellIs" priority="2" operator="between" id="{F94DA304-3993-4AB0-BF7F-A4902B78FC90}">
            <xm:f>select!$K$270</xm:f>
            <xm:f>select!$L$270</xm:f>
            <x14:dxf>
              <font>
                <b val="0"/>
                <i val="0"/>
                <color theme="1"/>
              </font>
            </x14:dxf>
          </x14:cfRule>
          <xm:sqref>L39</xm:sqref>
        </x14:conditionalFormatting>
        <x14:conditionalFormatting xmlns:xm="http://schemas.microsoft.com/office/excel/2006/main">
          <x14:cfRule type="cellIs" priority="1" operator="between" id="{A0DF82DB-232E-475D-86D0-2E3ED0F052FE}">
            <xm:f>select!$K$267</xm:f>
            <xm:f>select!$L$267</xm:f>
            <x14:dxf>
              <font>
                <b val="0"/>
                <i val="0"/>
                <color theme="1"/>
              </font>
            </x14:dxf>
          </x14:cfRule>
          <xm:sqref>L35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decimal" allowBlank="1" showErrorMessage="1" errorTitle="Nicht möglich! / Invalid value!" error="Wert überschreitet die angegebenen Grenzen oder ist nicht numerisch._x000a_Value either exceeds limits or is not numeric._x000a_" promptTitle="Bitte Werteingabe korrigieren" prompt="Bitte den Wertebereich nicht verlassen">
          <x14:formula1>
            <xm:f>select!K269</xm:f>
          </x14:formula1>
          <x14:formula2>
            <xm:f>select!L269</xm:f>
          </x14:formula2>
          <xm:sqref>L33:O33</xm:sqref>
        </x14:dataValidation>
        <x14:dataValidation type="decimal" allowBlank="1" showInputMessage="1" showErrorMessage="1" errorTitle="Nicht möglich! / Invalid value!" error="Wert überschreitet die angegebenen Grenzen oder ist nicht numerisch._x000a_Value either exceeds limits or is not numeric.">
          <x14:formula1>
            <xm:f>select!K267</xm:f>
          </x14:formula1>
          <x14:formula2>
            <xm:f>select!L267</xm:f>
          </x14:formula2>
          <xm:sqref>L31:O32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1">
    <tabColor rgb="FFFFC000"/>
  </sheetPr>
  <dimension ref="A1:CX1760"/>
  <sheetViews>
    <sheetView zoomScaleNormal="100" workbookViewId="0">
      <selection activeCell="H310" sqref="H310"/>
    </sheetView>
  </sheetViews>
  <sheetFormatPr baseColWidth="10" defaultRowHeight="15" outlineLevelRow="1" x14ac:dyDescent="0.25"/>
  <cols>
    <col min="6" max="11" width="11.42578125" customWidth="1"/>
    <col min="12" max="12" width="13.5703125" customWidth="1"/>
    <col min="13" max="15" width="11.42578125" customWidth="1"/>
    <col min="16" max="16" width="12.28515625" customWidth="1"/>
    <col min="17" max="17" width="11.42578125" customWidth="1"/>
    <col min="18" max="18" width="7.85546875" customWidth="1"/>
    <col min="19" max="20" width="4.42578125" customWidth="1"/>
    <col min="21" max="21" width="9.7109375" customWidth="1"/>
    <col min="22" max="22" width="10.7109375" customWidth="1"/>
    <col min="23" max="34" width="5.5703125" customWidth="1"/>
    <col min="35" max="35" width="10.7109375" customWidth="1"/>
    <col min="36" max="37" width="5.5703125" customWidth="1"/>
    <col min="38" max="38" width="6.42578125" customWidth="1"/>
    <col min="39" max="63" width="11.42578125" customWidth="1"/>
  </cols>
  <sheetData>
    <row r="1" spans="1:25" x14ac:dyDescent="0.25">
      <c r="A1" s="24" t="s">
        <v>1344</v>
      </c>
      <c r="Y1" t="s">
        <v>1437</v>
      </c>
    </row>
    <row r="2" spans="1:25" x14ac:dyDescent="0.25">
      <c r="A2" s="24"/>
    </row>
    <row r="3" spans="1:25" s="78" customFormat="1" x14ac:dyDescent="0.25">
      <c r="A3" s="78" t="s">
        <v>1821</v>
      </c>
    </row>
    <row r="4" spans="1:25" ht="15.75" hidden="1" outlineLevel="1" thickBot="1" x14ac:dyDescent="0.3">
      <c r="A4" s="24"/>
    </row>
    <row r="5" spans="1:25" hidden="1" outlineLevel="1" x14ac:dyDescent="0.25">
      <c r="A5" s="238" t="s">
        <v>1423</v>
      </c>
      <c r="B5" s="678" t="str">
        <f>"    "</f>
        <v xml:space="preserve">    </v>
      </c>
      <c r="E5" s="87" t="s">
        <v>1440</v>
      </c>
      <c r="H5" t="s">
        <v>1438</v>
      </c>
      <c r="I5" t="s">
        <v>1439</v>
      </c>
    </row>
    <row r="6" spans="1:25" ht="15.75" hidden="1" outlineLevel="1" thickBot="1" x14ac:dyDescent="0.3">
      <c r="A6" s="239" t="s">
        <v>1424</v>
      </c>
      <c r="B6" s="679" t="str">
        <f>"✓"</f>
        <v>✓</v>
      </c>
      <c r="H6" t="s">
        <v>1817</v>
      </c>
    </row>
    <row r="7" spans="1:25" hidden="1" outlineLevel="1" x14ac:dyDescent="0.25">
      <c r="A7" s="24"/>
      <c r="H7" t="s">
        <v>1818</v>
      </c>
    </row>
    <row r="8" spans="1:25" hidden="1" outlineLevel="1" x14ac:dyDescent="0.25">
      <c r="A8" s="680" t="s">
        <v>2118</v>
      </c>
      <c r="B8" s="529" t="s">
        <v>2124</v>
      </c>
    </row>
    <row r="9" spans="1:25" hidden="1" outlineLevel="1" x14ac:dyDescent="0.25">
      <c r="A9" s="24"/>
      <c r="L9" t="s">
        <v>1922</v>
      </c>
      <c r="M9" s="384" t="s">
        <v>1959</v>
      </c>
      <c r="N9" s="384" t="s">
        <v>1960</v>
      </c>
      <c r="O9" s="384" t="s">
        <v>874</v>
      </c>
      <c r="P9" s="384" t="s">
        <v>1961</v>
      </c>
      <c r="Q9" s="456"/>
      <c r="R9" s="456"/>
      <c r="S9" s="456"/>
      <c r="T9" s="456"/>
      <c r="U9" s="7"/>
    </row>
    <row r="10" spans="1:25" hidden="1" outlineLevel="1" x14ac:dyDescent="0.25">
      <c r="A10" s="24"/>
      <c r="G10">
        <v>1</v>
      </c>
      <c r="H10">
        <v>1</v>
      </c>
      <c r="I10">
        <v>1</v>
      </c>
      <c r="J10" t="str">
        <f>D45</f>
        <v>Tiomos 110°</v>
      </c>
      <c r="L10">
        <v>1</v>
      </c>
      <c r="M10" s="384">
        <v>0</v>
      </c>
      <c r="N10" s="384">
        <v>3</v>
      </c>
      <c r="O10" s="384">
        <v>9.5</v>
      </c>
      <c r="P10" s="384">
        <v>19</v>
      </c>
      <c r="Q10" s="457"/>
      <c r="R10" s="457"/>
      <c r="S10" s="457"/>
      <c r="T10" s="457"/>
    </row>
    <row r="11" spans="1:25" hidden="1" outlineLevel="1" x14ac:dyDescent="0.25">
      <c r="A11" s="24"/>
      <c r="G11">
        <v>2</v>
      </c>
      <c r="H11">
        <v>1</v>
      </c>
      <c r="I11">
        <v>2</v>
      </c>
      <c r="J11" t="str">
        <f t="shared" ref="J11:J13" si="0">D46</f>
        <v>Tiomos 120°</v>
      </c>
      <c r="L11">
        <v>1</v>
      </c>
      <c r="M11" s="384">
        <v>0</v>
      </c>
      <c r="N11" s="384">
        <v>3</v>
      </c>
      <c r="O11" s="384">
        <v>9.5</v>
      </c>
      <c r="P11" s="384">
        <v>19</v>
      </c>
      <c r="Q11" s="457"/>
      <c r="R11" s="457"/>
      <c r="S11" s="457"/>
      <c r="T11" s="457"/>
    </row>
    <row r="12" spans="1:25" hidden="1" outlineLevel="1" x14ac:dyDescent="0.25">
      <c r="A12" s="24"/>
      <c r="G12">
        <v>3</v>
      </c>
      <c r="H12">
        <v>1</v>
      </c>
      <c r="I12">
        <v>3</v>
      </c>
      <c r="J12" t="str">
        <f t="shared" si="0"/>
        <v>Tiomos 160°</v>
      </c>
      <c r="L12">
        <v>1</v>
      </c>
      <c r="M12" s="384">
        <v>0</v>
      </c>
      <c r="N12" s="384">
        <v>3</v>
      </c>
      <c r="O12" s="384">
        <v>9.5</v>
      </c>
      <c r="P12" s="384" t="s">
        <v>1264</v>
      </c>
      <c r="Q12" s="457"/>
      <c r="R12" s="457"/>
      <c r="S12" s="457"/>
      <c r="T12" s="457"/>
    </row>
    <row r="13" spans="1:25" hidden="1" outlineLevel="1" x14ac:dyDescent="0.25">
      <c r="A13" s="24"/>
      <c r="G13">
        <v>4</v>
      </c>
      <c r="H13" s="6">
        <v>1</v>
      </c>
      <c r="I13" s="6">
        <v>4</v>
      </c>
      <c r="J13" s="6" t="str">
        <f t="shared" si="0"/>
        <v>Tiomos 95°</v>
      </c>
      <c r="L13">
        <v>1</v>
      </c>
      <c r="M13" s="384">
        <v>0</v>
      </c>
      <c r="N13" s="384">
        <v>3</v>
      </c>
      <c r="O13" s="384">
        <v>9.5</v>
      </c>
      <c r="P13" s="384">
        <v>19</v>
      </c>
      <c r="Q13" s="457"/>
      <c r="R13" s="457"/>
      <c r="S13" s="457"/>
      <c r="T13" s="457"/>
    </row>
    <row r="14" spans="1:25" hidden="1" outlineLevel="1" x14ac:dyDescent="0.25">
      <c r="A14" s="24"/>
      <c r="G14">
        <v>5</v>
      </c>
      <c r="H14">
        <v>2</v>
      </c>
      <c r="I14">
        <v>1</v>
      </c>
      <c r="J14" t="str">
        <f t="shared" ref="J14:J24" si="1">B319</f>
        <v>Tiomos 110/90A</v>
      </c>
      <c r="L14">
        <v>5</v>
      </c>
      <c r="M14" s="384" t="s">
        <v>1264</v>
      </c>
      <c r="N14" s="384" t="s">
        <v>1264</v>
      </c>
      <c r="O14" s="384" t="s">
        <v>1264</v>
      </c>
      <c r="P14" s="384" t="s">
        <v>1264</v>
      </c>
      <c r="Q14" s="457"/>
      <c r="R14" s="457"/>
      <c r="S14" s="457"/>
      <c r="T14" s="457"/>
    </row>
    <row r="15" spans="1:25" hidden="1" outlineLevel="1" x14ac:dyDescent="0.25">
      <c r="A15" s="24"/>
      <c r="G15">
        <v>6</v>
      </c>
      <c r="H15">
        <v>2</v>
      </c>
      <c r="I15">
        <v>2</v>
      </c>
      <c r="J15" t="str">
        <f t="shared" si="1"/>
        <v>Tiomos 110/90E</v>
      </c>
      <c r="L15">
        <v>5</v>
      </c>
      <c r="M15" s="384" t="s">
        <v>1264</v>
      </c>
      <c r="N15" s="384" t="s">
        <v>1264</v>
      </c>
      <c r="O15" s="384" t="s">
        <v>1264</v>
      </c>
      <c r="P15" s="384" t="s">
        <v>1264</v>
      </c>
      <c r="Q15" s="457"/>
      <c r="R15" s="457"/>
      <c r="S15" s="457"/>
      <c r="T15" s="457"/>
    </row>
    <row r="16" spans="1:25" hidden="1" outlineLevel="1" x14ac:dyDescent="0.25">
      <c r="A16" s="24"/>
      <c r="G16">
        <v>7</v>
      </c>
      <c r="H16">
        <v>2</v>
      </c>
      <c r="I16">
        <v>3</v>
      </c>
      <c r="J16" t="str">
        <f t="shared" si="1"/>
        <v>Tiomos 110/30A</v>
      </c>
      <c r="L16">
        <v>2</v>
      </c>
      <c r="M16" s="384" t="s">
        <v>1264</v>
      </c>
      <c r="N16" s="384" t="s">
        <v>1264</v>
      </c>
      <c r="O16" s="384" t="s">
        <v>1264</v>
      </c>
      <c r="P16" s="384" t="s">
        <v>1264</v>
      </c>
      <c r="Q16" s="457"/>
      <c r="R16" s="457"/>
      <c r="S16" s="457"/>
      <c r="T16" s="457"/>
    </row>
    <row r="17" spans="1:20" hidden="1" outlineLevel="1" x14ac:dyDescent="0.25">
      <c r="A17" s="24"/>
      <c r="G17">
        <v>8</v>
      </c>
      <c r="H17">
        <v>2</v>
      </c>
      <c r="I17">
        <v>4</v>
      </c>
      <c r="J17" t="str">
        <f t="shared" si="1"/>
        <v>Tiomos 110/30E</v>
      </c>
      <c r="L17">
        <v>3</v>
      </c>
      <c r="M17" s="384" t="s">
        <v>1264</v>
      </c>
      <c r="N17" s="384" t="s">
        <v>1264</v>
      </c>
      <c r="O17" s="384" t="s">
        <v>1264</v>
      </c>
      <c r="P17" s="384" t="s">
        <v>1264</v>
      </c>
      <c r="Q17" s="457"/>
      <c r="R17" s="457"/>
      <c r="S17" s="457"/>
      <c r="T17" s="457"/>
    </row>
    <row r="18" spans="1:20" hidden="1" outlineLevel="1" x14ac:dyDescent="0.25">
      <c r="A18" s="24"/>
      <c r="G18">
        <v>9</v>
      </c>
      <c r="H18">
        <v>2</v>
      </c>
      <c r="I18">
        <v>5</v>
      </c>
      <c r="J18" t="str">
        <f t="shared" si="1"/>
        <v>Tiomos 110/37A</v>
      </c>
      <c r="L18">
        <v>2</v>
      </c>
      <c r="M18" s="384" t="s">
        <v>1264</v>
      </c>
      <c r="N18" s="384" t="s">
        <v>1264</v>
      </c>
      <c r="O18" s="384" t="s">
        <v>1264</v>
      </c>
      <c r="P18" s="384" t="s">
        <v>1264</v>
      </c>
      <c r="Q18" s="457"/>
      <c r="R18" s="457"/>
      <c r="S18" s="457"/>
      <c r="T18" s="457"/>
    </row>
    <row r="19" spans="1:20" hidden="1" outlineLevel="1" x14ac:dyDescent="0.25">
      <c r="A19" s="24"/>
      <c r="G19">
        <v>10</v>
      </c>
      <c r="H19">
        <v>2</v>
      </c>
      <c r="I19">
        <v>6</v>
      </c>
      <c r="J19" t="str">
        <f t="shared" si="1"/>
        <v>Tiomos 110/37E</v>
      </c>
      <c r="L19">
        <v>3</v>
      </c>
      <c r="M19" s="384" t="s">
        <v>1264</v>
      </c>
      <c r="N19" s="384" t="s">
        <v>1264</v>
      </c>
      <c r="O19" s="384" t="s">
        <v>1264</v>
      </c>
      <c r="P19" s="384" t="s">
        <v>1264</v>
      </c>
      <c r="Q19" s="457"/>
      <c r="R19" s="457"/>
      <c r="S19" s="457"/>
      <c r="T19" s="457"/>
    </row>
    <row r="20" spans="1:20" hidden="1" outlineLevel="1" x14ac:dyDescent="0.25">
      <c r="A20" s="24"/>
      <c r="G20">
        <v>11</v>
      </c>
      <c r="H20">
        <v>2</v>
      </c>
      <c r="I20">
        <v>7</v>
      </c>
      <c r="J20" t="str">
        <f t="shared" si="1"/>
        <v>Tiomos 110/45A</v>
      </c>
      <c r="L20">
        <v>2</v>
      </c>
      <c r="M20" s="384" t="s">
        <v>1264</v>
      </c>
      <c r="N20" s="384" t="s">
        <v>1264</v>
      </c>
      <c r="O20" s="384" t="s">
        <v>1264</v>
      </c>
      <c r="P20" s="384" t="s">
        <v>1264</v>
      </c>
      <c r="Q20" s="457"/>
      <c r="R20" s="457"/>
      <c r="S20" s="457"/>
      <c r="T20" s="457"/>
    </row>
    <row r="21" spans="1:20" hidden="1" outlineLevel="1" x14ac:dyDescent="0.25">
      <c r="A21" s="24"/>
      <c r="G21">
        <v>12</v>
      </c>
      <c r="H21">
        <v>2</v>
      </c>
      <c r="I21">
        <v>8</v>
      </c>
      <c r="J21" t="str">
        <f t="shared" si="1"/>
        <v>Tiomos 110/45E</v>
      </c>
      <c r="L21">
        <v>3</v>
      </c>
      <c r="M21" s="384" t="s">
        <v>1264</v>
      </c>
      <c r="N21" s="384" t="s">
        <v>1264</v>
      </c>
      <c r="O21" s="384" t="s">
        <v>1264</v>
      </c>
      <c r="P21" s="384" t="s">
        <v>1264</v>
      </c>
      <c r="Q21" s="457"/>
      <c r="R21" s="457"/>
      <c r="S21" s="457"/>
      <c r="T21" s="457"/>
    </row>
    <row r="22" spans="1:20" hidden="1" outlineLevel="1" x14ac:dyDescent="0.25">
      <c r="A22" s="24"/>
      <c r="G22">
        <v>13</v>
      </c>
      <c r="H22">
        <v>2</v>
      </c>
      <c r="I22">
        <v>9</v>
      </c>
      <c r="J22" t="str">
        <f t="shared" si="1"/>
        <v>Tiomos 120/-15A</v>
      </c>
      <c r="L22">
        <v>4</v>
      </c>
      <c r="M22" s="384" t="s">
        <v>1264</v>
      </c>
      <c r="N22" s="384" t="s">
        <v>1264</v>
      </c>
      <c r="O22" s="384" t="s">
        <v>1264</v>
      </c>
      <c r="P22" s="384" t="s">
        <v>1264</v>
      </c>
      <c r="Q22" s="457"/>
      <c r="R22" s="457"/>
      <c r="S22" s="457"/>
      <c r="T22" s="457"/>
    </row>
    <row r="23" spans="1:20" hidden="1" outlineLevel="1" x14ac:dyDescent="0.25">
      <c r="A23" s="24"/>
      <c r="G23">
        <v>14</v>
      </c>
      <c r="H23">
        <v>2</v>
      </c>
      <c r="I23">
        <v>10</v>
      </c>
      <c r="J23" t="str">
        <f t="shared" si="1"/>
        <v>Tiomos 120/-30A</v>
      </c>
      <c r="L23">
        <v>4</v>
      </c>
      <c r="M23" s="384" t="s">
        <v>1264</v>
      </c>
      <c r="N23" s="384" t="s">
        <v>1264</v>
      </c>
      <c r="O23" s="384" t="s">
        <v>1264</v>
      </c>
      <c r="P23" s="384" t="s">
        <v>1264</v>
      </c>
      <c r="Q23" s="457"/>
      <c r="R23" s="457"/>
      <c r="S23" s="457"/>
      <c r="T23" s="457"/>
    </row>
    <row r="24" spans="1:20" hidden="1" outlineLevel="1" x14ac:dyDescent="0.25">
      <c r="A24" s="24"/>
      <c r="G24">
        <v>15</v>
      </c>
      <c r="H24" s="6">
        <v>2</v>
      </c>
      <c r="I24" s="6">
        <v>11</v>
      </c>
      <c r="J24" s="6" t="str">
        <f t="shared" si="1"/>
        <v>Tiomos 120/-45A</v>
      </c>
      <c r="K24" s="6"/>
      <c r="L24" s="8">
        <v>4</v>
      </c>
      <c r="M24" s="384" t="s">
        <v>1264</v>
      </c>
      <c r="N24" s="384" t="s">
        <v>1264</v>
      </c>
      <c r="O24" s="384" t="s">
        <v>1264</v>
      </c>
      <c r="P24" s="384" t="s">
        <v>1264</v>
      </c>
      <c r="Q24" s="457"/>
      <c r="R24" s="457"/>
      <c r="S24" s="457"/>
      <c r="T24" s="457"/>
    </row>
    <row r="25" spans="1:20" hidden="1" outlineLevel="1" x14ac:dyDescent="0.25">
      <c r="A25" s="24"/>
      <c r="G25">
        <v>16</v>
      </c>
      <c r="H25">
        <v>3</v>
      </c>
      <c r="I25">
        <v>1</v>
      </c>
      <c r="J25" t="s">
        <v>1397</v>
      </c>
      <c r="L25" s="8">
        <v>1</v>
      </c>
      <c r="M25" s="385">
        <v>3</v>
      </c>
      <c r="N25" s="384" t="s">
        <v>1264</v>
      </c>
      <c r="O25" s="384" t="s">
        <v>1264</v>
      </c>
      <c r="P25" s="384" t="s">
        <v>1264</v>
      </c>
      <c r="Q25" s="457"/>
      <c r="R25" s="457"/>
      <c r="S25" s="457"/>
      <c r="T25" s="457"/>
    </row>
    <row r="26" spans="1:20" hidden="1" outlineLevel="1" x14ac:dyDescent="0.25">
      <c r="A26" s="24"/>
      <c r="G26">
        <v>17</v>
      </c>
      <c r="H26">
        <v>3</v>
      </c>
      <c r="I26">
        <v>2</v>
      </c>
      <c r="J26" t="s">
        <v>1395</v>
      </c>
      <c r="L26">
        <v>6</v>
      </c>
      <c r="M26" s="384" t="s">
        <v>1264</v>
      </c>
      <c r="N26" s="384" t="s">
        <v>1264</v>
      </c>
      <c r="O26" s="384" t="s">
        <v>1264</v>
      </c>
      <c r="P26" s="384" t="s">
        <v>1264</v>
      </c>
      <c r="Q26" s="457"/>
      <c r="R26" s="457"/>
      <c r="S26" s="457"/>
      <c r="T26" s="457"/>
    </row>
    <row r="27" spans="1:20" hidden="1" outlineLevel="1" x14ac:dyDescent="0.25">
      <c r="A27" s="24"/>
      <c r="G27">
        <v>18</v>
      </c>
      <c r="H27">
        <v>3</v>
      </c>
      <c r="I27">
        <v>3</v>
      </c>
      <c r="J27" t="s">
        <v>1392</v>
      </c>
      <c r="L27">
        <v>1</v>
      </c>
      <c r="M27" s="384">
        <v>3</v>
      </c>
      <c r="N27" s="384" t="s">
        <v>1264</v>
      </c>
      <c r="O27" s="384" t="s">
        <v>1264</v>
      </c>
      <c r="P27" s="384" t="s">
        <v>1264</v>
      </c>
      <c r="Q27" s="457"/>
      <c r="R27" s="457"/>
      <c r="S27" s="457"/>
      <c r="T27" s="457"/>
    </row>
    <row r="28" spans="1:20" hidden="1" outlineLevel="1" x14ac:dyDescent="0.25">
      <c r="A28" s="24"/>
      <c r="G28">
        <v>19</v>
      </c>
      <c r="H28">
        <v>3</v>
      </c>
      <c r="I28">
        <v>4</v>
      </c>
      <c r="J28" t="s">
        <v>1396</v>
      </c>
      <c r="L28">
        <v>1</v>
      </c>
      <c r="M28" s="384">
        <v>14</v>
      </c>
      <c r="N28" s="384" t="s">
        <v>1264</v>
      </c>
      <c r="O28" s="384" t="s">
        <v>1264</v>
      </c>
      <c r="P28" s="384" t="s">
        <v>1264</v>
      </c>
      <c r="Q28" s="457"/>
      <c r="R28" s="457"/>
      <c r="S28" s="457"/>
      <c r="T28" s="457"/>
    </row>
    <row r="29" spans="1:20" hidden="1" outlineLevel="1" x14ac:dyDescent="0.25">
      <c r="A29" s="24"/>
      <c r="G29">
        <v>20</v>
      </c>
      <c r="H29" s="6">
        <v>3</v>
      </c>
      <c r="I29" s="6">
        <v>5</v>
      </c>
      <c r="J29" s="6" t="s">
        <v>1394</v>
      </c>
      <c r="L29">
        <v>1</v>
      </c>
      <c r="M29" s="384">
        <v>14</v>
      </c>
      <c r="N29" s="384" t="s">
        <v>1264</v>
      </c>
      <c r="O29" s="384" t="s">
        <v>1264</v>
      </c>
      <c r="P29" s="384" t="s">
        <v>1264</v>
      </c>
      <c r="Q29" s="457"/>
      <c r="R29" s="457"/>
      <c r="S29" s="457"/>
      <c r="T29" s="457"/>
    </row>
    <row r="30" spans="1:20" hidden="1" outlineLevel="1" x14ac:dyDescent="0.25">
      <c r="A30" s="24"/>
      <c r="G30">
        <v>21</v>
      </c>
      <c r="H30">
        <v>4</v>
      </c>
      <c r="I30">
        <v>1</v>
      </c>
      <c r="J30" t="s">
        <v>1816</v>
      </c>
      <c r="L30">
        <v>1</v>
      </c>
      <c r="M30" s="384">
        <v>3</v>
      </c>
      <c r="N30" s="384" t="s">
        <v>1264</v>
      </c>
      <c r="O30" s="384" t="s">
        <v>1264</v>
      </c>
      <c r="P30" s="384" t="s">
        <v>1264</v>
      </c>
      <c r="Q30" s="457"/>
      <c r="R30" s="457"/>
      <c r="S30" s="457"/>
      <c r="T30" s="457"/>
    </row>
    <row r="31" spans="1:20" hidden="1" outlineLevel="1" x14ac:dyDescent="0.25">
      <c r="A31" s="24"/>
      <c r="G31">
        <v>22</v>
      </c>
      <c r="H31">
        <v>4</v>
      </c>
      <c r="I31">
        <v>2</v>
      </c>
      <c r="J31" t="s">
        <v>1398</v>
      </c>
      <c r="L31">
        <v>1</v>
      </c>
      <c r="M31" s="384">
        <v>14</v>
      </c>
      <c r="N31" s="384" t="s">
        <v>1264</v>
      </c>
      <c r="O31" s="384" t="s">
        <v>1264</v>
      </c>
      <c r="P31" s="384" t="s">
        <v>1264</v>
      </c>
      <c r="Q31" s="457"/>
      <c r="R31" s="457"/>
      <c r="S31" s="457"/>
      <c r="T31" s="457"/>
    </row>
    <row r="32" spans="1:20" hidden="1" outlineLevel="1" x14ac:dyDescent="0.25">
      <c r="A32" s="24"/>
      <c r="G32">
        <v>23</v>
      </c>
      <c r="H32">
        <v>4</v>
      </c>
      <c r="I32">
        <v>3</v>
      </c>
      <c r="J32" t="s">
        <v>1393</v>
      </c>
      <c r="L32">
        <v>7</v>
      </c>
      <c r="M32" s="384">
        <v>0</v>
      </c>
      <c r="N32" s="384">
        <v>3</v>
      </c>
      <c r="O32" s="384">
        <v>9.5</v>
      </c>
      <c r="P32" s="384">
        <v>19</v>
      </c>
      <c r="Q32" s="457"/>
      <c r="R32" s="457"/>
      <c r="S32" s="457"/>
      <c r="T32" s="457"/>
    </row>
    <row r="33" spans="1:38" hidden="1" outlineLevel="1" x14ac:dyDescent="0.25">
      <c r="A33" s="24"/>
      <c r="G33">
        <v>24</v>
      </c>
      <c r="H33">
        <v>4</v>
      </c>
      <c r="I33">
        <v>4</v>
      </c>
      <c r="J33" t="s">
        <v>1394</v>
      </c>
      <c r="L33" t="s">
        <v>1264</v>
      </c>
      <c r="M33" s="384" t="s">
        <v>1264</v>
      </c>
      <c r="N33" s="384" t="s">
        <v>1264</v>
      </c>
      <c r="O33" s="384" t="s">
        <v>1264</v>
      </c>
      <c r="P33" s="384" t="s">
        <v>1264</v>
      </c>
      <c r="Q33" s="457"/>
      <c r="R33" s="457"/>
      <c r="S33" s="457"/>
      <c r="T33" s="457"/>
    </row>
    <row r="34" spans="1:38" hidden="1" outlineLevel="1" x14ac:dyDescent="0.25">
      <c r="A34" s="24"/>
    </row>
    <row r="35" spans="1:38" hidden="1" outlineLevel="1" x14ac:dyDescent="0.25">
      <c r="A35" s="24"/>
    </row>
    <row r="36" spans="1:38" hidden="1" outlineLevel="1" x14ac:dyDescent="0.25">
      <c r="A36" s="24"/>
    </row>
    <row r="37" spans="1:38" hidden="1" outlineLevel="1" x14ac:dyDescent="0.25">
      <c r="A37" s="24"/>
    </row>
    <row r="38" spans="1:38" hidden="1" outlineLevel="1" x14ac:dyDescent="0.25">
      <c r="A38" s="24"/>
      <c r="U38" t="s">
        <v>1887</v>
      </c>
    </row>
    <row r="39" spans="1:38" hidden="1" outlineLevel="1" x14ac:dyDescent="0.25">
      <c r="A39" s="24"/>
    </row>
    <row r="40" spans="1:38" hidden="1" outlineLevel="1" x14ac:dyDescent="0.25">
      <c r="A40" s="24"/>
    </row>
    <row r="41" spans="1:38" s="78" customFormat="1" collapsed="1" x14ac:dyDescent="0.25">
      <c r="A41" s="78" t="s">
        <v>1820</v>
      </c>
    </row>
    <row r="42" spans="1:38" hidden="1" outlineLevel="1" x14ac:dyDescent="0.25">
      <c r="A42" s="24"/>
    </row>
    <row r="43" spans="1:38" ht="15.75" hidden="1" outlineLevel="1" thickBot="1" x14ac:dyDescent="0.3">
      <c r="A43" s="4">
        <f>VLOOKUP(A44,A45:C50,3,FALSE)</f>
        <v>110</v>
      </c>
      <c r="D43" t="str">
        <f>VLOOKUP(A44,A45:D48,4,FALSE)</f>
        <v>Tiomos 110°</v>
      </c>
      <c r="F43" s="3" t="s">
        <v>1463</v>
      </c>
      <c r="G43" s="3"/>
      <c r="J43" s="4">
        <f>VLOOKUP(J44,J45:K59,2,FALSE)</f>
        <v>5</v>
      </c>
      <c r="L43" s="720" t="str">
        <f>IF(M44=0,Sprache!$A$56&amp; " " &amp;Sprache!$A$147,IF(L44=0,Sprache!$A$40,""))</f>
        <v/>
      </c>
      <c r="M43" s="8"/>
      <c r="N43" s="4" t="str">
        <f ca="1">VLOOKUP(N44,N45:O48,2,FALSE)</f>
        <v>Kreuzmontageplatte</v>
      </c>
      <c r="Q43" s="720" t="str">
        <f>IF(R44=0,Sprache!$A$56&amp; " " &amp;Sprache!$A$147,IF(Q44=0,Sprache!$A$50,""))</f>
        <v/>
      </c>
      <c r="V43" s="4" t="str">
        <f>VLOOKUP(V44,V45:W49,2,FALSE)</f>
        <v>48/9</v>
      </c>
      <c r="X43" s="720" t="str">
        <f>IF(Y43=0,Sprache!$A$56&amp; " " &amp;Sprache!$A$147,IF(Y44=0,Sprache!$A$43,""))</f>
        <v/>
      </c>
      <c r="Y43" s="381">
        <f>SUM(Y45:Y49)</f>
        <v>5</v>
      </c>
      <c r="AK43" t="s">
        <v>1445</v>
      </c>
      <c r="AL43" t="s">
        <v>2279</v>
      </c>
    </row>
    <row r="44" spans="1:38" ht="15.75" hidden="1" outlineLevel="1" thickBot="1" x14ac:dyDescent="0.3">
      <c r="A44" s="354">
        <v>1</v>
      </c>
      <c r="B44" s="3" t="str">
        <f>Sprache!C93</f>
        <v>Standardscharnier</v>
      </c>
      <c r="C44" s="3"/>
      <c r="F44" s="354">
        <v>52</v>
      </c>
      <c r="G44" s="3">
        <f>((F44/2)-24)*-1+3</f>
        <v>1</v>
      </c>
      <c r="H44" s="3"/>
      <c r="J44" s="283">
        <v>5</v>
      </c>
      <c r="K44" s="24" t="s">
        <v>1</v>
      </c>
      <c r="L44">
        <f>VLOOKUP(J44,J45:M59,4,FALSE)</f>
        <v>1</v>
      </c>
      <c r="M44" s="818">
        <f>SUM(M45:M59)</f>
        <v>6</v>
      </c>
      <c r="N44" s="288">
        <v>1</v>
      </c>
      <c r="O44" s="24" t="s">
        <v>20</v>
      </c>
      <c r="Q44">
        <f>VLOOKUP(N44,N45:Q48,4,FALSE)</f>
        <v>1</v>
      </c>
      <c r="R44">
        <f>SUM(Q45:Q48)</f>
        <v>3</v>
      </c>
      <c r="V44" s="283">
        <v>1</v>
      </c>
      <c r="W44" s="24" t="s">
        <v>2</v>
      </c>
      <c r="Y44" s="381">
        <f>VLOOKUP(V44,V45:Y49,4,FALSE)</f>
        <v>1</v>
      </c>
      <c r="AD44" t="s">
        <v>29</v>
      </c>
      <c r="AE44" t="s">
        <v>30</v>
      </c>
      <c r="AF44" t="s">
        <v>1367</v>
      </c>
      <c r="AG44" t="s">
        <v>31</v>
      </c>
      <c r="AH44" s="825" t="s">
        <v>1474</v>
      </c>
      <c r="AI44" s="8" t="s">
        <v>2</v>
      </c>
      <c r="AK44">
        <f>DCOUNT(Scharniere[[#Headers],[#Data]],Scharniere[[#Headers],[Scharnierart]],AD44:AI45)</f>
        <v>12</v>
      </c>
      <c r="AL44" s="40">
        <f>IF(AK44&gt;0,1,0)</f>
        <v>1</v>
      </c>
    </row>
    <row r="45" spans="1:38" hidden="1" outlineLevel="1" x14ac:dyDescent="0.25">
      <c r="A45" s="198">
        <v>1</v>
      </c>
      <c r="B45" s="660" t="s">
        <v>23</v>
      </c>
      <c r="C45" s="660">
        <v>110</v>
      </c>
      <c r="D45" s="612" t="s">
        <v>2191</v>
      </c>
      <c r="F45" s="3"/>
      <c r="G45" s="3"/>
      <c r="H45" s="3"/>
      <c r="J45">
        <v>1</v>
      </c>
      <c r="K45" s="76">
        <v>3</v>
      </c>
      <c r="L45" t="str">
        <f t="shared" ref="L45:L53" si="2">IF(M45=1,ja&amp;" "&amp;TEXT(K45,"0,0")&amp;" mm",nein&amp;" "&amp;TEXT(K45,"0,0")&amp;" mm")</f>
        <v>✓ 3,0 mm</v>
      </c>
      <c r="M45" s="381">
        <f t="shared" ref="M45:M59" si="3">Z77</f>
        <v>1</v>
      </c>
      <c r="N45" s="3">
        <v>1</v>
      </c>
      <c r="O45" t="str">
        <f ca="1">Sprache!$A$135</f>
        <v>Kreuzmontageplatte</v>
      </c>
      <c r="P45" t="str">
        <f ca="1">IF(Q45=1,ja&amp;" "&amp;O45,nein&amp; " "&amp;O45)&amp;" ("&amp;S45&amp;")"</f>
        <v>✓ Kreuzmontageplatte (22)</v>
      </c>
      <c r="Q45" s="381">
        <f>AI110</f>
        <v>1</v>
      </c>
      <c r="R45" t="s">
        <v>52</v>
      </c>
      <c r="S45">
        <f>AH110</f>
        <v>22</v>
      </c>
      <c r="V45">
        <v>1</v>
      </c>
      <c r="W45" t="s">
        <v>8</v>
      </c>
      <c r="X45" t="str">
        <f>IF(Y45=1,ja&amp;" "&amp;W45,nein&amp; " "&amp;W45)</f>
        <v>✓ 48/9</v>
      </c>
      <c r="Y45">
        <f>AL44</f>
        <v>1</v>
      </c>
      <c r="AD45">
        <f>IF(F48=1,1,0)</f>
        <v>0</v>
      </c>
      <c r="AE45">
        <f>IF(F48=2,1,0)</f>
        <v>1</v>
      </c>
      <c r="AF45">
        <f>IF(F48=3,1,0)</f>
        <v>0</v>
      </c>
      <c r="AG45">
        <f>IF(F48=4,1,0)</f>
        <v>0</v>
      </c>
      <c r="AH45">
        <v>1</v>
      </c>
      <c r="AI45" t="s">
        <v>8</v>
      </c>
    </row>
    <row r="46" spans="1:38" hidden="1" outlineLevel="1" x14ac:dyDescent="0.25">
      <c r="A46" s="198">
        <v>2</v>
      </c>
      <c r="B46" s="8" t="s">
        <v>24</v>
      </c>
      <c r="C46" s="8">
        <v>120</v>
      </c>
      <c r="D46" s="55" t="s">
        <v>2192</v>
      </c>
      <c r="F46" s="3"/>
      <c r="G46" s="3"/>
      <c r="H46" s="3"/>
      <c r="J46">
        <v>2</v>
      </c>
      <c r="K46" s="76">
        <v>3.5</v>
      </c>
      <c r="L46" t="str">
        <f t="shared" si="2"/>
        <v>✓ 3,5 mm</v>
      </c>
      <c r="M46" s="381">
        <f t="shared" si="3"/>
        <v>1</v>
      </c>
      <c r="N46">
        <v>2</v>
      </c>
      <c r="O46" t="str">
        <f ca="1">Sprache!$A$138</f>
        <v>Linearmontageplatte</v>
      </c>
      <c r="P46" t="str">
        <f ca="1">IF(Q46=1,ja&amp;" "&amp;O46,nein&amp; " "&amp;O46)&amp;" ("&amp;S46&amp;")"</f>
        <v>✓ Linearmontageplatte (3)</v>
      </c>
      <c r="Q46" s="381">
        <f>AI112</f>
        <v>1</v>
      </c>
      <c r="R46" t="s">
        <v>51</v>
      </c>
      <c r="S46">
        <f>AH112</f>
        <v>3</v>
      </c>
      <c r="V46">
        <v>2</v>
      </c>
      <c r="W46" t="s">
        <v>9</v>
      </c>
      <c r="X46" t="str">
        <f>IF(Y46=1,ja&amp;" "&amp;W46,nein&amp; " "&amp;W46)</f>
        <v>✓ 42/11</v>
      </c>
      <c r="Y46">
        <f>AL46</f>
        <v>1</v>
      </c>
      <c r="AD46" t="s">
        <v>29</v>
      </c>
      <c r="AE46" t="s">
        <v>30</v>
      </c>
      <c r="AF46" t="s">
        <v>1367</v>
      </c>
      <c r="AG46" t="s">
        <v>31</v>
      </c>
      <c r="AH46" s="8" t="str">
        <f>AH44</f>
        <v>Winkel_sel</v>
      </c>
      <c r="AI46" s="8" t="s">
        <v>2</v>
      </c>
      <c r="AK46">
        <f>DCOUNT(Scharniere[[#Headers],[#Data]],Scharniere[[#Headers],[Scharnierart]],AD46:AI47)</f>
        <v>12</v>
      </c>
      <c r="AL46" s="40">
        <f t="shared" ref="AL46" si="4">IF(AK46&gt;0,1,0)</f>
        <v>1</v>
      </c>
    </row>
    <row r="47" spans="1:38" ht="15.75" hidden="1" outlineLevel="1" thickBot="1" x14ac:dyDescent="0.3">
      <c r="A47" s="198">
        <v>3</v>
      </c>
      <c r="B47" s="8" t="s">
        <v>25</v>
      </c>
      <c r="C47" s="8">
        <v>160</v>
      </c>
      <c r="D47" s="55" t="s">
        <v>2193</v>
      </c>
      <c r="F47" s="4" t="str">
        <f ca="1">VLOOKUP(F48,F49:G52,2,FALSE)</f>
        <v>Click-on Einpressen</v>
      </c>
      <c r="G47" s="3"/>
      <c r="H47" s="720" t="str">
        <f>IF(I47=0,Sprache!$A$56&amp; " " &amp;Sprache!$A$147,IF(I48=0,Sprache!$A$44,""))</f>
        <v/>
      </c>
      <c r="I47" s="381">
        <f>SUM(I49:I52)</f>
        <v>4</v>
      </c>
      <c r="J47">
        <v>3</v>
      </c>
      <c r="K47" s="76">
        <v>4</v>
      </c>
      <c r="L47" t="str">
        <f t="shared" si="2"/>
        <v>✓ 4,0 mm</v>
      </c>
      <c r="M47" s="381">
        <f t="shared" si="3"/>
        <v>1</v>
      </c>
      <c r="N47">
        <v>3</v>
      </c>
      <c r="O47" t="str">
        <f ca="1">Sprache!$A$141</f>
        <v>Deltamontageplatte</v>
      </c>
      <c r="P47" t="str">
        <f ca="1">IF(Q47=1,ja&amp;" "&amp;O47,nein&amp; " "&amp;O47)&amp;" ("&amp;S47&amp;")"</f>
        <v xml:space="preserve">     Deltamontageplatte (0)</v>
      </c>
      <c r="Q47" s="381">
        <f>AI114</f>
        <v>0</v>
      </c>
      <c r="R47" t="s">
        <v>1360</v>
      </c>
      <c r="S47">
        <f>AH114</f>
        <v>0</v>
      </c>
      <c r="V47">
        <v>3</v>
      </c>
      <c r="W47" t="s">
        <v>10</v>
      </c>
      <c r="X47" t="str">
        <f>IF(Y47=1,ja&amp;" "&amp;W47,nein&amp; " "&amp;W47)</f>
        <v>✓ 52/5,5</v>
      </c>
      <c r="Y47">
        <f>AL48</f>
        <v>1</v>
      </c>
      <c r="AD47">
        <f>AD45</f>
        <v>0</v>
      </c>
      <c r="AE47">
        <f t="shared" ref="AE47:AG53" si="5">AE45</f>
        <v>1</v>
      </c>
      <c r="AF47">
        <f t="shared" si="5"/>
        <v>0</v>
      </c>
      <c r="AG47">
        <f t="shared" si="5"/>
        <v>0</v>
      </c>
      <c r="AH47">
        <v>1</v>
      </c>
      <c r="AI47" t="s">
        <v>9</v>
      </c>
    </row>
    <row r="48" spans="1:38" ht="15.75" hidden="1" outlineLevel="1" thickBot="1" x14ac:dyDescent="0.3">
      <c r="A48" s="124">
        <v>4</v>
      </c>
      <c r="B48" s="672" t="s">
        <v>22</v>
      </c>
      <c r="C48" s="672">
        <v>95</v>
      </c>
      <c r="D48" s="56" t="s">
        <v>2194</v>
      </c>
      <c r="F48" s="436">
        <v>2</v>
      </c>
      <c r="G48" s="83" t="s">
        <v>891</v>
      </c>
      <c r="I48" s="381">
        <f>VLOOKUP(F48,F49:I52,4,FALSE)</f>
        <v>1</v>
      </c>
      <c r="J48">
        <v>4</v>
      </c>
      <c r="K48" s="76">
        <v>4.5</v>
      </c>
      <c r="L48" t="str">
        <f t="shared" si="2"/>
        <v>✓ 4,5 mm</v>
      </c>
      <c r="M48" s="381">
        <f t="shared" si="3"/>
        <v>1</v>
      </c>
      <c r="N48">
        <v>4</v>
      </c>
      <c r="O48" t="str">
        <f ca="1">Sprache!$A$143</f>
        <v>Inset Beaded (Rahmenkonstruktion)</v>
      </c>
      <c r="P48" t="str">
        <f ca="1">IF(Q48=1,ja&amp;" "&amp;O48,nein&amp; " "&amp;O48)&amp;" ("&amp;S48&amp;")"</f>
        <v>✓ Inset Beaded (Rahmenkonstruktion) (1)</v>
      </c>
      <c r="Q48" s="381">
        <f>AI116</f>
        <v>1</v>
      </c>
      <c r="R48" t="s">
        <v>1373</v>
      </c>
      <c r="S48">
        <f>AH116</f>
        <v>1</v>
      </c>
      <c r="V48">
        <v>4</v>
      </c>
      <c r="W48" t="s">
        <v>11</v>
      </c>
      <c r="X48" t="str">
        <f>IF(Y48=1,ja&amp;" "&amp;W48,nein&amp; " "&amp;W48)</f>
        <v>✓ 48/6</v>
      </c>
      <c r="Y48">
        <f>AL50</f>
        <v>1</v>
      </c>
      <c r="AD48" t="s">
        <v>29</v>
      </c>
      <c r="AE48" t="s">
        <v>30</v>
      </c>
      <c r="AF48" t="s">
        <v>1367</v>
      </c>
      <c r="AG48" t="s">
        <v>31</v>
      </c>
      <c r="AH48" s="8" t="str">
        <f>AH46</f>
        <v>Winkel_sel</v>
      </c>
      <c r="AI48" s="8" t="s">
        <v>2</v>
      </c>
      <c r="AK48">
        <f>DCOUNT(Scharniere[[#Headers],[#Data]],Scharniere[[#Headers],[Scharnierart]],AD48:AI49)</f>
        <v>12</v>
      </c>
      <c r="AL48" s="40">
        <f t="shared" ref="AL48" si="6">IF(AK48&gt;0,1,0)</f>
        <v>1</v>
      </c>
    </row>
    <row r="49" spans="1:38" hidden="1" outlineLevel="1" x14ac:dyDescent="0.25">
      <c r="A49" s="3"/>
      <c r="B49" s="3"/>
      <c r="C49" s="3"/>
      <c r="F49" s="3">
        <v>1</v>
      </c>
      <c r="G49" s="3" t="str">
        <f ca="1">Sprache!$A$184</f>
        <v>Click-on Anschrauben</v>
      </c>
      <c r="H49" t="str">
        <f ca="1">IF(I49=1,ja&amp;" "&amp;G49,nein&amp; " "&amp;G49)</f>
        <v>✓ Click-on Anschrauben</v>
      </c>
      <c r="I49" s="381">
        <f>AH65</f>
        <v>1</v>
      </c>
      <c r="J49">
        <v>5</v>
      </c>
      <c r="K49" s="76">
        <v>5</v>
      </c>
      <c r="L49" t="str">
        <f t="shared" si="2"/>
        <v>✓ 5,0 mm</v>
      </c>
      <c r="M49" s="381">
        <f t="shared" si="3"/>
        <v>1</v>
      </c>
      <c r="R49" t="str">
        <f>VLOOKUP(N44,N45:R48,5,FALSE)</f>
        <v>Kreuz</v>
      </c>
      <c r="V49">
        <v>5</v>
      </c>
      <c r="W49" t="s">
        <v>3</v>
      </c>
      <c r="X49" t="str">
        <f>IF(Y49=1,ja&amp;" "&amp;W49,nein&amp; " "&amp;W49)</f>
        <v>✓ 45/9,5</v>
      </c>
      <c r="Y49">
        <f>AL52</f>
        <v>1</v>
      </c>
      <c r="AD49">
        <f>AD47</f>
        <v>0</v>
      </c>
      <c r="AE49">
        <f t="shared" si="5"/>
        <v>1</v>
      </c>
      <c r="AF49">
        <f t="shared" si="5"/>
        <v>0</v>
      </c>
      <c r="AG49">
        <f t="shared" si="5"/>
        <v>0</v>
      </c>
      <c r="AH49">
        <v>1</v>
      </c>
      <c r="AI49" t="s">
        <v>10</v>
      </c>
    </row>
    <row r="50" spans="1:38" hidden="1" outlineLevel="1" x14ac:dyDescent="0.25">
      <c r="A50" s="3"/>
      <c r="B50" s="587"/>
      <c r="C50" s="587"/>
      <c r="F50">
        <v>2</v>
      </c>
      <c r="G50" s="3" t="str">
        <f ca="1">Sprache!$A$185</f>
        <v>Click-on Einpressen</v>
      </c>
      <c r="H50" t="str">
        <f ca="1">IF(I50=1,ja&amp;" "&amp;G50,nein&amp; " "&amp;G50)</f>
        <v>✓ Click-on Einpressen</v>
      </c>
      <c r="I50" s="381">
        <f>AH67</f>
        <v>1</v>
      </c>
      <c r="J50">
        <v>6</v>
      </c>
      <c r="K50" s="76">
        <v>5.5</v>
      </c>
      <c r="L50" t="str">
        <f t="shared" si="2"/>
        <v xml:space="preserve">     5,5 mm</v>
      </c>
      <c r="M50" s="381">
        <f t="shared" si="3"/>
        <v>0</v>
      </c>
      <c r="AD50" t="s">
        <v>29</v>
      </c>
      <c r="AE50" t="s">
        <v>30</v>
      </c>
      <c r="AF50" t="s">
        <v>1367</v>
      </c>
      <c r="AG50" t="s">
        <v>31</v>
      </c>
      <c r="AH50" s="8" t="str">
        <f>AH48</f>
        <v>Winkel_sel</v>
      </c>
      <c r="AI50" s="8" t="s">
        <v>2</v>
      </c>
      <c r="AK50">
        <f>DCOUNT(Scharniere[[#Headers],[#Data]],Scharniere[[#Headers],[Scharnierart]],AD50:AI51)</f>
        <v>12</v>
      </c>
      <c r="AL50" s="40">
        <f t="shared" ref="AL50" si="7">IF(AK50&gt;0,1,0)</f>
        <v>1</v>
      </c>
    </row>
    <row r="51" spans="1:38" hidden="1" outlineLevel="1" x14ac:dyDescent="0.25">
      <c r="F51">
        <v>3</v>
      </c>
      <c r="G51" t="str">
        <f ca="1">Sprache!$A$186</f>
        <v>Click-on Quick</v>
      </c>
      <c r="H51" t="str">
        <f ca="1">IF(I51=1,ja&amp;" "&amp;G51,nein&amp; " "&amp;G51)</f>
        <v>✓ Click-on Quick</v>
      </c>
      <c r="I51" s="381">
        <f>AH69</f>
        <v>1</v>
      </c>
      <c r="J51">
        <v>7</v>
      </c>
      <c r="K51" s="76">
        <v>6</v>
      </c>
      <c r="L51" t="str">
        <f t="shared" si="2"/>
        <v xml:space="preserve">     6,0 mm</v>
      </c>
      <c r="M51" s="381">
        <f t="shared" si="3"/>
        <v>0</v>
      </c>
      <c r="AD51">
        <f>AD49</f>
        <v>0</v>
      </c>
      <c r="AE51">
        <f t="shared" si="5"/>
        <v>1</v>
      </c>
      <c r="AF51">
        <f t="shared" si="5"/>
        <v>0</v>
      </c>
      <c r="AG51">
        <f t="shared" si="5"/>
        <v>0</v>
      </c>
      <c r="AH51">
        <v>1</v>
      </c>
      <c r="AI51" t="s">
        <v>11</v>
      </c>
    </row>
    <row r="52" spans="1:38" hidden="1" outlineLevel="1" x14ac:dyDescent="0.25">
      <c r="F52">
        <v>4</v>
      </c>
      <c r="G52" s="3" t="str">
        <f ca="1">Sprache!$A$189</f>
        <v>Impresso</v>
      </c>
      <c r="H52" t="str">
        <f ca="1">IF(I52=1,ja&amp;" "&amp;G52,nein&amp; " "&amp;G52)</f>
        <v>✓ Impresso</v>
      </c>
      <c r="I52" s="381">
        <f>AH71</f>
        <v>1</v>
      </c>
      <c r="J52">
        <v>8</v>
      </c>
      <c r="K52" s="76">
        <v>6.5</v>
      </c>
      <c r="L52" t="str">
        <f t="shared" si="2"/>
        <v xml:space="preserve">     6,5 mm</v>
      </c>
      <c r="M52" s="381">
        <f t="shared" si="3"/>
        <v>0</v>
      </c>
      <c r="AD52" t="s">
        <v>29</v>
      </c>
      <c r="AE52" t="s">
        <v>30</v>
      </c>
      <c r="AF52" t="s">
        <v>1367</v>
      </c>
      <c r="AG52" t="s">
        <v>31</v>
      </c>
      <c r="AH52" s="8" t="str">
        <f>AH50</f>
        <v>Winkel_sel</v>
      </c>
      <c r="AI52" s="8" t="s">
        <v>2</v>
      </c>
      <c r="AK52">
        <f>DCOUNT(Scharniere[[#Headers],[#Data]],Scharniere[[#Headers],[Scharnierart]],AD52:AI53)</f>
        <v>12</v>
      </c>
      <c r="AL52" s="40">
        <f t="shared" ref="AL52" si="8">IF(AK52&gt;0,1,0)</f>
        <v>1</v>
      </c>
    </row>
    <row r="53" spans="1:38" hidden="1" outlineLevel="1" x14ac:dyDescent="0.25">
      <c r="J53">
        <v>9</v>
      </c>
      <c r="K53" s="76">
        <v>7</v>
      </c>
      <c r="L53" t="str">
        <f t="shared" si="2"/>
        <v>✓ 7,0 mm</v>
      </c>
      <c r="M53" s="381">
        <f t="shared" si="3"/>
        <v>1</v>
      </c>
      <c r="AD53">
        <f>AD51</f>
        <v>0</v>
      </c>
      <c r="AE53">
        <f t="shared" si="5"/>
        <v>1</v>
      </c>
      <c r="AF53">
        <f t="shared" si="5"/>
        <v>0</v>
      </c>
      <c r="AG53">
        <f t="shared" si="5"/>
        <v>0</v>
      </c>
      <c r="AH53">
        <v>1</v>
      </c>
      <c r="AI53" t="s">
        <v>3</v>
      </c>
    </row>
    <row r="54" spans="1:38" hidden="1" outlineLevel="1" x14ac:dyDescent="0.25">
      <c r="J54">
        <v>10</v>
      </c>
      <c r="K54" s="76" t="str">
        <f>IF($A$44=3,7.5,"")</f>
        <v/>
      </c>
      <c r="L54" t="str">
        <f t="shared" ref="L54:L59" si="9">IF(K54&lt;&gt;"",IF(M54=1,ja&amp;" "&amp;TEXT(K54,"0,0")&amp;" mm",nein&amp;" "&amp;TEXT(K54,"0,0")&amp;" mm"),"")</f>
        <v/>
      </c>
      <c r="M54" s="381">
        <f t="shared" si="3"/>
        <v>0</v>
      </c>
    </row>
    <row r="55" spans="1:38" ht="15.75" hidden="1" outlineLevel="1" thickBot="1" x14ac:dyDescent="0.3">
      <c r="J55">
        <v>11</v>
      </c>
      <c r="K55" s="76" t="str">
        <f>IF($A$44=3,8,"")</f>
        <v/>
      </c>
      <c r="L55" t="str">
        <f t="shared" si="9"/>
        <v/>
      </c>
      <c r="M55" s="381">
        <f t="shared" si="3"/>
        <v>0</v>
      </c>
      <c r="Q55" s="24" t="str">
        <f>B57&amp;" II"</f>
        <v xml:space="preserve"> Scharnierbefestigung  II</v>
      </c>
      <c r="AG55" t="s">
        <v>2189</v>
      </c>
      <c r="AH55" t="s">
        <v>2280</v>
      </c>
    </row>
    <row r="56" spans="1:38" ht="15.75" hidden="1" outlineLevel="1" thickBot="1" x14ac:dyDescent="0.3">
      <c r="A56" s="4" t="str">
        <f ca="1">VLOOKUP(A57,A58:B60,2,FALSE)</f>
        <v>Zum Anschrauben</v>
      </c>
      <c r="F56" s="4" t="str">
        <f ca="1">VLOOKUP(F57,F58:G60,2,FALSE)</f>
        <v>Tipmatic</v>
      </c>
      <c r="H56" s="720" t="str">
        <f>IF(I56=0,Sprache!$A$56&amp; " " &amp;Sprache!$A$147,IF(I57=0,Sprache!$A$45,""))</f>
        <v/>
      </c>
      <c r="I56" s="381">
        <f>SUM(I58:I60)</f>
        <v>3</v>
      </c>
      <c r="J56">
        <v>12</v>
      </c>
      <c r="K56" s="76" t="str">
        <f>IF($A$44=3,8.5,"")</f>
        <v/>
      </c>
      <c r="L56" t="str">
        <f t="shared" si="9"/>
        <v/>
      </c>
      <c r="M56" s="381">
        <f t="shared" si="3"/>
        <v>0</v>
      </c>
      <c r="P56" s="288">
        <f>VLOOKUP(P57,R63:V66,A57+1,FALSE)</f>
        <v>2</v>
      </c>
      <c r="Q56" t="str">
        <f ca="1">VLOOKUP(P57,Q58:U61,A57+2,FALSE)</f>
        <v>✓ Zum Anschrauben mit Holzschrauben</v>
      </c>
      <c r="AD56" s="8" t="str">
        <f>AH52</f>
        <v>Winkel_sel</v>
      </c>
      <c r="AE56" s="8" t="s">
        <v>57</v>
      </c>
      <c r="AG56">
        <f>DCOUNT(Scharniere[[#Headers],[#Data]],Scharniere[[#Headers],[Scharnierart]],AD56:AE57)</f>
        <v>68</v>
      </c>
      <c r="AH56" s="40">
        <f t="shared" ref="AH56" si="10">IF(AG56&gt;0,1,0)</f>
        <v>1</v>
      </c>
      <c r="AK56" t="s">
        <v>14</v>
      </c>
    </row>
    <row r="57" spans="1:38" ht="15.75" hidden="1" outlineLevel="1" thickBot="1" x14ac:dyDescent="0.3">
      <c r="A57" s="288">
        <v>1</v>
      </c>
      <c r="B57" s="24" t="s">
        <v>12</v>
      </c>
      <c r="F57" s="288">
        <v>3</v>
      </c>
      <c r="G57" s="24" t="s">
        <v>13</v>
      </c>
      <c r="I57" s="381">
        <f>VLOOKUP(F57,F58:I60,4,FALSE)</f>
        <v>1</v>
      </c>
      <c r="J57">
        <v>13</v>
      </c>
      <c r="K57" s="76" t="str">
        <f>IF($A$44=3,9,"")</f>
        <v/>
      </c>
      <c r="L57" t="str">
        <f t="shared" si="9"/>
        <v/>
      </c>
      <c r="M57" s="381">
        <f t="shared" si="3"/>
        <v>0</v>
      </c>
      <c r="P57" s="4">
        <v>1</v>
      </c>
      <c r="Q57" t="s">
        <v>872</v>
      </c>
      <c r="AD57">
        <v>1</v>
      </c>
      <c r="AE57" s="8">
        <v>1</v>
      </c>
    </row>
    <row r="58" spans="1:38" hidden="1" outlineLevel="1" x14ac:dyDescent="0.25">
      <c r="A58" s="3">
        <v>1</v>
      </c>
      <c r="B58" t="str">
        <f ca="1">Sprache!$A$179</f>
        <v>Zum Anschrauben</v>
      </c>
      <c r="C58" t="str">
        <f ca="1">IF(D58=1,ja&amp;" "&amp;B58,nein&amp; " "&amp;B58)</f>
        <v>✓ Zum Anschrauben</v>
      </c>
      <c r="D58">
        <f>AO79</f>
        <v>1</v>
      </c>
      <c r="F58" s="3">
        <v>1</v>
      </c>
      <c r="G58" t="str">
        <f ca="1">Sprache!$A$73</f>
        <v>mit Soft-close</v>
      </c>
      <c r="H58" t="str">
        <f ca="1">IF(I58=1,ja&amp;" "&amp;G58,nein&amp; " "&amp;G58)</f>
        <v>✓ mit Soft-close</v>
      </c>
      <c r="I58" s="381">
        <f>AH56</f>
        <v>1</v>
      </c>
      <c r="J58">
        <v>14</v>
      </c>
      <c r="K58" s="76" t="str">
        <f>IF($A$44=3,9.5,"")</f>
        <v/>
      </c>
      <c r="L58" t="str">
        <f t="shared" si="9"/>
        <v/>
      </c>
      <c r="M58" s="381">
        <f t="shared" si="3"/>
        <v>0</v>
      </c>
      <c r="P58" t="str">
        <f ca="1">VLOOKUP(1,R58:V58,A57+1,FALSE)</f>
        <v>✓ Zum Anschrauben mit Holzschrauben</v>
      </c>
      <c r="Q58">
        <v>1</v>
      </c>
      <c r="R58">
        <v>1</v>
      </c>
      <c r="S58" t="str">
        <f ca="1">AK79</f>
        <v>✓ Zum Anschrauben mit Holzschrauben</v>
      </c>
      <c r="T58" t="str">
        <f ca="1">AK77</f>
        <v>✓ Zum Einpressen</v>
      </c>
      <c r="U58" t="str">
        <f ca="1">AK83</f>
        <v>✓ vormontierte Euroschrauben [13,5]</v>
      </c>
      <c r="AD58" s="8" t="str">
        <f>AH52</f>
        <v>Winkel_sel</v>
      </c>
      <c r="AE58" s="8" t="s">
        <v>58</v>
      </c>
      <c r="AG58">
        <f>DCOUNT(Scharniere[[#Headers],[#Data]],Scharniere[[#Headers],[Scharnierart]],AD58:AE59)</f>
        <v>69</v>
      </c>
      <c r="AH58" s="40">
        <f t="shared" ref="AH58" si="11">IF(AG58&gt;0,1,0)</f>
        <v>1</v>
      </c>
      <c r="AK58" t="s">
        <v>15</v>
      </c>
    </row>
    <row r="59" spans="1:38" hidden="1" outlineLevel="1" x14ac:dyDescent="0.25">
      <c r="A59">
        <v>2</v>
      </c>
      <c r="B59" t="str">
        <f ca="1">Sprache!$A$180</f>
        <v>Zum Einpressen</v>
      </c>
      <c r="C59" t="str">
        <f ca="1">IF(D59=1,ja&amp;" "&amp;B59,nein&amp; " "&amp;B59)</f>
        <v>✓ Zum Einpressen</v>
      </c>
      <c r="D59">
        <f>AO77</f>
        <v>1</v>
      </c>
      <c r="F59">
        <v>2</v>
      </c>
      <c r="G59" t="str">
        <f ca="1">Sprache!$A$74</f>
        <v>ohne Soft-close</v>
      </c>
      <c r="H59" t="str">
        <f ca="1">IF(I59=1,ja&amp;" "&amp;G59,nein&amp; " "&amp;G59)</f>
        <v>✓ ohne Soft-close</v>
      </c>
      <c r="I59" s="381">
        <f>AH58</f>
        <v>1</v>
      </c>
      <c r="J59">
        <v>15</v>
      </c>
      <c r="K59" s="76" t="str">
        <f>IF($A$44=3,10,"")</f>
        <v/>
      </c>
      <c r="L59" t="str">
        <f t="shared" si="9"/>
        <v/>
      </c>
      <c r="M59" s="381">
        <f t="shared" si="3"/>
        <v>0</v>
      </c>
      <c r="P59" t="str">
        <f ca="1">VLOOKUP(1,R59:V59,A57+1,FALSE)</f>
        <v>✓ Zum Anschrauben mit Euroschrauben</v>
      </c>
      <c r="Q59">
        <v>2</v>
      </c>
      <c r="R59">
        <v>1</v>
      </c>
      <c r="S59" t="str">
        <f ca="1">AK81</f>
        <v>✓ Zum Anschrauben mit Euroschrauben</v>
      </c>
      <c r="T59" t="str">
        <f ca="1">AK77</f>
        <v>✓ Zum Einpressen</v>
      </c>
      <c r="U59" t="str">
        <f ca="1">AK85</f>
        <v>✓ vormontierte Euroschrauben [10,5]</v>
      </c>
      <c r="AD59">
        <v>1</v>
      </c>
      <c r="AE59" s="8">
        <v>1</v>
      </c>
    </row>
    <row r="60" spans="1:38" hidden="1" outlineLevel="1" x14ac:dyDescent="0.25">
      <c r="A60">
        <v>3</v>
      </c>
      <c r="B60" t="str">
        <f ca="1">Sprache!$A$182</f>
        <v>Für 5 mm Lochreihe</v>
      </c>
      <c r="C60" t="str">
        <f ca="1">IF(D60=1,ja&amp;" "&amp;B60,nein&amp; " "&amp;B60)</f>
        <v>✓ Für 5 mm Lochreihe</v>
      </c>
      <c r="D60">
        <f>AO83</f>
        <v>1</v>
      </c>
      <c r="F60">
        <v>3</v>
      </c>
      <c r="G60" t="str">
        <f ca="1">Sprache!$A$190</f>
        <v>Tipmatic</v>
      </c>
      <c r="H60" t="str">
        <f ca="1">IF(I60=1,ja&amp;" "&amp;G60,nein&amp; " "&amp;G60)</f>
        <v>✓ Tipmatic</v>
      </c>
      <c r="I60" s="381">
        <f>AH60</f>
        <v>1</v>
      </c>
      <c r="P60" t="str">
        <f>VLOOKUP(1,R60:V60,A57+1,FALSE)</f>
        <v/>
      </c>
      <c r="Q60">
        <v>3</v>
      </c>
      <c r="R60">
        <v>1</v>
      </c>
      <c r="S60" s="87" t="s">
        <v>1916</v>
      </c>
      <c r="T60" s="87" t="str">
        <f ca="1">T59</f>
        <v>✓ Zum Einpressen</v>
      </c>
      <c r="U60" t="str">
        <f ca="1">AK87</f>
        <v>✓ Spreizdübel 11 mm</v>
      </c>
      <c r="AD60" s="8" t="str">
        <f>AH52</f>
        <v>Winkel_sel</v>
      </c>
      <c r="AE60" s="8" t="s">
        <v>28</v>
      </c>
      <c r="AG60">
        <f>DCOUNT(Scharniere[[#Headers],[#Data]],Scharniere[[#Headers],[Scharnierart]],AD60:AE61)</f>
        <v>64</v>
      </c>
      <c r="AH60" s="40">
        <f t="shared" ref="AH60" si="12">IF(AG60&gt;0,1,0)</f>
        <v>1</v>
      </c>
      <c r="AK60" t="s">
        <v>16</v>
      </c>
    </row>
    <row r="61" spans="1:38" hidden="1" outlineLevel="1" x14ac:dyDescent="0.25">
      <c r="P61" t="str">
        <f>VLOOKUP(1,R61:V61,A57+1,FALSE)</f>
        <v/>
      </c>
      <c r="Q61">
        <v>4</v>
      </c>
      <c r="R61">
        <v>1</v>
      </c>
      <c r="S61" s="87" t="s">
        <v>1916</v>
      </c>
      <c r="T61" s="87" t="str">
        <f ca="1">T60</f>
        <v>✓ Zum Einpressen</v>
      </c>
      <c r="U61" t="str">
        <f ca="1">AK89</f>
        <v>✓ Zwillingsmontageplatte (Spreizdübel 7,5 mm)</v>
      </c>
      <c r="AD61">
        <v>1</v>
      </c>
      <c r="AE61" s="8">
        <v>1</v>
      </c>
    </row>
    <row r="62" spans="1:38" hidden="1" outlineLevel="1" x14ac:dyDescent="0.25"/>
    <row r="63" spans="1:38" hidden="1" outlineLevel="1" x14ac:dyDescent="0.25">
      <c r="C63" t="b">
        <f>AND(A57=1,P57=1)</f>
        <v>1</v>
      </c>
      <c r="E63" s="4">
        <f>IF(select!N44=3,IF(AND(select!A57&lt;&gt;1,select!P57&lt;&gt;1)=TRUE,Sprache!A33,"xx"),22)</f>
        <v>22</v>
      </c>
      <c r="F63" t="s">
        <v>2288</v>
      </c>
      <c r="R63">
        <v>1</v>
      </c>
      <c r="S63">
        <v>2</v>
      </c>
      <c r="T63">
        <v>1</v>
      </c>
      <c r="U63">
        <v>4</v>
      </c>
    </row>
    <row r="64" spans="1:38" hidden="1" outlineLevel="1" x14ac:dyDescent="0.25">
      <c r="R64">
        <v>2</v>
      </c>
      <c r="S64">
        <v>3</v>
      </c>
      <c r="T64">
        <v>1</v>
      </c>
      <c r="U64">
        <v>5</v>
      </c>
      <c r="AG64" t="s">
        <v>1445</v>
      </c>
      <c r="AH64" t="s">
        <v>2281</v>
      </c>
    </row>
    <row r="65" spans="1:41" hidden="1" outlineLevel="1" x14ac:dyDescent="0.25">
      <c r="A65" t="s">
        <v>5</v>
      </c>
      <c r="R65">
        <v>3</v>
      </c>
      <c r="S65" s="87">
        <v>0</v>
      </c>
      <c r="T65">
        <v>1</v>
      </c>
      <c r="U65">
        <v>6</v>
      </c>
      <c r="AD65" s="8" t="str">
        <f>AD56</f>
        <v>Winkel_sel</v>
      </c>
      <c r="AE65" s="8" t="s">
        <v>29</v>
      </c>
      <c r="AG65">
        <f>DCOUNT(Scharniere[[#Headers],[#Data]],Scharniere[[#Headers],[Scharnierart]],AD65:AE66)</f>
        <v>62</v>
      </c>
      <c r="AH65" s="40">
        <f>IF(AG65&gt;0,1,0)</f>
        <v>1</v>
      </c>
    </row>
    <row r="66" spans="1:41" hidden="1" outlineLevel="1" x14ac:dyDescent="0.25">
      <c r="B66" s="30">
        <v>3</v>
      </c>
      <c r="C66" s="9"/>
      <c r="D66" s="30">
        <v>0</v>
      </c>
      <c r="E66" s="9"/>
      <c r="F66" s="30">
        <v>9.5</v>
      </c>
      <c r="G66" s="9"/>
      <c r="H66" s="30">
        <v>19</v>
      </c>
      <c r="I66" s="31"/>
      <c r="K66" t="s">
        <v>2287</v>
      </c>
      <c r="R66">
        <v>4</v>
      </c>
      <c r="S66" s="87">
        <v>0</v>
      </c>
      <c r="T66">
        <v>1</v>
      </c>
      <c r="U66">
        <v>7</v>
      </c>
      <c r="AD66">
        <v>1</v>
      </c>
      <c r="AE66" s="8">
        <v>1</v>
      </c>
    </row>
    <row r="67" spans="1:41" hidden="1" outlineLevel="1" x14ac:dyDescent="0.25">
      <c r="D67" s="10"/>
      <c r="F67" s="10"/>
      <c r="H67" s="10"/>
      <c r="K67">
        <f>IF(OR(select!C70=1,select!E70=1,select!G70=1,select!I70=1)=TRUE,1,0)</f>
        <v>1</v>
      </c>
      <c r="AD67" s="8" t="str">
        <f>AD65</f>
        <v>Winkel_sel</v>
      </c>
      <c r="AE67" s="8" t="s">
        <v>30</v>
      </c>
      <c r="AG67">
        <f>DCOUNT(Scharniere[[#Headers],[#Data]],Scharniere[[#Headers],[Scharnierart]],AD67:AE68)</f>
        <v>60</v>
      </c>
      <c r="AH67" s="40">
        <f>IF(AG67&gt;0,1,0)</f>
        <v>1</v>
      </c>
    </row>
    <row r="68" spans="1:41" hidden="1" outlineLevel="1" x14ac:dyDescent="0.25">
      <c r="A68" t="s">
        <v>4</v>
      </c>
      <c r="D68" s="10"/>
      <c r="F68" s="10"/>
      <c r="H68" s="10"/>
      <c r="R68" s="39">
        <v>1</v>
      </c>
      <c r="S68" s="39" t="str">
        <f ca="1">Sprache!$A$66</f>
        <v>Zum Einpressen</v>
      </c>
      <c r="T68" s="39"/>
      <c r="U68" s="39"/>
      <c r="AD68">
        <v>1</v>
      </c>
      <c r="AE68" s="8">
        <v>1</v>
      </c>
    </row>
    <row r="69" spans="1:41" hidden="1" outlineLevel="1" x14ac:dyDescent="0.25">
      <c r="B69" s="1" t="s">
        <v>883</v>
      </c>
      <c r="C69" s="1" t="s">
        <v>884</v>
      </c>
      <c r="D69" s="90" t="s">
        <v>883</v>
      </c>
      <c r="E69" s="1" t="s">
        <v>884</v>
      </c>
      <c r="F69" s="90" t="s">
        <v>883</v>
      </c>
      <c r="G69" s="1" t="s">
        <v>884</v>
      </c>
      <c r="H69" s="90" t="s">
        <v>883</v>
      </c>
      <c r="I69" s="1" t="s">
        <v>884</v>
      </c>
      <c r="J69" s="1" t="s">
        <v>885</v>
      </c>
      <c r="R69" s="39">
        <v>2</v>
      </c>
      <c r="S69" s="39" t="str">
        <f ca="1">Sprache!$A$64</f>
        <v>Zum Anschrauben mit Holzschrauben</v>
      </c>
      <c r="T69" s="39"/>
      <c r="U69" s="39"/>
      <c r="AD69" s="8" t="str">
        <f>AD67</f>
        <v>Winkel_sel</v>
      </c>
      <c r="AE69" s="8" t="s">
        <v>1367</v>
      </c>
      <c r="AG69">
        <f>DCOUNT(Scharniere[[#Headers],[#Data]],Scharniere[[#Headers],[Scharnierart]],AD69:AE70)</f>
        <v>8</v>
      </c>
      <c r="AH69" s="40">
        <f>IF(AG69&gt;0,1,0)</f>
        <v>1</v>
      </c>
    </row>
    <row r="70" spans="1:41" hidden="1" outlineLevel="1" x14ac:dyDescent="0.25">
      <c r="A70" t="s">
        <v>1377</v>
      </c>
      <c r="B70" s="88">
        <f>IF(N44=4,"",IF(($G$44+J70-15-$J$43)*-1-$B$66&gt;=-2,(Standard!$C$22+J70-15-$J$43)*-1-$B$66,""))</f>
        <v>16</v>
      </c>
      <c r="C70" s="351">
        <f>IFERROR(VLOOKUP(B70,$L$71:$M$114,2,FALSE),0)</f>
        <v>0</v>
      </c>
      <c r="D70" s="89">
        <f>IF(N44=4,"",IF((Standard!$C$22+J70-15-$J$43)*-1-$D$66&gt;=-2,(Standard!$C$22+J70-15-$J$43)*-1-$D$66,""))</f>
        <v>19</v>
      </c>
      <c r="E70" s="351">
        <f t="shared" ref="E70:E89" si="13">IFERROR(VLOOKUP(D70,$L$71:$M$114,2,FALSE),0)</f>
        <v>1</v>
      </c>
      <c r="F70" s="89">
        <f>IF((Standard!$C$22+J70-15-$J$43)*-1-$F$66&gt;=-2,(Standard!$C$22+J70-15-$J$43)*-1-$F$66,"")</f>
        <v>9.5</v>
      </c>
      <c r="G70" s="351">
        <f t="shared" ref="G70:G89" si="14">IFERROR(VLOOKUP(F70,$L$71:$M$114,2,FALSE),0)</f>
        <v>1</v>
      </c>
      <c r="H70" s="89">
        <f>IF(N44=4,"",IF((Standard!$C$22+J70-15-$J$43)*-1-$H$66&gt;=-2,(Standard!$C$22+J70-15-$J$43)*-1-$H$66,""))</f>
        <v>0</v>
      </c>
      <c r="I70" s="351">
        <f t="shared" ref="I70:I89" si="15">IFERROR(VLOOKUP(H70,$L$71:$M$114,2,FALSE),0)</f>
        <v>1</v>
      </c>
      <c r="J70">
        <v>0</v>
      </c>
      <c r="L70">
        <v>1</v>
      </c>
      <c r="R70" s="39">
        <v>3</v>
      </c>
      <c r="S70" s="39" t="str">
        <f ca="1">Sprache!$A$65</f>
        <v>Zum Anschrauben mit Euroschrauben</v>
      </c>
      <c r="T70" s="39"/>
      <c r="U70" s="39"/>
      <c r="AD70">
        <v>1</v>
      </c>
      <c r="AE70" s="8">
        <v>1</v>
      </c>
    </row>
    <row r="71" spans="1:41" hidden="1" outlineLevel="1" x14ac:dyDescent="0.25">
      <c r="A71" s="925" t="s">
        <v>1378</v>
      </c>
      <c r="B71" s="266">
        <f>IF(($G$44+J71-15-$J$43)*-1-$B$66&gt;=-2,($G$44+J71-15-$J$43)*-1-$B$66,"")</f>
        <v>16.5</v>
      </c>
      <c r="C71" s="351">
        <f>IFERROR(VLOOKUP(B71,$L$71:$M$114,2,FALSE),0)</f>
        <v>0</v>
      </c>
      <c r="D71" s="52">
        <f>IF(($G$44+J71-15-$J$43)*-1-$D$66&gt;=-2,($G$44+J71-15-$J$43)*-1-$D$66,"")</f>
        <v>19.5</v>
      </c>
      <c r="E71" s="351">
        <f t="shared" si="13"/>
        <v>0</v>
      </c>
      <c r="F71" s="52">
        <f>IF(($G$44+J71-15-$J$43)*-1-$F$66&gt;=-2,($G$44+J71-15-$J$43)*-1-$F$66,"")</f>
        <v>10</v>
      </c>
      <c r="G71" s="351">
        <f t="shared" si="14"/>
        <v>0</v>
      </c>
      <c r="H71" s="52">
        <f>IF(($G$44+J71-15-$J$43)*-1-$H$66&gt;=-2,($G$44+J71-15-$J$43)*-1-$H$66,"")</f>
        <v>0.5</v>
      </c>
      <c r="I71" s="351">
        <f t="shared" si="15"/>
        <v>0</v>
      </c>
      <c r="J71">
        <v>-0.5</v>
      </c>
      <c r="L71" s="21">
        <f t="array" ref="L71">IFERROR(INDEX(Montageplatten[Höhe],LARGE((Montageplatten[Randbedingungen]=$L$70)*(ROW(Montageplatten[Randbedingungen])-1),COUNTIF(Montageplatten[Randbedingungen],$L$70)+1-ROW(A1))),"-")</f>
        <v>-2</v>
      </c>
      <c r="M71" s="21">
        <v>1</v>
      </c>
      <c r="N71" s="1087" t="s">
        <v>1350</v>
      </c>
      <c r="R71" s="39">
        <v>4</v>
      </c>
      <c r="S71" s="39" t="str">
        <f ca="1">Sprache!$A$67</f>
        <v>vormontierte Euroschrauben [13,5]</v>
      </c>
      <c r="T71" s="39"/>
      <c r="U71" s="39"/>
      <c r="AD71" s="8" t="str">
        <f>AD69</f>
        <v>Winkel_sel</v>
      </c>
      <c r="AE71" t="s">
        <v>31</v>
      </c>
      <c r="AG71">
        <f>DCOUNT(Scharniere[[#Headers],[#Data]],Scharniere[[#Headers],[Scharnierart]],AD71:AE72)</f>
        <v>72</v>
      </c>
      <c r="AH71" s="40">
        <f>IF(AG71&gt;0,1,0)</f>
        <v>1</v>
      </c>
    </row>
    <row r="72" spans="1:41" hidden="1" outlineLevel="1" x14ac:dyDescent="0.25">
      <c r="A72" s="925"/>
      <c r="B72" s="266">
        <f t="shared" ref="B72:B118" si="16">IF(($G$44+J72-15-$J$43)*-1-$B$66&gt;=-2,($G$44+J72-15-$J$43)*-1-$B$66,"")</f>
        <v>17</v>
      </c>
      <c r="C72" s="351">
        <f t="shared" ref="C72:C89" si="17">IFERROR(VLOOKUP(B72,$L$71:$M$114,2,FALSE),0)</f>
        <v>0</v>
      </c>
      <c r="D72" s="52">
        <f t="shared" ref="D72:D118" si="18">IF(($G$44+J72-15-$J$43)*-1-$D$66&gt;=-2,($G$44+J72-15-$J$43)*-1-$D$66,"")</f>
        <v>20</v>
      </c>
      <c r="E72" s="351">
        <f t="shared" si="13"/>
        <v>0</v>
      </c>
      <c r="F72" s="52">
        <f t="shared" ref="F72:F118" si="19">IF(($G$44+J72-15-$J$43)*-1-$F$66&gt;=-2,($G$44+J72-15-$J$43)*-1-$F$66,"")</f>
        <v>10.5</v>
      </c>
      <c r="G72" s="351">
        <f t="shared" si="14"/>
        <v>0</v>
      </c>
      <c r="H72" s="52">
        <f t="shared" ref="H72:H118" si="20">IF(($G$44+J72-15-$J$43)*-1-$H$66&gt;=-2,($G$44+J72-15-$J$43)*-1-$H$66,"")</f>
        <v>1</v>
      </c>
      <c r="I72" s="351">
        <f t="shared" si="15"/>
        <v>0</v>
      </c>
      <c r="J72">
        <v>-1</v>
      </c>
      <c r="L72" s="21">
        <f t="array" ref="L72">IFERROR(INDEX(Montageplatten[Höhe],LARGE((Montageplatten[Randbedingungen]=$L$70)*(ROW(Montageplatten[Randbedingungen])-1),COUNTIF(Montageplatten[Randbedingungen],$L$70)+1-ROW(A2))),"-")</f>
        <v>0</v>
      </c>
      <c r="M72" s="21">
        <v>1</v>
      </c>
      <c r="N72" s="1087"/>
      <c r="R72" s="39">
        <v>5</v>
      </c>
      <c r="S72" s="39" t="str">
        <f ca="1">Sprache!$A$68</f>
        <v>vormontierte Euroschrauben [10,5]</v>
      </c>
      <c r="T72" s="39"/>
      <c r="U72" s="39"/>
      <c r="AD72">
        <v>1</v>
      </c>
      <c r="AE72" s="8">
        <v>1</v>
      </c>
    </row>
    <row r="73" spans="1:41" hidden="1" outlineLevel="1" x14ac:dyDescent="0.25">
      <c r="A73" s="925"/>
      <c r="B73" s="266">
        <f t="shared" si="16"/>
        <v>17.5</v>
      </c>
      <c r="C73" s="351">
        <f t="shared" si="17"/>
        <v>0</v>
      </c>
      <c r="D73" s="52">
        <f t="shared" si="18"/>
        <v>20.5</v>
      </c>
      <c r="E73" s="351">
        <f t="shared" si="13"/>
        <v>0</v>
      </c>
      <c r="F73" s="52">
        <f t="shared" si="19"/>
        <v>11</v>
      </c>
      <c r="G73" s="351">
        <f t="shared" si="14"/>
        <v>0</v>
      </c>
      <c r="H73" s="52">
        <f t="shared" si="20"/>
        <v>1.5</v>
      </c>
      <c r="I73" s="351">
        <f t="shared" si="15"/>
        <v>0</v>
      </c>
      <c r="J73">
        <v>-1.5</v>
      </c>
      <c r="L73" s="21">
        <f t="array" ref="L73">IFERROR(INDEX(Montageplatten[Höhe],LARGE((Montageplatten[Randbedingungen]=$L$70)*(ROW(Montageplatten[Randbedingungen])-1),COUNTIF(Montageplatten[Randbedingungen],$L$70)+1-ROW(A3))),"-")</f>
        <v>0</v>
      </c>
      <c r="M73" s="21">
        <v>1</v>
      </c>
      <c r="N73" s="1087"/>
      <c r="R73" s="39">
        <v>6</v>
      </c>
      <c r="S73" t="str">
        <f ca="1">AL87</f>
        <v>Spreizdübel 11 mm</v>
      </c>
      <c r="AF73" s="8"/>
    </row>
    <row r="74" spans="1:41" hidden="1" outlineLevel="1" x14ac:dyDescent="0.25">
      <c r="A74" s="925"/>
      <c r="B74" s="266">
        <f t="shared" si="16"/>
        <v>18</v>
      </c>
      <c r="C74" s="351">
        <f t="shared" si="17"/>
        <v>0</v>
      </c>
      <c r="D74" s="52">
        <f t="shared" si="18"/>
        <v>21</v>
      </c>
      <c r="E74" s="351">
        <f t="shared" si="13"/>
        <v>1</v>
      </c>
      <c r="F74" s="52">
        <f t="shared" si="19"/>
        <v>11.5</v>
      </c>
      <c r="G74" s="351">
        <f t="shared" si="14"/>
        <v>0</v>
      </c>
      <c r="H74" s="52">
        <f t="shared" si="20"/>
        <v>2</v>
      </c>
      <c r="I74" s="351">
        <f t="shared" si="15"/>
        <v>1</v>
      </c>
      <c r="J74">
        <v>-2</v>
      </c>
      <c r="L74" s="21">
        <f t="array" ref="L74">IFERROR(INDEX(Montageplatten[Höhe],LARGE((Montageplatten[Randbedingungen]=$L$70)*(ROW(Montageplatten[Randbedingungen])-1),COUNTIF(Montageplatten[Randbedingungen],$L$70)+1-ROW(A4))),"-")</f>
        <v>0</v>
      </c>
      <c r="M74" s="21">
        <v>1</v>
      </c>
      <c r="N74" s="1087"/>
      <c r="R74" s="39">
        <v>7</v>
      </c>
      <c r="S74" t="str">
        <f ca="1">AL89</f>
        <v>Zwillingsmontageplatte (Spreizdübel 7,5 mm)</v>
      </c>
      <c r="AO74" s="131" t="str">
        <f>IF(SUM(AO77:AO87)=0,Sprache!$A$56&amp;" "&amp;Sprache!$A$147,IF(select!AM97=0,Sprache!$A$51,""))</f>
        <v/>
      </c>
    </row>
    <row r="75" spans="1:41" hidden="1" outlineLevel="1" x14ac:dyDescent="0.25">
      <c r="A75" s="925"/>
      <c r="B75" s="266">
        <f t="shared" si="16"/>
        <v>18.5</v>
      </c>
      <c r="C75" s="351">
        <f t="shared" si="17"/>
        <v>0</v>
      </c>
      <c r="D75" s="52">
        <f t="shared" si="18"/>
        <v>21.5</v>
      </c>
      <c r="E75" s="351">
        <f t="shared" si="13"/>
        <v>0</v>
      </c>
      <c r="F75" s="52">
        <f t="shared" si="19"/>
        <v>12</v>
      </c>
      <c r="G75" s="351">
        <f t="shared" si="14"/>
        <v>1</v>
      </c>
      <c r="H75" s="52">
        <f t="shared" si="20"/>
        <v>2.5</v>
      </c>
      <c r="I75" s="351">
        <f t="shared" si="15"/>
        <v>0</v>
      </c>
      <c r="J75">
        <v>-2.5</v>
      </c>
      <c r="L75" s="21">
        <f t="array" ref="L75">IFERROR(INDEX(Montageplatten[Höhe],LARGE((Montageplatten[Randbedingungen]=$L$70)*(ROW(Montageplatten[Randbedingungen])-1),COUNTIF(Montageplatten[Randbedingungen],$L$70)+1-ROW(A5))),"-")</f>
        <v>2</v>
      </c>
      <c r="M75" s="21">
        <v>1</v>
      </c>
      <c r="N75" s="1087"/>
      <c r="AF75" s="8"/>
    </row>
    <row r="76" spans="1:41" hidden="1" outlineLevel="1" x14ac:dyDescent="0.25">
      <c r="A76" s="925"/>
      <c r="B76" s="266">
        <f t="shared" si="16"/>
        <v>19</v>
      </c>
      <c r="C76" s="351">
        <f t="shared" si="17"/>
        <v>1</v>
      </c>
      <c r="D76" s="52">
        <f t="shared" si="18"/>
        <v>22</v>
      </c>
      <c r="E76" s="351">
        <f t="shared" si="13"/>
        <v>0</v>
      </c>
      <c r="F76" s="52">
        <f t="shared" si="19"/>
        <v>12.5</v>
      </c>
      <c r="G76" s="351">
        <f t="shared" si="14"/>
        <v>0</v>
      </c>
      <c r="H76" s="52">
        <f t="shared" si="20"/>
        <v>3</v>
      </c>
      <c r="I76" s="351">
        <f t="shared" si="15"/>
        <v>1</v>
      </c>
      <c r="J76">
        <v>-3</v>
      </c>
      <c r="L76" s="21">
        <f t="array" ref="L76">IFERROR(INDEX(Montageplatten[Höhe],LARGE((Montageplatten[Randbedingungen]=$L$70)*(ROW(Montageplatten[Randbedingungen])-1),COUNTIF(Montageplatten[Randbedingungen],$L$70)+1-ROW(A6))),"-")</f>
        <v>2</v>
      </c>
      <c r="M76" s="21">
        <v>1</v>
      </c>
      <c r="N76" s="1087"/>
      <c r="P76" t="s">
        <v>1464</v>
      </c>
      <c r="Q76" s="609">
        <f>B66</f>
        <v>3</v>
      </c>
      <c r="R76" s="612"/>
      <c r="S76" s="609">
        <f>D66</f>
        <v>0</v>
      </c>
      <c r="T76" s="612"/>
      <c r="U76" s="609">
        <f>F66</f>
        <v>9.5</v>
      </c>
      <c r="V76" s="612"/>
      <c r="W76" s="609">
        <f>H66</f>
        <v>19</v>
      </c>
      <c r="X76" s="612"/>
      <c r="AH76" s="801" t="s">
        <v>2189</v>
      </c>
      <c r="AI76" s="801"/>
      <c r="AJ76" t="s">
        <v>2278</v>
      </c>
      <c r="AO76" t="s">
        <v>2277</v>
      </c>
    </row>
    <row r="77" spans="1:41" hidden="1" outlineLevel="1" x14ac:dyDescent="0.25">
      <c r="A77" s="925"/>
      <c r="B77" s="266">
        <f t="shared" si="16"/>
        <v>19.5</v>
      </c>
      <c r="C77" s="351">
        <f t="shared" si="17"/>
        <v>0</v>
      </c>
      <c r="D77" s="52">
        <f t="shared" si="18"/>
        <v>22.5</v>
      </c>
      <c r="E77" s="351">
        <f t="shared" si="13"/>
        <v>0</v>
      </c>
      <c r="F77" s="52">
        <f t="shared" si="19"/>
        <v>13</v>
      </c>
      <c r="G77" s="351">
        <f t="shared" si="14"/>
        <v>0</v>
      </c>
      <c r="H77" s="52">
        <f t="shared" si="20"/>
        <v>3.5</v>
      </c>
      <c r="I77" s="351">
        <f t="shared" si="15"/>
        <v>1</v>
      </c>
      <c r="J77">
        <v>-3.5</v>
      </c>
      <c r="L77" s="21">
        <f t="array" ref="L77">IFERROR(INDEX(Montageplatten[Höhe],LARGE((Montageplatten[Randbedingungen]=$L$70)*(ROW(Montageplatten[Randbedingungen])-1),COUNTIF(Montageplatten[Randbedingungen],$L$70)+1-ROW(A7))),"-")</f>
        <v>2</v>
      </c>
      <c r="M77" s="21">
        <v>1</v>
      </c>
      <c r="N77" s="1087"/>
      <c r="P77" s="76">
        <f>K45</f>
        <v>3</v>
      </c>
      <c r="Q77" s="71">
        <f>($G$44-15-P77)*-1-Q$76</f>
        <v>14</v>
      </c>
      <c r="R77" s="783">
        <f>IFERROR(VLOOKUP(Q77,$L$71:$M$114,2,FALSE),0)</f>
        <v>1</v>
      </c>
      <c r="S77" s="71">
        <f>($G$44-15-P77)*-1-S$76</f>
        <v>17</v>
      </c>
      <c r="T77" s="783">
        <f>IFERROR(VLOOKUP(S77,$L$71:$M$114,2,FALSE),0)</f>
        <v>0</v>
      </c>
      <c r="U77" s="71">
        <f>($G$44-15-P77)*-1-U$76</f>
        <v>7.5</v>
      </c>
      <c r="V77" s="783">
        <f>IFERROR(VLOOKUP(U77,$L$71:$M$114,2,FALSE),0)</f>
        <v>0</v>
      </c>
      <c r="W77" s="71">
        <f>($G$44-15-P77)*-1-W$76</f>
        <v>-2</v>
      </c>
      <c r="X77" s="783">
        <f>IFERROR(VLOOKUP(W77,$L$71:$M$114,2,FALSE),0)</f>
        <v>1</v>
      </c>
      <c r="Z77" s="623">
        <f t="shared" ref="Z77:Z90" si="21">IF(X77+V77+T77+R77&gt;0,1,0)</f>
        <v>1</v>
      </c>
      <c r="AD77" s="826" t="str">
        <f>R49</f>
        <v>Kreuz</v>
      </c>
      <c r="AE77" s="826" t="s">
        <v>2252</v>
      </c>
      <c r="AF77" t="s">
        <v>727</v>
      </c>
      <c r="AG77" s="826" t="str">
        <f>O221</f>
        <v>37/32</v>
      </c>
      <c r="AH77" s="801">
        <f>DCOUNT(Montageplatten[[#Headers],[#Data],[Typ]:[Höhe]],Montageplatten[[#Headers],[Höhe]],select!AD77:AG78)</f>
        <v>2</v>
      </c>
      <c r="AI77" s="827">
        <f>IF(AH77&gt;0,1,0)</f>
        <v>1</v>
      </c>
      <c r="AJ77">
        <v>1</v>
      </c>
      <c r="AK77" s="40" t="str">
        <f ca="1">IF(AI77=1,ja&amp;" "&amp;AL77,nein&amp;" "&amp;AL77)</f>
        <v>✓ Zum Einpressen</v>
      </c>
      <c r="AL77" t="str">
        <f ca="1">Sprache!$A$66</f>
        <v>Zum Einpressen</v>
      </c>
      <c r="AO77" s="40">
        <f>AI77</f>
        <v>1</v>
      </c>
    </row>
    <row r="78" spans="1:41" hidden="1" outlineLevel="1" x14ac:dyDescent="0.25">
      <c r="A78" s="925"/>
      <c r="B78" s="266">
        <f t="shared" si="16"/>
        <v>20</v>
      </c>
      <c r="C78" s="351">
        <f t="shared" si="17"/>
        <v>0</v>
      </c>
      <c r="D78" s="52">
        <f t="shared" si="18"/>
        <v>23</v>
      </c>
      <c r="E78" s="351">
        <f t="shared" si="13"/>
        <v>0</v>
      </c>
      <c r="F78" s="52">
        <f t="shared" si="19"/>
        <v>13.5</v>
      </c>
      <c r="G78" s="351">
        <f t="shared" si="14"/>
        <v>0</v>
      </c>
      <c r="H78" s="52">
        <f t="shared" si="20"/>
        <v>4</v>
      </c>
      <c r="I78" s="351">
        <f t="shared" si="15"/>
        <v>0</v>
      </c>
      <c r="J78">
        <v>-4</v>
      </c>
      <c r="L78" s="21">
        <f t="array" ref="L78">IFERROR(INDEX(Montageplatten[Höhe],LARGE((Montageplatten[Randbedingungen]=$L$70)*(ROW(Montageplatten[Randbedingungen])-1),COUNTIF(Montageplatten[Randbedingungen],$L$70)+1-ROW(A8))),"-")</f>
        <v>3</v>
      </c>
      <c r="M78" s="21">
        <v>1</v>
      </c>
      <c r="N78" s="1087"/>
      <c r="P78" s="76">
        <f t="shared" ref="P78:P91" si="22">K46</f>
        <v>3.5</v>
      </c>
      <c r="Q78" s="71">
        <f t="shared" ref="Q78:Q91" si="23">($G$44-15-P78)*-1-Q$76</f>
        <v>14.5</v>
      </c>
      <c r="R78" s="783">
        <f t="shared" ref="R78:R91" si="24">IFERROR(VLOOKUP(Q78,$L$71:$M$114,2,FALSE),0)</f>
        <v>0</v>
      </c>
      <c r="S78" s="71">
        <f t="shared" ref="S78:S91" si="25">($G$44-15-P78)*-1-S$76</f>
        <v>17.5</v>
      </c>
      <c r="T78" s="783">
        <f t="shared" ref="T78:T91" si="26">IFERROR(VLOOKUP(S78,$L$71:$M$114,2,FALSE),0)</f>
        <v>0</v>
      </c>
      <c r="U78" s="71">
        <f t="shared" ref="U78:U91" si="27">($G$44-15-P78)*-1-U$76</f>
        <v>8</v>
      </c>
      <c r="V78" s="783">
        <f t="shared" ref="V78:V91" si="28">IFERROR(VLOOKUP(U78,$L$71:$M$114,2,FALSE),0)</f>
        <v>1</v>
      </c>
      <c r="W78" s="71">
        <f t="shared" ref="W78:W91" si="29">($G$44-15-P78)*-1-W$76</f>
        <v>-1.5</v>
      </c>
      <c r="X78" s="783">
        <f t="shared" ref="X78:X91" si="30">IFERROR(VLOOKUP(W78,$L$71:$M$114,2,FALSE),0)</f>
        <v>0</v>
      </c>
      <c r="Z78" s="170">
        <f t="shared" si="21"/>
        <v>1</v>
      </c>
      <c r="AD78">
        <v>1</v>
      </c>
      <c r="AE78">
        <v>1</v>
      </c>
      <c r="AF78">
        <v>1</v>
      </c>
      <c r="AG78">
        <v>1</v>
      </c>
      <c r="AH78" s="801"/>
      <c r="AI78" s="827"/>
    </row>
    <row r="79" spans="1:41" hidden="1" outlineLevel="1" x14ac:dyDescent="0.25">
      <c r="A79" s="925"/>
      <c r="B79" s="266">
        <f t="shared" si="16"/>
        <v>20.5</v>
      </c>
      <c r="C79" s="351">
        <f t="shared" si="17"/>
        <v>0</v>
      </c>
      <c r="D79" s="52">
        <f t="shared" si="18"/>
        <v>23.5</v>
      </c>
      <c r="E79" s="351">
        <f t="shared" si="13"/>
        <v>0</v>
      </c>
      <c r="F79" s="52">
        <f t="shared" si="19"/>
        <v>14</v>
      </c>
      <c r="G79" s="351">
        <f t="shared" si="14"/>
        <v>1</v>
      </c>
      <c r="H79" s="52">
        <f t="shared" si="20"/>
        <v>4.5</v>
      </c>
      <c r="I79" s="351">
        <f t="shared" si="15"/>
        <v>0</v>
      </c>
      <c r="J79">
        <v>-4.5</v>
      </c>
      <c r="L79" s="21">
        <f t="array" ref="L79">IFERROR(INDEX(Montageplatten[Höhe],LARGE((Montageplatten[Randbedingungen]=$L$70)*(ROW(Montageplatten[Randbedingungen])-1),COUNTIF(Montageplatten[Randbedingungen],$L$70)+1-ROW(A9))),"-")</f>
        <v>3</v>
      </c>
      <c r="M79" s="21">
        <v>1</v>
      </c>
      <c r="N79" s="1087"/>
      <c r="P79" s="76">
        <f t="shared" si="22"/>
        <v>4</v>
      </c>
      <c r="Q79" s="71">
        <f t="shared" si="23"/>
        <v>15</v>
      </c>
      <c r="R79" s="783">
        <f t="shared" si="24"/>
        <v>1</v>
      </c>
      <c r="S79" s="71">
        <f t="shared" si="25"/>
        <v>18</v>
      </c>
      <c r="T79" s="783">
        <f t="shared" si="26"/>
        <v>0</v>
      </c>
      <c r="U79" s="71">
        <f>($G$44-15-P79)*-1-U$76</f>
        <v>8.5</v>
      </c>
      <c r="V79" s="783">
        <f t="shared" si="28"/>
        <v>0</v>
      </c>
      <c r="W79" s="71">
        <f t="shared" si="29"/>
        <v>-1</v>
      </c>
      <c r="X79" s="783">
        <f t="shared" si="30"/>
        <v>0</v>
      </c>
      <c r="Z79" s="170">
        <f t="shared" si="21"/>
        <v>1</v>
      </c>
      <c r="AD79" t="str">
        <f>AD77</f>
        <v>Kreuz</v>
      </c>
      <c r="AE79" s="782" t="str">
        <f>AE77</f>
        <v>MPH_Standard</v>
      </c>
      <c r="AF79" t="s">
        <v>728</v>
      </c>
      <c r="AG79" t="str">
        <f>AG77</f>
        <v>37/32</v>
      </c>
      <c r="AH79" s="801">
        <f>DCOUNT(Montageplatten[[#Headers],[#Data],[Typ]:[Höhe]],Montageplatten[[#Headers],[Höhe]],select!AD79:AG80)</f>
        <v>4</v>
      </c>
      <c r="AI79" s="827">
        <f t="shared" ref="AI79" si="31">IF(AH79&gt;0,1,0)</f>
        <v>1</v>
      </c>
      <c r="AJ79">
        <v>2</v>
      </c>
      <c r="AK79" s="40" t="str">
        <f ca="1">IF(AI79=1,ja&amp;" "&amp;AL79,nein&amp;" "&amp;AL79)</f>
        <v>✓ Zum Anschrauben mit Holzschrauben</v>
      </c>
      <c r="AL79" t="str">
        <f ca="1">Sprache!$A$64</f>
        <v>Zum Anschrauben mit Holzschrauben</v>
      </c>
      <c r="AO79" s="40">
        <f>IF(SUM(AI79:AI81)&gt;0,1,0)</f>
        <v>1</v>
      </c>
    </row>
    <row r="80" spans="1:41" hidden="1" outlineLevel="1" x14ac:dyDescent="0.25">
      <c r="A80" s="925"/>
      <c r="B80" s="266">
        <f t="shared" si="16"/>
        <v>21</v>
      </c>
      <c r="C80" s="351">
        <f t="shared" si="17"/>
        <v>1</v>
      </c>
      <c r="D80" s="52">
        <f t="shared" si="18"/>
        <v>24</v>
      </c>
      <c r="E80" s="351">
        <f t="shared" si="13"/>
        <v>0</v>
      </c>
      <c r="F80" s="52">
        <f t="shared" si="19"/>
        <v>14.5</v>
      </c>
      <c r="G80" s="351">
        <f t="shared" si="14"/>
        <v>0</v>
      </c>
      <c r="H80" s="52">
        <f t="shared" si="20"/>
        <v>5</v>
      </c>
      <c r="I80" s="351">
        <f t="shared" si="15"/>
        <v>0</v>
      </c>
      <c r="J80">
        <v>-5</v>
      </c>
      <c r="L80" s="21">
        <f t="array" ref="L80">IFERROR(INDEX(Montageplatten[Höhe],LARGE((Montageplatten[Randbedingungen]=$L$70)*(ROW(Montageplatten[Randbedingungen])-1),COUNTIF(Montageplatten[Randbedingungen],$L$70)+1-ROW(A10))),"-")</f>
        <v>3</v>
      </c>
      <c r="M80" s="21">
        <v>1</v>
      </c>
      <c r="N80" s="1087"/>
      <c r="P80" s="76">
        <f t="shared" si="22"/>
        <v>4.5</v>
      </c>
      <c r="Q80" s="71">
        <f t="shared" si="23"/>
        <v>15.5</v>
      </c>
      <c r="R80" s="783">
        <f t="shared" si="24"/>
        <v>1</v>
      </c>
      <c r="S80" s="71">
        <f t="shared" si="25"/>
        <v>18.5</v>
      </c>
      <c r="T80" s="783">
        <f t="shared" si="26"/>
        <v>0</v>
      </c>
      <c r="U80" s="71">
        <f t="shared" si="27"/>
        <v>9</v>
      </c>
      <c r="V80" s="783">
        <f t="shared" si="28"/>
        <v>1</v>
      </c>
      <c r="W80" s="71">
        <f t="shared" si="29"/>
        <v>-0.5</v>
      </c>
      <c r="X80" s="783">
        <f t="shared" si="30"/>
        <v>0</v>
      </c>
      <c r="Z80" s="170">
        <f t="shared" si="21"/>
        <v>1</v>
      </c>
      <c r="AD80">
        <v>1</v>
      </c>
      <c r="AE80">
        <v>1</v>
      </c>
      <c r="AF80">
        <v>1</v>
      </c>
      <c r="AG80">
        <v>1</v>
      </c>
      <c r="AH80" s="801"/>
      <c r="AI80" s="827"/>
    </row>
    <row r="81" spans="1:41" hidden="1" outlineLevel="1" x14ac:dyDescent="0.25">
      <c r="A81" s="925"/>
      <c r="B81" s="266">
        <f t="shared" si="16"/>
        <v>21.5</v>
      </c>
      <c r="C81" s="351">
        <f t="shared" si="17"/>
        <v>0</v>
      </c>
      <c r="D81" s="52">
        <f t="shared" si="18"/>
        <v>24.5</v>
      </c>
      <c r="E81" s="351">
        <f t="shared" si="13"/>
        <v>0</v>
      </c>
      <c r="F81" s="52">
        <f t="shared" si="19"/>
        <v>15</v>
      </c>
      <c r="G81" s="351">
        <f t="shared" si="14"/>
        <v>1</v>
      </c>
      <c r="H81" s="52">
        <f t="shared" si="20"/>
        <v>5.5</v>
      </c>
      <c r="I81" s="351">
        <f t="shared" si="15"/>
        <v>0</v>
      </c>
      <c r="J81">
        <v>-5.5</v>
      </c>
      <c r="L81" s="21">
        <f t="array" ref="L81">IFERROR(INDEX(Montageplatten[Höhe],LARGE((Montageplatten[Randbedingungen]=$L$70)*(ROW(Montageplatten[Randbedingungen])-1),COUNTIF(Montageplatten[Randbedingungen],$L$70)+1-ROW(A11))),"-")</f>
        <v>3.5</v>
      </c>
      <c r="M81" s="21">
        <v>1</v>
      </c>
      <c r="N81" s="1087"/>
      <c r="P81" s="76">
        <f t="shared" si="22"/>
        <v>5</v>
      </c>
      <c r="Q81" s="71">
        <f t="shared" si="23"/>
        <v>16</v>
      </c>
      <c r="R81" s="783">
        <f t="shared" si="24"/>
        <v>0</v>
      </c>
      <c r="S81" s="71">
        <f t="shared" si="25"/>
        <v>19</v>
      </c>
      <c r="T81" s="783">
        <f t="shared" si="26"/>
        <v>1</v>
      </c>
      <c r="U81" s="71">
        <f t="shared" si="27"/>
        <v>9.5</v>
      </c>
      <c r="V81" s="783">
        <f t="shared" si="28"/>
        <v>1</v>
      </c>
      <c r="W81" s="71">
        <f t="shared" si="29"/>
        <v>0</v>
      </c>
      <c r="X81" s="783">
        <f t="shared" si="30"/>
        <v>1</v>
      </c>
      <c r="Z81" s="170">
        <f t="shared" si="21"/>
        <v>1</v>
      </c>
      <c r="AD81" t="str">
        <f>AD79</f>
        <v>Kreuz</v>
      </c>
      <c r="AE81" s="782" t="str">
        <f>AE79</f>
        <v>MPH_Standard</v>
      </c>
      <c r="AF81" t="s">
        <v>729</v>
      </c>
      <c r="AG81" t="str">
        <f>AG77</f>
        <v>37/32</v>
      </c>
      <c r="AH81" s="801">
        <f>DCOUNT(Montageplatten[[#Headers],[#Data],[Typ]:[Höhe]],Montageplatten[[#Headers],[Höhe]],select!AD81:AG82)</f>
        <v>1</v>
      </c>
      <c r="AI81" s="827">
        <f t="shared" ref="AI81" si="32">IF(AH81&gt;0,1,0)</f>
        <v>1</v>
      </c>
      <c r="AJ81">
        <v>3</v>
      </c>
      <c r="AK81" s="40" t="str">
        <f ca="1">IF(AI81=1,ja&amp;" "&amp;AL81,nein&amp;" "&amp;AL81)</f>
        <v>✓ Zum Anschrauben mit Euroschrauben</v>
      </c>
      <c r="AL81" t="str">
        <f ca="1">Sprache!$A$65</f>
        <v>Zum Anschrauben mit Euroschrauben</v>
      </c>
    </row>
    <row r="82" spans="1:41" hidden="1" outlineLevel="1" x14ac:dyDescent="0.25">
      <c r="A82" s="925"/>
      <c r="B82" s="266">
        <f t="shared" si="16"/>
        <v>22</v>
      </c>
      <c r="C82" s="351">
        <f t="shared" si="17"/>
        <v>0</v>
      </c>
      <c r="D82" s="52">
        <f t="shared" si="18"/>
        <v>25</v>
      </c>
      <c r="E82" s="351">
        <f t="shared" si="13"/>
        <v>0</v>
      </c>
      <c r="F82" s="52">
        <f t="shared" si="19"/>
        <v>15.5</v>
      </c>
      <c r="G82" s="351">
        <f t="shared" si="14"/>
        <v>1</v>
      </c>
      <c r="H82" s="52">
        <f t="shared" si="20"/>
        <v>6</v>
      </c>
      <c r="I82" s="351">
        <f t="shared" si="15"/>
        <v>1</v>
      </c>
      <c r="J82">
        <v>-6</v>
      </c>
      <c r="L82" s="21">
        <f t="array" ref="L82">IFERROR(INDEX(Montageplatten[Höhe],LARGE((Montageplatten[Randbedingungen]=$L$70)*(ROW(Montageplatten[Randbedingungen])-1),COUNTIF(Montageplatten[Randbedingungen],$L$70)+1-ROW(A12))),"-")</f>
        <v>3.5</v>
      </c>
      <c r="M82" s="21">
        <v>1</v>
      </c>
      <c r="N82" s="1087"/>
      <c r="P82" s="76">
        <f t="shared" si="22"/>
        <v>5.5</v>
      </c>
      <c r="Q82" s="71">
        <f t="shared" si="23"/>
        <v>16.5</v>
      </c>
      <c r="R82" s="783">
        <f t="shared" si="24"/>
        <v>0</v>
      </c>
      <c r="S82" s="71">
        <f t="shared" si="25"/>
        <v>19.5</v>
      </c>
      <c r="T82" s="783">
        <f t="shared" si="26"/>
        <v>0</v>
      </c>
      <c r="U82" s="71">
        <f t="shared" si="27"/>
        <v>10</v>
      </c>
      <c r="V82" s="783">
        <f t="shared" si="28"/>
        <v>0</v>
      </c>
      <c r="W82" s="71">
        <f t="shared" si="29"/>
        <v>0.5</v>
      </c>
      <c r="X82" s="783">
        <f t="shared" si="30"/>
        <v>0</v>
      </c>
      <c r="Z82" s="170">
        <f t="shared" si="21"/>
        <v>0</v>
      </c>
      <c r="AD82">
        <v>1</v>
      </c>
      <c r="AE82">
        <v>1</v>
      </c>
      <c r="AF82">
        <v>1</v>
      </c>
      <c r="AG82">
        <v>1</v>
      </c>
      <c r="AH82" s="801"/>
      <c r="AI82" s="827"/>
    </row>
    <row r="83" spans="1:41" hidden="1" outlineLevel="1" x14ac:dyDescent="0.25">
      <c r="A83" s="925"/>
      <c r="B83" s="266">
        <f t="shared" si="16"/>
        <v>22.5</v>
      </c>
      <c r="C83" s="351">
        <f t="shared" si="17"/>
        <v>0</v>
      </c>
      <c r="D83" s="52">
        <f t="shared" si="18"/>
        <v>25.5</v>
      </c>
      <c r="E83" s="351">
        <f t="shared" si="13"/>
        <v>0</v>
      </c>
      <c r="F83" s="52">
        <f t="shared" si="19"/>
        <v>16</v>
      </c>
      <c r="G83" s="351">
        <f t="shared" si="14"/>
        <v>0</v>
      </c>
      <c r="H83" s="52">
        <f t="shared" si="20"/>
        <v>6.5</v>
      </c>
      <c r="I83" s="351">
        <f t="shared" si="15"/>
        <v>0</v>
      </c>
      <c r="J83">
        <v>-6.5</v>
      </c>
      <c r="L83" s="21">
        <f t="array" ref="L83">IFERROR(INDEX(Montageplatten[Höhe],LARGE((Montageplatten[Randbedingungen]=$L$70)*(ROW(Montageplatten[Randbedingungen])-1),COUNTIF(Montageplatten[Randbedingungen],$L$70)+1-ROW(A13))),"-")</f>
        <v>3.5</v>
      </c>
      <c r="M83" s="21">
        <v>1</v>
      </c>
      <c r="N83" s="1087"/>
      <c r="P83" s="76">
        <f t="shared" si="22"/>
        <v>6</v>
      </c>
      <c r="Q83" s="71">
        <f t="shared" si="23"/>
        <v>17</v>
      </c>
      <c r="R83" s="783">
        <f t="shared" si="24"/>
        <v>0</v>
      </c>
      <c r="S83" s="71">
        <f t="shared" si="25"/>
        <v>20</v>
      </c>
      <c r="T83" s="783">
        <f t="shared" si="26"/>
        <v>0</v>
      </c>
      <c r="U83" s="71">
        <f t="shared" si="27"/>
        <v>10.5</v>
      </c>
      <c r="V83" s="783">
        <f t="shared" si="28"/>
        <v>0</v>
      </c>
      <c r="W83" s="71">
        <f t="shared" si="29"/>
        <v>1</v>
      </c>
      <c r="X83" s="783">
        <f t="shared" si="30"/>
        <v>0</v>
      </c>
      <c r="Z83" s="170">
        <f t="shared" si="21"/>
        <v>0</v>
      </c>
      <c r="AD83" t="str">
        <f>AD81</f>
        <v>Kreuz</v>
      </c>
      <c r="AE83" s="782" t="str">
        <f>AE81</f>
        <v>MPH_Standard</v>
      </c>
      <c r="AF83" t="s">
        <v>730</v>
      </c>
      <c r="AG83" t="str">
        <f>AG77</f>
        <v>37/32</v>
      </c>
      <c r="AH83" s="801">
        <f>DCOUNT(Montageplatten[[#Headers],[#Data],[Typ]:[Höhe]],Montageplatten[[#Headers],[Höhe]],select!AD83:AG84)</f>
        <v>5</v>
      </c>
      <c r="AI83" s="827">
        <f t="shared" ref="AI83" si="33">IF(AH83&gt;0,1,0)</f>
        <v>1</v>
      </c>
      <c r="AJ83">
        <v>4</v>
      </c>
      <c r="AK83" s="40" t="str">
        <f ca="1">IF(AI83=1,ja&amp;" "&amp;AL83,nein&amp;" "&amp;AL83)</f>
        <v>✓ vormontierte Euroschrauben [13,5]</v>
      </c>
      <c r="AL83" t="str">
        <f ca="1">Sprache!$A$67</f>
        <v>vormontierte Euroschrauben [13,5]</v>
      </c>
      <c r="AO83" s="40">
        <f>IF(SUM(AI83:AI85)&gt;0,1,0)</f>
        <v>1</v>
      </c>
    </row>
    <row r="84" spans="1:41" hidden="1" outlineLevel="1" x14ac:dyDescent="0.25">
      <c r="A84" s="925"/>
      <c r="B84" s="266">
        <f t="shared" si="16"/>
        <v>23</v>
      </c>
      <c r="C84" s="351">
        <f t="shared" si="17"/>
        <v>0</v>
      </c>
      <c r="D84" s="52">
        <f t="shared" si="18"/>
        <v>26</v>
      </c>
      <c r="E84" s="351">
        <f t="shared" si="13"/>
        <v>0</v>
      </c>
      <c r="F84" s="52">
        <f t="shared" si="19"/>
        <v>16.5</v>
      </c>
      <c r="G84" s="351">
        <f t="shared" si="14"/>
        <v>0</v>
      </c>
      <c r="H84" s="52">
        <f t="shared" si="20"/>
        <v>7</v>
      </c>
      <c r="I84" s="351">
        <f t="shared" si="15"/>
        <v>0</v>
      </c>
      <c r="J84">
        <v>-7</v>
      </c>
      <c r="L84" s="21">
        <f t="array" ref="L84">IFERROR(INDEX(Montageplatten[Höhe],LARGE((Montageplatten[Randbedingungen]=$L$70)*(ROW(Montageplatten[Randbedingungen])-1),COUNTIF(Montageplatten[Randbedingungen],$L$70)+1-ROW(A14))),"-")</f>
        <v>6</v>
      </c>
      <c r="M84" s="21">
        <v>1</v>
      </c>
      <c r="N84" s="1087"/>
      <c r="P84" s="76">
        <f t="shared" si="22"/>
        <v>6.5</v>
      </c>
      <c r="Q84" s="71">
        <f t="shared" si="23"/>
        <v>17.5</v>
      </c>
      <c r="R84" s="783">
        <f t="shared" si="24"/>
        <v>0</v>
      </c>
      <c r="S84" s="71">
        <f t="shared" si="25"/>
        <v>20.5</v>
      </c>
      <c r="T84" s="783">
        <f t="shared" si="26"/>
        <v>0</v>
      </c>
      <c r="U84" s="71">
        <f t="shared" si="27"/>
        <v>11</v>
      </c>
      <c r="V84" s="783">
        <f t="shared" si="28"/>
        <v>0</v>
      </c>
      <c r="W84" s="71">
        <f t="shared" si="29"/>
        <v>1.5</v>
      </c>
      <c r="X84" s="783">
        <f t="shared" si="30"/>
        <v>0</v>
      </c>
      <c r="Z84" s="170">
        <f t="shared" si="21"/>
        <v>0</v>
      </c>
      <c r="AD84">
        <v>1</v>
      </c>
      <c r="AE84">
        <v>1</v>
      </c>
      <c r="AF84">
        <v>1</v>
      </c>
      <c r="AG84">
        <v>1</v>
      </c>
      <c r="AH84" s="801"/>
      <c r="AI84" s="827"/>
    </row>
    <row r="85" spans="1:41" hidden="1" outlineLevel="1" x14ac:dyDescent="0.25">
      <c r="A85" s="925"/>
      <c r="B85" s="266">
        <f t="shared" si="16"/>
        <v>23.5</v>
      </c>
      <c r="C85" s="351">
        <f t="shared" si="17"/>
        <v>0</v>
      </c>
      <c r="D85" s="52">
        <f t="shared" si="18"/>
        <v>26.5</v>
      </c>
      <c r="E85" s="351">
        <f t="shared" si="13"/>
        <v>0</v>
      </c>
      <c r="F85" s="52">
        <f t="shared" si="19"/>
        <v>17</v>
      </c>
      <c r="G85" s="351">
        <f t="shared" si="14"/>
        <v>0</v>
      </c>
      <c r="H85" s="52">
        <f t="shared" si="20"/>
        <v>7.5</v>
      </c>
      <c r="I85" s="351">
        <f t="shared" si="15"/>
        <v>0</v>
      </c>
      <c r="J85">
        <v>-7.5</v>
      </c>
      <c r="L85" s="21">
        <f t="array" ref="L85">IFERROR(INDEX(Montageplatten[Höhe],LARGE((Montageplatten[Randbedingungen]=$L$70)*(ROW(Montageplatten[Randbedingungen])-1),COUNTIF(Montageplatten[Randbedingungen],$L$70)+1-ROW(A15))),"-")</f>
        <v>8</v>
      </c>
      <c r="M85" s="21">
        <v>1</v>
      </c>
      <c r="N85" s="1087"/>
      <c r="P85" s="76">
        <f t="shared" si="22"/>
        <v>7</v>
      </c>
      <c r="Q85" s="71">
        <f t="shared" si="23"/>
        <v>18</v>
      </c>
      <c r="R85" s="783">
        <f t="shared" si="24"/>
        <v>0</v>
      </c>
      <c r="S85" s="71">
        <f t="shared" si="25"/>
        <v>21</v>
      </c>
      <c r="T85" s="783">
        <f t="shared" si="26"/>
        <v>1</v>
      </c>
      <c r="U85" s="71">
        <f t="shared" si="27"/>
        <v>11.5</v>
      </c>
      <c r="V85" s="783">
        <f t="shared" si="28"/>
        <v>0</v>
      </c>
      <c r="W85" s="71">
        <f t="shared" si="29"/>
        <v>2</v>
      </c>
      <c r="X85" s="783">
        <f t="shared" si="30"/>
        <v>1</v>
      </c>
      <c r="Z85" s="170">
        <f t="shared" si="21"/>
        <v>1</v>
      </c>
      <c r="AD85" t="str">
        <f>AD83</f>
        <v>Kreuz</v>
      </c>
      <c r="AE85" s="782" t="str">
        <f>AE83</f>
        <v>MPH_Standard</v>
      </c>
      <c r="AF85" t="s">
        <v>731</v>
      </c>
      <c r="AG85" t="str">
        <f>AG77</f>
        <v>37/32</v>
      </c>
      <c r="AH85" s="801">
        <f>DCOUNT(Montageplatten[[#Headers],[#Data],[Typ]:[Höhe]],Montageplatten[[#Headers],[Höhe]],select!AD85:AG86)</f>
        <v>2</v>
      </c>
      <c r="AI85" s="827">
        <f>IF(AH85&gt;0,1,0)</f>
        <v>1</v>
      </c>
      <c r="AJ85">
        <v>5</v>
      </c>
      <c r="AK85" s="40" t="str">
        <f ca="1">IF(AI85=1,ja&amp;" "&amp;AL85,nein&amp;" "&amp;AL85)</f>
        <v>✓ vormontierte Euroschrauben [10,5]</v>
      </c>
      <c r="AL85" t="str">
        <f ca="1">Sprache!$A$68</f>
        <v>vormontierte Euroschrauben [10,5]</v>
      </c>
    </row>
    <row r="86" spans="1:41" hidden="1" outlineLevel="1" x14ac:dyDescent="0.25">
      <c r="A86" s="925"/>
      <c r="B86" s="266">
        <f t="shared" si="16"/>
        <v>24</v>
      </c>
      <c r="C86" s="351">
        <f t="shared" si="17"/>
        <v>0</v>
      </c>
      <c r="D86" s="52">
        <f t="shared" si="18"/>
        <v>27</v>
      </c>
      <c r="E86" s="351">
        <f t="shared" si="13"/>
        <v>0</v>
      </c>
      <c r="F86" s="52">
        <f t="shared" si="19"/>
        <v>17.5</v>
      </c>
      <c r="G86" s="351">
        <f t="shared" si="14"/>
        <v>0</v>
      </c>
      <c r="H86" s="52">
        <f t="shared" si="20"/>
        <v>8</v>
      </c>
      <c r="I86" s="351">
        <f t="shared" si="15"/>
        <v>1</v>
      </c>
      <c r="J86">
        <v>-8</v>
      </c>
      <c r="L86" s="21">
        <f t="array" ref="L86">IFERROR(INDEX(Montageplatten[Höhe],LARGE((Montageplatten[Randbedingungen]=$L$70)*(ROW(Montageplatten[Randbedingungen])-1),COUNTIF(Montageplatten[Randbedingungen],$L$70)+1-ROW(A16))),"-")</f>
        <v>9</v>
      </c>
      <c r="M86" s="21">
        <v>1</v>
      </c>
      <c r="N86" s="1087"/>
      <c r="P86" s="76" t="str">
        <f t="shared" si="22"/>
        <v/>
      </c>
      <c r="Q86" s="71" t="e">
        <f t="shared" si="23"/>
        <v>#VALUE!</v>
      </c>
      <c r="R86" s="783">
        <f t="shared" si="24"/>
        <v>0</v>
      </c>
      <c r="S86" s="71" t="e">
        <f t="shared" si="25"/>
        <v>#VALUE!</v>
      </c>
      <c r="T86" s="783">
        <f t="shared" si="26"/>
        <v>0</v>
      </c>
      <c r="U86" s="71" t="e">
        <f t="shared" si="27"/>
        <v>#VALUE!</v>
      </c>
      <c r="V86" s="783">
        <f t="shared" si="28"/>
        <v>0</v>
      </c>
      <c r="W86" s="71" t="e">
        <f t="shared" si="29"/>
        <v>#VALUE!</v>
      </c>
      <c r="X86" s="783">
        <f t="shared" si="30"/>
        <v>0</v>
      </c>
      <c r="Z86" s="170">
        <f t="shared" si="21"/>
        <v>0</v>
      </c>
      <c r="AD86">
        <v>1</v>
      </c>
      <c r="AE86">
        <v>1</v>
      </c>
      <c r="AF86">
        <v>1</v>
      </c>
      <c r="AG86">
        <v>1</v>
      </c>
      <c r="AI86" s="828"/>
    </row>
    <row r="87" spans="1:41" hidden="1" outlineLevel="1" x14ac:dyDescent="0.25">
      <c r="A87" s="925"/>
      <c r="B87" s="266">
        <f t="shared" si="16"/>
        <v>24.5</v>
      </c>
      <c r="C87" s="351">
        <f t="shared" si="17"/>
        <v>0</v>
      </c>
      <c r="D87" s="52">
        <f t="shared" si="18"/>
        <v>27.5</v>
      </c>
      <c r="E87" s="351">
        <f t="shared" si="13"/>
        <v>0</v>
      </c>
      <c r="F87" s="52">
        <f t="shared" si="19"/>
        <v>18</v>
      </c>
      <c r="G87" s="351">
        <f t="shared" si="14"/>
        <v>0</v>
      </c>
      <c r="H87" s="52">
        <f t="shared" si="20"/>
        <v>8.5</v>
      </c>
      <c r="I87" s="351">
        <f t="shared" si="15"/>
        <v>0</v>
      </c>
      <c r="J87">
        <v>-8.5</v>
      </c>
      <c r="L87" s="21">
        <f t="array" ref="L87">IFERROR(INDEX(Montageplatten[Höhe],LARGE((Montageplatten[Randbedingungen]=$L$70)*(ROW(Montageplatten[Randbedingungen])-1),COUNTIF(Montageplatten[Randbedingungen],$L$70)+1-ROW(A17))),"-")</f>
        <v>9.5</v>
      </c>
      <c r="M87" s="21">
        <v>1</v>
      </c>
      <c r="N87" s="1087"/>
      <c r="P87" s="76" t="str">
        <f t="shared" si="22"/>
        <v/>
      </c>
      <c r="Q87" s="71" t="e">
        <f t="shared" si="23"/>
        <v>#VALUE!</v>
      </c>
      <c r="R87" s="783">
        <f t="shared" si="24"/>
        <v>0</v>
      </c>
      <c r="S87" s="71" t="e">
        <f t="shared" si="25"/>
        <v>#VALUE!</v>
      </c>
      <c r="T87" s="783">
        <f t="shared" si="26"/>
        <v>0</v>
      </c>
      <c r="U87" s="71" t="e">
        <f t="shared" si="27"/>
        <v>#VALUE!</v>
      </c>
      <c r="V87" s="783">
        <f t="shared" si="28"/>
        <v>0</v>
      </c>
      <c r="W87" s="71" t="e">
        <f t="shared" si="29"/>
        <v>#VALUE!</v>
      </c>
      <c r="X87" s="783">
        <f t="shared" si="30"/>
        <v>0</v>
      </c>
      <c r="Z87" s="170">
        <f t="shared" si="21"/>
        <v>0</v>
      </c>
      <c r="AD87" t="str">
        <f>AD85</f>
        <v>Kreuz</v>
      </c>
      <c r="AE87" t="str">
        <f>AE85</f>
        <v>MPH_Standard</v>
      </c>
      <c r="AF87" t="s">
        <v>2312</v>
      </c>
      <c r="AG87" t="str">
        <f>AG77</f>
        <v>37/32</v>
      </c>
      <c r="AH87" s="853">
        <f>DCOUNT(Montageplatten[[#Headers],[#Data],[Typ]:[Höhe]],Montageplatten[[#Headers],[Höhe]],select!AD87:AG88)</f>
        <v>2</v>
      </c>
      <c r="AI87" s="827">
        <f>IF(AH87&gt;0,1,0)</f>
        <v>1</v>
      </c>
      <c r="AJ87">
        <v>6</v>
      </c>
      <c r="AK87" s="40" t="str">
        <f ca="1">IF(AI87=1,ja&amp;" "&amp;AL87,nein&amp;" "&amp;AL87)</f>
        <v>✓ Spreizdübel 11 mm</v>
      </c>
      <c r="AL87" t="str">
        <f ca="1">Sprache!$A$69</f>
        <v>Spreizdübel 11 mm</v>
      </c>
      <c r="AO87" s="40">
        <f>IF(SUM(AI87:AI89)&gt;0,1,0)</f>
        <v>1</v>
      </c>
    </row>
    <row r="88" spans="1:41" hidden="1" outlineLevel="1" x14ac:dyDescent="0.25">
      <c r="A88" s="925"/>
      <c r="B88" s="266">
        <f t="shared" si="16"/>
        <v>25</v>
      </c>
      <c r="C88" s="351">
        <f t="shared" si="17"/>
        <v>0</v>
      </c>
      <c r="D88" s="52">
        <f t="shared" si="18"/>
        <v>28</v>
      </c>
      <c r="E88" s="351">
        <f t="shared" si="13"/>
        <v>0</v>
      </c>
      <c r="F88" s="52">
        <f t="shared" si="19"/>
        <v>18.5</v>
      </c>
      <c r="G88" s="351">
        <f t="shared" si="14"/>
        <v>0</v>
      </c>
      <c r="H88" s="52">
        <f t="shared" si="20"/>
        <v>9</v>
      </c>
      <c r="I88" s="351">
        <f t="shared" si="15"/>
        <v>1</v>
      </c>
      <c r="J88">
        <v>-9</v>
      </c>
      <c r="L88" s="21">
        <f t="array" ref="L88">IFERROR(INDEX(Montageplatten[Höhe],LARGE((Montageplatten[Randbedingungen]=$L$70)*(ROW(Montageplatten[Randbedingungen])-1),COUNTIF(Montageplatten[Randbedingungen],$L$70)+1-ROW(A18))),"-")</f>
        <v>12</v>
      </c>
      <c r="M88" s="21">
        <v>1</v>
      </c>
      <c r="N88" s="1087"/>
      <c r="P88" s="76" t="str">
        <f t="shared" si="22"/>
        <v/>
      </c>
      <c r="Q88" s="71" t="e">
        <f t="shared" si="23"/>
        <v>#VALUE!</v>
      </c>
      <c r="R88" s="783">
        <f t="shared" si="24"/>
        <v>0</v>
      </c>
      <c r="S88" s="71" t="e">
        <f t="shared" si="25"/>
        <v>#VALUE!</v>
      </c>
      <c r="T88" s="783">
        <f t="shared" si="26"/>
        <v>0</v>
      </c>
      <c r="U88" s="71" t="e">
        <f t="shared" si="27"/>
        <v>#VALUE!</v>
      </c>
      <c r="V88" s="783">
        <f t="shared" si="28"/>
        <v>0</v>
      </c>
      <c r="W88" s="71" t="e">
        <f t="shared" si="29"/>
        <v>#VALUE!</v>
      </c>
      <c r="X88" s="783">
        <f t="shared" si="30"/>
        <v>0</v>
      </c>
      <c r="Z88" s="170">
        <f t="shared" si="21"/>
        <v>0</v>
      </c>
      <c r="AD88">
        <v>1</v>
      </c>
      <c r="AE88">
        <v>1</v>
      </c>
      <c r="AF88">
        <v>1</v>
      </c>
      <c r="AG88">
        <v>1</v>
      </c>
    </row>
    <row r="89" spans="1:41" hidden="1" outlineLevel="1" x14ac:dyDescent="0.25">
      <c r="A89" s="925"/>
      <c r="B89" s="266">
        <f t="shared" si="16"/>
        <v>25.5</v>
      </c>
      <c r="C89" s="351">
        <f t="shared" si="17"/>
        <v>0</v>
      </c>
      <c r="D89" s="52">
        <f t="shared" si="18"/>
        <v>28.5</v>
      </c>
      <c r="E89" s="351">
        <f t="shared" si="13"/>
        <v>0</v>
      </c>
      <c r="F89" s="52">
        <f t="shared" si="19"/>
        <v>19</v>
      </c>
      <c r="G89" s="351">
        <f t="shared" si="14"/>
        <v>1</v>
      </c>
      <c r="H89" s="52">
        <f t="shared" si="20"/>
        <v>9.5</v>
      </c>
      <c r="I89" s="351">
        <f t="shared" si="15"/>
        <v>1</v>
      </c>
      <c r="J89">
        <v>-9.5</v>
      </c>
      <c r="L89" s="21">
        <f t="array" ref="L89">IFERROR(INDEX(Montageplatten[Höhe],LARGE((Montageplatten[Randbedingungen]=$L$70)*(ROW(Montageplatten[Randbedingungen])-1),COUNTIF(Montageplatten[Randbedingungen],$L$70)+1-ROW(A19))),"-")</f>
        <v>14</v>
      </c>
      <c r="M89" s="21">
        <v>1</v>
      </c>
      <c r="N89" s="1087"/>
      <c r="P89" s="76" t="str">
        <f t="shared" si="22"/>
        <v/>
      </c>
      <c r="Q89" s="71" t="e">
        <f t="shared" si="23"/>
        <v>#VALUE!</v>
      </c>
      <c r="R89" s="783">
        <f t="shared" si="24"/>
        <v>0</v>
      </c>
      <c r="S89" s="71" t="e">
        <f t="shared" si="25"/>
        <v>#VALUE!</v>
      </c>
      <c r="T89" s="783">
        <f t="shared" si="26"/>
        <v>0</v>
      </c>
      <c r="U89" s="71" t="e">
        <f t="shared" si="27"/>
        <v>#VALUE!</v>
      </c>
      <c r="V89" s="783">
        <f t="shared" si="28"/>
        <v>0</v>
      </c>
      <c r="W89" s="71" t="e">
        <f t="shared" si="29"/>
        <v>#VALUE!</v>
      </c>
      <c r="X89" s="783">
        <f t="shared" si="30"/>
        <v>0</v>
      </c>
      <c r="Z89" s="170">
        <f t="shared" si="21"/>
        <v>0</v>
      </c>
      <c r="AD89" t="str">
        <f>AD87</f>
        <v>Kreuz</v>
      </c>
      <c r="AE89" t="str">
        <f>AE87</f>
        <v>MPH_Standard</v>
      </c>
      <c r="AF89" t="s">
        <v>2313</v>
      </c>
      <c r="AG89" t="str">
        <f>AG77</f>
        <v>37/32</v>
      </c>
      <c r="AH89" s="853">
        <f>DCOUNT(Montageplatten[[#Headers],[#Data],[Typ]:[Höhe]],Montageplatten[[#Headers],[Höhe]],select!AD89:AG90)</f>
        <v>2</v>
      </c>
      <c r="AI89" s="827">
        <f>IF(AH89&gt;0,1,0)</f>
        <v>1</v>
      </c>
      <c r="AJ89">
        <v>7</v>
      </c>
      <c r="AK89" s="40" t="str">
        <f ca="1">IF(AI89=1,ja&amp;" "&amp;AL89,nein&amp;" "&amp;AL89)</f>
        <v>✓ Zwillingsmontageplatte (Spreizdübel 7,5 mm)</v>
      </c>
      <c r="AL89" t="str">
        <f ca="1">Sprache!$A$70</f>
        <v>Zwillingsmontageplatte (Spreizdübel 7,5 mm)</v>
      </c>
    </row>
    <row r="90" spans="1:41" hidden="1" outlineLevel="1" x14ac:dyDescent="0.25">
      <c r="A90" s="925"/>
      <c r="B90" s="266">
        <f t="shared" si="16"/>
        <v>26</v>
      </c>
      <c r="C90" s="351">
        <f t="shared" ref="C90:C118" si="34">IFERROR(VLOOKUP(B90,$L$71:$M$114,2,FALSE),0)</f>
        <v>0</v>
      </c>
      <c r="D90" s="52">
        <f t="shared" si="18"/>
        <v>29</v>
      </c>
      <c r="E90" s="351">
        <f t="shared" ref="E90:E118" si="35">IFERROR(VLOOKUP(D90,$L$71:$M$114,2,FALSE),0)</f>
        <v>0</v>
      </c>
      <c r="F90" s="52">
        <f t="shared" si="19"/>
        <v>19.5</v>
      </c>
      <c r="G90" s="351">
        <f t="shared" ref="G90:G118" si="36">IFERROR(VLOOKUP(F90,$L$71:$M$114,2,FALSE),0)</f>
        <v>0</v>
      </c>
      <c r="H90" s="52">
        <f t="shared" si="20"/>
        <v>10</v>
      </c>
      <c r="I90" s="351">
        <f t="shared" ref="I90:I118" si="37">IFERROR(VLOOKUP(H90,$L$71:$M$114,2,FALSE),0)</f>
        <v>0</v>
      </c>
      <c r="J90">
        <v>-10</v>
      </c>
      <c r="L90" s="21">
        <f t="array" ref="L90">IFERROR(INDEX(Montageplatten[Höhe],LARGE((Montageplatten[Randbedingungen]=$L$70)*(ROW(Montageplatten[Randbedingungen])-1),COUNTIF(Montageplatten[Randbedingungen],$L$70)+1-ROW(A20))),"-")</f>
        <v>15</v>
      </c>
      <c r="M90" s="21">
        <v>1</v>
      </c>
      <c r="N90" s="1087"/>
      <c r="P90" s="76" t="str">
        <f t="shared" si="22"/>
        <v/>
      </c>
      <c r="Q90" s="71" t="e">
        <f t="shared" si="23"/>
        <v>#VALUE!</v>
      </c>
      <c r="R90" s="783">
        <f t="shared" si="24"/>
        <v>0</v>
      </c>
      <c r="S90" s="71" t="e">
        <f t="shared" si="25"/>
        <v>#VALUE!</v>
      </c>
      <c r="T90" s="783">
        <f t="shared" si="26"/>
        <v>0</v>
      </c>
      <c r="U90" s="71" t="e">
        <f t="shared" si="27"/>
        <v>#VALUE!</v>
      </c>
      <c r="V90" s="783">
        <f t="shared" si="28"/>
        <v>0</v>
      </c>
      <c r="W90" s="71" t="e">
        <f t="shared" si="29"/>
        <v>#VALUE!</v>
      </c>
      <c r="X90" s="783">
        <f t="shared" si="30"/>
        <v>0</v>
      </c>
      <c r="Z90" s="170">
        <f t="shared" si="21"/>
        <v>0</v>
      </c>
      <c r="AD90">
        <v>1</v>
      </c>
      <c r="AE90">
        <v>1</v>
      </c>
      <c r="AF90">
        <v>1</v>
      </c>
      <c r="AG90">
        <v>1</v>
      </c>
    </row>
    <row r="91" spans="1:41" hidden="1" outlineLevel="1" x14ac:dyDescent="0.25">
      <c r="A91" s="925"/>
      <c r="B91" s="266">
        <f t="shared" si="16"/>
        <v>26.5</v>
      </c>
      <c r="C91" s="351">
        <f t="shared" si="34"/>
        <v>0</v>
      </c>
      <c r="D91" s="52">
        <f t="shared" si="18"/>
        <v>29.5</v>
      </c>
      <c r="E91" s="351">
        <f t="shared" si="35"/>
        <v>0</v>
      </c>
      <c r="F91" s="52">
        <f t="shared" si="19"/>
        <v>20</v>
      </c>
      <c r="G91" s="351">
        <f t="shared" si="36"/>
        <v>0</v>
      </c>
      <c r="H91" s="52">
        <f t="shared" si="20"/>
        <v>10.5</v>
      </c>
      <c r="I91" s="351">
        <f t="shared" si="37"/>
        <v>0</v>
      </c>
      <c r="J91">
        <v>-10.5</v>
      </c>
      <c r="L91" s="21">
        <f t="array" ref="L91">IFERROR(INDEX(Montageplatten[Höhe],LARGE((Montageplatten[Randbedingungen]=$L$70)*(ROW(Montageplatten[Randbedingungen])-1),COUNTIF(Montageplatten[Randbedingungen],$L$70)+1-ROW(A21))),"-")</f>
        <v>15.5</v>
      </c>
      <c r="M91" s="21">
        <v>1</v>
      </c>
      <c r="N91" s="1087"/>
      <c r="P91" s="76" t="str">
        <f t="shared" si="22"/>
        <v/>
      </c>
      <c r="Q91" s="92" t="e">
        <f t="shared" si="23"/>
        <v>#VALUE!</v>
      </c>
      <c r="R91" s="784">
        <f t="shared" si="24"/>
        <v>0</v>
      </c>
      <c r="S91" s="92" t="e">
        <f t="shared" si="25"/>
        <v>#VALUE!</v>
      </c>
      <c r="T91" s="784">
        <f t="shared" si="26"/>
        <v>0</v>
      </c>
      <c r="U91" s="92" t="e">
        <f t="shared" si="27"/>
        <v>#VALUE!</v>
      </c>
      <c r="V91" s="784">
        <f t="shared" si="28"/>
        <v>0</v>
      </c>
      <c r="W91" s="92" t="e">
        <f t="shared" si="29"/>
        <v>#VALUE!</v>
      </c>
      <c r="X91" s="784">
        <f t="shared" si="30"/>
        <v>0</v>
      </c>
      <c r="Z91" s="129">
        <f>IF(X91+V91+T91+R91&gt;0,1,0)</f>
        <v>0</v>
      </c>
    </row>
    <row r="92" spans="1:41" hidden="1" outlineLevel="1" x14ac:dyDescent="0.25">
      <c r="A92" s="925"/>
      <c r="B92" s="266">
        <f t="shared" si="16"/>
        <v>27</v>
      </c>
      <c r="C92" s="351">
        <f t="shared" si="34"/>
        <v>0</v>
      </c>
      <c r="D92" s="52">
        <f t="shared" si="18"/>
        <v>30</v>
      </c>
      <c r="E92" s="351">
        <f t="shared" si="35"/>
        <v>0</v>
      </c>
      <c r="F92" s="52">
        <f t="shared" si="19"/>
        <v>20.5</v>
      </c>
      <c r="G92" s="351">
        <f t="shared" si="36"/>
        <v>0</v>
      </c>
      <c r="H92" s="52">
        <f t="shared" si="20"/>
        <v>11</v>
      </c>
      <c r="I92" s="351">
        <f t="shared" si="37"/>
        <v>0</v>
      </c>
      <c r="J92">
        <v>-11</v>
      </c>
      <c r="L92" s="21">
        <f t="array" ref="L92">IFERROR(INDEX(Montageplatten[Höhe],LARGE((Montageplatten[Randbedingungen]=$L$70)*(ROW(Montageplatten[Randbedingungen])-1),COUNTIF(Montageplatten[Randbedingungen],$L$70)+1-ROW(A22))),"-")</f>
        <v>19</v>
      </c>
      <c r="M92" s="21">
        <v>1</v>
      </c>
      <c r="N92" s="1087"/>
    </row>
    <row r="93" spans="1:41" hidden="1" outlineLevel="1" x14ac:dyDescent="0.25">
      <c r="A93" s="925"/>
      <c r="B93" s="266">
        <f t="shared" si="16"/>
        <v>27.5</v>
      </c>
      <c r="C93" s="351">
        <f t="shared" si="34"/>
        <v>0</v>
      </c>
      <c r="D93" s="52">
        <f t="shared" si="18"/>
        <v>30.5</v>
      </c>
      <c r="E93" s="351">
        <f t="shared" si="35"/>
        <v>0</v>
      </c>
      <c r="F93" s="52">
        <f t="shared" si="19"/>
        <v>21</v>
      </c>
      <c r="G93" s="351">
        <f t="shared" si="36"/>
        <v>1</v>
      </c>
      <c r="H93" s="52">
        <f t="shared" si="20"/>
        <v>11.5</v>
      </c>
      <c r="I93" s="351">
        <f t="shared" si="37"/>
        <v>0</v>
      </c>
      <c r="J93">
        <v>-11.5</v>
      </c>
      <c r="L93" s="21">
        <f t="array" ref="L93">IFERROR(INDEX(Montageplatten[Höhe],LARGE((Montageplatten[Randbedingungen]=$L$70)*(ROW(Montageplatten[Randbedingungen])-1),COUNTIF(Montageplatten[Randbedingungen],$L$70)+1-ROW(A23))),"-")</f>
        <v>21</v>
      </c>
      <c r="M93" s="21">
        <v>1</v>
      </c>
      <c r="N93" s="1087"/>
    </row>
    <row r="94" spans="1:41" hidden="1" outlineLevel="1" x14ac:dyDescent="0.25">
      <c r="A94" s="925"/>
      <c r="B94" s="266">
        <f t="shared" si="16"/>
        <v>28</v>
      </c>
      <c r="C94" s="351">
        <f t="shared" si="34"/>
        <v>0</v>
      </c>
      <c r="D94" s="52">
        <f t="shared" si="18"/>
        <v>31</v>
      </c>
      <c r="E94" s="351">
        <f t="shared" si="35"/>
        <v>0</v>
      </c>
      <c r="F94" s="52">
        <f t="shared" si="19"/>
        <v>21.5</v>
      </c>
      <c r="G94" s="351">
        <f t="shared" si="36"/>
        <v>0</v>
      </c>
      <c r="H94" s="52">
        <f t="shared" si="20"/>
        <v>12</v>
      </c>
      <c r="I94" s="351">
        <f t="shared" si="37"/>
        <v>1</v>
      </c>
      <c r="J94">
        <v>-12</v>
      </c>
      <c r="L94" s="21" t="str">
        <f t="array" ref="L94">IFERROR(INDEX(Montageplatten[Höhe],LARGE((Montageplatten[Randbedingungen]=$L$70)*(ROW(Montageplatten[Randbedingungen])-1),COUNTIF(Montageplatten[Randbedingungen],$L$70)+1-ROW(A24))),"-")</f>
        <v>-</v>
      </c>
      <c r="M94" s="21">
        <v>1</v>
      </c>
      <c r="N94" s="1087"/>
    </row>
    <row r="95" spans="1:41" hidden="1" outlineLevel="1" x14ac:dyDescent="0.25">
      <c r="A95" s="925"/>
      <c r="B95" s="266">
        <f t="shared" si="16"/>
        <v>28.5</v>
      </c>
      <c r="C95" s="351">
        <f t="shared" si="34"/>
        <v>0</v>
      </c>
      <c r="D95" s="52">
        <f t="shared" si="18"/>
        <v>31.5</v>
      </c>
      <c r="E95" s="351">
        <f t="shared" si="35"/>
        <v>0</v>
      </c>
      <c r="F95" s="52">
        <f t="shared" si="19"/>
        <v>22</v>
      </c>
      <c r="G95" s="351">
        <f t="shared" si="36"/>
        <v>0</v>
      </c>
      <c r="H95" s="52">
        <f t="shared" si="20"/>
        <v>12.5</v>
      </c>
      <c r="I95" s="351">
        <f t="shared" si="37"/>
        <v>0</v>
      </c>
      <c r="J95">
        <v>-12.5</v>
      </c>
      <c r="L95" s="21" t="str">
        <f t="array" ref="L95">IFERROR(INDEX(Montageplatten[Höhe],LARGE((Montageplatten[Randbedingungen]=$L$70)*(ROW(Montageplatten[Randbedingungen])-1),COUNTIF(Montageplatten[Randbedingungen],$L$70)+1-ROW(A25))),"-")</f>
        <v>-</v>
      </c>
      <c r="M95" s="21">
        <v>1</v>
      </c>
      <c r="N95" s="1087"/>
    </row>
    <row r="96" spans="1:41" hidden="1" outlineLevel="1" x14ac:dyDescent="0.25">
      <c r="A96" s="925"/>
      <c r="B96" s="266">
        <f t="shared" si="16"/>
        <v>29</v>
      </c>
      <c r="C96" s="351">
        <f t="shared" si="34"/>
        <v>0</v>
      </c>
      <c r="D96" s="52">
        <f t="shared" si="18"/>
        <v>32</v>
      </c>
      <c r="E96" s="351">
        <f t="shared" si="35"/>
        <v>0</v>
      </c>
      <c r="F96" s="52">
        <f t="shared" si="19"/>
        <v>22.5</v>
      </c>
      <c r="G96" s="351">
        <f t="shared" si="36"/>
        <v>0</v>
      </c>
      <c r="H96" s="52">
        <f t="shared" si="20"/>
        <v>13</v>
      </c>
      <c r="I96" s="351">
        <f t="shared" si="37"/>
        <v>0</v>
      </c>
      <c r="J96">
        <v>-13</v>
      </c>
      <c r="L96" s="21" t="str">
        <f t="array" ref="L96">IFERROR(INDEX(Montageplatten[Höhe],LARGE((Montageplatten[Randbedingungen]=$L$70)*(ROW(Montageplatten[Randbedingungen])-1),COUNTIF(Montageplatten[Randbedingungen],$L$70)+1-ROW(A26))),"-")</f>
        <v>-</v>
      </c>
      <c r="M96" s="21">
        <v>1</v>
      </c>
      <c r="N96" s="1087"/>
    </row>
    <row r="97" spans="1:40" hidden="1" outlineLevel="1" x14ac:dyDescent="0.25">
      <c r="A97" s="925"/>
      <c r="B97" s="266">
        <f t="shared" si="16"/>
        <v>29.5</v>
      </c>
      <c r="C97" s="351">
        <f t="shared" si="34"/>
        <v>0</v>
      </c>
      <c r="D97" s="52">
        <f t="shared" si="18"/>
        <v>32.5</v>
      </c>
      <c r="E97" s="351">
        <f t="shared" si="35"/>
        <v>0</v>
      </c>
      <c r="F97" s="52">
        <f t="shared" si="19"/>
        <v>23</v>
      </c>
      <c r="G97" s="351">
        <f t="shared" si="36"/>
        <v>0</v>
      </c>
      <c r="H97" s="52">
        <f t="shared" si="20"/>
        <v>13.5</v>
      </c>
      <c r="I97" s="351">
        <f t="shared" si="37"/>
        <v>0</v>
      </c>
      <c r="J97">
        <v>-13.5</v>
      </c>
      <c r="L97" s="21" t="str">
        <f t="array" ref="L97">IFERROR(INDEX(Montageplatten[Höhe],LARGE((Montageplatten[Randbedingungen]=$L$70)*(ROW(Montageplatten[Randbedingungen])-1),COUNTIF(Montageplatten[Randbedingungen],$L$70)+1-ROW(A27))),"-")</f>
        <v>-</v>
      </c>
      <c r="M97" s="21">
        <v>1</v>
      </c>
      <c r="N97" s="1087"/>
      <c r="AH97" t="s">
        <v>2189</v>
      </c>
      <c r="AI97" t="s">
        <v>2283</v>
      </c>
      <c r="AM97" s="826">
        <f>VLOOKUP(P56,AM98:AN105,2,FALSE)</f>
        <v>1</v>
      </c>
      <c r="AN97" t="s">
        <v>2282</v>
      </c>
    </row>
    <row r="98" spans="1:40" hidden="1" outlineLevel="1" x14ac:dyDescent="0.25">
      <c r="A98" s="925"/>
      <c r="B98" s="266">
        <f t="shared" si="16"/>
        <v>30</v>
      </c>
      <c r="C98" s="351">
        <f t="shared" si="34"/>
        <v>0</v>
      </c>
      <c r="D98" s="52">
        <f t="shared" si="18"/>
        <v>33</v>
      </c>
      <c r="E98" s="351">
        <f t="shared" si="35"/>
        <v>0</v>
      </c>
      <c r="F98" s="52">
        <f t="shared" si="19"/>
        <v>23.5</v>
      </c>
      <c r="G98" s="351">
        <f t="shared" si="36"/>
        <v>0</v>
      </c>
      <c r="H98" s="52">
        <f t="shared" si="20"/>
        <v>14</v>
      </c>
      <c r="I98" s="351">
        <f t="shared" si="37"/>
        <v>1</v>
      </c>
      <c r="J98">
        <v>-14</v>
      </c>
      <c r="L98" s="21" t="str">
        <f t="array" ref="L98">IFERROR(INDEX(Montageplatten[Höhe],LARGE((Montageplatten[Randbedingungen]=$L$70)*(ROW(Montageplatten[Randbedingungen])-1),COUNTIF(Montageplatten[Randbedingungen],$L$70)+1-ROW(A28))),"-")</f>
        <v>-</v>
      </c>
      <c r="M98" s="21">
        <v>1</v>
      </c>
      <c r="N98" s="1087"/>
      <c r="AD98" t="str">
        <f>AD85</f>
        <v>Kreuz</v>
      </c>
      <c r="AE98" s="782" t="str">
        <f>AE85</f>
        <v>MPH_Standard</v>
      </c>
      <c r="AF98" t="s">
        <v>40</v>
      </c>
      <c r="AH98">
        <f>DCOUNT(Montageplatten[[#Headers],[#Data],[Typ]:[Höhe]],Montageplatten[[#Headers],[Höhe]],select!AD98:AF99)</f>
        <v>18</v>
      </c>
      <c r="AI98" s="40">
        <f t="shared" ref="AI98" si="38">IF(AH98&gt;0,1,0)</f>
        <v>1</v>
      </c>
      <c r="AM98">
        <v>0</v>
      </c>
      <c r="AN98">
        <v>0</v>
      </c>
    </row>
    <row r="99" spans="1:40" hidden="1" outlineLevel="1" x14ac:dyDescent="0.25">
      <c r="A99" s="925"/>
      <c r="B99" s="266">
        <f t="shared" si="16"/>
        <v>30.5</v>
      </c>
      <c r="C99" s="351">
        <f t="shared" si="34"/>
        <v>0</v>
      </c>
      <c r="D99" s="52">
        <f t="shared" si="18"/>
        <v>33.5</v>
      </c>
      <c r="E99" s="351">
        <f t="shared" si="35"/>
        <v>0</v>
      </c>
      <c r="F99" s="52">
        <f t="shared" si="19"/>
        <v>24</v>
      </c>
      <c r="G99" s="351">
        <f t="shared" si="36"/>
        <v>0</v>
      </c>
      <c r="H99" s="52">
        <f t="shared" si="20"/>
        <v>14.5</v>
      </c>
      <c r="I99" s="351">
        <f t="shared" si="37"/>
        <v>0</v>
      </c>
      <c r="J99">
        <v>-14.5</v>
      </c>
      <c r="L99" s="21" t="str">
        <f t="array" ref="L99">IFERROR(INDEX(Montageplatten[Höhe],LARGE((Montageplatten[Randbedingungen]=$L$70)*(ROW(Montageplatten[Randbedingungen])-1),COUNTIF(Montageplatten[Randbedingungen],$L$70)+1-ROW(A29))),"-")</f>
        <v>-</v>
      </c>
      <c r="M99" s="21">
        <v>1</v>
      </c>
      <c r="N99" s="1087"/>
      <c r="AD99">
        <v>1</v>
      </c>
      <c r="AE99">
        <v>1</v>
      </c>
      <c r="AF99">
        <v>1</v>
      </c>
      <c r="AM99">
        <v>1</v>
      </c>
      <c r="AN99">
        <f>AI77</f>
        <v>1</v>
      </c>
    </row>
    <row r="100" spans="1:40" hidden="1" outlineLevel="1" x14ac:dyDescent="0.25">
      <c r="A100" s="925"/>
      <c r="B100" s="266">
        <f t="shared" si="16"/>
        <v>31</v>
      </c>
      <c r="C100" s="351">
        <f t="shared" si="34"/>
        <v>0</v>
      </c>
      <c r="D100" s="52">
        <f t="shared" si="18"/>
        <v>34</v>
      </c>
      <c r="E100" s="351">
        <f t="shared" si="35"/>
        <v>0</v>
      </c>
      <c r="F100" s="52">
        <f t="shared" si="19"/>
        <v>24.5</v>
      </c>
      <c r="G100" s="351">
        <f t="shared" si="36"/>
        <v>0</v>
      </c>
      <c r="H100" s="52">
        <f t="shared" si="20"/>
        <v>15</v>
      </c>
      <c r="I100" s="351">
        <f t="shared" si="37"/>
        <v>1</v>
      </c>
      <c r="J100">
        <v>-15</v>
      </c>
      <c r="L100" s="21" t="str">
        <f t="array" ref="L100">IFERROR(INDEX(Montageplatten[Höhe],LARGE((Montageplatten[Randbedingungen]=$L$70)*(ROW(Montageplatten[Randbedingungen])-1),COUNTIF(Montageplatten[Randbedingungen],$L$70)+1-ROW(A30))),"-")</f>
        <v>-</v>
      </c>
      <c r="M100" s="21">
        <v>1</v>
      </c>
      <c r="N100" s="1087"/>
      <c r="AD100" t="str">
        <f>AD98</f>
        <v>Kreuz</v>
      </c>
      <c r="AE100" s="782" t="str">
        <f>AE85</f>
        <v>MPH_Standard</v>
      </c>
      <c r="AF100" t="s">
        <v>41</v>
      </c>
      <c r="AH100">
        <f>DCOUNT(Montageplatten[[#Headers],[#Data],[Typ]:[Höhe]],Montageplatten[[#Headers],[Höhe]],select!AD100:AF101)</f>
        <v>4</v>
      </c>
      <c r="AI100" s="40">
        <f t="shared" ref="AI100" si="39">IF(AH100&gt;0,1,0)</f>
        <v>1</v>
      </c>
      <c r="AM100">
        <v>2</v>
      </c>
      <c r="AN100">
        <f>AI79</f>
        <v>1</v>
      </c>
    </row>
    <row r="101" spans="1:40" hidden="1" outlineLevel="1" x14ac:dyDescent="0.25">
      <c r="A101" s="925"/>
      <c r="B101" s="266">
        <f t="shared" si="16"/>
        <v>31.5</v>
      </c>
      <c r="C101" s="351">
        <f t="shared" si="34"/>
        <v>0</v>
      </c>
      <c r="D101" s="52">
        <f t="shared" si="18"/>
        <v>34.5</v>
      </c>
      <c r="E101" s="351">
        <f t="shared" si="35"/>
        <v>0</v>
      </c>
      <c r="F101" s="52">
        <f t="shared" si="19"/>
        <v>25</v>
      </c>
      <c r="G101" s="351">
        <f t="shared" si="36"/>
        <v>0</v>
      </c>
      <c r="H101" s="52">
        <f t="shared" si="20"/>
        <v>15.5</v>
      </c>
      <c r="I101" s="351">
        <f t="shared" si="37"/>
        <v>1</v>
      </c>
      <c r="J101">
        <v>-15.5</v>
      </c>
      <c r="L101" s="21" t="str">
        <f t="array" ref="L101">IFERROR(INDEX(Montageplatten[Höhe],LARGE((Montageplatten[Randbedingungen]=$L$70)*(ROW(Montageplatten[Randbedingungen])-1),COUNTIF(Montageplatten[Randbedingungen],$L$70)+1-ROW(A31))),"-")</f>
        <v>-</v>
      </c>
      <c r="M101" s="21">
        <v>1</v>
      </c>
      <c r="N101" s="1087"/>
      <c r="AD101">
        <v>1</v>
      </c>
      <c r="AE101">
        <v>1</v>
      </c>
      <c r="AF101">
        <v>1</v>
      </c>
      <c r="AM101">
        <v>3</v>
      </c>
      <c r="AN101">
        <f>AI81</f>
        <v>1</v>
      </c>
    </row>
    <row r="102" spans="1:40" hidden="1" outlineLevel="1" x14ac:dyDescent="0.25">
      <c r="A102" s="925"/>
      <c r="B102" s="266">
        <f t="shared" si="16"/>
        <v>32</v>
      </c>
      <c r="C102" s="351">
        <f t="shared" si="34"/>
        <v>0</v>
      </c>
      <c r="D102" s="52">
        <f t="shared" si="18"/>
        <v>35</v>
      </c>
      <c r="E102" s="351">
        <f t="shared" si="35"/>
        <v>0</v>
      </c>
      <c r="F102" s="52">
        <f t="shared" si="19"/>
        <v>25.5</v>
      </c>
      <c r="G102" s="351">
        <f t="shared" si="36"/>
        <v>0</v>
      </c>
      <c r="H102" s="52">
        <f t="shared" si="20"/>
        <v>16</v>
      </c>
      <c r="I102" s="351">
        <f t="shared" si="37"/>
        <v>0</v>
      </c>
      <c r="J102">
        <v>-16</v>
      </c>
      <c r="L102" s="21" t="str">
        <f t="array" ref="L102">IFERROR(INDEX(Montageplatten[Höhe],LARGE((Montageplatten[Randbedingungen]=$L$70)*(ROW(Montageplatten[Randbedingungen])-1),COUNTIF(Montageplatten[Randbedingungen],$L$70)+1-ROW(A32))),"-")</f>
        <v>-</v>
      </c>
      <c r="M102" s="21">
        <v>1</v>
      </c>
      <c r="N102" s="1087"/>
      <c r="AD102" t="str">
        <f>AD100</f>
        <v>Kreuz</v>
      </c>
      <c r="AE102" s="782" t="str">
        <f>AE85</f>
        <v>MPH_Standard</v>
      </c>
      <c r="AF102" t="s">
        <v>1358</v>
      </c>
      <c r="AH102">
        <f>DCOUNT(Montageplatten[[#Headers],[#Data],[Typ]:[Höhe]],Montageplatten[[#Headers],[Höhe]],select!AD102:AF103)</f>
        <v>0</v>
      </c>
      <c r="AI102" s="40">
        <f t="shared" ref="AI102" si="40">IF(AH102&gt;0,1,0)</f>
        <v>0</v>
      </c>
      <c r="AM102">
        <v>4</v>
      </c>
      <c r="AN102">
        <f>AI83</f>
        <v>1</v>
      </c>
    </row>
    <row r="103" spans="1:40" hidden="1" outlineLevel="1" x14ac:dyDescent="0.25">
      <c r="A103" s="925"/>
      <c r="B103" s="266">
        <f t="shared" si="16"/>
        <v>32.5</v>
      </c>
      <c r="C103" s="351">
        <f t="shared" si="34"/>
        <v>0</v>
      </c>
      <c r="D103" s="52">
        <f t="shared" si="18"/>
        <v>35.5</v>
      </c>
      <c r="E103" s="351">
        <f t="shared" si="35"/>
        <v>0</v>
      </c>
      <c r="F103" s="52">
        <f t="shared" si="19"/>
        <v>26</v>
      </c>
      <c r="G103" s="351">
        <f t="shared" si="36"/>
        <v>0</v>
      </c>
      <c r="H103" s="52">
        <f t="shared" si="20"/>
        <v>16.5</v>
      </c>
      <c r="I103" s="351">
        <f t="shared" si="37"/>
        <v>0</v>
      </c>
      <c r="J103">
        <v>-16.5</v>
      </c>
      <c r="L103" s="21" t="str">
        <f t="array" ref="L103">IFERROR(INDEX(Montageplatten[Höhe],LARGE((Montageplatten[Randbedingungen]=$L$70)*(ROW(Montageplatten[Randbedingungen])-1),COUNTIF(Montageplatten[Randbedingungen],$L$70)+1-ROW(A33))),"-")</f>
        <v>-</v>
      </c>
      <c r="M103" s="21">
        <v>1</v>
      </c>
      <c r="N103" s="1087"/>
      <c r="AD103">
        <v>1</v>
      </c>
      <c r="AE103">
        <v>1</v>
      </c>
      <c r="AF103">
        <v>1</v>
      </c>
      <c r="AM103">
        <v>5</v>
      </c>
      <c r="AN103">
        <f>AI85</f>
        <v>1</v>
      </c>
    </row>
    <row r="104" spans="1:40" hidden="1" outlineLevel="1" x14ac:dyDescent="0.25">
      <c r="A104" s="925"/>
      <c r="B104" s="266">
        <f t="shared" si="16"/>
        <v>33</v>
      </c>
      <c r="C104" s="351">
        <f t="shared" si="34"/>
        <v>0</v>
      </c>
      <c r="D104" s="52">
        <f t="shared" si="18"/>
        <v>36</v>
      </c>
      <c r="E104" s="351">
        <f t="shared" si="35"/>
        <v>0</v>
      </c>
      <c r="F104" s="52">
        <f t="shared" si="19"/>
        <v>26.5</v>
      </c>
      <c r="G104" s="351">
        <f t="shared" si="36"/>
        <v>0</v>
      </c>
      <c r="H104" s="52">
        <f t="shared" si="20"/>
        <v>17</v>
      </c>
      <c r="I104" s="351">
        <f t="shared" si="37"/>
        <v>0</v>
      </c>
      <c r="J104">
        <v>-17</v>
      </c>
      <c r="L104" s="21" t="str">
        <f t="array" ref="L104">IFERROR(INDEX(Montageplatten[Höhe],LARGE((Montageplatten[Randbedingungen]=$L$70)*(ROW(Montageplatten[Randbedingungen])-1),COUNTIF(Montageplatten[Randbedingungen],$L$70)+1-ROW(A34))),"-")</f>
        <v>-</v>
      </c>
      <c r="M104" s="21">
        <v>1</v>
      </c>
      <c r="N104" s="1087"/>
      <c r="AD104" t="str">
        <f>AD102</f>
        <v>Kreuz</v>
      </c>
      <c r="AE104" s="782" t="str">
        <f>AE102</f>
        <v>MPH_Standard</v>
      </c>
      <c r="AF104" t="s">
        <v>1361</v>
      </c>
      <c r="AH104">
        <f>DCOUNT(Montageplatten[[#Headers],[#Data],[Typ]:[Höhe]],Montageplatten[[#Headers],[Höhe]],select!AD104:AF105)</f>
        <v>0</v>
      </c>
      <c r="AI104" s="40">
        <f t="shared" ref="AI104" si="41">IF(AH104&gt;0,1,0)</f>
        <v>0</v>
      </c>
      <c r="AM104">
        <v>6</v>
      </c>
      <c r="AN104">
        <f>AI87</f>
        <v>1</v>
      </c>
    </row>
    <row r="105" spans="1:40" hidden="1" outlineLevel="1" x14ac:dyDescent="0.25">
      <c r="A105" s="925"/>
      <c r="B105" s="266">
        <f t="shared" si="16"/>
        <v>33.5</v>
      </c>
      <c r="C105" s="351">
        <f t="shared" si="34"/>
        <v>0</v>
      </c>
      <c r="D105" s="52">
        <f t="shared" si="18"/>
        <v>36.5</v>
      </c>
      <c r="E105" s="351">
        <f t="shared" si="35"/>
        <v>0</v>
      </c>
      <c r="F105" s="52">
        <f t="shared" si="19"/>
        <v>27</v>
      </c>
      <c r="G105" s="351">
        <f t="shared" si="36"/>
        <v>0</v>
      </c>
      <c r="H105" s="52">
        <f t="shared" si="20"/>
        <v>17.5</v>
      </c>
      <c r="I105" s="351">
        <f t="shared" si="37"/>
        <v>0</v>
      </c>
      <c r="J105">
        <v>-17.5</v>
      </c>
      <c r="L105" s="21" t="str">
        <f t="array" ref="L105">IFERROR(INDEX(Montageplatten[Höhe],LARGE((Montageplatten[Randbedingungen]=$L$70)*(ROW(Montageplatten[Randbedingungen])-1),COUNTIF(Montageplatten[Randbedingungen],$L$70)+1-ROW(A35))),"-")</f>
        <v>-</v>
      </c>
      <c r="M105" s="21">
        <v>1</v>
      </c>
      <c r="N105" s="1087"/>
      <c r="AD105">
        <v>1</v>
      </c>
      <c r="AE105">
        <v>1</v>
      </c>
      <c r="AF105">
        <v>1</v>
      </c>
      <c r="AM105">
        <v>7</v>
      </c>
      <c r="AN105">
        <f>AI89</f>
        <v>1</v>
      </c>
    </row>
    <row r="106" spans="1:40" hidden="1" outlineLevel="1" x14ac:dyDescent="0.25">
      <c r="A106" s="925"/>
      <c r="B106" s="266">
        <f t="shared" si="16"/>
        <v>34</v>
      </c>
      <c r="C106" s="351">
        <f t="shared" si="34"/>
        <v>0</v>
      </c>
      <c r="D106" s="52">
        <f t="shared" si="18"/>
        <v>37</v>
      </c>
      <c r="E106" s="351">
        <f t="shared" si="35"/>
        <v>0</v>
      </c>
      <c r="F106" s="52">
        <f t="shared" si="19"/>
        <v>27.5</v>
      </c>
      <c r="G106" s="351">
        <f t="shared" si="36"/>
        <v>0</v>
      </c>
      <c r="H106" s="52">
        <f t="shared" si="20"/>
        <v>18</v>
      </c>
      <c r="I106" s="351">
        <f t="shared" si="37"/>
        <v>0</v>
      </c>
      <c r="J106">
        <v>-18</v>
      </c>
      <c r="L106" s="21" t="str">
        <f t="array" ref="L106">IFERROR(INDEX(Montageplatten[Höhe],LARGE((Montageplatten[Randbedingungen]=$L$70)*(ROW(Montageplatten[Randbedingungen])-1),COUNTIF(Montageplatten[Randbedingungen],$L$70)+1-ROW(A36))),"-")</f>
        <v>-</v>
      </c>
      <c r="M106" s="21">
        <v>1</v>
      </c>
      <c r="N106" s="1087"/>
      <c r="AD106" t="str">
        <f>AD104</f>
        <v>Kreuz</v>
      </c>
      <c r="AE106" s="782" t="str">
        <f>AE104</f>
        <v>MPH_Standard</v>
      </c>
      <c r="AF106" t="s">
        <v>1370</v>
      </c>
      <c r="AH106">
        <f>DCOUNT(Montageplatten[[#Headers],[#Data],[Typ]:[Höhe]],Montageplatten[[#Headers],[Höhe]],select!AD106:AF107)</f>
        <v>0</v>
      </c>
      <c r="AI106" s="40">
        <f t="shared" ref="AI106" si="42">IF(AH106&gt;0,1,0)</f>
        <v>0</v>
      </c>
    </row>
    <row r="107" spans="1:40" hidden="1" outlineLevel="1" x14ac:dyDescent="0.25">
      <c r="A107" s="925"/>
      <c r="B107" s="266">
        <f t="shared" si="16"/>
        <v>34.5</v>
      </c>
      <c r="C107" s="351">
        <f t="shared" si="34"/>
        <v>0</v>
      </c>
      <c r="D107" s="52">
        <f t="shared" si="18"/>
        <v>37.5</v>
      </c>
      <c r="E107" s="351">
        <f t="shared" si="35"/>
        <v>0</v>
      </c>
      <c r="F107" s="52">
        <f t="shared" si="19"/>
        <v>28</v>
      </c>
      <c r="G107" s="351">
        <f t="shared" si="36"/>
        <v>0</v>
      </c>
      <c r="H107" s="52">
        <f t="shared" si="20"/>
        <v>18.5</v>
      </c>
      <c r="I107" s="351">
        <f t="shared" si="37"/>
        <v>0</v>
      </c>
      <c r="J107">
        <v>-18.5</v>
      </c>
      <c r="L107" s="21" t="str">
        <f t="array" ref="L107">IFERROR(INDEX(Montageplatten[Höhe],LARGE((Montageplatten[Randbedingungen]=$L$70)*(ROW(Montageplatten[Randbedingungen])-1),COUNTIF(Montageplatten[Randbedingungen],$L$70)+1-ROW(A37))),"-")</f>
        <v>-</v>
      </c>
      <c r="M107" s="21">
        <v>1</v>
      </c>
      <c r="N107" s="1087"/>
      <c r="AD107">
        <v>1</v>
      </c>
      <c r="AE107">
        <v>1</v>
      </c>
      <c r="AF107">
        <v>1</v>
      </c>
    </row>
    <row r="108" spans="1:40" hidden="1" outlineLevel="1" x14ac:dyDescent="0.25">
      <c r="A108" s="925"/>
      <c r="B108" s="266">
        <f t="shared" si="16"/>
        <v>35</v>
      </c>
      <c r="C108" s="351">
        <f t="shared" si="34"/>
        <v>0</v>
      </c>
      <c r="D108" s="52">
        <f t="shared" si="18"/>
        <v>38</v>
      </c>
      <c r="E108" s="351">
        <f t="shared" si="35"/>
        <v>0</v>
      </c>
      <c r="F108" s="52">
        <f t="shared" si="19"/>
        <v>28.5</v>
      </c>
      <c r="G108" s="351">
        <f t="shared" si="36"/>
        <v>0</v>
      </c>
      <c r="H108" s="52">
        <f t="shared" si="20"/>
        <v>19</v>
      </c>
      <c r="I108" s="351">
        <f t="shared" si="37"/>
        <v>1</v>
      </c>
      <c r="J108">
        <v>-19</v>
      </c>
      <c r="L108" s="21" t="str">
        <f t="array" ref="L108">IFERROR(INDEX(Montageplatten[Höhe],LARGE((Montageplatten[Randbedingungen]=$L$70)*(ROW(Montageplatten[Randbedingungen])-1),COUNTIF(Montageplatten[Randbedingungen],$L$70)+1-ROW(A38))),"-")</f>
        <v>-</v>
      </c>
      <c r="M108" s="21">
        <v>1</v>
      </c>
      <c r="N108" s="1087"/>
    </row>
    <row r="109" spans="1:40" hidden="1" outlineLevel="1" x14ac:dyDescent="0.25">
      <c r="A109" s="925"/>
      <c r="B109" s="266">
        <f t="shared" si="16"/>
        <v>35.5</v>
      </c>
      <c r="C109" s="351">
        <f t="shared" si="34"/>
        <v>0</v>
      </c>
      <c r="D109" s="52">
        <f t="shared" si="18"/>
        <v>38.5</v>
      </c>
      <c r="E109" s="351">
        <f t="shared" si="35"/>
        <v>0</v>
      </c>
      <c r="F109" s="52">
        <f t="shared" si="19"/>
        <v>29</v>
      </c>
      <c r="G109" s="351">
        <f t="shared" si="36"/>
        <v>0</v>
      </c>
      <c r="H109" s="52">
        <f t="shared" si="20"/>
        <v>19.5</v>
      </c>
      <c r="I109" s="351">
        <f t="shared" si="37"/>
        <v>0</v>
      </c>
      <c r="J109">
        <v>-19.5</v>
      </c>
      <c r="L109" s="21" t="str">
        <f t="array" ref="L109">IFERROR(INDEX(Montageplatten[Höhe],LARGE((Montageplatten[Randbedingungen]=$L$70)*(ROW(Montageplatten[Randbedingungen])-1),COUNTIF(Montageplatten[Randbedingungen],$L$70)+1-ROW(A39))),"-")</f>
        <v>-</v>
      </c>
      <c r="M109" s="21">
        <v>1</v>
      </c>
      <c r="N109" s="1087"/>
      <c r="AH109" t="s">
        <v>2189</v>
      </c>
      <c r="AI109" t="s">
        <v>2284</v>
      </c>
    </row>
    <row r="110" spans="1:40" hidden="1" outlineLevel="1" x14ac:dyDescent="0.25">
      <c r="A110" s="925"/>
      <c r="B110" s="266">
        <f t="shared" si="16"/>
        <v>36</v>
      </c>
      <c r="C110" s="351">
        <f t="shared" si="34"/>
        <v>0</v>
      </c>
      <c r="D110" s="52">
        <f t="shared" si="18"/>
        <v>39</v>
      </c>
      <c r="E110" s="351">
        <f t="shared" si="35"/>
        <v>0</v>
      </c>
      <c r="F110" s="52">
        <f t="shared" si="19"/>
        <v>29.5</v>
      </c>
      <c r="G110" s="351">
        <f t="shared" si="36"/>
        <v>0</v>
      </c>
      <c r="H110" s="52">
        <f t="shared" si="20"/>
        <v>20</v>
      </c>
      <c r="I110" s="351">
        <f t="shared" si="37"/>
        <v>0</v>
      </c>
      <c r="J110">
        <v>-20</v>
      </c>
      <c r="L110" s="21" t="str">
        <f t="array" ref="L110">IFERROR(INDEX(Montageplatten[Höhe],LARGE((Montageplatten[Randbedingungen]=$L$70)*(ROW(Montageplatten[Randbedingungen])-1),COUNTIF(Montageplatten[Randbedingungen],$L$70)+1-ROW(A40))),"-")</f>
        <v>-</v>
      </c>
      <c r="M110" s="21">
        <v>1</v>
      </c>
      <c r="N110" s="1087"/>
      <c r="AE110" s="782" t="str">
        <f>AE106</f>
        <v>MPH_Standard</v>
      </c>
      <c r="AF110" t="s">
        <v>52</v>
      </c>
      <c r="AH110">
        <f>DCOUNT(Montageplatten[[#Headers],[#Data],[Typ]:[Höhe]],Montageplatten[[#Headers],[Höhe]],select!AE110:AF111)</f>
        <v>22</v>
      </c>
      <c r="AI110" s="40">
        <f t="shared" ref="AI110" si="43">IF(AH110&gt;0,1,0)</f>
        <v>1</v>
      </c>
    </row>
    <row r="111" spans="1:40" hidden="1" outlineLevel="1" x14ac:dyDescent="0.25">
      <c r="A111" s="925"/>
      <c r="B111" s="266">
        <f t="shared" si="16"/>
        <v>36.5</v>
      </c>
      <c r="C111" s="351">
        <f t="shared" si="34"/>
        <v>0</v>
      </c>
      <c r="D111" s="52">
        <f t="shared" si="18"/>
        <v>39.5</v>
      </c>
      <c r="E111" s="351">
        <f t="shared" si="35"/>
        <v>0</v>
      </c>
      <c r="F111" s="52">
        <f t="shared" si="19"/>
        <v>30</v>
      </c>
      <c r="G111" s="351">
        <f t="shared" si="36"/>
        <v>0</v>
      </c>
      <c r="H111" s="52">
        <f t="shared" si="20"/>
        <v>20.5</v>
      </c>
      <c r="I111" s="351">
        <f t="shared" si="37"/>
        <v>0</v>
      </c>
      <c r="J111">
        <v>-20.5</v>
      </c>
      <c r="L111" s="21" t="str">
        <f t="array" ref="L111">IFERROR(INDEX(Montageplatten[Höhe],LARGE((Montageplatten[Randbedingungen]=$L$70)*(ROW(Montageplatten[Randbedingungen])-1),COUNTIF(Montageplatten[Randbedingungen],$L$70)+1-ROW(A41))),"-")</f>
        <v>-</v>
      </c>
      <c r="M111" s="21">
        <v>1</v>
      </c>
      <c r="N111" s="1087"/>
      <c r="AE111">
        <v>1</v>
      </c>
      <c r="AF111">
        <v>1</v>
      </c>
    </row>
    <row r="112" spans="1:40" hidden="1" outlineLevel="1" x14ac:dyDescent="0.25">
      <c r="A112" s="925"/>
      <c r="B112" s="266">
        <f t="shared" si="16"/>
        <v>37</v>
      </c>
      <c r="C112" s="351">
        <f t="shared" si="34"/>
        <v>0</v>
      </c>
      <c r="D112" s="52">
        <f t="shared" si="18"/>
        <v>40</v>
      </c>
      <c r="E112" s="351">
        <f t="shared" si="35"/>
        <v>0</v>
      </c>
      <c r="F112" s="52">
        <f t="shared" si="19"/>
        <v>30.5</v>
      </c>
      <c r="G112" s="351">
        <f t="shared" si="36"/>
        <v>0</v>
      </c>
      <c r="H112" s="52">
        <f t="shared" si="20"/>
        <v>21</v>
      </c>
      <c r="I112" s="351">
        <f t="shared" si="37"/>
        <v>1</v>
      </c>
      <c r="J112">
        <v>-21</v>
      </c>
      <c r="L112" s="21" t="str">
        <f t="array" ref="L112">IFERROR(INDEX(Montageplatten[Höhe],LARGE((Montageplatten[Randbedingungen]=$L$70)*(ROW(Montageplatten[Randbedingungen])-1),COUNTIF(Montageplatten[Randbedingungen],$L$70)+1-ROW(A42))),"-")</f>
        <v>-</v>
      </c>
      <c r="M112" s="21">
        <v>1</v>
      </c>
      <c r="N112" s="1087"/>
      <c r="AE112" s="782" t="str">
        <f>AE110</f>
        <v>MPH_Standard</v>
      </c>
      <c r="AF112" t="s">
        <v>51</v>
      </c>
      <c r="AH112">
        <f>DCOUNT(Montageplatten[[#Headers],[#Data],[Typ]:[Höhe]],Montageplatten[[#Headers],[Höhe]],select!AE112:AF113)</f>
        <v>3</v>
      </c>
      <c r="AI112" s="40">
        <f t="shared" ref="AI112" si="44">IF(AH112&gt;0,1,0)</f>
        <v>1</v>
      </c>
    </row>
    <row r="113" spans="1:35" hidden="1" outlineLevel="1" x14ac:dyDescent="0.25">
      <c r="A113" s="925"/>
      <c r="B113" s="266">
        <f t="shared" si="16"/>
        <v>37.5</v>
      </c>
      <c r="C113" s="351">
        <f t="shared" si="34"/>
        <v>0</v>
      </c>
      <c r="D113" s="52">
        <f t="shared" si="18"/>
        <v>40.5</v>
      </c>
      <c r="E113" s="351">
        <f t="shared" si="35"/>
        <v>0</v>
      </c>
      <c r="F113" s="52">
        <f t="shared" si="19"/>
        <v>31</v>
      </c>
      <c r="G113" s="351">
        <f t="shared" si="36"/>
        <v>0</v>
      </c>
      <c r="H113" s="52">
        <f t="shared" si="20"/>
        <v>21.5</v>
      </c>
      <c r="I113" s="351">
        <f t="shared" si="37"/>
        <v>0</v>
      </c>
      <c r="J113">
        <v>-21.5</v>
      </c>
      <c r="L113" s="21" t="str">
        <f t="array" ref="L113">IFERROR(INDEX(Montageplatten[Höhe],LARGE((Montageplatten[Randbedingungen]=$L$70)*(ROW(Montageplatten[Randbedingungen])-1),COUNTIF(Montageplatten[Randbedingungen],$L$70)+1-ROW(A43))),"-")</f>
        <v>-</v>
      </c>
      <c r="M113" s="21">
        <v>1</v>
      </c>
      <c r="N113" s="1087"/>
      <c r="AE113">
        <v>1</v>
      </c>
      <c r="AF113">
        <v>1</v>
      </c>
    </row>
    <row r="114" spans="1:35" hidden="1" outlineLevel="1" x14ac:dyDescent="0.25">
      <c r="A114" s="925"/>
      <c r="B114" s="266">
        <f t="shared" si="16"/>
        <v>38</v>
      </c>
      <c r="C114" s="351">
        <f t="shared" si="34"/>
        <v>0</v>
      </c>
      <c r="D114" s="52">
        <f t="shared" si="18"/>
        <v>41</v>
      </c>
      <c r="E114" s="351">
        <f t="shared" si="35"/>
        <v>0</v>
      </c>
      <c r="F114" s="52">
        <f t="shared" si="19"/>
        <v>31.5</v>
      </c>
      <c r="G114" s="351">
        <f t="shared" si="36"/>
        <v>0</v>
      </c>
      <c r="H114" s="52">
        <f t="shared" si="20"/>
        <v>22</v>
      </c>
      <c r="I114" s="351">
        <f t="shared" si="37"/>
        <v>0</v>
      </c>
      <c r="J114">
        <v>-22</v>
      </c>
      <c r="L114" s="21" t="str">
        <f t="array" ref="L114">IFERROR(INDEX(Montageplatten[Höhe],LARGE((Montageplatten[Randbedingungen]=$L$70)*(ROW(Montageplatten[Randbedingungen])-1),COUNTIF(Montageplatten[Randbedingungen],$L$70)+1-ROW(A44))),"-")</f>
        <v>-</v>
      </c>
      <c r="M114" s="21">
        <v>1</v>
      </c>
      <c r="N114" s="1087"/>
      <c r="AE114" s="782" t="str">
        <f>AE112</f>
        <v>MPH_Standard</v>
      </c>
      <c r="AF114" t="s">
        <v>1360</v>
      </c>
      <c r="AH114">
        <f>DCOUNT(Montageplatten[[#Headers],[#Data],[Typ]:[Höhe]],Montageplatten[[#Headers],[Höhe]],select!AE114:AF115)</f>
        <v>0</v>
      </c>
      <c r="AI114" s="40">
        <f t="shared" ref="AI114" si="45">IF(AH114&gt;0,1,0)</f>
        <v>0</v>
      </c>
    </row>
    <row r="115" spans="1:35" hidden="1" outlineLevel="1" x14ac:dyDescent="0.25">
      <c r="A115" s="925"/>
      <c r="B115" s="266">
        <f t="shared" si="16"/>
        <v>38.5</v>
      </c>
      <c r="C115" s="351">
        <f t="shared" si="34"/>
        <v>0</v>
      </c>
      <c r="D115" s="52">
        <f t="shared" si="18"/>
        <v>41.5</v>
      </c>
      <c r="E115" s="351">
        <f t="shared" si="35"/>
        <v>0</v>
      </c>
      <c r="F115" s="52">
        <f t="shared" si="19"/>
        <v>32</v>
      </c>
      <c r="G115" s="351">
        <f t="shared" si="36"/>
        <v>0</v>
      </c>
      <c r="H115" s="52">
        <f t="shared" si="20"/>
        <v>22.5</v>
      </c>
      <c r="I115" s="351">
        <f t="shared" si="37"/>
        <v>0</v>
      </c>
      <c r="J115">
        <v>-22.5</v>
      </c>
      <c r="AE115">
        <v>1</v>
      </c>
      <c r="AF115">
        <v>1</v>
      </c>
    </row>
    <row r="116" spans="1:35" hidden="1" outlineLevel="1" x14ac:dyDescent="0.25">
      <c r="A116" s="925"/>
      <c r="B116" s="266">
        <f t="shared" si="16"/>
        <v>39</v>
      </c>
      <c r="C116" s="351">
        <f t="shared" si="34"/>
        <v>0</v>
      </c>
      <c r="D116" s="52">
        <f t="shared" si="18"/>
        <v>42</v>
      </c>
      <c r="E116" s="351">
        <f t="shared" si="35"/>
        <v>0</v>
      </c>
      <c r="F116" s="52">
        <f t="shared" si="19"/>
        <v>32.5</v>
      </c>
      <c r="G116" s="351">
        <f t="shared" si="36"/>
        <v>0</v>
      </c>
      <c r="H116" s="52">
        <f t="shared" si="20"/>
        <v>23</v>
      </c>
      <c r="I116" s="351">
        <f t="shared" si="37"/>
        <v>0</v>
      </c>
      <c r="J116">
        <v>-23</v>
      </c>
      <c r="AE116" s="782" t="str">
        <f>AE114</f>
        <v>MPH_Standard</v>
      </c>
      <c r="AF116" t="s">
        <v>1373</v>
      </c>
      <c r="AH116">
        <f>DCOUNT(Montageplatten[[#Headers],[#Data],[Typ]:[Höhe]],Montageplatten[[#Headers],[Höhe]],select!AE116:AF117)</f>
        <v>1</v>
      </c>
      <c r="AI116" s="40">
        <f t="shared" ref="AI116" si="46">IF(AH116&gt;0,1,0)</f>
        <v>1</v>
      </c>
    </row>
    <row r="117" spans="1:35" hidden="1" outlineLevel="1" x14ac:dyDescent="0.25">
      <c r="A117" s="925"/>
      <c r="B117" s="266">
        <f t="shared" si="16"/>
        <v>39.5</v>
      </c>
      <c r="C117" s="351">
        <f t="shared" si="34"/>
        <v>0</v>
      </c>
      <c r="D117" s="52">
        <f t="shared" si="18"/>
        <v>42.5</v>
      </c>
      <c r="E117" s="351">
        <f t="shared" si="35"/>
        <v>0</v>
      </c>
      <c r="F117" s="52">
        <f t="shared" si="19"/>
        <v>33</v>
      </c>
      <c r="G117" s="351">
        <f t="shared" si="36"/>
        <v>0</v>
      </c>
      <c r="H117" s="52">
        <f t="shared" si="20"/>
        <v>23.5</v>
      </c>
      <c r="I117" s="351">
        <f t="shared" si="37"/>
        <v>0</v>
      </c>
      <c r="J117">
        <v>-23.5</v>
      </c>
      <c r="AE117">
        <v>1</v>
      </c>
      <c r="AF117">
        <v>1</v>
      </c>
    </row>
    <row r="118" spans="1:35" hidden="1" outlineLevel="1" x14ac:dyDescent="0.25">
      <c r="A118" s="925"/>
      <c r="B118" s="266">
        <f t="shared" si="16"/>
        <v>40</v>
      </c>
      <c r="C118" s="351">
        <f t="shared" si="34"/>
        <v>0</v>
      </c>
      <c r="D118" s="52">
        <f t="shared" si="18"/>
        <v>43</v>
      </c>
      <c r="E118" s="351">
        <f t="shared" si="35"/>
        <v>0</v>
      </c>
      <c r="F118" s="52">
        <f t="shared" si="19"/>
        <v>33.5</v>
      </c>
      <c r="G118" s="351">
        <f t="shared" si="36"/>
        <v>0</v>
      </c>
      <c r="H118" s="52">
        <f t="shared" si="20"/>
        <v>24</v>
      </c>
      <c r="I118" s="351">
        <f t="shared" si="37"/>
        <v>0</v>
      </c>
      <c r="J118">
        <v>-24</v>
      </c>
    </row>
    <row r="119" spans="1:35" hidden="1" outlineLevel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O119" t="str">
        <f t="array" ref="O119">IFERROR(INDEX(Montageplatten[Teil],LARGE((Montageplatten[Randbedingungen]=$L$70)*(ROW(Montageplatten[Randbedingungen])-1),COUNTIF(Montageplatten[Randbedingungen],$L$70)+1-ROW(A62))),"")</f>
        <v/>
      </c>
    </row>
    <row r="120" spans="1:35" hidden="1" outlineLevel="1" x14ac:dyDescent="0.25">
      <c r="A120" s="4">
        <f>IF(N44=4,G120,IFERROR(LARGE(C120:I120,1),"-"))</f>
        <v>-2</v>
      </c>
      <c r="C120" s="40">
        <f>IFERROR(VLOOKUP(L70,C71:J118,8,FALSE),"")</f>
        <v>-3</v>
      </c>
      <c r="D120" s="87" t="s">
        <v>1916</v>
      </c>
      <c r="E120" s="40">
        <f>IFERROR(VLOOKUP(L70,E71:J118,6,FALSE),"")</f>
        <v>-2</v>
      </c>
      <c r="F120" s="87" t="s">
        <v>1916</v>
      </c>
      <c r="G120" s="40">
        <f>IFERROR(VLOOKUP(L70,G71:J118,4,FALSE),"")</f>
        <v>-2.5</v>
      </c>
      <c r="H120" s="87" t="s">
        <v>1916</v>
      </c>
      <c r="I120" s="40">
        <f>IFERROR(VLOOKUP(L70,I71:J118,2,FALSE),"")</f>
        <v>-2</v>
      </c>
      <c r="O120" t="str">
        <f t="array" ref="O120">IFERROR(INDEX(Montageplatten[Teil],LARGE((Montageplatten[Randbedingungen]=$L$70)*(ROW(Montageplatten[Randbedingungen])-1),COUNTIF(Montageplatten[Randbedingungen],$L$70)+1-ROW(A63))),"")</f>
        <v/>
      </c>
    </row>
    <row r="121" spans="1:35" hidden="1" outlineLevel="1" x14ac:dyDescent="0.25">
      <c r="O121" t="str">
        <f t="array" ref="O121">IFERROR(INDEX(Montageplatten[Teil],LARGE((Montageplatten[Randbedingungen]=$L$70)*(ROW(Montageplatten[Randbedingungen])-1),COUNTIF(Montageplatten[Randbedingungen],$L$70)+1-ROW(A64))),"")</f>
        <v/>
      </c>
    </row>
    <row r="122" spans="1:35" hidden="1" outlineLevel="1" x14ac:dyDescent="0.25">
      <c r="B122" s="93"/>
      <c r="C122" s="94"/>
      <c r="D122" s="95"/>
      <c r="E122" s="94"/>
      <c r="F122" s="96"/>
      <c r="G122" s="94"/>
      <c r="H122" s="95"/>
      <c r="I122" s="97"/>
      <c r="J122" s="98"/>
      <c r="O122" t="str">
        <f t="array" ref="O122">IFERROR(INDEX(Montageplatten[Teil],LARGE((Montageplatten[Randbedingungen]=$L$70)*(ROW(Montageplatten[Randbedingungen])-1),COUNTIF(Montageplatten[Randbedingungen],$L$70)+1-ROW(A65))),"")</f>
        <v/>
      </c>
    </row>
    <row r="123" spans="1:35" hidden="1" outlineLevel="1" x14ac:dyDescent="0.25">
      <c r="A123" s="925" t="s">
        <v>1379</v>
      </c>
      <c r="B123" s="266">
        <f>IF(($G$44+J123-15-$J$43)*-1-$B$66&gt;=-2,($G$44+J123-15-$J$43)*-1-$B$66,"")</f>
        <v>15.5</v>
      </c>
      <c r="C123" s="351">
        <f>IFERROR(VLOOKUP(B123,$L$71:$M$114,2,FALSE),0)</f>
        <v>1</v>
      </c>
      <c r="D123" s="52">
        <f>IF(($G$44+J123-15-$J$43)*-1-$D$66&gt;=-2,($G$44+J123-15-$J$43)*-1-$D$66,"")</f>
        <v>18.5</v>
      </c>
      <c r="E123" s="351">
        <f>IFERROR(VLOOKUP(D123,$L$71:$M$114,2,FALSE),0)</f>
        <v>0</v>
      </c>
      <c r="F123" s="52">
        <f>IF(($G$44+J123-15-$J$43)*-1-$F$66&gt;=-2,($G$44+J123-15-$J$43)*-1-$F$66,"")</f>
        <v>9</v>
      </c>
      <c r="G123" s="351">
        <f>IFERROR(VLOOKUP(F123,$L$71:$M$114,2,FALSE),0)</f>
        <v>1</v>
      </c>
      <c r="H123" s="52">
        <f>IF(($G$44+J123-15-$J$43)*-1-$H$66&gt;=-2,($G$44+J123-15-$J$43)*-1-$H$66,"")</f>
        <v>-0.5</v>
      </c>
      <c r="I123" s="351">
        <f>IFERROR(VLOOKUP(H123,$L$71:$M$114,2,FALSE),0)</f>
        <v>0</v>
      </c>
      <c r="J123">
        <v>0.5</v>
      </c>
      <c r="O123" t="str">
        <f t="array" ref="O123">IFERROR(INDEX(Montageplatten[Teil],LARGE((Montageplatten[Randbedingungen]=$L$70)*(ROW(Montageplatten[Randbedingungen])-1),COUNTIF(Montageplatten[Randbedingungen],$L$70)+1-ROW(A66))),"")</f>
        <v/>
      </c>
    </row>
    <row r="124" spans="1:35" hidden="1" outlineLevel="1" x14ac:dyDescent="0.25">
      <c r="A124" s="925"/>
      <c r="B124" s="266">
        <f t="shared" ref="B124:B170" si="47">IF(($G$44+J124-15-$J$43)*-1-$B$66&gt;=-2,($G$44+J124-15-$J$43)*-1-$B$66,"")</f>
        <v>15</v>
      </c>
      <c r="C124" s="351">
        <f>IFERROR(VLOOKUP(B124,$L$71:$M$114,2,FALSE),0)</f>
        <v>1</v>
      </c>
      <c r="D124" s="52">
        <f t="shared" ref="D124:D170" si="48">IF(($G$44+J124-15-$J$43)*-1-$D$66&gt;=-2,($G$44+J124-15-$J$43)*-1-$D$66,"")</f>
        <v>18</v>
      </c>
      <c r="E124" s="351">
        <f t="shared" ref="E124:E170" si="49">IFERROR(VLOOKUP(D124,$L$71:$M$114,2,FALSE),0)</f>
        <v>0</v>
      </c>
      <c r="F124" s="52">
        <f t="shared" ref="F124:F170" si="50">IF(($G$44+J124-15-$J$43)*-1-$F$66&gt;=-2,($G$44+J124-15-$J$43)*-1-$F$66,"")</f>
        <v>8.5</v>
      </c>
      <c r="G124" s="351">
        <f t="shared" ref="G124:G170" si="51">IFERROR(VLOOKUP(F124,$L$71:$M$114,2,FALSE),0)</f>
        <v>0</v>
      </c>
      <c r="H124" s="52">
        <f t="shared" ref="H124:H170" si="52">IF(($G$44+J124-15-$J$43)*-1-$H$66&gt;=-2,($G$44+J124-15-$J$43)*-1-$H$66,"")</f>
        <v>-1</v>
      </c>
      <c r="I124" s="351">
        <f t="shared" ref="I124:I170" si="53">IFERROR(VLOOKUP(H124,$L$71:$M$114,2,FALSE),0)</f>
        <v>0</v>
      </c>
      <c r="J124">
        <v>1</v>
      </c>
      <c r="O124" t="str">
        <f t="array" ref="O124">IFERROR(INDEX(Montageplatten[Teil],LARGE((Montageplatten[Randbedingungen]=$L$70)*(ROW(Montageplatten[Randbedingungen])-1),COUNTIF(Montageplatten[Randbedingungen],$L$70)+1-ROW(A67))),"")</f>
        <v/>
      </c>
    </row>
    <row r="125" spans="1:35" hidden="1" outlineLevel="1" x14ac:dyDescent="0.25">
      <c r="A125" s="925"/>
      <c r="B125" s="266">
        <f t="shared" si="47"/>
        <v>14.5</v>
      </c>
      <c r="C125" s="351">
        <f t="shared" ref="C125:C170" si="54">IFERROR(VLOOKUP(B125,$L$71:$M$114,2,FALSE),0)</f>
        <v>0</v>
      </c>
      <c r="D125" s="52">
        <f t="shared" si="48"/>
        <v>17.5</v>
      </c>
      <c r="E125" s="351">
        <f t="shared" si="49"/>
        <v>0</v>
      </c>
      <c r="F125" s="52">
        <f t="shared" si="50"/>
        <v>8</v>
      </c>
      <c r="G125" s="351">
        <f t="shared" si="51"/>
        <v>1</v>
      </c>
      <c r="H125" s="52">
        <f t="shared" si="52"/>
        <v>-1.5</v>
      </c>
      <c r="I125" s="351">
        <f t="shared" si="53"/>
        <v>0</v>
      </c>
      <c r="J125">
        <v>1.5</v>
      </c>
      <c r="O125" t="str">
        <f t="array" ref="O125">IFERROR(INDEX(Montageplatten[Teil],LARGE((Montageplatten[Randbedingungen]=$L$70)*(ROW(Montageplatten[Randbedingungen])-1),COUNTIF(Montageplatten[Randbedingungen],$L$70)+1-ROW(A68))),"")</f>
        <v/>
      </c>
    </row>
    <row r="126" spans="1:35" hidden="1" outlineLevel="1" x14ac:dyDescent="0.25">
      <c r="A126" s="925"/>
      <c r="B126" s="266">
        <f t="shared" si="47"/>
        <v>14</v>
      </c>
      <c r="C126" s="351">
        <f t="shared" si="54"/>
        <v>1</v>
      </c>
      <c r="D126" s="52">
        <f t="shared" si="48"/>
        <v>17</v>
      </c>
      <c r="E126" s="351">
        <f t="shared" si="49"/>
        <v>0</v>
      </c>
      <c r="F126" s="52">
        <f t="shared" si="50"/>
        <v>7.5</v>
      </c>
      <c r="G126" s="351">
        <f t="shared" si="51"/>
        <v>0</v>
      </c>
      <c r="H126" s="52">
        <f t="shared" si="52"/>
        <v>-2</v>
      </c>
      <c r="I126" s="351">
        <f t="shared" si="53"/>
        <v>1</v>
      </c>
      <c r="J126">
        <v>2</v>
      </c>
      <c r="O126" t="str">
        <f t="array" ref="O126">IFERROR(INDEX(Montageplatten[Teil],LARGE((Montageplatten[Randbedingungen]=$L$70)*(ROW(Montageplatten[Randbedingungen])-1),COUNTIF(Montageplatten[Randbedingungen],$L$70)+1-ROW(A69))),"")</f>
        <v/>
      </c>
    </row>
    <row r="127" spans="1:35" hidden="1" outlineLevel="1" x14ac:dyDescent="0.25">
      <c r="A127" s="925"/>
      <c r="B127" s="266">
        <f t="shared" si="47"/>
        <v>13.5</v>
      </c>
      <c r="C127" s="351">
        <f t="shared" si="54"/>
        <v>0</v>
      </c>
      <c r="D127" s="52">
        <f t="shared" si="48"/>
        <v>16.5</v>
      </c>
      <c r="E127" s="351">
        <f t="shared" si="49"/>
        <v>0</v>
      </c>
      <c r="F127" s="52">
        <f t="shared" si="50"/>
        <v>7</v>
      </c>
      <c r="G127" s="351">
        <f t="shared" si="51"/>
        <v>0</v>
      </c>
      <c r="H127" s="52" t="str">
        <f t="shared" si="52"/>
        <v/>
      </c>
      <c r="I127" s="351">
        <f t="shared" si="53"/>
        <v>0</v>
      </c>
      <c r="J127">
        <v>2.5</v>
      </c>
      <c r="O127" t="str">
        <f t="array" ref="O127">IFERROR(INDEX(Montageplatten[Teil],LARGE((Montageplatten[Randbedingungen]=$L$70)*(ROW(Montageplatten[Randbedingungen])-1),COUNTIF(Montageplatten[Randbedingungen],$L$70)+1-ROW(A70))),"")</f>
        <v/>
      </c>
    </row>
    <row r="128" spans="1:35" hidden="1" outlineLevel="1" x14ac:dyDescent="0.25">
      <c r="A128" s="925"/>
      <c r="B128" s="266">
        <f t="shared" si="47"/>
        <v>13</v>
      </c>
      <c r="C128" s="351">
        <f t="shared" si="54"/>
        <v>0</v>
      </c>
      <c r="D128" s="52">
        <f t="shared" si="48"/>
        <v>16</v>
      </c>
      <c r="E128" s="351">
        <f t="shared" si="49"/>
        <v>0</v>
      </c>
      <c r="F128" s="52">
        <f t="shared" si="50"/>
        <v>6.5</v>
      </c>
      <c r="G128" s="351">
        <f t="shared" si="51"/>
        <v>0</v>
      </c>
      <c r="H128" s="52" t="str">
        <f t="shared" si="52"/>
        <v/>
      </c>
      <c r="I128" s="351">
        <f t="shared" si="53"/>
        <v>0</v>
      </c>
      <c r="J128">
        <v>3</v>
      </c>
      <c r="O128" t="str">
        <f t="array" ref="O128">IFERROR(INDEX(Montageplatten[Teil],LARGE((Montageplatten[Randbedingungen]=$L$70)*(ROW(Montageplatten[Randbedingungen])-1),COUNTIF(Montageplatten[Randbedingungen],$L$70)+1-ROW(A71))),"")</f>
        <v/>
      </c>
    </row>
    <row r="129" spans="1:15" hidden="1" outlineLevel="1" x14ac:dyDescent="0.25">
      <c r="A129" s="925"/>
      <c r="B129" s="266">
        <f t="shared" si="47"/>
        <v>12.5</v>
      </c>
      <c r="C129" s="351">
        <f t="shared" si="54"/>
        <v>0</v>
      </c>
      <c r="D129" s="52">
        <f t="shared" si="48"/>
        <v>15.5</v>
      </c>
      <c r="E129" s="351">
        <f t="shared" si="49"/>
        <v>1</v>
      </c>
      <c r="F129" s="52">
        <f t="shared" si="50"/>
        <v>6</v>
      </c>
      <c r="G129" s="351">
        <f t="shared" si="51"/>
        <v>1</v>
      </c>
      <c r="H129" s="52" t="str">
        <f t="shared" si="52"/>
        <v/>
      </c>
      <c r="I129" s="351">
        <f t="shared" si="53"/>
        <v>0</v>
      </c>
      <c r="J129">
        <v>3.5</v>
      </c>
      <c r="O129" t="str">
        <f t="array" ref="O129">IFERROR(INDEX(Montageplatten[Teil],LARGE((Montageplatten[Randbedingungen]=$L$70)*(ROW(Montageplatten[Randbedingungen])-1),COUNTIF(Montageplatten[Randbedingungen],$L$70)+1-ROW(A72))),"")</f>
        <v/>
      </c>
    </row>
    <row r="130" spans="1:15" hidden="1" outlineLevel="1" x14ac:dyDescent="0.25">
      <c r="A130" s="925"/>
      <c r="B130" s="266">
        <f t="shared" si="47"/>
        <v>12</v>
      </c>
      <c r="C130" s="351">
        <f t="shared" si="54"/>
        <v>1</v>
      </c>
      <c r="D130" s="52">
        <f t="shared" si="48"/>
        <v>15</v>
      </c>
      <c r="E130" s="351">
        <f t="shared" si="49"/>
        <v>1</v>
      </c>
      <c r="F130" s="52">
        <f t="shared" si="50"/>
        <v>5.5</v>
      </c>
      <c r="G130" s="351">
        <f t="shared" si="51"/>
        <v>0</v>
      </c>
      <c r="H130" s="52" t="str">
        <f t="shared" si="52"/>
        <v/>
      </c>
      <c r="I130" s="351">
        <f t="shared" si="53"/>
        <v>0</v>
      </c>
      <c r="J130">
        <v>4</v>
      </c>
      <c r="O130" t="str">
        <f t="array" ref="O130">IFERROR(INDEX(Montageplatten[Teil],LARGE((Montageplatten[Randbedingungen]=$L$70)*(ROW(Montageplatten[Randbedingungen])-1),COUNTIF(Montageplatten[Randbedingungen],$L$70)+1-ROW(A73))),"")</f>
        <v/>
      </c>
    </row>
    <row r="131" spans="1:15" hidden="1" outlineLevel="1" x14ac:dyDescent="0.25">
      <c r="A131" s="925"/>
      <c r="B131" s="266">
        <f t="shared" si="47"/>
        <v>11.5</v>
      </c>
      <c r="C131" s="351">
        <f t="shared" si="54"/>
        <v>0</v>
      </c>
      <c r="D131" s="52">
        <f t="shared" si="48"/>
        <v>14.5</v>
      </c>
      <c r="E131" s="351">
        <f t="shared" si="49"/>
        <v>0</v>
      </c>
      <c r="F131" s="52">
        <f t="shared" si="50"/>
        <v>5</v>
      </c>
      <c r="G131" s="351">
        <f t="shared" si="51"/>
        <v>0</v>
      </c>
      <c r="H131" s="52" t="str">
        <f t="shared" si="52"/>
        <v/>
      </c>
      <c r="I131" s="351">
        <f t="shared" si="53"/>
        <v>0</v>
      </c>
      <c r="J131">
        <v>4.5</v>
      </c>
      <c r="O131" t="str">
        <f t="array" ref="O131">IFERROR(INDEX(Montageplatten[Teil],LARGE((Montageplatten[Randbedingungen]=$L$70)*(ROW(Montageplatten[Randbedingungen])-1),COUNTIF(Montageplatten[Randbedingungen],$L$70)+1-ROW(A74))),"")</f>
        <v/>
      </c>
    </row>
    <row r="132" spans="1:15" hidden="1" outlineLevel="1" x14ac:dyDescent="0.25">
      <c r="A132" s="925"/>
      <c r="B132" s="266">
        <f t="shared" si="47"/>
        <v>11</v>
      </c>
      <c r="C132" s="351">
        <f t="shared" si="54"/>
        <v>0</v>
      </c>
      <c r="D132" s="52">
        <f t="shared" si="48"/>
        <v>14</v>
      </c>
      <c r="E132" s="351">
        <f t="shared" si="49"/>
        <v>1</v>
      </c>
      <c r="F132" s="52">
        <f t="shared" si="50"/>
        <v>4.5</v>
      </c>
      <c r="G132" s="351">
        <f t="shared" si="51"/>
        <v>0</v>
      </c>
      <c r="H132" s="52" t="str">
        <f t="shared" si="52"/>
        <v/>
      </c>
      <c r="I132" s="351">
        <f t="shared" si="53"/>
        <v>0</v>
      </c>
      <c r="J132">
        <v>5</v>
      </c>
      <c r="O132" t="str">
        <f t="array" ref="O132">IFERROR(INDEX(Montageplatten[Teil],LARGE((Montageplatten[Randbedingungen]=$L$70)*(ROW(Montageplatten[Randbedingungen])-1),COUNTIF(Montageplatten[Randbedingungen],$L$70)+1-ROW(A75))),"")</f>
        <v/>
      </c>
    </row>
    <row r="133" spans="1:15" hidden="1" outlineLevel="1" x14ac:dyDescent="0.25">
      <c r="A133" s="925"/>
      <c r="B133" s="266">
        <f t="shared" si="47"/>
        <v>10.5</v>
      </c>
      <c r="C133" s="351">
        <f t="shared" si="54"/>
        <v>0</v>
      </c>
      <c r="D133" s="52">
        <f t="shared" si="48"/>
        <v>13.5</v>
      </c>
      <c r="E133" s="351">
        <f t="shared" si="49"/>
        <v>0</v>
      </c>
      <c r="F133" s="52">
        <f t="shared" si="50"/>
        <v>4</v>
      </c>
      <c r="G133" s="351">
        <f t="shared" si="51"/>
        <v>0</v>
      </c>
      <c r="H133" s="52" t="str">
        <f t="shared" si="52"/>
        <v/>
      </c>
      <c r="I133" s="351">
        <f t="shared" si="53"/>
        <v>0</v>
      </c>
      <c r="J133">
        <v>5.5</v>
      </c>
      <c r="O133" t="str">
        <f t="array" ref="O133">IFERROR(INDEX(Montageplatten[Teil],LARGE((Montageplatten[Randbedingungen]=$L$70)*(ROW(Montageplatten[Randbedingungen])-1),COUNTIF(Montageplatten[Randbedingungen],$L$70)+1-ROW(A76))),"")</f>
        <v/>
      </c>
    </row>
    <row r="134" spans="1:15" hidden="1" outlineLevel="1" x14ac:dyDescent="0.25">
      <c r="A134" s="925"/>
      <c r="B134" s="266">
        <f t="shared" si="47"/>
        <v>10</v>
      </c>
      <c r="C134" s="351">
        <f t="shared" si="54"/>
        <v>0</v>
      </c>
      <c r="D134" s="52">
        <f t="shared" si="48"/>
        <v>13</v>
      </c>
      <c r="E134" s="351">
        <f t="shared" si="49"/>
        <v>0</v>
      </c>
      <c r="F134" s="52">
        <f t="shared" si="50"/>
        <v>3.5</v>
      </c>
      <c r="G134" s="351">
        <f t="shared" si="51"/>
        <v>1</v>
      </c>
      <c r="H134" s="52" t="str">
        <f t="shared" si="52"/>
        <v/>
      </c>
      <c r="I134" s="351">
        <f t="shared" si="53"/>
        <v>0</v>
      </c>
      <c r="J134">
        <v>6</v>
      </c>
      <c r="O134" t="str">
        <f t="array" ref="O134">IFERROR(INDEX(Montageplatten[Teil],LARGE((Montageplatten[Randbedingungen]=$L$70)*(ROW(Montageplatten[Randbedingungen])-1),COUNTIF(Montageplatten[Randbedingungen],$L$70)+1-ROW(A77))),"")</f>
        <v/>
      </c>
    </row>
    <row r="135" spans="1:15" hidden="1" outlineLevel="1" x14ac:dyDescent="0.25">
      <c r="A135" s="925"/>
      <c r="B135" s="266">
        <f t="shared" si="47"/>
        <v>9.5</v>
      </c>
      <c r="C135" s="351">
        <f t="shared" si="54"/>
        <v>1</v>
      </c>
      <c r="D135" s="52">
        <f t="shared" si="48"/>
        <v>12.5</v>
      </c>
      <c r="E135" s="351">
        <f t="shared" si="49"/>
        <v>0</v>
      </c>
      <c r="F135" s="52">
        <f t="shared" si="50"/>
        <v>3</v>
      </c>
      <c r="G135" s="351">
        <f t="shared" si="51"/>
        <v>1</v>
      </c>
      <c r="H135" s="52" t="str">
        <f t="shared" si="52"/>
        <v/>
      </c>
      <c r="I135" s="351">
        <f t="shared" si="53"/>
        <v>0</v>
      </c>
      <c r="J135">
        <v>6.5</v>
      </c>
      <c r="O135" t="str">
        <f t="array" ref="O135">IFERROR(INDEX(Montageplatten[Teil],LARGE((Montageplatten[Randbedingungen]=$L$70)*(ROW(Montageplatten[Randbedingungen])-1),COUNTIF(Montageplatten[Randbedingungen],$L$70)+1-ROW(A78))),"")</f>
        <v/>
      </c>
    </row>
    <row r="136" spans="1:15" hidden="1" outlineLevel="1" x14ac:dyDescent="0.25">
      <c r="A136" s="925"/>
      <c r="B136" s="266">
        <f t="shared" si="47"/>
        <v>9</v>
      </c>
      <c r="C136" s="351">
        <f t="shared" si="54"/>
        <v>1</v>
      </c>
      <c r="D136" s="52">
        <f t="shared" si="48"/>
        <v>12</v>
      </c>
      <c r="E136" s="351">
        <f t="shared" si="49"/>
        <v>1</v>
      </c>
      <c r="F136" s="52">
        <f t="shared" si="50"/>
        <v>2.5</v>
      </c>
      <c r="G136" s="351">
        <f t="shared" si="51"/>
        <v>0</v>
      </c>
      <c r="H136" s="52" t="str">
        <f t="shared" si="52"/>
        <v/>
      </c>
      <c r="I136" s="351">
        <f t="shared" si="53"/>
        <v>0</v>
      </c>
      <c r="J136">
        <v>7</v>
      </c>
      <c r="O136" t="str">
        <f t="array" ref="O136">IFERROR(INDEX(Montageplatten[Teil],LARGE((Montageplatten[Randbedingungen]=$L$70)*(ROW(Montageplatten[Randbedingungen])-1),COUNTIF(Montageplatten[Randbedingungen],$L$70)+1-ROW(A79))),"")</f>
        <v/>
      </c>
    </row>
    <row r="137" spans="1:15" hidden="1" outlineLevel="1" x14ac:dyDescent="0.25">
      <c r="A137" s="925"/>
      <c r="B137" s="266">
        <f t="shared" si="47"/>
        <v>8.5</v>
      </c>
      <c r="C137" s="351">
        <f t="shared" si="54"/>
        <v>0</v>
      </c>
      <c r="D137" s="52">
        <f t="shared" si="48"/>
        <v>11.5</v>
      </c>
      <c r="E137" s="351">
        <f t="shared" si="49"/>
        <v>0</v>
      </c>
      <c r="F137" s="52">
        <f t="shared" si="50"/>
        <v>2</v>
      </c>
      <c r="G137" s="351">
        <f t="shared" si="51"/>
        <v>1</v>
      </c>
      <c r="H137" s="52" t="str">
        <f t="shared" si="52"/>
        <v/>
      </c>
      <c r="I137" s="351">
        <f t="shared" si="53"/>
        <v>0</v>
      </c>
      <c r="J137">
        <v>7.5</v>
      </c>
    </row>
    <row r="138" spans="1:15" hidden="1" outlineLevel="1" x14ac:dyDescent="0.25">
      <c r="A138" s="925"/>
      <c r="B138" s="266">
        <f t="shared" si="47"/>
        <v>8</v>
      </c>
      <c r="C138" s="351">
        <f t="shared" si="54"/>
        <v>1</v>
      </c>
      <c r="D138" s="52">
        <f t="shared" si="48"/>
        <v>11</v>
      </c>
      <c r="E138" s="351">
        <f t="shared" si="49"/>
        <v>0</v>
      </c>
      <c r="F138" s="52">
        <f t="shared" si="50"/>
        <v>1.5</v>
      </c>
      <c r="G138" s="351">
        <f t="shared" si="51"/>
        <v>0</v>
      </c>
      <c r="H138" s="52" t="str">
        <f t="shared" si="52"/>
        <v/>
      </c>
      <c r="I138" s="351">
        <f t="shared" si="53"/>
        <v>0</v>
      </c>
      <c r="J138">
        <v>8</v>
      </c>
    </row>
    <row r="139" spans="1:15" hidden="1" outlineLevel="1" x14ac:dyDescent="0.25">
      <c r="A139" s="925"/>
      <c r="B139" s="266">
        <f t="shared" si="47"/>
        <v>7.5</v>
      </c>
      <c r="C139" s="351">
        <f t="shared" si="54"/>
        <v>0</v>
      </c>
      <c r="D139" s="52">
        <f t="shared" si="48"/>
        <v>10.5</v>
      </c>
      <c r="E139" s="351">
        <f t="shared" si="49"/>
        <v>0</v>
      </c>
      <c r="F139" s="52">
        <f t="shared" si="50"/>
        <v>1</v>
      </c>
      <c r="G139" s="351">
        <f t="shared" si="51"/>
        <v>0</v>
      </c>
      <c r="H139" s="52" t="str">
        <f t="shared" si="52"/>
        <v/>
      </c>
      <c r="I139" s="351">
        <f t="shared" si="53"/>
        <v>0</v>
      </c>
      <c r="J139">
        <v>8.5</v>
      </c>
    </row>
    <row r="140" spans="1:15" hidden="1" outlineLevel="1" x14ac:dyDescent="0.25">
      <c r="A140" s="925"/>
      <c r="B140" s="266">
        <f t="shared" si="47"/>
        <v>7</v>
      </c>
      <c r="C140" s="351">
        <f t="shared" si="54"/>
        <v>0</v>
      </c>
      <c r="D140" s="52">
        <f t="shared" si="48"/>
        <v>10</v>
      </c>
      <c r="E140" s="351">
        <f t="shared" si="49"/>
        <v>0</v>
      </c>
      <c r="F140" s="52">
        <f t="shared" si="50"/>
        <v>0.5</v>
      </c>
      <c r="G140" s="351">
        <f t="shared" si="51"/>
        <v>0</v>
      </c>
      <c r="H140" s="52" t="str">
        <f t="shared" si="52"/>
        <v/>
      </c>
      <c r="I140" s="351">
        <f t="shared" si="53"/>
        <v>0</v>
      </c>
      <c r="J140">
        <v>9</v>
      </c>
    </row>
    <row r="141" spans="1:15" hidden="1" outlineLevel="1" x14ac:dyDescent="0.25">
      <c r="A141" s="925"/>
      <c r="B141" s="266">
        <f t="shared" si="47"/>
        <v>6.5</v>
      </c>
      <c r="C141" s="351">
        <f t="shared" si="54"/>
        <v>0</v>
      </c>
      <c r="D141" s="52">
        <f t="shared" si="48"/>
        <v>9.5</v>
      </c>
      <c r="E141" s="351">
        <f t="shared" si="49"/>
        <v>1</v>
      </c>
      <c r="F141" s="52">
        <f t="shared" si="50"/>
        <v>0</v>
      </c>
      <c r="G141" s="351">
        <f t="shared" si="51"/>
        <v>1</v>
      </c>
      <c r="H141" s="52" t="str">
        <f t="shared" si="52"/>
        <v/>
      </c>
      <c r="I141" s="351">
        <f t="shared" si="53"/>
        <v>0</v>
      </c>
      <c r="J141">
        <v>9.5</v>
      </c>
    </row>
    <row r="142" spans="1:15" hidden="1" outlineLevel="1" x14ac:dyDescent="0.25">
      <c r="A142" s="925"/>
      <c r="B142" s="266">
        <f t="shared" si="47"/>
        <v>6</v>
      </c>
      <c r="C142" s="351">
        <f t="shared" si="54"/>
        <v>1</v>
      </c>
      <c r="D142" s="52">
        <f t="shared" si="48"/>
        <v>9</v>
      </c>
      <c r="E142" s="351">
        <f t="shared" si="49"/>
        <v>1</v>
      </c>
      <c r="F142" s="52">
        <f t="shared" si="50"/>
        <v>-0.5</v>
      </c>
      <c r="G142" s="351">
        <f t="shared" si="51"/>
        <v>0</v>
      </c>
      <c r="H142" s="52" t="str">
        <f t="shared" si="52"/>
        <v/>
      </c>
      <c r="I142" s="351">
        <f t="shared" si="53"/>
        <v>0</v>
      </c>
      <c r="J142">
        <v>10</v>
      </c>
    </row>
    <row r="143" spans="1:15" hidden="1" outlineLevel="1" x14ac:dyDescent="0.25">
      <c r="A143" s="925"/>
      <c r="B143" s="266">
        <f t="shared" si="47"/>
        <v>5.5</v>
      </c>
      <c r="C143" s="351">
        <f t="shared" si="54"/>
        <v>0</v>
      </c>
      <c r="D143" s="52">
        <f t="shared" si="48"/>
        <v>8.5</v>
      </c>
      <c r="E143" s="351">
        <f t="shared" si="49"/>
        <v>0</v>
      </c>
      <c r="F143" s="52">
        <f t="shared" si="50"/>
        <v>-1</v>
      </c>
      <c r="G143" s="351">
        <f t="shared" si="51"/>
        <v>0</v>
      </c>
      <c r="H143" s="52" t="str">
        <f t="shared" si="52"/>
        <v/>
      </c>
      <c r="I143" s="351">
        <f t="shared" si="53"/>
        <v>0</v>
      </c>
      <c r="J143">
        <v>10.5</v>
      </c>
    </row>
    <row r="144" spans="1:15" hidden="1" outlineLevel="1" x14ac:dyDescent="0.25">
      <c r="A144" s="925"/>
      <c r="B144" s="266">
        <f t="shared" si="47"/>
        <v>5</v>
      </c>
      <c r="C144" s="351">
        <f t="shared" si="54"/>
        <v>0</v>
      </c>
      <c r="D144" s="52">
        <f t="shared" si="48"/>
        <v>8</v>
      </c>
      <c r="E144" s="351">
        <f t="shared" si="49"/>
        <v>1</v>
      </c>
      <c r="F144" s="52">
        <f t="shared" si="50"/>
        <v>-1.5</v>
      </c>
      <c r="G144" s="351">
        <f t="shared" si="51"/>
        <v>0</v>
      </c>
      <c r="H144" s="52" t="str">
        <f t="shared" si="52"/>
        <v/>
      </c>
      <c r="I144" s="351">
        <f t="shared" si="53"/>
        <v>0</v>
      </c>
      <c r="J144">
        <v>11</v>
      </c>
    </row>
    <row r="145" spans="1:10" hidden="1" outlineLevel="1" x14ac:dyDescent="0.25">
      <c r="A145" s="925"/>
      <c r="B145" s="266">
        <f t="shared" si="47"/>
        <v>4.5</v>
      </c>
      <c r="C145" s="351">
        <f t="shared" si="54"/>
        <v>0</v>
      </c>
      <c r="D145" s="52">
        <f t="shared" si="48"/>
        <v>7.5</v>
      </c>
      <c r="E145" s="351">
        <f t="shared" si="49"/>
        <v>0</v>
      </c>
      <c r="F145" s="52">
        <f t="shared" si="50"/>
        <v>-2</v>
      </c>
      <c r="G145" s="351">
        <f t="shared" si="51"/>
        <v>1</v>
      </c>
      <c r="H145" s="52" t="str">
        <f t="shared" si="52"/>
        <v/>
      </c>
      <c r="I145" s="351">
        <f t="shared" si="53"/>
        <v>0</v>
      </c>
      <c r="J145">
        <v>11.5</v>
      </c>
    </row>
    <row r="146" spans="1:10" hidden="1" outlineLevel="1" x14ac:dyDescent="0.25">
      <c r="A146" s="925"/>
      <c r="B146" s="266">
        <f t="shared" si="47"/>
        <v>4</v>
      </c>
      <c r="C146" s="351">
        <f t="shared" si="54"/>
        <v>0</v>
      </c>
      <c r="D146" s="52">
        <f t="shared" si="48"/>
        <v>7</v>
      </c>
      <c r="E146" s="351">
        <f t="shared" si="49"/>
        <v>0</v>
      </c>
      <c r="F146" s="52" t="str">
        <f t="shared" si="50"/>
        <v/>
      </c>
      <c r="G146" s="351">
        <f t="shared" si="51"/>
        <v>0</v>
      </c>
      <c r="H146" s="52" t="str">
        <f t="shared" si="52"/>
        <v/>
      </c>
      <c r="I146" s="351">
        <f t="shared" si="53"/>
        <v>0</v>
      </c>
      <c r="J146">
        <v>12</v>
      </c>
    </row>
    <row r="147" spans="1:10" hidden="1" outlineLevel="1" x14ac:dyDescent="0.25">
      <c r="A147" s="925"/>
      <c r="B147" s="266">
        <f t="shared" si="47"/>
        <v>3.5</v>
      </c>
      <c r="C147" s="351">
        <f t="shared" si="54"/>
        <v>1</v>
      </c>
      <c r="D147" s="52">
        <f t="shared" si="48"/>
        <v>6.5</v>
      </c>
      <c r="E147" s="351">
        <f t="shared" si="49"/>
        <v>0</v>
      </c>
      <c r="F147" s="52" t="str">
        <f t="shared" si="50"/>
        <v/>
      </c>
      <c r="G147" s="351">
        <f t="shared" si="51"/>
        <v>0</v>
      </c>
      <c r="H147" s="52" t="str">
        <f t="shared" si="52"/>
        <v/>
      </c>
      <c r="I147" s="351">
        <f t="shared" si="53"/>
        <v>0</v>
      </c>
      <c r="J147">
        <v>12.5</v>
      </c>
    </row>
    <row r="148" spans="1:10" hidden="1" outlineLevel="1" x14ac:dyDescent="0.25">
      <c r="A148" s="925"/>
      <c r="B148" s="266">
        <f t="shared" si="47"/>
        <v>3</v>
      </c>
      <c r="C148" s="351">
        <f t="shared" si="54"/>
        <v>1</v>
      </c>
      <c r="D148" s="52">
        <f t="shared" si="48"/>
        <v>6</v>
      </c>
      <c r="E148" s="351">
        <f t="shared" si="49"/>
        <v>1</v>
      </c>
      <c r="F148" s="52" t="str">
        <f t="shared" si="50"/>
        <v/>
      </c>
      <c r="G148" s="351">
        <f t="shared" si="51"/>
        <v>0</v>
      </c>
      <c r="H148" s="52" t="str">
        <f t="shared" si="52"/>
        <v/>
      </c>
      <c r="I148" s="351">
        <f t="shared" si="53"/>
        <v>0</v>
      </c>
      <c r="J148">
        <v>13</v>
      </c>
    </row>
    <row r="149" spans="1:10" hidden="1" outlineLevel="1" x14ac:dyDescent="0.25">
      <c r="A149" s="925"/>
      <c r="B149" s="266">
        <f t="shared" si="47"/>
        <v>2.5</v>
      </c>
      <c r="C149" s="351">
        <f t="shared" si="54"/>
        <v>0</v>
      </c>
      <c r="D149" s="52">
        <f t="shared" si="48"/>
        <v>5.5</v>
      </c>
      <c r="E149" s="351">
        <f t="shared" si="49"/>
        <v>0</v>
      </c>
      <c r="F149" s="52" t="str">
        <f t="shared" si="50"/>
        <v/>
      </c>
      <c r="G149" s="351">
        <f t="shared" si="51"/>
        <v>0</v>
      </c>
      <c r="H149" s="52" t="str">
        <f t="shared" si="52"/>
        <v/>
      </c>
      <c r="I149" s="351">
        <f t="shared" si="53"/>
        <v>0</v>
      </c>
      <c r="J149">
        <v>13.5</v>
      </c>
    </row>
    <row r="150" spans="1:10" hidden="1" outlineLevel="1" x14ac:dyDescent="0.25">
      <c r="A150" s="925"/>
      <c r="B150" s="266">
        <f t="shared" si="47"/>
        <v>2</v>
      </c>
      <c r="C150" s="351">
        <f t="shared" si="54"/>
        <v>1</v>
      </c>
      <c r="D150" s="52">
        <f t="shared" si="48"/>
        <v>5</v>
      </c>
      <c r="E150" s="351">
        <f t="shared" si="49"/>
        <v>0</v>
      </c>
      <c r="F150" s="52" t="str">
        <f t="shared" si="50"/>
        <v/>
      </c>
      <c r="G150" s="351">
        <f t="shared" si="51"/>
        <v>0</v>
      </c>
      <c r="H150" s="52" t="str">
        <f t="shared" si="52"/>
        <v/>
      </c>
      <c r="I150" s="351">
        <f t="shared" si="53"/>
        <v>0</v>
      </c>
      <c r="J150">
        <v>14</v>
      </c>
    </row>
    <row r="151" spans="1:10" hidden="1" outlineLevel="1" x14ac:dyDescent="0.25">
      <c r="A151" s="925"/>
      <c r="B151" s="266">
        <f t="shared" si="47"/>
        <v>1.5</v>
      </c>
      <c r="C151" s="351">
        <f t="shared" si="54"/>
        <v>0</v>
      </c>
      <c r="D151" s="52">
        <f t="shared" si="48"/>
        <v>4.5</v>
      </c>
      <c r="E151" s="351">
        <f t="shared" si="49"/>
        <v>0</v>
      </c>
      <c r="F151" s="52" t="str">
        <f t="shared" si="50"/>
        <v/>
      </c>
      <c r="G151" s="351">
        <f t="shared" si="51"/>
        <v>0</v>
      </c>
      <c r="H151" s="52" t="str">
        <f t="shared" si="52"/>
        <v/>
      </c>
      <c r="I151" s="351">
        <f t="shared" si="53"/>
        <v>0</v>
      </c>
      <c r="J151">
        <v>14.5</v>
      </c>
    </row>
    <row r="152" spans="1:10" hidden="1" outlineLevel="1" x14ac:dyDescent="0.25">
      <c r="A152" s="925"/>
      <c r="B152" s="266">
        <f t="shared" si="47"/>
        <v>1</v>
      </c>
      <c r="C152" s="351">
        <f t="shared" si="54"/>
        <v>0</v>
      </c>
      <c r="D152" s="52">
        <f t="shared" si="48"/>
        <v>4</v>
      </c>
      <c r="E152" s="351">
        <f t="shared" si="49"/>
        <v>0</v>
      </c>
      <c r="F152" s="52" t="str">
        <f t="shared" si="50"/>
        <v/>
      </c>
      <c r="G152" s="351">
        <f t="shared" si="51"/>
        <v>0</v>
      </c>
      <c r="H152" s="52" t="str">
        <f t="shared" si="52"/>
        <v/>
      </c>
      <c r="I152" s="351">
        <f t="shared" si="53"/>
        <v>0</v>
      </c>
      <c r="J152">
        <v>15</v>
      </c>
    </row>
    <row r="153" spans="1:10" hidden="1" outlineLevel="1" x14ac:dyDescent="0.25">
      <c r="A153" s="925"/>
      <c r="B153" s="266">
        <f t="shared" si="47"/>
        <v>0.5</v>
      </c>
      <c r="C153" s="351">
        <f t="shared" si="54"/>
        <v>0</v>
      </c>
      <c r="D153" s="52">
        <f t="shared" si="48"/>
        <v>3.5</v>
      </c>
      <c r="E153" s="351">
        <f t="shared" si="49"/>
        <v>1</v>
      </c>
      <c r="F153" s="52" t="str">
        <f t="shared" si="50"/>
        <v/>
      </c>
      <c r="G153" s="351">
        <f t="shared" si="51"/>
        <v>0</v>
      </c>
      <c r="H153" s="52" t="str">
        <f t="shared" si="52"/>
        <v/>
      </c>
      <c r="I153" s="351">
        <f t="shared" si="53"/>
        <v>0</v>
      </c>
      <c r="J153">
        <v>15.5</v>
      </c>
    </row>
    <row r="154" spans="1:10" hidden="1" outlineLevel="1" x14ac:dyDescent="0.25">
      <c r="A154" s="925"/>
      <c r="B154" s="266">
        <f t="shared" si="47"/>
        <v>0</v>
      </c>
      <c r="C154" s="351">
        <f t="shared" si="54"/>
        <v>1</v>
      </c>
      <c r="D154" s="52">
        <f t="shared" si="48"/>
        <v>3</v>
      </c>
      <c r="E154" s="351">
        <f t="shared" si="49"/>
        <v>1</v>
      </c>
      <c r="F154" s="52" t="str">
        <f t="shared" si="50"/>
        <v/>
      </c>
      <c r="G154" s="351">
        <f t="shared" si="51"/>
        <v>0</v>
      </c>
      <c r="H154" s="52" t="str">
        <f t="shared" si="52"/>
        <v/>
      </c>
      <c r="I154" s="351">
        <f t="shared" si="53"/>
        <v>0</v>
      </c>
      <c r="J154">
        <v>16</v>
      </c>
    </row>
    <row r="155" spans="1:10" hidden="1" outlineLevel="1" x14ac:dyDescent="0.25">
      <c r="A155" s="925"/>
      <c r="B155" s="266">
        <f t="shared" si="47"/>
        <v>-0.5</v>
      </c>
      <c r="C155" s="351">
        <f t="shared" si="54"/>
        <v>0</v>
      </c>
      <c r="D155" s="52">
        <f t="shared" si="48"/>
        <v>2.5</v>
      </c>
      <c r="E155" s="351">
        <f t="shared" si="49"/>
        <v>0</v>
      </c>
      <c r="F155" s="52" t="str">
        <f t="shared" si="50"/>
        <v/>
      </c>
      <c r="G155" s="351">
        <f t="shared" si="51"/>
        <v>0</v>
      </c>
      <c r="H155" s="52" t="str">
        <f t="shared" si="52"/>
        <v/>
      </c>
      <c r="I155" s="351">
        <f t="shared" si="53"/>
        <v>0</v>
      </c>
      <c r="J155">
        <v>16.5</v>
      </c>
    </row>
    <row r="156" spans="1:10" hidden="1" outlineLevel="1" x14ac:dyDescent="0.25">
      <c r="A156" s="925"/>
      <c r="B156" s="266">
        <f t="shared" si="47"/>
        <v>-1</v>
      </c>
      <c r="C156" s="351">
        <f t="shared" si="54"/>
        <v>0</v>
      </c>
      <c r="D156" s="52">
        <f t="shared" si="48"/>
        <v>2</v>
      </c>
      <c r="E156" s="351">
        <f t="shared" si="49"/>
        <v>1</v>
      </c>
      <c r="F156" s="52" t="str">
        <f t="shared" si="50"/>
        <v/>
      </c>
      <c r="G156" s="351">
        <f t="shared" si="51"/>
        <v>0</v>
      </c>
      <c r="H156" s="52" t="str">
        <f t="shared" si="52"/>
        <v/>
      </c>
      <c r="I156" s="351">
        <f t="shared" si="53"/>
        <v>0</v>
      </c>
      <c r="J156">
        <v>17</v>
      </c>
    </row>
    <row r="157" spans="1:10" hidden="1" outlineLevel="1" x14ac:dyDescent="0.25">
      <c r="A157" s="925"/>
      <c r="B157" s="266">
        <f t="shared" si="47"/>
        <v>-1.5</v>
      </c>
      <c r="C157" s="351">
        <f t="shared" si="54"/>
        <v>0</v>
      </c>
      <c r="D157" s="52">
        <f t="shared" si="48"/>
        <v>1.5</v>
      </c>
      <c r="E157" s="351">
        <f t="shared" si="49"/>
        <v>0</v>
      </c>
      <c r="F157" s="52" t="str">
        <f t="shared" si="50"/>
        <v/>
      </c>
      <c r="G157" s="351">
        <f t="shared" si="51"/>
        <v>0</v>
      </c>
      <c r="H157" s="52" t="str">
        <f t="shared" si="52"/>
        <v/>
      </c>
      <c r="I157" s="351">
        <f t="shared" si="53"/>
        <v>0</v>
      </c>
      <c r="J157">
        <v>17.5</v>
      </c>
    </row>
    <row r="158" spans="1:10" hidden="1" outlineLevel="1" x14ac:dyDescent="0.25">
      <c r="A158" s="925"/>
      <c r="B158" s="266">
        <f t="shared" si="47"/>
        <v>-2</v>
      </c>
      <c r="C158" s="351">
        <f t="shared" si="54"/>
        <v>1</v>
      </c>
      <c r="D158" s="52">
        <f t="shared" si="48"/>
        <v>1</v>
      </c>
      <c r="E158" s="351">
        <f t="shared" si="49"/>
        <v>0</v>
      </c>
      <c r="F158" s="52" t="str">
        <f t="shared" si="50"/>
        <v/>
      </c>
      <c r="G158" s="351">
        <f t="shared" si="51"/>
        <v>0</v>
      </c>
      <c r="H158" s="52" t="str">
        <f t="shared" si="52"/>
        <v/>
      </c>
      <c r="I158" s="351">
        <f t="shared" si="53"/>
        <v>0</v>
      </c>
      <c r="J158">
        <v>18</v>
      </c>
    </row>
    <row r="159" spans="1:10" hidden="1" outlineLevel="1" x14ac:dyDescent="0.25">
      <c r="A159" s="925"/>
      <c r="B159" s="266" t="str">
        <f t="shared" si="47"/>
        <v/>
      </c>
      <c r="C159" s="351">
        <f t="shared" si="54"/>
        <v>0</v>
      </c>
      <c r="D159" s="52">
        <f t="shared" si="48"/>
        <v>0.5</v>
      </c>
      <c r="E159" s="351">
        <f t="shared" si="49"/>
        <v>0</v>
      </c>
      <c r="F159" s="52" t="str">
        <f t="shared" si="50"/>
        <v/>
      </c>
      <c r="G159" s="351">
        <f t="shared" si="51"/>
        <v>0</v>
      </c>
      <c r="H159" s="52" t="str">
        <f t="shared" si="52"/>
        <v/>
      </c>
      <c r="I159" s="351">
        <f t="shared" si="53"/>
        <v>0</v>
      </c>
      <c r="J159">
        <v>18.5</v>
      </c>
    </row>
    <row r="160" spans="1:10" hidden="1" outlineLevel="1" x14ac:dyDescent="0.25">
      <c r="A160" s="925"/>
      <c r="B160" s="266" t="str">
        <f t="shared" si="47"/>
        <v/>
      </c>
      <c r="C160" s="351">
        <f t="shared" si="54"/>
        <v>0</v>
      </c>
      <c r="D160" s="52">
        <f t="shared" si="48"/>
        <v>0</v>
      </c>
      <c r="E160" s="351">
        <f t="shared" si="49"/>
        <v>1</v>
      </c>
      <c r="F160" s="52" t="str">
        <f t="shared" si="50"/>
        <v/>
      </c>
      <c r="G160" s="351">
        <f t="shared" si="51"/>
        <v>0</v>
      </c>
      <c r="H160" s="52" t="str">
        <f t="shared" si="52"/>
        <v/>
      </c>
      <c r="I160" s="351">
        <f t="shared" si="53"/>
        <v>0</v>
      </c>
      <c r="J160">
        <v>19</v>
      </c>
    </row>
    <row r="161" spans="1:15" hidden="1" outlineLevel="1" x14ac:dyDescent="0.25">
      <c r="A161" s="925"/>
      <c r="B161" s="266" t="str">
        <f t="shared" si="47"/>
        <v/>
      </c>
      <c r="C161" s="351">
        <f t="shared" si="54"/>
        <v>0</v>
      </c>
      <c r="D161" s="52">
        <f t="shared" si="48"/>
        <v>-0.5</v>
      </c>
      <c r="E161" s="351">
        <f t="shared" si="49"/>
        <v>0</v>
      </c>
      <c r="F161" s="52" t="str">
        <f t="shared" si="50"/>
        <v/>
      </c>
      <c r="G161" s="351">
        <f t="shared" si="51"/>
        <v>0</v>
      </c>
      <c r="H161" s="52" t="str">
        <f t="shared" si="52"/>
        <v/>
      </c>
      <c r="I161" s="351">
        <f t="shared" si="53"/>
        <v>0</v>
      </c>
      <c r="J161">
        <v>19.5</v>
      </c>
    </row>
    <row r="162" spans="1:15" hidden="1" outlineLevel="1" x14ac:dyDescent="0.25">
      <c r="A162" s="925"/>
      <c r="B162" s="266" t="str">
        <f t="shared" si="47"/>
        <v/>
      </c>
      <c r="C162" s="351">
        <f t="shared" si="54"/>
        <v>0</v>
      </c>
      <c r="D162" s="52">
        <f t="shared" si="48"/>
        <v>-1</v>
      </c>
      <c r="E162" s="351">
        <f t="shared" si="49"/>
        <v>0</v>
      </c>
      <c r="F162" s="52" t="str">
        <f t="shared" si="50"/>
        <v/>
      </c>
      <c r="G162" s="351">
        <f t="shared" si="51"/>
        <v>0</v>
      </c>
      <c r="H162" s="52" t="str">
        <f t="shared" si="52"/>
        <v/>
      </c>
      <c r="I162" s="351">
        <f t="shared" si="53"/>
        <v>0</v>
      </c>
      <c r="J162">
        <v>20</v>
      </c>
    </row>
    <row r="163" spans="1:15" hidden="1" outlineLevel="1" x14ac:dyDescent="0.25">
      <c r="A163" s="925"/>
      <c r="B163" s="266" t="str">
        <f t="shared" si="47"/>
        <v/>
      </c>
      <c r="C163" s="351">
        <f t="shared" si="54"/>
        <v>0</v>
      </c>
      <c r="D163" s="52">
        <f t="shared" si="48"/>
        <v>-1.5</v>
      </c>
      <c r="E163" s="351">
        <f t="shared" si="49"/>
        <v>0</v>
      </c>
      <c r="F163" s="52" t="str">
        <f t="shared" si="50"/>
        <v/>
      </c>
      <c r="G163" s="351">
        <f t="shared" si="51"/>
        <v>0</v>
      </c>
      <c r="H163" s="52" t="str">
        <f t="shared" si="52"/>
        <v/>
      </c>
      <c r="I163" s="351">
        <f t="shared" si="53"/>
        <v>0</v>
      </c>
      <c r="J163">
        <v>20.5</v>
      </c>
    </row>
    <row r="164" spans="1:15" hidden="1" outlineLevel="1" x14ac:dyDescent="0.25">
      <c r="A164" s="925"/>
      <c r="B164" s="266" t="str">
        <f t="shared" si="47"/>
        <v/>
      </c>
      <c r="C164" s="351">
        <f t="shared" si="54"/>
        <v>0</v>
      </c>
      <c r="D164" s="52">
        <f t="shared" si="48"/>
        <v>-2</v>
      </c>
      <c r="E164" s="351">
        <f t="shared" si="49"/>
        <v>1</v>
      </c>
      <c r="F164" s="52" t="str">
        <f t="shared" si="50"/>
        <v/>
      </c>
      <c r="G164" s="351">
        <f t="shared" si="51"/>
        <v>0</v>
      </c>
      <c r="H164" s="52" t="str">
        <f t="shared" si="52"/>
        <v/>
      </c>
      <c r="I164" s="351">
        <f t="shared" si="53"/>
        <v>0</v>
      </c>
      <c r="J164">
        <v>21</v>
      </c>
    </row>
    <row r="165" spans="1:15" hidden="1" outlineLevel="1" x14ac:dyDescent="0.25">
      <c r="A165" s="925"/>
      <c r="B165" s="266" t="str">
        <f t="shared" si="47"/>
        <v/>
      </c>
      <c r="C165" s="351">
        <f t="shared" si="54"/>
        <v>0</v>
      </c>
      <c r="D165" s="52" t="str">
        <f t="shared" si="48"/>
        <v/>
      </c>
      <c r="E165" s="351">
        <f t="shared" si="49"/>
        <v>0</v>
      </c>
      <c r="F165" s="52" t="str">
        <f t="shared" si="50"/>
        <v/>
      </c>
      <c r="G165" s="351">
        <f t="shared" si="51"/>
        <v>0</v>
      </c>
      <c r="H165" s="52" t="str">
        <f t="shared" si="52"/>
        <v/>
      </c>
      <c r="I165" s="351">
        <f t="shared" si="53"/>
        <v>0</v>
      </c>
      <c r="J165">
        <v>21.5</v>
      </c>
      <c r="O165" t="str">
        <f t="array" ref="O165">IFERROR(INDEX(Montageplatten[Teil],LARGE((Montageplatten[Randbedingungen]=$L$70)*(ROW(Montageplatten[Randbedingungen])-1),COUNTIF(Montageplatten[Randbedingungen],$L$70)+1-ROW(A80))),"")</f>
        <v/>
      </c>
    </row>
    <row r="166" spans="1:15" hidden="1" outlineLevel="1" x14ac:dyDescent="0.25">
      <c r="A166" s="925"/>
      <c r="B166" s="266" t="str">
        <f t="shared" si="47"/>
        <v/>
      </c>
      <c r="C166" s="351">
        <f t="shared" si="54"/>
        <v>0</v>
      </c>
      <c r="D166" s="52" t="str">
        <f t="shared" si="48"/>
        <v/>
      </c>
      <c r="E166" s="351">
        <f t="shared" si="49"/>
        <v>0</v>
      </c>
      <c r="F166" s="52" t="str">
        <f t="shared" si="50"/>
        <v/>
      </c>
      <c r="G166" s="351">
        <f t="shared" si="51"/>
        <v>0</v>
      </c>
      <c r="H166" s="52" t="str">
        <f t="shared" si="52"/>
        <v/>
      </c>
      <c r="I166" s="351">
        <f t="shared" si="53"/>
        <v>0</v>
      </c>
      <c r="J166">
        <v>22</v>
      </c>
      <c r="O166" t="str">
        <f t="array" ref="O166">IFERROR(INDEX(Montageplatten[Teil],LARGE((Montageplatten[Randbedingungen]=$L$70)*(ROW(Montageplatten[Randbedingungen])-1),COUNTIF(Montageplatten[Randbedingungen],$L$70)+1-ROW(A81))),"")</f>
        <v/>
      </c>
    </row>
    <row r="167" spans="1:15" hidden="1" outlineLevel="1" x14ac:dyDescent="0.25">
      <c r="A167" s="925"/>
      <c r="B167" s="266" t="str">
        <f t="shared" si="47"/>
        <v/>
      </c>
      <c r="C167" s="351">
        <f t="shared" si="54"/>
        <v>0</v>
      </c>
      <c r="D167" s="52" t="str">
        <f t="shared" si="48"/>
        <v/>
      </c>
      <c r="E167" s="351">
        <f t="shared" si="49"/>
        <v>0</v>
      </c>
      <c r="F167" s="52" t="str">
        <f t="shared" si="50"/>
        <v/>
      </c>
      <c r="G167" s="351">
        <f t="shared" si="51"/>
        <v>0</v>
      </c>
      <c r="H167" s="52" t="str">
        <f t="shared" si="52"/>
        <v/>
      </c>
      <c r="I167" s="351">
        <f t="shared" si="53"/>
        <v>0</v>
      </c>
      <c r="J167">
        <v>22.5</v>
      </c>
      <c r="O167" t="str">
        <f t="array" ref="O167">IFERROR(INDEX(Montageplatten[Teil],LARGE((Montageplatten[Randbedingungen]=$L$70)*(ROW(Montageplatten[Randbedingungen])-1),COUNTIF(Montageplatten[Randbedingungen],$L$70)+1-ROW(A82))),"")</f>
        <v/>
      </c>
    </row>
    <row r="168" spans="1:15" hidden="1" outlineLevel="1" x14ac:dyDescent="0.25">
      <c r="A168" s="925"/>
      <c r="B168" s="266" t="str">
        <f t="shared" si="47"/>
        <v/>
      </c>
      <c r="C168" s="351">
        <f t="shared" si="54"/>
        <v>0</v>
      </c>
      <c r="D168" s="52" t="str">
        <f t="shared" si="48"/>
        <v/>
      </c>
      <c r="E168" s="351">
        <f t="shared" si="49"/>
        <v>0</v>
      </c>
      <c r="F168" s="52" t="str">
        <f t="shared" si="50"/>
        <v/>
      </c>
      <c r="G168" s="351">
        <f t="shared" si="51"/>
        <v>0</v>
      </c>
      <c r="H168" s="52" t="str">
        <f t="shared" si="52"/>
        <v/>
      </c>
      <c r="I168" s="351">
        <f t="shared" si="53"/>
        <v>0</v>
      </c>
      <c r="J168">
        <v>23</v>
      </c>
      <c r="O168" t="str">
        <f t="array" ref="O168">IFERROR(INDEX(Montageplatten[Teil],LARGE((Montageplatten[Randbedingungen]=$L$70)*(ROW(Montageplatten[Randbedingungen])-1),COUNTIF(Montageplatten[Randbedingungen],$L$70)+1-ROW(A83))),"")</f>
        <v/>
      </c>
    </row>
    <row r="169" spans="1:15" hidden="1" outlineLevel="1" x14ac:dyDescent="0.25">
      <c r="A169" s="925"/>
      <c r="B169" s="266" t="str">
        <f t="shared" si="47"/>
        <v/>
      </c>
      <c r="C169" s="351">
        <f t="shared" si="54"/>
        <v>0</v>
      </c>
      <c r="D169" s="52" t="str">
        <f t="shared" si="48"/>
        <v/>
      </c>
      <c r="E169" s="351">
        <f t="shared" si="49"/>
        <v>0</v>
      </c>
      <c r="F169" s="52" t="str">
        <f t="shared" si="50"/>
        <v/>
      </c>
      <c r="G169" s="351">
        <f t="shared" si="51"/>
        <v>0</v>
      </c>
      <c r="H169" s="52" t="str">
        <f t="shared" si="52"/>
        <v/>
      </c>
      <c r="I169" s="351">
        <f t="shared" si="53"/>
        <v>0</v>
      </c>
      <c r="J169">
        <v>23.5</v>
      </c>
      <c r="O169" t="str">
        <f t="array" ref="O169">IFERROR(INDEX(Montageplatten[Teil],LARGE((Montageplatten[Randbedingungen]=$L$70)*(ROW(Montageplatten[Randbedingungen])-1),COUNTIF(Montageplatten[Randbedingungen],$L$70)+1-ROW(A84))),"")</f>
        <v/>
      </c>
    </row>
    <row r="170" spans="1:15" hidden="1" outlineLevel="1" x14ac:dyDescent="0.25">
      <c r="A170" s="925"/>
      <c r="B170" s="266" t="str">
        <f t="shared" si="47"/>
        <v/>
      </c>
      <c r="C170" s="351">
        <f t="shared" si="54"/>
        <v>0</v>
      </c>
      <c r="D170" s="52" t="str">
        <f t="shared" si="48"/>
        <v/>
      </c>
      <c r="E170" s="351">
        <f t="shared" si="49"/>
        <v>0</v>
      </c>
      <c r="F170" s="52" t="str">
        <f t="shared" si="50"/>
        <v/>
      </c>
      <c r="G170" s="351">
        <f t="shared" si="51"/>
        <v>0</v>
      </c>
      <c r="H170" s="52" t="str">
        <f t="shared" si="52"/>
        <v/>
      </c>
      <c r="I170" s="351">
        <f t="shared" si="53"/>
        <v>0</v>
      </c>
      <c r="J170">
        <v>24</v>
      </c>
      <c r="O170" t="str">
        <f t="array" ref="O170">IFERROR(INDEX(Montageplatten[Teil],LARGE((Montageplatten[Randbedingungen]=$L$70)*(ROW(Montageplatten[Randbedingungen])-1),COUNTIF(Montageplatten[Randbedingungen],$L$70)+1-ROW(A85))),"")</f>
        <v/>
      </c>
    </row>
    <row r="171" spans="1:15" hidden="1" outlineLevel="1" x14ac:dyDescent="0.25">
      <c r="A171" s="100"/>
    </row>
    <row r="172" spans="1:15" hidden="1" outlineLevel="1" x14ac:dyDescent="0.25">
      <c r="A172" s="4">
        <f>IF(N44=4,G172,IFERROR(SMALL(C172:I172,1),"-"))</f>
        <v>0.5</v>
      </c>
      <c r="C172" s="40">
        <f>IFERROR(VLOOKUP(L70,C123:J170,8,FALSE),"")</f>
        <v>0.5</v>
      </c>
      <c r="E172" s="40">
        <f>IFERROR(VLOOKUP(L70,E123:J170,6,FALSE),"")</f>
        <v>3.5</v>
      </c>
      <c r="G172" s="40">
        <f>IFERROR(VLOOKUP(L70,G123:J170,4,FALSE),"")</f>
        <v>0.5</v>
      </c>
      <c r="I172" s="40">
        <f>IFERROR(VLOOKUP(L70,I123:J170,2,FALSE),"")</f>
        <v>2</v>
      </c>
    </row>
    <row r="173" spans="1:15" hidden="1" outlineLevel="1" x14ac:dyDescent="0.25"/>
    <row r="174" spans="1:15" hidden="1" outlineLevel="1" x14ac:dyDescent="0.25"/>
    <row r="175" spans="1:15" hidden="1" outlineLevel="1" x14ac:dyDescent="0.25">
      <c r="A175" t="s">
        <v>882</v>
      </c>
    </row>
    <row r="176" spans="1:15" hidden="1" outlineLevel="1" x14ac:dyDescent="0.25">
      <c r="A176" s="75">
        <f>L178</f>
        <v>1</v>
      </c>
      <c r="B176">
        <f>ROW()</f>
        <v>176</v>
      </c>
      <c r="E176" s="3">
        <v>1</v>
      </c>
      <c r="F176" t="s">
        <v>886</v>
      </c>
    </row>
    <row r="177" spans="1:12" hidden="1" outlineLevel="1" x14ac:dyDescent="0.25">
      <c r="A177" s="305">
        <f ca="1">IF(B177&lt;&gt;"",1,0)</f>
        <v>1</v>
      </c>
      <c r="B177" s="367" t="str">
        <f ca="1">IF(SUM(A178:A181)&gt;1,D177,"")</f>
        <v>alle</v>
      </c>
      <c r="C177" s="369">
        <v>-1000</v>
      </c>
      <c r="D177" t="str">
        <f ca="1">Sprache!$A$57</f>
        <v>alle</v>
      </c>
      <c r="E177">
        <v>1</v>
      </c>
      <c r="F177" s="22" t="str">
        <f t="array" aca="1" ref="F177" ca="1">IFERROR(INDEX(B$177:B$181,LARGE((A$177:A$181=A$176)*(ROW(A$177:A$181)-B$176),COUNTIF(A$177:A$181,A$176)+1-ROW(A1))),Sprache!A56&amp;" "&amp;Sprache!A146)</f>
        <v>alle</v>
      </c>
      <c r="G177" s="22">
        <f t="array" aca="1" ref="G177" ca="1">IFERROR(INDEX($C$177:$C$181,LARGE(($A$177:$A$181=$A$176)*(ROW($A$177:$A$181)-$B$176),COUNTIF($A$177:$A$181,$A$176)+1-ROW(A1))),"")</f>
        <v>-1000</v>
      </c>
      <c r="H177">
        <f ca="1">IF(G177&lt;&gt;"",1,0)</f>
        <v>1</v>
      </c>
      <c r="K177" t="s">
        <v>1418</v>
      </c>
    </row>
    <row r="178" spans="1:12" hidden="1" outlineLevel="1" x14ac:dyDescent="0.25">
      <c r="A178" s="71">
        <f ca="1">IF(B178&lt;&gt;"",1,0)</f>
        <v>1</v>
      </c>
      <c r="B178" s="34" t="str">
        <f ca="1">IF(I70&gt;0,D178,"")</f>
        <v>einliegend (K19)</v>
      </c>
      <c r="C178" s="55">
        <v>19</v>
      </c>
      <c r="D178" t="str">
        <f ca="1">Sprache!$A$63</f>
        <v>einliegend (K19)</v>
      </c>
      <c r="E178">
        <v>2</v>
      </c>
      <c r="F178" s="22" t="str">
        <f t="array" aca="1" ref="F178" ca="1">IFERROR(INDEX($B$177:$B$181,LARGE(($A$177:$A$181=$A$176)*(ROW($A$177:$A$181)-$B$176),COUNTIF($A$177:$A$181,$A$176)+1-ROW(A2))),"")</f>
        <v>einliegend (K19)</v>
      </c>
      <c r="G178" s="22">
        <f t="array" aca="1" ref="G178" ca="1">IFERROR(INDEX($C$177:$C$181,LARGE(($A$177:$A$181=$A$176)*(ROW($A$177:$A$181)-$B$176),COUNTIF($A$177:$A$181,$A$176)+1-ROW(A2))),"")</f>
        <v>19</v>
      </c>
      <c r="H178">
        <f ca="1">IF(G178&lt;&gt;"",1,0)</f>
        <v>1</v>
      </c>
      <c r="K178" s="864">
        <f>H70</f>
        <v>0</v>
      </c>
      <c r="L178" s="74">
        <f>IF(A1="TIOMOS SELECTOR erstellt von SYS33 EDV Dienstleistung im Auftrag von GRASS Reinheim",1,100)</f>
        <v>1</v>
      </c>
    </row>
    <row r="179" spans="1:12" hidden="1" outlineLevel="1" x14ac:dyDescent="0.25">
      <c r="A179" s="71">
        <f ca="1">IF(B179&lt;&gt;"",1,0)</f>
        <v>1</v>
      </c>
      <c r="B179" s="34" t="str">
        <f ca="1">IF(G70&gt;0,D179,"")</f>
        <v>halb aufliegend (K9.5)</v>
      </c>
      <c r="C179" s="55">
        <v>9.5</v>
      </c>
      <c r="D179" t="str">
        <f ca="1">Sprache!$A$61</f>
        <v>halb aufliegend (K9.5)</v>
      </c>
      <c r="E179">
        <v>3</v>
      </c>
      <c r="F179" s="22" t="str">
        <f t="array" aca="1" ref="F179" ca="1">IFERROR(INDEX($B$177:$B$181,LARGE(($A$177:$A$181=$A$176)*(ROW($A$177:$A$181)-$B$176),COUNTIF($A$177:$A$181,$A$176)+1-ROW(A3))),"")</f>
        <v>halb aufliegend (K9.5)</v>
      </c>
      <c r="G179" s="22">
        <f t="array" aca="1" ref="G179" ca="1">IFERROR(INDEX($C$177:$C$181,LARGE(($A$177:$A$181=$A$176)*(ROW($A$177:$A$181)-$B$176),COUNTIF($A$177:$A$181,$A$176)+1-ROW(A3))),"")</f>
        <v>9.5</v>
      </c>
      <c r="H179">
        <f ca="1">IF(G179&lt;&gt;"",1,0)</f>
        <v>1</v>
      </c>
      <c r="K179" s="170">
        <f>F70</f>
        <v>9.5</v>
      </c>
    </row>
    <row r="180" spans="1:12" hidden="1" outlineLevel="1" x14ac:dyDescent="0.25">
      <c r="A180" s="71">
        <f ca="1">IF(B180&lt;&gt;"",1,0)</f>
        <v>1</v>
      </c>
      <c r="B180" s="34" t="str">
        <f ca="1">IF(E70&gt;0,D180,"")</f>
        <v>voll aufliegend (K0)</v>
      </c>
      <c r="C180" s="55">
        <v>0</v>
      </c>
      <c r="D180" t="str">
        <f ca="1">Sprache!$A$59</f>
        <v>voll aufliegend (K0)</v>
      </c>
      <c r="E180">
        <v>4</v>
      </c>
      <c r="F180" s="22" t="str">
        <f t="array" aca="1" ref="F180" ca="1">IFERROR(INDEX($B$177:$B$181,LARGE(($A$177:$A$181=$A$176)*(ROW($A$177:$A$181)-$B$176),COUNTIF($A$177:$A$181,$A$176)+1-ROW(A4))),"")</f>
        <v>voll aufliegend (K0)</v>
      </c>
      <c r="G180" s="22">
        <f t="array" aca="1" ref="G180" ca="1">IFERROR(INDEX($C$177:$C$181,LARGE(($A$177:$A$181=$A$176)*(ROW($A$177:$A$181)-$B$176),COUNTIF($A$177:$A$181,$A$176)+1-ROW(A4))),"")</f>
        <v>0</v>
      </c>
      <c r="H180">
        <f ca="1">IF(G180&lt;&gt;"",1,0)</f>
        <v>1</v>
      </c>
      <c r="K180" s="170">
        <f>D70</f>
        <v>19</v>
      </c>
    </row>
    <row r="181" spans="1:12" hidden="1" outlineLevel="1" x14ac:dyDescent="0.25">
      <c r="A181" s="92">
        <f>IF(B181&lt;&gt;"",1,0)</f>
        <v>0</v>
      </c>
      <c r="B181" s="6" t="str">
        <f>IF(C70&gt;0,D181,"")</f>
        <v/>
      </c>
      <c r="C181" s="56">
        <v>3</v>
      </c>
      <c r="D181" t="str">
        <f ca="1">Sprache!$A$60</f>
        <v>aufliegend (K3)</v>
      </c>
      <c r="E181">
        <v>5</v>
      </c>
      <c r="F181" s="22" t="str">
        <f t="array" aca="1" ref="F181" ca="1">IFERROR(INDEX($B$177:$B$181,LARGE(($A$177:$A$181=$A$176)*(ROW($A$177:$A$181)-$B$176),COUNTIF($A$177:$A$181,$A$176)+1-ROW(A5))),"")</f>
        <v/>
      </c>
      <c r="G181" s="22" t="str">
        <f t="array" aca="1" ref="G181" ca="1">IFERROR(INDEX($C$177:$C$181,LARGE(($A$177:$A$181=$A$176)*(ROW($A$177:$A$181)-$B$176),COUNTIF($A$177:$A$181,$A$176)+1-ROW(A5))),"")</f>
        <v/>
      </c>
      <c r="H181">
        <f ca="1">IF(G181&lt;&gt;"",1,0)</f>
        <v>0</v>
      </c>
      <c r="K181" s="129">
        <f>B70</f>
        <v>16</v>
      </c>
    </row>
    <row r="182" spans="1:12" hidden="1" outlineLevel="1" x14ac:dyDescent="0.25"/>
    <row r="183" spans="1:12" hidden="1" outlineLevel="1" x14ac:dyDescent="0.25">
      <c r="E183" t="s">
        <v>5</v>
      </c>
      <c r="F183" s="4">
        <f ca="1">VLOOKUP(E176,E177:G181,3,FALSE)</f>
        <v>-1000</v>
      </c>
      <c r="H183" s="22">
        <f ca="1">SUM(H177:H181)</f>
        <v>4</v>
      </c>
      <c r="J183" s="131" t="str">
        <f ca="1">IF(H183=0,Sprache!$A$39,"")</f>
        <v/>
      </c>
    </row>
    <row r="184" spans="1:12" hidden="1" outlineLevel="1" x14ac:dyDescent="0.25"/>
    <row r="185" spans="1:12" hidden="1" outlineLevel="1" x14ac:dyDescent="0.25"/>
    <row r="186" spans="1:12" hidden="1" outlineLevel="1" x14ac:dyDescent="0.25">
      <c r="G186" s="101">
        <f>Standard!C21</f>
        <v>1.5</v>
      </c>
      <c r="H186">
        <f>IF(G186="---",0,G186)</f>
        <v>1.5</v>
      </c>
      <c r="J186">
        <f>IF(AND(G186="---",G187="---")=TRUE,0,1)</f>
        <v>1</v>
      </c>
    </row>
    <row r="187" spans="1:12" hidden="1" outlineLevel="1" x14ac:dyDescent="0.25">
      <c r="G187" s="102">
        <f>Standard!C26</f>
        <v>-1</v>
      </c>
      <c r="H187">
        <f>IF(G187="---",0,G187)</f>
        <v>-1</v>
      </c>
      <c r="J187" s="6">
        <f>IF(OR(G186="---",G187="---")=TRUE,0,1)</f>
        <v>1</v>
      </c>
    </row>
    <row r="188" spans="1:12" hidden="1" outlineLevel="1" x14ac:dyDescent="0.25">
      <c r="J188">
        <f>J187+J186</f>
        <v>2</v>
      </c>
    </row>
    <row r="189" spans="1:12" hidden="1" outlineLevel="1" x14ac:dyDescent="0.25"/>
    <row r="190" spans="1:12" hidden="1" outlineLevel="1" x14ac:dyDescent="0.25"/>
    <row r="191" spans="1:12" hidden="1" outlineLevel="1" x14ac:dyDescent="0.25"/>
    <row r="192" spans="1:12" hidden="1" outlineLevel="1" x14ac:dyDescent="0.25"/>
    <row r="193" spans="1:13" hidden="1" outlineLevel="1" x14ac:dyDescent="0.25"/>
    <row r="194" spans="1:13" hidden="1" outlineLevel="1" x14ac:dyDescent="0.25">
      <c r="A194" t="s">
        <v>887</v>
      </c>
    </row>
    <row r="195" spans="1:13" hidden="1" outlineLevel="1" x14ac:dyDescent="0.25">
      <c r="A195" s="75">
        <f>L178</f>
        <v>1</v>
      </c>
    </row>
    <row r="196" spans="1:13" ht="82.5" hidden="1" outlineLevel="1" x14ac:dyDescent="0.25">
      <c r="A196">
        <f>ROW()</f>
        <v>196</v>
      </c>
      <c r="D196" s="7" t="str">
        <f>Montageplatten[[#Headers],[Bezeichnung 1]]</f>
        <v>Bezeichnung 1</v>
      </c>
      <c r="E196" s="7" t="str">
        <f>Montageplatten[[#Headers],[Bezeichnung 2]]</f>
        <v>Bezeichnung 2</v>
      </c>
      <c r="F196" s="7" t="str">
        <f>Montageplatten[[#Headers],[Bezeichnung TGr]]</f>
        <v>Bezeichnung TGr</v>
      </c>
      <c r="G196" s="7" t="str">
        <f>Montageplatten[[#Headers],[37/32]]</f>
        <v>37/32</v>
      </c>
      <c r="H196" s="7" t="str">
        <f>Montageplatten[[#Headers],[28/32]]</f>
        <v>28/32</v>
      </c>
      <c r="I196" s="7" t="s">
        <v>1358</v>
      </c>
      <c r="J196" s="7" t="s">
        <v>1361</v>
      </c>
      <c r="K196" s="7" t="s">
        <v>1370</v>
      </c>
      <c r="L196" s="7" t="str">
        <f>Montageplatten[[#Headers],[Höhe]]</f>
        <v>Höhe</v>
      </c>
      <c r="M196" s="7" t="str">
        <f>Montageplatten[[#Headers],[Teil]]</f>
        <v>Teil</v>
      </c>
    </row>
    <row r="197" spans="1:13" hidden="1" outlineLevel="1" x14ac:dyDescent="0.25">
      <c r="A197" s="4" t="str">
        <f t="array" aca="1" ref="A197" ca="1">IFERROR(INDEX(Montageplatten[Spalte1],LARGE((Montageplatten[Gesamt]=$A$195)*(ROW(Montageplatten[Gesamt])-1),COUNTIF(Montageplatten[Gesamt],$A$195)+1-ROW(A1))),"")</f>
        <v>F058</v>
      </c>
      <c r="B197" s="4" t="str">
        <f t="array" aca="1" ref="B197" ca="1">IFERROR(INDEX(Montageplatten[Spalte2],LARGE((Montageplatten[Gesamt]=$A$195)*(ROW(Montageplatten[Gesamt])-1),COUNTIF(Montageplatten[Gesamt],$A$195)+1-ROW(A1))),"")</f>
        <v>139</v>
      </c>
      <c r="C197" s="4" t="str">
        <f t="array" aca="1" ref="C197" ca="1">IFERROR(INDEX(Montageplatten[Spalte3],LARGE((Montageplatten[Gesamt]=$A$195)*(ROW(Montageplatten[Gesamt])-1),COUNTIF(Montageplatten[Gesamt],$A$195)+1-ROW(A1))),"")</f>
        <v>721</v>
      </c>
      <c r="D197" s="4" t="str">
        <f t="array" aca="1" ref="D197" ca="1">IFERROR(INDEX(Montageplatten[Bezeichnung 1],LARGE((Montageplatten[Gesamt]=$A$195)*(ROW(Montageplatten[Gesamt])-1),COUNTIF(Montageplatten[Gesamt],$A$195)+1-ROW(A1))),"")</f>
        <v>Eco Kreuz Mtg-Platte</v>
      </c>
      <c r="E197" s="4" t="str">
        <f t="array" aca="1" ref="E197" ca="1">IFERROR(INDEX(Montageplatten[Bezeichnung 2],LARGE((Montageplatten[Gesamt]=$A$195)*(ROW(Montageplatten[Gesamt])-1),COUNTIF(Montageplatten[Gesamt],$A$195)+1-ROW(A1))),"")</f>
        <v>H 00, ni /37</v>
      </c>
      <c r="F197" s="4" t="str">
        <f t="array" aca="1" ref="F197" ca="1">IFERROR(INDEX(Montageplatten[Bezeichnung TGr],LARGE((Montageplatten[Gesamt]=$A$195)*(ROW(Montageplatten[Gesamt])-1),COUNTIF(Montageplatten[Gesamt],$A$195)+1-ROW(A1))),"")</f>
        <v>Tiomos Montageplatten</v>
      </c>
      <c r="G197" s="4">
        <f t="array" aca="1" ref="G197" ca="1">IFERROR(INDEX(Montageplatten[37/32],LARGE((Montageplatten[Gesamt]=$A$195)*(ROW(Montageplatten[Gesamt])-1),COUNTIF(Montageplatten[Gesamt],$A$195)+1-ROW(A1))),"")</f>
        <v>1</v>
      </c>
      <c r="H197" s="4">
        <f t="array" aca="1" ref="H197" ca="1">IFERROR(INDEX(Montageplatten[28/32],LARGE((Montageplatten[Gesamt]=$A$195)*(ROW(Montageplatten[Gesamt])-1),COUNTIF(Montageplatten[Gesamt],$A$195)+1-ROW(A1))),"")</f>
        <v>0</v>
      </c>
      <c r="I197" s="4">
        <f t="array" aca="1" ref="I197" ca="1">IFERROR(INDEX(Montageplatten[20/32],LARGE((Montageplatten[Gesamt]=$A$195)*(ROW(Montageplatten[Gesamt])-1),COUNTIF(Montageplatten[Gesamt],$A$195)+1-ROW(A1))),"")</f>
        <v>0</v>
      </c>
      <c r="J197" s="4">
        <f t="array" aca="1" ref="J197" ca="1">IFERROR(INDEX(Montageplatten[9,5/32],LARGE((Montageplatten[Gesamt]=$A$195)*(ROW(Montageplatten[Gesamt])-1),COUNTIF(Montageplatten[Gesamt],$A$195)+1-ROW(A1))),"")</f>
        <v>0</v>
      </c>
      <c r="K197" s="4">
        <f t="array" aca="1" ref="K197" ca="1">IFERROR(INDEX(Montageplatten[10/32],LARGE((Montageplatten[Gesamt]=$A$195)*(ROW(Montageplatten[Gesamt])-1),COUNTIF(Montageplatten[Gesamt],$A$195)+1-ROW(A1))),"")</f>
        <v>0</v>
      </c>
      <c r="L197" s="4">
        <f t="array" aca="1" ref="L197" ca="1">IFERROR(INDEX(Montageplatten[Höhe],LARGE((Montageplatten[Gesamt]=$A$195)*(ROW(Montageplatten[Gesamt])-1),COUNTIF(Montageplatten[Gesamt],$A$195)+1-ROW(A1))),"")</f>
        <v>0</v>
      </c>
      <c r="M197" s="4" t="str">
        <f t="array" aca="1" ref="M197" ca="1">IFERROR(INDEX(Montageplatten[Teil],LARGE((Montageplatten[Gesamt]=$A$195)*(ROW(Montageplatten[Gesamt])-1),COUNTIF(Montageplatten[Gesamt],$A$195)+1-ROW(A1))),"")</f>
        <v>F058139721</v>
      </c>
    </row>
    <row r="198" spans="1:13" hidden="1" outlineLevel="1" x14ac:dyDescent="0.25">
      <c r="A198" s="4" t="str">
        <f t="array" aca="1" ref="A198" ca="1">IFERROR(INDEX(Montageplatten[Spalte1],LARGE((Montageplatten[Gesamt]=$A$195)*(ROW(Montageplatten[Gesamt])-1),COUNTIF(Montageplatten[Gesamt],$A$195)+1-ROW(A2))),"")</f>
        <v>F058</v>
      </c>
      <c r="B198" s="4" t="str">
        <f t="array" aca="1" ref="B198" ca="1">IFERROR(INDEX(Montageplatten[Spalte2],LARGE((Montageplatten[Gesamt]=$A$195)*(ROW(Montageplatten[Gesamt])-1),COUNTIF(Montageplatten[Gesamt],$A$195)+1-ROW(A2))),"")</f>
        <v>139</v>
      </c>
      <c r="C198" s="4" t="str">
        <f t="array" aca="1" ref="C198" ca="1">IFERROR(INDEX(Montageplatten[Spalte3],LARGE((Montageplatten[Gesamt]=$A$195)*(ROW(Montageplatten[Gesamt])-1),COUNTIF(Montageplatten[Gesamt],$A$195)+1-ROW(A2))),"")</f>
        <v>746</v>
      </c>
      <c r="D198" s="4" t="str">
        <f t="array" aca="1" ref="D198" ca="1">IFERROR(INDEX(Montageplatten[Bezeichnung 1],LARGE((Montageplatten[Gesamt]=$A$195)*(ROW(Montageplatten[Gesamt])-1),COUNTIF(Montageplatten[Gesamt],$A$195)+1-ROW(A2))),"")</f>
        <v>1D Kreuz Mtg-Platte</v>
      </c>
      <c r="E198" s="4" t="str">
        <f t="array" aca="1" ref="E198" ca="1">IFERROR(INDEX(Montageplatten[Bezeichnung 2],LARGE((Montageplatten[Gesamt]=$A$195)*(ROW(Montageplatten[Gesamt])-1),COUNTIF(Montageplatten[Gesamt],$A$195)+1-ROW(A2))),"")</f>
        <v>H 00, ni /37</v>
      </c>
      <c r="F198" s="4" t="str">
        <f t="array" aca="1" ref="F198" ca="1">IFERROR(INDEX(Montageplatten[Bezeichnung TGr],LARGE((Montageplatten[Gesamt]=$A$195)*(ROW(Montageplatten[Gesamt])-1),COUNTIF(Montageplatten[Gesamt],$A$195)+1-ROW(A2))),"")</f>
        <v>Tiomos Montageplatten</v>
      </c>
      <c r="G198" s="4">
        <f t="array" aca="1" ref="G198" ca="1">IFERROR(INDEX(Montageplatten[37/32],LARGE((Montageplatten[Gesamt]=$A$195)*(ROW(Montageplatten[Gesamt])-1),COUNTIF(Montageplatten[Gesamt],$A$195)+1-ROW(A2))),"")</f>
        <v>1</v>
      </c>
      <c r="H198" s="4">
        <f t="array" aca="1" ref="H198" ca="1">IFERROR(INDEX(Montageplatten[28/32],LARGE((Montageplatten[Gesamt]=$A$195)*(ROW(Montageplatten[Gesamt])-1),COUNTIF(Montageplatten[Gesamt],$A$195)+1-ROW(A2))),"")</f>
        <v>0</v>
      </c>
      <c r="I198" s="4">
        <f t="array" aca="1" ref="I198" ca="1">IFERROR(INDEX(Montageplatten[20/32],LARGE((Montageplatten[Gesamt]=$A$195)*(ROW(Montageplatten[Gesamt])-1),COUNTIF(Montageplatten[Gesamt],$A$195)+1-ROW(A2))),"")</f>
        <v>0</v>
      </c>
      <c r="J198" s="4">
        <f t="array" aca="1" ref="J198" ca="1">IFERROR(INDEX(Montageplatten[9,5/32],LARGE((Montageplatten[Gesamt]=$A$195)*(ROW(Montageplatten[Gesamt])-1),COUNTIF(Montageplatten[Gesamt],$A$195)+1-ROW(A2))),"")</f>
        <v>0</v>
      </c>
      <c r="K198" s="4">
        <f t="array" aca="1" ref="K198" ca="1">IFERROR(INDEX(Montageplatten[10/32],LARGE((Montageplatten[Gesamt]=$A$195)*(ROW(Montageplatten[Gesamt])-1),COUNTIF(Montageplatten[Gesamt],$A$195)+1-ROW(A2))),"")</f>
        <v>0</v>
      </c>
      <c r="L198" s="4">
        <f t="array" aca="1" ref="L198" ca="1">IFERROR(INDEX(Montageplatten[Höhe],LARGE((Montageplatten[Gesamt]=$A$195)*(ROW(Montageplatten[Gesamt])-1),COUNTIF(Montageplatten[Gesamt],$A$195)+1-ROW(A2))),"")</f>
        <v>0</v>
      </c>
      <c r="M198" s="4" t="str">
        <f t="array" aca="1" ref="M198" ca="1">IFERROR(INDEX(Montageplatten[Teil],LARGE((Montageplatten[Gesamt]=$A$195)*(ROW(Montageplatten[Gesamt])-1),COUNTIF(Montageplatten[Gesamt],$A$195)+1-ROW(A2))),"")</f>
        <v>F058139746</v>
      </c>
    </row>
    <row r="199" spans="1:13" hidden="1" outlineLevel="1" x14ac:dyDescent="0.25">
      <c r="A199" s="4" t="str">
        <f t="array" aca="1" ref="A199" ca="1">IFERROR(INDEX(Montageplatten[Spalte1],LARGE((Montageplatten[Gesamt]=$A$195)*(ROW(Montageplatten[Gesamt])-1),COUNTIF(Montageplatten[Gesamt],$A$195)+1-ROW(A3))),"")</f>
        <v>F058</v>
      </c>
      <c r="B199" s="4" t="str">
        <f t="array" aca="1" ref="B199" ca="1">IFERROR(INDEX(Montageplatten[Spalte2],LARGE((Montageplatten[Gesamt]=$A$195)*(ROW(Montageplatten[Gesamt])-1),COUNTIF(Montageplatten[Gesamt],$A$195)+1-ROW(A3))),"")</f>
        <v>139</v>
      </c>
      <c r="C199" s="4" t="str">
        <f t="array" aca="1" ref="C199" ca="1">IFERROR(INDEX(Montageplatten[Spalte3],LARGE((Montageplatten[Gesamt]=$A$195)*(ROW(Montageplatten[Gesamt])-1),COUNTIF(Montageplatten[Gesamt],$A$195)+1-ROW(A3))),"")</f>
        <v>796</v>
      </c>
      <c r="D199" s="4" t="str">
        <f t="array" aca="1" ref="D199" ca="1">IFERROR(INDEX(Montageplatten[Bezeichnung 1],LARGE((Montageplatten[Gesamt]=$A$195)*(ROW(Montageplatten[Gesamt])-1),COUNTIF(Montageplatten[Gesamt],$A$195)+1-ROW(A3))),"")</f>
        <v>1D Kreuz Mtg-Platte</v>
      </c>
      <c r="E199" s="4" t="str">
        <f t="array" aca="1" ref="E199" ca="1">IFERROR(INDEX(Montageplatten[Bezeichnung 2],LARGE((Montageplatten[Gesamt]=$A$195)*(ROW(Montageplatten[Gesamt])-1),COUNTIF(Montageplatten[Gesamt],$A$195)+1-ROW(A3))),"")</f>
        <v>H 00, ni /28</v>
      </c>
      <c r="F199" s="4" t="str">
        <f t="array" aca="1" ref="F199" ca="1">IFERROR(INDEX(Montageplatten[Bezeichnung TGr],LARGE((Montageplatten[Gesamt]=$A$195)*(ROW(Montageplatten[Gesamt])-1),COUNTIF(Montageplatten[Gesamt],$A$195)+1-ROW(A3))),"")</f>
        <v>Tiomos Montageplatten</v>
      </c>
      <c r="G199" s="4">
        <f t="array" aca="1" ref="G199" ca="1">IFERROR(INDEX(Montageplatten[37/32],LARGE((Montageplatten[Gesamt]=$A$195)*(ROW(Montageplatten[Gesamt])-1),COUNTIF(Montageplatten[Gesamt],$A$195)+1-ROW(A3))),"")</f>
        <v>0</v>
      </c>
      <c r="H199" s="4">
        <f t="array" aca="1" ref="H199" ca="1">IFERROR(INDEX(Montageplatten[28/32],LARGE((Montageplatten[Gesamt]=$A$195)*(ROW(Montageplatten[Gesamt])-1),COUNTIF(Montageplatten[Gesamt],$A$195)+1-ROW(A3))),"")</f>
        <v>1</v>
      </c>
      <c r="I199" s="4">
        <f t="array" aca="1" ref="I199" ca="1">IFERROR(INDEX(Montageplatten[20/32],LARGE((Montageplatten[Gesamt]=$A$195)*(ROW(Montageplatten[Gesamt])-1),COUNTIF(Montageplatten[Gesamt],$A$195)+1-ROW(A3))),"")</f>
        <v>0</v>
      </c>
      <c r="J199" s="4">
        <f t="array" aca="1" ref="J199" ca="1">IFERROR(INDEX(Montageplatten[9,5/32],LARGE((Montageplatten[Gesamt]=$A$195)*(ROW(Montageplatten[Gesamt])-1),COUNTIF(Montageplatten[Gesamt],$A$195)+1-ROW(A3))),"")</f>
        <v>0</v>
      </c>
      <c r="K199" s="4">
        <f t="array" aca="1" ref="K199" ca="1">IFERROR(INDEX(Montageplatten[10/32],LARGE((Montageplatten[Gesamt]=$A$195)*(ROW(Montageplatten[Gesamt])-1),COUNTIF(Montageplatten[Gesamt],$A$195)+1-ROW(A3))),"")</f>
        <v>0</v>
      </c>
      <c r="L199" s="4">
        <f t="array" aca="1" ref="L199" ca="1">IFERROR(INDEX(Montageplatten[Höhe],LARGE((Montageplatten[Gesamt]=$A$195)*(ROW(Montageplatten[Gesamt])-1),COUNTIF(Montageplatten[Gesamt],$A$195)+1-ROW(A3))),"")</f>
        <v>0</v>
      </c>
      <c r="M199" s="4" t="str">
        <f t="array" aca="1" ref="M199" ca="1">IFERROR(INDEX(Montageplatten[Teil],LARGE((Montageplatten[Gesamt]=$A$195)*(ROW(Montageplatten[Gesamt])-1),COUNTIF(Montageplatten[Gesamt],$A$195)+1-ROW(A3))),"")</f>
        <v>F058139796</v>
      </c>
    </row>
    <row r="200" spans="1:13" hidden="1" outlineLevel="1" x14ac:dyDescent="0.25">
      <c r="A200" s="4" t="str">
        <f t="array" aca="1" ref="A200" ca="1">IFERROR(INDEX(Montageplatten[Spalte1],LARGE((Montageplatten[Gesamt]=$A$195)*(ROW(Montageplatten[Gesamt])-1),COUNTIF(Montageplatten[Gesamt],$A$195)+1-ROW(A4))),"")</f>
        <v>F058</v>
      </c>
      <c r="B200" s="4" t="str">
        <f t="array" aca="1" ref="B200" ca="1">IFERROR(INDEX(Montageplatten[Spalte2],LARGE((Montageplatten[Gesamt]=$A$195)*(ROW(Montageplatten[Gesamt])-1),COUNTIF(Montageplatten[Gesamt],$A$195)+1-ROW(A4))),"")</f>
        <v>139</v>
      </c>
      <c r="C200" s="4" t="str">
        <f t="array" aca="1" ref="C200" ca="1">IFERROR(INDEX(Montageplatten[Spalte3],LARGE((Montageplatten[Gesamt]=$A$195)*(ROW(Montageplatten[Gesamt])-1),COUNTIF(Montageplatten[Gesamt],$A$195)+1-ROW(A4))),"")</f>
        <v>888</v>
      </c>
      <c r="D200" s="4" t="str">
        <f t="array" aca="1" ref="D200" ca="1">IFERROR(INDEX(Montageplatten[Bezeichnung 1],LARGE((Montageplatten[Gesamt]=$A$195)*(ROW(Montageplatten[Gesamt])-1),COUNTIF(Montageplatten[Gesamt],$A$195)+1-ROW(A4))),"")</f>
        <v>1D Kreuz Mtg-Platte</v>
      </c>
      <c r="E200" s="4" t="str">
        <f t="array" aca="1" ref="E200" ca="1">IFERROR(INDEX(Montageplatten[Bezeichnung 2],LARGE((Montageplatten[Gesamt]=$A$195)*(ROW(Montageplatten[Gesamt])-1),COUNTIF(Montageplatten[Gesamt],$A$195)+1-ROW(A4))),"")</f>
        <v>H 9,5, ni /37</v>
      </c>
      <c r="F200" s="4" t="str">
        <f t="array" aca="1" ref="F200" ca="1">IFERROR(INDEX(Montageplatten[Bezeichnung TGr],LARGE((Montageplatten[Gesamt]=$A$195)*(ROW(Montageplatten[Gesamt])-1),COUNTIF(Montageplatten[Gesamt],$A$195)+1-ROW(A4))),"")</f>
        <v>Tiomos Montageplatten</v>
      </c>
      <c r="G200" s="4">
        <f t="array" aca="1" ref="G200" ca="1">IFERROR(INDEX(Montageplatten[37/32],LARGE((Montageplatten[Gesamt]=$A$195)*(ROW(Montageplatten[Gesamt])-1),COUNTIF(Montageplatten[Gesamt],$A$195)+1-ROW(A4))),"")</f>
        <v>1</v>
      </c>
      <c r="H200" s="4">
        <f t="array" aca="1" ref="H200" ca="1">IFERROR(INDEX(Montageplatten[28/32],LARGE((Montageplatten[Gesamt]=$A$195)*(ROW(Montageplatten[Gesamt])-1),COUNTIF(Montageplatten[Gesamt],$A$195)+1-ROW(A4))),"")</f>
        <v>0</v>
      </c>
      <c r="I200" s="4">
        <f t="array" aca="1" ref="I200" ca="1">IFERROR(INDEX(Montageplatten[20/32],LARGE((Montageplatten[Gesamt]=$A$195)*(ROW(Montageplatten[Gesamt])-1),COUNTIF(Montageplatten[Gesamt],$A$195)+1-ROW(A4))),"")</f>
        <v>0</v>
      </c>
      <c r="J200" s="4">
        <f t="array" aca="1" ref="J200" ca="1">IFERROR(INDEX(Montageplatten[9,5/32],LARGE((Montageplatten[Gesamt]=$A$195)*(ROW(Montageplatten[Gesamt])-1),COUNTIF(Montageplatten[Gesamt],$A$195)+1-ROW(A4))),"")</f>
        <v>0</v>
      </c>
      <c r="K200" s="4">
        <f t="array" aca="1" ref="K200" ca="1">IFERROR(INDEX(Montageplatten[10/32],LARGE((Montageplatten[Gesamt]=$A$195)*(ROW(Montageplatten[Gesamt])-1),COUNTIF(Montageplatten[Gesamt],$A$195)+1-ROW(A4))),"")</f>
        <v>0</v>
      </c>
      <c r="L200" s="4">
        <f t="array" aca="1" ref="L200" ca="1">IFERROR(INDEX(Montageplatten[Höhe],LARGE((Montageplatten[Gesamt]=$A$195)*(ROW(Montageplatten[Gesamt])-1),COUNTIF(Montageplatten[Gesamt],$A$195)+1-ROW(A4))),"")</f>
        <v>9.5</v>
      </c>
      <c r="M200" s="4" t="str">
        <f t="array" aca="1" ref="M200" ca="1">IFERROR(INDEX(Montageplatten[Teil],LARGE((Montageplatten[Gesamt]=$A$195)*(ROW(Montageplatten[Gesamt])-1),COUNTIF(Montageplatten[Gesamt],$A$195)+1-ROW(A4))),"")</f>
        <v>F058139888</v>
      </c>
    </row>
    <row r="201" spans="1:13" hidden="1" outlineLevel="1" x14ac:dyDescent="0.25">
      <c r="A201" s="4" t="str">
        <f t="array" aca="1" ref="A201" ca="1">IFERROR(INDEX(Montageplatten[Spalte1],LARGE((Montageplatten[Gesamt]=$A$195)*(ROW(Montageplatten[Gesamt])-1),COUNTIF(Montageplatten[Gesamt],$A$195)+1-ROW(A5))),"")</f>
        <v>F058</v>
      </c>
      <c r="B201" s="4" t="str">
        <f t="array" aca="1" ref="B201" ca="1">IFERROR(INDEX(Montageplatten[Spalte2],LARGE((Montageplatten[Gesamt]=$A$195)*(ROW(Montageplatten[Gesamt])-1),COUNTIF(Montageplatten[Gesamt],$A$195)+1-ROW(A5))),"")</f>
        <v>139</v>
      </c>
      <c r="C201" s="4" t="str">
        <f t="array" aca="1" ref="C201" ca="1">IFERROR(INDEX(Montageplatten[Spalte3],LARGE((Montageplatten[Gesamt]=$A$195)*(ROW(Montageplatten[Gesamt])-1),COUNTIF(Montageplatten[Gesamt],$A$195)+1-ROW(A5))),"")</f>
        <v>894</v>
      </c>
      <c r="D201" s="4" t="str">
        <f t="array" aca="1" ref="D201" ca="1">IFERROR(INDEX(Montageplatten[Bezeichnung 1],LARGE((Montageplatten[Gesamt]=$A$195)*(ROW(Montageplatten[Gesamt])-1),COUNTIF(Montageplatten[Gesamt],$A$195)+1-ROW(A5))),"")</f>
        <v>1D Kreuz Mtg-Platte</v>
      </c>
      <c r="E201" s="4" t="str">
        <f t="array" aca="1" ref="E201" ca="1">IFERROR(INDEX(Montageplatten[Bezeichnung 2],LARGE((Montageplatten[Gesamt]=$A$195)*(ROW(Montageplatten[Gesamt])-1),COUNTIF(Montageplatten[Gesamt],$A$195)+1-ROW(A5))),"")</f>
        <v>H 19, ni /37</v>
      </c>
      <c r="F201" s="4" t="str">
        <f t="array" aca="1" ref="F201" ca="1">IFERROR(INDEX(Montageplatten[Bezeichnung TGr],LARGE((Montageplatten[Gesamt]=$A$195)*(ROW(Montageplatten[Gesamt])-1),COUNTIF(Montageplatten[Gesamt],$A$195)+1-ROW(A5))),"")</f>
        <v>Tiomos Montageplatten</v>
      </c>
      <c r="G201" s="4">
        <f t="array" aca="1" ref="G201" ca="1">IFERROR(INDEX(Montageplatten[37/32],LARGE((Montageplatten[Gesamt]=$A$195)*(ROW(Montageplatten[Gesamt])-1),COUNTIF(Montageplatten[Gesamt],$A$195)+1-ROW(A5))),"")</f>
        <v>1</v>
      </c>
      <c r="H201" s="4">
        <f t="array" aca="1" ref="H201" ca="1">IFERROR(INDEX(Montageplatten[28/32],LARGE((Montageplatten[Gesamt]=$A$195)*(ROW(Montageplatten[Gesamt])-1),COUNTIF(Montageplatten[Gesamt],$A$195)+1-ROW(A5))),"")</f>
        <v>0</v>
      </c>
      <c r="I201" s="4">
        <f t="array" aca="1" ref="I201" ca="1">IFERROR(INDEX(Montageplatten[20/32],LARGE((Montageplatten[Gesamt]=$A$195)*(ROW(Montageplatten[Gesamt])-1),COUNTIF(Montageplatten[Gesamt],$A$195)+1-ROW(A5))),"")</f>
        <v>0</v>
      </c>
      <c r="J201" s="4">
        <f t="array" aca="1" ref="J201" ca="1">IFERROR(INDEX(Montageplatten[9,5/32],LARGE((Montageplatten[Gesamt]=$A$195)*(ROW(Montageplatten[Gesamt])-1),COUNTIF(Montageplatten[Gesamt],$A$195)+1-ROW(A5))),"")</f>
        <v>0</v>
      </c>
      <c r="K201" s="4">
        <f t="array" aca="1" ref="K201" ca="1">IFERROR(INDEX(Montageplatten[10/32],LARGE((Montageplatten[Gesamt]=$A$195)*(ROW(Montageplatten[Gesamt])-1),COUNTIF(Montageplatten[Gesamt],$A$195)+1-ROW(A5))),"")</f>
        <v>0</v>
      </c>
      <c r="L201" s="4">
        <f t="array" aca="1" ref="L201" ca="1">IFERROR(INDEX(Montageplatten[Höhe],LARGE((Montageplatten[Gesamt]=$A$195)*(ROW(Montageplatten[Gesamt])-1),COUNTIF(Montageplatten[Gesamt],$A$195)+1-ROW(A5))),"")</f>
        <v>19</v>
      </c>
      <c r="M201" s="4" t="str">
        <f t="array" aca="1" ref="M201" ca="1">IFERROR(INDEX(Montageplatten[Teil],LARGE((Montageplatten[Gesamt]=$A$195)*(ROW(Montageplatten[Gesamt])-1),COUNTIF(Montageplatten[Gesamt],$A$195)+1-ROW(A5))),"")</f>
        <v>F058139894</v>
      </c>
    </row>
    <row r="202" spans="1:13" hidden="1" outlineLevel="1" x14ac:dyDescent="0.25">
      <c r="A202" s="4" t="str">
        <f t="array" aca="1" ref="A202" ca="1">IFERROR(INDEX(Montageplatten[Spalte1],LARGE((Montageplatten[Gesamt]=$A$195)*(ROW(Montageplatten[Gesamt])-1),COUNTIF(Montageplatten[Gesamt],$A$195)+1-ROW(A6))),"")</f>
        <v/>
      </c>
      <c r="B202" s="4" t="str">
        <f t="array" aca="1" ref="B202" ca="1">IFERROR(INDEX(Montageplatten[Spalte2],LARGE((Montageplatten[Gesamt]=$A$195)*(ROW(Montageplatten[Gesamt])-1),COUNTIF(Montageplatten[Gesamt],$A$195)+1-ROW(A6))),"")</f>
        <v/>
      </c>
      <c r="C202" s="4" t="str">
        <f t="array" aca="1" ref="C202" ca="1">IFERROR(INDEX(Montageplatten[Spalte3],LARGE((Montageplatten[Gesamt]=$A$195)*(ROW(Montageplatten[Gesamt])-1),COUNTIF(Montageplatten[Gesamt],$A$195)+1-ROW(A6))),"")</f>
        <v/>
      </c>
      <c r="D202" s="4" t="str">
        <f t="array" aca="1" ref="D202" ca="1">IFERROR(INDEX(Montageplatten[Bezeichnung 1],LARGE((Montageplatten[Gesamt]=$A$195)*(ROW(Montageplatten[Gesamt])-1),COUNTIF(Montageplatten[Gesamt],$A$195)+1-ROW(A6))),"")</f>
        <v/>
      </c>
      <c r="E202" s="4" t="str">
        <f t="array" aca="1" ref="E202" ca="1">IFERROR(INDEX(Montageplatten[Bezeichnung 2],LARGE((Montageplatten[Gesamt]=$A$195)*(ROW(Montageplatten[Gesamt])-1),COUNTIF(Montageplatten[Gesamt],$A$195)+1-ROW(A6))),"")</f>
        <v/>
      </c>
      <c r="F202" s="4" t="str">
        <f t="array" aca="1" ref="F202" ca="1">IFERROR(INDEX(Montageplatten[Bezeichnung TGr],LARGE((Montageplatten[Gesamt]=$A$195)*(ROW(Montageplatten[Gesamt])-1),COUNTIF(Montageplatten[Gesamt],$A$195)+1-ROW(A6))),"")</f>
        <v/>
      </c>
      <c r="G202" s="4" t="str">
        <f t="array" aca="1" ref="G202" ca="1">IFERROR(INDEX(Montageplatten[37/32],LARGE((Montageplatten[Gesamt]=$A$195)*(ROW(Montageplatten[Gesamt])-1),COUNTIF(Montageplatten[Gesamt],$A$195)+1-ROW(A6))),"")</f>
        <v/>
      </c>
      <c r="H202" s="4" t="str">
        <f t="array" aca="1" ref="H202" ca="1">IFERROR(INDEX(Montageplatten[28/32],LARGE((Montageplatten[Gesamt]=$A$195)*(ROW(Montageplatten[Gesamt])-1),COUNTIF(Montageplatten[Gesamt],$A$195)+1-ROW(A6))),"")</f>
        <v/>
      </c>
      <c r="I202" s="4" t="str">
        <f t="array" aca="1" ref="I202" ca="1">IFERROR(INDEX(Montageplatten[20/32],LARGE((Montageplatten[Gesamt]=$A$195)*(ROW(Montageplatten[Gesamt])-1),COUNTIF(Montageplatten[Gesamt],$A$195)+1-ROW(A6))),"")</f>
        <v/>
      </c>
      <c r="J202" s="4" t="str">
        <f t="array" aca="1" ref="J202" ca="1">IFERROR(INDEX(Montageplatten[9,5/32],LARGE((Montageplatten[Gesamt]=$A$195)*(ROW(Montageplatten[Gesamt])-1),COUNTIF(Montageplatten[Gesamt],$A$195)+1-ROW(A6))),"")</f>
        <v/>
      </c>
      <c r="K202" s="4" t="str">
        <f t="array" aca="1" ref="K202" ca="1">IFERROR(INDEX(Montageplatten[10/32],LARGE((Montageplatten[Gesamt]=$A$195)*(ROW(Montageplatten[Gesamt])-1),COUNTIF(Montageplatten[Gesamt],$A$195)+1-ROW(A6))),"")</f>
        <v/>
      </c>
      <c r="L202" s="4" t="str">
        <f t="array" aca="1" ref="L202" ca="1">IFERROR(INDEX(Montageplatten[Höhe],LARGE((Montageplatten[Gesamt]=$A$195)*(ROW(Montageplatten[Gesamt])-1),COUNTIF(Montageplatten[Gesamt],$A$195)+1-ROW(A6))),"")</f>
        <v/>
      </c>
      <c r="M202" s="4" t="str">
        <f t="array" aca="1" ref="M202" ca="1">IFERROR(INDEX(Montageplatten[Teil],LARGE((Montageplatten[Gesamt]=$A$195)*(ROW(Montageplatten[Gesamt])-1),COUNTIF(Montageplatten[Gesamt],$A$195)+1-ROW(A6))),"")</f>
        <v/>
      </c>
    </row>
    <row r="203" spans="1:13" hidden="1" outlineLevel="1" x14ac:dyDescent="0.25">
      <c r="A203" s="4" t="str">
        <f t="array" aca="1" ref="A203" ca="1">IFERROR(INDEX(Montageplatten[Spalte1],LARGE((Montageplatten[Gesamt]=$A$195)*(ROW(Montageplatten[Gesamt])-1),COUNTIF(Montageplatten[Gesamt],$A$195)+1-ROW(A7))),"")</f>
        <v/>
      </c>
      <c r="B203" s="4" t="str">
        <f t="array" aca="1" ref="B203" ca="1">IFERROR(INDEX(Montageplatten[Spalte2],LARGE((Montageplatten[Gesamt]=$A$195)*(ROW(Montageplatten[Gesamt])-1),COUNTIF(Montageplatten[Gesamt],$A$195)+1-ROW(A7))),"")</f>
        <v/>
      </c>
      <c r="C203" s="4" t="str">
        <f t="array" aca="1" ref="C203" ca="1">IFERROR(INDEX(Montageplatten[Spalte3],LARGE((Montageplatten[Gesamt]=$A$195)*(ROW(Montageplatten[Gesamt])-1),COUNTIF(Montageplatten[Gesamt],$A$195)+1-ROW(A7))),"")</f>
        <v/>
      </c>
      <c r="D203" s="4" t="str">
        <f t="array" aca="1" ref="D203" ca="1">IFERROR(INDEX(Montageplatten[Bezeichnung 1],LARGE((Montageplatten[Gesamt]=$A$195)*(ROW(Montageplatten[Gesamt])-1),COUNTIF(Montageplatten[Gesamt],$A$195)+1-ROW(A7))),"")</f>
        <v/>
      </c>
      <c r="E203" s="4" t="str">
        <f t="array" aca="1" ref="E203" ca="1">IFERROR(INDEX(Montageplatten[Bezeichnung 2],LARGE((Montageplatten[Gesamt]=$A$195)*(ROW(Montageplatten[Gesamt])-1),COUNTIF(Montageplatten[Gesamt],$A$195)+1-ROW(A7))),"")</f>
        <v/>
      </c>
      <c r="F203" s="4" t="str">
        <f t="array" aca="1" ref="F203" ca="1">IFERROR(INDEX(Montageplatten[Bezeichnung TGr],LARGE((Montageplatten[Gesamt]=$A$195)*(ROW(Montageplatten[Gesamt])-1),COUNTIF(Montageplatten[Gesamt],$A$195)+1-ROW(A7))),"")</f>
        <v/>
      </c>
      <c r="G203" s="4" t="str">
        <f t="array" aca="1" ref="G203" ca="1">IFERROR(INDEX(Montageplatten[37/32],LARGE((Montageplatten[Gesamt]=$A$195)*(ROW(Montageplatten[Gesamt])-1),COUNTIF(Montageplatten[Gesamt],$A$195)+1-ROW(A7))),"")</f>
        <v/>
      </c>
      <c r="H203" s="4" t="str">
        <f t="array" aca="1" ref="H203" ca="1">IFERROR(INDEX(Montageplatten[28/32],LARGE((Montageplatten[Gesamt]=$A$195)*(ROW(Montageplatten[Gesamt])-1),COUNTIF(Montageplatten[Gesamt],$A$195)+1-ROW(A7))),"")</f>
        <v/>
      </c>
      <c r="I203" s="4" t="str">
        <f t="array" aca="1" ref="I203" ca="1">IFERROR(INDEX(Montageplatten[20/32],LARGE((Montageplatten[Gesamt]=$A$195)*(ROW(Montageplatten[Gesamt])-1),COUNTIF(Montageplatten[Gesamt],$A$195)+1-ROW(A7))),"")</f>
        <v/>
      </c>
      <c r="J203" s="4" t="str">
        <f t="array" aca="1" ref="J203" ca="1">IFERROR(INDEX(Montageplatten[9,5/32],LARGE((Montageplatten[Gesamt]=$A$195)*(ROW(Montageplatten[Gesamt])-1),COUNTIF(Montageplatten[Gesamt],$A$195)+1-ROW(A7))),"")</f>
        <v/>
      </c>
      <c r="K203" s="4" t="str">
        <f t="array" aca="1" ref="K203" ca="1">IFERROR(INDEX(Montageplatten[10/32],LARGE((Montageplatten[Gesamt]=$A$195)*(ROW(Montageplatten[Gesamt])-1),COUNTIF(Montageplatten[Gesamt],$A$195)+1-ROW(A7))),"")</f>
        <v/>
      </c>
      <c r="L203" s="4" t="str">
        <f t="array" aca="1" ref="L203" ca="1">IFERROR(INDEX(Montageplatten[Höhe],LARGE((Montageplatten[Gesamt]=$A$195)*(ROW(Montageplatten[Gesamt])-1),COUNTIF(Montageplatten[Gesamt],$A$195)+1-ROW(A7))),"")</f>
        <v/>
      </c>
      <c r="M203" s="4" t="str">
        <f t="array" aca="1" ref="M203" ca="1">IFERROR(INDEX(Montageplatten[Teil],LARGE((Montageplatten[Gesamt]=$A$195)*(ROW(Montageplatten[Gesamt])-1),COUNTIF(Montageplatten[Gesamt],$A$195)+1-ROW(A7))),"")</f>
        <v/>
      </c>
    </row>
    <row r="204" spans="1:13" hidden="1" outlineLevel="1" x14ac:dyDescent="0.25">
      <c r="A204" s="4" t="str">
        <f t="array" aca="1" ref="A204" ca="1">IFERROR(INDEX(Montageplatten[Spalte1],LARGE((Montageplatten[Gesamt]=$A$195)*(ROW(Montageplatten[Gesamt])-1),COUNTIF(Montageplatten[Gesamt],$A$195)+1-ROW(A8))),"")</f>
        <v/>
      </c>
      <c r="B204" s="4" t="str">
        <f t="array" aca="1" ref="B204" ca="1">IFERROR(INDEX(Montageplatten[Spalte2],LARGE((Montageplatten[Gesamt]=$A$195)*(ROW(Montageplatten[Gesamt])-1),COUNTIF(Montageplatten[Gesamt],$A$195)+1-ROW(A8))),"")</f>
        <v/>
      </c>
      <c r="C204" s="4" t="str">
        <f t="array" aca="1" ref="C204" ca="1">IFERROR(INDEX(Montageplatten[Spalte3],LARGE((Montageplatten[Gesamt]=$A$195)*(ROW(Montageplatten[Gesamt])-1),COUNTIF(Montageplatten[Gesamt],$A$195)+1-ROW(A8))),"")</f>
        <v/>
      </c>
      <c r="D204" s="4" t="str">
        <f t="array" aca="1" ref="D204" ca="1">IFERROR(INDEX(Montageplatten[Bezeichnung 1],LARGE((Montageplatten[Gesamt]=$A$195)*(ROW(Montageplatten[Gesamt])-1),COUNTIF(Montageplatten[Gesamt],$A$195)+1-ROW(A8))),"")</f>
        <v/>
      </c>
      <c r="E204" s="4" t="str">
        <f t="array" aca="1" ref="E204" ca="1">IFERROR(INDEX(Montageplatten[Bezeichnung 2],LARGE((Montageplatten[Gesamt]=$A$195)*(ROW(Montageplatten[Gesamt])-1),COUNTIF(Montageplatten[Gesamt],$A$195)+1-ROW(A8))),"")</f>
        <v/>
      </c>
      <c r="F204" s="4" t="str">
        <f t="array" aca="1" ref="F204" ca="1">IFERROR(INDEX(Montageplatten[Bezeichnung TGr],LARGE((Montageplatten[Gesamt]=$A$195)*(ROW(Montageplatten[Gesamt])-1),COUNTIF(Montageplatten[Gesamt],$A$195)+1-ROW(A8))),"")</f>
        <v/>
      </c>
      <c r="G204" s="4" t="str">
        <f t="array" aca="1" ref="G204" ca="1">IFERROR(INDEX(Montageplatten[37/32],LARGE((Montageplatten[Gesamt]=$A$195)*(ROW(Montageplatten[Gesamt])-1),COUNTIF(Montageplatten[Gesamt],$A$195)+1-ROW(A8))),"")</f>
        <v/>
      </c>
      <c r="H204" s="4" t="str">
        <f t="array" aca="1" ref="H204" ca="1">IFERROR(INDEX(Montageplatten[28/32],LARGE((Montageplatten[Gesamt]=$A$195)*(ROW(Montageplatten[Gesamt])-1),COUNTIF(Montageplatten[Gesamt],$A$195)+1-ROW(A8))),"")</f>
        <v/>
      </c>
      <c r="I204" s="4" t="str">
        <f t="array" aca="1" ref="I204" ca="1">IFERROR(INDEX(Montageplatten[20/32],LARGE((Montageplatten[Gesamt]=$A$195)*(ROW(Montageplatten[Gesamt])-1),COUNTIF(Montageplatten[Gesamt],$A$195)+1-ROW(A8))),"")</f>
        <v/>
      </c>
      <c r="J204" s="4" t="str">
        <f t="array" aca="1" ref="J204" ca="1">IFERROR(INDEX(Montageplatten[9,5/32],LARGE((Montageplatten[Gesamt]=$A$195)*(ROW(Montageplatten[Gesamt])-1),COUNTIF(Montageplatten[Gesamt],$A$195)+1-ROW(A8))),"")</f>
        <v/>
      </c>
      <c r="K204" s="4" t="str">
        <f t="array" aca="1" ref="K204" ca="1">IFERROR(INDEX(Montageplatten[10/32],LARGE((Montageplatten[Gesamt]=$A$195)*(ROW(Montageplatten[Gesamt])-1),COUNTIF(Montageplatten[Gesamt],$A$195)+1-ROW(A8))),"")</f>
        <v/>
      </c>
      <c r="L204" s="4" t="str">
        <f t="array" aca="1" ref="L204" ca="1">IFERROR(INDEX(Montageplatten[Höhe],LARGE((Montageplatten[Gesamt]=$A$195)*(ROW(Montageplatten[Gesamt])-1),COUNTIF(Montageplatten[Gesamt],$A$195)+1-ROW(A8))),"")</f>
        <v/>
      </c>
      <c r="M204" s="4" t="str">
        <f t="array" aca="1" ref="M204" ca="1">IFERROR(INDEX(Montageplatten[Teil],LARGE((Montageplatten[Gesamt]=$A$195)*(ROW(Montageplatten[Gesamt])-1),COUNTIF(Montageplatten[Gesamt],$A$195)+1-ROW(A8))),"")</f>
        <v/>
      </c>
    </row>
    <row r="205" spans="1:13" hidden="1" outlineLevel="1" x14ac:dyDescent="0.25">
      <c r="A205" s="4" t="str">
        <f t="array" aca="1" ref="A205" ca="1">IFERROR(INDEX(Montageplatten[Spalte1],LARGE((Montageplatten[Gesamt]=$A$195)*(ROW(Montageplatten[Gesamt])-1),COUNTIF(Montageplatten[Gesamt],$A$195)+1-ROW(A9))),"")</f>
        <v/>
      </c>
      <c r="B205" s="4" t="str">
        <f t="array" aca="1" ref="B205" ca="1">IFERROR(INDEX(Montageplatten[Spalte2],LARGE((Montageplatten[Gesamt]=$A$195)*(ROW(Montageplatten[Gesamt])-1),COUNTIF(Montageplatten[Gesamt],$A$195)+1-ROW(A9))),"")</f>
        <v/>
      </c>
      <c r="C205" s="4" t="str">
        <f t="array" aca="1" ref="C205" ca="1">IFERROR(INDEX(Montageplatten[Spalte3],LARGE((Montageplatten[Gesamt]=$A$195)*(ROW(Montageplatten[Gesamt])-1),COUNTIF(Montageplatten[Gesamt],$A$195)+1-ROW(A9))),"")</f>
        <v/>
      </c>
      <c r="D205" s="4" t="str">
        <f t="array" aca="1" ref="D205" ca="1">IFERROR(INDEX(Montageplatten[Bezeichnung 1],LARGE((Montageplatten[Gesamt]=$A$195)*(ROW(Montageplatten[Gesamt])-1),COUNTIF(Montageplatten[Gesamt],$A$195)+1-ROW(A9))),"")</f>
        <v/>
      </c>
      <c r="E205" s="4" t="str">
        <f t="array" aca="1" ref="E205" ca="1">IFERROR(INDEX(Montageplatten[Bezeichnung 2],LARGE((Montageplatten[Gesamt]=$A$195)*(ROW(Montageplatten[Gesamt])-1),COUNTIF(Montageplatten[Gesamt],$A$195)+1-ROW(A9))),"")</f>
        <v/>
      </c>
      <c r="F205" s="4" t="str">
        <f t="array" aca="1" ref="F205" ca="1">IFERROR(INDEX(Montageplatten[Bezeichnung TGr],LARGE((Montageplatten[Gesamt]=$A$195)*(ROW(Montageplatten[Gesamt])-1),COUNTIF(Montageplatten[Gesamt],$A$195)+1-ROW(A9))),"")</f>
        <v/>
      </c>
      <c r="G205" s="4" t="str">
        <f t="array" aca="1" ref="G205" ca="1">IFERROR(INDEX(Montageplatten[37/32],LARGE((Montageplatten[Gesamt]=$A$195)*(ROW(Montageplatten[Gesamt])-1),COUNTIF(Montageplatten[Gesamt],$A$195)+1-ROW(A9))),"")</f>
        <v/>
      </c>
      <c r="H205" s="4" t="str">
        <f t="array" aca="1" ref="H205" ca="1">IFERROR(INDEX(Montageplatten[28/32],LARGE((Montageplatten[Gesamt]=$A$195)*(ROW(Montageplatten[Gesamt])-1),COUNTIF(Montageplatten[Gesamt],$A$195)+1-ROW(A9))),"")</f>
        <v/>
      </c>
      <c r="I205" s="4" t="str">
        <f t="array" aca="1" ref="I205" ca="1">IFERROR(INDEX(Montageplatten[20/32],LARGE((Montageplatten[Gesamt]=$A$195)*(ROW(Montageplatten[Gesamt])-1),COUNTIF(Montageplatten[Gesamt],$A$195)+1-ROW(A9))),"")</f>
        <v/>
      </c>
      <c r="J205" s="4" t="str">
        <f t="array" aca="1" ref="J205" ca="1">IFERROR(INDEX(Montageplatten[9,5/32],LARGE((Montageplatten[Gesamt]=$A$195)*(ROW(Montageplatten[Gesamt])-1),COUNTIF(Montageplatten[Gesamt],$A$195)+1-ROW(A9))),"")</f>
        <v/>
      </c>
      <c r="K205" s="4" t="str">
        <f t="array" aca="1" ref="K205" ca="1">IFERROR(INDEX(Montageplatten[10/32],LARGE((Montageplatten[Gesamt]=$A$195)*(ROW(Montageplatten[Gesamt])-1),COUNTIF(Montageplatten[Gesamt],$A$195)+1-ROW(A9))),"")</f>
        <v/>
      </c>
      <c r="L205" s="4" t="str">
        <f t="array" aca="1" ref="L205" ca="1">IFERROR(INDEX(Montageplatten[Höhe],LARGE((Montageplatten[Gesamt]=$A$195)*(ROW(Montageplatten[Gesamt])-1),COUNTIF(Montageplatten[Gesamt],$A$195)+1-ROW(A9))),"")</f>
        <v/>
      </c>
      <c r="M205" s="4" t="str">
        <f t="array" aca="1" ref="M205" ca="1">IFERROR(INDEX(Montageplatten[Teil],LARGE((Montageplatten[Gesamt]=$A$195)*(ROW(Montageplatten[Gesamt])-1),COUNTIF(Montageplatten[Gesamt],$A$195)+1-ROW(A9))),"")</f>
        <v/>
      </c>
    </row>
    <row r="206" spans="1:13" hidden="1" outlineLevel="1" x14ac:dyDescent="0.25">
      <c r="A206" s="4" t="str">
        <f t="array" aca="1" ref="A206" ca="1">IFERROR(INDEX(Montageplatten[Spalte1],LARGE((Montageplatten[Gesamt]=$A$195)*(ROW(Montageplatten[Gesamt])-1),COUNTIF(Montageplatten[Gesamt],$A$195)+1-ROW(A10))),"")</f>
        <v/>
      </c>
      <c r="B206" s="4" t="str">
        <f t="array" aca="1" ref="B206" ca="1">IFERROR(INDEX(Montageplatten[Spalte2],LARGE((Montageplatten[Gesamt]=$A$195)*(ROW(Montageplatten[Gesamt])-1),COUNTIF(Montageplatten[Gesamt],$A$195)+1-ROW(A10))),"")</f>
        <v/>
      </c>
      <c r="C206" s="4" t="str">
        <f t="array" aca="1" ref="C206" ca="1">IFERROR(INDEX(Montageplatten[Spalte3],LARGE((Montageplatten[Gesamt]=$A$195)*(ROW(Montageplatten[Gesamt])-1),COUNTIF(Montageplatten[Gesamt],$A$195)+1-ROW(A10))),"")</f>
        <v/>
      </c>
      <c r="D206" s="4" t="str">
        <f t="array" aca="1" ref="D206" ca="1">IFERROR(INDEX(Montageplatten[Bezeichnung 1],LARGE((Montageplatten[Gesamt]=$A$195)*(ROW(Montageplatten[Gesamt])-1),COUNTIF(Montageplatten[Gesamt],$A$195)+1-ROW(A10))),"")</f>
        <v/>
      </c>
      <c r="E206" s="4" t="str">
        <f t="array" aca="1" ref="E206" ca="1">IFERROR(INDEX(Montageplatten[Bezeichnung 2],LARGE((Montageplatten[Gesamt]=$A$195)*(ROW(Montageplatten[Gesamt])-1),COUNTIF(Montageplatten[Gesamt],$A$195)+1-ROW(A10))),"")</f>
        <v/>
      </c>
      <c r="F206" s="4" t="str">
        <f t="array" aca="1" ref="F206" ca="1">IFERROR(INDEX(Montageplatten[Bezeichnung TGr],LARGE((Montageplatten[Gesamt]=$A$195)*(ROW(Montageplatten[Gesamt])-1),COUNTIF(Montageplatten[Gesamt],$A$195)+1-ROW(A10))),"")</f>
        <v/>
      </c>
      <c r="G206" s="4" t="str">
        <f t="array" aca="1" ref="G206" ca="1">IFERROR(INDEX(Montageplatten[37/32],LARGE((Montageplatten[Gesamt]=$A$195)*(ROW(Montageplatten[Gesamt])-1),COUNTIF(Montageplatten[Gesamt],$A$195)+1-ROW(A10))),"")</f>
        <v/>
      </c>
      <c r="H206" s="4" t="str">
        <f t="array" aca="1" ref="H206" ca="1">IFERROR(INDEX(Montageplatten[28/32],LARGE((Montageplatten[Gesamt]=$A$195)*(ROW(Montageplatten[Gesamt])-1),COUNTIF(Montageplatten[Gesamt],$A$195)+1-ROW(A10))),"")</f>
        <v/>
      </c>
      <c r="I206" s="4" t="str">
        <f t="array" aca="1" ref="I206" ca="1">IFERROR(INDEX(Montageplatten[20/32],LARGE((Montageplatten[Gesamt]=$A$195)*(ROW(Montageplatten[Gesamt])-1),COUNTIF(Montageplatten[Gesamt],$A$195)+1-ROW(A10))),"")</f>
        <v/>
      </c>
      <c r="J206" s="4" t="str">
        <f t="array" aca="1" ref="J206" ca="1">IFERROR(INDEX(Montageplatten[9,5/32],LARGE((Montageplatten[Gesamt]=$A$195)*(ROW(Montageplatten[Gesamt])-1),COUNTIF(Montageplatten[Gesamt],$A$195)+1-ROW(A10))),"")</f>
        <v/>
      </c>
      <c r="K206" s="4" t="str">
        <f t="array" aca="1" ref="K206" ca="1">IFERROR(INDEX(Montageplatten[10/32],LARGE((Montageplatten[Gesamt]=$A$195)*(ROW(Montageplatten[Gesamt])-1),COUNTIF(Montageplatten[Gesamt],$A$195)+1-ROW(A10))),"")</f>
        <v/>
      </c>
      <c r="L206" s="4" t="str">
        <f t="array" aca="1" ref="L206" ca="1">IFERROR(INDEX(Montageplatten[Höhe],LARGE((Montageplatten[Gesamt]=$A$195)*(ROW(Montageplatten[Gesamt])-1),COUNTIF(Montageplatten[Gesamt],$A$195)+1-ROW(A10))),"")</f>
        <v/>
      </c>
      <c r="M206" s="4" t="str">
        <f t="array" aca="1" ref="M206" ca="1">IFERROR(INDEX(Montageplatten[Teil],LARGE((Montageplatten[Gesamt]=$A$195)*(ROW(Montageplatten[Gesamt])-1),COUNTIF(Montageplatten[Gesamt],$A$195)+1-ROW(A10))),"")</f>
        <v/>
      </c>
    </row>
    <row r="207" spans="1:13" hidden="1" outlineLevel="1" x14ac:dyDescent="0.25">
      <c r="A207" s="4" t="str">
        <f t="array" aca="1" ref="A207" ca="1">IFERROR(INDEX(Montageplatten[Spalte1],LARGE((Montageplatten[Gesamt]=$A$195)*(ROW(Montageplatten[Gesamt])-1),COUNTIF(Montageplatten[Gesamt],$A$195)+1-ROW(A11))),"")</f>
        <v/>
      </c>
      <c r="B207" s="4" t="str">
        <f t="array" aca="1" ref="B207" ca="1">IFERROR(INDEX(Montageplatten[Spalte2],LARGE((Montageplatten[Gesamt]=$A$195)*(ROW(Montageplatten[Gesamt])-1),COUNTIF(Montageplatten[Gesamt],$A$195)+1-ROW(A11))),"")</f>
        <v/>
      </c>
      <c r="C207" s="4" t="str">
        <f t="array" aca="1" ref="C207" ca="1">IFERROR(INDEX(Montageplatten[Spalte3],LARGE((Montageplatten[Gesamt]=$A$195)*(ROW(Montageplatten[Gesamt])-1),COUNTIF(Montageplatten[Gesamt],$A$195)+1-ROW(A11))),"")</f>
        <v/>
      </c>
      <c r="D207" s="4" t="str">
        <f t="array" aca="1" ref="D207" ca="1">IFERROR(INDEX(Montageplatten[Bezeichnung 1],LARGE((Montageplatten[Gesamt]=$A$195)*(ROW(Montageplatten[Gesamt])-1),COUNTIF(Montageplatten[Gesamt],$A$195)+1-ROW(A11))),"")</f>
        <v/>
      </c>
      <c r="E207" s="4" t="str">
        <f t="array" aca="1" ref="E207" ca="1">IFERROR(INDEX(Montageplatten[Bezeichnung 2],LARGE((Montageplatten[Gesamt]=$A$195)*(ROW(Montageplatten[Gesamt])-1),COUNTIF(Montageplatten[Gesamt],$A$195)+1-ROW(A11))),"")</f>
        <v/>
      </c>
      <c r="F207" s="4" t="str">
        <f t="array" aca="1" ref="F207" ca="1">IFERROR(INDEX(Montageplatten[Bezeichnung TGr],LARGE((Montageplatten[Gesamt]=$A$195)*(ROW(Montageplatten[Gesamt])-1),COUNTIF(Montageplatten[Gesamt],$A$195)+1-ROW(A11))),"")</f>
        <v/>
      </c>
      <c r="G207" s="4" t="str">
        <f t="array" aca="1" ref="G207" ca="1">IFERROR(INDEX(Montageplatten[37/32],LARGE((Montageplatten[Gesamt]=$A$195)*(ROW(Montageplatten[Gesamt])-1),COUNTIF(Montageplatten[Gesamt],$A$195)+1-ROW(A11))),"")</f>
        <v/>
      </c>
      <c r="H207" s="4" t="str">
        <f t="array" aca="1" ref="H207" ca="1">IFERROR(INDEX(Montageplatten[28/32],LARGE((Montageplatten[Gesamt]=$A$195)*(ROW(Montageplatten[Gesamt])-1),COUNTIF(Montageplatten[Gesamt],$A$195)+1-ROW(A11))),"")</f>
        <v/>
      </c>
      <c r="I207" s="4" t="str">
        <f t="array" aca="1" ref="I207" ca="1">IFERROR(INDEX(Montageplatten[20/32],LARGE((Montageplatten[Gesamt]=$A$195)*(ROW(Montageplatten[Gesamt])-1),COUNTIF(Montageplatten[Gesamt],$A$195)+1-ROW(A11))),"")</f>
        <v/>
      </c>
      <c r="J207" s="4" t="str">
        <f t="array" aca="1" ref="J207" ca="1">IFERROR(INDEX(Montageplatten[9,5/32],LARGE((Montageplatten[Gesamt]=$A$195)*(ROW(Montageplatten[Gesamt])-1),COUNTIF(Montageplatten[Gesamt],$A$195)+1-ROW(A11))),"")</f>
        <v/>
      </c>
      <c r="K207" s="4" t="str">
        <f t="array" aca="1" ref="K207" ca="1">IFERROR(INDEX(Montageplatten[10/32],LARGE((Montageplatten[Gesamt]=$A$195)*(ROW(Montageplatten[Gesamt])-1),COUNTIF(Montageplatten[Gesamt],$A$195)+1-ROW(A11))),"")</f>
        <v/>
      </c>
      <c r="L207" s="4" t="str">
        <f t="array" aca="1" ref="L207" ca="1">IFERROR(INDEX(Montageplatten[Höhe],LARGE((Montageplatten[Gesamt]=$A$195)*(ROW(Montageplatten[Gesamt])-1),COUNTIF(Montageplatten[Gesamt],$A$195)+1-ROW(A11))),"")</f>
        <v/>
      </c>
      <c r="M207" s="4" t="str">
        <f t="array" aca="1" ref="M207" ca="1">IFERROR(INDEX(Montageplatten[Teil],LARGE((Montageplatten[Gesamt]=$A$195)*(ROW(Montageplatten[Gesamt])-1),COUNTIF(Montageplatten[Gesamt],$A$195)+1-ROW(A11))),"")</f>
        <v/>
      </c>
    </row>
    <row r="208" spans="1:13" hidden="1" outlineLevel="1" x14ac:dyDescent="0.25"/>
    <row r="209" spans="1:18" ht="14.25" hidden="1" customHeight="1" outlineLevel="1" x14ac:dyDescent="0.25"/>
    <row r="210" spans="1:18" hidden="1" outlineLevel="1" x14ac:dyDescent="0.25"/>
    <row r="211" spans="1:18" ht="82.5" hidden="1" outlineLevel="1" x14ac:dyDescent="0.25">
      <c r="A211" t="s">
        <v>893</v>
      </c>
      <c r="D211" s="7" t="str">
        <f>Scharniere[[#Headers],[Bezeichnung 1]]</f>
        <v>Bezeichnung 1</v>
      </c>
      <c r="E211" s="7" t="str">
        <f>Scharniere[[#Headers],[Bezeichnung 2]]</f>
        <v>Bezeichnung 2</v>
      </c>
      <c r="F211" s="7" t="str">
        <f>Scharniere[[#Headers],[Bezeichnung TGr]]</f>
        <v>Bezeichnung TGr</v>
      </c>
    </row>
    <row r="212" spans="1:18" hidden="1" outlineLevel="1" x14ac:dyDescent="0.25">
      <c r="A212" s="4" t="str">
        <f t="array" aca="1" ref="A212" ca="1">IFERROR(INDEX(Scharniere[Spalte3],LARGE((Scharniere[Gesamt_standard]=$L$178)*(ROW(Scharniere[Gesamt_standard])-1),COUNTIF(Scharniere[Gesamt_standard],1)+1-ROW(A1))),"")</f>
        <v>F046</v>
      </c>
      <c r="B212" s="4" t="str">
        <f t="array" aca="1" ref="B212" ca="1">IFERROR(INDEX(Scharniere[Spalte2],LARGE((Scharniere[Gesamt_standard]=$L$178)*(ROW(Scharniere[Gesamt_standard])-1),COUNTIF(Scharniere[Gesamt_standard],1)+1-ROW(A1))),"")</f>
        <v>138</v>
      </c>
      <c r="C212" s="4" t="str">
        <f t="array" aca="1" ref="C212" ca="1">IFERROR(INDEX(Scharniere[Spalte1],LARGE((Scharniere[Gesamt_standard]=$L$178)*(ROW(Scharniere[Gesamt_standard])-1),COUNTIF(Scharniere[Gesamt_standard],1)+1-ROW(A1))),"")</f>
        <v>191</v>
      </c>
      <c r="D212" s="4" t="str">
        <f t="array" aca="1" ref="D212" ca="1">IFERROR(INDEX(Scharniere[Bezeichnung 1],LARGE((Scharniere[Gesamt_standard]=$L$178)*(ROW(Scharniere[Gesamt_standard])-1),COUNTIF(Scharniere[Gesamt_standard],1)+1-ROW(A1))),Sprache!A38)</f>
        <v>Tiomos Scharnier TT Click-on</v>
      </c>
      <c r="E212" s="4" t="str">
        <f t="array" aca="1" ref="E212" ca="1">IFERROR(INDEX(Scharniere[Bezeichnung 2],LARGE((Scharniere[Gesamt_standard]=$L$178)*(ROW(Scharniere[Gesamt_standard])-1),COUNTIF(Scharniere[Gesamt_standard],1)+1-ROW(A1))),"")</f>
        <v>110°, M-BB, K19, Dübel, ni</v>
      </c>
      <c r="F212" s="4" t="str">
        <f t="array" aca="1" ref="F212" ca="1">IFERROR(INDEX(Scharniere[Bezeichnung TGr],LARGE((Scharniere[Gesamt_standard]=$L$178)*(ROW(Scharniere[Gesamt_standard])-1),COUNTIF(Scharniere[Gesamt_standard],1)+1-ROW(A1))),Sprache!A56&amp;" "&amp;Sprache!A146)</f>
        <v>Tiomos Click-On Scharniere</v>
      </c>
    </row>
    <row r="213" spans="1:18" hidden="1" outlineLevel="1" x14ac:dyDescent="0.25">
      <c r="A213" s="4" t="str">
        <f t="array" aca="1" ref="A213" ca="1">IFERROR(INDEX(Scharniere[Spalte3],LARGE((Scharniere[Gesamt_standard]=$L$178)*(ROW(Scharniere[Gesamt_standard])-1),COUNTIF(Scharniere[Gesamt_standard],1)+1-ROW(A2))),"")</f>
        <v>F046</v>
      </c>
      <c r="B213" s="4" t="str">
        <f t="array" aca="1" ref="B213" ca="1">IFERROR(INDEX(Scharniere[Spalte2],LARGE((Scharniere[Gesamt_standard]=$L$178)*(ROW(Scharniere[Gesamt_standard])-1),COUNTIF(Scharniere[Gesamt_standard],1)+1-ROW(A2))),"")</f>
        <v>138</v>
      </c>
      <c r="C213" s="4" t="str">
        <f t="array" aca="1" ref="C213" ca="1">IFERROR(INDEX(Scharniere[Spalte1],LARGE((Scharniere[Gesamt_standard]=$L$178)*(ROW(Scharniere[Gesamt_standard])-1),COUNTIF(Scharniere[Gesamt_standard],1)+1-ROW(A2))),"")</f>
        <v>190</v>
      </c>
      <c r="D213" s="4" t="str">
        <f t="array" aca="1" ref="D213" ca="1">IFERROR(INDEX(Scharniere[Bezeichnung 1],LARGE((Scharniere[Gesamt_standard]=$L$178)*(ROW(Scharniere[Gesamt_standard])-1),COUNTIF(Scharniere[Gesamt_standard],1)+1-ROW(A2))),"")</f>
        <v>Tiomos Scharnier TT Click-on</v>
      </c>
      <c r="E213" s="4" t="str">
        <f t="array" aca="1" ref="E213" ca="1">IFERROR(INDEX(Scharniere[Bezeichnung 2],LARGE((Scharniere[Gesamt_standard]=$L$178)*(ROW(Scharniere[Gesamt_standard])-1),COUNTIF(Scharniere[Gesamt_standard],1)+1-ROW(A2))),"")</f>
        <v>110°, M-BB, K9.5, Dübel, ni</v>
      </c>
      <c r="F213" s="4" t="str">
        <f t="array" aca="1" ref="F213" ca="1">IFERROR(INDEX(Scharniere[Bezeichnung TGr],LARGE((Scharniere[Gesamt_standard]=$L$178)*(ROW(Scharniere[Gesamt_standard])-1),COUNTIF(Scharniere[Gesamt_standard],1)+1-ROW(A2))),"")</f>
        <v>Tiomos Click-On Scharniere</v>
      </c>
    </row>
    <row r="214" spans="1:18" hidden="1" outlineLevel="1" x14ac:dyDescent="0.25">
      <c r="A214" s="4" t="str">
        <f t="array" aca="1" ref="A214" ca="1">IFERROR(INDEX(Scharniere[Spalte3],LARGE((Scharniere[Gesamt_standard]=$L$178)*(ROW(Scharniere[Gesamt_standard])-1),COUNTIF(Scharniere[Gesamt_standard],1)+1-ROW(A3))),"")</f>
        <v>F046</v>
      </c>
      <c r="B214" s="4" t="str">
        <f t="array" aca="1" ref="B214" ca="1">IFERROR(INDEX(Scharniere[Spalte2],LARGE((Scharniere[Gesamt_standard]=$L$178)*(ROW(Scharniere[Gesamt_standard])-1),COUNTIF(Scharniere[Gesamt_standard],1)+1-ROW(A3))),"")</f>
        <v>138</v>
      </c>
      <c r="C214" s="4" t="str">
        <f t="array" aca="1" ref="C214" ca="1">IFERROR(INDEX(Scharniere[Spalte1],LARGE((Scharniere[Gesamt_standard]=$L$178)*(ROW(Scharniere[Gesamt_standard])-1),COUNTIF(Scharniere[Gesamt_standard],1)+1-ROW(A3))),"")</f>
        <v>188</v>
      </c>
      <c r="D214" s="4" t="str">
        <f t="array" aca="1" ref="D214" ca="1">IFERROR(INDEX(Scharniere[Bezeichnung 1],LARGE((Scharniere[Gesamt_standard]=$L$178)*(ROW(Scharniere[Gesamt_standard])-1),COUNTIF(Scharniere[Gesamt_standard],1)+1-ROW(A3))),"")</f>
        <v>Tiomos Scharnier TT Click-on</v>
      </c>
      <c r="E214" s="4" t="str">
        <f t="array" aca="1" ref="E214" ca="1">IFERROR(INDEX(Scharniere[Bezeichnung 2],LARGE((Scharniere[Gesamt_standard]=$L$178)*(ROW(Scharniere[Gesamt_standard])-1),COUNTIF(Scharniere[Gesamt_standard],1)+1-ROW(A3))),"")</f>
        <v>110°, M-BB, K00, Dübel, ni</v>
      </c>
      <c r="F214" s="4" t="str">
        <f t="array" aca="1" ref="F214" ca="1">IFERROR(INDEX(Scharniere[Bezeichnung TGr],LARGE((Scharniere[Gesamt_standard]=$L$178)*(ROW(Scharniere[Gesamt_standard])-1),COUNTIF(Scharniere[Gesamt_standard],1)+1-ROW(A3))),"")</f>
        <v>Tiomos Click-On Scharniere</v>
      </c>
    </row>
    <row r="215" spans="1:18" hidden="1" outlineLevel="1" x14ac:dyDescent="0.25">
      <c r="A215" s="4" t="str">
        <f t="array" aca="1" ref="A215" ca="1">IFERROR(INDEX(Scharniere[Spalte3],LARGE((Scharniere[Gesamt_standard]=$L$178)*(ROW(Scharniere[Gesamt_standard])-1),COUNTIF(Scharniere[Gesamt_standard],1)+1-ROW(A4))),"")</f>
        <v/>
      </c>
      <c r="B215" s="4" t="str">
        <f t="array" aca="1" ref="B215" ca="1">IFERROR(INDEX(Scharniere[Spalte2],LARGE((Scharniere[Gesamt_standard]=$L$178)*(ROW(Scharniere[Gesamt_standard])-1),COUNTIF(Scharniere[Gesamt_standard],1)+1-ROW(A4))),"")</f>
        <v/>
      </c>
      <c r="C215" s="4" t="str">
        <f t="array" aca="1" ref="C215" ca="1">IFERROR(INDEX(Scharniere[Spalte1],LARGE((Scharniere[Gesamt_standard]=$L$178)*(ROW(Scharniere[Gesamt_standard])-1),COUNTIF(Scharniere[Gesamt_standard],1)+1-ROW(A4))),"")</f>
        <v/>
      </c>
      <c r="D215" s="4" t="str">
        <f t="array" aca="1" ref="D215" ca="1">IFERROR(INDEX(Scharniere[Bezeichnung 1],LARGE((Scharniere[Gesamt_standard]=$L$178)*(ROW(Scharniere[Gesamt_standard])-1),COUNTIF(Scharniere[Gesamt_standard],1)+1-ROW(A4))),"")</f>
        <v/>
      </c>
      <c r="E215" s="4" t="str">
        <f t="array" aca="1" ref="E215" ca="1">IFERROR(INDEX(Scharniere[Bezeichnung 2],LARGE((Scharniere[Gesamt_standard]=$L$178)*(ROW(Scharniere[Gesamt_standard])-1),COUNTIF(Scharniere[Gesamt_standard],1)+1-ROW(A4))),"")</f>
        <v/>
      </c>
      <c r="F215" s="4" t="str">
        <f t="array" aca="1" ref="F215" ca="1">IFERROR(INDEX(Scharniere[Bezeichnung TGr],LARGE((Scharniere[Gesamt_standard]=$L$178)*(ROW(Scharniere[Gesamt_standard])-1),COUNTIF(Scharniere[Gesamt_standard],1)+1-ROW(A4))),"")</f>
        <v/>
      </c>
    </row>
    <row r="216" spans="1:18" hidden="1" outlineLevel="1" x14ac:dyDescent="0.25">
      <c r="A216" s="4" t="str">
        <f t="array" aca="1" ref="A216" ca="1">IFERROR(INDEX(Scharniere[Spalte3],LARGE((Scharniere[Gesamt_standard]=$L$178)*(ROW(Scharniere[Gesamt_standard])-1),COUNTIF(Scharniere[Gesamt_standard],1)+1-ROW(A5))),"")</f>
        <v/>
      </c>
      <c r="B216" s="4" t="str">
        <f t="array" aca="1" ref="B216" ca="1">IFERROR(INDEX(Scharniere[Spalte2],LARGE((Scharniere[Gesamt_standard]=$L$178)*(ROW(Scharniere[Gesamt_standard])-1),COUNTIF(Scharniere[Gesamt_standard],1)+1-ROW(A5))),"")</f>
        <v/>
      </c>
      <c r="C216" s="4" t="str">
        <f t="array" aca="1" ref="C216" ca="1">IFERROR(INDEX(Scharniere[Spalte1],LARGE((Scharniere[Gesamt_standard]=$L$178)*(ROW(Scharniere[Gesamt_standard])-1),COUNTIF(Scharniere[Gesamt_standard],1)+1-ROW(A5))),"")</f>
        <v/>
      </c>
      <c r="D216" s="4" t="str">
        <f t="array" aca="1" ref="D216" ca="1">IFERROR(INDEX(Scharniere[Bezeichnung 1],LARGE((Scharniere[Gesamt_standard]=$L$178)*(ROW(Scharniere[Gesamt_standard])-1),COUNTIF(Scharniere[Gesamt_standard],1)+1-ROW(A5))),"")</f>
        <v/>
      </c>
      <c r="E216" s="4" t="str">
        <f t="array" aca="1" ref="E216" ca="1">IFERROR(INDEX(Scharniere[Bezeichnung 2],LARGE((Scharniere[Gesamt_standard]=$L$178)*(ROW(Scharniere[Gesamt_standard])-1),COUNTIF(Scharniere[Gesamt_standard],1)+1-ROW(A5))),"")</f>
        <v/>
      </c>
      <c r="F216" s="4" t="str">
        <f t="array" aca="1" ref="F216" ca="1">IFERROR(INDEX(Scharniere[Bezeichnung TGr],LARGE((Scharniere[Gesamt_standard]=$L$178)*(ROW(Scharniere[Gesamt_standard])-1),COUNTIF(Scharniere[Gesamt_standard],1)+1-ROW(A5))),"")</f>
        <v/>
      </c>
    </row>
    <row r="217" spans="1:18" hidden="1" outlineLevel="1" x14ac:dyDescent="0.25">
      <c r="A217" s="41"/>
      <c r="B217" s="41"/>
      <c r="C217" s="41"/>
      <c r="D217" s="41"/>
      <c r="E217" s="41"/>
      <c r="F217" s="41"/>
    </row>
    <row r="218" spans="1:18" hidden="1" outlineLevel="1" x14ac:dyDescent="0.25"/>
    <row r="219" spans="1:18" hidden="1" outlineLevel="1" x14ac:dyDescent="0.25"/>
    <row r="220" spans="1:18" hidden="1" outlineLevel="1" x14ac:dyDescent="0.25">
      <c r="A220" t="s">
        <v>20</v>
      </c>
      <c r="C220" t="s">
        <v>40</v>
      </c>
      <c r="F220" t="s">
        <v>1359</v>
      </c>
      <c r="H220" t="s">
        <v>1359</v>
      </c>
      <c r="I220" t="s">
        <v>1359</v>
      </c>
      <c r="J220" t="s">
        <v>1359</v>
      </c>
      <c r="K220" t="s">
        <v>1359</v>
      </c>
      <c r="P220" s="131" t="str">
        <f>IF(P221=0,Sprache!$A$56&amp;" "&amp;Sprache!$A$147,IF(Q221=0,Sprache!$A$51,""))</f>
        <v/>
      </c>
    </row>
    <row r="221" spans="1:18" hidden="1" outlineLevel="1" x14ac:dyDescent="0.25">
      <c r="A221" s="18" t="str">
        <f t="array" aca="1" ref="A221" ca="1">IFERROR(INDEX(select!$F$197:$F$207,LARGE((select!$G$197:$G$207=select!$L$178)*(ROW(select!$G$197:$G$207)-$A$196),COUNTIF(select!$G$197:$G$207,1)+1-ROW(A1))),Sprache!A56&amp;" "&amp;Sprache!A146)</f>
        <v>Tiomos Montageplatten</v>
      </c>
      <c r="B221" s="18"/>
      <c r="C221" s="18" t="str">
        <f t="array" aca="1" ref="C221" ca="1">IFERROR(INDEX(select!$D$197:$D$207,LARGE((select!$G$197:$G$207=select!$L$178)*(ROW(select!$G$197:$G$207)-$A$196),COUNTIF(select!$G$197:$G$207,1)+1-ROW(A1))),Sprache!$A$38)</f>
        <v>Eco Kreuz Mtg-Platte</v>
      </c>
      <c r="D221" s="18"/>
      <c r="E221" s="18"/>
      <c r="F221" s="18" t="str">
        <f t="array" aca="1" ref="F221" ca="1">IFERROR(INDEX(select!$E$197:$E$207,LARGE((select!$G$197:$G$207=select!$L$178)*(ROW(select!$G$197:$G$207)-$A$196),COUNTIF(select!$G$197:$G$207,1)+1-ROW(A1))),"")</f>
        <v>H 00, ni /37</v>
      </c>
      <c r="G221" s="18"/>
      <c r="H221" s="18">
        <f t="array" aca="1" ref="H221" ca="1">IFERROR(INDEX(select!$L$197:$L$207,LARGE((select!$G$197:$G$207=select!$L$178)*(ROW(select!$G$197:$G$207)-$A$196),COUNTIF(select!$G$197:$G$207,1)+1-ROW(A1))),"")</f>
        <v>0</v>
      </c>
      <c r="I221" s="18" t="str">
        <f t="array" aca="1" ref="I221" ca="1">IFERROR(INDEX(select!$A$197:$A$207,LARGE((select!$G$197:$G$207=select!$L$178)*(ROW(select!$G$197:$G$207)-$A$196),COUNTIF(select!$G$197:$G$207,1)+1-ROW(A1))),"")</f>
        <v>F058</v>
      </c>
      <c r="J221" s="18" t="str">
        <f t="array" aca="1" ref="J221" ca="1">IFERROR(INDEX(select!$B$197:$B$207,LARGE((select!$G$197:$G$207=select!$L$178)*(ROW(select!$G$197:$G$207)-$A$196),COUNTIF(select!$G$197:$G$207,1)+1-ROW(A1))),"")</f>
        <v>139</v>
      </c>
      <c r="K221" s="18" t="str">
        <f t="array" aca="1" ref="K221" ca="1">IFERROR(INDEX(select!$C$197:$C$207,LARGE((select!$G$197:$G$207=select!$L$178)*(ROW(select!$G$197:$G$207)-$A$196),COUNTIF(select!$G$197:$G$207,1)+1-ROW(A1))),"")</f>
        <v>721</v>
      </c>
      <c r="L221" s="3"/>
      <c r="M221">
        <v>1</v>
      </c>
      <c r="N221" t="s">
        <v>894</v>
      </c>
      <c r="O221" t="str">
        <f>VLOOKUP(M221,M222:O226,3,FALSE)</f>
        <v>37/32</v>
      </c>
      <c r="P221">
        <f>SUM(R222:R226)</f>
        <v>2</v>
      </c>
      <c r="Q221">
        <f>VLOOKUP(M221,M222:R226,6,FALSE)</f>
        <v>1</v>
      </c>
    </row>
    <row r="222" spans="1:18" hidden="1" outlineLevel="1" x14ac:dyDescent="0.25">
      <c r="A222" s="18" t="str">
        <f t="array" aca="1" ref="A222" ca="1">IFERROR(INDEX(select!$F$197:$F$207,LARGE((select!$G$197:$G$207=select!$L$178)*(ROW(select!$G$197:$G$207)-$A$196),COUNTIF(select!$G$197:$G$207,1)+1-ROW(A2))),"")</f>
        <v>Tiomos Montageplatten</v>
      </c>
      <c r="B222" s="18"/>
      <c r="C222" s="18" t="str">
        <f t="array" aca="1" ref="C222" ca="1">IFERROR(INDEX(select!$D$197:$D$207,LARGE((select!$G$197:$G$207=select!$L$178)*(ROW(select!$G$197:$G$207)-$A$196),COUNTIF(select!$G$197:$G$207,1)+1-ROW(A2))),"")</f>
        <v>1D Kreuz Mtg-Platte</v>
      </c>
      <c r="D222" s="18"/>
      <c r="E222" s="18"/>
      <c r="F222" s="18" t="str">
        <f t="array" aca="1" ref="F222" ca="1">IFERROR(INDEX(select!$E$197:$E$207,LARGE((select!$G$197:$G$207=select!$L$178)*(ROW(select!$G$197:$G$207)-$A$196),COUNTIF(select!$G$197:$G$207,1)+1-ROW(A2))),"")</f>
        <v>H 00, ni /37</v>
      </c>
      <c r="G222" s="18"/>
      <c r="H222" s="18">
        <f t="array" aca="1" ref="H222" ca="1">IFERROR(INDEX(select!$L$197:$L$207,LARGE((select!$G$197:$G$207=select!$L$178)*(ROW(select!$G$197:$G$207)-$A$196),COUNTIF(select!$G$197:$G$207,1)+1-ROW(A2))),"")</f>
        <v>0</v>
      </c>
      <c r="I222" s="18" t="str">
        <f t="array" aca="1" ref="I222" ca="1">IFERROR(INDEX(select!$A$197:$A$207,LARGE((select!$G$197:$G$207=select!$L$178)*(ROW(select!$G$197:$G$207)-$A$196),COUNTIF(select!$G$197:$G$207,1)+1-ROW(A2))),"")</f>
        <v>F058</v>
      </c>
      <c r="J222" s="18" t="str">
        <f t="array" aca="1" ref="J222" ca="1">IFERROR(INDEX(select!$B$197:$B$207,LARGE((select!$G$197:$G$207=select!$L$178)*(ROW(select!$G$197:$G$207)-$A$196),COUNTIF(select!$G$197:$G$207,1)+1-ROW(A2))),"")</f>
        <v>139</v>
      </c>
      <c r="K222" s="18" t="str">
        <f t="array" aca="1" ref="K222" ca="1">IFERROR(INDEX(select!$C$197:$C$207,LARGE((select!$G$197:$G$207=select!$L$178)*(ROW(select!$G$197:$G$207)-$A$196),COUNTIF(select!$G$197:$G$207,1)+1-ROW(A2))),"")</f>
        <v>746</v>
      </c>
      <c r="M222">
        <v>1</v>
      </c>
      <c r="N222" t="str">
        <f>IF(R222&lt;&gt;0,$B$6&amp;" "&amp;O222,$B$5&amp;" "&amp;O222)</f>
        <v>✓ 37/32</v>
      </c>
      <c r="O222" t="s">
        <v>40</v>
      </c>
      <c r="Q222">
        <f>AI98</f>
        <v>1</v>
      </c>
      <c r="R222">
        <f>AI98</f>
        <v>1</v>
      </c>
    </row>
    <row r="223" spans="1:18" hidden="1" outlineLevel="1" x14ac:dyDescent="0.25">
      <c r="A223" s="18" t="str">
        <f t="array" aca="1" ref="A223" ca="1">IFERROR(INDEX(select!$F$197:$F$207,LARGE((select!$G$197:$G$207=select!$L$178)*(ROW(select!$G$197:$G$207)-$A$196),COUNTIF(select!$G$197:$G$207,1)+1-ROW(A3))),"")</f>
        <v>Tiomos Montageplatten</v>
      </c>
      <c r="B223" s="18"/>
      <c r="C223" s="18" t="str">
        <f t="array" aca="1" ref="C223" ca="1">IFERROR(INDEX(select!$D$197:$D$207,LARGE((select!$G$197:$G$207=select!$L$178)*(ROW(select!$G$197:$G$207)-$A$196),COUNTIF(select!$G$197:$G$207,1)+1-ROW(A3))),"")</f>
        <v>1D Kreuz Mtg-Platte</v>
      </c>
      <c r="D223" s="18"/>
      <c r="E223" s="18"/>
      <c r="F223" s="18" t="str">
        <f t="array" aca="1" ref="F223" ca="1">IFERROR(INDEX(select!$E$197:$E$207,LARGE((select!$G$197:$G$207=select!$L$178)*(ROW(select!$G$197:$G$207)-$A$196),COUNTIF(select!$G$197:$G$207,1)+1-ROW(A3))),"")</f>
        <v>H 9,5, ni /37</v>
      </c>
      <c r="G223" s="18"/>
      <c r="H223" s="18">
        <f t="array" aca="1" ref="H223" ca="1">IFERROR(INDEX(select!$L$197:$L$207,LARGE((select!$G$197:$G$207=select!$L$178)*(ROW(select!$G$197:$G$207)-$A$196),COUNTIF(select!$G$197:$G$207,1)+1-ROW(A3))),"")</f>
        <v>9.5</v>
      </c>
      <c r="I223" s="18" t="str">
        <f t="array" aca="1" ref="I223" ca="1">IFERROR(INDEX(select!$A$197:$A$207,LARGE((select!$G$197:$G$207=select!$L$178)*(ROW(select!$G$197:$G$207)-$A$196),COUNTIF(select!$G$197:$G$207,1)+1-ROW(A3))),"")</f>
        <v>F058</v>
      </c>
      <c r="J223" s="18" t="str">
        <f t="array" aca="1" ref="J223" ca="1">IFERROR(INDEX(select!$B$197:$B$207,LARGE((select!$G$197:$G$207=select!$L$178)*(ROW(select!$G$197:$G$207)-$A$196),COUNTIF(select!$G$197:$G$207,1)+1-ROW(A3))),"")</f>
        <v>139</v>
      </c>
      <c r="K223" s="18" t="str">
        <f t="array" aca="1" ref="K223" ca="1">IFERROR(INDEX(select!$C$197:$C$207,LARGE((select!$G$197:$G$207=select!$L$178)*(ROW(select!$G$197:$G$207)-$A$196),COUNTIF(select!$G$197:$G$207,1)+1-ROW(A3))),"")</f>
        <v>888</v>
      </c>
      <c r="M223">
        <v>2</v>
      </c>
      <c r="N223" t="str">
        <f t="shared" ref="N223:N226" si="55">IF(R223&lt;&gt;0,$B$6&amp;" "&amp;O223,$B$5&amp;" "&amp;O223)</f>
        <v>✓ 28/32</v>
      </c>
      <c r="O223" t="s">
        <v>41</v>
      </c>
      <c r="Q223">
        <f>AI100</f>
        <v>1</v>
      </c>
      <c r="R223">
        <f>AI100</f>
        <v>1</v>
      </c>
    </row>
    <row r="224" spans="1:18" hidden="1" outlineLevel="1" x14ac:dyDescent="0.25">
      <c r="A224" s="18" t="str">
        <f t="array" aca="1" ref="A224" ca="1">IFERROR(INDEX(select!$F$197:$F$207,LARGE((select!$G$197:$G$207=select!$L$178)*(ROW(select!$G$197:$G$207)-$A$196),COUNTIF(select!$G$197:$G$207,1)+1-ROW(A4))),"")</f>
        <v>Tiomos Montageplatten</v>
      </c>
      <c r="B224" s="18"/>
      <c r="C224" s="18" t="str">
        <f t="array" aca="1" ref="C224" ca="1">IFERROR(INDEX(select!$D$197:$D$207,LARGE((select!$G$197:$G$207=select!$L$178)*(ROW(select!$G$197:$G$207)-$A$196),COUNTIF(select!$G$197:$G$207,1)+1-ROW(A4))),"")</f>
        <v>1D Kreuz Mtg-Platte</v>
      </c>
      <c r="D224" s="18"/>
      <c r="E224" s="18"/>
      <c r="F224" s="18" t="str">
        <f t="array" aca="1" ref="F224" ca="1">IFERROR(INDEX(select!$E$197:$E$207,LARGE((select!$G$197:$G$207=select!$L$178)*(ROW(select!$G$197:$G$207)-$A$196),COUNTIF(select!$G$197:$G$207,1)+1-ROW(A4))),"")</f>
        <v>H 19, ni /37</v>
      </c>
      <c r="G224" s="18"/>
      <c r="H224" s="18">
        <f t="array" aca="1" ref="H224" ca="1">IFERROR(INDEX(select!$L$197:$L$207,LARGE((select!$G$197:$G$207=select!$L$178)*(ROW(select!$G$197:$G$207)-$A$196),COUNTIF(select!$G$197:$G$207,1)+1-ROW(A4))),"")</f>
        <v>19</v>
      </c>
      <c r="I224" s="18" t="str">
        <f t="array" aca="1" ref="I224" ca="1">IFERROR(INDEX(select!$A$197:$A$207,LARGE((select!$G$197:$G$207=select!$L$178)*(ROW(select!$G$197:$G$207)-$A$196),COUNTIF(select!$G$197:$G$207,1)+1-ROW(A4))),"")</f>
        <v>F058</v>
      </c>
      <c r="J224" s="18" t="str">
        <f t="array" aca="1" ref="J224" ca="1">IFERROR(INDEX(select!$B$197:$B$207,LARGE((select!$G$197:$G$207=select!$L$178)*(ROW(select!$G$197:$G$207)-$A$196),COUNTIF(select!$G$197:$G$207,1)+1-ROW(A4))),"")</f>
        <v>139</v>
      </c>
      <c r="K224" s="18" t="str">
        <f t="array" aca="1" ref="K224" ca="1">IFERROR(INDEX(select!$C$197:$C$207,LARGE((select!$G$197:$G$207=select!$L$178)*(ROW(select!$G$197:$G$207)-$A$196),COUNTIF(select!$G$197:$G$207,1)+1-ROW(A4))),"")</f>
        <v>894</v>
      </c>
      <c r="M224">
        <v>3</v>
      </c>
      <c r="N224" t="str">
        <f t="shared" si="55"/>
        <v xml:space="preserve">     20/32</v>
      </c>
      <c r="O224" t="s">
        <v>1358</v>
      </c>
      <c r="Q224">
        <f>AI102</f>
        <v>0</v>
      </c>
      <c r="R224">
        <f>AI102</f>
        <v>0</v>
      </c>
    </row>
    <row r="225" spans="1:18" hidden="1" outlineLevel="1" x14ac:dyDescent="0.25">
      <c r="A225" s="18" t="str">
        <f t="array" aca="1" ref="A225" ca="1">IFERROR(INDEX(select!$F$197:$F$207,LARGE((select!$G$197:$G$207=select!$L$178)*(ROW(select!$G$197:$G$207)-$A$196),COUNTIF(select!$G$197:$G$207,1)+1-ROW(A5))),"")</f>
        <v/>
      </c>
      <c r="B225" s="18"/>
      <c r="C225" s="18" t="str">
        <f t="array" aca="1" ref="C225" ca="1">IFERROR(INDEX(select!$D$197:$D$207,LARGE((select!$G$197:$G$207=select!$L$178)*(ROW(select!$G$197:$G$207)-$A$196),COUNTIF(select!$G$197:$G$207,1)+1-ROW(A5))),"")</f>
        <v/>
      </c>
      <c r="D225" s="18"/>
      <c r="E225" s="18"/>
      <c r="F225" s="18" t="str">
        <f t="array" aca="1" ref="F225" ca="1">IFERROR(INDEX(select!$E$197:$E$207,LARGE((select!$G$197:$G$207=select!$L$178)*(ROW(select!$G$197:$G$207)-$A$196),COUNTIF(select!$G$197:$G$207,1)+1-ROW(A5))),"")</f>
        <v/>
      </c>
      <c r="G225" s="18"/>
      <c r="H225" s="18" t="str">
        <f t="array" aca="1" ref="H225" ca="1">IFERROR(INDEX(select!$L$197:$L$207,LARGE((select!$G$197:$G$207=select!$L$178)*(ROW(select!$G$197:$G$207)-$A$196),COUNTIF(select!$G$197:$G$207,1)+1-ROW(A5))),"")</f>
        <v/>
      </c>
      <c r="I225" s="18" t="str">
        <f t="array" aca="1" ref="I225" ca="1">IFERROR(INDEX(select!$A$197:$A$207,LARGE((select!$G$197:$G$207=select!$L$178)*(ROW(select!$G$197:$G$207)-$A$196),COUNTIF(select!$G$197:$G$207,1)+1-ROW(A5))),"")</f>
        <v/>
      </c>
      <c r="J225" s="18" t="str">
        <f t="array" aca="1" ref="J225" ca="1">IFERROR(INDEX(select!$B$197:$B$207,LARGE((select!$G$197:$G$207=select!$L$178)*(ROW(select!$G$197:$G$207)-$A$196),COUNTIF(select!$G$197:$G$207,1)+1-ROW(A5))),"")</f>
        <v/>
      </c>
      <c r="K225" s="18" t="str">
        <f t="array" aca="1" ref="K225" ca="1">IFERROR(INDEX(select!$C$197:$C$207,LARGE((select!$G$197:$G$207=select!$L$178)*(ROW(select!$G$197:$G$207)-$A$196),COUNTIF(select!$G$197:$G$207,1)+1-ROW(A5))),"")</f>
        <v/>
      </c>
      <c r="M225">
        <v>4</v>
      </c>
      <c r="N225" t="str">
        <f t="shared" si="55"/>
        <v xml:space="preserve">     9,5/32</v>
      </c>
      <c r="O225" t="s">
        <v>1361</v>
      </c>
      <c r="Q225">
        <f>AI104</f>
        <v>0</v>
      </c>
      <c r="R225">
        <f>AI104</f>
        <v>0</v>
      </c>
    </row>
    <row r="226" spans="1:18" hidden="1" outlineLevel="1" x14ac:dyDescent="0.25">
      <c r="M226">
        <v>5</v>
      </c>
      <c r="N226" t="str">
        <f t="shared" si="55"/>
        <v xml:space="preserve">     10/32</v>
      </c>
      <c r="O226" s="86" t="s">
        <v>1370</v>
      </c>
      <c r="Q226">
        <f>AI106</f>
        <v>0</v>
      </c>
      <c r="R226">
        <f>AI106</f>
        <v>0</v>
      </c>
    </row>
    <row r="227" spans="1:18" hidden="1" outlineLevel="1" x14ac:dyDescent="0.25">
      <c r="A227" t="s">
        <v>20</v>
      </c>
      <c r="C227" t="s">
        <v>41</v>
      </c>
    </row>
    <row r="228" spans="1:18" hidden="1" outlineLevel="1" x14ac:dyDescent="0.25">
      <c r="A228" s="18" t="str">
        <f t="array" aca="1" ref="A228" ca="1">IFERROR(INDEX(select!$F$197:$F$207,LARGE((select!$H$197:$H$207=1)*(ROW(select!$H$197:$H$207)-$A$196),COUNTIF(select!$H$197:$H$207,1)+1-ROW(A1))),Sprache!A56&amp;" "&amp;Sprache!A146)</f>
        <v>Tiomos Montageplatten</v>
      </c>
      <c r="B228" s="18"/>
      <c r="C228" s="18" t="str">
        <f t="array" aca="1" ref="C228" ca="1">IFERROR(INDEX(select!$D$197:$D$207,LARGE((select!$H$197:$H$207=1)*(ROW(select!$H$197:$H$207)-$A$196),COUNTIF(select!$H$197:$H$207,1)+1-ROW(A1))),Sprache!A38)</f>
        <v>1D Kreuz Mtg-Platte</v>
      </c>
      <c r="D228" s="18"/>
      <c r="E228" s="18"/>
      <c r="F228" s="18" t="str">
        <f t="array" aca="1" ref="F228" ca="1">IFERROR(INDEX(select!$E$197:$E$207,LARGE((select!$H$197:$H$207=1)*(ROW(select!$H$197:$H$207)-$A$196),COUNTIF(select!$H$197:$H$207,1)+1-ROW(A1))),"")</f>
        <v>H 00, ni /28</v>
      </c>
      <c r="G228" s="18"/>
      <c r="H228" s="18">
        <f t="array" aca="1" ref="H228" ca="1">IFERROR(INDEX(select!$L$197:$L$207,LARGE((select!$H$197:$H$207=1)*(ROW(select!$H$197:$H$207)-$A$196),COUNTIF(select!$H$197:$H$207,1)+1-ROW(A1))),"")</f>
        <v>0</v>
      </c>
      <c r="I228" s="18" t="str">
        <f t="array" aca="1" ref="I228" ca="1">IFERROR(INDEX(select!$A$197:$A$207,LARGE((select!$H$197:$H$207=1)*(ROW(select!$H$197:$H$207)-$A$196),COUNTIF(select!$H$197:$H$207,1)+1-ROW(A1))),"")</f>
        <v>F058</v>
      </c>
      <c r="J228" s="18" t="str">
        <f t="array" aca="1" ref="J228" ca="1">IFERROR(INDEX(select!$B$197:$B$207,LARGE((select!$H$197:$H$207=1)*(ROW(select!$H$197:$H$207)-$A$196),COUNTIF(select!$H$197:$H$207,1)+1-ROW(A1))),"")</f>
        <v>139</v>
      </c>
      <c r="K228" s="18" t="str">
        <f t="array" aca="1" ref="K228" ca="1">IFERROR(INDEX(select!$C$197:$C$207,LARGE((select!$H$197:$H$207=1)*(ROW(select!$H$197:$H$207)-$A$196),COUNTIF(select!$H$197:$H$207,1)+1-ROW(A1))),"")</f>
        <v>796</v>
      </c>
      <c r="L228" s="3"/>
    </row>
    <row r="229" spans="1:18" hidden="1" outlineLevel="1" x14ac:dyDescent="0.25">
      <c r="A229" s="18" t="str">
        <f t="array" aca="1" ref="A229" ca="1">IFERROR(INDEX(select!$F$197:$F$207,LARGE((select!$H$197:$H$207=1)*(ROW(select!$H$197:$H$207)-$A$196),COUNTIF(select!$H$197:$H$207,1)+1-ROW(A2))),"")</f>
        <v/>
      </c>
      <c r="B229" s="18"/>
      <c r="C229" s="18" t="str">
        <f t="array" aca="1" ref="C229" ca="1">IFERROR(INDEX(select!$D$197:$D$207,LARGE((select!$H$197:$H$207=1)*(ROW(select!$H$197:$H$207)-$A$196),COUNTIF(select!$H$197:$H$207,1)+1-ROW(A2))),"")</f>
        <v/>
      </c>
      <c r="D229" s="18"/>
      <c r="E229" s="18"/>
      <c r="F229" s="18" t="str">
        <f t="array" aca="1" ref="F229" ca="1">IFERROR(INDEX(select!$E$197:$E$207,LARGE((select!$H$197:$H$207=1)*(ROW(select!$H$197:$H$207)-$A$196),COUNTIF(select!$H$197:$H$207,1)+1-ROW(A2))),"")</f>
        <v/>
      </c>
      <c r="G229" s="18"/>
      <c r="H229" s="18" t="str">
        <f t="array" aca="1" ref="H229" ca="1">IFERROR(INDEX(select!$L$197:$L$207,LARGE((select!$H$197:$H$207=1)*(ROW(select!$H$197:$H$207)-$A$196),COUNTIF(select!$H$197:$H$207,1)+1-ROW(A2))),"")</f>
        <v/>
      </c>
      <c r="I229" s="18" t="str">
        <f t="array" aca="1" ref="I229" ca="1">IFERROR(INDEX(select!$A$197:$A$207,LARGE((select!$H$197:$H$207=1)*(ROW(select!$H$197:$H$207)-$A$196),COUNTIF(select!$H$197:$H$207,1)+1-ROW(A2))),"")</f>
        <v/>
      </c>
      <c r="J229" s="18" t="str">
        <f t="array" aca="1" ref="J229" ca="1">IFERROR(INDEX(select!$B$197:$B$207,LARGE((select!$H$197:$H$207=1)*(ROW(select!$H$197:$H$207)-$A$196),COUNTIF(select!$H$197:$H$207,1)+1-ROW(A2))),"")</f>
        <v/>
      </c>
      <c r="K229" s="18" t="str">
        <f t="array" aca="1" ref="K229" ca="1">IFERROR(INDEX(select!$C$197:$C$207,LARGE((select!$H$197:$H$207=1)*(ROW(select!$H$197:$H$207)-$A$196),COUNTIF(select!$H$197:$H$207,1)+1-ROW(A2))),"")</f>
        <v/>
      </c>
    </row>
    <row r="230" spans="1:18" hidden="1" outlineLevel="1" x14ac:dyDescent="0.25">
      <c r="A230" s="18" t="str">
        <f t="array" aca="1" ref="A230" ca="1">IFERROR(INDEX(select!$F$197:$F$207,LARGE((select!$H$197:$H$207=1)*(ROW(select!$H$197:$H$207)-$A$196),COUNTIF(select!$H$197:$H$207,1)+1-ROW(A3))),"")</f>
        <v/>
      </c>
      <c r="B230" s="18"/>
      <c r="C230" s="18" t="str">
        <f t="array" aca="1" ref="C230" ca="1">IFERROR(INDEX(select!$D$197:$D$207,LARGE((select!$H$197:$H$207=1)*(ROW(select!$H$197:$H$207)-$A$196),COUNTIF(select!$H$197:$H$207,1)+1-ROW(A3))),"")</f>
        <v/>
      </c>
      <c r="D230" s="18"/>
      <c r="E230" s="18"/>
      <c r="F230" s="18" t="str">
        <f t="array" aca="1" ref="F230" ca="1">IFERROR(INDEX(select!$E$197:$E$207,LARGE((select!$H$197:$H$207=1)*(ROW(select!$H$197:$H$207)-$A$196),COUNTIF(select!$H$197:$H$207,1)+1-ROW(A3))),"")</f>
        <v/>
      </c>
      <c r="G230" s="18"/>
      <c r="H230" s="18" t="str">
        <f t="array" aca="1" ref="H230" ca="1">IFERROR(INDEX(select!$L$197:$L$207,LARGE((select!$H$197:$H$207=1)*(ROW(select!$H$197:$H$207)-$A$196),COUNTIF(select!$H$197:$H$207,1)+1-ROW(A3))),"")</f>
        <v/>
      </c>
      <c r="I230" s="18" t="str">
        <f t="array" aca="1" ref="I230" ca="1">IFERROR(INDEX(select!$A$197:$A$207,LARGE((select!$H$197:$H$207=1)*(ROW(select!$H$197:$H$207)-$A$196),COUNTIF(select!$H$197:$H$207,1)+1-ROW(A3))),"")</f>
        <v/>
      </c>
      <c r="J230" s="18" t="str">
        <f t="array" aca="1" ref="J230" ca="1">IFERROR(INDEX(select!$B$197:$B$207,LARGE((select!$H$197:$H$207=1)*(ROW(select!$H$197:$H$207)-$A$196),COUNTIF(select!$H$197:$H$207,1)+1-ROW(A3))),"")</f>
        <v/>
      </c>
      <c r="K230" s="18" t="str">
        <f t="array" aca="1" ref="K230" ca="1">IFERROR(INDEX(select!$C$197:$C$207,LARGE((select!$H$197:$H$207=1)*(ROW(select!$H$197:$H$207)-$A$196),COUNTIF(select!$H$197:$H$207,1)+1-ROW(A3))),"")</f>
        <v/>
      </c>
    </row>
    <row r="231" spans="1:18" hidden="1" outlineLevel="1" x14ac:dyDescent="0.25">
      <c r="A231" s="18" t="str">
        <f t="array" aca="1" ref="A231" ca="1">IFERROR(INDEX(select!$F$197:$F$207,LARGE((select!$H$197:$H$207=1)*(ROW(select!$H$197:$H$207)-$A$196),COUNTIF(select!$H$197:$H$207,1)+1-ROW(A4))),"")</f>
        <v/>
      </c>
      <c r="B231" s="18"/>
      <c r="C231" s="18" t="str">
        <f t="array" aca="1" ref="C231" ca="1">IFERROR(INDEX(select!$D$197:$D$207,LARGE((select!$H$197:$H$207=1)*(ROW(select!$H$197:$H$207)-$A$196),COUNTIF(select!$H$197:$H$207,1)+1-ROW(A4))),"")</f>
        <v/>
      </c>
      <c r="D231" s="18"/>
      <c r="E231" s="18"/>
      <c r="F231" s="18" t="str">
        <f t="array" aca="1" ref="F231" ca="1">IFERROR(INDEX(select!$E$197:$E$207,LARGE((select!$H$197:$H$207=1)*(ROW(select!$H$197:$H$207)-$A$196),COUNTIF(select!$H$197:$H$207,1)+1-ROW(A4))),"")</f>
        <v/>
      </c>
      <c r="G231" s="18"/>
      <c r="H231" s="18" t="str">
        <f t="array" aca="1" ref="H231" ca="1">IFERROR(INDEX(select!$L$197:$L$207,LARGE((select!$H$197:$H$207=1)*(ROW(select!$H$197:$H$207)-$A$196),COUNTIF(select!$H$197:$H$207,1)+1-ROW(A4))),"")</f>
        <v/>
      </c>
      <c r="I231" s="18" t="str">
        <f t="array" aca="1" ref="I231" ca="1">IFERROR(INDEX(select!$A$197:$A$207,LARGE((select!$H$197:$H$207=1)*(ROW(select!$H$197:$H$207)-$A$196),COUNTIF(select!$H$197:$H$207,1)+1-ROW(A4))),"")</f>
        <v/>
      </c>
      <c r="J231" s="18" t="str">
        <f t="array" aca="1" ref="J231" ca="1">IFERROR(INDEX(select!$B$197:$B$207,LARGE((select!$H$197:$H$207=1)*(ROW(select!$H$197:$H$207)-$A$196),COUNTIF(select!$H$197:$H$207,1)+1-ROW(A4))),"")</f>
        <v/>
      </c>
      <c r="K231" s="18" t="str">
        <f t="array" aca="1" ref="K231" ca="1">IFERROR(INDEX(select!$C$197:$C$207,LARGE((select!$H$197:$H$207=1)*(ROW(select!$H$197:$H$207)-$A$196),COUNTIF(select!$H$197:$H$207,1)+1-ROW(A4))),"")</f>
        <v/>
      </c>
    </row>
    <row r="232" spans="1:18" hidden="1" outlineLevel="1" x14ac:dyDescent="0.25">
      <c r="A232" s="18" t="str">
        <f t="array" aca="1" ref="A232" ca="1">IFERROR(INDEX(select!$F$197:$F$207,LARGE((select!$H$197:$H$207=1)*(ROW(select!$H$197:$H$207)-$A$196),COUNTIF(select!$H$197:$H$207,1)+1-ROW(A5))),"")</f>
        <v/>
      </c>
      <c r="B232" s="18"/>
      <c r="C232" s="18" t="str">
        <f t="array" aca="1" ref="C232" ca="1">IFERROR(INDEX(select!$D$197:$D$207,LARGE((select!$H$197:$H$207=1)*(ROW(select!$H$197:$H$207)-$A$196),COUNTIF(select!$H$197:$H$207,1)+1-ROW(A5))),"")</f>
        <v/>
      </c>
      <c r="D232" s="18"/>
      <c r="E232" s="18"/>
      <c r="F232" s="18" t="str">
        <f t="array" aca="1" ref="F232" ca="1">IFERROR(INDEX(select!$E$197:$E$207,LARGE((select!$H$197:$H$207=1)*(ROW(select!$H$197:$H$207)-$A$196),COUNTIF(select!$H$197:$H$207,1)+1-ROW(A5))),"")</f>
        <v/>
      </c>
      <c r="G232" s="18"/>
      <c r="H232" s="18" t="str">
        <f t="array" aca="1" ref="H232" ca="1">IFERROR(INDEX(select!$L$197:$L$207,LARGE((select!$H$197:$H$207=1)*(ROW(select!$H$197:$H$207)-$A$196),COUNTIF(select!$H$197:$H$207,1)+1-ROW(A5))),"")</f>
        <v/>
      </c>
      <c r="I232" s="18" t="str">
        <f t="array" aca="1" ref="I232" ca="1">IFERROR(INDEX(select!$A$197:$A$207,LARGE((select!$H$197:$H$207=1)*(ROW(select!$H$197:$H$207)-$A$196),COUNTIF(select!$H$197:$H$207,1)+1-ROW(A5))),"")</f>
        <v/>
      </c>
      <c r="J232" s="18" t="str">
        <f t="array" aca="1" ref="J232" ca="1">IFERROR(INDEX(select!$B$197:$B$207,LARGE((select!$H$197:$H$207=1)*(ROW(select!$H$197:$H$207)-$A$196),COUNTIF(select!$H$197:$H$207,1)+1-ROW(A5))),"")</f>
        <v/>
      </c>
      <c r="K232" s="18" t="str">
        <f t="array" aca="1" ref="K232" ca="1">IFERROR(INDEX(select!$C$197:$C$207,LARGE((select!$H$197:$H$207=1)*(ROW(select!$H$197:$H$207)-$A$196),COUNTIF(select!$H$197:$H$207,1)+1-ROW(A5))),"")</f>
        <v/>
      </c>
    </row>
    <row r="233" spans="1:18" hidden="1" outlineLevel="1" x14ac:dyDescent="0.25"/>
    <row r="234" spans="1:18" hidden="1" outlineLevel="1" x14ac:dyDescent="0.25">
      <c r="A234" t="s">
        <v>20</v>
      </c>
      <c r="C234" t="s">
        <v>1358</v>
      </c>
    </row>
    <row r="235" spans="1:18" hidden="1" outlineLevel="1" x14ac:dyDescent="0.25">
      <c r="A235" s="18" t="str">
        <f t="array" aca="1" ref="A235" ca="1">IFERROR(INDEX(select!$F$197:$F$207,LARGE((select!$I$197:$I$207=1)*(ROW(select!$I$197:$I$207)-$A$196),COUNTIF(select!$I$197:$I$207,1)+1-ROW(A1))),Sprache!A56&amp;" "&amp;Sprache!A146)</f>
        <v>keine Lösungen</v>
      </c>
      <c r="B235" s="18"/>
      <c r="C235" s="18" t="str">
        <f t="array" aca="1" ref="C235" ca="1">IFERROR(INDEX(select!$D$197:$D$207,LARGE((select!$I$197:$I$207=1)*(ROW(select!$I$197:$I$207)-$A$196),COUNTIF(select!$I$197:$I$207,1)+1-ROW(A1))),Sprache!A38)</f>
        <v>Bitte Auswahl ändern!</v>
      </c>
      <c r="D235" s="18"/>
      <c r="E235" s="18"/>
      <c r="F235" s="18" t="str">
        <f t="array" aca="1" ref="F235" ca="1">IFERROR(INDEX(select!$E$197:$E$207,LARGE((select!$I$197:$I$207=1)*(ROW(select!$I$197:$I$207)-$A$196),COUNTIF(select!$I$197:$I$207,1)+1-ROW(A1))),"")</f>
        <v/>
      </c>
      <c r="G235" s="18"/>
      <c r="H235" s="18" t="str">
        <f t="array" aca="1" ref="H235" ca="1">IFERROR(INDEX(select!$L$197:$L$207,LARGE((select!$I$197:$I$207=1)*(ROW(select!$I$197:$I$207)-$A$196),COUNTIF(select!$I$197:$I$207,1)+1-ROW(A1))),"")</f>
        <v/>
      </c>
      <c r="I235" s="18" t="str">
        <f t="array" aca="1" ref="I235" ca="1">IFERROR(INDEX(select!$A$197:$A$207,LARGE((select!$I$197:$I$207=1)*(ROW(select!$I$197:$I$207)-$A$196),COUNTIF(select!$I$197:$I$207,1)+1-ROW(A1))),"")</f>
        <v/>
      </c>
      <c r="J235" s="18" t="str">
        <f t="array" aca="1" ref="J235" ca="1">IFERROR(INDEX(select!$B$197:$B$207,LARGE((select!$I$197:$I$207=1)*(ROW(select!$I$197:$I$207)-$A$196),COUNTIF(select!$I$197:$I$207,1)+1-ROW(A1))),"")</f>
        <v/>
      </c>
      <c r="K235" s="18" t="str">
        <f t="array" aca="1" ref="K235" ca="1">IFERROR(INDEX(select!$C$197:$C$207,LARGE((select!$I$197:$I$207=1)*(ROW(select!$I$197:$I$207)-$A$196),COUNTIF(select!$I$197:$I$207,1)+1-ROW(A1))),"")</f>
        <v/>
      </c>
      <c r="L235" s="3"/>
    </row>
    <row r="236" spans="1:18" hidden="1" outlineLevel="1" x14ac:dyDescent="0.25">
      <c r="A236" s="18" t="str">
        <f t="array" aca="1" ref="A236" ca="1">IFERROR(INDEX(select!$F$197:$F$207,LARGE((select!$I$197:$I$207=1)*(ROW(select!$I$197:$I$207)-$A$196),COUNTIF(select!$I$197:$I$207,1)+1-ROW(A2))),"")</f>
        <v/>
      </c>
      <c r="B236" s="18"/>
      <c r="C236" s="18" t="str">
        <f t="array" aca="1" ref="C236" ca="1">IFERROR(INDEX(select!$D$197:$D$207,LARGE((select!$I$197:$I$207=1)*(ROW(select!$I$197:$I$207)-$A$196),COUNTIF(select!$I$197:$I$207,1)+1-ROW(A2))),"")</f>
        <v/>
      </c>
      <c r="D236" s="18"/>
      <c r="E236" s="18"/>
      <c r="F236" s="18" t="str">
        <f t="array" aca="1" ref="F236" ca="1">IFERROR(INDEX(select!$E$197:$E$207,LARGE((select!$I$197:$I$207=1)*(ROW(select!$I$197:$I$207)-$A$196),COUNTIF(select!$I$197:$I$207,1)+1-ROW(A2))),"")</f>
        <v/>
      </c>
      <c r="G236" s="18"/>
      <c r="H236" s="18" t="str">
        <f t="array" aca="1" ref="H236" ca="1">IFERROR(INDEX(select!$L$197:$L$207,LARGE((select!$I$197:$I$207=1)*(ROW(select!$I$197:$I$207)-$A$196),COUNTIF(select!$I$197:$I$207,1)+1-ROW(A2))),"")</f>
        <v/>
      </c>
      <c r="I236" s="18" t="str">
        <f t="array" aca="1" ref="I236" ca="1">IFERROR(INDEX(select!$A$197:$A$207,LARGE((select!$I$197:$I$207=1)*(ROW(select!$I$197:$I$207)-$A$196),COUNTIF(select!$I$197:$I$207,1)+1-ROW(A2))),"")</f>
        <v/>
      </c>
      <c r="J236" s="18" t="str">
        <f t="array" aca="1" ref="J236" ca="1">IFERROR(INDEX(select!$B$197:$B$207,LARGE((select!$I$197:$I$207=1)*(ROW(select!$I$197:$I$207)-$A$196),COUNTIF(select!$I$197:$I$207,1)+1-ROW(A2))),"")</f>
        <v/>
      </c>
      <c r="K236" s="18" t="str">
        <f t="array" aca="1" ref="K236" ca="1">IFERROR(INDEX(select!$C$197:$C$207,LARGE((select!$I$197:$I$207=1)*(ROW(select!$I$197:$I$207)-$A$196),COUNTIF(select!$I$197:$I$207,1)+1-ROW(A2))),"")</f>
        <v/>
      </c>
    </row>
    <row r="237" spans="1:18" hidden="1" outlineLevel="1" x14ac:dyDescent="0.25">
      <c r="A237" s="18" t="str">
        <f t="array" aca="1" ref="A237" ca="1">IFERROR(INDEX(select!$F$197:$F$207,LARGE((select!$I$197:$I$207=1)*(ROW(select!$I$197:$I$207)-$A$196),COUNTIF(select!$I$197:$I$207,1)+1-ROW(A3))),"")</f>
        <v/>
      </c>
      <c r="B237" s="18"/>
      <c r="C237" s="18" t="str">
        <f t="array" aca="1" ref="C237" ca="1">IFERROR(INDEX(select!$D$197:$D$207,LARGE((select!$I$197:$I$207=1)*(ROW(select!$I$197:$I$207)-$A$196),COUNTIF(select!$I$197:$I$207,1)+1-ROW(A3))),"")</f>
        <v/>
      </c>
      <c r="D237" s="18"/>
      <c r="E237" s="18"/>
      <c r="F237" s="18" t="str">
        <f t="array" aca="1" ref="F237" ca="1">IFERROR(INDEX(select!$E$197:$E$207,LARGE((select!$I$197:$I$207=1)*(ROW(select!$I$197:$I$207)-$A$196),COUNTIF(select!$I$197:$I$207,1)+1-ROW(A3))),"")</f>
        <v/>
      </c>
      <c r="G237" s="18"/>
      <c r="H237" s="18" t="str">
        <f t="array" aca="1" ref="H237" ca="1">IFERROR(INDEX(select!$L$197:$L$207,LARGE((select!$I$197:$I$207=1)*(ROW(select!$I$197:$I$207)-$A$196),COUNTIF(select!$I$197:$I$207,1)+1-ROW(A3))),"")</f>
        <v/>
      </c>
      <c r="I237" s="18" t="str">
        <f t="array" aca="1" ref="I237" ca="1">IFERROR(INDEX(select!$A$197:$A$207,LARGE((select!$I$197:$I$207=1)*(ROW(select!$I$197:$I$207)-$A$196),COUNTIF(select!$I$197:$I$207,1)+1-ROW(A3))),"")</f>
        <v/>
      </c>
      <c r="J237" s="18" t="str">
        <f t="array" aca="1" ref="J237" ca="1">IFERROR(INDEX(select!$B$197:$B$207,LARGE((select!$I$197:$I$207=1)*(ROW(select!$I$197:$I$207)-$A$196),COUNTIF(select!$I$197:$I$207,1)+1-ROW(A3))),"")</f>
        <v/>
      </c>
      <c r="K237" s="18" t="str">
        <f t="array" aca="1" ref="K237" ca="1">IFERROR(INDEX(select!$C$197:$C$207,LARGE((select!$I$197:$I$207=1)*(ROW(select!$I$197:$I$207)-$A$196),COUNTIF(select!$I$197:$I$207,1)+1-ROW(A3))),"")</f>
        <v/>
      </c>
    </row>
    <row r="238" spans="1:18" hidden="1" outlineLevel="1" x14ac:dyDescent="0.25">
      <c r="A238" s="18" t="str">
        <f t="array" aca="1" ref="A238" ca="1">IFERROR(INDEX(select!$F$197:$F$207,LARGE((select!$I$197:$I$207=1)*(ROW(select!$I$197:$I$207)-$A$196),COUNTIF(select!$I$197:$I$207,1)+1-ROW(A4))),"")</f>
        <v/>
      </c>
      <c r="B238" s="18"/>
      <c r="C238" s="18" t="str">
        <f t="array" aca="1" ref="C238" ca="1">IFERROR(INDEX(select!$D$197:$D$207,LARGE((select!$I$197:$I$207=1)*(ROW(select!$I$197:$I$207)-$A$196),COUNTIF(select!$I$197:$I$207,1)+1-ROW(A4))),"")</f>
        <v/>
      </c>
      <c r="D238" s="18"/>
      <c r="E238" s="18"/>
      <c r="F238" s="18" t="str">
        <f t="array" aca="1" ref="F238" ca="1">IFERROR(INDEX(select!$E$197:$E$207,LARGE((select!$I$197:$I$207=1)*(ROW(select!$I$197:$I$207)-$A$196),COUNTIF(select!$I$197:$I$207,1)+1-ROW(A4))),"")</f>
        <v/>
      </c>
      <c r="G238" s="18"/>
      <c r="H238" s="18" t="str">
        <f t="array" aca="1" ref="H238" ca="1">IFERROR(INDEX(select!$L$197:$L$207,LARGE((select!$I$197:$I$207=1)*(ROW(select!$I$197:$I$207)-$A$196),COUNTIF(select!$I$197:$I$207,1)+1-ROW(A4))),"")</f>
        <v/>
      </c>
      <c r="I238" s="18" t="str">
        <f t="array" aca="1" ref="I238" ca="1">IFERROR(INDEX(select!$A$197:$A$207,LARGE((select!$I$197:$I$207=1)*(ROW(select!$I$197:$I$207)-$A$196),COUNTIF(select!$I$197:$I$207,1)+1-ROW(A4))),"")</f>
        <v/>
      </c>
      <c r="J238" s="18" t="str">
        <f t="array" aca="1" ref="J238" ca="1">IFERROR(INDEX(select!$B$197:$B$207,LARGE((select!$I$197:$I$207=1)*(ROW(select!$I$197:$I$207)-$A$196),COUNTIF(select!$I$197:$I$207,1)+1-ROW(A4))),"")</f>
        <v/>
      </c>
      <c r="K238" s="18" t="str">
        <f t="array" aca="1" ref="K238" ca="1">IFERROR(INDEX(select!$C$197:$C$207,LARGE((select!$I$197:$I$207=1)*(ROW(select!$I$197:$I$207)-$A$196),COUNTIF(select!$I$197:$I$207,1)+1-ROW(A4))),"")</f>
        <v/>
      </c>
    </row>
    <row r="239" spans="1:18" hidden="1" outlineLevel="1" x14ac:dyDescent="0.25">
      <c r="A239" s="18" t="str">
        <f t="array" aca="1" ref="A239" ca="1">IFERROR(INDEX(select!$F$197:$F$207,LARGE((select!$I$197:$I$207=1)*(ROW(select!$I$197:$I$207)-$A$196),COUNTIF(select!$I$197:$I$207,1)+1-ROW(A5))),"")</f>
        <v/>
      </c>
      <c r="B239" s="18"/>
      <c r="C239" s="18" t="str">
        <f t="array" aca="1" ref="C239" ca="1">IFERROR(INDEX(select!$D$197:$D$207,LARGE((select!$I$197:$I$207=1)*(ROW(select!$I$197:$I$207)-$A$196),COUNTIF(select!$I$197:$I$207,1)+1-ROW(A5))),"")</f>
        <v/>
      </c>
      <c r="D239" s="18"/>
      <c r="E239" s="18"/>
      <c r="F239" s="18" t="str">
        <f t="array" aca="1" ref="F239" ca="1">IFERROR(INDEX(select!$E$197:$E$207,LARGE((select!$I$197:$I$207=1)*(ROW(select!$I$197:$I$207)-$A$196),COUNTIF(select!$I$197:$I$207,1)+1-ROW(A5))),"")</f>
        <v/>
      </c>
      <c r="G239" s="18"/>
      <c r="H239" s="18" t="str">
        <f t="array" aca="1" ref="H239" ca="1">IFERROR(INDEX(select!$L$197:$L$207,LARGE((select!$I$197:$I$207=1)*(ROW(select!$I$197:$I$207)-$A$196),COUNTIF(select!$I$197:$I$207,1)+1-ROW(A5))),"")</f>
        <v/>
      </c>
      <c r="I239" s="18" t="str">
        <f t="array" aca="1" ref="I239" ca="1">IFERROR(INDEX(select!$A$197:$A$207,LARGE((select!$I$197:$I$207=1)*(ROW(select!$I$197:$I$207)-$A$196),COUNTIF(select!$I$197:$I$207,1)+1-ROW(A5))),"")</f>
        <v/>
      </c>
      <c r="J239" s="18" t="str">
        <f t="array" aca="1" ref="J239" ca="1">IFERROR(INDEX(select!$B$197:$B$207,LARGE((select!$I$197:$I$207=1)*(ROW(select!$I$197:$I$207)-$A$196),COUNTIF(select!$I$197:$I$207,1)+1-ROW(A5))),"")</f>
        <v/>
      </c>
      <c r="K239" s="18" t="str">
        <f t="array" aca="1" ref="K239" ca="1">IFERROR(INDEX(select!$C$197:$C$207,LARGE((select!$I$197:$I$207=1)*(ROW(select!$I$197:$I$207)-$A$196),COUNTIF(select!$I$197:$I$207,1)+1-ROW(A5))),"")</f>
        <v/>
      </c>
    </row>
    <row r="240" spans="1:18" hidden="1" outlineLevel="1" x14ac:dyDescent="0.25"/>
    <row r="241" spans="1:15" hidden="1" outlineLevel="1" x14ac:dyDescent="0.25">
      <c r="A241" t="s">
        <v>20</v>
      </c>
      <c r="C241" t="s">
        <v>1361</v>
      </c>
    </row>
    <row r="242" spans="1:15" hidden="1" outlineLevel="1" x14ac:dyDescent="0.25">
      <c r="A242" s="18" t="str">
        <f t="array" aca="1" ref="A242" ca="1">IFERROR(INDEX(select!$F$197:$F$207,LARGE((select!$J$197:$J$207=1)*(ROW(select!$J$197:$J$207)-$A$196),COUNTIF(select!$J$197:$J$207,1)+1-ROW(A1))),Sprache!A56&amp;" "&amp;Sprache!A146)</f>
        <v>keine Lösungen</v>
      </c>
      <c r="B242" s="18"/>
      <c r="C242" s="18" t="str">
        <f t="array" aca="1" ref="C242" ca="1">IFERROR(INDEX(select!$D$197:$D$207,LARGE((select!$J$197:$J$207=1)*(ROW(select!$J$197:$J$207)-$A$196),COUNTIF(select!$J$197:$J$207,1)+1-ROW(A1))),Sprache!A38)</f>
        <v>Bitte Auswahl ändern!</v>
      </c>
      <c r="D242" s="18"/>
      <c r="E242" s="18"/>
      <c r="F242" s="18" t="str">
        <f t="array" aca="1" ref="F242" ca="1">IFERROR(INDEX(select!$E$197:$E$207,LARGE((select!$J$197:$J$207=1)*(ROW(select!$J$197:$J$207)-$A$196),COUNTIF(select!$J$197:$J$207,1)+1-ROW(A1))),"")</f>
        <v/>
      </c>
      <c r="G242" s="18"/>
      <c r="H242" s="18" t="str">
        <f t="array" aca="1" ref="H242" ca="1">IFERROR(INDEX(select!$L$197:$L$207,LARGE((select!$J$197:$J$207=1)*(ROW(select!$J$197:$J$207)-$A$196),COUNTIF(select!$J$197:$J$207,1)+1-ROW(A1))),"")</f>
        <v/>
      </c>
      <c r="I242" s="18" t="str">
        <f t="array" aca="1" ref="I242" ca="1">IFERROR(INDEX(select!$A$197:$A$207,LARGE((select!$J$197:$J$207=1)*(ROW(select!$J$197:$J$207)-$A$196),COUNTIF(select!$J$197:$J$207,1)+1-ROW(A1))),"")</f>
        <v/>
      </c>
      <c r="J242" s="18" t="str">
        <f t="array" aca="1" ref="J242" ca="1">IFERROR(INDEX(select!$B$197:$B$207,LARGE((select!$J$197:$J$207=1)*(ROW(select!$J$197:$J$207)-$A$196),COUNTIF(select!$J$197:$J$207,1)+1-ROW(A1))),"")</f>
        <v/>
      </c>
      <c r="K242" s="18" t="str">
        <f t="array" aca="1" ref="K242" ca="1">IFERROR(INDEX(select!$C$197:$C$207,LARGE((select!$J$197:$J$207=1)*(ROW(select!$J$197:$J$207)-$A$196),COUNTIF(select!$J$197:$J$207,1)+1-ROW(A1))),"")</f>
        <v/>
      </c>
      <c r="L242" s="3"/>
    </row>
    <row r="243" spans="1:15" hidden="1" outlineLevel="1" x14ac:dyDescent="0.25">
      <c r="A243" s="18" t="str">
        <f t="array" aca="1" ref="A243" ca="1">IFERROR(INDEX(select!$F$197:$F$207,LARGE((select!$J$197:$J$207=1)*(ROW(select!$J$197:$J$207)-$A$196),COUNTIF(select!$J$197:$J$207,1)+1-ROW(A2))),"")</f>
        <v/>
      </c>
      <c r="B243" s="18"/>
      <c r="C243" s="18" t="str">
        <f t="array" aca="1" ref="C243" ca="1">IFERROR(INDEX(select!$D$197:$D$207,LARGE((select!$J$197:$J$207=1)*(ROW(select!$J$197:$J$207)-$A$196),COUNTIF(select!$J$197:$J$207,1)+1-ROW(A2))),"")</f>
        <v/>
      </c>
      <c r="D243" s="18"/>
      <c r="E243" s="18"/>
      <c r="F243" s="18" t="str">
        <f t="array" aca="1" ref="F243" ca="1">IFERROR(INDEX(select!$E$197:$E$207,LARGE((select!$J$197:$J$207=1)*(ROW(select!$J$197:$J$207)-$A$196),COUNTIF(select!$J$197:$J$207,1)+1-ROW(A2))),"")</f>
        <v/>
      </c>
      <c r="G243" s="18"/>
      <c r="H243" s="18" t="str">
        <f t="array" aca="1" ref="H243" ca="1">IFERROR(INDEX(select!$L$197:$L$207,LARGE((select!$J$197:$J$207=1)*(ROW(select!$J$197:$J$207)-$A$196),COUNTIF(select!$J$197:$J$207,1)+1-ROW(A2))),"")</f>
        <v/>
      </c>
      <c r="I243" s="18" t="str">
        <f t="array" aca="1" ref="I243" ca="1">IFERROR(INDEX(select!$A$197:$A$207,LARGE((select!$J$197:$J$207=1)*(ROW(select!$J$197:$J$207)-$A$196),COUNTIF(select!$J$197:$J$207,1)+1-ROW(A2))),"")</f>
        <v/>
      </c>
      <c r="J243" s="18" t="str">
        <f t="array" aca="1" ref="J243" ca="1">IFERROR(INDEX(select!$B$197:$B$207,LARGE((select!$J$197:$J$207=1)*(ROW(select!$J$197:$J$207)-$A$196),COUNTIF(select!$J$197:$J$207,1)+1-ROW(A2))),"")</f>
        <v/>
      </c>
      <c r="K243" s="18" t="str">
        <f t="array" aca="1" ref="K243" ca="1">IFERROR(INDEX(select!$C$197:$C$207,LARGE((select!$J$197:$J$207=1)*(ROW(select!$J$197:$J$207)-$A$196),COUNTIF(select!$J$197:$J$207,1)+1-ROW(A2))),"")</f>
        <v/>
      </c>
    </row>
    <row r="244" spans="1:15" hidden="1" outlineLevel="1" x14ac:dyDescent="0.25">
      <c r="A244" s="18" t="str">
        <f t="array" aca="1" ref="A244" ca="1">IFERROR(INDEX(select!$F$197:$F$207,LARGE((select!$J$197:$J$207=1)*(ROW(select!$J$197:$J$207)-$A$196),COUNTIF(select!$J$197:$J$207,1)+1-ROW(A3))),"")</f>
        <v/>
      </c>
      <c r="B244" s="18"/>
      <c r="C244" s="18" t="str">
        <f t="array" aca="1" ref="C244" ca="1">IFERROR(INDEX(select!$D$197:$D$207,LARGE((select!$J$197:$J$207=1)*(ROW(select!$J$197:$J$207)-$A$196),COUNTIF(select!$J$197:$J$207,1)+1-ROW(A3))),"")</f>
        <v/>
      </c>
      <c r="D244" s="18"/>
      <c r="E244" s="18"/>
      <c r="F244" s="18" t="str">
        <f t="array" aca="1" ref="F244" ca="1">IFERROR(INDEX(select!$E$197:$E$207,LARGE((select!$J$197:$J$207=1)*(ROW(select!$J$197:$J$207)-$A$196),COUNTIF(select!$J$197:$J$207,1)+1-ROW(A3))),"")</f>
        <v/>
      </c>
      <c r="G244" s="18"/>
      <c r="H244" s="18" t="str">
        <f t="array" aca="1" ref="H244" ca="1">IFERROR(INDEX(select!$L$197:$L$207,LARGE((select!$J$197:$J$207=1)*(ROW(select!$J$197:$J$207)-$A$196),COUNTIF(select!$J$197:$J$207,1)+1-ROW(A3))),"")</f>
        <v/>
      </c>
      <c r="I244" s="18" t="str">
        <f t="array" aca="1" ref="I244" ca="1">IFERROR(INDEX(select!$A$197:$A$207,LARGE((select!$J$197:$J$207=1)*(ROW(select!$J$197:$J$207)-$A$196),COUNTIF(select!$J$197:$J$207,1)+1-ROW(A3))),"")</f>
        <v/>
      </c>
      <c r="J244" s="18" t="str">
        <f t="array" aca="1" ref="J244" ca="1">IFERROR(INDEX(select!$B$197:$B$207,LARGE((select!$J$197:$J$207=1)*(ROW(select!$J$197:$J$207)-$A$196),COUNTIF(select!$J$197:$J$207,1)+1-ROW(A3))),"")</f>
        <v/>
      </c>
      <c r="K244" s="18" t="str">
        <f t="array" aca="1" ref="K244" ca="1">IFERROR(INDEX(select!$C$197:$C$207,LARGE((select!$J$197:$J$207=1)*(ROW(select!$J$197:$J$207)-$A$196),COUNTIF(select!$J$197:$J$207,1)+1-ROW(A3))),"")</f>
        <v/>
      </c>
    </row>
    <row r="245" spans="1:15" hidden="1" outlineLevel="1" x14ac:dyDescent="0.25">
      <c r="A245" s="18" t="str">
        <f t="array" aca="1" ref="A245" ca="1">IFERROR(INDEX(select!$F$197:$F$207,LARGE((select!$J$197:$J$207=1)*(ROW(select!$J$197:$J$207)-$A$196),COUNTIF(select!$J$197:$J$207,1)+1-ROW(A4))),"")</f>
        <v/>
      </c>
      <c r="B245" s="18"/>
      <c r="C245" s="18" t="str">
        <f t="array" aca="1" ref="C245" ca="1">IFERROR(INDEX(select!$D$197:$D$207,LARGE((select!$J$197:$J$207=1)*(ROW(select!$J$197:$J$207)-$A$196),COUNTIF(select!$J$197:$J$207,1)+1-ROW(A4))),"")</f>
        <v/>
      </c>
      <c r="D245" s="18"/>
      <c r="E245" s="18"/>
      <c r="F245" s="18" t="str">
        <f t="array" aca="1" ref="F245" ca="1">IFERROR(INDEX(select!$E$197:$E$207,LARGE((select!$J$197:$J$207=1)*(ROW(select!$J$197:$J$207)-$A$196),COUNTIF(select!$J$197:$J$207,1)+1-ROW(A4))),"")</f>
        <v/>
      </c>
      <c r="G245" s="18"/>
      <c r="H245" s="18" t="str">
        <f t="array" aca="1" ref="H245" ca="1">IFERROR(INDEX(select!$L$197:$L$207,LARGE((select!$J$197:$J$207=1)*(ROW(select!$J$197:$J$207)-$A$196),COUNTIF(select!$J$197:$J$207,1)+1-ROW(A4))),"")</f>
        <v/>
      </c>
      <c r="I245" s="18" t="str">
        <f t="array" aca="1" ref="I245" ca="1">IFERROR(INDEX(select!$A$197:$A$207,LARGE((select!$J$197:$J$207=1)*(ROW(select!$J$197:$J$207)-$A$196),COUNTIF(select!$J$197:$J$207,1)+1-ROW(A4))),"")</f>
        <v/>
      </c>
      <c r="J245" s="18" t="str">
        <f t="array" aca="1" ref="J245" ca="1">IFERROR(INDEX(select!$B$197:$B$207,LARGE((select!$J$197:$J$207=1)*(ROW(select!$J$197:$J$207)-$A$196),COUNTIF(select!$J$197:$J$207,1)+1-ROW(A4))),"")</f>
        <v/>
      </c>
      <c r="K245" s="18" t="str">
        <f t="array" aca="1" ref="K245" ca="1">IFERROR(INDEX(select!$C$197:$C$207,LARGE((select!$J$197:$J$207=1)*(ROW(select!$J$197:$J$207)-$A$196),COUNTIF(select!$J$197:$J$207,1)+1-ROW(A4))),"")</f>
        <v/>
      </c>
    </row>
    <row r="246" spans="1:15" hidden="1" outlineLevel="1" x14ac:dyDescent="0.25">
      <c r="A246" s="18" t="str">
        <f t="array" aca="1" ref="A246" ca="1">IFERROR(INDEX(select!$F$197:$F$207,LARGE((select!$J$197:$J$207=1)*(ROW(select!$J$197:$J$207)-$A$196),COUNTIF(select!$J$197:$J$207,1)+1-ROW(A5))),"")</f>
        <v/>
      </c>
      <c r="B246" s="18"/>
      <c r="C246" s="18" t="str">
        <f t="array" aca="1" ref="C246" ca="1">IFERROR(INDEX(select!$D$197:$D$207,LARGE((select!$J$197:$J$207=1)*(ROW(select!$J$197:$J$207)-$A$196),COUNTIF(select!$J$197:$J$207,1)+1-ROW(A5))),"")</f>
        <v/>
      </c>
      <c r="D246" s="18"/>
      <c r="E246" s="18"/>
      <c r="F246" s="18" t="str">
        <f t="array" aca="1" ref="F246" ca="1">IFERROR(INDEX(select!$E$197:$E$207,LARGE((select!$J$197:$J$207=1)*(ROW(select!$J$197:$J$207)-$A$196),COUNTIF(select!$J$197:$J$207,1)+1-ROW(A5))),"")</f>
        <v/>
      </c>
      <c r="G246" s="18"/>
      <c r="H246" s="18" t="str">
        <f t="array" aca="1" ref="H246" ca="1">IFERROR(INDEX(select!$L$197:$L$207,LARGE((select!$J$197:$J$207=1)*(ROW(select!$J$197:$J$207)-$A$196),COUNTIF(select!$J$197:$J$207,1)+1-ROW(A5))),"")</f>
        <v/>
      </c>
      <c r="I246" s="18" t="str">
        <f t="array" aca="1" ref="I246" ca="1">IFERROR(INDEX(select!$A$197:$A$207,LARGE((select!$J$197:$J$207=1)*(ROW(select!$J$197:$J$207)-$A$196),COUNTIF(select!$J$197:$J$207,1)+1-ROW(A5))),"")</f>
        <v/>
      </c>
      <c r="J246" s="18" t="str">
        <f t="array" aca="1" ref="J246" ca="1">IFERROR(INDEX(select!$B$197:$B$207,LARGE((select!$J$197:$J$207=1)*(ROW(select!$J$197:$J$207)-$A$196),COUNTIF(select!$J$197:$J$207,1)+1-ROW(A5))),"")</f>
        <v/>
      </c>
      <c r="K246" s="18" t="str">
        <f t="array" aca="1" ref="K246" ca="1">IFERROR(INDEX(select!$C$197:$C$207,LARGE((select!$J$197:$J$207=1)*(ROW(select!$J$197:$J$207)-$A$196),COUNTIF(select!$J$197:$J$207,1)+1-ROW(A5))),"")</f>
        <v/>
      </c>
    </row>
    <row r="247" spans="1:15" hidden="1" outlineLevel="1" x14ac:dyDescent="0.25"/>
    <row r="248" spans="1:15" hidden="1" outlineLevel="1" x14ac:dyDescent="0.25">
      <c r="A248" t="s">
        <v>20</v>
      </c>
      <c r="C248" s="87" t="s">
        <v>1370</v>
      </c>
    </row>
    <row r="249" spans="1:15" hidden="1" outlineLevel="1" x14ac:dyDescent="0.25">
      <c r="A249" s="18" t="str">
        <f t="array" aca="1" ref="A249" ca="1">IFERROR(INDEX(select!$F$197:$F$207,LARGE((select!$K$197:$K$207=1)*(ROW(select!$K$197:$K$207)-$A$196),COUNTIF(select!$K$197:$K$207,1)+1-ROW(A1))),Sprache!A56&amp;" "&amp;Sprache!A146)</f>
        <v>keine Lösungen</v>
      </c>
      <c r="B249" s="18"/>
      <c r="C249" s="18" t="str">
        <f t="array" aca="1" ref="C249" ca="1">IFERROR(INDEX(select!$D$197:$D$207,LARGE((select!$K$197:$K$207=1)*(ROW(select!$K$197:$K$207)-$A$196),COUNTIF(select!$K$197:$K$207,1)+1-ROW(A1))),Sprache!A56&amp;" "&amp;Sprache!A146)</f>
        <v>keine Lösungen</v>
      </c>
      <c r="D249" s="18"/>
      <c r="E249" s="18"/>
      <c r="F249" s="18" t="str">
        <f t="array" aca="1" ref="F249" ca="1">IFERROR(INDEX(select!$E$197:$E$207,LARGE((select!$K$197:$K$207=1)*(ROW(select!$K$197:$K$207)-$A$196),COUNTIF(select!$K$197:$K$207,1)+1-ROW(A1))),"")</f>
        <v/>
      </c>
      <c r="G249" s="18"/>
      <c r="H249" s="18" t="str">
        <f t="array" aca="1" ref="H249" ca="1">IFERROR(INDEX(select!$L$197:$L$207,LARGE((select!$K$197:$K$207=1)*(ROW(select!$K$197:$K$207)-$A$196),COUNTIF(select!$K$197:$K$207,1)+1-ROW(A1))),"")</f>
        <v/>
      </c>
      <c r="I249" s="18" t="str">
        <f t="array" aca="1" ref="I249" ca="1">IFERROR(INDEX(select!$A$197:$A$207,LARGE((select!$K$197:$K$207=1)*(ROW(select!$K$197:$K$207)-$A$196),COUNTIF(select!$K$197:$K$207,1)+1-ROW(A1))),"")</f>
        <v/>
      </c>
      <c r="J249" s="18" t="str">
        <f t="array" aca="1" ref="J249" ca="1">IFERROR(INDEX(select!$B$197:$B$207,LARGE((select!$K$197:$K$207=1)*(ROW(select!$K$197:$K$207)-$A$196),COUNTIF(select!$K$197:$K$207,1)+1-ROW(A1))),"")</f>
        <v/>
      </c>
      <c r="K249" s="18" t="str">
        <f t="array" aca="1" ref="K249" ca="1">IFERROR(INDEX(select!$C$197:$C$207,LARGE((select!$K$197:$K$207=1)*(ROW(select!$K$197:$K$207)-$A$196),COUNTIF(select!$K$197:$K$207,1)+1-ROW(A1))),"")</f>
        <v/>
      </c>
      <c r="L249" s="3"/>
    </row>
    <row r="250" spans="1:15" hidden="1" outlineLevel="1" x14ac:dyDescent="0.25">
      <c r="A250" s="18" t="str">
        <f t="array" aca="1" ref="A250" ca="1">IFERROR(INDEX(select!$F$197:$F$207,LARGE((select!$K$197:$K$207=1)*(ROW(select!$K$197:$K$207)-$A$196),COUNTIF(select!$K$197:$K$207,1)+1-ROW(A2))),"")</f>
        <v/>
      </c>
      <c r="B250" s="18"/>
      <c r="C250" s="18" t="str">
        <f t="array" aca="1" ref="C250" ca="1">IFERROR(INDEX(select!$D$197:$D$207,LARGE((select!$K$197:$K$207=1)*(ROW(select!$K$197:$K$207)-$A$196),COUNTIF(select!$K$197:$K$207,1)+1-ROW(A2))),"")</f>
        <v/>
      </c>
      <c r="D250" s="18"/>
      <c r="E250" s="18"/>
      <c r="F250" s="18" t="str">
        <f t="array" aca="1" ref="F250" ca="1">IFERROR(INDEX(select!$E$197:$E$207,LARGE((select!$K$197:$K$207=1)*(ROW(select!$K$197:$K$207)-$A$196),COUNTIF(select!$K$197:$K$207,1)+1-ROW(A2))),"")</f>
        <v/>
      </c>
      <c r="G250" s="18"/>
      <c r="H250" s="18" t="str">
        <f t="array" aca="1" ref="H250" ca="1">IFERROR(INDEX(select!$L$197:$L$207,LARGE((select!$K$197:$K$207=1)*(ROW(select!$K$197:$K$207)-$A$196),COUNTIF(select!$K$197:$K$207,1)+1-ROW(A2))),"")</f>
        <v/>
      </c>
      <c r="I250" s="18" t="str">
        <f t="array" aca="1" ref="I250" ca="1">IFERROR(INDEX(select!$A$197:$A$207,LARGE((select!$K$197:$K$207=1)*(ROW(select!$K$197:$K$207)-$A$196),COUNTIF(select!$K$197:$K$207,1)+1-ROW(A2))),"")</f>
        <v/>
      </c>
      <c r="J250" s="18" t="str">
        <f t="array" aca="1" ref="J250" ca="1">IFERROR(INDEX(select!$B$197:$B$207,LARGE((select!$K$197:$K$207=1)*(ROW(select!$K$197:$K$207)-$A$196),COUNTIF(select!$K$197:$K$207,1)+1-ROW(A2))),"")</f>
        <v/>
      </c>
      <c r="K250" s="18" t="str">
        <f t="array" aca="1" ref="K250" ca="1">IFERROR(INDEX(select!$C$197:$C$207,LARGE((select!$K$197:$K$207=1)*(ROW(select!$K$197:$K$207)-$A$196),COUNTIF(select!$K$197:$K$207,1)+1-ROW(A2))),"")</f>
        <v/>
      </c>
    </row>
    <row r="251" spans="1:15" hidden="1" outlineLevel="1" x14ac:dyDescent="0.25">
      <c r="A251" s="18" t="str">
        <f t="array" aca="1" ref="A251" ca="1">IFERROR(INDEX(select!$F$197:$F$207,LARGE((select!$K$197:$K$207=1)*(ROW(select!$K$197:$K$207)-$A$196),COUNTIF(select!$K$197:$K$207,1)+1-ROW(A3))),"")</f>
        <v/>
      </c>
      <c r="B251" s="18"/>
      <c r="C251" s="18" t="str">
        <f t="array" aca="1" ref="C251" ca="1">IFERROR(INDEX(select!$D$197:$D$207,LARGE((select!$K$197:$K$207=1)*(ROW(select!$K$197:$K$207)-$A$196),COUNTIF(select!$K$197:$K$207,1)+1-ROW(A3))),"")</f>
        <v/>
      </c>
      <c r="D251" s="18"/>
      <c r="E251" s="18"/>
      <c r="F251" s="18" t="str">
        <f t="array" aca="1" ref="F251" ca="1">IFERROR(INDEX(select!$E$197:$E$207,LARGE((select!$K$197:$K$207=1)*(ROW(select!$K$197:$K$207)-$A$196),COUNTIF(select!$K$197:$K$207,1)+1-ROW(A3))),"")</f>
        <v/>
      </c>
      <c r="G251" s="18"/>
      <c r="H251" s="18" t="str">
        <f t="array" aca="1" ref="H251" ca="1">IFERROR(INDEX(select!$L$197:$L$207,LARGE((select!$K$197:$K$207=1)*(ROW(select!$K$197:$K$207)-$A$196),COUNTIF(select!$K$197:$K$207,1)+1-ROW(A3))),"")</f>
        <v/>
      </c>
      <c r="I251" s="18" t="str">
        <f t="array" aca="1" ref="I251" ca="1">IFERROR(INDEX(select!$A$197:$A$207,LARGE((select!$K$197:$K$207=1)*(ROW(select!$K$197:$K$207)-$A$196),COUNTIF(select!$K$197:$K$207,1)+1-ROW(A3))),"")</f>
        <v/>
      </c>
      <c r="J251" s="18" t="str">
        <f t="array" aca="1" ref="J251" ca="1">IFERROR(INDEX(select!$B$197:$B$207,LARGE((select!$K$197:$K$207=1)*(ROW(select!$K$197:$K$207)-$A$196),COUNTIF(select!$K$197:$K$207,1)+1-ROW(A3))),"")</f>
        <v/>
      </c>
      <c r="K251" s="18" t="str">
        <f t="array" aca="1" ref="K251" ca="1">IFERROR(INDEX(select!$C$197:$C$207,LARGE((select!$K$197:$K$207=1)*(ROW(select!$K$197:$K$207)-$A$196),COUNTIF(select!$K$197:$K$207,1)+1-ROW(A3))),"")</f>
        <v/>
      </c>
    </row>
    <row r="252" spans="1:15" hidden="1" outlineLevel="1" x14ac:dyDescent="0.25">
      <c r="A252" s="18" t="str">
        <f t="array" aca="1" ref="A252" ca="1">IFERROR(INDEX(select!$F$197:$F$207,LARGE((select!$K$197:$K$207=1)*(ROW(select!$K$197:$K$207)-$A$196),COUNTIF(select!$K$197:$K$207,1)+1-ROW(A4))),"")</f>
        <v/>
      </c>
      <c r="B252" s="18"/>
      <c r="C252" s="18" t="str">
        <f t="array" aca="1" ref="C252" ca="1">IFERROR(INDEX(select!$D$197:$D$207,LARGE((select!$K$197:$K$207=1)*(ROW(select!$K$197:$K$207)-$A$196),COUNTIF(select!$K$197:$K$207,1)+1-ROW(A4))),"")</f>
        <v/>
      </c>
      <c r="D252" s="18"/>
      <c r="E252" s="18"/>
      <c r="F252" s="18" t="str">
        <f t="array" aca="1" ref="F252" ca="1">IFERROR(INDEX(select!$E$197:$E$207,LARGE((select!$K$197:$K$207=1)*(ROW(select!$K$197:$K$207)-$A$196),COUNTIF(select!$K$197:$K$207,1)+1-ROW(A4))),"")</f>
        <v/>
      </c>
      <c r="G252" s="18"/>
      <c r="H252" s="18" t="str">
        <f t="array" aca="1" ref="H252" ca="1">IFERROR(INDEX(select!$L$197:$L$207,LARGE((select!$K$197:$K$207=1)*(ROW(select!$K$197:$K$207)-$A$196),COUNTIF(select!$K$197:$K$207,1)+1-ROW(A4))),"")</f>
        <v/>
      </c>
      <c r="I252" s="18" t="str">
        <f t="array" aca="1" ref="I252" ca="1">IFERROR(INDEX(select!$A$197:$A$207,LARGE((select!$K$197:$K$207=1)*(ROW(select!$K$197:$K$207)-$A$196),COUNTIF(select!$K$197:$K$207,1)+1-ROW(A4))),"")</f>
        <v/>
      </c>
      <c r="J252" s="18" t="str">
        <f t="array" aca="1" ref="J252" ca="1">IFERROR(INDEX(select!$B$197:$B$207,LARGE((select!$K$197:$K$207=1)*(ROW(select!$K$197:$K$207)-$A$196),COUNTIF(select!$K$197:$K$207,1)+1-ROW(A4))),"")</f>
        <v/>
      </c>
      <c r="K252" s="18" t="str">
        <f t="array" aca="1" ref="K252" ca="1">IFERROR(INDEX(select!$C$197:$C$207,LARGE((select!$K$197:$K$207=1)*(ROW(select!$K$197:$K$207)-$A$196),COUNTIF(select!$K$197:$K$207,1)+1-ROW(A4))),"")</f>
        <v/>
      </c>
    </row>
    <row r="253" spans="1:15" hidden="1" outlineLevel="1" x14ac:dyDescent="0.25">
      <c r="A253" s="18" t="str">
        <f t="array" aca="1" ref="A253" ca="1">IFERROR(INDEX(select!$F$197:$F$207,LARGE((select!$K$197:$K$207=1)*(ROW(select!$K$197:$K$207)-$A$196),COUNTIF(select!$K$197:$K$207,1)+1-ROW(A5))),"")</f>
        <v/>
      </c>
      <c r="B253" s="18"/>
      <c r="C253" s="18" t="str">
        <f t="array" aca="1" ref="C253" ca="1">IFERROR(INDEX(select!$D$197:$D$207,LARGE((select!$K$197:$K$207=1)*(ROW(select!$K$197:$K$207)-$A$196),COUNTIF(select!$K$197:$K$207,1)+1-ROW(A5))),"")</f>
        <v/>
      </c>
      <c r="D253" s="18"/>
      <c r="E253" s="18"/>
      <c r="F253" s="18" t="str">
        <f t="array" aca="1" ref="F253" ca="1">IFERROR(INDEX(select!$E$197:$E$207,LARGE((select!$K$197:$K$207=1)*(ROW(select!$K$197:$K$207)-$A$196),COUNTIF(select!$K$197:$K$207,1)+1-ROW(A5))),"")</f>
        <v/>
      </c>
      <c r="G253" s="18"/>
      <c r="H253" s="18" t="str">
        <f t="array" aca="1" ref="H253" ca="1">IFERROR(INDEX(select!$L$197:$L$207,LARGE((select!$K$197:$K$207=1)*(ROW(select!$K$197:$K$207)-$A$196),COUNTIF(select!$K$197:$K$207,1)+1-ROW(A5))),"")</f>
        <v/>
      </c>
      <c r="I253" s="18" t="str">
        <f t="array" aca="1" ref="I253" ca="1">IFERROR(INDEX(select!$A$197:$A$207,LARGE((select!$K$197:$K$207=1)*(ROW(select!$K$197:$K$207)-$A$196),COUNTIF(select!$K$197:$K$207,1)+1-ROW(A5))),"")</f>
        <v/>
      </c>
      <c r="J253" s="18" t="str">
        <f t="array" aca="1" ref="J253" ca="1">IFERROR(INDEX(select!$B$197:$B$207,LARGE((select!$K$197:$K$207=1)*(ROW(select!$K$197:$K$207)-$A$196),COUNTIF(select!$K$197:$K$207,1)+1-ROW(A5))),"")</f>
        <v/>
      </c>
      <c r="K253" s="18" t="str">
        <f t="array" aca="1" ref="K253" ca="1">IFERROR(INDEX(select!$C$197:$C$207,LARGE((select!$K$197:$K$207=1)*(ROW(select!$K$197:$K$207)-$A$196),COUNTIF(select!$K$197:$K$207,1)+1-ROW(A5))),"")</f>
        <v/>
      </c>
    </row>
    <row r="254" spans="1:15" hidden="1" outlineLevel="1" x14ac:dyDescent="0.25">
      <c r="N254" s="87" t="s">
        <v>2339</v>
      </c>
    </row>
    <row r="255" spans="1:15" hidden="1" outlineLevel="1" x14ac:dyDescent="0.25">
      <c r="A255" t="str">
        <f>VLOOKUP(M221,M222:O226,3,FALSE)</f>
        <v>37/32</v>
      </c>
      <c r="N255">
        <f ca="1">SUM(N256:N260)</f>
        <v>0</v>
      </c>
      <c r="O255" s="131" t="str">
        <f ca="1">IF(N255&gt;0,Sprache!A188,"")</f>
        <v/>
      </c>
    </row>
    <row r="256" spans="1:15" hidden="1" outlineLevel="1" x14ac:dyDescent="0.25">
      <c r="A256" s="4" t="str">
        <f ca="1">OFFSET(A221,$L$256,0)</f>
        <v>Tiomos Montageplatten</v>
      </c>
      <c r="B256" s="4"/>
      <c r="C256" s="4" t="str">
        <f ca="1">OFFSET(C221,$L$256,0)</f>
        <v>Eco Kreuz Mtg-Platte</v>
      </c>
      <c r="D256" s="4"/>
      <c r="E256" s="4"/>
      <c r="F256" s="4" t="str">
        <f ca="1">OFFSET(F221,$L$256,0)</f>
        <v>H 00, ni /37</v>
      </c>
      <c r="G256" s="4"/>
      <c r="H256" s="4">
        <f ca="1">OFFSET(H221,$L$256,0)</f>
        <v>0</v>
      </c>
      <c r="I256" s="4" t="str">
        <f t="shared" ref="H256:K260" ca="1" si="56">OFFSET(I221,$L$256,0)</f>
        <v>F058</v>
      </c>
      <c r="J256" s="4" t="str">
        <f t="shared" ca="1" si="56"/>
        <v>139</v>
      </c>
      <c r="K256" s="4" t="str">
        <f t="shared" ca="1" si="56"/>
        <v>721</v>
      </c>
      <c r="L256">
        <f>M221*7-7</f>
        <v>0</v>
      </c>
      <c r="N256" s="864">
        <f ca="1">IF(H256=-2,1,0)</f>
        <v>0</v>
      </c>
    </row>
    <row r="257" spans="1:14" hidden="1" outlineLevel="1" x14ac:dyDescent="0.25">
      <c r="A257" s="4" t="str">
        <f ca="1">OFFSET(A222,$L$256,0)</f>
        <v>Tiomos Montageplatten</v>
      </c>
      <c r="B257" s="4"/>
      <c r="C257" s="4" t="str">
        <f ca="1">OFFSET(C222,$L$256,0)</f>
        <v>1D Kreuz Mtg-Platte</v>
      </c>
      <c r="D257" s="4"/>
      <c r="E257" s="4"/>
      <c r="F257" s="4" t="str">
        <f ca="1">OFFSET(F222,$L$256,0)</f>
        <v>H 00, ni /37</v>
      </c>
      <c r="G257" s="4"/>
      <c r="H257" s="4">
        <f t="shared" ca="1" si="56"/>
        <v>0</v>
      </c>
      <c r="I257" s="4" t="str">
        <f t="shared" ca="1" si="56"/>
        <v>F058</v>
      </c>
      <c r="J257" s="4" t="str">
        <f t="shared" ca="1" si="56"/>
        <v>139</v>
      </c>
      <c r="K257" s="4" t="str">
        <f t="shared" ca="1" si="56"/>
        <v>746</v>
      </c>
      <c r="N257" s="170">
        <f t="shared" ref="N257:N260" ca="1" si="57">IF(H257=-2,1,0)</f>
        <v>0</v>
      </c>
    </row>
    <row r="258" spans="1:14" hidden="1" outlineLevel="1" x14ac:dyDescent="0.25">
      <c r="A258" s="4" t="str">
        <f ca="1">OFFSET(A223,$L$256,0)</f>
        <v>Tiomos Montageplatten</v>
      </c>
      <c r="B258" s="4"/>
      <c r="C258" s="4" t="str">
        <f ca="1">OFFSET(C223,$L$256,0)</f>
        <v>1D Kreuz Mtg-Platte</v>
      </c>
      <c r="D258" s="4"/>
      <c r="E258" s="4"/>
      <c r="F258" s="4" t="str">
        <f ca="1">OFFSET(F223,$L$256,0)</f>
        <v>H 9,5, ni /37</v>
      </c>
      <c r="G258" s="4"/>
      <c r="H258" s="4">
        <f t="shared" ca="1" si="56"/>
        <v>9.5</v>
      </c>
      <c r="I258" s="4" t="str">
        <f t="shared" ca="1" si="56"/>
        <v>F058</v>
      </c>
      <c r="J258" s="4" t="str">
        <f t="shared" ca="1" si="56"/>
        <v>139</v>
      </c>
      <c r="K258" s="4" t="str">
        <f t="shared" ca="1" si="56"/>
        <v>888</v>
      </c>
      <c r="N258" s="170">
        <f t="shared" ca="1" si="57"/>
        <v>0</v>
      </c>
    </row>
    <row r="259" spans="1:14" hidden="1" outlineLevel="1" x14ac:dyDescent="0.25">
      <c r="A259" s="4" t="str">
        <f ca="1">OFFSET(A224,$L$256,0)</f>
        <v>Tiomos Montageplatten</v>
      </c>
      <c r="B259" s="4"/>
      <c r="C259" s="4" t="str">
        <f ca="1">OFFSET(C224,$L$256,0)</f>
        <v>1D Kreuz Mtg-Platte</v>
      </c>
      <c r="D259" s="4"/>
      <c r="E259" s="4"/>
      <c r="F259" s="4" t="str">
        <f ca="1">OFFSET(F224,$L$256,0)</f>
        <v>H 19, ni /37</v>
      </c>
      <c r="G259" s="4"/>
      <c r="H259" s="4">
        <f t="shared" ca="1" si="56"/>
        <v>19</v>
      </c>
      <c r="I259" s="4" t="str">
        <f t="shared" ca="1" si="56"/>
        <v>F058</v>
      </c>
      <c r="J259" s="4" t="str">
        <f t="shared" ca="1" si="56"/>
        <v>139</v>
      </c>
      <c r="K259" s="4" t="str">
        <f t="shared" ca="1" si="56"/>
        <v>894</v>
      </c>
      <c r="N259" s="170">
        <f t="shared" ca="1" si="57"/>
        <v>0</v>
      </c>
    </row>
    <row r="260" spans="1:14" hidden="1" outlineLevel="1" x14ac:dyDescent="0.25">
      <c r="A260" s="4" t="str">
        <f ca="1">OFFSET(A225,$L$256,0)</f>
        <v/>
      </c>
      <c r="B260" s="4"/>
      <c r="C260" s="4" t="str">
        <f ca="1">OFFSET(C225,$L$256,0)</f>
        <v/>
      </c>
      <c r="D260" s="4"/>
      <c r="E260" s="4"/>
      <c r="F260" s="4" t="str">
        <f ca="1">OFFSET(F225,$L$256,0)</f>
        <v/>
      </c>
      <c r="G260" s="4"/>
      <c r="H260" s="4" t="str">
        <f t="shared" ca="1" si="56"/>
        <v/>
      </c>
      <c r="I260" s="4" t="str">
        <f t="shared" ca="1" si="56"/>
        <v/>
      </c>
      <c r="J260" s="4" t="str">
        <f t="shared" ca="1" si="56"/>
        <v/>
      </c>
      <c r="K260" s="4" t="str">
        <f t="shared" ca="1" si="56"/>
        <v/>
      </c>
      <c r="N260" s="129">
        <f t="shared" ca="1" si="57"/>
        <v>0</v>
      </c>
    </row>
    <row r="261" spans="1:14" hidden="1" outlineLevel="1" x14ac:dyDescent="0.25"/>
    <row r="262" spans="1:14" s="78" customFormat="1" collapsed="1" x14ac:dyDescent="0.25">
      <c r="A262" s="78" t="s">
        <v>898</v>
      </c>
    </row>
    <row r="263" spans="1:14" hidden="1" outlineLevel="1" x14ac:dyDescent="0.25">
      <c r="C263" t="s">
        <v>1333</v>
      </c>
      <c r="D263" t="s">
        <v>1332</v>
      </c>
      <c r="F263">
        <v>1</v>
      </c>
      <c r="G263" t="s">
        <v>1343</v>
      </c>
    </row>
    <row r="264" spans="1:14" hidden="1" outlineLevel="1" x14ac:dyDescent="0.25">
      <c r="B264">
        <v>1</v>
      </c>
      <c r="C264" t="str">
        <f ca="1">Sprache!A197</f>
        <v>MDF-Werkstoff</v>
      </c>
      <c r="D264">
        <v>0.85</v>
      </c>
      <c r="F264">
        <v>1</v>
      </c>
      <c r="G264" t="str">
        <f t="shared" ref="G264:H268" ca="1" si="58">C264</f>
        <v>MDF-Werkstoff</v>
      </c>
      <c r="H264">
        <f t="shared" si="58"/>
        <v>0.85</v>
      </c>
    </row>
    <row r="265" spans="1:14" hidden="1" outlineLevel="1" x14ac:dyDescent="0.25">
      <c r="A265" t="s">
        <v>1352</v>
      </c>
      <c r="B265">
        <v>2</v>
      </c>
      <c r="C265" t="str">
        <f ca="1">Sprache!A198</f>
        <v>Spanplatte</v>
      </c>
      <c r="D265">
        <v>0.65</v>
      </c>
      <c r="F265">
        <v>2</v>
      </c>
      <c r="G265" t="str">
        <f t="shared" ca="1" si="58"/>
        <v>Spanplatte</v>
      </c>
      <c r="H265">
        <f t="shared" si="58"/>
        <v>0.65</v>
      </c>
    </row>
    <row r="266" spans="1:14" hidden="1" outlineLevel="1" x14ac:dyDescent="0.25">
      <c r="B266">
        <v>3</v>
      </c>
      <c r="C266" t="str">
        <f ca="1">Sprache!A199</f>
        <v>Fichte / Kiefer</v>
      </c>
      <c r="D266">
        <v>0.45</v>
      </c>
      <c r="F266">
        <v>3</v>
      </c>
      <c r="G266" t="str">
        <f t="shared" ca="1" si="58"/>
        <v>Fichte / Kiefer</v>
      </c>
      <c r="H266">
        <f t="shared" si="58"/>
        <v>0.45</v>
      </c>
      <c r="J266" s="83" t="s">
        <v>1336</v>
      </c>
      <c r="K266" s="3" t="s">
        <v>1337</v>
      </c>
      <c r="L266" s="3" t="s">
        <v>1338</v>
      </c>
    </row>
    <row r="267" spans="1:14" hidden="1" outlineLevel="1" x14ac:dyDescent="0.25">
      <c r="B267">
        <v>4</v>
      </c>
      <c r="C267" t="str">
        <f ca="1">Sprache!A200</f>
        <v>Glas</v>
      </c>
      <c r="D267">
        <v>2.5</v>
      </c>
      <c r="F267">
        <v>4</v>
      </c>
      <c r="G267" t="str">
        <f t="shared" ca="1" si="58"/>
        <v>Glas</v>
      </c>
      <c r="H267">
        <f t="shared" si="58"/>
        <v>2.5</v>
      </c>
      <c r="J267" s="3" t="s">
        <v>1334</v>
      </c>
      <c r="K267" s="18">
        <v>200</v>
      </c>
      <c r="L267" s="18">
        <v>600</v>
      </c>
    </row>
    <row r="268" spans="1:14" hidden="1" outlineLevel="1" x14ac:dyDescent="0.25">
      <c r="B268">
        <v>5</v>
      </c>
      <c r="C268" t="str">
        <f ca="1">B1340</f>
        <v>Aluminium</v>
      </c>
      <c r="D268">
        <f>C1340</f>
        <v>2.5</v>
      </c>
      <c r="F268">
        <v>5</v>
      </c>
      <c r="G268" t="str">
        <f t="shared" ca="1" si="58"/>
        <v>Aluminium</v>
      </c>
      <c r="H268">
        <f t="shared" si="58"/>
        <v>2.5</v>
      </c>
      <c r="J268" s="3" t="s">
        <v>42</v>
      </c>
      <c r="K268" s="18">
        <v>400</v>
      </c>
      <c r="L268" s="18">
        <v>2500</v>
      </c>
    </row>
    <row r="269" spans="1:14" hidden="1" outlineLevel="1" x14ac:dyDescent="0.25">
      <c r="B269">
        <v>6</v>
      </c>
      <c r="C269" t="str">
        <f ca="1">Sprache!A195</f>
        <v>Mineralwerkstoff</v>
      </c>
      <c r="D269">
        <v>1.77</v>
      </c>
      <c r="F269">
        <v>6</v>
      </c>
      <c r="G269" t="str">
        <f t="shared" ref="G269:H270" ca="1" si="59">C269</f>
        <v>Mineralwerkstoff</v>
      </c>
      <c r="H269">
        <f t="shared" si="59"/>
        <v>1.77</v>
      </c>
      <c r="J269" s="3" t="s">
        <v>1335</v>
      </c>
      <c r="K269" s="18">
        <v>0</v>
      </c>
      <c r="L269" s="18">
        <v>50</v>
      </c>
    </row>
    <row r="270" spans="1:14" hidden="1" outlineLevel="1" x14ac:dyDescent="0.25">
      <c r="A270" t="s">
        <v>2249</v>
      </c>
      <c r="B270">
        <v>7</v>
      </c>
      <c r="C270" t="str">
        <f ca="1">Sprache!A201</f>
        <v>-----------------</v>
      </c>
      <c r="D270">
        <v>0</v>
      </c>
      <c r="F270">
        <v>7</v>
      </c>
      <c r="G270" t="str">
        <f t="shared" ca="1" si="59"/>
        <v>-----------------</v>
      </c>
      <c r="H270">
        <f t="shared" si="59"/>
        <v>0</v>
      </c>
      <c r="J270" s="3" t="s">
        <v>1340</v>
      </c>
      <c r="K270" s="18">
        <v>0.5</v>
      </c>
      <c r="L270" s="18">
        <v>31</v>
      </c>
    </row>
    <row r="271" spans="1:14" hidden="1" outlineLevel="1" x14ac:dyDescent="0.25">
      <c r="A271">
        <f t="array" aca="1" ref="A271" ca="1">SUM(IF(C$271:C$310 &lt; C271,1))+ (C271="")*1000</f>
        <v>0</v>
      </c>
      <c r="B271">
        <v>8</v>
      </c>
      <c r="C271" t="str">
        <f ca="1">Sprache!A202</f>
        <v>Afrormosia</v>
      </c>
      <c r="D271">
        <v>0.71</v>
      </c>
      <c r="F271">
        <v>8</v>
      </c>
      <c r="G271" t="str">
        <f ca="1">VLOOKUP(ROW(A1)-1,$A$271:$D$310,3,FALSE)</f>
        <v>Afrormosia</v>
      </c>
      <c r="H271">
        <f ca="1">VLOOKUP(ROW(A1)-1,$A$271:$D$310,4,FALSE)</f>
        <v>0.71</v>
      </c>
    </row>
    <row r="272" spans="1:14" hidden="1" outlineLevel="1" x14ac:dyDescent="0.25">
      <c r="A272">
        <f t="array" aca="1" ref="A272" ca="1">SUM(IF(C$271:C$310 &lt; C272,1))+ (C272="")*1000</f>
        <v>1</v>
      </c>
      <c r="B272">
        <v>9</v>
      </c>
      <c r="C272" t="str">
        <f ca="1">Sprache!A203</f>
        <v>Ahorn</v>
      </c>
      <c r="D272">
        <v>0.75</v>
      </c>
      <c r="F272">
        <v>9</v>
      </c>
      <c r="G272" t="str">
        <f t="shared" ref="G272:G309" ca="1" si="60">VLOOKUP(ROW(A2)-1,$A$271:$D$310,3,FALSE)</f>
        <v>Ahorn</v>
      </c>
      <c r="H272">
        <f t="shared" ref="H272:H310" ca="1" si="61">VLOOKUP(ROW(A2)-1,$A$271:$D$310,4,FALSE)</f>
        <v>0.75</v>
      </c>
      <c r="J272" t="s">
        <v>1339</v>
      </c>
      <c r="K272" t="s">
        <v>1332</v>
      </c>
      <c r="L272" t="s">
        <v>897</v>
      </c>
    </row>
    <row r="273" spans="1:12" hidden="1" outlineLevel="1" x14ac:dyDescent="0.25">
      <c r="A273">
        <f t="array" aca="1" ref="A273" ca="1">SUM(IF(C$271:C$310 &lt; C273,1))+ (C273="")*1000</f>
        <v>2</v>
      </c>
      <c r="B273">
        <v>10</v>
      </c>
      <c r="C273" t="str">
        <f ca="1">Sprache!A204</f>
        <v>Amerikanische Linde</v>
      </c>
      <c r="D273">
        <v>0.6</v>
      </c>
      <c r="F273">
        <v>10</v>
      </c>
      <c r="G273" t="str">
        <f t="shared" ca="1" si="60"/>
        <v>Amerikanische Linde</v>
      </c>
      <c r="H273">
        <f t="shared" ca="1" si="61"/>
        <v>0.6</v>
      </c>
      <c r="J273">
        <f>Türgewicht!L31/10*Türgewicht!L32/10*Türgewicht!L33/10</f>
        <v>6118</v>
      </c>
      <c r="K273">
        <f>VLOOKUP(F263,F264:H309,3,FALSE)</f>
        <v>0.85</v>
      </c>
      <c r="L273">
        <f>ROUND(J273*K273/1000,2)+K295</f>
        <v>5.2</v>
      </c>
    </row>
    <row r="274" spans="1:12" hidden="1" outlineLevel="1" x14ac:dyDescent="0.25">
      <c r="A274">
        <f t="array" aca="1" ref="A274" ca="1">SUM(IF(C$271:C$310 &lt; C274,1))+ (C274="")*1000</f>
        <v>3</v>
      </c>
      <c r="B274">
        <v>11</v>
      </c>
      <c r="C274" t="str">
        <f ca="1">Sprache!A205</f>
        <v>Apfel</v>
      </c>
      <c r="D274">
        <v>0.8</v>
      </c>
      <c r="F274">
        <v>11</v>
      </c>
      <c r="G274" t="str">
        <f t="shared" ca="1" si="60"/>
        <v>Apfel</v>
      </c>
      <c r="H274">
        <f t="shared" ca="1" si="61"/>
        <v>0.8</v>
      </c>
    </row>
    <row r="275" spans="1:12" hidden="1" outlineLevel="1" x14ac:dyDescent="0.25">
      <c r="A275">
        <f t="array" aca="1" ref="A275" ca="1">SUM(IF(C$271:C$310 &lt; C275,1))+ (C275="")*1000</f>
        <v>4</v>
      </c>
      <c r="B275">
        <v>12</v>
      </c>
      <c r="C275" t="str">
        <f ca="1">Sprache!A206</f>
        <v>Balsa</v>
      </c>
      <c r="D275">
        <v>0.16</v>
      </c>
      <c r="F275">
        <v>12</v>
      </c>
      <c r="G275" t="str">
        <f t="shared" ca="1" si="60"/>
        <v>Balsa</v>
      </c>
      <c r="H275">
        <f t="shared" ca="1" si="61"/>
        <v>0.16</v>
      </c>
    </row>
    <row r="276" spans="1:12" hidden="1" outlineLevel="1" x14ac:dyDescent="0.25">
      <c r="A276">
        <f t="array" aca="1" ref="A276" ca="1">SUM(IF(C$271:C$310 &lt; C276,1))+ (C276="")*1000</f>
        <v>5</v>
      </c>
      <c r="B276">
        <v>13</v>
      </c>
      <c r="C276" t="str">
        <f ca="1">Sprache!A207</f>
        <v>Bambus</v>
      </c>
      <c r="D276">
        <v>0.4</v>
      </c>
      <c r="F276">
        <v>13</v>
      </c>
      <c r="G276" t="str">
        <f t="shared" ca="1" si="60"/>
        <v>Bambus</v>
      </c>
      <c r="H276">
        <f t="shared" ca="1" si="61"/>
        <v>0.4</v>
      </c>
    </row>
    <row r="277" spans="1:12" hidden="1" outlineLevel="1" x14ac:dyDescent="0.25">
      <c r="A277">
        <f t="array" aca="1" ref="A277" ca="1">SUM(IF(C$271:C$310 &lt; C277,1))+ (C277="")*1000</f>
        <v>6</v>
      </c>
      <c r="B277">
        <v>14</v>
      </c>
      <c r="C277" t="str">
        <f ca="1">Sprache!A208</f>
        <v>Birke</v>
      </c>
      <c r="D277">
        <v>0.67</v>
      </c>
      <c r="F277">
        <v>14</v>
      </c>
      <c r="G277" t="str">
        <f t="shared" ca="1" si="60"/>
        <v>Birke</v>
      </c>
      <c r="H277">
        <f t="shared" ca="1" si="61"/>
        <v>0.67</v>
      </c>
    </row>
    <row r="278" spans="1:12" hidden="1" outlineLevel="1" x14ac:dyDescent="0.25">
      <c r="A278">
        <f t="array" aca="1" ref="A278" ca="1">SUM(IF(C$271:C$310 &lt; C278,1))+ (C278="")*1000</f>
        <v>7</v>
      </c>
      <c r="B278">
        <v>15</v>
      </c>
      <c r="C278" t="str">
        <f ca="1">Sprache!A209</f>
        <v>Birne</v>
      </c>
      <c r="D278">
        <v>0.7</v>
      </c>
      <c r="F278">
        <v>15</v>
      </c>
      <c r="G278" t="str">
        <f t="shared" ca="1" si="60"/>
        <v>Birne</v>
      </c>
      <c r="H278">
        <f t="shared" ca="1" si="61"/>
        <v>0.7</v>
      </c>
      <c r="K278" t="s">
        <v>1342</v>
      </c>
    </row>
    <row r="279" spans="1:12" hidden="1" outlineLevel="1" x14ac:dyDescent="0.25">
      <c r="A279">
        <f t="array" aca="1" ref="A279" ca="1">SUM(IF(C$271:C$310 &lt; C279,1))+ (C279="")*1000</f>
        <v>8</v>
      </c>
      <c r="B279">
        <v>16</v>
      </c>
      <c r="C279" t="str">
        <f ca="1">Sprache!A210</f>
        <v>Buche</v>
      </c>
      <c r="D279">
        <v>0.9</v>
      </c>
      <c r="F279">
        <v>16</v>
      </c>
      <c r="G279" t="str">
        <f t="shared" ca="1" si="60"/>
        <v>Buche</v>
      </c>
      <c r="H279">
        <f t="shared" ca="1" si="61"/>
        <v>0.9</v>
      </c>
      <c r="K279" s="769" t="s">
        <v>2244</v>
      </c>
      <c r="L279" s="769" t="s">
        <v>2245</v>
      </c>
    </row>
    <row r="280" spans="1:12" hidden="1" outlineLevel="1" x14ac:dyDescent="0.25">
      <c r="A280">
        <f t="array" aca="1" ref="A280" ca="1">SUM(IF(C$271:C$310 &lt; C280,1))+ (C280="")*1000</f>
        <v>9</v>
      </c>
      <c r="B280">
        <v>17</v>
      </c>
      <c r="C280" t="str">
        <f ca="1">Sprache!A211</f>
        <v>Douglasie</v>
      </c>
      <c r="D280">
        <v>0.53</v>
      </c>
      <c r="F280">
        <v>17</v>
      </c>
      <c r="G280" t="str">
        <f t="shared" ca="1" si="60"/>
        <v>Douglasie</v>
      </c>
      <c r="H280">
        <f t="shared" ca="1" si="61"/>
        <v>0.53</v>
      </c>
      <c r="J280">
        <f>IF($K$288&lt;=K280,1,0)</f>
        <v>1</v>
      </c>
      <c r="K280" s="493">
        <v>6</v>
      </c>
      <c r="L280" s="493">
        <v>2</v>
      </c>
    </row>
    <row r="281" spans="1:12" hidden="1" outlineLevel="1" x14ac:dyDescent="0.25">
      <c r="A281">
        <f t="array" aca="1" ref="A281" ca="1">SUM(IF(C$271:C$310 &lt; C281,1))+ (C281="")*1000</f>
        <v>10</v>
      </c>
      <c r="B281">
        <v>18</v>
      </c>
      <c r="C281" t="str">
        <f ca="1">Sprache!A212</f>
        <v>Ebenholz</v>
      </c>
      <c r="D281">
        <v>1.3</v>
      </c>
      <c r="F281">
        <v>18</v>
      </c>
      <c r="G281" t="str">
        <f t="shared" ca="1" si="60"/>
        <v>Ebenholz</v>
      </c>
      <c r="H281">
        <f t="shared" ca="1" si="61"/>
        <v>1.3</v>
      </c>
      <c r="J281">
        <f t="shared" ref="J281:J286" si="62">IF($K$288&lt;=K281,1,0)</f>
        <v>1</v>
      </c>
      <c r="K281" s="493">
        <v>10</v>
      </c>
      <c r="L281" s="493">
        <v>3</v>
      </c>
    </row>
    <row r="282" spans="1:12" hidden="1" outlineLevel="1" x14ac:dyDescent="0.25">
      <c r="A282">
        <f t="array" aca="1" ref="A282" ca="1">SUM(IF(C$271:C$310 &lt; C282,1))+ (C282="")*1000</f>
        <v>11</v>
      </c>
      <c r="B282">
        <v>19</v>
      </c>
      <c r="C282" t="str">
        <f ca="1">Sprache!A213</f>
        <v>Eiche</v>
      </c>
      <c r="D282">
        <v>0.7</v>
      </c>
      <c r="F282">
        <v>19</v>
      </c>
      <c r="G282" t="str">
        <f t="shared" ca="1" si="60"/>
        <v>Eiche</v>
      </c>
      <c r="H282">
        <f t="shared" ca="1" si="61"/>
        <v>0.7</v>
      </c>
      <c r="J282">
        <f t="shared" si="62"/>
        <v>1</v>
      </c>
      <c r="K282" s="493">
        <v>17</v>
      </c>
      <c r="L282" s="493">
        <v>4</v>
      </c>
    </row>
    <row r="283" spans="1:12" hidden="1" outlineLevel="1" x14ac:dyDescent="0.25">
      <c r="A283">
        <f t="array" aca="1" ref="A283" ca="1">SUM(IF(C$271:C$310 &lt; C283,1))+ (C283="")*1000</f>
        <v>12</v>
      </c>
      <c r="B283">
        <v>20</v>
      </c>
      <c r="C283" t="str">
        <f ca="1">Sprache!A214</f>
        <v>Erle</v>
      </c>
      <c r="D283">
        <v>0.7</v>
      </c>
      <c r="F283">
        <v>20</v>
      </c>
      <c r="G283" t="str">
        <f t="shared" ca="1" si="60"/>
        <v>Erle</v>
      </c>
      <c r="H283">
        <f t="shared" ca="1" si="61"/>
        <v>0.7</v>
      </c>
      <c r="J283">
        <f t="shared" si="62"/>
        <v>1</v>
      </c>
      <c r="K283" s="493">
        <v>22</v>
      </c>
      <c r="L283" s="493">
        <v>5</v>
      </c>
    </row>
    <row r="284" spans="1:12" hidden="1" outlineLevel="1" x14ac:dyDescent="0.25">
      <c r="A284">
        <f t="array" aca="1" ref="A284" ca="1">SUM(IF(C$271:C$310 &lt; C284,1))+ (C284="")*1000</f>
        <v>13</v>
      </c>
      <c r="B284">
        <v>21</v>
      </c>
      <c r="C284" t="str">
        <f ca="1">Sprache!A215</f>
        <v>Esche</v>
      </c>
      <c r="D284">
        <v>0.71</v>
      </c>
      <c r="F284">
        <v>21</v>
      </c>
      <c r="G284" t="str">
        <f t="shared" ca="1" si="60"/>
        <v>Esche</v>
      </c>
      <c r="H284">
        <f t="shared" ca="1" si="61"/>
        <v>0.71</v>
      </c>
      <c r="J284">
        <f t="shared" si="62"/>
        <v>1</v>
      </c>
      <c r="K284" s="849" t="s">
        <v>1916</v>
      </c>
      <c r="L284" s="849" t="s">
        <v>1916</v>
      </c>
    </row>
    <row r="285" spans="1:12" hidden="1" outlineLevel="1" x14ac:dyDescent="0.25">
      <c r="A285">
        <f t="array" aca="1" ref="A285" ca="1">SUM(IF(C$271:C$310 &lt; C285,1))+ (C285="")*1000</f>
        <v>14</v>
      </c>
      <c r="B285">
        <v>22</v>
      </c>
      <c r="C285" t="str">
        <f ca="1">Sprache!A216</f>
        <v>Espe</v>
      </c>
      <c r="D285">
        <v>0.42</v>
      </c>
      <c r="F285">
        <v>22</v>
      </c>
      <c r="G285" t="str">
        <f t="shared" ca="1" si="60"/>
        <v>Espe</v>
      </c>
      <c r="H285">
        <f t="shared" ca="1" si="61"/>
        <v>0.42</v>
      </c>
      <c r="J285">
        <f t="shared" si="62"/>
        <v>1</v>
      </c>
      <c r="K285" s="849" t="s">
        <v>1916</v>
      </c>
      <c r="L285" s="849" t="s">
        <v>1916</v>
      </c>
    </row>
    <row r="286" spans="1:12" hidden="1" outlineLevel="1" x14ac:dyDescent="0.25">
      <c r="A286">
        <f t="array" aca="1" ref="A286" ca="1">SUM(IF(C$271:C$310 &lt; C286,1))+ (C286="")*1000</f>
        <v>15</v>
      </c>
      <c r="B286">
        <v>23</v>
      </c>
      <c r="C286" t="str">
        <f ca="1">Sprache!A217</f>
        <v>Fichte</v>
      </c>
      <c r="D286">
        <v>0.45</v>
      </c>
      <c r="F286">
        <v>23</v>
      </c>
      <c r="G286" t="str">
        <f t="shared" ca="1" si="60"/>
        <v>Fichte</v>
      </c>
      <c r="H286">
        <f t="shared" ca="1" si="61"/>
        <v>0.45</v>
      </c>
      <c r="J286">
        <f t="shared" si="62"/>
        <v>1</v>
      </c>
      <c r="K286" s="849" t="s">
        <v>1916</v>
      </c>
      <c r="L286" s="849" t="s">
        <v>1916</v>
      </c>
    </row>
    <row r="287" spans="1:12" hidden="1" outlineLevel="1" x14ac:dyDescent="0.25">
      <c r="A287">
        <f t="array" aca="1" ref="A287" ca="1">SUM(IF(C$271:C$310 &lt; C287,1))+ (C287="")*1000</f>
        <v>16</v>
      </c>
      <c r="B287">
        <v>24</v>
      </c>
      <c r="C287" t="str">
        <f ca="1">Sprache!A218</f>
        <v>Gabun</v>
      </c>
      <c r="D287">
        <v>0.43</v>
      </c>
      <c r="F287">
        <v>24</v>
      </c>
      <c r="G287" t="str">
        <f t="shared" ca="1" si="60"/>
        <v>Gabun</v>
      </c>
      <c r="H287">
        <f t="shared" ca="1" si="61"/>
        <v>0.43</v>
      </c>
    </row>
    <row r="288" spans="1:12" hidden="1" outlineLevel="1" x14ac:dyDescent="0.25">
      <c r="A288">
        <f t="array" aca="1" ref="A288" ca="1">SUM(IF(C$271:C$310 &lt; C288,1))+ (C288="")*1000</f>
        <v>17</v>
      </c>
      <c r="B288">
        <v>25</v>
      </c>
      <c r="C288" t="str">
        <f ca="1">Sprache!A219</f>
        <v>Hemlock</v>
      </c>
      <c r="D288">
        <v>0.5</v>
      </c>
      <c r="F288">
        <v>25</v>
      </c>
      <c r="G288" t="str">
        <f t="shared" ca="1" si="60"/>
        <v>Hemlock</v>
      </c>
      <c r="H288">
        <f t="shared" ca="1" si="61"/>
        <v>0.5</v>
      </c>
      <c r="K288">
        <f>Türgewicht!L37</f>
        <v>5.2</v>
      </c>
    </row>
    <row r="289" spans="1:11" hidden="1" outlineLevel="1" x14ac:dyDescent="0.25">
      <c r="A289">
        <f t="array" aca="1" ref="A289" ca="1">SUM(IF(C$271:C$310 &lt; C289,1))+ (C289="")*1000</f>
        <v>18</v>
      </c>
      <c r="B289">
        <v>26</v>
      </c>
      <c r="C289" t="str">
        <f ca="1">Sprache!A220</f>
        <v>Iroko</v>
      </c>
      <c r="D289">
        <v>0.66</v>
      </c>
      <c r="F289">
        <v>26</v>
      </c>
      <c r="G289" t="str">
        <f t="shared" ca="1" si="60"/>
        <v>Iroko</v>
      </c>
      <c r="H289">
        <f t="shared" ca="1" si="61"/>
        <v>0.66</v>
      </c>
      <c r="J289">
        <f>SUM(J280:J286)</f>
        <v>7</v>
      </c>
      <c r="K289" s="4">
        <f>IFERROR(VLOOKUP(1,J280:L286,3,FALSE),"")</f>
        <v>2</v>
      </c>
    </row>
    <row r="290" spans="1:11" hidden="1" outlineLevel="1" x14ac:dyDescent="0.25">
      <c r="A290">
        <f t="array" aca="1" ref="A290" ca="1">SUM(IF(C$271:C$310 &lt; C290,1))+ (C290="")*1000</f>
        <v>19</v>
      </c>
      <c r="B290">
        <v>27</v>
      </c>
      <c r="C290" t="str">
        <f ca="1">Sprache!A221</f>
        <v>Kastanie</v>
      </c>
      <c r="D290">
        <v>0.56000000000000005</v>
      </c>
      <c r="F290">
        <v>27</v>
      </c>
      <c r="G290" t="str">
        <f t="shared" ca="1" si="60"/>
        <v>Kastanie</v>
      </c>
      <c r="H290">
        <f t="shared" ca="1" si="61"/>
        <v>0.56000000000000005</v>
      </c>
      <c r="J290" s="131" t="str">
        <f>IF(J289=0,Sprache!A56&amp; " "&amp;Sprache!A146,"")</f>
        <v/>
      </c>
    </row>
    <row r="291" spans="1:11" hidden="1" outlineLevel="1" x14ac:dyDescent="0.25">
      <c r="A291">
        <f t="array" aca="1" ref="A291" ca="1">SUM(IF(C$271:C$310 &lt; C291,1))+ (C291="")*1000</f>
        <v>20</v>
      </c>
      <c r="B291">
        <v>28</v>
      </c>
      <c r="C291" t="str">
        <f ca="1">Sprache!A222</f>
        <v>Kiefer</v>
      </c>
      <c r="D291">
        <v>0.45</v>
      </c>
      <c r="F291">
        <v>28</v>
      </c>
      <c r="G291" t="str">
        <f t="shared" ca="1" si="60"/>
        <v>Kiefer</v>
      </c>
      <c r="H291">
        <f t="shared" ca="1" si="61"/>
        <v>0.45</v>
      </c>
    </row>
    <row r="292" spans="1:11" hidden="1" outlineLevel="1" x14ac:dyDescent="0.25">
      <c r="A292">
        <f t="array" aca="1" ref="A292" ca="1">SUM(IF(C$271:C$310 &lt; C292,1))+ (C292="")*1000</f>
        <v>21</v>
      </c>
      <c r="B292">
        <v>29</v>
      </c>
      <c r="C292" t="str">
        <f ca="1">Sprache!A223</f>
        <v>Kirsche</v>
      </c>
      <c r="D292">
        <v>0.63</v>
      </c>
      <c r="F292">
        <v>29</v>
      </c>
      <c r="G292" t="str">
        <f t="shared" ca="1" si="60"/>
        <v>Kirsche</v>
      </c>
      <c r="H292">
        <f t="shared" ca="1" si="61"/>
        <v>0.63</v>
      </c>
    </row>
    <row r="293" spans="1:11" hidden="1" outlineLevel="1" x14ac:dyDescent="0.25">
      <c r="A293">
        <f t="array" aca="1" ref="A293" ca="1">SUM(IF(C$271:C$310 &lt; C293,1))+ (C293="")*1000</f>
        <v>22</v>
      </c>
      <c r="B293">
        <v>30</v>
      </c>
      <c r="C293" t="str">
        <f ca="1">Sprache!A224</f>
        <v>Lärche</v>
      </c>
      <c r="D293">
        <v>0.55000000000000004</v>
      </c>
      <c r="F293">
        <v>30</v>
      </c>
      <c r="G293" t="str">
        <f t="shared" ca="1" si="60"/>
        <v>Lärche</v>
      </c>
      <c r="H293">
        <f t="shared" ca="1" si="61"/>
        <v>0.55000000000000004</v>
      </c>
    </row>
    <row r="294" spans="1:11" hidden="1" outlineLevel="1" x14ac:dyDescent="0.25">
      <c r="A294">
        <f t="array" aca="1" ref="A294" ca="1">SUM(IF(C$271:C$310 &lt; C294,1))+ (C294="")*1000</f>
        <v>23</v>
      </c>
      <c r="B294">
        <v>31</v>
      </c>
      <c r="C294" t="str">
        <f ca="1">Sprache!A225</f>
        <v>Mahagonie</v>
      </c>
      <c r="D294">
        <v>0.85</v>
      </c>
      <c r="F294">
        <v>31</v>
      </c>
      <c r="G294" t="str">
        <f t="shared" ca="1" si="60"/>
        <v>Mahagonie</v>
      </c>
      <c r="H294">
        <f t="shared" ca="1" si="61"/>
        <v>0.85</v>
      </c>
      <c r="J294" t="s">
        <v>2523</v>
      </c>
    </row>
    <row r="295" spans="1:11" hidden="1" outlineLevel="1" x14ac:dyDescent="0.25">
      <c r="A295">
        <f t="array" aca="1" ref="A295" ca="1">SUM(IF(C$271:C$310 &lt; C295,1))+ (C295="")*1000</f>
        <v>24</v>
      </c>
      <c r="B295">
        <v>32</v>
      </c>
      <c r="C295" t="str">
        <f ca="1">Sprache!A226</f>
        <v>Mammutbaum</v>
      </c>
      <c r="D295">
        <v>0.51</v>
      </c>
      <c r="F295">
        <v>32</v>
      </c>
      <c r="G295" t="str">
        <f t="shared" ca="1" si="60"/>
        <v>Mammutbaum</v>
      </c>
      <c r="H295">
        <f t="shared" ca="1" si="61"/>
        <v>0.51</v>
      </c>
      <c r="J295" s="884">
        <v>0</v>
      </c>
      <c r="K295">
        <f>J295*K296</f>
        <v>0</v>
      </c>
    </row>
    <row r="296" spans="1:11" hidden="1" outlineLevel="1" x14ac:dyDescent="0.25">
      <c r="A296">
        <f t="array" aca="1" ref="A296" ca="1">SUM(IF(C$271:C$310 &lt; C296,1))+ (C296="")*1000</f>
        <v>25</v>
      </c>
      <c r="B296">
        <v>33</v>
      </c>
      <c r="C296" t="str">
        <f ca="1">Sprache!A227</f>
        <v>Pappel</v>
      </c>
      <c r="D296">
        <v>0.5</v>
      </c>
      <c r="F296">
        <v>33</v>
      </c>
      <c r="G296" t="str">
        <f t="shared" ca="1" si="60"/>
        <v>Pappel</v>
      </c>
      <c r="H296">
        <f t="shared" ca="1" si="61"/>
        <v>0.5</v>
      </c>
      <c r="J296" s="393">
        <v>3</v>
      </c>
      <c r="K296">
        <f>VLOOKUP(J296,I297:J300,2,FALSE)</f>
        <v>0.25</v>
      </c>
    </row>
    <row r="297" spans="1:11" hidden="1" outlineLevel="1" x14ac:dyDescent="0.25">
      <c r="A297">
        <f t="array" aca="1" ref="A297" ca="1">SUM(IF(C$271:C$310 &lt; C297,1))+ (C297="")*1000</f>
        <v>26</v>
      </c>
      <c r="B297">
        <v>34</v>
      </c>
      <c r="C297" t="str">
        <f ca="1">Sprache!A228</f>
        <v>Pappel, kanadisch</v>
      </c>
      <c r="D297">
        <v>0.41</v>
      </c>
      <c r="F297">
        <v>34</v>
      </c>
      <c r="G297" t="str">
        <f t="shared" ca="1" si="60"/>
        <v>Pappel, kanadisch</v>
      </c>
      <c r="H297">
        <f t="shared" ca="1" si="61"/>
        <v>0.41</v>
      </c>
      <c r="I297">
        <v>1</v>
      </c>
      <c r="J297" s="910">
        <v>1</v>
      </c>
    </row>
    <row r="298" spans="1:11" hidden="1" outlineLevel="1" x14ac:dyDescent="0.25">
      <c r="A298">
        <f t="array" aca="1" ref="A298" ca="1">SUM(IF(C$271:C$310 &lt; C298,1))+ (C298="")*1000</f>
        <v>27</v>
      </c>
      <c r="B298">
        <v>35</v>
      </c>
      <c r="C298" t="str">
        <f ca="1">Sprache!A229</f>
        <v>Pekannussbaum</v>
      </c>
      <c r="D298">
        <v>0.77</v>
      </c>
      <c r="F298">
        <v>35</v>
      </c>
      <c r="G298" t="str">
        <f t="shared" ca="1" si="60"/>
        <v>Pekannussbaum</v>
      </c>
      <c r="H298">
        <f t="shared" ca="1" si="61"/>
        <v>0.77</v>
      </c>
      <c r="I298">
        <v>2</v>
      </c>
      <c r="J298" s="910">
        <v>0.5</v>
      </c>
    </row>
    <row r="299" spans="1:11" hidden="1" outlineLevel="1" x14ac:dyDescent="0.25">
      <c r="A299">
        <f t="array" aca="1" ref="A299" ca="1">SUM(IF(C$271:C$310 &lt; C299,1))+ (C299="")*1000</f>
        <v>28</v>
      </c>
      <c r="B299">
        <v>36</v>
      </c>
      <c r="C299" t="str">
        <f ca="1">Sprache!A230</f>
        <v>Platane</v>
      </c>
      <c r="D299">
        <v>0.6</v>
      </c>
      <c r="F299">
        <v>36</v>
      </c>
      <c r="G299" t="str">
        <f t="shared" ca="1" si="60"/>
        <v>Platane</v>
      </c>
      <c r="H299">
        <f t="shared" ca="1" si="61"/>
        <v>0.6</v>
      </c>
      <c r="I299">
        <v>3</v>
      </c>
      <c r="J299" s="910">
        <v>0.25</v>
      </c>
    </row>
    <row r="300" spans="1:11" hidden="1" outlineLevel="1" x14ac:dyDescent="0.25">
      <c r="A300">
        <f t="array" aca="1" ref="A300" ca="1">SUM(IF(C$271:C$310 &lt; C300,1))+ (C300="")*1000</f>
        <v>29</v>
      </c>
      <c r="B300">
        <v>37</v>
      </c>
      <c r="C300" t="str">
        <f ca="1">Sprache!A231</f>
        <v>Pockholz</v>
      </c>
      <c r="D300">
        <v>1.33</v>
      </c>
      <c r="F300">
        <v>37</v>
      </c>
      <c r="G300" t="str">
        <f t="shared" ca="1" si="60"/>
        <v>Pockholz</v>
      </c>
      <c r="H300">
        <f t="shared" ca="1" si="61"/>
        <v>1.33</v>
      </c>
      <c r="I300">
        <v>4</v>
      </c>
      <c r="J300" s="910">
        <v>0.1</v>
      </c>
    </row>
    <row r="301" spans="1:11" hidden="1" outlineLevel="1" x14ac:dyDescent="0.25">
      <c r="A301">
        <f t="array" aca="1" ref="A301" ca="1">SUM(IF(C$271:C$310 &lt; C301,1))+ (C301="")*1000</f>
        <v>30</v>
      </c>
      <c r="B301">
        <v>38</v>
      </c>
      <c r="C301" t="str">
        <f ca="1">Sprache!A232</f>
        <v>Ramin</v>
      </c>
      <c r="D301">
        <v>0.67</v>
      </c>
      <c r="F301">
        <v>38</v>
      </c>
      <c r="G301" t="str">
        <f t="shared" ca="1" si="60"/>
        <v>Ramin</v>
      </c>
      <c r="H301">
        <f t="shared" ca="1" si="61"/>
        <v>0.67</v>
      </c>
    </row>
    <row r="302" spans="1:11" hidden="1" outlineLevel="1" x14ac:dyDescent="0.25">
      <c r="A302">
        <f t="array" aca="1" ref="A302" ca="1">SUM(IF(C$271:C$310 &lt; C302,1))+ (C302="")*1000</f>
        <v>31</v>
      </c>
      <c r="B302">
        <v>39</v>
      </c>
      <c r="C302" t="str">
        <f ca="1">Sprache!A233</f>
        <v>Robinie</v>
      </c>
      <c r="D302">
        <v>0.7</v>
      </c>
      <c r="F302">
        <v>39</v>
      </c>
      <c r="G302" t="str">
        <f t="shared" ca="1" si="60"/>
        <v>Robinie</v>
      </c>
      <c r="H302">
        <f t="shared" ca="1" si="61"/>
        <v>0.7</v>
      </c>
    </row>
    <row r="303" spans="1:11" hidden="1" outlineLevel="1" x14ac:dyDescent="0.25">
      <c r="A303">
        <f t="array" aca="1" ref="A303" ca="1">SUM(IF(C$271:C$310 &lt; C303,1))+ (C303="")*1000</f>
        <v>32</v>
      </c>
      <c r="B303">
        <v>40</v>
      </c>
      <c r="C303" t="str">
        <f ca="1">Sprache!A234</f>
        <v>Spanplatte</v>
      </c>
      <c r="D303">
        <v>0.65</v>
      </c>
      <c r="F303">
        <v>40</v>
      </c>
      <c r="G303" t="str">
        <f t="shared" ca="1" si="60"/>
        <v>Spanplatte</v>
      </c>
      <c r="H303">
        <f t="shared" ca="1" si="61"/>
        <v>0.65</v>
      </c>
    </row>
    <row r="304" spans="1:11" hidden="1" outlineLevel="1" x14ac:dyDescent="0.25">
      <c r="A304">
        <f t="array" aca="1" ref="A304" ca="1">SUM(IF(C$271:C$310 &lt; C304,1))+ (C304="")*1000</f>
        <v>33</v>
      </c>
      <c r="B304">
        <v>41</v>
      </c>
      <c r="C304" t="str">
        <f ca="1">Sprache!A235</f>
        <v>Tanne</v>
      </c>
      <c r="D304">
        <v>0.41</v>
      </c>
      <c r="F304">
        <v>41</v>
      </c>
      <c r="G304" t="str">
        <f t="shared" ca="1" si="60"/>
        <v>Tanne</v>
      </c>
      <c r="H304">
        <f t="shared" ca="1" si="61"/>
        <v>0.41</v>
      </c>
    </row>
    <row r="305" spans="1:52" hidden="1" outlineLevel="1" x14ac:dyDescent="0.25">
      <c r="A305">
        <f t="array" aca="1" ref="A305" ca="1">SUM(IF(C$271:C$310 &lt; C305,1))+ (C305="")*1000</f>
        <v>34</v>
      </c>
      <c r="B305">
        <v>42</v>
      </c>
      <c r="C305" t="str">
        <f ca="1">Sprache!A236</f>
        <v>Teak</v>
      </c>
      <c r="D305">
        <v>0.98</v>
      </c>
      <c r="F305">
        <v>42</v>
      </c>
      <c r="G305" t="str">
        <f t="shared" ca="1" si="60"/>
        <v>Teak</v>
      </c>
      <c r="H305">
        <f t="shared" ca="1" si="61"/>
        <v>0.98</v>
      </c>
    </row>
    <row r="306" spans="1:52" hidden="1" outlineLevel="1" x14ac:dyDescent="0.25">
      <c r="A306">
        <f t="array" aca="1" ref="A306" ca="1">SUM(IF(C$271:C$310 &lt; C306,1))+ (C306="")*1000</f>
        <v>35</v>
      </c>
      <c r="B306">
        <v>43</v>
      </c>
      <c r="C306" t="str">
        <f ca="1">Sprache!A237</f>
        <v>Ulme</v>
      </c>
      <c r="D306">
        <v>0.82</v>
      </c>
      <c r="F306">
        <v>43</v>
      </c>
      <c r="G306" t="str">
        <f t="shared" ca="1" si="60"/>
        <v>Ulme</v>
      </c>
      <c r="H306">
        <f t="shared" ca="1" si="61"/>
        <v>0.82</v>
      </c>
    </row>
    <row r="307" spans="1:52" hidden="1" outlineLevel="1" x14ac:dyDescent="0.25">
      <c r="A307">
        <f t="array" aca="1" ref="A307" ca="1">SUM(IF(C$271:C$310 &lt; C307,1))+ (C307="")*1000</f>
        <v>36</v>
      </c>
      <c r="B307">
        <v>44</v>
      </c>
      <c r="C307" t="str">
        <f ca="1">Sprache!A238</f>
        <v>Walnuss</v>
      </c>
      <c r="D307">
        <v>0.83</v>
      </c>
      <c r="F307">
        <v>44</v>
      </c>
      <c r="G307" t="str">
        <f t="shared" ca="1" si="60"/>
        <v>Walnuss</v>
      </c>
      <c r="H307">
        <f t="shared" ca="1" si="61"/>
        <v>0.83</v>
      </c>
    </row>
    <row r="308" spans="1:52" hidden="1" outlineLevel="1" x14ac:dyDescent="0.25">
      <c r="A308">
        <f t="array" aca="1" ref="A308" ca="1">SUM(IF(C$271:C$310 &lt; C308,1))+ (C308="")*1000</f>
        <v>37</v>
      </c>
      <c r="B308">
        <v>45</v>
      </c>
      <c r="C308" t="str">
        <f ca="1">Sprache!A239</f>
        <v>Weide</v>
      </c>
      <c r="D308">
        <v>0.6</v>
      </c>
      <c r="F308">
        <v>45</v>
      </c>
      <c r="G308" t="str">
        <f t="shared" ca="1" si="60"/>
        <v>Weide</v>
      </c>
      <c r="H308">
        <f t="shared" ca="1" si="61"/>
        <v>0.6</v>
      </c>
    </row>
    <row r="309" spans="1:52" hidden="1" outlineLevel="1" x14ac:dyDescent="0.25">
      <c r="A309">
        <f t="array" aca="1" ref="A309" ca="1">SUM(IF(C$271:C$310 &lt; C309,1))+ (C309="")*1000</f>
        <v>38</v>
      </c>
      <c r="B309">
        <v>46</v>
      </c>
      <c r="C309" t="str">
        <f ca="1">Sprache!A240</f>
        <v>Zeder</v>
      </c>
      <c r="D309">
        <v>0.57999999999999996</v>
      </c>
      <c r="F309">
        <v>46</v>
      </c>
      <c r="G309" t="str">
        <f t="shared" ca="1" si="60"/>
        <v>Zeder</v>
      </c>
      <c r="H309">
        <f t="shared" ca="1" si="61"/>
        <v>0.57999999999999996</v>
      </c>
    </row>
    <row r="310" spans="1:52" hidden="1" outlineLevel="1" x14ac:dyDescent="0.25">
      <c r="A310">
        <f t="array" aca="1" ref="A310" ca="1">SUM(IF(C$271:C$310 &lt; C310,1))+ (C310="")*1000</f>
        <v>39</v>
      </c>
      <c r="B310">
        <v>47</v>
      </c>
      <c r="C310" t="str">
        <f ca="1">Sprache!A241</f>
        <v>Zypresse</v>
      </c>
      <c r="D310">
        <v>0.51</v>
      </c>
      <c r="F310">
        <v>47</v>
      </c>
      <c r="G310" t="str">
        <f ca="1">VLOOKUP(ROW(A40)-1,$A$271:$D$310,3,FALSE)</f>
        <v>Zypresse</v>
      </c>
      <c r="H310">
        <f t="shared" ca="1" si="61"/>
        <v>0.51</v>
      </c>
    </row>
    <row r="311" spans="1:52" hidden="1" outlineLevel="1" x14ac:dyDescent="0.25"/>
    <row r="312" spans="1:52" hidden="1" outlineLevel="1" x14ac:dyDescent="0.25"/>
    <row r="313" spans="1:52" hidden="1" outlineLevel="1" x14ac:dyDescent="0.25"/>
    <row r="314" spans="1:52" s="78" customFormat="1" collapsed="1" x14ac:dyDescent="0.25">
      <c r="A314" s="78" t="s">
        <v>1383</v>
      </c>
    </row>
    <row r="315" spans="1:52" hidden="1" outlineLevel="1" x14ac:dyDescent="0.25">
      <c r="S315" s="131" t="str">
        <f ca="1">IF(S317=0,Sprache!$A$39,"")</f>
        <v/>
      </c>
      <c r="Y315" t="s">
        <v>1459</v>
      </c>
    </row>
    <row r="316" spans="1:52" hidden="1" outlineLevel="1" x14ac:dyDescent="0.25">
      <c r="D316" s="6" t="s">
        <v>1409</v>
      </c>
      <c r="E316" s="6" t="s">
        <v>1410</v>
      </c>
      <c r="F316" s="6" t="s">
        <v>1411</v>
      </c>
      <c r="G316" s="6" t="s">
        <v>1412</v>
      </c>
      <c r="H316" s="6" t="s">
        <v>1419</v>
      </c>
      <c r="I316" s="6" t="s">
        <v>1420</v>
      </c>
      <c r="J316" s="6" t="s">
        <v>1416</v>
      </c>
      <c r="K316" s="6" t="s">
        <v>1810</v>
      </c>
      <c r="L316" s="6" t="s">
        <v>1851</v>
      </c>
      <c r="M316" s="6" t="s">
        <v>1418</v>
      </c>
      <c r="N316" s="8" t="s">
        <v>1487</v>
      </c>
      <c r="O316" s="8" t="s">
        <v>1841</v>
      </c>
      <c r="P316" s="8" t="s">
        <v>1843</v>
      </c>
      <c r="Q316" s="8" t="s">
        <v>1401</v>
      </c>
      <c r="R316" s="8" t="s">
        <v>1854</v>
      </c>
      <c r="S316" s="8" t="s">
        <v>1879</v>
      </c>
      <c r="U316" s="245"/>
      <c r="V316" s="223" t="str">
        <f>B319</f>
        <v>Tiomos 110/90A</v>
      </c>
      <c r="W316" s="223"/>
      <c r="Y316" t="s">
        <v>1458</v>
      </c>
      <c r="AN316" s="245"/>
      <c r="AO316" s="245"/>
      <c r="AP316" s="245"/>
      <c r="AQ316" s="245"/>
      <c r="AR316" s="245"/>
      <c r="AS316" s="245"/>
      <c r="AT316" s="245"/>
      <c r="AU316" s="245"/>
      <c r="AV316" s="245"/>
      <c r="AW316" s="245"/>
      <c r="AX316" s="245"/>
      <c r="AY316" s="245"/>
      <c r="AZ316" s="245"/>
    </row>
    <row r="317" spans="1:52" hidden="1" outlineLevel="1" x14ac:dyDescent="0.25">
      <c r="A317" s="4" t="str">
        <f>VLOOKUP(A318,A319:B329,2,FALSE)</f>
        <v>Tiomos 110/90A</v>
      </c>
      <c r="D317" t="str">
        <f ca="1">VLOOKUP(A318,A319:D329,4,FALSE)</f>
        <v>Türfuge</v>
      </c>
      <c r="E317">
        <f>VLOOKUP(A318,A319:F329,5,FALSE)</f>
        <v>13</v>
      </c>
      <c r="F317">
        <f>VLOOKUP(A318,A319:F329,6,FALSE)</f>
        <v>23</v>
      </c>
      <c r="G317">
        <f>VLOOKUP(A318,A319:G329,7,FALSE)</f>
        <v>0</v>
      </c>
      <c r="H317" t="str">
        <f ca="1">VLOOKUP(A318,A319:H329,8,FALSE)</f>
        <v>---</v>
      </c>
      <c r="I317">
        <f ca="1">VLOOKUP(A318,A319:I329,9,FALSE)</f>
        <v>17</v>
      </c>
      <c r="J317" t="str">
        <f ca="1">VLOOKUP(A318,A319:J329,10,FALSE)</f>
        <v>Bohrabstand (X)</v>
      </c>
      <c r="K317" s="116">
        <f ca="1">VLOOKUP(A318,A319:K329,11,FALSE)</f>
        <v>30</v>
      </c>
      <c r="L317" t="str">
        <f ca="1">VLOOKUP(A318,A319:L329,12,FALSE)</f>
        <v>Kreuzmontageplatte</v>
      </c>
      <c r="M317">
        <f>VLOOKUP(A318,A319:M329,13,FALSE)</f>
        <v>-2</v>
      </c>
      <c r="N317" t="str">
        <f ca="1">VLOOKUP(A318,A319:N329,14,FALSE)</f>
        <v>Mindestspalt</v>
      </c>
      <c r="O317" t="str">
        <f ca="1">VLOOKUP(A318,A319:O329,15,FALSE)</f>
        <v>Korpusstärke</v>
      </c>
      <c r="P317">
        <f>VLOOKUP(A318,A319:P329,16,FALSE)</f>
        <v>0</v>
      </c>
      <c r="Q317" t="str">
        <f>VLOOKUP(A318,A319:Q329,17,FALSE)</f>
        <v>1 mm</v>
      </c>
      <c r="R317" t="str">
        <f ca="1">VLOOKUP(A318,A319:R329,18,FALSE)</f>
        <v>Türstärke</v>
      </c>
      <c r="S317">
        <f ca="1">VLOOKUP(A318,A319:S329,19,FALSE)</f>
        <v>1</v>
      </c>
      <c r="U317" s="245"/>
      <c r="AN317" t="s">
        <v>1418</v>
      </c>
      <c r="AZ317" s="245"/>
    </row>
    <row r="318" spans="1:52" hidden="1" outlineLevel="1" x14ac:dyDescent="0.25">
      <c r="A318" s="2">
        <v>1</v>
      </c>
      <c r="B318" s="3"/>
      <c r="U318" s="245"/>
      <c r="Y318" t="s">
        <v>1451</v>
      </c>
      <c r="AO318" t="s">
        <v>1839</v>
      </c>
      <c r="AZ318" s="245"/>
    </row>
    <row r="319" spans="1:52" hidden="1" outlineLevel="1" x14ac:dyDescent="0.25">
      <c r="A319">
        <v>1</v>
      </c>
      <c r="B319" t="s">
        <v>1384</v>
      </c>
      <c r="D319" s="243" t="str">
        <f ca="1">Sprache!A155</f>
        <v>Türfuge</v>
      </c>
      <c r="E319" s="243">
        <v>13</v>
      </c>
      <c r="F319" s="243">
        <v>23</v>
      </c>
      <c r="G319" s="243">
        <v>0</v>
      </c>
      <c r="H319" s="243" t="str">
        <f ca="1">W320</f>
        <v>---</v>
      </c>
      <c r="I319" s="243">
        <f ca="1">W324</f>
        <v>17</v>
      </c>
      <c r="J319" s="243" t="str">
        <f ca="1">Sprache!A164</f>
        <v>Bohrabstand (X)</v>
      </c>
      <c r="K319" s="243">
        <f ca="1">X328</f>
        <v>30</v>
      </c>
      <c r="L319" s="243" t="str">
        <f ca="1">IF(OR(D334=1,D334=2)=TRUE,D333,"")</f>
        <v>Kreuzmontageplatte</v>
      </c>
      <c r="M319" s="243">
        <f>AP320</f>
        <v>-2</v>
      </c>
      <c r="N319" s="251" t="str">
        <f ca="1">Sprache!A178</f>
        <v>Mindestspalt</v>
      </c>
      <c r="O319" s="251" t="str">
        <f ca="1">Sprache!A167</f>
        <v>Korpusstärke</v>
      </c>
      <c r="P319" s="251">
        <v>0</v>
      </c>
      <c r="Q319" s="251" t="str">
        <f>AM348</f>
        <v>1 mm</v>
      </c>
      <c r="R319" t="str">
        <f ca="1">Sprache!A160</f>
        <v>Türstärke</v>
      </c>
      <c r="S319">
        <f ca="1">IF(X328=Sprache!A56&amp;" "&amp;Sprache!A146,0,1)</f>
        <v>1</v>
      </c>
      <c r="U319" s="245"/>
      <c r="Y319" s="1092">
        <v>3</v>
      </c>
      <c r="Z319" s="1093"/>
      <c r="AA319" s="1092">
        <v>4</v>
      </c>
      <c r="AB319" s="1093"/>
      <c r="AC319" s="1092">
        <v>5</v>
      </c>
      <c r="AD319" s="1093"/>
      <c r="AE319" s="1092">
        <v>6</v>
      </c>
      <c r="AF319" s="1093"/>
      <c r="AG319" s="1092">
        <v>7</v>
      </c>
      <c r="AH319" s="1093"/>
      <c r="AI319" s="121" t="s">
        <v>1414</v>
      </c>
      <c r="AJ319" s="91" t="s">
        <v>52</v>
      </c>
      <c r="AK319" s="54" t="s">
        <v>51</v>
      </c>
      <c r="AN319" s="175">
        <v>22.5</v>
      </c>
      <c r="AO319" s="187">
        <v>19</v>
      </c>
      <c r="AP319" s="187">
        <v>0</v>
      </c>
      <c r="AQ319" s="188">
        <f>AN319+AO319+AP319</f>
        <v>41.5</v>
      </c>
      <c r="AR319" s="186" t="s">
        <v>1444</v>
      </c>
      <c r="AZ319" s="245"/>
    </row>
    <row r="320" spans="1:52" hidden="1" outlineLevel="1" x14ac:dyDescent="0.25">
      <c r="A320">
        <v>2</v>
      </c>
      <c r="B320" t="s">
        <v>1385</v>
      </c>
      <c r="D320" s="244" t="str">
        <f ca="1">Sprache!A155</f>
        <v>Türfuge</v>
      </c>
      <c r="E320" s="244">
        <v>-1</v>
      </c>
      <c r="F320" s="244">
        <v>3</v>
      </c>
      <c r="G320" s="244">
        <v>0</v>
      </c>
      <c r="H320" s="244" t="str">
        <f ca="1">W376</f>
        <v>keine</v>
      </c>
      <c r="I320" s="244" t="str">
        <f ca="1">W374</f>
        <v>---</v>
      </c>
      <c r="J320" s="244" t="str">
        <f ca="1">Sprache!A164</f>
        <v>Bohrabstand (X)</v>
      </c>
      <c r="K320" s="244" t="str">
        <f ca="1">X382</f>
        <v>keine Lösungen</v>
      </c>
      <c r="L320" s="244" t="str">
        <f ca="1">IF(OR(D334=1,D334=2)=TRUE,D333,"")</f>
        <v>Kreuzmontageplatte</v>
      </c>
      <c r="M320" s="244">
        <f>AP374</f>
        <v>3</v>
      </c>
      <c r="N320" s="252" t="str">
        <f ca="1">Sprache!A177</f>
        <v>Mindestfuge</v>
      </c>
      <c r="O320" s="252" t="str">
        <f ca="1">Sprache!A167</f>
        <v>Korpusstärke</v>
      </c>
      <c r="P320" s="252">
        <v>1</v>
      </c>
      <c r="Q320" s="252" t="str">
        <f>AA394</f>
        <v>1,4 mm</v>
      </c>
      <c r="R320" t="str">
        <f ca="1">Sprache!A160</f>
        <v>Türstärke</v>
      </c>
      <c r="S320">
        <f ca="1">IF(X382=Sprache!A56&amp;" "&amp;Sprache!A146,0,1)</f>
        <v>0</v>
      </c>
      <c r="U320" s="245"/>
      <c r="W320" s="177" t="str">
        <f ca="1">IFERROR(LARGE(X320:X324,ROUND(X320-L334,0)),IF(L334&gt;=X320,"---",X324))</f>
        <v>---</v>
      </c>
      <c r="X320" s="176">
        <f ca="1">OFFSET(X320,0,$A$347*2)</f>
        <v>18</v>
      </c>
      <c r="Y320" s="10">
        <f>IF($L$334=Z320,1,0)</f>
        <v>1</v>
      </c>
      <c r="Z320" s="133">
        <v>18</v>
      </c>
      <c r="AA320" s="10">
        <f>IF($L$334=AB320,1,0)</f>
        <v>0</v>
      </c>
      <c r="AB320" s="133">
        <v>19</v>
      </c>
      <c r="AC320" s="10">
        <f>IF($L$334=AD320,1,0)</f>
        <v>0</v>
      </c>
      <c r="AD320" s="133">
        <v>20</v>
      </c>
      <c r="AE320" s="10">
        <f>IF($L$334=AF320,1,0)</f>
        <v>0</v>
      </c>
      <c r="AF320" s="133">
        <v>21</v>
      </c>
      <c r="AG320" s="10">
        <f>IF($L$334=AH320,1,0)</f>
        <v>0</v>
      </c>
      <c r="AH320" s="133">
        <v>22</v>
      </c>
      <c r="AI320" s="120">
        <f>IF($D$334=1,AJ320,IF($D$334=2,AK320,""))</f>
        <v>30</v>
      </c>
      <c r="AJ320" s="172">
        <v>30</v>
      </c>
      <c r="AK320" s="132">
        <v>13</v>
      </c>
      <c r="AL320" s="133">
        <v>1</v>
      </c>
      <c r="AN320" s="175">
        <v>22.5</v>
      </c>
      <c r="AO320" s="189">
        <f>K338</f>
        <v>21</v>
      </c>
      <c r="AP320" s="190">
        <f>AQ320-AO320-AN320</f>
        <v>-2</v>
      </c>
      <c r="AQ320" s="188">
        <v>41.5</v>
      </c>
      <c r="AZ320" s="245"/>
    </row>
    <row r="321" spans="1:61" hidden="1" outlineLevel="1" x14ac:dyDescent="0.25">
      <c r="A321">
        <v>3</v>
      </c>
      <c r="B321" t="s">
        <v>1387</v>
      </c>
      <c r="D321" s="240" t="str">
        <f ca="1">Sprache!A154</f>
        <v>Türauflage</v>
      </c>
      <c r="E321" s="240">
        <v>-24</v>
      </c>
      <c r="F321" s="240">
        <v>24</v>
      </c>
      <c r="G321" s="240">
        <v>0</v>
      </c>
      <c r="H321" s="240" t="str">
        <f>IFERROR(L334+B550,"---")</f>
        <v>---</v>
      </c>
      <c r="I321" s="240" t="str">
        <f>IFERROR(L334+B498,"---")</f>
        <v>---</v>
      </c>
      <c r="J321" s="240" t="str">
        <f ca="1">Sprache!A164</f>
        <v>Bohrabstand (X)</v>
      </c>
      <c r="K321" s="240" t="str">
        <f ca="1">AJ456</f>
        <v>keine Lösungen</v>
      </c>
      <c r="L321" s="240" t="str">
        <f ca="1">IF(OR(D334=1,D334=2)=TRUE,D333,"")</f>
        <v>Kreuzmontageplatte</v>
      </c>
      <c r="M321" s="240" t="str">
        <f>AM473</f>
        <v>-</v>
      </c>
      <c r="N321" s="258" t="str">
        <f ca="1">Sprache!A177</f>
        <v>Mindestfuge</v>
      </c>
      <c r="O321" s="258" t="str">
        <f ca="1">Sprache!A167</f>
        <v>Korpusstärke</v>
      </c>
      <c r="P321" s="258">
        <v>0</v>
      </c>
      <c r="Q321" s="258" t="str">
        <f ca="1">AA506</f>
        <v>---</v>
      </c>
      <c r="R321" t="str">
        <f ca="1">Sprache!A160</f>
        <v>Türstärke</v>
      </c>
      <c r="S321">
        <f>D447</f>
        <v>0</v>
      </c>
      <c r="U321" s="245"/>
      <c r="X321" s="170">
        <f ca="1">OFFSET(X321,0,$A$347*2)</f>
        <v>17</v>
      </c>
      <c r="Y321" s="10">
        <f>IF($L$334=Z321,1,0)</f>
        <v>0</v>
      </c>
      <c r="Z321" s="133">
        <v>17</v>
      </c>
      <c r="AA321" s="10">
        <f>IF($L$334=AB321,1,0)</f>
        <v>1</v>
      </c>
      <c r="AB321" s="133">
        <v>18</v>
      </c>
      <c r="AC321" s="10">
        <f>IF($L$334=AD321,1,0)</f>
        <v>0</v>
      </c>
      <c r="AD321" s="133">
        <v>19</v>
      </c>
      <c r="AE321" s="10">
        <f>IF($L$334=AF321,1,0)</f>
        <v>0</v>
      </c>
      <c r="AF321" s="133">
        <v>20</v>
      </c>
      <c r="AG321" s="10">
        <f>IF($L$334=AH321,1,0)</f>
        <v>0</v>
      </c>
      <c r="AH321" s="133">
        <v>21</v>
      </c>
      <c r="AI321" s="120">
        <f>IF($D$334=1,AJ321,IF($D$334=2,AK321,""))</f>
        <v>29</v>
      </c>
      <c r="AJ321" s="172">
        <v>29</v>
      </c>
      <c r="AK321" s="132">
        <v>12</v>
      </c>
      <c r="AL321" s="133">
        <v>1</v>
      </c>
      <c r="AR321" s="1" t="s">
        <v>1445</v>
      </c>
      <c r="AS321" s="1" t="s">
        <v>52</v>
      </c>
      <c r="AT321" s="1" t="s">
        <v>51</v>
      </c>
      <c r="AV321" t="s">
        <v>52</v>
      </c>
      <c r="AW321" t="s">
        <v>51</v>
      </c>
      <c r="AZ321" s="245"/>
    </row>
    <row r="322" spans="1:61" hidden="1" outlineLevel="1" x14ac:dyDescent="0.25">
      <c r="A322">
        <v>4</v>
      </c>
      <c r="B322" t="s">
        <v>1386</v>
      </c>
      <c r="D322" s="115" t="str">
        <f ca="1">Sprache!A56</f>
        <v>keine</v>
      </c>
      <c r="E322" s="115"/>
      <c r="F322" s="115"/>
      <c r="G322" s="115">
        <v>1</v>
      </c>
      <c r="H322" s="115"/>
      <c r="I322" s="115"/>
      <c r="J322" s="115" t="str">
        <f ca="1">Sprache!A164</f>
        <v>Bohrabstand (X)</v>
      </c>
      <c r="K322" s="290">
        <f>G688</f>
        <v>62.5</v>
      </c>
      <c r="L322" s="290" t="str">
        <f ca="1">IF(OR(D334=1,D334=2)=TRUE,D333,"")</f>
        <v>Kreuzmontageplatte</v>
      </c>
      <c r="M322" s="115">
        <f>C688</f>
        <v>9</v>
      </c>
      <c r="N322" s="232" t="str">
        <f ca="1">Sprache!A177</f>
        <v>Mindestfuge</v>
      </c>
      <c r="O322" s="232" t="str">
        <f ca="1">Sprache!A160</f>
        <v>Türstärke</v>
      </c>
      <c r="P322" s="232">
        <v>0</v>
      </c>
      <c r="Q322" s="232" t="str">
        <f>W674</f>
        <v>1,4 mm</v>
      </c>
      <c r="R322" t="str">
        <f ca="1">Sprache!A167</f>
        <v>Korpusstärke</v>
      </c>
      <c r="S322" t="s">
        <v>1264</v>
      </c>
      <c r="U322" s="245"/>
      <c r="X322" s="170">
        <f ca="1">OFFSET(X322,0,$A$347*2)</f>
        <v>16</v>
      </c>
      <c r="Y322" s="10">
        <f>IF($L$334=Z322,1,0)</f>
        <v>0</v>
      </c>
      <c r="Z322" s="133">
        <v>16</v>
      </c>
      <c r="AA322" s="10">
        <f>IF($L$334=AB322,1,0)</f>
        <v>0</v>
      </c>
      <c r="AB322" s="133">
        <v>17</v>
      </c>
      <c r="AC322" s="10">
        <f>IF($L$334=AD322,1,0)</f>
        <v>1</v>
      </c>
      <c r="AD322" s="133">
        <v>18</v>
      </c>
      <c r="AE322" s="10">
        <f>IF($L$334=AF322,1,0)</f>
        <v>0</v>
      </c>
      <c r="AF322" s="133">
        <v>19</v>
      </c>
      <c r="AG322" s="10">
        <f>IF($L$334=AH322,1,0)</f>
        <v>0</v>
      </c>
      <c r="AH322" s="133">
        <v>20</v>
      </c>
      <c r="AI322" s="120">
        <f>IF($D$334=1,AJ322,IF($D$334=2,AK322,""))</f>
        <v>28</v>
      </c>
      <c r="AJ322" s="172">
        <v>28</v>
      </c>
      <c r="AK322" s="132">
        <v>11</v>
      </c>
      <c r="AL322" s="133">
        <v>1</v>
      </c>
      <c r="AN322" s="192">
        <v>22.5</v>
      </c>
      <c r="AO322" s="314">
        <v>24</v>
      </c>
      <c r="AP322" s="194">
        <f>AQ322-AO322-AN322</f>
        <v>-5</v>
      </c>
      <c r="AQ322" s="195">
        <v>41.5</v>
      </c>
      <c r="AR322" s="34">
        <f>DCOUNT(Montageplatten[[#Headers],[#Data],[MPH Winkel]:[Höhe]],Montageplatten[[#Headers],[Höhe]],select!AU333:AU334)</f>
        <v>0</v>
      </c>
      <c r="AS322">
        <f>DCOUNT(Montageplatten[[#Headers],[#Data],[MPH Winkel]:[Höhe]],Montageplatten[[#Headers],[Höhe]],select!AU333:AV334)</f>
        <v>0</v>
      </c>
      <c r="AT322">
        <f>DCOUNT(Montageplatten[[#Headers],[#Data],[MPH Winkel]:[Höhe]],Montageplatten[[#Headers],[Höhe]],select!AT333:AU334)</f>
        <v>0</v>
      </c>
      <c r="AV322" s="176" t="str">
        <f t="shared" ref="AV322:AW329" si="63">IF(AS322&gt;0,$B$6,$B$5)</f>
        <v xml:space="preserve">    </v>
      </c>
      <c r="AW322" s="176" t="str">
        <f t="shared" si="63"/>
        <v xml:space="preserve">    </v>
      </c>
      <c r="AZ322" s="245"/>
    </row>
    <row r="323" spans="1:61" hidden="1" outlineLevel="1" x14ac:dyDescent="0.25">
      <c r="A323">
        <v>5</v>
      </c>
      <c r="B323" t="s">
        <v>1388</v>
      </c>
      <c r="D323" s="241" t="str">
        <f ca="1">Sprache!A154</f>
        <v>Türauflage</v>
      </c>
      <c r="E323" s="241">
        <f t="shared" ref="E323:N323" si="64">E321</f>
        <v>-24</v>
      </c>
      <c r="F323" s="241">
        <f t="shared" si="64"/>
        <v>24</v>
      </c>
      <c r="G323" s="241">
        <f t="shared" si="64"/>
        <v>0</v>
      </c>
      <c r="H323" s="241" t="str">
        <f t="shared" si="64"/>
        <v>---</v>
      </c>
      <c r="I323" s="241" t="str">
        <f t="shared" si="64"/>
        <v>---</v>
      </c>
      <c r="J323" s="241" t="str">
        <f t="shared" ca="1" si="64"/>
        <v>Bohrabstand (X)</v>
      </c>
      <c r="K323" s="241" t="str">
        <f t="shared" ca="1" si="64"/>
        <v>keine Lösungen</v>
      </c>
      <c r="L323" s="241" t="str">
        <f t="shared" ca="1" si="64"/>
        <v>Kreuzmontageplatte</v>
      </c>
      <c r="M323" s="241" t="str">
        <f t="shared" si="64"/>
        <v>-</v>
      </c>
      <c r="N323" s="260" t="str">
        <f t="shared" ca="1" si="64"/>
        <v>Mindestfuge</v>
      </c>
      <c r="O323" s="260" t="str">
        <f ca="1">O321</f>
        <v>Korpusstärke</v>
      </c>
      <c r="P323" s="260">
        <f>P321</f>
        <v>0</v>
      </c>
      <c r="Q323" s="260" t="str">
        <f ca="1">Q321</f>
        <v>---</v>
      </c>
      <c r="R323" t="str">
        <f ca="1">Sprache!A160</f>
        <v>Türstärke</v>
      </c>
      <c r="S323" s="388">
        <f>D447</f>
        <v>0</v>
      </c>
      <c r="U323" s="245"/>
      <c r="X323" s="170">
        <f ca="1">OFFSET(X323,0,$A$347*2)</f>
        <v>15</v>
      </c>
      <c r="Y323" s="10">
        <f>IF($L$334=Z323,1,0)</f>
        <v>0</v>
      </c>
      <c r="Z323" s="133">
        <v>15</v>
      </c>
      <c r="AA323" s="10">
        <f>IF($L$334=AB323,1,0)</f>
        <v>0</v>
      </c>
      <c r="AB323" s="133">
        <v>16</v>
      </c>
      <c r="AC323" s="10">
        <f>IF($L$334=AD323,1,0)</f>
        <v>0</v>
      </c>
      <c r="AD323" s="133">
        <v>17</v>
      </c>
      <c r="AE323" s="10">
        <f>IF($L$334=AF323,1,0)</f>
        <v>1</v>
      </c>
      <c r="AF323" s="133">
        <v>18</v>
      </c>
      <c r="AG323" s="10">
        <f>IF($L$334=AH323,1,0)</f>
        <v>0</v>
      </c>
      <c r="AH323" s="133">
        <v>19</v>
      </c>
      <c r="AI323" s="120">
        <f>IF($D$334=1,AJ323,IF($D$334=2,AK323,""))</f>
        <v>28</v>
      </c>
      <c r="AJ323" s="172">
        <v>28</v>
      </c>
      <c r="AK323" s="132">
        <v>10</v>
      </c>
      <c r="AL323" s="133">
        <v>1</v>
      </c>
      <c r="AN323" s="71">
        <v>22.5</v>
      </c>
      <c r="AO323" s="315">
        <v>22</v>
      </c>
      <c r="AP323" s="196">
        <f t="shared" ref="AP323:AP329" si="65">AQ323-AO323-AN323</f>
        <v>-3</v>
      </c>
      <c r="AQ323" s="55">
        <v>41.5</v>
      </c>
      <c r="AR323">
        <f>DCOUNT(Montageplatten[[#Headers],[#Data],[MPH Winkel]:[Höhe]],Montageplatten[[#Headers],[Höhe]],select!AU335:AU336)</f>
        <v>0</v>
      </c>
      <c r="AS323">
        <f>DCOUNT(Montageplatten[[#Headers],[#Data],[MPH Winkel]:[Höhe]],Montageplatten[[#Headers],[Höhe]],select!AU335:AV336)</f>
        <v>0</v>
      </c>
      <c r="AT323">
        <f>DCOUNT(Montageplatten[[#Headers],[#Data],[MPH Winkel]:[Höhe]],Montageplatten[[#Headers],[Höhe]],select!AT335:AU336)</f>
        <v>0</v>
      </c>
      <c r="AV323" s="170" t="str">
        <f t="shared" si="63"/>
        <v xml:space="preserve">    </v>
      </c>
      <c r="AW323" s="170" t="str">
        <f t="shared" si="63"/>
        <v xml:space="preserve">    </v>
      </c>
      <c r="AZ323" s="245"/>
    </row>
    <row r="324" spans="1:61" hidden="1" outlineLevel="1" x14ac:dyDescent="0.25">
      <c r="A324">
        <v>6</v>
      </c>
      <c r="B324" t="s">
        <v>1389</v>
      </c>
      <c r="D324" s="115" t="str">
        <f ca="1">Sprache!A56</f>
        <v>keine</v>
      </c>
      <c r="E324" s="115"/>
      <c r="F324" s="115"/>
      <c r="G324" s="115">
        <v>1</v>
      </c>
      <c r="H324" s="115"/>
      <c r="I324" s="115"/>
      <c r="J324" s="115" t="str">
        <f ca="1">J321</f>
        <v>Bohrabstand (X)</v>
      </c>
      <c r="K324" s="115" t="str">
        <f>G711</f>
        <v>-</v>
      </c>
      <c r="L324" s="115" t="str">
        <f ca="1">IF(OR(D334=1,D334=2)=TRUE,D333,"")</f>
        <v>Kreuzmontageplatte</v>
      </c>
      <c r="M324" s="115" t="str">
        <f>C711</f>
        <v>-</v>
      </c>
      <c r="N324" s="232" t="str">
        <f ca="1">Sprache!A177</f>
        <v>Mindestfuge</v>
      </c>
      <c r="O324" s="232" t="str">
        <f ca="1">Sprache!A160</f>
        <v>Türstärke</v>
      </c>
      <c r="P324" s="232">
        <v>0</v>
      </c>
      <c r="Q324" s="232" t="str">
        <f>W697</f>
        <v>1,4 mm</v>
      </c>
      <c r="R324" t="str">
        <f ca="1">Sprache!A167</f>
        <v>Korpusstärke</v>
      </c>
      <c r="S324" t="s">
        <v>1264</v>
      </c>
      <c r="U324" s="245"/>
      <c r="W324" s="178">
        <f ca="1">IFERROR(SMALL(X320:X324,ROUND(L334-X324,0)),IF($L$334&lt;=X324,"---",X324))</f>
        <v>17</v>
      </c>
      <c r="X324" s="129">
        <f ca="1">OFFSET(X324,0,$A$347*2)</f>
        <v>14</v>
      </c>
      <c r="Y324" s="10">
        <f>IF($L$334=Z324,1,0)</f>
        <v>0</v>
      </c>
      <c r="Z324" s="133">
        <v>14</v>
      </c>
      <c r="AA324" s="10">
        <f>IF($L$334=AB324,1,0)</f>
        <v>0</v>
      </c>
      <c r="AB324" s="133">
        <v>15</v>
      </c>
      <c r="AC324" s="10">
        <f>IF($L$334=AD324,1,0)</f>
        <v>0</v>
      </c>
      <c r="AD324" s="133">
        <v>16</v>
      </c>
      <c r="AE324" s="10">
        <f>IF($L$334=AF324,1,0)</f>
        <v>0</v>
      </c>
      <c r="AF324" s="133">
        <v>17</v>
      </c>
      <c r="AG324" s="10">
        <f>IF($L$334=AH324,1,0)</f>
        <v>1</v>
      </c>
      <c r="AH324" s="133">
        <v>18</v>
      </c>
      <c r="AI324" s="120">
        <f>IF($D$334=1,AJ324,IF($D$334=2,AK324,""))</f>
        <v>28</v>
      </c>
      <c r="AJ324" s="172">
        <v>28</v>
      </c>
      <c r="AK324" s="132">
        <v>9</v>
      </c>
      <c r="AL324" s="133">
        <v>1</v>
      </c>
      <c r="AN324" s="71">
        <v>22.5</v>
      </c>
      <c r="AO324" s="315">
        <v>21</v>
      </c>
      <c r="AP324" s="196">
        <f t="shared" si="65"/>
        <v>-2</v>
      </c>
      <c r="AQ324" s="55">
        <v>41.5</v>
      </c>
      <c r="AR324">
        <f>DCOUNT(Montageplatten[[#Headers],[#Data],[MPH Winkel]:[Höhe]],Montageplatten[[#Headers],[Höhe]],select!AU337:AU338)</f>
        <v>5</v>
      </c>
      <c r="AS324">
        <f>DCOUNT(Montageplatten[[#Headers],[#Data],[MPH Winkel]:[Höhe]],Montageplatten[[#Headers],[Höhe]],select!AU337:AV338)</f>
        <v>5</v>
      </c>
      <c r="AT324">
        <f>DCOUNT(Montageplatten[[#Headers],[#Data],[MPH Winkel]:[Höhe]],Montageplatten[[#Headers],[Höhe]],select!AT337:AU338)</f>
        <v>0</v>
      </c>
      <c r="AV324" s="170" t="str">
        <f t="shared" si="63"/>
        <v>✓</v>
      </c>
      <c r="AW324" s="170" t="str">
        <f t="shared" si="63"/>
        <v xml:space="preserve">    </v>
      </c>
      <c r="AZ324" s="245"/>
    </row>
    <row r="325" spans="1:61" hidden="1" outlineLevel="1" x14ac:dyDescent="0.25">
      <c r="A325">
        <v>7</v>
      </c>
      <c r="B325" t="s">
        <v>1390</v>
      </c>
      <c r="D325" s="241" t="str">
        <f ca="1">Sprache!A154</f>
        <v>Türauflage</v>
      </c>
      <c r="E325" s="241">
        <f>E321</f>
        <v>-24</v>
      </c>
      <c r="F325" s="241">
        <f>F321</f>
        <v>24</v>
      </c>
      <c r="G325" s="241">
        <f>G321</f>
        <v>0</v>
      </c>
      <c r="H325" s="241" t="str">
        <f>H321</f>
        <v>---</v>
      </c>
      <c r="I325" s="241" t="str">
        <f>I323</f>
        <v>---</v>
      </c>
      <c r="J325" s="241" t="str">
        <f ca="1">J321</f>
        <v>Bohrabstand (X)</v>
      </c>
      <c r="K325" s="241" t="str">
        <f ca="1">K323</f>
        <v>keine Lösungen</v>
      </c>
      <c r="L325" s="241" t="str">
        <f t="shared" ref="L325:Q325" ca="1" si="66">L321</f>
        <v>Kreuzmontageplatte</v>
      </c>
      <c r="M325" s="241" t="str">
        <f t="shared" si="66"/>
        <v>-</v>
      </c>
      <c r="N325" s="260" t="str">
        <f t="shared" ca="1" si="66"/>
        <v>Mindestfuge</v>
      </c>
      <c r="O325" s="260" t="str">
        <f t="shared" ca="1" si="66"/>
        <v>Korpusstärke</v>
      </c>
      <c r="P325" s="260">
        <f t="shared" si="66"/>
        <v>0</v>
      </c>
      <c r="Q325" s="260" t="str">
        <f t="shared" ca="1" si="66"/>
        <v>---</v>
      </c>
      <c r="R325" s="262" t="str">
        <f ca="1">Sprache!A160</f>
        <v>Türstärke</v>
      </c>
      <c r="S325" s="262">
        <f>D447</f>
        <v>0</v>
      </c>
      <c r="U325" s="245"/>
      <c r="Y325" s="10"/>
      <c r="Z325" s="34"/>
      <c r="AA325" s="10"/>
      <c r="AB325" s="34"/>
      <c r="AC325" s="10"/>
      <c r="AD325" s="34"/>
      <c r="AE325" s="10"/>
      <c r="AF325" s="34"/>
      <c r="AG325" s="10"/>
      <c r="AH325" s="34"/>
      <c r="AI325" s="119"/>
      <c r="AJ325" s="10"/>
      <c r="AK325" s="55"/>
      <c r="AN325" s="71">
        <v>22.5</v>
      </c>
      <c r="AO325" s="315">
        <v>20</v>
      </c>
      <c r="AP325" s="196">
        <f t="shared" si="65"/>
        <v>-1</v>
      </c>
      <c r="AQ325" s="55">
        <v>41.5</v>
      </c>
      <c r="AR325">
        <f>DCOUNT(Montageplatten[[#Headers],[#Data],[MPH Winkel]:[Höhe]],Montageplatten[[#Headers],[Höhe]],select!AU339:AU340)</f>
        <v>0</v>
      </c>
      <c r="AS325">
        <f>DCOUNT(Montageplatten[[#Headers],[#Data],[MPH Winkel]:[Höhe]],Montageplatten[[#Headers],[Höhe]],select!AU339:AV340)</f>
        <v>0</v>
      </c>
      <c r="AT325">
        <f>DCOUNT(Montageplatten[[#Headers],[#Data],[MPH Winkel]:[Höhe]],Montageplatten[[#Headers],[Höhe]],select!AT339:AU340)</f>
        <v>0</v>
      </c>
      <c r="AV325" s="170" t="str">
        <f t="shared" si="63"/>
        <v xml:space="preserve">    </v>
      </c>
      <c r="AW325" s="170" t="str">
        <f t="shared" si="63"/>
        <v xml:space="preserve">    </v>
      </c>
      <c r="AZ325" s="245"/>
    </row>
    <row r="326" spans="1:61" hidden="1" outlineLevel="1" x14ac:dyDescent="0.25">
      <c r="A326">
        <v>8</v>
      </c>
      <c r="B326" t="s">
        <v>1391</v>
      </c>
      <c r="D326" s="115" t="str">
        <f ca="1">Sprache!A56</f>
        <v>keine</v>
      </c>
      <c r="E326" s="115"/>
      <c r="F326" s="115"/>
      <c r="G326" s="115">
        <v>1</v>
      </c>
      <c r="H326" s="115"/>
      <c r="I326" s="115"/>
      <c r="J326" s="115" t="str">
        <f ca="1">J321</f>
        <v>Bohrabstand (X)</v>
      </c>
      <c r="K326" s="115" t="str">
        <f>G734</f>
        <v>-</v>
      </c>
      <c r="L326" s="115" t="str">
        <f ca="1">IF(OR(D334=1,D334=2)=TRUE,D333,"")</f>
        <v>Kreuzmontageplatte</v>
      </c>
      <c r="M326" s="115">
        <f>C734</f>
        <v>14</v>
      </c>
      <c r="N326" s="232" t="str">
        <f ca="1">Sprache!A177</f>
        <v>Mindestfuge</v>
      </c>
      <c r="O326" s="232" t="str">
        <f ca="1">Sprache!A160</f>
        <v>Türstärke</v>
      </c>
      <c r="P326" s="232">
        <v>0</v>
      </c>
      <c r="Q326" s="232" t="str">
        <f>W720</f>
        <v>1,4 mm</v>
      </c>
      <c r="R326" t="str">
        <f ca="1">Sprache!A167</f>
        <v>Korpusstärke</v>
      </c>
      <c r="S326" t="s">
        <v>1264</v>
      </c>
      <c r="U326" s="245"/>
      <c r="W326" s="131"/>
      <c r="Y326" s="122">
        <f>VLOOKUP(1,Y320:AK324,11,FALSE)</f>
        <v>30</v>
      </c>
      <c r="Z326" s="6"/>
      <c r="AA326" s="122">
        <f>VLOOKUP(1,AA320:AI324,9,FALSE)</f>
        <v>29</v>
      </c>
      <c r="AB326" s="6"/>
      <c r="AC326" s="122">
        <f>VLOOKUP(1,AC320:AI324,7,FALSE)</f>
        <v>28</v>
      </c>
      <c r="AD326" s="6"/>
      <c r="AE326" s="122">
        <f>VLOOKUP(1,AE320:AI324,5,FALSE)</f>
        <v>28</v>
      </c>
      <c r="AF326" s="6"/>
      <c r="AG326" s="122">
        <f>VLOOKUP(1,AG320:AI324,3,FALSE)</f>
        <v>28</v>
      </c>
      <c r="AH326" s="6"/>
      <c r="AI326" s="123"/>
      <c r="AJ326" s="124"/>
      <c r="AK326" s="125"/>
      <c r="AN326" s="71">
        <v>22.5</v>
      </c>
      <c r="AO326" s="315">
        <v>19</v>
      </c>
      <c r="AP326" s="196">
        <f t="shared" si="65"/>
        <v>0</v>
      </c>
      <c r="AQ326" s="55">
        <v>41.5</v>
      </c>
      <c r="AR326">
        <f>DCOUNT(Montageplatten[[#Headers],[#Data],[MPH Winkel]:[Höhe]],Montageplatten[[#Headers],[Höhe]],select!AU341:AU342)</f>
        <v>21</v>
      </c>
      <c r="AS326">
        <f>DCOUNT(Montageplatten[[#Headers],[#Data],[MPH Winkel]:[Höhe]],Montageplatten[[#Headers],[Höhe]],select!AU341:AV342)</f>
        <v>17</v>
      </c>
      <c r="AT326">
        <f>DCOUNT(Montageplatten[[#Headers],[#Data],[MPH Winkel]:[Höhe]],Montageplatten[[#Headers],[Höhe]],select!AT341:AU342)</f>
        <v>3</v>
      </c>
      <c r="AV326" s="170" t="str">
        <f t="shared" si="63"/>
        <v>✓</v>
      </c>
      <c r="AW326" s="170" t="str">
        <f t="shared" si="63"/>
        <v>✓</v>
      </c>
      <c r="AZ326" s="245"/>
    </row>
    <row r="327" spans="1:61" hidden="1" outlineLevel="1" x14ac:dyDescent="0.25">
      <c r="A327">
        <v>9</v>
      </c>
      <c r="B327" t="s">
        <v>1404</v>
      </c>
      <c r="D327" s="242" t="str">
        <f ca="1">Sprache!A154</f>
        <v>Türauflage</v>
      </c>
      <c r="E327" s="242">
        <v>-24</v>
      </c>
      <c r="F327" s="242">
        <v>24</v>
      </c>
      <c r="G327" s="242">
        <v>0</v>
      </c>
      <c r="H327" s="242" t="str">
        <f>IFERROR(L334+B664,"---")</f>
        <v>---</v>
      </c>
      <c r="I327" s="242" t="str">
        <f>IFERROR(L334+B612,"---")</f>
        <v>---</v>
      </c>
      <c r="J327" s="242" t="str">
        <f ca="1">Sprache!A164</f>
        <v>Bohrabstand (X)</v>
      </c>
      <c r="K327" s="242" t="str">
        <f ca="1">Y578</f>
        <v>keine Lösungen</v>
      </c>
      <c r="L327" s="242" t="str">
        <f ca="1">IF(OR(D334=1,D334=2)=TRUE,D333,"")</f>
        <v>Kreuzmontageplatte</v>
      </c>
      <c r="M327" s="242" t="str">
        <f>AH562</f>
        <v>-</v>
      </c>
      <c r="N327" s="260" t="str">
        <f ca="1">N321</f>
        <v>Mindestfuge</v>
      </c>
      <c r="O327" s="260" t="str">
        <f ca="1">O321</f>
        <v>Korpusstärke</v>
      </c>
      <c r="P327" s="260">
        <f>P321</f>
        <v>0</v>
      </c>
      <c r="Q327" s="260" t="str">
        <f ca="1">Q321</f>
        <v>---</v>
      </c>
      <c r="R327" s="262" t="str">
        <f ca="1">Sprache!A160</f>
        <v>Türstärke</v>
      </c>
      <c r="S327" s="262">
        <f>D561</f>
        <v>0</v>
      </c>
      <c r="U327" s="245"/>
      <c r="AN327" s="71">
        <v>22.5</v>
      </c>
      <c r="AO327" s="315">
        <v>18</v>
      </c>
      <c r="AP327" s="196">
        <f t="shared" si="65"/>
        <v>1</v>
      </c>
      <c r="AQ327" s="55">
        <v>41.5</v>
      </c>
      <c r="AR327">
        <f>DCOUNT(Montageplatten[[#Headers],[#Data],[MPH Winkel]:[Höhe]],Montageplatten[[#Headers],[Höhe]],select!AU343:AU344)</f>
        <v>0</v>
      </c>
      <c r="AS327">
        <f>DCOUNT(Montageplatten[[#Headers],[#Data],[MPH Winkel]:[Höhe]],Montageplatten[[#Headers],[Höhe]],select!AU343:AV344)</f>
        <v>0</v>
      </c>
      <c r="AT327">
        <f>DCOUNT(Montageplatten[[#Headers],[#Data],[MPH Winkel]:[Höhe]],Montageplatten[[#Headers],[Höhe]],select!AT343:AU344)</f>
        <v>0</v>
      </c>
      <c r="AV327" s="170" t="str">
        <f t="shared" si="63"/>
        <v xml:space="preserve">    </v>
      </c>
      <c r="AW327" s="170" t="str">
        <f t="shared" si="63"/>
        <v xml:space="preserve">    </v>
      </c>
      <c r="AZ327" s="245"/>
    </row>
    <row r="328" spans="1:61" hidden="1" outlineLevel="1" x14ac:dyDescent="0.25">
      <c r="A328">
        <v>10</v>
      </c>
      <c r="B328" t="s">
        <v>1405</v>
      </c>
      <c r="D328" s="191" t="str">
        <f t="shared" ref="D328:M329" ca="1" si="67">D327</f>
        <v>Türauflage</v>
      </c>
      <c r="E328" s="191">
        <f t="shared" si="67"/>
        <v>-24</v>
      </c>
      <c r="F328" s="191">
        <f t="shared" si="67"/>
        <v>24</v>
      </c>
      <c r="G328" s="191">
        <f t="shared" si="67"/>
        <v>0</v>
      </c>
      <c r="H328" s="191" t="str">
        <f t="shared" si="67"/>
        <v>---</v>
      </c>
      <c r="I328" s="191" t="str">
        <f t="shared" si="67"/>
        <v>---</v>
      </c>
      <c r="J328" s="191" t="str">
        <f t="shared" ca="1" si="67"/>
        <v>Bohrabstand (X)</v>
      </c>
      <c r="K328" s="191" t="str">
        <f t="shared" ca="1" si="67"/>
        <v>keine Lösungen</v>
      </c>
      <c r="L328" s="191" t="str">
        <f t="shared" ca="1" si="67"/>
        <v>Kreuzmontageplatte</v>
      </c>
      <c r="M328" s="191" t="str">
        <f t="shared" si="67"/>
        <v>-</v>
      </c>
      <c r="N328" s="260" t="str">
        <f ca="1">N321</f>
        <v>Mindestfuge</v>
      </c>
      <c r="O328" s="260" t="str">
        <f ca="1">O321</f>
        <v>Korpusstärke</v>
      </c>
      <c r="P328" s="260">
        <f>P321</f>
        <v>0</v>
      </c>
      <c r="Q328" s="260" t="str">
        <f ca="1">Q321</f>
        <v>---</v>
      </c>
      <c r="R328" s="262" t="str">
        <f ca="1">Sprache!A160</f>
        <v>Türstärke</v>
      </c>
      <c r="S328" s="262">
        <f>D561</f>
        <v>0</v>
      </c>
      <c r="U328" s="245"/>
      <c r="W328" s="4" t="s">
        <v>1414</v>
      </c>
      <c r="X328" s="115">
        <f ca="1">IFERROR(OFFSET($W$326,0,$A$347*2)-$M$401,Sprache!A56&amp;" "&amp;Sprache!A146)</f>
        <v>30</v>
      </c>
      <c r="Z328">
        <f>IFERROR(VLOOKUP(L334,Z320:AL324,13,FALSE),0)</f>
        <v>1</v>
      </c>
      <c r="AB328">
        <f>IFERROR(VLOOKUP(L334,AB320:AL324,11,FALSE),0)</f>
        <v>1</v>
      </c>
      <c r="AD328">
        <f>IFERROR(VLOOKUP(L334,AD320:AL324,9,FALSE),0)</f>
        <v>1</v>
      </c>
      <c r="AF328">
        <f>IFERROR(VLOOKUP(L334,AF320:AL324,7,FALSE),0)</f>
        <v>1</v>
      </c>
      <c r="AH328">
        <f>IFERROR(VLOOKUP(L334,AH320:AL324,5,FALSE),0)</f>
        <v>1</v>
      </c>
      <c r="AN328" s="71">
        <v>22.5</v>
      </c>
      <c r="AO328" s="315">
        <v>17</v>
      </c>
      <c r="AP328" s="196">
        <f t="shared" si="65"/>
        <v>2</v>
      </c>
      <c r="AQ328" s="55">
        <v>41.5</v>
      </c>
      <c r="AR328">
        <f>DCOUNT(Montageplatten[[#Headers],[#Data],[MPH Winkel]:[Höhe]],Montageplatten[[#Headers],[Höhe]],select!AU345:AU346)</f>
        <v>20</v>
      </c>
      <c r="AS328">
        <f>DCOUNT(Montageplatten[[#Headers],[#Data],[MPH Winkel]:[Höhe]],Montageplatten[[#Headers],[Höhe]],select!AU345:AV346)</f>
        <v>17</v>
      </c>
      <c r="AT328">
        <f>DCOUNT(Montageplatten[[#Headers],[#Data],[MPH Winkel]:[Höhe]],Montageplatten[[#Headers],[Höhe]],select!AT345:AU346)</f>
        <v>3</v>
      </c>
      <c r="AV328" s="170" t="str">
        <f t="shared" si="63"/>
        <v>✓</v>
      </c>
      <c r="AW328" s="170" t="str">
        <f t="shared" si="63"/>
        <v>✓</v>
      </c>
      <c r="AZ328" s="245"/>
    </row>
    <row r="329" spans="1:61" hidden="1" outlineLevel="1" x14ac:dyDescent="0.25">
      <c r="A329">
        <v>11</v>
      </c>
      <c r="B329" t="s">
        <v>1406</v>
      </c>
      <c r="D329" s="191" t="str">
        <f t="shared" ca="1" si="67"/>
        <v>Türauflage</v>
      </c>
      <c r="E329" s="191">
        <f t="shared" si="67"/>
        <v>-24</v>
      </c>
      <c r="F329" s="191">
        <f t="shared" si="67"/>
        <v>24</v>
      </c>
      <c r="G329" s="191">
        <f t="shared" si="67"/>
        <v>0</v>
      </c>
      <c r="H329" s="191" t="str">
        <f t="shared" si="67"/>
        <v>---</v>
      </c>
      <c r="I329" s="191" t="str">
        <f t="shared" si="67"/>
        <v>---</v>
      </c>
      <c r="J329" s="191" t="str">
        <f t="shared" ca="1" si="67"/>
        <v>Bohrabstand (X)</v>
      </c>
      <c r="K329" s="191" t="str">
        <f t="shared" ca="1" si="67"/>
        <v>keine Lösungen</v>
      </c>
      <c r="L329" s="191" t="str">
        <f t="shared" ca="1" si="67"/>
        <v>Kreuzmontageplatte</v>
      </c>
      <c r="M329" s="191" t="str">
        <f t="shared" si="67"/>
        <v>-</v>
      </c>
      <c r="N329" s="260" t="str">
        <f ca="1">N321</f>
        <v>Mindestfuge</v>
      </c>
      <c r="O329" s="260" t="str">
        <f ca="1">O321</f>
        <v>Korpusstärke</v>
      </c>
      <c r="P329" s="260">
        <f>P321</f>
        <v>0</v>
      </c>
      <c r="Q329" s="260" t="str">
        <f ca="1">Q321</f>
        <v>---</v>
      </c>
      <c r="R329" s="262" t="str">
        <f ca="1">Sprache!A160</f>
        <v>Türstärke</v>
      </c>
      <c r="S329" s="262">
        <f>D561</f>
        <v>0</v>
      </c>
      <c r="U329" s="245"/>
      <c r="AN329" s="92">
        <v>22.5</v>
      </c>
      <c r="AO329" s="316">
        <v>16</v>
      </c>
      <c r="AP329" s="197">
        <f t="shared" si="65"/>
        <v>3</v>
      </c>
      <c r="AQ329" s="56">
        <v>41.5</v>
      </c>
      <c r="AR329">
        <f>DCOUNT(Montageplatten[[#Headers],[#Data],[MPH Winkel]:[Höhe]],Montageplatten[[#Headers],[Höhe]],select!AU347:AU348)</f>
        <v>20</v>
      </c>
      <c r="AS329">
        <f>DCOUNT(Montageplatten[[#Headers],[#Data],[MPH Winkel]:[Höhe]],Montageplatten[[#Headers],[Höhe]],select!AU347:AV348)</f>
        <v>17</v>
      </c>
      <c r="AT329">
        <f>DCOUNT(Montageplatten[[#Headers],[#Data],[MPH Winkel]:[Höhe]],Montageplatten[[#Headers],[Höhe]],select!AT347:AU348)</f>
        <v>3</v>
      </c>
      <c r="AV329" s="129" t="str">
        <f t="shared" si="63"/>
        <v>✓</v>
      </c>
      <c r="AW329" s="129" t="str">
        <f t="shared" si="63"/>
        <v>✓</v>
      </c>
      <c r="AZ329" s="245"/>
    </row>
    <row r="330" spans="1:61" hidden="1" outlineLevel="1" x14ac:dyDescent="0.25">
      <c r="U330" s="245"/>
      <c r="AE330" s="8"/>
      <c r="AF330" s="1079"/>
      <c r="AG330" s="1079"/>
      <c r="AV330" s="34" t="str">
        <f>IF(AR330&gt;0,$B$6,$B$5)</f>
        <v xml:space="preserve">    </v>
      </c>
      <c r="AZ330" s="245"/>
    </row>
    <row r="331" spans="1:61" hidden="1" outlineLevel="1" x14ac:dyDescent="0.25">
      <c r="J331" s="87"/>
      <c r="U331" s="245"/>
      <c r="V331" s="313"/>
      <c r="W331" s="313"/>
      <c r="X331" s="313"/>
      <c r="Y331" s="313"/>
      <c r="Z331" s="313"/>
      <c r="AA331" s="313"/>
      <c r="AB331" s="313"/>
      <c r="AC331" s="313"/>
      <c r="AD331" s="313"/>
      <c r="AE331" s="313"/>
      <c r="AF331" s="313"/>
      <c r="AG331" s="313"/>
      <c r="AH331" s="313"/>
      <c r="AI331" s="313"/>
      <c r="AJ331" s="313"/>
      <c r="AZ331" s="245"/>
      <c r="BA331" t="s">
        <v>29</v>
      </c>
      <c r="BB331" t="s">
        <v>30</v>
      </c>
      <c r="BC331" t="s">
        <v>1367</v>
      </c>
      <c r="BD331" t="s">
        <v>31</v>
      </c>
      <c r="BE331" s="8" t="s">
        <v>1433</v>
      </c>
      <c r="BF331" s="8" t="s">
        <v>2</v>
      </c>
      <c r="BH331">
        <f>DCOUNT(Scharniere[[#Headers],[#Data]],Scharniere[[#Headers],[Scharnierart]],BA331:BF332)</f>
        <v>2</v>
      </c>
      <c r="BI331">
        <f>IF(BH331&gt;0,1,0)</f>
        <v>1</v>
      </c>
    </row>
    <row r="332" spans="1:61" hidden="1" outlineLevel="1" x14ac:dyDescent="0.25">
      <c r="M332">
        <f>F317-(K334*((F317-E317)/96))</f>
        <v>18.3125</v>
      </c>
      <c r="U332" s="245"/>
      <c r="V332" s="313"/>
      <c r="W332" s="313"/>
      <c r="X332" s="313"/>
      <c r="Y332" s="1090"/>
      <c r="Z332" s="1090"/>
      <c r="AA332" s="1090"/>
      <c r="AB332" s="1090"/>
      <c r="AC332" s="1090"/>
      <c r="AD332" s="1090"/>
      <c r="AE332" s="1090"/>
      <c r="AF332" s="1090"/>
      <c r="AG332" s="1090"/>
      <c r="AH332" s="1090"/>
      <c r="AI332" s="313"/>
      <c r="AJ332" s="313"/>
      <c r="AK332" s="8"/>
      <c r="AO332" s="192" t="s">
        <v>1446</v>
      </c>
      <c r="AP332" s="193"/>
      <c r="AQ332" s="195">
        <f>IFERROR(VLOOKUP(AO320,AO322:AT329,5,FALSE),"")</f>
        <v>5</v>
      </c>
      <c r="AZ332" s="245"/>
      <c r="BA332">
        <f>IF(E362=1,1,0)</f>
        <v>1</v>
      </c>
      <c r="BB332">
        <f>IF(E362=2,1,0)</f>
        <v>0</v>
      </c>
      <c r="BC332">
        <f>IF(E362=3,1,0)</f>
        <v>0</v>
      </c>
      <c r="BD332">
        <f>IF(E362=4,1,0)</f>
        <v>0</v>
      </c>
      <c r="BE332">
        <v>1</v>
      </c>
      <c r="BF332" t="s">
        <v>8</v>
      </c>
    </row>
    <row r="333" spans="1:61" ht="15.75" hidden="1" outlineLevel="1" thickBot="1" x14ac:dyDescent="0.3">
      <c r="D333" s="4" t="str">
        <f ca="1">VLOOKUP(D334,D335:E338,2,FALSE)</f>
        <v>Kreuzmontageplatte</v>
      </c>
      <c r="G333" s="720" t="str">
        <f>IF(H334=0,Sprache!$A$56&amp; " " &amp;Sprache!$A$147,IF(G334=0,Sprache!$A$50,""))</f>
        <v/>
      </c>
      <c r="J333" t="s">
        <v>1408</v>
      </c>
      <c r="K333" s="3" t="s">
        <v>1413</v>
      </c>
      <c r="L333" s="3" t="str">
        <f ca="1">D317</f>
        <v>Türfuge</v>
      </c>
      <c r="M333">
        <f>ROUND(F317-(K334*((F317-E317)/96)),0)</f>
        <v>18</v>
      </c>
      <c r="U333" s="245"/>
      <c r="V333" s="313"/>
      <c r="W333" s="313"/>
      <c r="X333" s="313"/>
      <c r="Y333" s="313"/>
      <c r="Z333" s="324"/>
      <c r="AA333" s="313"/>
      <c r="AB333" s="324"/>
      <c r="AC333" s="313"/>
      <c r="AD333" s="324"/>
      <c r="AE333" s="313"/>
      <c r="AF333" s="324"/>
      <c r="AG333" s="313"/>
      <c r="AH333" s="324"/>
      <c r="AI333" s="313"/>
      <c r="AJ333" s="313"/>
      <c r="AK333" s="8"/>
      <c r="AO333" s="71" t="s">
        <v>1447</v>
      </c>
      <c r="AP333" s="34"/>
      <c r="AQ333" s="55">
        <f>IFERROR(VLOOKUP(AO320,AO322:AT329,6,FALSE),"")</f>
        <v>0</v>
      </c>
      <c r="AT333" s="179" t="s">
        <v>51</v>
      </c>
      <c r="AU333" s="180" t="s">
        <v>42</v>
      </c>
      <c r="AV333" s="181" t="s">
        <v>52</v>
      </c>
      <c r="AZ333" s="245"/>
      <c r="BA333" t="s">
        <v>29</v>
      </c>
      <c r="BB333" t="s">
        <v>30</v>
      </c>
      <c r="BC333" t="s">
        <v>1367</v>
      </c>
      <c r="BD333" t="s">
        <v>31</v>
      </c>
      <c r="BE333" s="8" t="s">
        <v>1433</v>
      </c>
      <c r="BF333" s="8" t="s">
        <v>2</v>
      </c>
      <c r="BH333">
        <f>DCOUNT(Scharniere[[#Headers],[#Data]],Scharniere[[#Headers],[Scharnierart]],BA333:BF334)</f>
        <v>2</v>
      </c>
      <c r="BI333">
        <f>IF(BH333&gt;0,1,0)</f>
        <v>1</v>
      </c>
    </row>
    <row r="334" spans="1:61" ht="15.75" hidden="1" outlineLevel="1" thickBot="1" x14ac:dyDescent="0.3">
      <c r="D334" s="284">
        <v>1</v>
      </c>
      <c r="E334" s="24" t="s">
        <v>20</v>
      </c>
      <c r="G334">
        <f>VLOOKUP(D334,D335:G336,4,FALSE)</f>
        <v>1</v>
      </c>
      <c r="H334">
        <f>SUM(G335:G336)</f>
        <v>1</v>
      </c>
      <c r="J334">
        <f>96/(F317-E317)</f>
        <v>9.6</v>
      </c>
      <c r="K334" s="285">
        <v>45</v>
      </c>
      <c r="L334" s="18">
        <f>M334</f>
        <v>18</v>
      </c>
      <c r="M334">
        <f>IF(SIGN(M333)=1, M333-(IF(VALUE(RIGHT(TEXT(ROUNDDOWN(F317-(K334*((F317-E317)/96)),1),"0,0"),1))&lt;5,0,0.5)),M333+(IF(VALUE(RIGHT(TEXT(ROUNDDOWN(F317-(K334*((F317-E317)/96)),1),"0,0"),1))&lt;5,0,0.5)))</f>
        <v>18</v>
      </c>
      <c r="O334" s="130" t="str">
        <f>VLOOKUP(O335,O336:P340,2,FALSE)</f>
        <v>48/9</v>
      </c>
      <c r="Q334" s="720" t="str">
        <f>IF(R334=0,Sprache!$A$56&amp; " " &amp;Sprache!$A$147,IF(R335=0,Sprache!$A$43,""))</f>
        <v/>
      </c>
      <c r="R334" s="381">
        <f>SUM(R336:R340)</f>
        <v>5</v>
      </c>
      <c r="U334" s="245"/>
      <c r="V334" s="313"/>
      <c r="W334" s="313"/>
      <c r="X334" s="313"/>
      <c r="Y334" s="313"/>
      <c r="Z334" s="324"/>
      <c r="AA334" s="313"/>
      <c r="AB334" s="324"/>
      <c r="AC334" s="313"/>
      <c r="AD334" s="324"/>
      <c r="AE334" s="313"/>
      <c r="AF334" s="324"/>
      <c r="AG334" s="313"/>
      <c r="AH334" s="324"/>
      <c r="AI334" s="313"/>
      <c r="AJ334" s="313"/>
      <c r="AK334" s="8"/>
      <c r="AO334" s="198" t="s">
        <v>1448</v>
      </c>
      <c r="AP334" s="34"/>
      <c r="AQ334" s="55">
        <v>0</v>
      </c>
      <c r="AT334" s="182">
        <v>1</v>
      </c>
      <c r="AU334" s="173">
        <f>AP322</f>
        <v>-5</v>
      </c>
      <c r="AV334" s="118">
        <v>1</v>
      </c>
      <c r="AZ334" s="245"/>
      <c r="BA334">
        <f>BA332</f>
        <v>1</v>
      </c>
      <c r="BB334">
        <f>BB332</f>
        <v>0</v>
      </c>
      <c r="BC334">
        <f>BC332</f>
        <v>0</v>
      </c>
      <c r="BD334">
        <f>BD332</f>
        <v>0</v>
      </c>
      <c r="BE334">
        <v>1</v>
      </c>
      <c r="BF334" t="s">
        <v>9</v>
      </c>
    </row>
    <row r="335" spans="1:61" ht="15.75" hidden="1" outlineLevel="1" thickBot="1" x14ac:dyDescent="0.3">
      <c r="D335" s="3">
        <v>1</v>
      </c>
      <c r="E335" t="str">
        <f ca="1">O45</f>
        <v>Kreuzmontageplatte</v>
      </c>
      <c r="F335" t="str">
        <f ca="1">IF(G335=1,ja&amp;" "&amp;E335,nein&amp; " "&amp;E335)</f>
        <v>✓ Kreuzmontageplatte</v>
      </c>
      <c r="G335">
        <f>BF394</f>
        <v>1</v>
      </c>
      <c r="O335" s="283">
        <v>1</v>
      </c>
      <c r="P335" s="24" t="s">
        <v>2</v>
      </c>
      <c r="R335" s="381">
        <f>VLOOKUP(O335,O336:R340,4,FALSE)</f>
        <v>1</v>
      </c>
      <c r="T335" s="245"/>
      <c r="U335" s="313"/>
      <c r="V335" s="729"/>
      <c r="W335" s="729"/>
      <c r="X335" s="729"/>
      <c r="Y335" s="729"/>
      <c r="Z335" s="730"/>
      <c r="AA335" s="729"/>
      <c r="AB335" s="730"/>
      <c r="AC335" s="729"/>
      <c r="AD335" s="730"/>
      <c r="AE335" s="729"/>
      <c r="AF335" s="730"/>
      <c r="AG335" s="729"/>
      <c r="AH335" s="730"/>
      <c r="AI335" s="729"/>
      <c r="AJ335" s="729"/>
      <c r="AK335" s="729"/>
      <c r="AL335" s="19"/>
      <c r="AM335" s="34"/>
      <c r="AN335" s="34"/>
      <c r="AO335" s="124" t="s">
        <v>1449</v>
      </c>
      <c r="AP335" s="6"/>
      <c r="AQ335" s="56">
        <v>0</v>
      </c>
      <c r="AT335" s="182" t="s">
        <v>51</v>
      </c>
      <c r="AU335" s="173" t="s">
        <v>42</v>
      </c>
      <c r="AV335" s="183" t="s">
        <v>52</v>
      </c>
      <c r="AZ335" s="245"/>
      <c r="BA335" t="s">
        <v>29</v>
      </c>
      <c r="BB335" t="s">
        <v>30</v>
      </c>
      <c r="BC335" t="s">
        <v>1367</v>
      </c>
      <c r="BD335" t="s">
        <v>31</v>
      </c>
      <c r="BE335" s="8" t="s">
        <v>1433</v>
      </c>
      <c r="BF335" s="8" t="s">
        <v>2</v>
      </c>
      <c r="BH335">
        <f>DCOUNT(Scharniere[[#Headers],[#Data]],Scharniere[[#Headers],[Scharnierart]],BA335:BF336)</f>
        <v>2</v>
      </c>
      <c r="BI335">
        <f>IF(BH335&gt;0,1,0)</f>
        <v>1</v>
      </c>
    </row>
    <row r="336" spans="1:61" hidden="1" outlineLevel="1" x14ac:dyDescent="0.25">
      <c r="D336">
        <v>2</v>
      </c>
      <c r="E336" t="str">
        <f ca="1">O46</f>
        <v>Linearmontageplatte</v>
      </c>
      <c r="F336" t="str">
        <f ca="1">IF(G336=1,ja&amp;" "&amp;E336,nein&amp; " "&amp;E336)</f>
        <v xml:space="preserve">     Linearmontageplatte</v>
      </c>
      <c r="G336">
        <f>BF396</f>
        <v>0</v>
      </c>
      <c r="O336">
        <v>1</v>
      </c>
      <c r="P336" t="s">
        <v>8</v>
      </c>
      <c r="Q336" t="str">
        <f>IF(R336=1,ja&amp;" "&amp;P336,nein&amp; " "&amp;P336)</f>
        <v>✓ 48/9</v>
      </c>
      <c r="R336">
        <f>BI331</f>
        <v>1</v>
      </c>
      <c r="T336" s="245"/>
      <c r="U336" s="313"/>
      <c r="V336" s="729"/>
      <c r="W336" s="729"/>
      <c r="X336" s="729"/>
      <c r="Y336" s="729"/>
      <c r="Z336" s="730"/>
      <c r="AA336" s="729"/>
      <c r="AB336" s="730"/>
      <c r="AC336" s="729"/>
      <c r="AD336" s="730"/>
      <c r="AE336" s="729"/>
      <c r="AF336" s="730"/>
      <c r="AG336" s="729"/>
      <c r="AH336" s="730"/>
      <c r="AI336" s="729"/>
      <c r="AJ336" s="729"/>
      <c r="AK336" s="729"/>
      <c r="AL336" s="19"/>
      <c r="AM336" s="34"/>
      <c r="AR336" s="34"/>
      <c r="AS336" s="34"/>
      <c r="AT336" s="182">
        <v>1</v>
      </c>
      <c r="AU336" s="173">
        <f>AP323</f>
        <v>-3</v>
      </c>
      <c r="AV336" s="118">
        <v>1</v>
      </c>
      <c r="AW336" s="34"/>
      <c r="AX336" s="34"/>
      <c r="AZ336" s="245"/>
      <c r="BA336">
        <f>BA334</f>
        <v>1</v>
      </c>
      <c r="BB336">
        <f>BB334</f>
        <v>0</v>
      </c>
      <c r="BC336">
        <f>BC334</f>
        <v>0</v>
      </c>
      <c r="BD336">
        <f>BD334</f>
        <v>0</v>
      </c>
      <c r="BE336">
        <v>1</v>
      </c>
      <c r="BF336" t="s">
        <v>10</v>
      </c>
    </row>
    <row r="337" spans="1:61" hidden="1" outlineLevel="1" x14ac:dyDescent="0.25">
      <c r="D337">
        <v>3</v>
      </c>
      <c r="E337" t="str">
        <f ca="1">O47</f>
        <v>Deltamontageplatte</v>
      </c>
      <c r="F337" t="str">
        <f ca="1">IF(G337=1,ja&amp;" "&amp;E337,nein&amp; " "&amp;E337)</f>
        <v xml:space="preserve">     Deltamontageplatte</v>
      </c>
      <c r="G337">
        <f>BF398</f>
        <v>0</v>
      </c>
      <c r="K337" t="s">
        <v>1839</v>
      </c>
      <c r="L337" t="s">
        <v>1400</v>
      </c>
      <c r="M337" s="131" t="str">
        <f>IF(P317=0,"",IF(AP381=0,Sprache!A41,""))</f>
        <v/>
      </c>
      <c r="O337">
        <v>2</v>
      </c>
      <c r="P337" t="s">
        <v>9</v>
      </c>
      <c r="Q337" t="str">
        <f>IF(R337=1,ja&amp;" "&amp;P337,nein&amp; " "&amp;P337)</f>
        <v>✓ 42/11</v>
      </c>
      <c r="R337">
        <f>BI333</f>
        <v>1</v>
      </c>
      <c r="T337" s="245"/>
      <c r="U337" s="313"/>
      <c r="V337" s="729"/>
      <c r="W337" s="729"/>
      <c r="X337" s="729"/>
      <c r="Y337" s="729"/>
      <c r="Z337" s="730"/>
      <c r="AA337" s="729"/>
      <c r="AB337" s="730"/>
      <c r="AC337" s="729"/>
      <c r="AD337" s="730"/>
      <c r="AE337" s="729"/>
      <c r="AF337" s="730"/>
      <c r="AG337" s="729"/>
      <c r="AH337" s="730"/>
      <c r="AI337" s="729"/>
      <c r="AJ337" s="729"/>
      <c r="AK337" s="729"/>
      <c r="AL337" s="19"/>
      <c r="AM337" s="34"/>
      <c r="AR337" s="34"/>
      <c r="AS337" s="34"/>
      <c r="AT337" s="182" t="s">
        <v>51</v>
      </c>
      <c r="AU337" s="173" t="s">
        <v>42</v>
      </c>
      <c r="AV337" s="183" t="s">
        <v>52</v>
      </c>
      <c r="AW337" s="34"/>
      <c r="AX337" s="34"/>
      <c r="AY337" s="34"/>
      <c r="AZ337" s="245"/>
      <c r="BA337" t="s">
        <v>29</v>
      </c>
      <c r="BB337" t="s">
        <v>30</v>
      </c>
      <c r="BC337" t="s">
        <v>1367</v>
      </c>
      <c r="BD337" t="s">
        <v>31</v>
      </c>
      <c r="BE337" s="8" t="s">
        <v>1433</v>
      </c>
      <c r="BF337" s="8" t="s">
        <v>2</v>
      </c>
      <c r="BH337">
        <f>DCOUNT(Scharniere[[#Headers],[#Data]],Scharniere[[#Headers],[Scharnierart]],BA337:BF338)</f>
        <v>2</v>
      </c>
      <c r="BI337">
        <f>IF(BH337&gt;0,1,0)</f>
        <v>1</v>
      </c>
    </row>
    <row r="338" spans="1:61" ht="15.75" hidden="1" outlineLevel="1" thickBot="1" x14ac:dyDescent="0.3">
      <c r="D338">
        <v>4</v>
      </c>
      <c r="E338" t="str">
        <f ca="1">O48</f>
        <v>Inset Beaded (Rahmenkonstruktion)</v>
      </c>
      <c r="F338" t="str">
        <f ca="1">IF(G338=1,ja&amp;" "&amp;E338,nein&amp; " "&amp;E338)</f>
        <v xml:space="preserve">     Inset Beaded (Rahmenkonstruktion)</v>
      </c>
      <c r="G338">
        <f>BF400</f>
        <v>0</v>
      </c>
      <c r="K338" s="304">
        <f>VLOOKUP(B376,AK351:AM358,3,FALSE)</f>
        <v>21</v>
      </c>
      <c r="L338" s="321">
        <f>K338+K341</f>
        <v>21</v>
      </c>
      <c r="M338" t="str">
        <f>IF(P317=0,nein&amp;" "&amp;TEXT(L338,"0,0")&amp;" mm",IF(AP381=0,nein&amp;" "&amp;TEXT(L338,"0,0"),ja&amp; " " &amp; TEXT(L338,"0,0"))&amp;" mm")</f>
        <v xml:space="preserve">     21,0 mm</v>
      </c>
      <c r="O338">
        <v>3</v>
      </c>
      <c r="P338" t="s">
        <v>10</v>
      </c>
      <c r="Q338" t="str">
        <f>IF(R338=1,ja&amp;" "&amp;P338,nein&amp; " "&amp;P338)</f>
        <v>✓ 52/5,5</v>
      </c>
      <c r="R338">
        <f>BI335</f>
        <v>1</v>
      </c>
      <c r="T338" s="245"/>
      <c r="U338" s="313"/>
      <c r="V338" s="729"/>
      <c r="W338" s="729"/>
      <c r="X338" s="729"/>
      <c r="Y338" s="729"/>
      <c r="Z338" s="730"/>
      <c r="AA338" s="729"/>
      <c r="AB338" s="730"/>
      <c r="AC338" s="729"/>
      <c r="AD338" s="730"/>
      <c r="AE338" s="729"/>
      <c r="AF338" s="730"/>
      <c r="AG338" s="729"/>
      <c r="AH338" s="730"/>
      <c r="AI338" s="729"/>
      <c r="AJ338" s="729"/>
      <c r="AK338" s="729"/>
      <c r="AL338" s="19"/>
      <c r="AM338" s="34"/>
      <c r="AT338" s="182">
        <v>1</v>
      </c>
      <c r="AU338" s="173">
        <f>AP324</f>
        <v>-2</v>
      </c>
      <c r="AV338" s="118">
        <v>1</v>
      </c>
      <c r="AZ338" s="245"/>
      <c r="BA338">
        <f>BA336</f>
        <v>1</v>
      </c>
      <c r="BB338">
        <f>BB336</f>
        <v>0</v>
      </c>
      <c r="BC338">
        <f>BC336</f>
        <v>0</v>
      </c>
      <c r="BD338">
        <f>BD336</f>
        <v>0</v>
      </c>
      <c r="BE338">
        <v>1</v>
      </c>
      <c r="BF338" t="s">
        <v>11</v>
      </c>
    </row>
    <row r="339" spans="1:61" ht="15.75" hidden="1" outlineLevel="1" thickBot="1" x14ac:dyDescent="0.3">
      <c r="K339" s="288">
        <v>10</v>
      </c>
      <c r="L339" t="s">
        <v>1842</v>
      </c>
      <c r="O339">
        <v>4</v>
      </c>
      <c r="P339" t="s">
        <v>11</v>
      </c>
      <c r="Q339" t="str">
        <f>IF(R339=1,ja&amp;" "&amp;P339,nein&amp; " "&amp;P339)</f>
        <v>✓ 48/6</v>
      </c>
      <c r="R339">
        <f>BI337</f>
        <v>1</v>
      </c>
      <c r="T339" s="245"/>
      <c r="U339" s="313"/>
      <c r="V339" s="729"/>
      <c r="W339" s="729"/>
      <c r="X339" s="19"/>
      <c r="Y339" s="729"/>
      <c r="Z339" s="729"/>
      <c r="AA339" s="729"/>
      <c r="AB339" s="729"/>
      <c r="AC339" s="729"/>
      <c r="AD339" s="729"/>
      <c r="AE339" s="729"/>
      <c r="AF339" s="729"/>
      <c r="AG339" s="729"/>
      <c r="AH339" s="730"/>
      <c r="AI339" s="729"/>
      <c r="AJ339" s="729"/>
      <c r="AK339" s="729"/>
      <c r="AL339" s="19"/>
      <c r="AM339" s="34"/>
      <c r="AT339" s="182" t="s">
        <v>51</v>
      </c>
      <c r="AU339" s="173" t="s">
        <v>42</v>
      </c>
      <c r="AV339" s="183" t="s">
        <v>52</v>
      </c>
      <c r="AZ339" s="245"/>
      <c r="BA339" t="s">
        <v>29</v>
      </c>
      <c r="BB339" t="s">
        <v>30</v>
      </c>
      <c r="BC339" t="s">
        <v>1367</v>
      </c>
      <c r="BD339" t="s">
        <v>31</v>
      </c>
      <c r="BE339" s="8" t="s">
        <v>1433</v>
      </c>
      <c r="BF339" s="8" t="s">
        <v>2</v>
      </c>
      <c r="BH339">
        <f>DCOUNT(Scharniere[[#Headers],[#Data]],Scharniere[[#Headers],[Scharnierart]],BA339:BF340)</f>
        <v>2</v>
      </c>
      <c r="BI339">
        <f>IF(BH339&gt;0,1,0)</f>
        <v>1</v>
      </c>
    </row>
    <row r="340" spans="1:61" hidden="1" outlineLevel="1" x14ac:dyDescent="0.25">
      <c r="K340" s="40">
        <f>K339-10</f>
        <v>0</v>
      </c>
      <c r="L340" t="s">
        <v>1844</v>
      </c>
      <c r="M340" s="34"/>
      <c r="O340">
        <v>5</v>
      </c>
      <c r="P340" t="s">
        <v>3</v>
      </c>
      <c r="Q340" t="str">
        <f>IF(R340=1,ja&amp;" "&amp;P340,nein&amp; " "&amp;P340)</f>
        <v>✓ 45/9,5</v>
      </c>
      <c r="R340">
        <f>BI339</f>
        <v>1</v>
      </c>
      <c r="T340" s="245"/>
      <c r="U340" s="313"/>
      <c r="V340" s="729"/>
      <c r="W340" s="729"/>
      <c r="X340" s="729"/>
      <c r="Y340" s="729"/>
      <c r="Z340" s="729"/>
      <c r="AA340" s="729"/>
      <c r="AB340" s="729"/>
      <c r="AC340" s="729"/>
      <c r="AD340" s="729"/>
      <c r="AE340" s="729"/>
      <c r="AF340" s="729"/>
      <c r="AG340" s="729"/>
      <c r="AH340" s="730"/>
      <c r="AI340" s="729"/>
      <c r="AJ340" s="729"/>
      <c r="AK340" s="729"/>
      <c r="AL340" s="19"/>
      <c r="AM340" s="34"/>
      <c r="AN340" s="34"/>
      <c r="AO340" s="34"/>
      <c r="AP340" s="34"/>
      <c r="AT340" s="182">
        <v>1</v>
      </c>
      <c r="AU340" s="173">
        <f>AP325</f>
        <v>-1</v>
      </c>
      <c r="AV340" s="118">
        <v>1</v>
      </c>
      <c r="AZ340" s="245"/>
      <c r="BA340">
        <f>BA338</f>
        <v>1</v>
      </c>
      <c r="BB340">
        <f>BB338</f>
        <v>0</v>
      </c>
      <c r="BC340">
        <f>BC338</f>
        <v>0</v>
      </c>
      <c r="BD340">
        <f>BD338</f>
        <v>0</v>
      </c>
      <c r="BE340">
        <v>1</v>
      </c>
      <c r="BF340" t="s">
        <v>3</v>
      </c>
    </row>
    <row r="341" spans="1:61" hidden="1" outlineLevel="1" x14ac:dyDescent="0.25">
      <c r="G341" s="3"/>
      <c r="K341">
        <f>IF(P317=1,K340,0)</f>
        <v>0</v>
      </c>
      <c r="L341" t="s">
        <v>1845</v>
      </c>
      <c r="M341" s="34"/>
      <c r="T341" s="245"/>
      <c r="U341" s="313"/>
      <c r="V341" s="729"/>
      <c r="W341" s="729"/>
      <c r="X341" s="729"/>
      <c r="Y341" s="729"/>
      <c r="Z341" s="729"/>
      <c r="AA341" s="729"/>
      <c r="AB341" s="729"/>
      <c r="AC341" s="729"/>
      <c r="AD341" s="729"/>
      <c r="AE341" s="729"/>
      <c r="AF341" s="729"/>
      <c r="AG341" s="729"/>
      <c r="AH341" s="729"/>
      <c r="AI341" s="729"/>
      <c r="AJ341" s="729"/>
      <c r="AK341" s="729"/>
      <c r="AL341" s="19"/>
      <c r="AM341" s="34"/>
      <c r="AN341" s="34"/>
      <c r="AO341" s="34"/>
      <c r="AP341" s="34"/>
      <c r="AT341" s="182" t="s">
        <v>51</v>
      </c>
      <c r="AU341" s="173" t="s">
        <v>42</v>
      </c>
      <c r="AV341" s="183" t="s">
        <v>52</v>
      </c>
      <c r="AZ341" s="245"/>
      <c r="BB341" s="8"/>
      <c r="BC341" s="8"/>
    </row>
    <row r="342" spans="1:61" hidden="1" outlineLevel="1" x14ac:dyDescent="0.25">
      <c r="C342" s="3"/>
      <c r="M342" s="34"/>
      <c r="T342" s="245"/>
      <c r="U342" s="313"/>
      <c r="V342" s="729"/>
      <c r="W342" s="729"/>
      <c r="X342" s="729"/>
      <c r="Y342" s="729"/>
      <c r="Z342" s="729"/>
      <c r="AA342" s="729"/>
      <c r="AB342" s="729"/>
      <c r="AC342" s="729"/>
      <c r="AD342" s="729"/>
      <c r="AE342" s="729"/>
      <c r="AF342" s="729"/>
      <c r="AG342" s="729"/>
      <c r="AH342" s="729"/>
      <c r="AI342" s="729"/>
      <c r="AJ342" s="729"/>
      <c r="AK342" s="729"/>
      <c r="AL342" s="19"/>
      <c r="AM342" s="34"/>
      <c r="AN342" s="34"/>
      <c r="AO342" s="34"/>
      <c r="AP342" s="34"/>
      <c r="AT342" s="182">
        <v>1</v>
      </c>
      <c r="AU342" s="173">
        <f>AP326</f>
        <v>0</v>
      </c>
      <c r="AV342" s="118">
        <v>1</v>
      </c>
      <c r="AZ342" s="245"/>
      <c r="BC342" s="8"/>
    </row>
    <row r="343" spans="1:61" hidden="1" outlineLevel="1" x14ac:dyDescent="0.25">
      <c r="C343" s="8"/>
      <c r="D343" s="8"/>
      <c r="E343" s="330"/>
      <c r="F343" s="330"/>
      <c r="G343" s="330"/>
      <c r="I343" s="330"/>
      <c r="J343" s="330"/>
      <c r="K343" s="330"/>
      <c r="L343" s="330"/>
      <c r="M343" s="330"/>
      <c r="N343" s="330"/>
      <c r="O343" s="330"/>
      <c r="P343" s="330"/>
      <c r="T343" s="245"/>
      <c r="U343" s="313"/>
      <c r="V343" s="729"/>
      <c r="W343" s="729"/>
      <c r="X343" s="729"/>
      <c r="Y343" s="729"/>
      <c r="Z343" s="729"/>
      <c r="AA343" s="729"/>
      <c r="AB343" s="729"/>
      <c r="AC343" s="729"/>
      <c r="AD343" s="729"/>
      <c r="AE343" s="729"/>
      <c r="AF343" s="729"/>
      <c r="AG343" s="729"/>
      <c r="AH343" s="729"/>
      <c r="AI343" s="729"/>
      <c r="AJ343" s="729"/>
      <c r="AK343" s="729"/>
      <c r="AL343" s="19"/>
      <c r="AM343" s="34"/>
      <c r="AN343" s="34"/>
      <c r="AO343" s="34"/>
      <c r="AP343" s="34"/>
      <c r="AT343" s="182" t="s">
        <v>51</v>
      </c>
      <c r="AU343" s="173" t="s">
        <v>42</v>
      </c>
      <c r="AV343" s="183" t="s">
        <v>52</v>
      </c>
      <c r="AZ343" s="245"/>
      <c r="BB343" s="8" t="s">
        <v>1433</v>
      </c>
      <c r="BC343" s="8" t="s">
        <v>57</v>
      </c>
      <c r="BE343">
        <f>DCOUNT(Scharniere[[#Headers],[#Data]],Scharniere[[#Headers],[Scharnierart]],BB343:BC344)</f>
        <v>16</v>
      </c>
      <c r="BF343">
        <f t="shared" ref="BF343:BF347" si="68">IF(BE343&gt;0,1,0)</f>
        <v>1</v>
      </c>
    </row>
    <row r="344" spans="1:61" hidden="1" outlineLevel="1" x14ac:dyDescent="0.25">
      <c r="C344" s="332"/>
      <c r="D344" s="8"/>
      <c r="E344" s="8"/>
      <c r="F344" s="8"/>
      <c r="G344" s="8"/>
      <c r="I344" s="8"/>
      <c r="J344" s="8"/>
      <c r="K344" s="8"/>
      <c r="L344" s="8"/>
      <c r="M344" s="8"/>
      <c r="N344" s="8"/>
      <c r="O344" s="8"/>
      <c r="P344" s="8"/>
      <c r="T344" s="245"/>
      <c r="U344" s="313"/>
      <c r="V344" s="729"/>
      <c r="W344" s="729"/>
      <c r="X344" s="729"/>
      <c r="Y344" s="729"/>
      <c r="Z344" s="729"/>
      <c r="AA344" s="729"/>
      <c r="AB344" s="729"/>
      <c r="AC344" s="729"/>
      <c r="AD344" s="729"/>
      <c r="AE344" s="729"/>
      <c r="AF344" s="729"/>
      <c r="AG344" s="729"/>
      <c r="AH344" s="729"/>
      <c r="AI344" s="729"/>
      <c r="AJ344" s="729"/>
      <c r="AK344" s="729"/>
      <c r="AL344" s="19"/>
      <c r="AM344" s="34"/>
      <c r="AN344" s="34"/>
      <c r="AO344" s="34"/>
      <c r="AP344" s="34"/>
      <c r="AT344" s="182">
        <v>1</v>
      </c>
      <c r="AU344" s="173">
        <f>AP327</f>
        <v>1</v>
      </c>
      <c r="AV344" s="118">
        <v>1</v>
      </c>
      <c r="AZ344" s="245"/>
      <c r="BB344">
        <v>1</v>
      </c>
      <c r="BC344" s="8">
        <v>1</v>
      </c>
    </row>
    <row r="345" spans="1:61" hidden="1" outlineLevel="1" x14ac:dyDescent="0.25">
      <c r="C345" s="332"/>
      <c r="D345" s="8"/>
      <c r="E345" s="8"/>
      <c r="F345" s="8"/>
      <c r="G345" s="8"/>
      <c r="I345" s="8"/>
      <c r="J345" s="8"/>
      <c r="K345" s="8"/>
      <c r="L345" s="8"/>
      <c r="M345" s="8"/>
      <c r="N345" s="8"/>
      <c r="O345" s="8"/>
      <c r="P345" s="8"/>
      <c r="T345" s="245"/>
      <c r="U345" s="313"/>
      <c r="V345" s="729"/>
      <c r="W345" s="729"/>
      <c r="X345" s="729"/>
      <c r="Y345" s="729"/>
      <c r="Z345" s="729"/>
      <c r="AA345" s="729"/>
      <c r="AB345" s="729"/>
      <c r="AC345" s="729"/>
      <c r="AD345" s="729"/>
      <c r="AE345" s="729"/>
      <c r="AF345" s="729"/>
      <c r="AG345" s="729"/>
      <c r="AH345" s="729"/>
      <c r="AI345" s="729"/>
      <c r="AJ345" s="729"/>
      <c r="AK345" s="729"/>
      <c r="AL345" s="19"/>
      <c r="AO345" s="34"/>
      <c r="AP345" s="34"/>
      <c r="AT345" s="182" t="s">
        <v>51</v>
      </c>
      <c r="AU345" s="173" t="s">
        <v>42</v>
      </c>
      <c r="AV345" s="183" t="s">
        <v>52</v>
      </c>
      <c r="AZ345" s="245"/>
      <c r="BB345" s="8" t="s">
        <v>1433</v>
      </c>
      <c r="BC345" s="8" t="s">
        <v>58</v>
      </c>
      <c r="BE345">
        <f>DCOUNT(Scharniere[[#Headers],[#Data]],Scharniere[[#Headers],[Scharnierart]],BB345:BC346)</f>
        <v>16</v>
      </c>
      <c r="BF345">
        <f t="shared" si="68"/>
        <v>1</v>
      </c>
    </row>
    <row r="346" spans="1:61" ht="15.75" hidden="1" outlineLevel="1" thickBot="1" x14ac:dyDescent="0.3">
      <c r="A346" s="18">
        <f>VLOOKUP(A347,A348:B352,2,FALSE)</f>
        <v>3</v>
      </c>
      <c r="C346" s="332"/>
      <c r="D346" s="720" t="str">
        <f ca="1">IF(E347=0,Sprache!$A$56&amp; " " &amp;Sprache!$A$147,IF(D347=0,Sprache!$A$40,""))</f>
        <v/>
      </c>
      <c r="E346" s="8"/>
      <c r="F346" s="8"/>
      <c r="G346" s="8"/>
      <c r="T346" s="245"/>
      <c r="U346" s="313"/>
      <c r="V346" s="729"/>
      <c r="W346" s="729"/>
      <c r="X346" s="729"/>
      <c r="Y346" s="729"/>
      <c r="Z346" s="729"/>
      <c r="AA346" s="729"/>
      <c r="AB346" s="729"/>
      <c r="AC346" s="729"/>
      <c r="AD346" s="729"/>
      <c r="AE346" s="729"/>
      <c r="AF346" s="729"/>
      <c r="AG346" s="729"/>
      <c r="AH346" s="729"/>
      <c r="AI346" s="729"/>
      <c r="AJ346" s="729"/>
      <c r="AK346" s="729"/>
      <c r="AL346" s="19"/>
      <c r="AT346" s="182">
        <v>1</v>
      </c>
      <c r="AU346" s="173">
        <f>AP328</f>
        <v>2</v>
      </c>
      <c r="AV346" s="118">
        <v>1</v>
      </c>
      <c r="AZ346" s="245"/>
      <c r="BB346">
        <v>1</v>
      </c>
      <c r="BC346" s="8">
        <v>1</v>
      </c>
    </row>
    <row r="347" spans="1:61" ht="15.75" hidden="1" outlineLevel="1" thickBot="1" x14ac:dyDescent="0.3">
      <c r="A347" s="283">
        <v>1</v>
      </c>
      <c r="B347" s="24" t="s">
        <v>1</v>
      </c>
      <c r="D347">
        <f ca="1">VLOOKUP(A347,A348:D352,4,FALSE)</f>
        <v>1</v>
      </c>
      <c r="E347" s="116">
        <f ca="1">SUM(D348:D352)</f>
        <v>5</v>
      </c>
      <c r="P347" s="8"/>
      <c r="T347" s="245"/>
      <c r="U347" s="313"/>
      <c r="V347" s="729"/>
      <c r="W347" s="729"/>
      <c r="X347" s="729"/>
      <c r="Y347" s="729"/>
      <c r="Z347" s="729"/>
      <c r="AA347" s="729"/>
      <c r="AB347" s="729"/>
      <c r="AC347" s="729"/>
      <c r="AD347" s="729"/>
      <c r="AE347" s="729"/>
      <c r="AF347" s="729"/>
      <c r="AG347" s="729"/>
      <c r="AH347" s="729"/>
      <c r="AI347" s="729"/>
      <c r="AJ347" s="729"/>
      <c r="AK347" s="729"/>
      <c r="AL347" s="19"/>
      <c r="AM347" t="s">
        <v>1838</v>
      </c>
      <c r="AO347">
        <f>B376</f>
        <v>3</v>
      </c>
      <c r="AP347" t="s">
        <v>1837</v>
      </c>
      <c r="AT347" s="182" t="s">
        <v>51</v>
      </c>
      <c r="AU347" s="173" t="s">
        <v>42</v>
      </c>
      <c r="AV347" s="183" t="s">
        <v>52</v>
      </c>
      <c r="AZ347" s="245"/>
      <c r="BB347" s="8" t="s">
        <v>1433</v>
      </c>
      <c r="BC347" s="8" t="s">
        <v>28</v>
      </c>
      <c r="BE347">
        <f>DCOUNT(Scharniere[[#Headers],[#Data]],Scharniere[[#Headers],[Scharnierart]],BB347:BC348)</f>
        <v>0</v>
      </c>
      <c r="BF347">
        <f t="shared" si="68"/>
        <v>0</v>
      </c>
    </row>
    <row r="348" spans="1:61" hidden="1" outlineLevel="1" x14ac:dyDescent="0.25">
      <c r="A348">
        <v>1</v>
      </c>
      <c r="B348" s="76">
        <v>3</v>
      </c>
      <c r="C348" t="str">
        <f ca="1">IF(D348=1,ja&amp;" "&amp;TEXT(B348,"0,0")&amp;" mm",nein&amp;" "&amp;TEXT(B348,"0,0")&amp;" mm")</f>
        <v>✓ 3,0 mm</v>
      </c>
      <c r="D348" s="332">
        <f ca="1">H432</f>
        <v>1</v>
      </c>
      <c r="E348" s="8"/>
      <c r="F348" s="8"/>
      <c r="G348" s="8"/>
      <c r="J348" s="8"/>
      <c r="K348" s="8"/>
      <c r="L348" s="8"/>
      <c r="M348" s="8"/>
      <c r="N348" s="8"/>
      <c r="O348" s="8"/>
      <c r="P348" s="8"/>
      <c r="T348" s="245"/>
      <c r="U348" s="313"/>
      <c r="V348" s="729"/>
      <c r="W348" s="729"/>
      <c r="X348" s="729"/>
      <c r="Y348" s="729"/>
      <c r="Z348" s="729"/>
      <c r="AA348" s="729"/>
      <c r="AB348" s="729"/>
      <c r="AC348" s="729"/>
      <c r="AD348" s="729"/>
      <c r="AE348" s="729"/>
      <c r="AF348" s="729"/>
      <c r="AG348" s="729"/>
      <c r="AH348" s="729"/>
      <c r="AI348" s="729"/>
      <c r="AJ348" s="729"/>
      <c r="AK348" s="729"/>
      <c r="AL348" s="19">
        <f>VLOOKUP($L$338,AM351:AS358,7,FALSE)</f>
        <v>3</v>
      </c>
      <c r="AM348" s="303" t="str">
        <f>IFERROR(VLOOKUP(AL348,AK351:AR358,$A$347+3,FALSE)&amp;" mm","---")</f>
        <v>1 mm</v>
      </c>
      <c r="AO348">
        <f>A347</f>
        <v>1</v>
      </c>
      <c r="AP348" t="s">
        <v>1836</v>
      </c>
      <c r="AT348" s="184">
        <v>1</v>
      </c>
      <c r="AU348" s="174">
        <f>AP329</f>
        <v>3</v>
      </c>
      <c r="AV348" s="185">
        <v>1</v>
      </c>
      <c r="AZ348" s="245"/>
      <c r="BB348">
        <v>1</v>
      </c>
      <c r="BC348" s="8">
        <v>1</v>
      </c>
    </row>
    <row r="349" spans="1:61" hidden="1" outlineLevel="1" x14ac:dyDescent="0.25">
      <c r="A349">
        <v>2</v>
      </c>
      <c r="B349" s="76">
        <v>4</v>
      </c>
      <c r="C349" t="str">
        <f ca="1">IF(D349=1,ja&amp;" "&amp;TEXT(B349,"0,0")&amp;" mm",nein&amp;" "&amp;TEXT(B349,"0,0")&amp;" mm")</f>
        <v>✓ 4,0 mm</v>
      </c>
      <c r="D349" s="332">
        <f ca="1">H433</f>
        <v>1</v>
      </c>
      <c r="E349" s="8"/>
      <c r="F349" s="8"/>
      <c r="G349" s="8"/>
      <c r="J349" s="8"/>
      <c r="K349" s="8"/>
      <c r="L349" s="8"/>
      <c r="M349" s="8"/>
      <c r="N349" s="8"/>
      <c r="O349" s="8"/>
      <c r="P349" s="8"/>
      <c r="T349" s="245"/>
      <c r="U349" s="313"/>
      <c r="V349" s="729"/>
      <c r="W349" s="729"/>
      <c r="X349" s="729"/>
      <c r="Y349" s="729"/>
      <c r="Z349" s="729"/>
      <c r="AA349" s="729"/>
      <c r="AB349" s="729"/>
      <c r="AC349" s="729"/>
      <c r="AD349" s="729"/>
      <c r="AE349" s="729"/>
      <c r="AF349" s="729"/>
      <c r="AG349" s="729"/>
      <c r="AH349" s="729"/>
      <c r="AI349" s="729"/>
      <c r="AJ349" s="729"/>
      <c r="AK349" s="729"/>
      <c r="AL349" s="19"/>
      <c r="AZ349" s="245"/>
    </row>
    <row r="350" spans="1:61" hidden="1" outlineLevel="1" x14ac:dyDescent="0.25">
      <c r="A350">
        <v>3</v>
      </c>
      <c r="B350" s="76">
        <v>5</v>
      </c>
      <c r="C350" t="str">
        <f ca="1">IF(D350=1,ja&amp;" "&amp;TEXT(B350,"0,0")&amp;" mm",nein&amp;" "&amp;TEXT(B350,"0,0")&amp;" mm")</f>
        <v>✓ 5,0 mm</v>
      </c>
      <c r="D350" s="332">
        <f ca="1">H434</f>
        <v>1</v>
      </c>
      <c r="E350" s="8"/>
      <c r="F350" s="8"/>
      <c r="G350" s="8"/>
      <c r="J350" s="8"/>
      <c r="K350" s="8"/>
      <c r="L350" s="8"/>
      <c r="M350" s="8"/>
      <c r="N350" s="8"/>
      <c r="O350" s="8"/>
      <c r="P350" s="8"/>
      <c r="T350" s="245"/>
      <c r="U350" s="313"/>
      <c r="V350" s="729"/>
      <c r="W350" s="729"/>
      <c r="X350" s="730"/>
      <c r="Y350" s="729"/>
      <c r="Z350" s="729"/>
      <c r="AA350" s="729"/>
      <c r="AB350" s="729"/>
      <c r="AC350" s="729"/>
      <c r="AD350" s="729"/>
      <c r="AE350" s="729"/>
      <c r="AF350" s="729"/>
      <c r="AG350" s="729"/>
      <c r="AH350" s="729" t="s">
        <v>2213</v>
      </c>
      <c r="AI350" s="732" t="s">
        <v>2110</v>
      </c>
      <c r="AJ350" s="732" t="s">
        <v>2212</v>
      </c>
      <c r="AK350" s="731"/>
      <c r="AL350" s="731" t="s">
        <v>1839</v>
      </c>
      <c r="AM350" s="308"/>
      <c r="AN350" s="308">
        <v>3</v>
      </c>
      <c r="AO350" s="308">
        <v>4</v>
      </c>
      <c r="AP350" s="308">
        <v>5</v>
      </c>
      <c r="AQ350" s="308">
        <v>6</v>
      </c>
      <c r="AR350" s="309">
        <v>7</v>
      </c>
      <c r="AZ350" s="245"/>
    </row>
    <row r="351" spans="1:61" hidden="1" outlineLevel="1" x14ac:dyDescent="0.25">
      <c r="A351">
        <v>4</v>
      </c>
      <c r="B351" s="76">
        <v>6</v>
      </c>
      <c r="C351" t="str">
        <f ca="1">IF(D351=1,ja&amp;" "&amp;TEXT(B351,"0,0")&amp;" mm",nein&amp;" "&amp;TEXT(B351,"0,0")&amp;" mm")</f>
        <v>✓ 6,0 mm</v>
      </c>
      <c r="D351" s="332">
        <f ca="1">H435</f>
        <v>1</v>
      </c>
      <c r="E351" s="8"/>
      <c r="F351" s="8"/>
      <c r="G351" s="8"/>
      <c r="J351" s="8"/>
      <c r="K351" s="8"/>
      <c r="L351" s="8"/>
      <c r="M351" s="8"/>
      <c r="N351" s="8"/>
      <c r="O351" s="8"/>
      <c r="P351" s="8"/>
      <c r="T351" s="245"/>
      <c r="U351" s="313"/>
      <c r="V351" s="729"/>
      <c r="W351" s="729"/>
      <c r="X351" s="730"/>
      <c r="Y351" s="729"/>
      <c r="Z351" s="729"/>
      <c r="AA351" s="729"/>
      <c r="AB351" s="729"/>
      <c r="AC351" s="729"/>
      <c r="AD351" s="729"/>
      <c r="AE351" s="729"/>
      <c r="AF351" s="729"/>
      <c r="AG351" s="729"/>
      <c r="AH351" s="729">
        <f>IF($D$334=1,AJ351,AI351)</f>
        <v>0</v>
      </c>
      <c r="AI351" s="67">
        <f>IF(AT322&gt;0,1,0)</f>
        <v>0</v>
      </c>
      <c r="AJ351" s="67">
        <f>IF(AS322&gt;0,1,0)</f>
        <v>0</v>
      </c>
      <c r="AK351" s="67">
        <v>1</v>
      </c>
      <c r="AL351" s="67" t="str">
        <f>IF($D$334=1,AV322,AW322)&amp;" "&amp;TEXT(AM351,"0,0")&amp;" mm"</f>
        <v xml:space="preserve">     24,0 mm</v>
      </c>
      <c r="AM351" s="34">
        <f>AO322</f>
        <v>24</v>
      </c>
      <c r="AN351" s="317">
        <v>1</v>
      </c>
      <c r="AO351" s="317">
        <v>1</v>
      </c>
      <c r="AP351" s="317">
        <v>1</v>
      </c>
      <c r="AQ351" s="317">
        <v>1.2</v>
      </c>
      <c r="AR351" s="318">
        <v>2.1</v>
      </c>
      <c r="AS351" s="310">
        <v>1</v>
      </c>
      <c r="AZ351" s="245"/>
    </row>
    <row r="352" spans="1:61" hidden="1" outlineLevel="1" x14ac:dyDescent="0.25">
      <c r="A352">
        <v>5</v>
      </c>
      <c r="B352" s="76">
        <v>7</v>
      </c>
      <c r="C352" t="str">
        <f ca="1">IF(D352=1,ja&amp;" "&amp;TEXT(B352,"0,0")&amp;" mm",nein&amp;" "&amp;TEXT(B352,"0,0")&amp;" mm")</f>
        <v>✓ 7,0 mm</v>
      </c>
      <c r="D352" s="332">
        <f ca="1">H436</f>
        <v>1</v>
      </c>
      <c r="E352" s="8"/>
      <c r="F352" s="8"/>
      <c r="G352" s="8"/>
      <c r="J352" s="8"/>
      <c r="K352" s="8"/>
      <c r="L352" s="8"/>
      <c r="M352" s="8"/>
      <c r="N352" s="8"/>
      <c r="O352" s="8"/>
      <c r="P352" s="8"/>
      <c r="T352" s="245"/>
      <c r="U352" s="313"/>
      <c r="V352" s="729"/>
      <c r="W352" s="729"/>
      <c r="X352" s="730"/>
      <c r="Y352" s="729"/>
      <c r="Z352" s="729"/>
      <c r="AA352" s="729"/>
      <c r="AB352" s="729"/>
      <c r="AC352" s="729"/>
      <c r="AD352" s="729"/>
      <c r="AE352" s="729"/>
      <c r="AF352" s="729"/>
      <c r="AG352" s="729"/>
      <c r="AH352" s="729">
        <f t="shared" ref="AH352:AH358" si="69">IF($D$334=1,AJ352,AI352)</f>
        <v>0</v>
      </c>
      <c r="AI352" s="67">
        <f t="shared" ref="AI352:AI358" si="70">IF(AT323&gt;0,1,0)</f>
        <v>0</v>
      </c>
      <c r="AJ352" s="67">
        <f t="shared" ref="AJ352:AJ358" si="71">IF(AS323&gt;0,1,0)</f>
        <v>0</v>
      </c>
      <c r="AK352" s="67">
        <v>2</v>
      </c>
      <c r="AL352" s="67" t="str">
        <f t="shared" ref="AL352:AL358" si="72">IF($D$334=1,AV323,AW323)&amp;" "&amp;TEXT(AM352,"0,0")&amp;" mm"</f>
        <v xml:space="preserve">     22,0 mm</v>
      </c>
      <c r="AM352" s="34">
        <f t="shared" ref="AM352:AM358" si="73">AO323</f>
        <v>22</v>
      </c>
      <c r="AN352" s="317">
        <v>1</v>
      </c>
      <c r="AO352" s="317">
        <v>1</v>
      </c>
      <c r="AP352" s="317">
        <v>1</v>
      </c>
      <c r="AQ352" s="317">
        <v>1</v>
      </c>
      <c r="AR352" s="318">
        <v>1.5</v>
      </c>
      <c r="AS352" s="311">
        <v>2</v>
      </c>
      <c r="AZ352" s="245"/>
      <c r="BB352" s="8" t="s">
        <v>1433</v>
      </c>
      <c r="BC352" s="8" t="s">
        <v>29</v>
      </c>
      <c r="BE352">
        <f>DCOUNT(Scharniere[[#Headers],[#Data]],Scharniere[[#Headers],[Scharnierart]],BB352:BC353)</f>
        <v>10</v>
      </c>
      <c r="BF352">
        <f>IF(BE352&gt;0,1,0)</f>
        <v>1</v>
      </c>
    </row>
    <row r="353" spans="1:64" hidden="1" outlineLevel="1" x14ac:dyDescent="0.25">
      <c r="A353" s="8"/>
      <c r="B353" s="331"/>
      <c r="C353" s="332"/>
      <c r="E353" s="8"/>
      <c r="F353" s="8"/>
      <c r="G353" s="8"/>
      <c r="J353" s="8"/>
      <c r="K353" s="8"/>
      <c r="L353" s="8"/>
      <c r="M353" s="8"/>
      <c r="N353" s="8"/>
      <c r="O353" s="8"/>
      <c r="P353" s="8"/>
      <c r="T353" s="245"/>
      <c r="U353" s="313"/>
      <c r="V353" s="729"/>
      <c r="W353" s="729"/>
      <c r="X353" s="730"/>
      <c r="Y353" s="729"/>
      <c r="Z353" s="729"/>
      <c r="AA353" s="729"/>
      <c r="AB353" s="729"/>
      <c r="AC353" s="729"/>
      <c r="AD353" s="729"/>
      <c r="AE353" s="729"/>
      <c r="AF353" s="729"/>
      <c r="AG353" s="729"/>
      <c r="AH353" s="729">
        <f t="shared" si="69"/>
        <v>1</v>
      </c>
      <c r="AI353" s="67">
        <f t="shared" si="70"/>
        <v>0</v>
      </c>
      <c r="AJ353" s="67">
        <f t="shared" si="71"/>
        <v>1</v>
      </c>
      <c r="AK353" s="67">
        <v>3</v>
      </c>
      <c r="AL353" s="67" t="str">
        <f>IF($D$334=1,AV324,AW324)&amp;" "&amp;TEXT(AM353,"0,0")&amp;" mm"</f>
        <v>✓ 21,0 mm</v>
      </c>
      <c r="AM353" s="34">
        <f t="shared" si="73"/>
        <v>21</v>
      </c>
      <c r="AN353" s="317">
        <v>1</v>
      </c>
      <c r="AO353" s="317">
        <v>1</v>
      </c>
      <c r="AP353" s="317">
        <v>1</v>
      </c>
      <c r="AQ353" s="317">
        <v>1</v>
      </c>
      <c r="AR353" s="318">
        <v>1.2</v>
      </c>
      <c r="AS353" s="311">
        <v>3</v>
      </c>
      <c r="AZ353" s="245"/>
      <c r="BB353">
        <v>1</v>
      </c>
      <c r="BC353" s="8">
        <v>1</v>
      </c>
    </row>
    <row r="354" spans="1:64" hidden="1" outlineLevel="1" x14ac:dyDescent="0.25">
      <c r="A354" s="8"/>
      <c r="B354" s="331"/>
      <c r="C354" s="332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T354" s="245"/>
      <c r="U354" s="313"/>
      <c r="V354" s="729"/>
      <c r="W354" s="729"/>
      <c r="X354" s="730"/>
      <c r="Y354" s="729"/>
      <c r="Z354" s="729"/>
      <c r="AA354" s="729"/>
      <c r="AB354" s="729"/>
      <c r="AC354" s="729"/>
      <c r="AD354" s="729"/>
      <c r="AE354" s="729"/>
      <c r="AF354" s="729"/>
      <c r="AG354" s="729"/>
      <c r="AH354" s="729">
        <f t="shared" si="69"/>
        <v>0</v>
      </c>
      <c r="AI354" s="67">
        <f t="shared" si="70"/>
        <v>0</v>
      </c>
      <c r="AJ354" s="67">
        <f t="shared" si="71"/>
        <v>0</v>
      </c>
      <c r="AK354" s="67">
        <v>4</v>
      </c>
      <c r="AL354" s="67" t="str">
        <f t="shared" si="72"/>
        <v xml:space="preserve">     20,0 mm</v>
      </c>
      <c r="AM354" s="34">
        <f t="shared" si="73"/>
        <v>20</v>
      </c>
      <c r="AN354" s="317">
        <v>1</v>
      </c>
      <c r="AO354" s="317">
        <v>1</v>
      </c>
      <c r="AP354" s="317">
        <v>1</v>
      </c>
      <c r="AQ354" s="317">
        <v>1</v>
      </c>
      <c r="AR354" s="318">
        <v>1</v>
      </c>
      <c r="AS354" s="311">
        <v>4</v>
      </c>
      <c r="AZ354" s="245"/>
      <c r="BB354" s="8" t="s">
        <v>1433</v>
      </c>
      <c r="BC354" s="8" t="s">
        <v>30</v>
      </c>
      <c r="BE354">
        <f>DCOUNT(Scharniere[[#Headers],[#Data]],Scharniere[[#Headers],[Scharnierart]],BB354:BC355)</f>
        <v>10</v>
      </c>
      <c r="BF354">
        <f>IF(BE354&gt;0,1,0)</f>
        <v>1</v>
      </c>
    </row>
    <row r="355" spans="1:64" hidden="1" outlineLevel="1" x14ac:dyDescent="0.25">
      <c r="A355" s="8"/>
      <c r="B355" s="331"/>
      <c r="C355" s="332"/>
      <c r="E355" s="8">
        <v>1</v>
      </c>
      <c r="F355" s="8">
        <v>2</v>
      </c>
      <c r="G355" s="8">
        <v>3</v>
      </c>
      <c r="H355" s="8">
        <v>4</v>
      </c>
      <c r="I355" s="8">
        <v>5</v>
      </c>
      <c r="J355" s="8">
        <v>6</v>
      </c>
      <c r="K355" s="8">
        <v>7</v>
      </c>
      <c r="L355" s="8">
        <v>8</v>
      </c>
      <c r="M355" s="8">
        <v>9</v>
      </c>
      <c r="N355" s="8">
        <v>10</v>
      </c>
      <c r="O355" s="8">
        <v>11</v>
      </c>
      <c r="P355" s="8"/>
      <c r="T355" s="245"/>
      <c r="U355" s="313"/>
      <c r="V355" s="729"/>
      <c r="W355" s="729"/>
      <c r="X355" s="730"/>
      <c r="Y355" s="729"/>
      <c r="Z355" s="729"/>
      <c r="AA355" s="729"/>
      <c r="AB355" s="729"/>
      <c r="AC355" s="729"/>
      <c r="AD355" s="729"/>
      <c r="AE355" s="729"/>
      <c r="AF355" s="729"/>
      <c r="AG355" s="729"/>
      <c r="AH355" s="729">
        <f t="shared" si="69"/>
        <v>1</v>
      </c>
      <c r="AI355" s="67">
        <f t="shared" si="70"/>
        <v>1</v>
      </c>
      <c r="AJ355" s="67">
        <f t="shared" si="71"/>
        <v>1</v>
      </c>
      <c r="AK355" s="67">
        <v>5</v>
      </c>
      <c r="AL355" s="67" t="str">
        <f t="shared" si="72"/>
        <v>✓ 19,0 mm</v>
      </c>
      <c r="AM355" s="34">
        <f t="shared" si="73"/>
        <v>19</v>
      </c>
      <c r="AN355" s="317">
        <v>1</v>
      </c>
      <c r="AO355" s="317">
        <v>1</v>
      </c>
      <c r="AP355" s="317">
        <v>1</v>
      </c>
      <c r="AQ355" s="317">
        <v>1</v>
      </c>
      <c r="AR355" s="318">
        <v>1</v>
      </c>
      <c r="AS355" s="311">
        <v>5</v>
      </c>
      <c r="AZ355" s="245"/>
      <c r="BB355">
        <v>1</v>
      </c>
      <c r="BC355" s="8">
        <v>1</v>
      </c>
    </row>
    <row r="356" spans="1:64" hidden="1" outlineLevel="1" x14ac:dyDescent="0.25">
      <c r="A356" s="8"/>
      <c r="B356" s="1" t="s">
        <v>1450</v>
      </c>
      <c r="C356" s="4">
        <f ca="1">IF($D$356=0,Sprache!A56,$D$356)</f>
        <v>5</v>
      </c>
      <c r="D356" s="40">
        <f ca="1">OFFSET(D356,0,$A$318)</f>
        <v>5</v>
      </c>
      <c r="E356" s="251">
        <f>IF(select!D334=1,select!AQ332,select!AQ333)</f>
        <v>5</v>
      </c>
      <c r="F356" s="252">
        <f>IF(select!D334=1,select!AT377,select!AT378)</f>
        <v>17</v>
      </c>
      <c r="G356" s="253">
        <f>IF(select!D334=1,AQ455,AR455)</f>
        <v>0</v>
      </c>
      <c r="H356" s="232">
        <f>IF(select!D334=1,K688,L688)</f>
        <v>2</v>
      </c>
      <c r="I356" s="254">
        <f>G356</f>
        <v>0</v>
      </c>
      <c r="J356" s="232">
        <f>IF(select!D334=1,K711,L711)</f>
        <v>0</v>
      </c>
      <c r="K356" s="254">
        <f>G356</f>
        <v>0</v>
      </c>
      <c r="L356" s="232">
        <f>IF(select!D334=1,K734,L734)</f>
        <v>2</v>
      </c>
      <c r="M356" s="255">
        <f>IF(select!D334=1,AQ561,AR561)</f>
        <v>0</v>
      </c>
      <c r="N356" s="256">
        <f>M356</f>
        <v>0</v>
      </c>
      <c r="O356" s="256">
        <f>N356</f>
        <v>0</v>
      </c>
      <c r="P356" s="8"/>
      <c r="T356" s="245"/>
      <c r="U356" s="313"/>
      <c r="V356" s="729"/>
      <c r="W356" s="729"/>
      <c r="X356" s="730"/>
      <c r="Y356" s="729"/>
      <c r="Z356" s="729"/>
      <c r="AA356" s="729"/>
      <c r="AB356" s="729"/>
      <c r="AC356" s="729"/>
      <c r="AD356" s="729"/>
      <c r="AE356" s="729"/>
      <c r="AF356" s="729"/>
      <c r="AG356" s="729"/>
      <c r="AH356" s="729">
        <f t="shared" si="69"/>
        <v>0</v>
      </c>
      <c r="AI356" s="67">
        <f t="shared" si="70"/>
        <v>0</v>
      </c>
      <c r="AJ356" s="67">
        <f t="shared" si="71"/>
        <v>0</v>
      </c>
      <c r="AK356" s="67">
        <v>6</v>
      </c>
      <c r="AL356" s="67" t="str">
        <f t="shared" si="72"/>
        <v xml:space="preserve">     18,0 mm</v>
      </c>
      <c r="AM356" s="34">
        <f t="shared" si="73"/>
        <v>18</v>
      </c>
      <c r="AN356" s="317">
        <v>1</v>
      </c>
      <c r="AO356" s="317">
        <v>1</v>
      </c>
      <c r="AP356" s="317">
        <v>1</v>
      </c>
      <c r="AQ356" s="317">
        <v>1</v>
      </c>
      <c r="AR356" s="318">
        <v>1</v>
      </c>
      <c r="AS356" s="311">
        <v>6</v>
      </c>
      <c r="AZ356" s="245"/>
      <c r="BB356" s="8" t="s">
        <v>1433</v>
      </c>
      <c r="BC356" s="8" t="s">
        <v>1367</v>
      </c>
      <c r="BE356">
        <f>DCOUNT(Scharniere[[#Headers],[#Data]],Scharniere[[#Headers],[Scharnierart]],BB356:BC357)</f>
        <v>0</v>
      </c>
      <c r="BF356">
        <f>IF(BE356&gt;0,1,0)</f>
        <v>0</v>
      </c>
    </row>
    <row r="357" spans="1:64" hidden="1" outlineLevel="1" x14ac:dyDescent="0.25">
      <c r="T357" s="245"/>
      <c r="U357" s="313"/>
      <c r="V357" s="729"/>
      <c r="W357" s="729"/>
      <c r="X357" s="730"/>
      <c r="Y357" s="729"/>
      <c r="Z357" s="729"/>
      <c r="AA357" s="729"/>
      <c r="AB357" s="729"/>
      <c r="AC357" s="729"/>
      <c r="AD357" s="729"/>
      <c r="AE357" s="729"/>
      <c r="AF357" s="729"/>
      <c r="AG357" s="729"/>
      <c r="AH357" s="729">
        <f t="shared" si="69"/>
        <v>1</v>
      </c>
      <c r="AI357" s="67">
        <f t="shared" si="70"/>
        <v>1</v>
      </c>
      <c r="AJ357" s="67">
        <f t="shared" si="71"/>
        <v>1</v>
      </c>
      <c r="AK357" s="67">
        <v>7</v>
      </c>
      <c r="AL357" s="67" t="str">
        <f t="shared" si="72"/>
        <v>✓ 17,0 mm</v>
      </c>
      <c r="AM357" s="34">
        <f t="shared" si="73"/>
        <v>17</v>
      </c>
      <c r="AN357" s="317">
        <v>1</v>
      </c>
      <c r="AO357" s="317">
        <v>1</v>
      </c>
      <c r="AP357" s="317">
        <v>1</v>
      </c>
      <c r="AQ357" s="317">
        <v>1</v>
      </c>
      <c r="AR357" s="318">
        <v>1</v>
      </c>
      <c r="AS357" s="311">
        <v>7</v>
      </c>
      <c r="AZ357" s="245"/>
      <c r="BB357">
        <v>1</v>
      </c>
      <c r="BC357" s="8">
        <v>1</v>
      </c>
    </row>
    <row r="358" spans="1:64" hidden="1" outlineLevel="1" x14ac:dyDescent="0.25">
      <c r="T358" s="245"/>
      <c r="U358" s="313"/>
      <c r="V358" s="729"/>
      <c r="W358" s="729"/>
      <c r="X358" s="730"/>
      <c r="Y358" s="729"/>
      <c r="Z358" s="729"/>
      <c r="AA358" s="729"/>
      <c r="AB358" s="729"/>
      <c r="AC358" s="729"/>
      <c r="AD358" s="729"/>
      <c r="AE358" s="729"/>
      <c r="AF358" s="729"/>
      <c r="AG358" s="729"/>
      <c r="AH358" s="729">
        <f t="shared" si="69"/>
        <v>1</v>
      </c>
      <c r="AI358" s="67">
        <f t="shared" si="70"/>
        <v>1</v>
      </c>
      <c r="AJ358" s="67">
        <f t="shared" si="71"/>
        <v>1</v>
      </c>
      <c r="AK358" s="69">
        <v>8</v>
      </c>
      <c r="AL358" s="69" t="str">
        <f t="shared" si="72"/>
        <v>✓ 16,0 mm</v>
      </c>
      <c r="AM358" s="6">
        <f t="shared" si="73"/>
        <v>16</v>
      </c>
      <c r="AN358" s="319">
        <v>1</v>
      </c>
      <c r="AO358" s="319">
        <v>1</v>
      </c>
      <c r="AP358" s="319">
        <v>1</v>
      </c>
      <c r="AQ358" s="319">
        <v>1</v>
      </c>
      <c r="AR358" s="320">
        <v>1</v>
      </c>
      <c r="AS358" s="312">
        <v>8</v>
      </c>
      <c r="AZ358" s="245"/>
      <c r="BB358" s="8" t="s">
        <v>1433</v>
      </c>
      <c r="BC358" t="s">
        <v>31</v>
      </c>
      <c r="BE358">
        <f>DCOUNT(Scharniere[[#Headers],[#Data]],Scharniere[[#Headers],[Scharnierart]],BB358:BC359)</f>
        <v>12</v>
      </c>
      <c r="BF358">
        <f>IF(BE358&gt;0,1,0)</f>
        <v>1</v>
      </c>
    </row>
    <row r="359" spans="1:64" hidden="1" outlineLevel="1" x14ac:dyDescent="0.25">
      <c r="T359" s="245"/>
      <c r="U359" s="313"/>
      <c r="V359" s="729"/>
      <c r="W359" s="729"/>
      <c r="X359" s="730"/>
      <c r="Y359" s="729"/>
      <c r="Z359" s="729"/>
      <c r="AA359" s="729"/>
      <c r="AB359" s="729"/>
      <c r="AC359" s="729"/>
      <c r="AD359" s="729"/>
      <c r="AE359" s="729"/>
      <c r="AF359" s="729"/>
      <c r="AG359" s="729"/>
      <c r="AH359" s="729"/>
      <c r="AI359" s="729"/>
      <c r="AJ359" s="729"/>
      <c r="AK359" s="19"/>
      <c r="AL359" s="19"/>
      <c r="AZ359" s="245"/>
      <c r="BB359">
        <v>1</v>
      </c>
      <c r="BC359" s="8">
        <v>1</v>
      </c>
    </row>
    <row r="360" spans="1:64" hidden="1" outlineLevel="1" x14ac:dyDescent="0.25">
      <c r="T360" s="245"/>
      <c r="U360" s="313"/>
      <c r="V360" s="729"/>
      <c r="W360" s="729"/>
      <c r="X360" s="730"/>
      <c r="Y360" s="729"/>
      <c r="Z360" s="729"/>
      <c r="AA360" s="729"/>
      <c r="AB360" s="729"/>
      <c r="AC360" s="729"/>
      <c r="AD360" s="729"/>
      <c r="AE360" s="729"/>
      <c r="AF360" s="729"/>
      <c r="AG360" s="729"/>
      <c r="AH360" s="729"/>
      <c r="AI360" s="729"/>
      <c r="AJ360" s="729"/>
      <c r="AK360" s="19"/>
      <c r="AL360" s="19"/>
      <c r="AZ360" s="245"/>
      <c r="BC360" s="8"/>
    </row>
    <row r="361" spans="1:64" ht="15.75" hidden="1" outlineLevel="1" thickBot="1" x14ac:dyDescent="0.3">
      <c r="A361" s="4" t="str">
        <f ca="1">VLOOKUP(A362,A363:B365,2,FALSE)</f>
        <v>mit Soft-close</v>
      </c>
      <c r="C361" s="720" t="str">
        <f>IF(D361=0,Sprache!$A$56&amp; " " &amp;Sprache!$A$147,IF(D362=0,Sprache!$A$45,""))</f>
        <v/>
      </c>
      <c r="D361" s="381">
        <f>SUM(D363:D365)</f>
        <v>2</v>
      </c>
      <c r="E361" s="4" t="str">
        <f ca="1">VLOOKUP(E362,E363:F366,2,FALSE)</f>
        <v>Click-on Anschrauben</v>
      </c>
      <c r="G361" s="720" t="str">
        <f>IF(H361=0,Sprache!$A$56&amp; " " &amp;Sprache!$A$147,IF(H362=0,Sprache!$A$44,""))</f>
        <v/>
      </c>
      <c r="H361" s="381">
        <f>SUM(H363:H366)</f>
        <v>3</v>
      </c>
      <c r="T361" s="245"/>
      <c r="U361" s="313"/>
      <c r="V361" s="313"/>
      <c r="W361" s="313"/>
      <c r="X361" s="324"/>
      <c r="Y361" s="313"/>
      <c r="Z361" s="313"/>
      <c r="AA361" s="313"/>
      <c r="AB361" s="313"/>
      <c r="AC361" s="313"/>
      <c r="AD361" s="313"/>
      <c r="AE361" s="313"/>
      <c r="AF361" s="313"/>
      <c r="AG361" s="313"/>
      <c r="AH361" s="313"/>
      <c r="AI361" s="313"/>
      <c r="AJ361" s="313"/>
      <c r="AZ361" s="245"/>
    </row>
    <row r="362" spans="1:64" ht="15.75" hidden="1" outlineLevel="1" thickBot="1" x14ac:dyDescent="0.3">
      <c r="A362" s="130">
        <v>1</v>
      </c>
      <c r="B362" s="24" t="s">
        <v>13</v>
      </c>
      <c r="D362" s="381">
        <f>VLOOKUP(A362,A363:D365,4,FALSE)</f>
        <v>1</v>
      </c>
      <c r="E362" s="740">
        <v>1</v>
      </c>
      <c r="F362" s="24" t="s">
        <v>12</v>
      </c>
      <c r="H362" s="381">
        <f>VLOOKUP(E362,E363:H366,4,FALSE)</f>
        <v>1</v>
      </c>
      <c r="M362" s="8"/>
      <c r="O362" s="24" t="str">
        <f>J364&amp;" II"</f>
        <v xml:space="preserve"> Scharnierbefestigung  II</v>
      </c>
      <c r="T362" s="245"/>
      <c r="U362" s="313"/>
      <c r="V362" s="313"/>
      <c r="W362" s="313"/>
      <c r="X362" s="324"/>
      <c r="Y362" s="313"/>
      <c r="Z362" s="313"/>
      <c r="AA362" s="313"/>
      <c r="AB362" s="313"/>
      <c r="AC362" s="313"/>
      <c r="AD362" s="313"/>
      <c r="AE362" s="313"/>
      <c r="AF362" s="313"/>
      <c r="AG362" s="313"/>
      <c r="AH362" s="313"/>
      <c r="AI362" s="313"/>
      <c r="AJ362" s="313"/>
      <c r="AZ362" s="245"/>
      <c r="BC362" s="8"/>
    </row>
    <row r="363" spans="1:64" ht="15.75" hidden="1" outlineLevel="1" thickBot="1" x14ac:dyDescent="0.3">
      <c r="A363" s="3">
        <v>1</v>
      </c>
      <c r="B363" t="str">
        <f ca="1">Sprache!A73</f>
        <v>mit Soft-close</v>
      </c>
      <c r="C363" t="str">
        <f ca="1">IF(D363=1,ja&amp;" "&amp;B363,nein&amp; " "&amp;B363)</f>
        <v>✓ mit Soft-close</v>
      </c>
      <c r="D363" s="381">
        <f>BF343</f>
        <v>1</v>
      </c>
      <c r="E363" s="3">
        <v>1</v>
      </c>
      <c r="F363" t="str">
        <f ca="1">Sprache!A184</f>
        <v>Click-on Anschrauben</v>
      </c>
      <c r="G363" t="str">
        <f ca="1">IF(H363=1,ja&amp;" "&amp;F363,nein&amp; " "&amp;F363)</f>
        <v>✓ Click-on Anschrauben</v>
      </c>
      <c r="H363" s="381">
        <f>BF352</f>
        <v>1</v>
      </c>
      <c r="I363" s="4" t="str">
        <f ca="1">VLOOKUP(I364,I365:J367,2,FALSE)</f>
        <v>Zum Anschrauben</v>
      </c>
      <c r="M363" s="8"/>
      <c r="N363" s="284">
        <f>VLOOKUP(N364,P370:S373,I364+1,FALSE)</f>
        <v>2</v>
      </c>
      <c r="O363" t="str">
        <f ca="1">VLOOKUP(N364,O365:S368,I364+2,FALSE)</f>
        <v>✓ Zum Anschrauben mit Holzschrauben</v>
      </c>
      <c r="T363" s="245"/>
      <c r="U363" s="8"/>
      <c r="AZ363" s="245"/>
      <c r="BL363" s="131" t="str">
        <f>IF(SUM(BL364:BL374)=0,Sprache!$A$56&amp;" "&amp;Sprache!$A$147,IF(select!BH381=0,Sprache!$A$51,""))</f>
        <v/>
      </c>
    </row>
    <row r="364" spans="1:64" ht="15.75" hidden="1" outlineLevel="1" thickBot="1" x14ac:dyDescent="0.3">
      <c r="A364">
        <v>2</v>
      </c>
      <c r="B364" t="str">
        <f ca="1">Sprache!A74</f>
        <v>ohne Soft-close</v>
      </c>
      <c r="C364" t="str">
        <f ca="1">IF(D364=1,ja&amp;" "&amp;B364,nein&amp; " "&amp;B364)</f>
        <v>✓ ohne Soft-close</v>
      </c>
      <c r="D364" s="381">
        <f>BF345</f>
        <v>1</v>
      </c>
      <c r="E364">
        <v>2</v>
      </c>
      <c r="F364" t="str">
        <f ca="1">Sprache!A185</f>
        <v>Click-on Einpressen</v>
      </c>
      <c r="G364" t="str">
        <f ca="1">IF(H364=1,ja&amp;" "&amp;F364,nein&amp; " "&amp;F364)</f>
        <v>✓ Click-on Einpressen</v>
      </c>
      <c r="H364" s="381">
        <f>BF354</f>
        <v>1</v>
      </c>
      <c r="I364" s="288">
        <v>1</v>
      </c>
      <c r="J364" s="24" t="s">
        <v>12</v>
      </c>
      <c r="M364" s="8"/>
      <c r="N364" s="4">
        <v>1</v>
      </c>
      <c r="O364" t="s">
        <v>872</v>
      </c>
      <c r="T364" s="1091"/>
      <c r="U364" s="1091"/>
      <c r="V364" s="1091"/>
      <c r="W364" s="1091"/>
      <c r="X364" s="1091"/>
      <c r="Y364" s="1091"/>
      <c r="Z364" s="1091"/>
      <c r="AA364" s="1091"/>
      <c r="AB364" s="1091"/>
      <c r="AC364" s="1091"/>
      <c r="AD364" s="1091"/>
      <c r="AE364" s="1091"/>
      <c r="AF364" s="1091"/>
      <c r="AG364" s="1091"/>
      <c r="AH364" s="1091"/>
      <c r="AI364" s="1091"/>
      <c r="AJ364" s="1091"/>
      <c r="AK364" s="1091"/>
      <c r="AL364" s="1091"/>
      <c r="AM364" s="1091"/>
      <c r="AN364" s="1091"/>
      <c r="AO364" s="1091"/>
      <c r="AP364" s="1091"/>
      <c r="AQ364" s="1091"/>
      <c r="AR364" s="1091"/>
      <c r="AS364" s="1091"/>
      <c r="AT364" s="1091"/>
      <c r="AU364" s="1091"/>
      <c r="AV364" s="1091"/>
      <c r="AW364" s="1091"/>
      <c r="AX364" s="1091"/>
      <c r="AY364" s="1091"/>
      <c r="AZ364" s="1091"/>
      <c r="BA364" s="57" t="str">
        <f>IF($D$334=1,"Kreuz","Linear")</f>
        <v>Kreuz</v>
      </c>
      <c r="BB364" t="s">
        <v>1422</v>
      </c>
      <c r="BC364" t="s">
        <v>727</v>
      </c>
      <c r="BD364" t="str">
        <f>L401</f>
        <v>37/32</v>
      </c>
      <c r="BE364">
        <f>DCOUNT(Montageplatten[[#Headers],[#Data],[MPH Winkel]:[Höhe]],Montageplatten[[#Headers],[Höhe]],select!BA364:BD365)</f>
        <v>1</v>
      </c>
      <c r="BF364">
        <f>IF(BE364&gt;0,1,0)</f>
        <v>1</v>
      </c>
      <c r="BH364" t="str">
        <f ca="1">IF(BF364=1,ja&amp;" "&amp;BI364,nein&amp;" "&amp;BI364)</f>
        <v>✓ Zum Einpressen</v>
      </c>
      <c r="BI364" t="str">
        <f ca="1">Sprache!$A$66</f>
        <v>Zum Einpressen</v>
      </c>
      <c r="BL364">
        <f>BF364</f>
        <v>1</v>
      </c>
    </row>
    <row r="365" spans="1:64" hidden="1" outlineLevel="1" x14ac:dyDescent="0.25">
      <c r="A365">
        <v>3</v>
      </c>
      <c r="B365" t="str">
        <f ca="1">Sprache!A190</f>
        <v>Tipmatic</v>
      </c>
      <c r="C365" t="str">
        <f ca="1">IF(D365=1,ja&amp;" "&amp;B365,nein&amp; " "&amp;B365)</f>
        <v xml:space="preserve">     Tipmatic</v>
      </c>
      <c r="D365" s="381">
        <f>BF347</f>
        <v>0</v>
      </c>
      <c r="E365">
        <v>3</v>
      </c>
      <c r="F365" t="str">
        <f ca="1">Sprache!A186</f>
        <v>Click-on Quick</v>
      </c>
      <c r="G365" t="str">
        <f ca="1">IF(H365=1,ja&amp;" "&amp;F365,nein&amp; " "&amp;F365)</f>
        <v xml:space="preserve">     Click-on Quick</v>
      </c>
      <c r="H365" s="381">
        <f>BF356</f>
        <v>0</v>
      </c>
      <c r="I365" s="3">
        <v>1</v>
      </c>
      <c r="J365" t="str">
        <f ca="1">Sprache!$A$179</f>
        <v>Zum Anschrauben</v>
      </c>
      <c r="K365" t="str">
        <f ca="1">IF(L365=1,ja&amp;" "&amp;J365,nein&amp; " "&amp;J365)</f>
        <v>✓ Zum Anschrauben</v>
      </c>
      <c r="L365" s="381">
        <f>BL366</f>
        <v>1</v>
      </c>
      <c r="M365" s="8"/>
      <c r="N365" s="1" t="str">
        <f ca="1">VLOOKUP(1,P365:S365,I364+1,FALSE)</f>
        <v>✓ Zum Anschrauben mit Holzschrauben</v>
      </c>
      <c r="O365">
        <v>1</v>
      </c>
      <c r="P365">
        <v>1</v>
      </c>
      <c r="Q365" t="str">
        <f ca="1">BH366</f>
        <v>✓ Zum Anschrauben mit Holzschrauben</v>
      </c>
      <c r="R365" t="str">
        <f ca="1">BH364</f>
        <v>✓ Zum Einpressen</v>
      </c>
      <c r="S365" t="str">
        <f ca="1">BH370</f>
        <v>✓ vormontierte Euroschrauben [13,5]</v>
      </c>
      <c r="U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BA365">
        <v>1</v>
      </c>
      <c r="BB365">
        <v>1</v>
      </c>
      <c r="BC365">
        <v>1</v>
      </c>
      <c r="BD365">
        <v>1</v>
      </c>
    </row>
    <row r="366" spans="1:64" hidden="1" outlineLevel="1" x14ac:dyDescent="0.25">
      <c r="E366">
        <v>4</v>
      </c>
      <c r="F366" t="str">
        <f ca="1">Sprache!A189</f>
        <v>Impresso</v>
      </c>
      <c r="G366" t="str">
        <f ca="1">IF(H366=1,ja&amp;" "&amp;F366,nein&amp; " "&amp;F366)</f>
        <v>✓ Impresso</v>
      </c>
      <c r="H366" s="381">
        <f>BF358</f>
        <v>1</v>
      </c>
      <c r="I366">
        <v>2</v>
      </c>
      <c r="J366" t="str">
        <f ca="1">Sprache!$A$180</f>
        <v>Zum Einpressen</v>
      </c>
      <c r="K366" t="str">
        <f ca="1">IF(L366=1,ja&amp;" "&amp;J366,nein&amp; " "&amp;J366)</f>
        <v>✓ Zum Einpressen</v>
      </c>
      <c r="L366" s="381">
        <f>BL364</f>
        <v>1</v>
      </c>
      <c r="M366" s="8"/>
      <c r="N366" s="1" t="str">
        <f ca="1">VLOOKUP(1,P366:S366,I364+1,FALSE)</f>
        <v xml:space="preserve">     Zum Anschrauben mit Euroschrauben</v>
      </c>
      <c r="O366">
        <v>2</v>
      </c>
      <c r="P366">
        <v>1</v>
      </c>
      <c r="Q366" t="str">
        <f ca="1">BH368</f>
        <v xml:space="preserve">     Zum Anschrauben mit Euroschrauben</v>
      </c>
      <c r="R366" s="87" t="str">
        <f ca="1">R365</f>
        <v>✓ Zum Einpressen</v>
      </c>
      <c r="S366" t="str">
        <f ca="1">BH372</f>
        <v>✓ vormontierte Euroschrauben [10,5]</v>
      </c>
      <c r="U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BA366" t="str">
        <f>IF($D$334=1,"Kreuz","Linear")</f>
        <v>Kreuz</v>
      </c>
      <c r="BB366" t="s">
        <v>1422</v>
      </c>
      <c r="BC366" t="s">
        <v>728</v>
      </c>
      <c r="BD366" t="str">
        <f>BD364</f>
        <v>37/32</v>
      </c>
      <c r="BE366">
        <f>DCOUNT(Montageplatten[[#Headers],[#Data],[MPH Winkel]:[Höhe]],Montageplatten[[#Headers],[Höhe]],select!BA366:BD367)</f>
        <v>1</v>
      </c>
      <c r="BF366">
        <f t="shared" ref="BF366:BF374" si="74">IF(BE366&gt;0,1,0)</f>
        <v>1</v>
      </c>
      <c r="BH366" t="str">
        <f ca="1">IF(BF366=1,ja&amp;" "&amp;BI366,nein&amp;" "&amp;BI366)</f>
        <v>✓ Zum Anschrauben mit Holzschrauben</v>
      </c>
      <c r="BI366" t="str">
        <f ca="1">Sprache!$A$64</f>
        <v>Zum Anschrauben mit Holzschrauben</v>
      </c>
      <c r="BL366">
        <f>IF(SUM(BF366:BF368)&gt;0,1,0)</f>
        <v>1</v>
      </c>
    </row>
    <row r="367" spans="1:64" hidden="1" outlineLevel="1" x14ac:dyDescent="0.25">
      <c r="I367">
        <v>3</v>
      </c>
      <c r="J367" t="str">
        <f ca="1">Sprache!$A$182</f>
        <v>Für 5 mm Lochreihe</v>
      </c>
      <c r="K367" t="str">
        <f ca="1">IF(L367=1,ja&amp;" "&amp;J367,nein&amp; " "&amp;J367)</f>
        <v>✓ Für 5 mm Lochreihe</v>
      </c>
      <c r="L367" s="381">
        <f>BL370</f>
        <v>1</v>
      </c>
      <c r="M367" s="8"/>
      <c r="N367" s="1" t="str">
        <f>VLOOKUP(1,P367:S367,I364+1,FALSE)</f>
        <v/>
      </c>
      <c r="O367">
        <v>3</v>
      </c>
      <c r="P367">
        <v>1</v>
      </c>
      <c r="Q367" s="87" t="s">
        <v>1916</v>
      </c>
      <c r="R367" t="str">
        <f ca="1">R366</f>
        <v>✓ Zum Einpressen</v>
      </c>
      <c r="S367" t="str">
        <f ca="1">BH374</f>
        <v xml:space="preserve">     Spreizdübel 11 mm</v>
      </c>
      <c r="U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BA367">
        <v>1</v>
      </c>
      <c r="BB367">
        <v>1</v>
      </c>
      <c r="BC367">
        <v>1</v>
      </c>
      <c r="BD367">
        <v>1</v>
      </c>
    </row>
    <row r="368" spans="1:64" hidden="1" outlineLevel="1" x14ac:dyDescent="0.25">
      <c r="M368" s="8"/>
      <c r="N368" s="1" t="str">
        <f>VLOOKUP(1,P368:S368,I364+1,FALSE)</f>
        <v/>
      </c>
      <c r="O368">
        <v>4</v>
      </c>
      <c r="P368">
        <v>1</v>
      </c>
      <c r="Q368" s="87" t="s">
        <v>1916</v>
      </c>
      <c r="R368" t="str">
        <f ca="1">R367</f>
        <v>✓ Zum Einpressen</v>
      </c>
      <c r="S368" t="str">
        <f ca="1">BH376</f>
        <v xml:space="preserve">     Zwillingsmontageplatte (Spreizdübel 7,5 mm)</v>
      </c>
      <c r="U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BA368" t="str">
        <f>IF($D$334=1,"Kreuz","Linear")</f>
        <v>Kreuz</v>
      </c>
      <c r="BB368" t="s">
        <v>1422</v>
      </c>
      <c r="BC368" t="s">
        <v>729</v>
      </c>
      <c r="BD368" t="str">
        <f>BD364</f>
        <v>37/32</v>
      </c>
      <c r="BE368">
        <f>DCOUNT(Montageplatten[[#Headers],[#Data],[MPH Winkel]:[Höhe]],Montageplatten[[#Headers],[Höhe]],select!BA368:BD369)</f>
        <v>0</v>
      </c>
      <c r="BF368">
        <f t="shared" si="74"/>
        <v>0</v>
      </c>
      <c r="BH368" t="str">
        <f ca="1">IF(BF368=1,ja&amp;" "&amp;BI368,nein&amp;" "&amp;BI368)</f>
        <v xml:space="preserve">     Zum Anschrauben mit Euroschrauben</v>
      </c>
      <c r="BI368" t="str">
        <f ca="1">Sprache!$A$65</f>
        <v>Zum Anschrauben mit Euroschrauben</v>
      </c>
    </row>
    <row r="369" spans="1:64" hidden="1" outlineLevel="1" x14ac:dyDescent="0.25">
      <c r="A369" s="100" t="s">
        <v>893</v>
      </c>
      <c r="B369" s="100"/>
      <c r="C369" s="100"/>
      <c r="D369" s="100" t="str">
        <f>Scharniere[[#Headers],[Bezeichnung 1]]</f>
        <v>Bezeichnung 1</v>
      </c>
      <c r="E369" s="100" t="str">
        <f>Scharniere[[#Headers],[Bezeichnung 2]]</f>
        <v>Bezeichnung 2</v>
      </c>
      <c r="F369" s="100" t="str">
        <f>Scharniere[[#Headers],[Bezeichnung TGr]]</f>
        <v>Bezeichnung TGr</v>
      </c>
      <c r="H369" s="8"/>
      <c r="J369" s="8"/>
      <c r="K369" s="8"/>
      <c r="L369" s="8"/>
      <c r="M369" s="8"/>
      <c r="U369" s="8"/>
      <c r="X369" s="8"/>
      <c r="Y369" s="1079"/>
      <c r="Z369" s="1079"/>
      <c r="AA369" s="1079"/>
      <c r="AB369" s="1079"/>
      <c r="AC369" s="1079"/>
      <c r="AD369" s="1079"/>
      <c r="AE369" s="1079"/>
      <c r="AF369" s="1079"/>
      <c r="AG369" s="1079"/>
      <c r="AH369" s="1079"/>
      <c r="AI369" s="1079"/>
      <c r="AJ369" s="1079"/>
      <c r="AK369" s="1079"/>
      <c r="AL369" s="1079"/>
      <c r="AM369" s="1079"/>
      <c r="AN369" s="1079"/>
      <c r="AO369" s="1079"/>
      <c r="AP369" s="1079"/>
      <c r="AQ369" s="8"/>
      <c r="AR369" s="8"/>
      <c r="BA369">
        <v>1</v>
      </c>
      <c r="BB369">
        <v>1</v>
      </c>
      <c r="BC369">
        <v>1</v>
      </c>
      <c r="BD369">
        <v>1</v>
      </c>
    </row>
    <row r="370" spans="1:64" hidden="1" outlineLevel="1" x14ac:dyDescent="0.25">
      <c r="A370" s="4" t="str">
        <f t="array" aca="1" ref="A370" ca="1">IFERROR(INDEX(Scharniere[Spalte3],LARGE((Scharniere[Gesamt_Winkel]=$L$178)*(ROW(Scharniere[Gesamt_Winkel])-1),COUNTIF(Scharniere[Gesamt_Winkel],1)+1-ROW(A1))),"")</f>
        <v>F028</v>
      </c>
      <c r="B370" s="4" t="str">
        <f t="array" aca="1" ref="B370" ca="1">IFERROR(INDEX(Scharniere[Spalte2],LARGE((Scharniere[Gesamt_Winkel]=$L$178)*(ROW(Scharniere[Gesamt_Winkel])-1),COUNTIF(Scharniere[Gesamt_Winkel],1)+1-ROW(A1))),"")</f>
        <v>138</v>
      </c>
      <c r="C370" s="4" t="str">
        <f t="array" aca="1" ref="C370" ca="1">IFERROR(INDEX(Scharniere[Spalte1],LARGE((Scharniere[Gesamt_Winkel]=$L$178)*(ROW(Scharniere[Gesamt_Winkel])-1),COUNTIF(Scharniere[Gesamt_Winkel],1)+1-ROW(A1))),"")</f>
        <v>109</v>
      </c>
      <c r="D370" s="4" t="str">
        <f t="array" aca="1" ref="D370" ca="1">IFERROR(INDEX(Scharniere[Bezeichnung 1],LARGE((Scharniere[Gesamt_Winkel]=$L$178)*(ROW(Scharniere[Gesamt_Winkel])-1),COUNTIF(Scharniere[Gesamt_Winkel],1)+1-ROW(A1))),Sprache!$A$38)</f>
        <v>Tiomos Scharnier TS Click-on</v>
      </c>
      <c r="E370" s="4" t="str">
        <f t="array" aca="1" ref="E370" ca="1">IFERROR(INDEX(Scharniere[Bezeichnung 2],LARGE((Scharniere[Gesamt_Winkel]=$L$178)*(ROW(Scharniere[Gesamt_Winkel])-1),COUNTIF(Scharniere[Gesamt_Winkel],1)+1-ROW(A1))),"")</f>
        <v>110/90°, M-BB, aufl. ni</v>
      </c>
      <c r="F370" s="4" t="str">
        <f t="array" aca="1" ref="F370" ca="1">IFERROR(INDEX(Scharniere[Bezeichnung TGr],LARGE((Scharniere[Gesamt_Winkel]=$L$178)*(ROW(Scharniere[Gesamt_Winkel])-1),COUNTIF(Scharniere[Gesamt_Winkel],1)+1-ROW(A1))),Sprache!$A$56&amp;" "&amp;Sprache!$A$146)</f>
        <v>Tiomos Click-On Scharniere</v>
      </c>
      <c r="H370" s="8"/>
      <c r="J370" s="8"/>
      <c r="K370" s="8"/>
      <c r="L370" s="8"/>
      <c r="M370" s="8"/>
      <c r="N370" s="8"/>
      <c r="O370" s="8"/>
      <c r="P370">
        <v>1</v>
      </c>
      <c r="Q370">
        <v>2</v>
      </c>
      <c r="R370">
        <v>1</v>
      </c>
      <c r="S370">
        <v>4</v>
      </c>
      <c r="U370" s="247"/>
      <c r="V370" s="223" t="str">
        <f>B320</f>
        <v>Tiomos 110/90E</v>
      </c>
      <c r="W370" s="224"/>
      <c r="X370" s="224"/>
      <c r="Y370" s="224"/>
      <c r="Z370" s="247"/>
      <c r="AA370" s="247"/>
      <c r="AB370" s="247"/>
      <c r="AC370" s="247"/>
      <c r="AD370" s="247"/>
      <c r="AE370" s="247"/>
      <c r="AF370" s="247"/>
      <c r="AG370" s="247"/>
      <c r="AH370" s="247"/>
      <c r="AI370" s="247"/>
      <c r="AJ370" s="247"/>
      <c r="AK370" s="247"/>
      <c r="AL370" s="247"/>
      <c r="AM370" s="247"/>
      <c r="AN370" s="247"/>
      <c r="AO370" s="247"/>
      <c r="AP370" s="247"/>
      <c r="AQ370" s="247"/>
      <c r="AR370" s="247"/>
      <c r="AS370" s="247"/>
      <c r="AT370" s="247"/>
      <c r="AU370" s="247"/>
      <c r="AV370" s="247"/>
      <c r="AW370" s="247"/>
      <c r="AX370" s="247"/>
      <c r="AY370" s="247"/>
      <c r="AZ370" s="247"/>
      <c r="BA370" t="str">
        <f>IF($D$334=1,"Kreuz","Linear")</f>
        <v>Kreuz</v>
      </c>
      <c r="BB370" t="s">
        <v>1422</v>
      </c>
      <c r="BC370" t="s">
        <v>730</v>
      </c>
      <c r="BD370" t="str">
        <f>BD364</f>
        <v>37/32</v>
      </c>
      <c r="BE370">
        <f>DCOUNT(Montageplatten[[#Headers],[#Data],[MPH Winkel]:[Höhe]],Montageplatten[[#Headers],[Höhe]],select!BA370:BD371)</f>
        <v>1</v>
      </c>
      <c r="BF370">
        <f t="shared" si="74"/>
        <v>1</v>
      </c>
      <c r="BH370" t="str">
        <f ca="1">IF(BF370=1,ja&amp;" "&amp;BI370,nein&amp;" "&amp;BI370)</f>
        <v>✓ vormontierte Euroschrauben [13,5]</v>
      </c>
      <c r="BI370" t="str">
        <f ca="1">Sprache!$A$67</f>
        <v>vormontierte Euroschrauben [13,5]</v>
      </c>
      <c r="BL370">
        <f>IF(SUM(BF370:BF372)&gt;0,1,0)</f>
        <v>1</v>
      </c>
    </row>
    <row r="371" spans="1:64" hidden="1" outlineLevel="1" x14ac:dyDescent="0.25">
      <c r="A371" s="4" t="str">
        <f t="array" aca="1" ref="A371" ca="1">IFERROR(INDEX(Scharniere[Spalte3],LARGE((Scharniere[Gesamt_Winkel]=$L$178)*(ROW(Scharniere[Gesamt_Winkel])-1),COUNTIF(Scharniere[Gesamt_Winkel],1)+1-ROW(A2))),"")</f>
        <v/>
      </c>
      <c r="B371" s="4" t="str">
        <f t="array" aca="1" ref="B371" ca="1">IFERROR(INDEX(Scharniere[Spalte2],LARGE((Scharniere[Gesamt_Winkel]=$L$178)*(ROW(Scharniere[Gesamt_Winkel])-1),COUNTIF(Scharniere[Gesamt_Winkel],1)+1-ROW(A2))),"")</f>
        <v/>
      </c>
      <c r="C371" s="4" t="str">
        <f t="array" aca="1" ref="C371" ca="1">IFERROR(INDEX(Scharniere[Spalte1],LARGE((Scharniere[Gesamt_Winkel]=$L$178)*(ROW(Scharniere[Gesamt_Winkel])-1),COUNTIF(Scharniere[Gesamt_Winkel],1)+1-ROW(A2))),"")</f>
        <v/>
      </c>
      <c r="D371" s="4" t="str">
        <f t="array" aca="1" ref="D371" ca="1">IFERROR(INDEX(Scharniere[Bezeichnung 1],LARGE((Scharniere[Gesamt_Winkel]=$L$178)*(ROW(Scharniere[Gesamt_Winkel])-1),COUNTIF(Scharniere[Gesamt_Winkel],1)+1-ROW(A2))),"")</f>
        <v/>
      </c>
      <c r="E371" s="4" t="str">
        <f t="array" aca="1" ref="E371" ca="1">IFERROR(INDEX(Scharniere[Bezeichnung 2],LARGE((Scharniere[Gesamt_Winkel]=$L$178)*(ROW(Scharniere[Gesamt_Winkel])-1),COUNTIF(Scharniere[Gesamt_Winkel],1)+1-ROW(A2))),"")</f>
        <v/>
      </c>
      <c r="F371" s="4" t="str">
        <f t="array" aca="1" ref="F371" ca="1">IFERROR(INDEX(Scharniere[Bezeichnung TGr],LARGE((Scharniere[Gesamt_Winkel]=$L$178)*(ROW(Scharniere[Gesamt_Winkel])-1),COUNTIF(Scharniere[Gesamt_Winkel],1)+1-ROW(A2))),"")</f>
        <v/>
      </c>
      <c r="H371" s="8"/>
      <c r="P371">
        <v>2</v>
      </c>
      <c r="Q371">
        <v>3</v>
      </c>
      <c r="R371">
        <v>1</v>
      </c>
      <c r="S371">
        <v>5</v>
      </c>
      <c r="U371" s="247"/>
      <c r="AM371" s="8"/>
      <c r="AN371" s="8"/>
      <c r="AO371" s="8"/>
      <c r="AP371" s="8"/>
      <c r="AQ371" s="8"/>
      <c r="AR371" s="8"/>
      <c r="AZ371" s="247"/>
      <c r="BA371">
        <v>1</v>
      </c>
      <c r="BB371">
        <v>1</v>
      </c>
      <c r="BC371">
        <v>1</v>
      </c>
      <c r="BD371">
        <v>1</v>
      </c>
    </row>
    <row r="372" spans="1:64" hidden="1" outlineLevel="1" x14ac:dyDescent="0.25">
      <c r="A372" s="4" t="str">
        <f t="array" aca="1" ref="A372" ca="1">IFERROR(INDEX(Scharniere[Spalte3],LARGE((Scharniere[Gesamt_Winkel]=$L$178)*(ROW(Scharniere[Gesamt_Winkel])-1),COUNTIF(Scharniere[Gesamt_Winkel],1)+1-ROW(A3))),"")</f>
        <v/>
      </c>
      <c r="B372" s="4" t="str">
        <f t="array" aca="1" ref="B372" ca="1">IFERROR(INDEX(Scharniere[Spalte2],LARGE((Scharniere[Gesamt_Winkel]=$L$178)*(ROW(Scharniere[Gesamt_Winkel])-1),COUNTIF(Scharniere[Gesamt_Winkel],1)+1-ROW(A3))),"")</f>
        <v/>
      </c>
      <c r="C372" s="4" t="str">
        <f t="array" aca="1" ref="C372" ca="1">IFERROR(INDEX(Scharniere[Spalte1],LARGE((Scharniere[Gesamt_Winkel]=$L$178)*(ROW(Scharniere[Gesamt_Winkel])-1),COUNTIF(Scharniere[Gesamt_Winkel],1)+1-ROW(A3))),"")</f>
        <v/>
      </c>
      <c r="D372" s="4" t="str">
        <f t="array" aca="1" ref="D372" ca="1">IFERROR(INDEX(Scharniere[Bezeichnung 1],LARGE((Scharniere[Gesamt_Winkel]=$L$178)*(ROW(Scharniere[Gesamt_Winkel])-1),COUNTIF(Scharniere[Gesamt_Winkel],1)+1-ROW(A3))),"")</f>
        <v/>
      </c>
      <c r="E372" s="4" t="str">
        <f t="array" aca="1" ref="E372" ca="1">IFERROR(INDEX(Scharniere[Bezeichnung 2],LARGE((Scharniere[Gesamt_Winkel]=$L$178)*(ROW(Scharniere[Gesamt_Winkel])-1),COUNTIF(Scharniere[Gesamt_Winkel],1)+1-ROW(A3))),"")</f>
        <v/>
      </c>
      <c r="F372" s="4" t="str">
        <f t="array" aca="1" ref="F372" ca="1">IFERROR(INDEX(Scharniere[Bezeichnung TGr],LARGE((Scharniere[Gesamt_Winkel]=$L$178)*(ROW(Scharniere[Gesamt_Winkel])-1),COUNTIF(Scharniere[Gesamt_Winkel],1)+1-ROW(A3))),"")</f>
        <v/>
      </c>
      <c r="H372" s="8"/>
      <c r="P372" s="8">
        <v>3</v>
      </c>
      <c r="Q372" s="8">
        <v>0</v>
      </c>
      <c r="R372" s="8">
        <v>1</v>
      </c>
      <c r="S372">
        <v>6</v>
      </c>
      <c r="U372" s="247"/>
      <c r="Y372" t="s">
        <v>1451</v>
      </c>
      <c r="AM372" s="8"/>
      <c r="AN372" s="186" t="s">
        <v>1444</v>
      </c>
      <c r="AO372" s="8"/>
      <c r="AP372" s="8"/>
      <c r="AQ372" s="8"/>
      <c r="AZ372" s="247"/>
      <c r="BA372" t="str">
        <f>IF($D$334=1,"Kreuz","Linear")</f>
        <v>Kreuz</v>
      </c>
      <c r="BB372" t="s">
        <v>1422</v>
      </c>
      <c r="BC372" t="s">
        <v>731</v>
      </c>
      <c r="BD372" t="str">
        <f>BD364</f>
        <v>37/32</v>
      </c>
      <c r="BE372">
        <f>DCOUNT(Montageplatten[[#Headers],[#Data],[MPH Winkel]:[Höhe]],Montageplatten[[#Headers],[Höhe]],select!BA372:BD373)</f>
        <v>1</v>
      </c>
      <c r="BF372">
        <f t="shared" si="74"/>
        <v>1</v>
      </c>
      <c r="BH372" t="str">
        <f ca="1">IF(BF372=1,ja&amp;" "&amp;BI372,nein&amp;" "&amp;BI372)</f>
        <v>✓ vormontierte Euroschrauben [10,5]</v>
      </c>
      <c r="BI372" t="str">
        <f ca="1">Sprache!$A$68</f>
        <v>vormontierte Euroschrauben [10,5]</v>
      </c>
    </row>
    <row r="373" spans="1:64" hidden="1" outlineLevel="1" x14ac:dyDescent="0.25">
      <c r="A373" s="4" t="str">
        <f t="array" aca="1" ref="A373" ca="1">IFERROR(INDEX(Scharniere[Spalte3],LARGE((Scharniere[Gesamt_Winkel]=$L$178)*(ROW(Scharniere[Gesamt_Winkel])-1),COUNTIF(Scharniere[Gesamt_Winkel],1)+1-ROW(A4))),"")</f>
        <v/>
      </c>
      <c r="B373" s="4" t="str">
        <f t="array" aca="1" ref="B373" ca="1">IFERROR(INDEX(Scharniere[Spalte2],LARGE((Scharniere[Gesamt_Winkel]=$L$178)*(ROW(Scharniere[Gesamt_Winkel])-1),COUNTIF(Scharniere[Gesamt_Winkel],1)+1-ROW(A4))),"")</f>
        <v/>
      </c>
      <c r="C373" s="4" t="str">
        <f t="array" aca="1" ref="C373" ca="1">IFERROR(INDEX(Scharniere[Spalte1],LARGE((Scharniere[Gesamt_Winkel]=$L$178)*(ROW(Scharniere[Gesamt_Winkel])-1),COUNTIF(Scharniere[Gesamt_Winkel],1)+1-ROW(A4))),"")</f>
        <v/>
      </c>
      <c r="D373" s="4" t="str">
        <f t="array" aca="1" ref="D373" ca="1">IFERROR(INDEX(Scharniere[Bezeichnung 1],LARGE((Scharniere[Gesamt_Winkel]=$L$178)*(ROW(Scharniere[Gesamt_Winkel])-1),COUNTIF(Scharniere[Gesamt_Winkel],1)+1-ROW(A4))),"")</f>
        <v/>
      </c>
      <c r="E373" s="4" t="str">
        <f t="array" aca="1" ref="E373" ca="1">IFERROR(INDEX(Scharniere[Bezeichnung 2],LARGE((Scharniere[Gesamt_Winkel]=$L$178)*(ROW(Scharniere[Gesamt_Winkel])-1),COUNTIF(Scharniere[Gesamt_Winkel],1)+1-ROW(A4))),"")</f>
        <v/>
      </c>
      <c r="F373" s="4" t="str">
        <f t="array" aca="1" ref="F373" ca="1">IFERROR(INDEX(Scharniere[Bezeichnung TGr],LARGE((Scharniere[Gesamt_Winkel]=$L$178)*(ROW(Scharniere[Gesamt_Winkel])-1),COUNTIF(Scharniere[Gesamt_Winkel],1)+1-ROW(A4))),"")</f>
        <v/>
      </c>
      <c r="H373" s="8"/>
      <c r="I373" s="8"/>
      <c r="P373">
        <v>4</v>
      </c>
      <c r="Q373">
        <v>0</v>
      </c>
      <c r="R373">
        <v>1</v>
      </c>
      <c r="S373">
        <v>7</v>
      </c>
      <c r="U373" s="247"/>
      <c r="Y373" s="1092">
        <v>3</v>
      </c>
      <c r="Z373" s="1093"/>
      <c r="AA373" s="1092">
        <v>4</v>
      </c>
      <c r="AB373" s="1093"/>
      <c r="AC373" s="1092">
        <v>5</v>
      </c>
      <c r="AD373" s="1093"/>
      <c r="AE373" s="1092">
        <v>6</v>
      </c>
      <c r="AF373" s="1093"/>
      <c r="AG373" s="1092">
        <v>7</v>
      </c>
      <c r="AH373" s="1093"/>
      <c r="AI373" s="121" t="s">
        <v>1414</v>
      </c>
      <c r="AJ373" s="91" t="s">
        <v>52</v>
      </c>
      <c r="AK373" s="54" t="s">
        <v>51</v>
      </c>
      <c r="AN373" s="34"/>
      <c r="AO373" s="34"/>
      <c r="AP373" s="34"/>
      <c r="AQ373" s="34"/>
      <c r="AR373" s="326" t="s">
        <v>1847</v>
      </c>
      <c r="AS373" s="306" t="s">
        <v>52</v>
      </c>
      <c r="AT373" s="307" t="s">
        <v>51</v>
      </c>
      <c r="AV373" s="305" t="s">
        <v>51</v>
      </c>
      <c r="AW373" s="306" t="s">
        <v>42</v>
      </c>
      <c r="AX373" s="307" t="s">
        <v>52</v>
      </c>
      <c r="AZ373" s="247"/>
      <c r="BA373">
        <v>1</v>
      </c>
      <c r="BB373">
        <v>1</v>
      </c>
      <c r="BC373">
        <v>1</v>
      </c>
      <c r="BD373">
        <v>1</v>
      </c>
    </row>
    <row r="374" spans="1:64" hidden="1" outlineLevel="1" x14ac:dyDescent="0.25">
      <c r="A374" s="4" t="str">
        <f t="array" aca="1" ref="A374" ca="1">IFERROR(INDEX(Scharniere[Spalte3],LARGE((Scharniere[Gesamt_Winkel]=$L$178)*(ROW(Scharniere[Gesamt_Winkel])-1),COUNTIF(Scharniere[Gesamt_Winkel],1)+1-ROW(A5))),"")</f>
        <v/>
      </c>
      <c r="B374" s="4" t="str">
        <f t="array" aca="1" ref="B374" ca="1">IFERROR(INDEX(Scharniere[Spalte2],LARGE((Scharniere[Gesamt_Winkel]=$L$178)*(ROW(Scharniere[Gesamt_Winkel])-1),COUNTIF(Scharniere[Gesamt_Winkel],1)+1-ROW(A5))),"")</f>
        <v/>
      </c>
      <c r="C374" s="4" t="str">
        <f t="array" aca="1" ref="C374" ca="1">IFERROR(INDEX(Scharniere[Spalte1],LARGE((Scharniere[Gesamt_Winkel]=$L$178)*(ROW(Scharniere[Gesamt_Winkel])-1),COUNTIF(Scharniere[Gesamt_Winkel],1)+1-ROW(A5))),"")</f>
        <v/>
      </c>
      <c r="D374" s="4" t="str">
        <f t="array" aca="1" ref="D374" ca="1">IFERROR(INDEX(Scharniere[Bezeichnung 1],LARGE((Scharniere[Gesamt_Winkel]=$L$178)*(ROW(Scharniere[Gesamt_Winkel])-1),COUNTIF(Scharniere[Gesamt_Winkel],1)+1-ROW(A5))),"")</f>
        <v/>
      </c>
      <c r="E374" s="4" t="str">
        <f t="array" aca="1" ref="E374" ca="1">IFERROR(INDEX(Scharniere[Bezeichnung 2],LARGE((Scharniere[Gesamt_Winkel]=$L$178)*(ROW(Scharniere[Gesamt_Winkel])-1),COUNTIF(Scharniere[Gesamt_Winkel],1)+1-ROW(A5))),"")</f>
        <v/>
      </c>
      <c r="F374" s="4" t="str">
        <f t="array" aca="1" ref="F374" ca="1">IFERROR(INDEX(Scharniere[Bezeichnung TGr],LARGE((Scharniere[Gesamt_Winkel]=$L$178)*(ROW(Scharniere[Gesamt_Winkel])-1),COUNTIF(Scharniere[Gesamt_Winkel],1)+1-ROW(A5))),"")</f>
        <v/>
      </c>
      <c r="H374" s="8"/>
      <c r="I374" s="8"/>
      <c r="U374" s="247"/>
      <c r="W374" s="177" t="str">
        <f ca="1">IFERROR(SMALL(X374:X376,ROUND(L334-X374,0)),IF($L$334&lt;=X374,"---",X376))</f>
        <v>---</v>
      </c>
      <c r="X374" s="176" t="str">
        <f ca="1">IF(OFFSET(X374,0,$A$347*2)=".",0,OFFSET(X374,0,$A$347*2))</f>
        <v>keine</v>
      </c>
      <c r="Y374" s="10">
        <f ca="1">IF($L$334=Z374,1,0)</f>
        <v>0</v>
      </c>
      <c r="Z374" s="133" t="str">
        <f ca="1">Sprache!A56</f>
        <v>keine</v>
      </c>
      <c r="AA374" s="10">
        <f>IF($L$334=AB374,1,0)</f>
        <v>0</v>
      </c>
      <c r="AB374" s="133">
        <v>1</v>
      </c>
      <c r="AC374" s="10">
        <f>IF($L$334=AD374,1,0)</f>
        <v>0</v>
      </c>
      <c r="AD374" s="133">
        <v>0</v>
      </c>
      <c r="AE374" s="10">
        <f>IF($L$334=AF374,1,0)</f>
        <v>0</v>
      </c>
      <c r="AF374" s="133" t="s">
        <v>1452</v>
      </c>
      <c r="AG374" s="10">
        <f>IF($L$334=AH374,1,0)</f>
        <v>0</v>
      </c>
      <c r="AH374" s="133" t="s">
        <v>1452</v>
      </c>
      <c r="AI374" s="120">
        <f>IF($D$334=1,AJ374,IF($D$334=2,AK374,""))</f>
        <v>28</v>
      </c>
      <c r="AJ374" s="172">
        <v>28</v>
      </c>
      <c r="AK374" s="132">
        <v>11</v>
      </c>
      <c r="AL374">
        <v>1</v>
      </c>
      <c r="AN374" s="8"/>
      <c r="AO374" s="8"/>
      <c r="AP374" s="325">
        <f>3+AP378</f>
        <v>3</v>
      </c>
      <c r="AQ374" s="6"/>
      <c r="AR374" s="92">
        <f>DCOUNT(Montageplatten[[#Headers],[#Data],[MPH Winkel]:[Höhe]],Montageplatten[[#Headers],[Höhe]],select!AW373:AW374)</f>
        <v>20</v>
      </c>
      <c r="AS374" s="6">
        <f>DCOUNT(Montageplatten[[#Headers],[#Data],[MPH Winkel]:[Höhe]],Montageplatten[[#Headers],[Höhe]],select!AW373:AX374)</f>
        <v>17</v>
      </c>
      <c r="AT374" s="56">
        <f>DCOUNT(Montageplatten[[#Headers],[#Data],[MPH Winkel]:[Höhe]],Montageplatten[[#Headers],[Höhe]],select!AV373:AW374)</f>
        <v>3</v>
      </c>
      <c r="AV374" s="92">
        <v>1</v>
      </c>
      <c r="AW374" s="6">
        <f>AP374</f>
        <v>3</v>
      </c>
      <c r="AX374" s="56">
        <v>1</v>
      </c>
      <c r="AZ374" s="247"/>
      <c r="BA374" t="str">
        <f>IF($D$334=1,"Kreuz","Linear")</f>
        <v>Kreuz</v>
      </c>
      <c r="BB374" t="s">
        <v>1422</v>
      </c>
      <c r="BC374" t="s">
        <v>2312</v>
      </c>
      <c r="BD374" t="str">
        <f>BD366</f>
        <v>37/32</v>
      </c>
      <c r="BE374">
        <f>DCOUNT(Montageplatten[[#Headers],[#Data],[MPH Winkel]:[Höhe]],Montageplatten[[#Headers],[Höhe]],select!BA374:BD375)</f>
        <v>0</v>
      </c>
      <c r="BF374">
        <f t="shared" si="74"/>
        <v>0</v>
      </c>
      <c r="BH374" t="str">
        <f ca="1">IF(BF374=1,ja&amp;" "&amp;BI374,nein&amp;" "&amp;BI374)</f>
        <v xml:space="preserve">     Spreizdübel 11 mm</v>
      </c>
      <c r="BI374" t="str">
        <f ca="1">Sprache!A69</f>
        <v>Spreizdübel 11 mm</v>
      </c>
      <c r="BL374">
        <f>IF(SUM(BF374:BF376)&gt;0,1,0)</f>
        <v>0</v>
      </c>
    </row>
    <row r="375" spans="1:64" ht="15.75" hidden="1" outlineLevel="1" thickBot="1" x14ac:dyDescent="0.3">
      <c r="B375" s="131" t="str">
        <f ca="1">IF(C375=0,Sprache!A56&amp;" "&amp;Sprache!A147,IF(select!D375=0,Sprache!A41,""))</f>
        <v/>
      </c>
      <c r="C375" s="3">
        <f ca="1">SUM(C377:C384)</f>
        <v>4</v>
      </c>
      <c r="D375" s="3">
        <f ca="1">VLOOKUP(B376,A377:C384,3,FALSE)</f>
        <v>1</v>
      </c>
      <c r="H375" s="8"/>
      <c r="I375" s="8"/>
      <c r="U375" s="247"/>
      <c r="X375" s="170" t="str">
        <f ca="1">OFFSET(X375,0,$A$347*2)</f>
        <v>keine</v>
      </c>
      <c r="Y375" s="10">
        <f ca="1">IF($L$334=Z375,1,0)</f>
        <v>0</v>
      </c>
      <c r="Z375" s="133" t="str">
        <f ca="1">Sprache!A56</f>
        <v>keine</v>
      </c>
      <c r="AA375" s="10">
        <f>IF($L$334=AB375,1,0)</f>
        <v>0</v>
      </c>
      <c r="AB375" s="133">
        <v>2</v>
      </c>
      <c r="AC375" s="10">
        <f>IF($L$334=AD375,1,0)</f>
        <v>0</v>
      </c>
      <c r="AD375" s="133">
        <v>1</v>
      </c>
      <c r="AE375" s="10">
        <f>IF($L$334=AF375,1,0)</f>
        <v>0</v>
      </c>
      <c r="AF375" s="133">
        <v>0</v>
      </c>
      <c r="AG375" s="10">
        <f>IF($L$334=AH375,1,0)</f>
        <v>0</v>
      </c>
      <c r="AH375" s="133" t="s">
        <v>1452</v>
      </c>
      <c r="AI375" s="120">
        <f>IF($D$334=1,AJ375,IF($D$334=2,AK375,""))</f>
        <v>27</v>
      </c>
      <c r="AJ375" s="172">
        <v>27</v>
      </c>
      <c r="AK375" s="132">
        <v>10</v>
      </c>
      <c r="AL375">
        <v>1</v>
      </c>
      <c r="AR375" s="1"/>
      <c r="AS375" s="1"/>
      <c r="AT375" s="323"/>
      <c r="AU375" s="34"/>
      <c r="AV375" s="34"/>
      <c r="AW375" s="34"/>
      <c r="AX375" s="34"/>
      <c r="AZ375" s="247"/>
      <c r="BA375">
        <v>1</v>
      </c>
      <c r="BB375">
        <v>1</v>
      </c>
      <c r="BC375">
        <v>1</v>
      </c>
      <c r="BD375">
        <v>1</v>
      </c>
    </row>
    <row r="376" spans="1:64" ht="15.75" hidden="1" outlineLevel="1" thickBot="1" x14ac:dyDescent="0.3">
      <c r="A376" s="4" t="s">
        <v>1400</v>
      </c>
      <c r="B376" s="739">
        <v>3</v>
      </c>
      <c r="D376" s="333" t="str">
        <f>B319</f>
        <v>Tiomos 110/90A</v>
      </c>
      <c r="E376" s="333" t="str">
        <f>B320</f>
        <v>Tiomos 110/90E</v>
      </c>
      <c r="F376" s="333" t="str">
        <f>B321</f>
        <v>Tiomos 110/30A</v>
      </c>
      <c r="G376" s="333" t="str">
        <f>B322</f>
        <v>Tiomos 110/30E</v>
      </c>
      <c r="H376" s="333" t="str">
        <f>B323</f>
        <v>Tiomos 110/37A</v>
      </c>
      <c r="I376" s="333" t="str">
        <f>B324</f>
        <v>Tiomos 110/37E</v>
      </c>
      <c r="J376" s="333" t="str">
        <f>B325</f>
        <v>Tiomos 110/45A</v>
      </c>
      <c r="K376" s="333" t="str">
        <f>B326</f>
        <v>Tiomos 110/45E</v>
      </c>
      <c r="L376" s="333" t="str">
        <f>B327</f>
        <v>Tiomos 120/-15A</v>
      </c>
      <c r="M376" s="333" t="str">
        <f>B328</f>
        <v>Tiomos 120/-30A</v>
      </c>
      <c r="N376" s="333" t="str">
        <f>B329</f>
        <v>Tiomos 120/-45A</v>
      </c>
      <c r="U376" s="247">
        <f>L334</f>
        <v>18</v>
      </c>
      <c r="W376" s="178" t="str">
        <f ca="1">IFERROR(LARGE(X374:X376,ROUND(X376-L334,1)),IF(L334&gt;=X376,"---",X376))</f>
        <v>keine</v>
      </c>
      <c r="X376" s="170" t="str">
        <f ca="1">OFFSET(X376,0,$A$347*2)</f>
        <v>keine</v>
      </c>
      <c r="Y376" s="10">
        <f ca="1">IF($L$334=Z376,1,0)</f>
        <v>0</v>
      </c>
      <c r="Z376" s="133" t="str">
        <f ca="1">Sprache!A56</f>
        <v>keine</v>
      </c>
      <c r="AA376" s="10">
        <f>IF($L$334=AB376,1,0)</f>
        <v>0</v>
      </c>
      <c r="AB376" s="133">
        <v>3</v>
      </c>
      <c r="AC376" s="10">
        <f>IF($L$334=AD376,1,0)</f>
        <v>0</v>
      </c>
      <c r="AD376" s="133">
        <v>2</v>
      </c>
      <c r="AE376" s="10">
        <f>IF($L$334=AF376,1,0)</f>
        <v>0</v>
      </c>
      <c r="AF376" s="133">
        <v>1</v>
      </c>
      <c r="AG376" s="10">
        <f>IF($L$334=AH376,1,0)</f>
        <v>0</v>
      </c>
      <c r="AH376" s="133">
        <v>0</v>
      </c>
      <c r="AI376" s="120">
        <f>IF($D$334=1,AJ376,IF($D$334=2,AK376,""))</f>
        <v>26</v>
      </c>
      <c r="AJ376" s="172">
        <v>26</v>
      </c>
      <c r="AK376" s="132">
        <v>9</v>
      </c>
      <c r="AL376" s="133">
        <v>1</v>
      </c>
      <c r="AN376" s="8"/>
      <c r="AO376" s="8"/>
      <c r="AP376" s="8"/>
      <c r="AQ376" s="8"/>
      <c r="AR376" s="8"/>
      <c r="AT376" s="34"/>
      <c r="AU376" s="34"/>
      <c r="AV376" s="34"/>
      <c r="AW376" s="34"/>
      <c r="AX376" s="34"/>
      <c r="AZ376" s="247"/>
      <c r="BA376" t="str">
        <f>IF($D$334=1,"Kreuz","Linear")</f>
        <v>Kreuz</v>
      </c>
      <c r="BB376" t="s">
        <v>1422</v>
      </c>
      <c r="BC376" t="s">
        <v>2313</v>
      </c>
      <c r="BD376" t="str">
        <f>BD368</f>
        <v>37/32</v>
      </c>
      <c r="BE376">
        <f>DCOUNT(Montageplatten[[#Headers],[#Data],[MPH Winkel]:[Höhe]],Montageplatten[[#Headers],[Höhe]],select!BA376:BD377)</f>
        <v>0</v>
      </c>
      <c r="BF376">
        <f t="shared" ref="BF376" si="75">IF(BE376&gt;0,1,0)</f>
        <v>0</v>
      </c>
      <c r="BH376" t="str">
        <f ca="1">IF(BF376=1,ja&amp;" "&amp;BI376,nein&amp;" "&amp;BI376)</f>
        <v xml:space="preserve">     Zwillingsmontageplatte (Spreizdübel 7,5 mm)</v>
      </c>
      <c r="BI376" t="str">
        <f ca="1">Sprache!A70</f>
        <v>Zwillingsmontageplatte (Spreizdübel 7,5 mm)</v>
      </c>
    </row>
    <row r="377" spans="1:64" hidden="1" outlineLevel="1" x14ac:dyDescent="0.25">
      <c r="A377">
        <v>1</v>
      </c>
      <c r="B377" s="204" t="str">
        <f ca="1">OFFSET(C377,0,$A$318)</f>
        <v xml:space="preserve">     24,0 mm</v>
      </c>
      <c r="C377" s="381">
        <f t="shared" ref="C377:C384" ca="1" si="76">IF(LEFT(B377,1)=ja,1,0)</f>
        <v>0</v>
      </c>
      <c r="D377" s="249" t="str">
        <f t="shared" ref="D377:D384" si="77">AL351</f>
        <v xml:space="preserve">     24,0 mm</v>
      </c>
      <c r="E377" s="250" t="str">
        <f>$B$6&amp;" "&amp;Z397</f>
        <v>✓ 24,0 mm</v>
      </c>
      <c r="F377" s="257" t="str">
        <f>$B$6&amp;" "&amp;Z509</f>
        <v>✓ 24,0 mm</v>
      </c>
      <c r="G377" t="str">
        <f ca="1">V677</f>
        <v xml:space="preserve">     24,0 mm</v>
      </c>
      <c r="H377" s="262" t="str">
        <f>F377</f>
        <v>✓ 24,0 mm</v>
      </c>
      <c r="I377" s="8" t="str">
        <f ca="1">V700</f>
        <v xml:space="preserve">     24,0 mm</v>
      </c>
      <c r="J377" s="262" t="str">
        <f>F377</f>
        <v>✓ 24,0 mm</v>
      </c>
      <c r="K377" t="str">
        <f ca="1">V723</f>
        <v xml:space="preserve">     24,0 mm</v>
      </c>
      <c r="L377" s="259" t="str">
        <f>F377</f>
        <v>✓ 24,0 mm</v>
      </c>
      <c r="M377" s="259" t="str">
        <f>F377</f>
        <v>✓ 24,0 mm</v>
      </c>
      <c r="N377" s="259" t="str">
        <f>F377</f>
        <v>✓ 24,0 mm</v>
      </c>
      <c r="P377" s="39">
        <v>1</v>
      </c>
      <c r="Q377" s="39" t="str">
        <f ca="1">Sprache!$A$66</f>
        <v>Zum Einpressen</v>
      </c>
      <c r="R377" s="39"/>
      <c r="S377" s="39"/>
      <c r="U377" s="247" t="e">
        <f ca="1">ROUND(X376-L334,1)</f>
        <v>#VALUE!</v>
      </c>
      <c r="X377" s="170"/>
      <c r="Y377" s="10"/>
      <c r="Z377" s="133"/>
      <c r="AA377" s="10"/>
      <c r="AB377" s="133"/>
      <c r="AC377" s="10"/>
      <c r="AD377" s="133"/>
      <c r="AE377" s="10"/>
      <c r="AF377" s="133"/>
      <c r="AG377" s="10"/>
      <c r="AH377" s="133"/>
      <c r="AI377" s="120"/>
      <c r="AJ377" s="172"/>
      <c r="AK377" s="132"/>
      <c r="AL377">
        <v>1</v>
      </c>
      <c r="AN377" t="str">
        <f>$K$337</f>
        <v>Korpus</v>
      </c>
      <c r="AO377" t="str">
        <f>$L$337</f>
        <v>Türstärke</v>
      </c>
      <c r="AP377" t="s">
        <v>1418</v>
      </c>
      <c r="AQ377" s="8"/>
      <c r="AR377" s="192" t="s">
        <v>1446</v>
      </c>
      <c r="AS377" s="193"/>
      <c r="AT377" s="195">
        <f>AS374</f>
        <v>17</v>
      </c>
      <c r="AU377" s="34"/>
      <c r="AV377" s="34"/>
      <c r="AW377" s="34"/>
      <c r="AX377" s="34"/>
      <c r="AZ377" s="247"/>
      <c r="BA377">
        <v>1</v>
      </c>
      <c r="BB377">
        <v>1</v>
      </c>
      <c r="BC377">
        <v>1</v>
      </c>
      <c r="BD377">
        <v>1</v>
      </c>
    </row>
    <row r="378" spans="1:64" hidden="1" outlineLevel="1" x14ac:dyDescent="0.25">
      <c r="A378" s="34">
        <v>2</v>
      </c>
      <c r="B378" s="204" t="str">
        <f t="shared" ref="B378:B383" ca="1" si="78">OFFSET(C378,0,$A$318)</f>
        <v xml:space="preserve">     22,0 mm</v>
      </c>
      <c r="C378" s="381">
        <f t="shared" ca="1" si="76"/>
        <v>0</v>
      </c>
      <c r="D378" s="249" t="str">
        <f t="shared" si="77"/>
        <v xml:space="preserve">     22,0 mm</v>
      </c>
      <c r="E378" s="250" t="str">
        <f t="shared" ref="E378:E384" si="79">$B$6&amp;" "&amp;Z398</f>
        <v>✓ 22,0 mm</v>
      </c>
      <c r="F378" s="257" t="str">
        <f t="shared" ref="F378:F384" si="80">$B$6&amp;" "&amp;Z510</f>
        <v>✓ 22,0 mm</v>
      </c>
      <c r="G378" t="str">
        <f t="shared" ref="G378:G384" ca="1" si="81">V678</f>
        <v>✓ 22,0 mm</v>
      </c>
      <c r="H378" s="262" t="str">
        <f t="shared" ref="H378:H384" si="82">F378</f>
        <v>✓ 22,0 mm</v>
      </c>
      <c r="I378" s="8" t="str">
        <f t="shared" ref="I378:I384" ca="1" si="83">V701</f>
        <v>✓ 22,0 mm</v>
      </c>
      <c r="J378" s="262" t="str">
        <f t="shared" ref="J378:J384" si="84">F378</f>
        <v>✓ 22,0 mm</v>
      </c>
      <c r="K378" t="str">
        <f t="shared" ref="K378:K384" ca="1" si="85">V724</f>
        <v xml:space="preserve">     22,0 mm</v>
      </c>
      <c r="L378" s="259" t="str">
        <f t="shared" ref="L378:L384" si="86">F378</f>
        <v>✓ 22,0 mm</v>
      </c>
      <c r="M378" s="259" t="str">
        <f t="shared" ref="M378:M384" si="87">F378</f>
        <v>✓ 22,0 mm</v>
      </c>
      <c r="N378" s="259" t="str">
        <f t="shared" ref="N378:N384" si="88">F378</f>
        <v>✓ 22,0 mm</v>
      </c>
      <c r="P378" s="39">
        <v>2</v>
      </c>
      <c r="Q378" s="39" t="str">
        <f ca="1">Sprache!$A$64</f>
        <v>Zum Anschrauben mit Holzschrauben</v>
      </c>
      <c r="R378" s="39"/>
      <c r="S378" s="39"/>
      <c r="U378" s="247" t="e">
        <f ca="1">LARGE(X374:X376,0)</f>
        <v>#NUM!</v>
      </c>
      <c r="X378" s="129"/>
      <c r="Y378" s="10"/>
      <c r="Z378" s="133"/>
      <c r="AA378" s="10"/>
      <c r="AB378" s="133"/>
      <c r="AC378" s="10"/>
      <c r="AD378" s="133"/>
      <c r="AE378" s="10"/>
      <c r="AF378" s="133"/>
      <c r="AG378" s="10"/>
      <c r="AH378" s="133"/>
      <c r="AI378" s="120"/>
      <c r="AJ378" s="172"/>
      <c r="AK378" s="132"/>
      <c r="AL378">
        <v>1</v>
      </c>
      <c r="AN378">
        <f>$K$338</f>
        <v>21</v>
      </c>
      <c r="AO378">
        <f>$L$338</f>
        <v>21</v>
      </c>
      <c r="AP378">
        <f>AO378-$AN$378</f>
        <v>0</v>
      </c>
      <c r="AQ378" s="8"/>
      <c r="AR378" s="92" t="s">
        <v>1447</v>
      </c>
      <c r="AS378" s="6"/>
      <c r="AT378" s="56">
        <f>AT374</f>
        <v>3</v>
      </c>
      <c r="AU378" s="34"/>
      <c r="AV378" s="34"/>
      <c r="AW378" s="34"/>
      <c r="AX378" s="34"/>
      <c r="AZ378" s="247"/>
    </row>
    <row r="379" spans="1:64" hidden="1" outlineLevel="1" x14ac:dyDescent="0.25">
      <c r="A379">
        <v>3</v>
      </c>
      <c r="B379" s="204" t="str">
        <f t="shared" ca="1" si="78"/>
        <v>✓ 21,0 mm</v>
      </c>
      <c r="C379" s="381">
        <f t="shared" ca="1" si="76"/>
        <v>1</v>
      </c>
      <c r="D379" s="249" t="str">
        <f t="shared" si="77"/>
        <v>✓ 21,0 mm</v>
      </c>
      <c r="E379" s="250" t="str">
        <f t="shared" si="79"/>
        <v>✓ 21,0 mm</v>
      </c>
      <c r="F379" s="257" t="str">
        <f t="shared" si="80"/>
        <v>✓ 21,0 mm</v>
      </c>
      <c r="G379" t="str">
        <f t="shared" ca="1" si="81"/>
        <v>✓ 21,0 mm</v>
      </c>
      <c r="H379" s="262" t="str">
        <f t="shared" si="82"/>
        <v>✓ 21,0 mm</v>
      </c>
      <c r="I379" s="8" t="str">
        <f t="shared" ca="1" si="83"/>
        <v xml:space="preserve">     21,0 mm</v>
      </c>
      <c r="J379" s="262" t="str">
        <f t="shared" si="84"/>
        <v>✓ 21,0 mm</v>
      </c>
      <c r="K379" t="str">
        <f t="shared" ca="1" si="85"/>
        <v>✓ 21,0 mm</v>
      </c>
      <c r="L379" s="259" t="str">
        <f t="shared" si="86"/>
        <v>✓ 21,0 mm</v>
      </c>
      <c r="M379" s="259" t="str">
        <f t="shared" si="87"/>
        <v>✓ 21,0 mm</v>
      </c>
      <c r="N379" s="259" t="str">
        <f t="shared" si="88"/>
        <v>✓ 21,0 mm</v>
      </c>
      <c r="P379" s="39">
        <v>3</v>
      </c>
      <c r="Q379" s="39" t="str">
        <f ca="1">Sprache!$A$65</f>
        <v>Zum Anschrauben mit Euroschrauben</v>
      </c>
      <c r="R379" s="39"/>
      <c r="S379" s="39"/>
      <c r="U379" s="247"/>
      <c r="Y379" s="10"/>
      <c r="Z379" s="34"/>
      <c r="AA379" s="10"/>
      <c r="AB379" s="34"/>
      <c r="AC379" s="10"/>
      <c r="AD379" s="34"/>
      <c r="AE379" s="10"/>
      <c r="AF379" s="34"/>
      <c r="AG379" s="10"/>
      <c r="AH379" s="34"/>
      <c r="AI379" s="119"/>
      <c r="AJ379" s="10"/>
      <c r="AK379" s="55"/>
      <c r="AN379" s="8"/>
      <c r="AO379" s="8"/>
      <c r="AP379" s="8"/>
      <c r="AQ379" s="8"/>
      <c r="AR379" s="8"/>
      <c r="AT379" s="34"/>
      <c r="AU379" s="34"/>
      <c r="AV379" s="34"/>
      <c r="AW379" s="34"/>
      <c r="AX379" s="34"/>
      <c r="AZ379" s="247"/>
    </row>
    <row r="380" spans="1:64" hidden="1" outlineLevel="1" x14ac:dyDescent="0.25">
      <c r="A380">
        <v>4</v>
      </c>
      <c r="B380" s="204" t="str">
        <f t="shared" ca="1" si="78"/>
        <v xml:space="preserve">     20,0 mm</v>
      </c>
      <c r="C380" s="381">
        <f t="shared" ca="1" si="76"/>
        <v>0</v>
      </c>
      <c r="D380" s="249" t="str">
        <f t="shared" si="77"/>
        <v xml:space="preserve">     20,0 mm</v>
      </c>
      <c r="E380" s="250" t="str">
        <f t="shared" si="79"/>
        <v>✓ 20,0 mm</v>
      </c>
      <c r="F380" s="257" t="str">
        <f t="shared" si="80"/>
        <v>✓ 20,0 mm</v>
      </c>
      <c r="G380" t="str">
        <f t="shared" ca="1" si="81"/>
        <v xml:space="preserve">     20,0 mm</v>
      </c>
      <c r="H380" s="262" t="str">
        <f t="shared" si="82"/>
        <v>✓ 20,0 mm</v>
      </c>
      <c r="I380" s="8" t="str">
        <f t="shared" ca="1" si="83"/>
        <v xml:space="preserve">     20,0 mm</v>
      </c>
      <c r="J380" s="262" t="str">
        <f t="shared" si="84"/>
        <v>✓ 20,0 mm</v>
      </c>
      <c r="K380" t="str">
        <f t="shared" ca="1" si="85"/>
        <v xml:space="preserve">     20,0 mm</v>
      </c>
      <c r="L380" s="259" t="str">
        <f t="shared" si="86"/>
        <v>✓ 20,0 mm</v>
      </c>
      <c r="M380" s="259" t="str">
        <f t="shared" si="87"/>
        <v>✓ 20,0 mm</v>
      </c>
      <c r="N380" s="259" t="str">
        <f t="shared" si="88"/>
        <v>✓ 20,0 mm</v>
      </c>
      <c r="P380" s="39">
        <v>4</v>
      </c>
      <c r="Q380" s="39" t="str">
        <f ca="1">Sprache!$A$67</f>
        <v>vormontierte Euroschrauben [13,5]</v>
      </c>
      <c r="R380" s="39"/>
      <c r="S380" s="39"/>
      <c r="U380" s="247" t="str">
        <f ca="1">IF(L334&gt;X376,"---",X376)</f>
        <v>keine</v>
      </c>
      <c r="W380" s="131"/>
      <c r="Y380" s="122" t="e">
        <f ca="1">VLOOKUP(1,Y374:AK376,11,FALSE)</f>
        <v>#N/A</v>
      </c>
      <c r="Z380" s="6"/>
      <c r="AA380" s="122" t="e">
        <f>VLOOKUP(1,AA374:AI376,9,FALSE)</f>
        <v>#N/A</v>
      </c>
      <c r="AB380" s="6"/>
      <c r="AC380" s="122" t="e">
        <f>VLOOKUP(1,AC374:AI376,7,FALSE)</f>
        <v>#N/A</v>
      </c>
      <c r="AD380" s="6"/>
      <c r="AE380" s="122" t="e">
        <f>VLOOKUP(1,AE374:AI376,5,FALSE)</f>
        <v>#N/A</v>
      </c>
      <c r="AF380" s="6"/>
      <c r="AG380" s="122" t="e">
        <f>VLOOKUP(1,AG374:AI376,3,FALSE)</f>
        <v>#N/A</v>
      </c>
      <c r="AH380" s="6"/>
      <c r="AI380" s="123"/>
      <c r="AJ380" s="124"/>
      <c r="AK380" s="125"/>
      <c r="AO380" s="8"/>
      <c r="AQ380" s="8"/>
      <c r="AR380" s="8" t="s">
        <v>1848</v>
      </c>
      <c r="AT380" s="34"/>
      <c r="AU380" s="34"/>
      <c r="AV380" s="34"/>
      <c r="AW380" s="34"/>
      <c r="AX380" s="34"/>
      <c r="AZ380" s="247"/>
    </row>
    <row r="381" spans="1:64" hidden="1" outlineLevel="1" x14ac:dyDescent="0.25">
      <c r="A381">
        <v>5</v>
      </c>
      <c r="B381" s="204" t="str">
        <f t="shared" ca="1" si="78"/>
        <v>✓ 19,0 mm</v>
      </c>
      <c r="C381" s="381">
        <f t="shared" ca="1" si="76"/>
        <v>1</v>
      </c>
      <c r="D381" s="249" t="str">
        <f t="shared" si="77"/>
        <v>✓ 19,0 mm</v>
      </c>
      <c r="E381" s="250" t="str">
        <f t="shared" si="79"/>
        <v>✓ 19,0 mm</v>
      </c>
      <c r="F381" s="257" t="str">
        <f t="shared" si="80"/>
        <v>✓ 19,0 mm</v>
      </c>
      <c r="G381" t="str">
        <f t="shared" ca="1" si="81"/>
        <v>✓ 19,0 mm</v>
      </c>
      <c r="H381" s="262" t="str">
        <f t="shared" si="82"/>
        <v>✓ 19,0 mm</v>
      </c>
      <c r="I381" t="str">
        <f t="shared" ca="1" si="83"/>
        <v xml:space="preserve">     19,0 mm</v>
      </c>
      <c r="J381" s="262" t="str">
        <f t="shared" si="84"/>
        <v>✓ 19,0 mm</v>
      </c>
      <c r="K381" t="str">
        <f t="shared" ca="1" si="85"/>
        <v>✓ 19,0 mm</v>
      </c>
      <c r="L381" s="259" t="str">
        <f t="shared" si="86"/>
        <v>✓ 19,0 mm</v>
      </c>
      <c r="M381" s="259" t="str">
        <f t="shared" si="87"/>
        <v>✓ 19,0 mm</v>
      </c>
      <c r="N381" s="259" t="str">
        <f t="shared" si="88"/>
        <v>✓ 19,0 mm</v>
      </c>
      <c r="P381" s="39">
        <v>5</v>
      </c>
      <c r="Q381" s="39" t="str">
        <f ca="1">Sprache!$A$68</f>
        <v>vormontierte Euroschrauben [10,5]</v>
      </c>
      <c r="R381" s="39"/>
      <c r="S381" s="39"/>
      <c r="U381" s="247"/>
      <c r="AN381">
        <f>AO378</f>
        <v>21</v>
      </c>
      <c r="AO381">
        <f>AN381-$AN$378+3</f>
        <v>3</v>
      </c>
      <c r="AP381" s="53">
        <f>IFERROR(VLOOKUP(AO381,$O$447:$P$490,2,FALSE),0)</f>
        <v>1</v>
      </c>
      <c r="AQ381" s="8"/>
      <c r="AR381" s="8" t="s">
        <v>1849</v>
      </c>
      <c r="AT381" s="34"/>
      <c r="AU381" s="34"/>
      <c r="AV381" s="34"/>
      <c r="AW381" s="34"/>
      <c r="AX381" s="34"/>
      <c r="AZ381" s="247"/>
      <c r="BH381">
        <f>VLOOKUP(N363,BH382:BI389,2,FALSE)</f>
        <v>1</v>
      </c>
    </row>
    <row r="382" spans="1:64" hidden="1" outlineLevel="1" x14ac:dyDescent="0.25">
      <c r="A382">
        <v>6</v>
      </c>
      <c r="B382" s="204" t="str">
        <f t="shared" ca="1" si="78"/>
        <v xml:space="preserve">     18,0 mm</v>
      </c>
      <c r="C382" s="381">
        <f t="shared" ca="1" si="76"/>
        <v>0</v>
      </c>
      <c r="D382" s="249" t="str">
        <f t="shared" si="77"/>
        <v xml:space="preserve">     18,0 mm</v>
      </c>
      <c r="E382" s="250" t="str">
        <f t="shared" si="79"/>
        <v>✓ 18,0 mm</v>
      </c>
      <c r="F382" s="257" t="str">
        <f t="shared" si="80"/>
        <v>✓ 18,0 mm</v>
      </c>
      <c r="G382" t="str">
        <f t="shared" ca="1" si="81"/>
        <v xml:space="preserve">     18,0 mm</v>
      </c>
      <c r="H382" s="262" t="str">
        <f t="shared" si="82"/>
        <v>✓ 18,0 mm</v>
      </c>
      <c r="I382" t="str">
        <f t="shared" ca="1" si="83"/>
        <v>✓ 18,0 mm</v>
      </c>
      <c r="J382" s="262" t="str">
        <f t="shared" si="84"/>
        <v>✓ 18,0 mm</v>
      </c>
      <c r="K382" t="str">
        <f t="shared" ca="1" si="85"/>
        <v xml:space="preserve">     18,0 mm</v>
      </c>
      <c r="L382" s="259" t="str">
        <f t="shared" si="86"/>
        <v>✓ 18,0 mm</v>
      </c>
      <c r="M382" s="259" t="str">
        <f t="shared" si="87"/>
        <v>✓ 18,0 mm</v>
      </c>
      <c r="N382" s="259" t="str">
        <f t="shared" si="88"/>
        <v>✓ 18,0 mm</v>
      </c>
      <c r="U382" s="247"/>
      <c r="W382" s="4" t="s">
        <v>1414</v>
      </c>
      <c r="X382" s="115" t="str">
        <f ca="1">IFERROR(OFFSET($W$380,0,$A$347*2)-$M$401,Sprache!A56&amp;" "&amp;Sprache!A146)</f>
        <v>keine Lösungen</v>
      </c>
      <c r="Z382" t="e">
        <f ca="1">VLOOKUP(L334,Z374:AL378,13,FALSE)</f>
        <v>#N/A</v>
      </c>
      <c r="AB382" t="e">
        <f>VLOOKUP(L334,AB374:AL378,11,FALSE)</f>
        <v>#N/A</v>
      </c>
      <c r="AD382" t="e">
        <f>VLOOKUP(L334,AD374:AL378,9,FALSE)</f>
        <v>#N/A</v>
      </c>
      <c r="AF382" t="e">
        <f>VLOOKUP(L334,AF374:AL378,7,FALSE)</f>
        <v>#N/A</v>
      </c>
      <c r="AH382" t="e">
        <f>VLOOKUP(L334,AH374:AL378,5,FALSE)</f>
        <v>#N/A</v>
      </c>
      <c r="AQ382" s="8"/>
      <c r="AR382" s="8"/>
      <c r="AT382" s="34"/>
      <c r="AU382" s="34"/>
      <c r="AV382" s="34"/>
      <c r="AW382" s="34"/>
      <c r="AX382" s="34"/>
      <c r="AZ382" s="247"/>
      <c r="BA382" t="str">
        <f>IF($D$334=1,"Kreuz","Linear")</f>
        <v>Kreuz</v>
      </c>
      <c r="BB382" t="s">
        <v>1422</v>
      </c>
      <c r="BC382" t="s">
        <v>40</v>
      </c>
      <c r="BE382">
        <f>DCOUNT(Montageplatten[[#Headers],[#Data],[MPH Winkel]:[Höhe]],Montageplatten[[#Headers],[Höhe]],select!BA382:BC383)</f>
        <v>4</v>
      </c>
      <c r="BF382">
        <f t="shared" ref="BF382:BF390" si="89">IF(BE382&gt;0,1,0)</f>
        <v>1</v>
      </c>
      <c r="BH382">
        <v>0</v>
      </c>
      <c r="BI382">
        <v>0</v>
      </c>
    </row>
    <row r="383" spans="1:64" hidden="1" outlineLevel="1" x14ac:dyDescent="0.25">
      <c r="A383">
        <v>7</v>
      </c>
      <c r="B383" s="204" t="str">
        <f t="shared" ca="1" si="78"/>
        <v>✓ 17,0 mm</v>
      </c>
      <c r="C383" s="381">
        <f t="shared" ca="1" si="76"/>
        <v>1</v>
      </c>
      <c r="D383" s="249" t="str">
        <f t="shared" si="77"/>
        <v>✓ 17,0 mm</v>
      </c>
      <c r="E383" s="250" t="str">
        <f t="shared" si="79"/>
        <v>✓ 17,0 mm</v>
      </c>
      <c r="F383" s="257" t="str">
        <f t="shared" si="80"/>
        <v>✓ 17,0 mm</v>
      </c>
      <c r="G383" t="str">
        <f t="shared" ca="1" si="81"/>
        <v xml:space="preserve">     17,0 mm</v>
      </c>
      <c r="H383" s="262" t="str">
        <f t="shared" si="82"/>
        <v>✓ 17,0 mm</v>
      </c>
      <c r="I383" s="8" t="str">
        <f t="shared" ca="1" si="83"/>
        <v xml:space="preserve">     17,0 mm</v>
      </c>
      <c r="J383" s="262" t="str">
        <f t="shared" si="84"/>
        <v>✓ 17,0 mm</v>
      </c>
      <c r="K383" t="str">
        <f t="shared" ca="1" si="85"/>
        <v xml:space="preserve">     17,0 mm</v>
      </c>
      <c r="L383" s="259" t="str">
        <f t="shared" si="86"/>
        <v>✓ 17,0 mm</v>
      </c>
      <c r="M383" s="259" t="str">
        <f t="shared" si="87"/>
        <v>✓ 17,0 mm</v>
      </c>
      <c r="N383" s="259" t="str">
        <f t="shared" si="88"/>
        <v>✓ 17,0 mm</v>
      </c>
      <c r="U383" s="247"/>
      <c r="AQ383" s="8"/>
      <c r="AR383" s="8"/>
      <c r="AT383" s="34"/>
      <c r="AU383" s="34"/>
      <c r="AV383" s="34"/>
      <c r="AW383" s="34"/>
      <c r="AX383" s="34"/>
      <c r="AZ383" s="247"/>
      <c r="BA383">
        <v>1</v>
      </c>
      <c r="BB383">
        <v>1</v>
      </c>
      <c r="BC383">
        <v>1</v>
      </c>
      <c r="BH383">
        <v>1</v>
      </c>
      <c r="BI383">
        <f>BF364</f>
        <v>1</v>
      </c>
    </row>
    <row r="384" spans="1:64" hidden="1" outlineLevel="1" x14ac:dyDescent="0.25">
      <c r="A384">
        <v>8</v>
      </c>
      <c r="B384" s="205" t="str">
        <f ca="1">OFFSET(C384,0,$A$318)</f>
        <v>✓ 16,0 mm</v>
      </c>
      <c r="C384" s="381">
        <f t="shared" ca="1" si="76"/>
        <v>1</v>
      </c>
      <c r="D384" s="261" t="str">
        <f t="shared" si="77"/>
        <v>✓ 16,0 mm</v>
      </c>
      <c r="E384" s="250" t="str">
        <f t="shared" si="79"/>
        <v>✓ 16,0 mm</v>
      </c>
      <c r="F384" s="257" t="str">
        <f t="shared" si="80"/>
        <v>✓ 16,0 mm</v>
      </c>
      <c r="G384" t="str">
        <f t="shared" ca="1" si="81"/>
        <v xml:space="preserve">     16,0 mm</v>
      </c>
      <c r="H384" s="263" t="str">
        <f t="shared" si="82"/>
        <v>✓ 16,0 mm</v>
      </c>
      <c r="I384" s="8" t="str">
        <f t="shared" ca="1" si="83"/>
        <v>✓ 16,0 mm</v>
      </c>
      <c r="J384" s="263" t="str">
        <f t="shared" si="84"/>
        <v>✓ 16,0 mm</v>
      </c>
      <c r="K384" t="str">
        <f t="shared" ca="1" si="85"/>
        <v xml:space="preserve">     16,0 mm</v>
      </c>
      <c r="L384" s="259" t="str">
        <f t="shared" si="86"/>
        <v>✓ 16,0 mm</v>
      </c>
      <c r="M384" s="259" t="str">
        <f t="shared" si="87"/>
        <v>✓ 16,0 mm</v>
      </c>
      <c r="N384" s="259" t="str">
        <f t="shared" si="88"/>
        <v>✓ 16,0 mm</v>
      </c>
      <c r="U384" s="247"/>
      <c r="AE384" s="8"/>
      <c r="AF384" s="1079"/>
      <c r="AG384" s="1079"/>
      <c r="AQ384" s="8"/>
      <c r="AR384" s="8"/>
      <c r="AT384" s="34"/>
      <c r="AU384" s="34"/>
      <c r="AV384" s="34" t="str">
        <f>IF(AR384&gt;0,$B$6,$B$5)</f>
        <v xml:space="preserve">    </v>
      </c>
      <c r="AW384" s="34"/>
      <c r="AX384" s="34"/>
      <c r="AZ384" s="247"/>
      <c r="BA384" t="str">
        <f t="shared" ref="BA384" si="90">IF($D$334=1,"Kreuz","Linear")</f>
        <v>Kreuz</v>
      </c>
      <c r="BB384" t="s">
        <v>1422</v>
      </c>
      <c r="BC384" t="s">
        <v>41</v>
      </c>
      <c r="BE384">
        <f>DCOUNT(Montageplatten[[#Headers],[#Data],[MPH Winkel]:[Höhe]],Montageplatten[[#Headers],[Höhe]],select!BA384:BC385)</f>
        <v>1</v>
      </c>
      <c r="BF384">
        <f t="shared" si="89"/>
        <v>1</v>
      </c>
      <c r="BH384">
        <v>2</v>
      </c>
      <c r="BI384">
        <f>BF366</f>
        <v>1</v>
      </c>
    </row>
    <row r="385" spans="1:61" hidden="1" outlineLevel="1" x14ac:dyDescent="0.25">
      <c r="N385" s="8"/>
      <c r="O385" s="8"/>
      <c r="P385" s="8"/>
      <c r="Q385" s="8"/>
      <c r="R385" s="8"/>
      <c r="U385" s="322"/>
      <c r="V385" s="313"/>
      <c r="W385" s="313"/>
      <c r="X385" s="313"/>
      <c r="Y385" s="313"/>
      <c r="Z385" s="313"/>
      <c r="AA385" s="313"/>
      <c r="AB385" s="313"/>
      <c r="AC385" s="313"/>
      <c r="AD385" s="313"/>
      <c r="AE385" s="313"/>
      <c r="AF385" s="313"/>
      <c r="AG385" s="313"/>
      <c r="AH385" s="313"/>
      <c r="AI385" s="313"/>
      <c r="AJ385" s="313"/>
      <c r="AZ385" s="247"/>
      <c r="BA385">
        <v>1</v>
      </c>
      <c r="BB385">
        <v>1</v>
      </c>
      <c r="BC385">
        <v>1</v>
      </c>
      <c r="BH385">
        <v>3</v>
      </c>
      <c r="BI385">
        <f>BF368</f>
        <v>0</v>
      </c>
    </row>
    <row r="386" spans="1:61" hidden="1" outlineLevel="1" x14ac:dyDescent="0.25">
      <c r="A386" t="s">
        <v>1441</v>
      </c>
      <c r="B386" s="8">
        <f>ROW()</f>
        <v>386</v>
      </c>
      <c r="D386" s="100" t="str">
        <f>Montageplatten[[#Headers],[Bezeichnung 1]]</f>
        <v>Bezeichnung 1</v>
      </c>
      <c r="E386" s="100" t="str">
        <f>Montageplatten[[#Headers],[Bezeichnung 2]]</f>
        <v>Bezeichnung 2</v>
      </c>
      <c r="F386" s="100" t="str">
        <f>Montageplatten[[#Headers],[Bezeichnung TGr]]</f>
        <v>Bezeichnung TGr</v>
      </c>
      <c r="G386" s="117" t="str">
        <f>Montageplatten[[#Headers],[37/32]]</f>
        <v>37/32</v>
      </c>
      <c r="H386" s="117" t="str">
        <f>Montageplatten[[#Headers],[28/32]]</f>
        <v>28/32</v>
      </c>
      <c r="I386" s="117" t="s">
        <v>1358</v>
      </c>
      <c r="J386" s="117" t="s">
        <v>1361</v>
      </c>
      <c r="K386" s="117" t="s">
        <v>1370</v>
      </c>
      <c r="L386" s="117" t="str">
        <f>Montageplatten[[#Headers],[Höhe]]</f>
        <v>Höhe</v>
      </c>
      <c r="M386" s="100"/>
      <c r="N386" s="8"/>
      <c r="O386" s="8"/>
      <c r="P386" s="8"/>
      <c r="Q386" s="8"/>
      <c r="R386" s="8"/>
      <c r="U386" s="322"/>
      <c r="V386" s="313"/>
      <c r="W386" s="313"/>
      <c r="X386" s="313"/>
      <c r="Y386" s="1090"/>
      <c r="Z386" s="1090"/>
      <c r="AA386" s="1090"/>
      <c r="AB386" s="1090"/>
      <c r="AC386" s="1090"/>
      <c r="AD386" s="1090"/>
      <c r="AE386" s="1090"/>
      <c r="AF386" s="1090"/>
      <c r="AG386" s="1090"/>
      <c r="AH386" s="1090"/>
      <c r="AI386" s="313"/>
      <c r="AJ386" s="313"/>
      <c r="AK386" s="8"/>
      <c r="AZ386" s="247"/>
      <c r="BA386" t="str">
        <f t="shared" ref="BA386" si="91">IF($D$334=1,"Kreuz","Linear")</f>
        <v>Kreuz</v>
      </c>
      <c r="BB386" t="s">
        <v>1422</v>
      </c>
      <c r="BC386" t="s">
        <v>1358</v>
      </c>
      <c r="BE386">
        <f>DCOUNT(Montageplatten[[#Headers],[#Data],[MPH Winkel]:[Höhe]],Montageplatten[[#Headers],[Höhe]],select!BA386:BC387)</f>
        <v>0</v>
      </c>
      <c r="BF386">
        <f t="shared" si="89"/>
        <v>0</v>
      </c>
      <c r="BH386">
        <v>4</v>
      </c>
      <c r="BI386">
        <f>BF370</f>
        <v>1</v>
      </c>
    </row>
    <row r="387" spans="1:61" hidden="1" outlineLevel="1" x14ac:dyDescent="0.25">
      <c r="A387" s="168" t="str">
        <f t="array" ref="A387">IFERROR(INDEX(Montageplatten[Spalte1],LARGE((Montageplatten[Winkel_ges]=$A$195)*(ROW(Montageplatten[Winkel_ges])-1),COUNTIF(Montageplatten[Winkel_ges],$A$195)+1-ROW(A1))),"")</f>
        <v>F058</v>
      </c>
      <c r="B387" s="168" t="str">
        <f t="array" ref="B387">IFERROR(INDEX(Montageplatten[Spalte2],LARGE((Montageplatten[Winkel_ges]=$A$195)*(ROW(Montageplatten[Winkel_ges])-1),COUNTIF(Montageplatten[Winkel_ges],$A$195)+1-ROW(A1))),"")</f>
        <v>139</v>
      </c>
      <c r="C387" s="168" t="str">
        <f t="array" ref="C387">IFERROR(INDEX(Montageplatten[Spalte3],LARGE((Montageplatten[Winkel_ges]=$A$195)*(ROW(Montageplatten[Winkel_ges])-1),COUNTIF(Montageplatten[Winkel_ges],$A$195)+1-ROW(A1))),"")</f>
        <v>720</v>
      </c>
      <c r="D387" s="168" t="str">
        <f t="array" aca="1" ref="D387" ca="1">IFERROR(INDEX(Montageplatten[Bezeichnung 1],LARGE((Montageplatten[Winkel_ges]=$A$195)*(ROW(Montageplatten[Winkel_ges])-1),COUNTIF(Montageplatten[Winkel_ges],$A$195)+1-ROW(A1))),"")</f>
        <v>Eco Kreuz Mtg-Platte</v>
      </c>
      <c r="E387" s="168" t="str">
        <f t="array" ref="E387">IFERROR(INDEX(Montageplatten[Bezeichnung 2],LARGE((Montageplatten[Winkel_ges]=$A$195)*(ROW(Montageplatten[Winkel_ges])-1),COUNTIF(Montageplatten[Winkel_ges],$A$195)+1-ROW(A1))),"")</f>
        <v>H-02, ni /37</v>
      </c>
      <c r="F387" s="168" t="str">
        <f t="array" aca="1" ref="F387" ca="1">IFERROR(INDEX(Montageplatten[Bezeichnung TGr],LARGE((Montageplatten[Winkel_ges]=$A$195)*(ROW(Montageplatten[Winkel_ges])-1),COUNTIF(Montageplatten[Winkel_ges],$A$195)+1-ROW(A1))),"")</f>
        <v>Tiomos Montageplatten</v>
      </c>
      <c r="G387" s="171">
        <f t="array" ref="G387">IFERROR(INDEX(Montageplatten[37/32],LARGE((Montageplatten[Winkel_ges]=$A$195)*(ROW(Montageplatten[Winkel_ges])-1),COUNTIF(Montageplatten[Winkel_ges],$A$195)+1-ROW(A1))),"")</f>
        <v>1</v>
      </c>
      <c r="H387" s="171">
        <f t="array" ref="H387">IFERROR(INDEX(Montageplatten[28/32],LARGE((Montageplatten[Winkel_ges]=$A$195)*(ROW(Montageplatten[Winkel_ges])-1),COUNTIF(Montageplatten[Winkel_ges],$A$195)+1-ROW(A1))),"")</f>
        <v>0</v>
      </c>
      <c r="I387" s="171">
        <f t="array" ref="I387">IFERROR(INDEX(Montageplatten[20/32],LARGE((Montageplatten[Winkel_ges]=$A$195)*(ROW(Montageplatten[Winkel_ges])-1),COUNTIF(Montageplatten[Winkel_ges],$A$195)+1-ROW(A1))),"")</f>
        <v>0</v>
      </c>
      <c r="J387" s="171">
        <f t="array" ref="J387">IFERROR(INDEX(Montageplatten[9,5/32],LARGE((Montageplatten[Winkel_ges]=$A$195)*(ROW(Montageplatten[Winkel_ges])-1),COUNTIF(Montageplatten[Winkel_ges],$A$195)+1-ROW(A1))),"")</f>
        <v>0</v>
      </c>
      <c r="K387" s="171">
        <f t="array" ref="K387">IFERROR(INDEX(Montageplatten[10/32],LARGE((Montageplatten[Winkel_ges]=$A$195)*(ROW(Montageplatten[Winkel_ges])-1),COUNTIF(Montageplatten[Winkel_ges],$A$195)+1-ROW(A1))),"")</f>
        <v>0</v>
      </c>
      <c r="L387" s="171">
        <f t="array" ref="L387">IFERROR(INDEX(Montageplatten[Höhe],LARGE((Montageplatten[Winkel_ges]=$A$195)*(ROW(Montageplatten[Winkel_ges])-1),COUNTIF(Montageplatten[Winkel_ges],$A$195)+1-ROW(A1))),"")</f>
        <v>-2</v>
      </c>
      <c r="M387" s="3">
        <v>1</v>
      </c>
      <c r="N387" s="8"/>
      <c r="O387" s="8"/>
      <c r="P387" s="8"/>
      <c r="Q387" s="8"/>
      <c r="R387" s="8"/>
      <c r="U387" s="322"/>
      <c r="V387" s="313"/>
      <c r="W387" s="313"/>
      <c r="X387" s="313"/>
      <c r="Y387" s="313"/>
      <c r="Z387" s="324"/>
      <c r="AA387" s="313"/>
      <c r="AB387" s="324"/>
      <c r="AC387" s="313"/>
      <c r="AD387" s="324"/>
      <c r="AE387" s="313"/>
      <c r="AF387" s="324"/>
      <c r="AG387" s="313"/>
      <c r="AH387" s="324"/>
      <c r="AI387" s="313"/>
      <c r="AJ387" s="313"/>
      <c r="AK387" s="8"/>
      <c r="AT387" s="227"/>
      <c r="AU387" s="227"/>
      <c r="AV387" s="282"/>
      <c r="AZ387" s="247"/>
      <c r="BA387">
        <v>1</v>
      </c>
      <c r="BB387">
        <v>1</v>
      </c>
      <c r="BC387">
        <v>1</v>
      </c>
      <c r="BH387">
        <v>5</v>
      </c>
      <c r="BI387">
        <f>BF372</f>
        <v>1</v>
      </c>
    </row>
    <row r="388" spans="1:61" hidden="1" outlineLevel="1" x14ac:dyDescent="0.25">
      <c r="A388" s="168" t="str">
        <f t="array" ref="A388">IFERROR(INDEX(Montageplatten[Spalte1],LARGE((Montageplatten[Winkel_ges]=$A$195)*(ROW(Montageplatten[Winkel_ges])-1),COUNTIF(Montageplatten[Winkel_ges],$A$195)+1-ROW(A2))),"")</f>
        <v/>
      </c>
      <c r="B388" s="168" t="str">
        <f t="array" ref="B388">IFERROR(INDEX(Montageplatten[Spalte2],LARGE((Montageplatten[Winkel_ges]=$A$195)*(ROW(Montageplatten[Winkel_ges])-1),COUNTIF(Montageplatten[Winkel_ges],$A$195)+1-ROW(A2))),"")</f>
        <v/>
      </c>
      <c r="C388" s="168" t="str">
        <f t="array" ref="C388">IFERROR(INDEX(Montageplatten[Spalte3],LARGE((Montageplatten[Winkel_ges]=$A$195)*(ROW(Montageplatten[Winkel_ges])-1),COUNTIF(Montageplatten[Winkel_ges],$A$195)+1-ROW(A2))),"")</f>
        <v/>
      </c>
      <c r="D388" s="168" t="str">
        <f t="array" ref="D388">IFERROR(INDEX(Montageplatten[Bezeichnung 1],LARGE((Montageplatten[Winkel_ges]=$A$195)*(ROW(Montageplatten[Winkel_ges])-1),COUNTIF(Montageplatten[Winkel_ges],$A$195)+1-ROW(A2))),"")</f>
        <v/>
      </c>
      <c r="E388" s="168" t="str">
        <f t="array" ref="E388">IFERROR(INDEX(Montageplatten[Bezeichnung 2],LARGE((Montageplatten[Winkel_ges]=$A$195)*(ROW(Montageplatten[Winkel_ges])-1),COUNTIF(Montageplatten[Winkel_ges],$A$195)+1-ROW(A2))),"")</f>
        <v/>
      </c>
      <c r="F388" s="168" t="str">
        <f t="array" ref="F388">IFERROR(INDEX(Montageplatten[Bezeichnung TGr],LARGE((Montageplatten[Winkel_ges]=$A$195)*(ROW(Montageplatten[Winkel_ges])-1),COUNTIF(Montageplatten[Winkel_ges],$A$195)+1-ROW(A2))),"")</f>
        <v/>
      </c>
      <c r="G388" s="171" t="str">
        <f t="array" ref="G388">IFERROR(INDEX(Montageplatten[37/32],LARGE((Montageplatten[Winkel_ges]=$A$195)*(ROW(Montageplatten[Winkel_ges])-1),COUNTIF(Montageplatten[Winkel_ges],$A$195)+1-ROW(A2))),"")</f>
        <v/>
      </c>
      <c r="H388" s="171" t="str">
        <f t="array" ref="H388">IFERROR(INDEX(Montageplatten[28/32],LARGE((Montageplatten[Winkel_ges]=$A$195)*(ROW(Montageplatten[Winkel_ges])-1),COUNTIF(Montageplatten[Winkel_ges],$A$195)+1-ROW(A2))),"")</f>
        <v/>
      </c>
      <c r="I388" s="171" t="str">
        <f t="array" ref="I388">IFERROR(INDEX(Montageplatten[20/32],LARGE((Montageplatten[Winkel_ges]=$A$195)*(ROW(Montageplatten[Winkel_ges])-1),COUNTIF(Montageplatten[Winkel_ges],$A$195)+1-ROW(A2))),"")</f>
        <v/>
      </c>
      <c r="J388" s="171" t="str">
        <f t="array" ref="J388">IFERROR(INDEX(Montageplatten[9,5/32],LARGE((Montageplatten[Winkel_ges]=$A$195)*(ROW(Montageplatten[Winkel_ges])-1),COUNTIF(Montageplatten[Winkel_ges],$A$195)+1-ROW(A2))),"")</f>
        <v/>
      </c>
      <c r="K388" s="171" t="str">
        <f t="array" ref="K388">IFERROR(INDEX(Montageplatten[10/32],LARGE((Montageplatten[Winkel_ges]=$A$195)*(ROW(Montageplatten[Winkel_ges])-1),COUNTIF(Montageplatten[Winkel_ges],$A$195)+1-ROW(A2))),"")</f>
        <v/>
      </c>
      <c r="L388" s="171" t="str">
        <f t="array" ref="L388">IFERROR(INDEX(Montageplatten[Höhe],LARGE((Montageplatten[Winkel_ges]=$A$195)*(ROW(Montageplatten[Winkel_ges])-1),COUNTIF(Montageplatten[Winkel_ges],$A$195)+1-ROW(A2))),"")</f>
        <v/>
      </c>
      <c r="M388" s="8">
        <v>2</v>
      </c>
      <c r="N388" s="8"/>
      <c r="O388" s="8"/>
      <c r="P388" s="151"/>
      <c r="Q388" s="151"/>
      <c r="R388" s="8"/>
      <c r="T388" s="8"/>
      <c r="U388" s="322"/>
      <c r="V388" s="313"/>
      <c r="W388" s="313"/>
      <c r="X388" s="313"/>
      <c r="Y388" s="313"/>
      <c r="Z388" s="324"/>
      <c r="AA388" s="313"/>
      <c r="AB388" s="324"/>
      <c r="AC388" s="313"/>
      <c r="AD388" s="324"/>
      <c r="AE388" s="313"/>
      <c r="AF388" s="324"/>
      <c r="AG388" s="313"/>
      <c r="AH388" s="324"/>
      <c r="AI388" s="313"/>
      <c r="AJ388" s="313"/>
      <c r="AK388" s="8"/>
      <c r="AQ388" s="34"/>
      <c r="AT388" s="227"/>
      <c r="AU388" s="227"/>
      <c r="AV388" s="227"/>
      <c r="AZ388" s="247"/>
      <c r="BA388" t="str">
        <f t="shared" ref="BA388" si="92">IF($D$334=1,"Kreuz","Linear")</f>
        <v>Kreuz</v>
      </c>
      <c r="BB388" t="s">
        <v>1422</v>
      </c>
      <c r="BC388" t="s">
        <v>1361</v>
      </c>
      <c r="BE388">
        <f>DCOUNT(Montageplatten[[#Headers],[#Data],[MPH Winkel]:[Höhe]],Montageplatten[[#Headers],[Höhe]],select!BA388:BC389)</f>
        <v>0</v>
      </c>
      <c r="BF388">
        <f t="shared" si="89"/>
        <v>0</v>
      </c>
      <c r="BH388">
        <v>6</v>
      </c>
      <c r="BI388">
        <f>BF374</f>
        <v>0</v>
      </c>
    </row>
    <row r="389" spans="1:61" hidden="1" outlineLevel="1" x14ac:dyDescent="0.25">
      <c r="A389" s="168" t="str">
        <f t="array" ref="A389">IFERROR(INDEX(Montageplatten[Spalte1],LARGE((Montageplatten[Winkel_ges]=$A$195)*(ROW(Montageplatten[Winkel_ges])-1),COUNTIF(Montageplatten[Winkel_ges],$A$195)+1-ROW(A3))),"")</f>
        <v/>
      </c>
      <c r="B389" s="168" t="str">
        <f t="array" ref="B389">IFERROR(INDEX(Montageplatten[Spalte2],LARGE((Montageplatten[Winkel_ges]=$A$195)*(ROW(Montageplatten[Winkel_ges])-1),COUNTIF(Montageplatten[Winkel_ges],$A$195)+1-ROW(A3))),"")</f>
        <v/>
      </c>
      <c r="C389" s="168" t="str">
        <f t="array" ref="C389">IFERROR(INDEX(Montageplatten[Spalte3],LARGE((Montageplatten[Winkel_ges]=$A$195)*(ROW(Montageplatten[Winkel_ges])-1),COUNTIF(Montageplatten[Winkel_ges],$A$195)+1-ROW(A3))),"")</f>
        <v/>
      </c>
      <c r="D389" s="168" t="str">
        <f t="array" ref="D389">IFERROR(INDEX(Montageplatten[Bezeichnung 1],LARGE((Montageplatten[Winkel_ges]=$A$195)*(ROW(Montageplatten[Winkel_ges])-1),COUNTIF(Montageplatten[Winkel_ges],$A$195)+1-ROW(A3))),"")</f>
        <v/>
      </c>
      <c r="E389" s="168" t="str">
        <f t="array" ref="E389">IFERROR(INDEX(Montageplatten[Bezeichnung 2],LARGE((Montageplatten[Winkel_ges]=$A$195)*(ROW(Montageplatten[Winkel_ges])-1),COUNTIF(Montageplatten[Winkel_ges],$A$195)+1-ROW(A3))),"")</f>
        <v/>
      </c>
      <c r="F389" s="168" t="str">
        <f t="array" ref="F389">IFERROR(INDEX(Montageplatten[Bezeichnung TGr],LARGE((Montageplatten[Winkel_ges]=$A$195)*(ROW(Montageplatten[Winkel_ges])-1),COUNTIF(Montageplatten[Winkel_ges],$A$195)+1-ROW(A3))),"")</f>
        <v/>
      </c>
      <c r="G389" s="171" t="str">
        <f t="array" ref="G389">IFERROR(INDEX(Montageplatten[37/32],LARGE((Montageplatten[Winkel_ges]=$A$195)*(ROW(Montageplatten[Winkel_ges])-1),COUNTIF(Montageplatten[Winkel_ges],$A$195)+1-ROW(A3))),"")</f>
        <v/>
      </c>
      <c r="H389" s="171" t="str">
        <f t="array" ref="H389">IFERROR(INDEX(Montageplatten[28/32],LARGE((Montageplatten[Winkel_ges]=$A$195)*(ROW(Montageplatten[Winkel_ges])-1),COUNTIF(Montageplatten[Winkel_ges],$A$195)+1-ROW(A3))),"")</f>
        <v/>
      </c>
      <c r="I389" s="171" t="str">
        <f t="array" ref="I389">IFERROR(INDEX(Montageplatten[20/32],LARGE((Montageplatten[Winkel_ges]=$A$195)*(ROW(Montageplatten[Winkel_ges])-1),COUNTIF(Montageplatten[Winkel_ges],$A$195)+1-ROW(A3))),"")</f>
        <v/>
      </c>
      <c r="J389" s="171" t="str">
        <f t="array" ref="J389">IFERROR(INDEX(Montageplatten[9,5/32],LARGE((Montageplatten[Winkel_ges]=$A$195)*(ROW(Montageplatten[Winkel_ges])-1),COUNTIF(Montageplatten[Winkel_ges],$A$195)+1-ROW(A3))),"")</f>
        <v/>
      </c>
      <c r="K389" s="171" t="str">
        <f t="array" ref="K389">IFERROR(INDEX(Montageplatten[10/32],LARGE((Montageplatten[Winkel_ges]=$A$195)*(ROW(Montageplatten[Winkel_ges])-1),COUNTIF(Montageplatten[Winkel_ges],$A$195)+1-ROW(A3))),"")</f>
        <v/>
      </c>
      <c r="L389" s="171" t="str">
        <f t="array" ref="L389">IFERROR(INDEX(Montageplatten[Höhe],LARGE((Montageplatten[Winkel_ges]=$A$195)*(ROW(Montageplatten[Winkel_ges])-1),COUNTIF(Montageplatten[Winkel_ges],$A$195)+1-ROW(A3))),"")</f>
        <v/>
      </c>
      <c r="M389" s="3">
        <v>3</v>
      </c>
      <c r="N389" s="8"/>
      <c r="O389" s="8"/>
      <c r="P389" s="8"/>
      <c r="Q389" s="8"/>
      <c r="R389" s="8"/>
      <c r="T389" s="8"/>
      <c r="U389" s="322"/>
      <c r="V389" s="313"/>
      <c r="W389" s="313"/>
      <c r="X389" s="313"/>
      <c r="Y389" s="313"/>
      <c r="Z389" s="324"/>
      <c r="AA389" s="313"/>
      <c r="AB389" s="324"/>
      <c r="AC389" s="313"/>
      <c r="AD389" s="324"/>
      <c r="AE389" s="313"/>
      <c r="AF389" s="324"/>
      <c r="AG389" s="313"/>
      <c r="AH389" s="324"/>
      <c r="AI389" s="313"/>
      <c r="AJ389" s="313"/>
      <c r="AK389" s="8"/>
      <c r="AM389" s="34"/>
      <c r="AQ389" s="34"/>
      <c r="AT389" s="227"/>
      <c r="AU389" s="227"/>
      <c r="AV389" s="282"/>
      <c r="AZ389" s="247"/>
      <c r="BA389">
        <v>1</v>
      </c>
      <c r="BB389">
        <v>1</v>
      </c>
      <c r="BC389">
        <v>1</v>
      </c>
      <c r="BH389">
        <v>7</v>
      </c>
      <c r="BI389">
        <f>BF376</f>
        <v>0</v>
      </c>
    </row>
    <row r="390" spans="1:61" hidden="1" outlineLevel="1" x14ac:dyDescent="0.25">
      <c r="A390" s="168" t="str">
        <f t="array" ref="A390">IFERROR(INDEX(Montageplatten[Spalte1],LARGE((Montageplatten[Winkel_ges]=$A$195)*(ROW(Montageplatten[Winkel_ges])-1),COUNTIF(Montageplatten[Winkel_ges],$A$195)+1-ROW(A4))),"")</f>
        <v/>
      </c>
      <c r="B390" s="168" t="str">
        <f t="array" ref="B390">IFERROR(INDEX(Montageplatten[Spalte2],LARGE((Montageplatten[Winkel_ges]=$A$195)*(ROW(Montageplatten[Winkel_ges])-1),COUNTIF(Montageplatten[Winkel_ges],$A$195)+1-ROW(A4))),"")</f>
        <v/>
      </c>
      <c r="C390" s="168" t="str">
        <f t="array" ref="C390">IFERROR(INDEX(Montageplatten[Spalte3],LARGE((Montageplatten[Winkel_ges]=$A$195)*(ROW(Montageplatten[Winkel_ges])-1),COUNTIF(Montageplatten[Winkel_ges],$A$195)+1-ROW(A4))),"")</f>
        <v/>
      </c>
      <c r="D390" s="168" t="str">
        <f t="array" ref="D390">IFERROR(INDEX(Montageplatten[Bezeichnung 1],LARGE((Montageplatten[Winkel_ges]=$A$195)*(ROW(Montageplatten[Winkel_ges])-1),COUNTIF(Montageplatten[Winkel_ges],$A$195)+1-ROW(A4))),"")</f>
        <v/>
      </c>
      <c r="E390" s="168" t="str">
        <f t="array" ref="E390">IFERROR(INDEX(Montageplatten[Bezeichnung 2],LARGE((Montageplatten[Winkel_ges]=$A$195)*(ROW(Montageplatten[Winkel_ges])-1),COUNTIF(Montageplatten[Winkel_ges],$A$195)+1-ROW(A4))),"")</f>
        <v/>
      </c>
      <c r="F390" s="168" t="str">
        <f t="array" ref="F390">IFERROR(INDEX(Montageplatten[Bezeichnung TGr],LARGE((Montageplatten[Winkel_ges]=$A$195)*(ROW(Montageplatten[Winkel_ges])-1),COUNTIF(Montageplatten[Winkel_ges],$A$195)+1-ROW(A4))),"")</f>
        <v/>
      </c>
      <c r="G390" s="171" t="str">
        <f t="array" ref="G390">IFERROR(INDEX(Montageplatten[37/32],LARGE((Montageplatten[Winkel_ges]=$A$195)*(ROW(Montageplatten[Winkel_ges])-1),COUNTIF(Montageplatten[Winkel_ges],$A$195)+1-ROW(A4))),"")</f>
        <v/>
      </c>
      <c r="H390" s="171" t="str">
        <f t="array" ref="H390">IFERROR(INDEX(Montageplatten[28/32],LARGE((Montageplatten[Winkel_ges]=$A$195)*(ROW(Montageplatten[Winkel_ges])-1),COUNTIF(Montageplatten[Winkel_ges],$A$195)+1-ROW(A4))),"")</f>
        <v/>
      </c>
      <c r="I390" s="171" t="str">
        <f t="array" ref="I390">IFERROR(INDEX(Montageplatten[20/32],LARGE((Montageplatten[Winkel_ges]=$A$195)*(ROW(Montageplatten[Winkel_ges])-1),COUNTIF(Montageplatten[Winkel_ges],$A$195)+1-ROW(A4))),"")</f>
        <v/>
      </c>
      <c r="J390" s="171" t="str">
        <f t="array" ref="J390">IFERROR(INDEX(Montageplatten[9,5/32],LARGE((Montageplatten[Winkel_ges]=$A$195)*(ROW(Montageplatten[Winkel_ges])-1),COUNTIF(Montageplatten[Winkel_ges],$A$195)+1-ROW(A4))),"")</f>
        <v/>
      </c>
      <c r="K390" s="171" t="str">
        <f t="array" ref="K390">IFERROR(INDEX(Montageplatten[10/32],LARGE((Montageplatten[Winkel_ges]=$A$195)*(ROW(Montageplatten[Winkel_ges])-1),COUNTIF(Montageplatten[Winkel_ges],$A$195)+1-ROW(A4))),"")</f>
        <v/>
      </c>
      <c r="L390" s="171" t="str">
        <f t="array" ref="L390">IFERROR(INDEX(Montageplatten[Höhe],LARGE((Montageplatten[Winkel_ges]=$A$195)*(ROW(Montageplatten[Winkel_ges])-1),COUNTIF(Montageplatten[Winkel_ges],$A$195)+1-ROW(A4))),"")</f>
        <v/>
      </c>
      <c r="M390" s="8">
        <v>4</v>
      </c>
      <c r="N390" s="8"/>
      <c r="O390" s="8"/>
      <c r="P390" s="8"/>
      <c r="Q390" s="8"/>
      <c r="R390" s="8"/>
      <c r="U390" s="246"/>
      <c r="V390" s="313"/>
      <c r="W390" s="313"/>
      <c r="X390" s="313"/>
      <c r="Y390" s="313"/>
      <c r="Z390" s="324"/>
      <c r="AA390" s="313"/>
      <c r="AB390" s="324"/>
      <c r="AC390" s="313"/>
      <c r="AD390" s="324"/>
      <c r="AE390" s="313"/>
      <c r="AF390" s="324"/>
      <c r="AG390" s="313"/>
      <c r="AH390" s="324"/>
      <c r="AI390" s="313"/>
      <c r="AJ390" s="313"/>
      <c r="AK390" s="8"/>
      <c r="AM390" s="34"/>
      <c r="AR390" s="34"/>
      <c r="AS390" s="34"/>
      <c r="AT390" s="227"/>
      <c r="AU390" s="227"/>
      <c r="AV390" s="227"/>
      <c r="AW390" s="34"/>
      <c r="AZ390" s="247"/>
      <c r="BA390" t="str">
        <f t="shared" ref="BA390" si="93">IF($D$334=1,"Kreuz","Linear")</f>
        <v>Kreuz</v>
      </c>
      <c r="BB390" t="s">
        <v>1422</v>
      </c>
      <c r="BC390" t="s">
        <v>1370</v>
      </c>
      <c r="BE390">
        <f>DCOUNT(Montageplatten[[#Headers],[#Data],[MPH Winkel]:[Höhe]],Montageplatten[[#Headers],[Höhe]],select!BA390:BC391)</f>
        <v>0</v>
      </c>
      <c r="BF390">
        <f t="shared" si="89"/>
        <v>0</v>
      </c>
    </row>
    <row r="391" spans="1:61" hidden="1" outlineLevel="1" x14ac:dyDescent="0.25">
      <c r="A391" s="168" t="str">
        <f t="array" ref="A391">IFERROR(INDEX(Montageplatten[Spalte1],LARGE((Montageplatten[Winkel_ges]=$A$195)*(ROW(Montageplatten[Winkel_ges])-1),COUNTIF(Montageplatten[Winkel_ges],$A$195)+1-ROW(A5))),"")</f>
        <v/>
      </c>
      <c r="B391" s="168" t="str">
        <f t="array" ref="B391">IFERROR(INDEX(Montageplatten[Spalte2],LARGE((Montageplatten[Winkel_ges]=$A$195)*(ROW(Montageplatten[Winkel_ges])-1),COUNTIF(Montageplatten[Winkel_ges],$A$195)+1-ROW(A5))),"")</f>
        <v/>
      </c>
      <c r="C391" s="168" t="str">
        <f t="array" ref="C391">IFERROR(INDEX(Montageplatten[Spalte3],LARGE((Montageplatten[Winkel_ges]=$A$195)*(ROW(Montageplatten[Winkel_ges])-1),COUNTIF(Montageplatten[Winkel_ges],$A$195)+1-ROW(A5))),"")</f>
        <v/>
      </c>
      <c r="D391" s="168" t="str">
        <f t="array" ref="D391">IFERROR(INDEX(Montageplatten[Bezeichnung 1],LARGE((Montageplatten[Winkel_ges]=$A$195)*(ROW(Montageplatten[Winkel_ges])-1),COUNTIF(Montageplatten[Winkel_ges],$A$195)+1-ROW(A5))),"")</f>
        <v/>
      </c>
      <c r="E391" s="168" t="str">
        <f t="array" ref="E391">IFERROR(INDEX(Montageplatten[Bezeichnung 2],LARGE((Montageplatten[Winkel_ges]=$A$195)*(ROW(Montageplatten[Winkel_ges])-1),COUNTIF(Montageplatten[Winkel_ges],$A$195)+1-ROW(A5))),"")</f>
        <v/>
      </c>
      <c r="F391" s="168" t="str">
        <f t="array" ref="F391">IFERROR(INDEX(Montageplatten[Bezeichnung TGr],LARGE((Montageplatten[Winkel_ges]=$A$195)*(ROW(Montageplatten[Winkel_ges])-1),COUNTIF(Montageplatten[Winkel_ges],$A$195)+1-ROW(A5))),"")</f>
        <v/>
      </c>
      <c r="G391" s="171" t="str">
        <f t="array" ref="G391">IFERROR(INDEX(Montageplatten[37/32],LARGE((Montageplatten[Winkel_ges]=$A$195)*(ROW(Montageplatten[Winkel_ges])-1),COUNTIF(Montageplatten[Winkel_ges],$A$195)+1-ROW(A5))),"")</f>
        <v/>
      </c>
      <c r="H391" s="171" t="str">
        <f t="array" ref="H391">IFERROR(INDEX(Montageplatten[28/32],LARGE((Montageplatten[Winkel_ges]=$A$195)*(ROW(Montageplatten[Winkel_ges])-1),COUNTIF(Montageplatten[Winkel_ges],$A$195)+1-ROW(A5))),"")</f>
        <v/>
      </c>
      <c r="I391" s="171" t="str">
        <f t="array" ref="I391">IFERROR(INDEX(Montageplatten[20/32],LARGE((Montageplatten[Winkel_ges]=$A$195)*(ROW(Montageplatten[Winkel_ges])-1),COUNTIF(Montageplatten[Winkel_ges],$A$195)+1-ROW(A5))),"")</f>
        <v/>
      </c>
      <c r="J391" s="171" t="str">
        <f t="array" ref="J391">IFERROR(INDEX(Montageplatten[9,5/32],LARGE((Montageplatten[Winkel_ges]=$A$195)*(ROW(Montageplatten[Winkel_ges])-1),COUNTIF(Montageplatten[Winkel_ges],$A$195)+1-ROW(A5))),"")</f>
        <v/>
      </c>
      <c r="K391" s="171" t="str">
        <f t="array" ref="K391">IFERROR(INDEX(Montageplatten[10/32],LARGE((Montageplatten[Winkel_ges]=$A$195)*(ROW(Montageplatten[Winkel_ges])-1),COUNTIF(Montageplatten[Winkel_ges],$A$195)+1-ROW(A5))),"")</f>
        <v/>
      </c>
      <c r="L391" s="171" t="str">
        <f t="array" ref="L391">IFERROR(INDEX(Montageplatten[Höhe],LARGE((Montageplatten[Winkel_ges]=$A$195)*(ROW(Montageplatten[Winkel_ges])-1),COUNTIF(Montageplatten[Winkel_ges],$A$195)+1-ROW(A5))),"")</f>
        <v/>
      </c>
      <c r="M391" s="3">
        <v>5</v>
      </c>
      <c r="N391" s="8"/>
      <c r="O391" s="8"/>
      <c r="P391" s="8"/>
      <c r="Q391" s="8"/>
      <c r="R391" s="8"/>
      <c r="U391" s="246"/>
      <c r="V391" s="313"/>
      <c r="W391" s="313"/>
      <c r="X391" s="313"/>
      <c r="Y391" s="313"/>
      <c r="Z391" s="324"/>
      <c r="AA391" s="313"/>
      <c r="AB391" s="324"/>
      <c r="AC391" s="313"/>
      <c r="AD391" s="324"/>
      <c r="AE391" s="313"/>
      <c r="AF391" s="324"/>
      <c r="AG391" s="313"/>
      <c r="AH391" s="324"/>
      <c r="AI391" s="313"/>
      <c r="AJ391" s="313"/>
      <c r="AK391" s="8"/>
      <c r="AM391" s="34"/>
      <c r="AR391" s="34"/>
      <c r="AS391" s="34"/>
      <c r="AT391" s="227"/>
      <c r="AU391" s="227"/>
      <c r="AV391" s="282"/>
      <c r="AW391" s="34"/>
      <c r="AZ391" s="247"/>
      <c r="BA391">
        <v>1</v>
      </c>
      <c r="BB391">
        <v>1</v>
      </c>
      <c r="BC391">
        <v>1</v>
      </c>
    </row>
    <row r="392" spans="1:61" hidden="1" outlineLevel="1" x14ac:dyDescent="0.25">
      <c r="A392" s="168" t="str">
        <f t="array" ref="A392">IFERROR(INDEX(Montageplatten[Spalte1],LARGE((Montageplatten[Winkel_ges]=$A$195)*(ROW(Montageplatten[Winkel_ges])-1),COUNTIF(Montageplatten[Winkel_ges],$A$195)+1-ROW(A6))),"")</f>
        <v/>
      </c>
      <c r="B392" s="168" t="str">
        <f t="array" ref="B392">IFERROR(INDEX(Montageplatten[Spalte2],LARGE((Montageplatten[Winkel_ges]=$A$195)*(ROW(Montageplatten[Winkel_ges])-1),COUNTIF(Montageplatten[Winkel_ges],$A$195)+1-ROW(A6))),"")</f>
        <v/>
      </c>
      <c r="C392" s="168" t="str">
        <f t="array" ref="C392">IFERROR(INDEX(Montageplatten[Spalte3],LARGE((Montageplatten[Winkel_ges]=$A$195)*(ROW(Montageplatten[Winkel_ges])-1),COUNTIF(Montageplatten[Winkel_ges],$A$195)+1-ROW(A6))),"")</f>
        <v/>
      </c>
      <c r="D392" s="168" t="str">
        <f t="array" ref="D392">IFERROR(INDEX(Montageplatten[Bezeichnung 1],LARGE((Montageplatten[Winkel_ges]=$A$195)*(ROW(Montageplatten[Winkel_ges])-1),COUNTIF(Montageplatten[Winkel_ges],$A$195)+1-ROW(A6))),"")</f>
        <v/>
      </c>
      <c r="E392" s="168" t="str">
        <f t="array" ref="E392">IFERROR(INDEX(Montageplatten[Bezeichnung 2],LARGE((Montageplatten[Winkel_ges]=$A$195)*(ROW(Montageplatten[Winkel_ges])-1),COUNTIF(Montageplatten[Winkel_ges],$A$195)+1-ROW(A6))),"")</f>
        <v/>
      </c>
      <c r="F392" s="168" t="str">
        <f t="array" ref="F392">IFERROR(INDEX(Montageplatten[Bezeichnung TGr],LARGE((Montageplatten[Winkel_ges]=$A$195)*(ROW(Montageplatten[Winkel_ges])-1),COUNTIF(Montageplatten[Winkel_ges],$A$195)+1-ROW(A6))),"")</f>
        <v/>
      </c>
      <c r="G392" s="171" t="str">
        <f t="array" ref="G392">IFERROR(INDEX(Montageplatten[37/32],LARGE((Montageplatten[Winkel_ges]=$A$195)*(ROW(Montageplatten[Winkel_ges])-1),COUNTIF(Montageplatten[Winkel_ges],$A$195)+1-ROW(A6))),"")</f>
        <v/>
      </c>
      <c r="H392" s="171" t="str">
        <f t="array" ref="H392">IFERROR(INDEX(Montageplatten[28/32],LARGE((Montageplatten[Winkel_ges]=$A$195)*(ROW(Montageplatten[Winkel_ges])-1),COUNTIF(Montageplatten[Winkel_ges],$A$195)+1-ROW(A6))),"")</f>
        <v/>
      </c>
      <c r="I392" s="171" t="str">
        <f t="array" ref="I392">IFERROR(INDEX(Montageplatten[20/32],LARGE((Montageplatten[Winkel_ges]=$A$195)*(ROW(Montageplatten[Winkel_ges])-1),COUNTIF(Montageplatten[Winkel_ges],$A$195)+1-ROW(A6))),"")</f>
        <v/>
      </c>
      <c r="J392" s="171" t="str">
        <f t="array" ref="J392">IFERROR(INDEX(Montageplatten[9,5/32],LARGE((Montageplatten[Winkel_ges]=$A$195)*(ROW(Montageplatten[Winkel_ges])-1),COUNTIF(Montageplatten[Winkel_ges],$A$195)+1-ROW(A6))),"")</f>
        <v/>
      </c>
      <c r="K392" s="171" t="str">
        <f t="array" ref="K392">IFERROR(INDEX(Montageplatten[10/32],LARGE((Montageplatten[Winkel_ges]=$A$195)*(ROW(Montageplatten[Winkel_ges])-1),COUNTIF(Montageplatten[Winkel_ges],$A$195)+1-ROW(A6))),"")</f>
        <v/>
      </c>
      <c r="L392" s="171" t="str">
        <f t="array" ref="L392">IFERROR(INDEX(Montageplatten[Höhe],LARGE((Montageplatten[Winkel_ges]=$A$195)*(ROW(Montageplatten[Winkel_ges])-1),COUNTIF(Montageplatten[Winkel_ges],$A$195)+1-ROW(A6))),"")</f>
        <v/>
      </c>
      <c r="M392" s="8">
        <v>6</v>
      </c>
      <c r="N392" s="8"/>
      <c r="O392" s="8"/>
      <c r="P392" s="8"/>
      <c r="Q392" s="8"/>
      <c r="R392" s="8"/>
      <c r="U392" s="246"/>
      <c r="V392" s="313"/>
      <c r="W392" s="313"/>
      <c r="X392" s="313"/>
      <c r="Y392" s="313"/>
      <c r="Z392" s="324"/>
      <c r="AA392" s="313"/>
      <c r="AB392" s="324"/>
      <c r="AC392" s="313"/>
      <c r="AD392" s="324"/>
      <c r="AE392" s="313"/>
      <c r="AF392" s="324"/>
      <c r="AG392" s="313"/>
      <c r="AH392" s="324"/>
      <c r="AI392" s="313"/>
      <c r="AJ392" s="313"/>
      <c r="AK392" s="8"/>
      <c r="AM392" s="34"/>
      <c r="AT392" s="227"/>
      <c r="AU392" s="227"/>
      <c r="AV392" s="227"/>
      <c r="AZ392" s="247"/>
    </row>
    <row r="393" spans="1:61" hidden="1" outlineLevel="1" x14ac:dyDescent="0.25">
      <c r="A393" s="168" t="str">
        <f t="array" ref="A393">IFERROR(INDEX(Montageplatten[Spalte1],LARGE((Montageplatten[Winkel_ges]=$A$195)*(ROW(Montageplatten[Winkel_ges])-1),COUNTIF(Montageplatten[Winkel_ges],$A$195)+1-ROW(A7))),"")</f>
        <v/>
      </c>
      <c r="B393" s="168" t="str">
        <f t="array" ref="B393">IFERROR(INDEX(Montageplatten[Spalte2],LARGE((Montageplatten[Winkel_ges]=$A$195)*(ROW(Montageplatten[Winkel_ges])-1),COUNTIF(Montageplatten[Winkel_ges],$A$195)+1-ROW(A7))),"")</f>
        <v/>
      </c>
      <c r="C393" s="168" t="str">
        <f t="array" ref="C393">IFERROR(INDEX(Montageplatten[Spalte3],LARGE((Montageplatten[Winkel_ges]=$A$195)*(ROW(Montageplatten[Winkel_ges])-1),COUNTIF(Montageplatten[Winkel_ges],$A$195)+1-ROW(A7))),"")</f>
        <v/>
      </c>
      <c r="D393" s="168" t="str">
        <f t="array" ref="D393">IFERROR(INDEX(Montageplatten[Bezeichnung 1],LARGE((Montageplatten[Winkel_ges]=$A$195)*(ROW(Montageplatten[Winkel_ges])-1),COUNTIF(Montageplatten[Winkel_ges],$A$195)+1-ROW(A7))),"")</f>
        <v/>
      </c>
      <c r="E393" s="168" t="str">
        <f t="array" ref="E393">IFERROR(INDEX(Montageplatten[Bezeichnung 2],LARGE((Montageplatten[Winkel_ges]=$A$195)*(ROW(Montageplatten[Winkel_ges])-1),COUNTIF(Montageplatten[Winkel_ges],$A$195)+1-ROW(A7))),"")</f>
        <v/>
      </c>
      <c r="F393" s="168" t="str">
        <f t="array" ref="F393">IFERROR(INDEX(Montageplatten[Bezeichnung TGr],LARGE((Montageplatten[Winkel_ges]=$A$195)*(ROW(Montageplatten[Winkel_ges])-1),COUNTIF(Montageplatten[Winkel_ges],$A$195)+1-ROW(A7))),"")</f>
        <v/>
      </c>
      <c r="G393" s="171" t="str">
        <f t="array" ref="G393">IFERROR(INDEX(Montageplatten[37/32],LARGE((Montageplatten[Winkel_ges]=$A$195)*(ROW(Montageplatten[Winkel_ges])-1),COUNTIF(Montageplatten[Winkel_ges],$A$195)+1-ROW(A7))),"")</f>
        <v/>
      </c>
      <c r="H393" s="171" t="str">
        <f t="array" ref="H393">IFERROR(INDEX(Montageplatten[28/32],LARGE((Montageplatten[Winkel_ges]=$A$195)*(ROW(Montageplatten[Winkel_ges])-1),COUNTIF(Montageplatten[Winkel_ges],$A$195)+1-ROW(A7))),"")</f>
        <v/>
      </c>
      <c r="I393" s="171" t="str">
        <f t="array" ref="I393">IFERROR(INDEX(Montageplatten[20/32],LARGE((Montageplatten[Winkel_ges]=$A$195)*(ROW(Montageplatten[Winkel_ges])-1),COUNTIF(Montageplatten[Winkel_ges],$A$195)+1-ROW(A7))),"")</f>
        <v/>
      </c>
      <c r="J393" s="171" t="str">
        <f t="array" ref="J393">IFERROR(INDEX(Montageplatten[9,5/32],LARGE((Montageplatten[Winkel_ges]=$A$195)*(ROW(Montageplatten[Winkel_ges])-1),COUNTIF(Montageplatten[Winkel_ges],$A$195)+1-ROW(A7))),"")</f>
        <v/>
      </c>
      <c r="K393" s="171" t="str">
        <f t="array" ref="K393">IFERROR(INDEX(Montageplatten[10/32],LARGE((Montageplatten[Winkel_ges]=$A$195)*(ROW(Montageplatten[Winkel_ges])-1),COUNTIF(Montageplatten[Winkel_ges],$A$195)+1-ROW(A7))),"")</f>
        <v/>
      </c>
      <c r="L393" s="171" t="str">
        <f t="array" ref="L393">IFERROR(INDEX(Montageplatten[Höhe],LARGE((Montageplatten[Winkel_ges]=$A$195)*(ROW(Montageplatten[Winkel_ges])-1),COUNTIF(Montageplatten[Winkel_ges],$A$195)+1-ROW(A7))),"")</f>
        <v/>
      </c>
      <c r="M393" s="3">
        <v>7</v>
      </c>
      <c r="N393" s="8"/>
      <c r="O393" s="8"/>
      <c r="P393" s="8"/>
      <c r="Q393" s="8"/>
      <c r="R393" s="8"/>
      <c r="U393" s="246"/>
      <c r="V393" s="313"/>
      <c r="W393" s="313"/>
      <c r="X393" s="313"/>
      <c r="Y393" s="8"/>
      <c r="AA393" t="s">
        <v>1846</v>
      </c>
      <c r="AH393" s="324"/>
      <c r="AI393" s="313"/>
      <c r="AJ393" s="313"/>
      <c r="AK393" s="8"/>
      <c r="AM393" s="34"/>
      <c r="AT393" s="227"/>
      <c r="AU393" s="227"/>
      <c r="AV393" s="282"/>
      <c r="AZ393" s="247"/>
    </row>
    <row r="394" spans="1:61" hidden="1" outlineLevel="1" x14ac:dyDescent="0.25">
      <c r="A394" s="168" t="str">
        <f t="array" ref="A394">IFERROR(INDEX(Montageplatten[Spalte1],LARGE((Montageplatten[Winkel_ges]=$A$195)*(ROW(Montageplatten[Winkel_ges])-1),COUNTIF(Montageplatten[Winkel_ges],$A$195)+1-ROW(A8))),"")</f>
        <v/>
      </c>
      <c r="B394" s="168" t="str">
        <f t="array" ref="B394">IFERROR(INDEX(Montageplatten[Spalte2],LARGE((Montageplatten[Winkel_ges]=$A$195)*(ROW(Montageplatten[Winkel_ges])-1),COUNTIF(Montageplatten[Winkel_ges],$A$195)+1-ROW(A8))),"")</f>
        <v/>
      </c>
      <c r="C394" s="168" t="str">
        <f t="array" ref="C394">IFERROR(INDEX(Montageplatten[Spalte3],LARGE((Montageplatten[Winkel_ges]=$A$195)*(ROW(Montageplatten[Winkel_ges])-1),COUNTIF(Montageplatten[Winkel_ges],$A$195)+1-ROW(A8))),"")</f>
        <v/>
      </c>
      <c r="D394" s="168" t="str">
        <f t="array" ref="D394">IFERROR(INDEX(Montageplatten[Bezeichnung 1],LARGE((Montageplatten[Winkel_ges]=$A$195)*(ROW(Montageplatten[Winkel_ges])-1),COUNTIF(Montageplatten[Winkel_ges],$A$195)+1-ROW(A8))),"")</f>
        <v/>
      </c>
      <c r="E394" s="168" t="str">
        <f t="array" ref="E394">IFERROR(INDEX(Montageplatten[Bezeichnung 2],LARGE((Montageplatten[Winkel_ges]=$A$195)*(ROW(Montageplatten[Winkel_ges])-1),COUNTIF(Montageplatten[Winkel_ges],$A$195)+1-ROW(A8))),"")</f>
        <v/>
      </c>
      <c r="F394" s="168" t="str">
        <f t="array" ref="F394">IFERROR(INDEX(Montageplatten[Bezeichnung TGr],LARGE((Montageplatten[Winkel_ges]=$A$195)*(ROW(Montageplatten[Winkel_ges])-1),COUNTIF(Montageplatten[Winkel_ges],$A$195)+1-ROW(A8))),"")</f>
        <v/>
      </c>
      <c r="G394" s="171" t="str">
        <f t="array" ref="G394">IFERROR(INDEX(Montageplatten[37/32],LARGE((Montageplatten[Winkel_ges]=$A$195)*(ROW(Montageplatten[Winkel_ges])-1),COUNTIF(Montageplatten[Winkel_ges],$A$195)+1-ROW(A8))),"")</f>
        <v/>
      </c>
      <c r="H394" s="171" t="str">
        <f t="array" ref="H394">IFERROR(INDEX(Montageplatten[28/32],LARGE((Montageplatten[Winkel_ges]=$A$195)*(ROW(Montageplatten[Winkel_ges])-1),COUNTIF(Montageplatten[Winkel_ges],$A$195)+1-ROW(A8))),"")</f>
        <v/>
      </c>
      <c r="I394" s="171" t="str">
        <f t="array" ref="I394">IFERROR(INDEX(Montageplatten[20/32],LARGE((Montageplatten[Winkel_ges]=$A$195)*(ROW(Montageplatten[Winkel_ges])-1),COUNTIF(Montageplatten[Winkel_ges],$A$195)+1-ROW(A8))),"")</f>
        <v/>
      </c>
      <c r="J394" s="171" t="str">
        <f t="array" ref="J394">IFERROR(INDEX(Montageplatten[9,5/32],LARGE((Montageplatten[Winkel_ges]=$A$195)*(ROW(Montageplatten[Winkel_ges])-1),COUNTIF(Montageplatten[Winkel_ges],$A$195)+1-ROW(A8))),"")</f>
        <v/>
      </c>
      <c r="K394" s="171" t="str">
        <f t="array" ref="K394">IFERROR(INDEX(Montageplatten[10/32],LARGE((Montageplatten[Winkel_ges]=$A$195)*(ROW(Montageplatten[Winkel_ges])-1),COUNTIF(Montageplatten[Winkel_ges],$A$195)+1-ROW(A8))),"")</f>
        <v/>
      </c>
      <c r="L394" s="171" t="str">
        <f t="array" ref="L394">IFERROR(INDEX(Montageplatten[Höhe],LARGE((Montageplatten[Winkel_ges]=$A$195)*(ROW(Montageplatten[Winkel_ges])-1),COUNTIF(Montageplatten[Winkel_ges],$A$195)+1-ROW(A8))),"")</f>
        <v/>
      </c>
      <c r="M394" s="8">
        <v>8</v>
      </c>
      <c r="N394" s="8"/>
      <c r="O394" s="8"/>
      <c r="P394" s="8"/>
      <c r="Q394" s="8"/>
      <c r="R394" s="8"/>
      <c r="U394" s="246"/>
      <c r="V394" s="313"/>
      <c r="W394" s="313"/>
      <c r="X394" s="313"/>
      <c r="Y394" s="8"/>
      <c r="Z394">
        <f>VLOOKUP($L$338,AA397:AG404,7,FALSE)</f>
        <v>3</v>
      </c>
      <c r="AA394" s="303" t="str">
        <f>IFERROR(VLOOKUP(Z394,Y397:AF404,$A$347+3,FALSE)&amp;" mm","---")</f>
        <v>1,4 mm</v>
      </c>
      <c r="AH394" s="324"/>
      <c r="AI394" s="313"/>
      <c r="AJ394" s="313"/>
      <c r="AK394" s="8"/>
      <c r="AM394" s="34"/>
      <c r="AT394" s="227"/>
      <c r="AU394" s="227"/>
      <c r="AV394" s="227"/>
      <c r="AZ394" s="247"/>
      <c r="BB394" t="s">
        <v>1422</v>
      </c>
      <c r="BC394" t="s">
        <v>52</v>
      </c>
      <c r="BE394">
        <f>DCOUNT(Montageplatten[[#Headers],[#Data],[MPH Winkel]:[Höhe]],Montageplatten[[#Headers],[Höhe]],select!BB394:BC395)</f>
        <v>5</v>
      </c>
      <c r="BF394">
        <f t="shared" ref="BF394:BF400" si="94">IF(BE394&gt;0,1,0)</f>
        <v>1</v>
      </c>
    </row>
    <row r="395" spans="1:61" hidden="1" outlineLevel="1" x14ac:dyDescent="0.25">
      <c r="A395" s="168" t="str">
        <f t="array" ref="A395">IFERROR(INDEX(Montageplatten[Spalte1],LARGE((Montageplatten[Winkel_ges]=$A$195)*(ROW(Montageplatten[Winkel_ges])-1),COUNTIF(Montageplatten[Winkel_ges],$A$195)+1-ROW(A9))),"")</f>
        <v/>
      </c>
      <c r="B395" s="168" t="str">
        <f t="array" ref="B395">IFERROR(INDEX(Montageplatten[Spalte2],LARGE((Montageplatten[Winkel_ges]=$A$195)*(ROW(Montageplatten[Winkel_ges])-1),COUNTIF(Montageplatten[Winkel_ges],$A$195)+1-ROW(A9))),"")</f>
        <v/>
      </c>
      <c r="C395" s="168" t="str">
        <f t="array" ref="C395">IFERROR(INDEX(Montageplatten[Spalte3],LARGE((Montageplatten[Winkel_ges]=$A$195)*(ROW(Montageplatten[Winkel_ges])-1),COUNTIF(Montageplatten[Winkel_ges],$A$195)+1-ROW(A9))),"")</f>
        <v/>
      </c>
      <c r="D395" s="168" t="str">
        <f t="array" ref="D395">IFERROR(INDEX(Montageplatten[Bezeichnung 1],LARGE((Montageplatten[Winkel_ges]=$A$195)*(ROW(Montageplatten[Winkel_ges])-1),COUNTIF(Montageplatten[Winkel_ges],$A$195)+1-ROW(A9))),"")</f>
        <v/>
      </c>
      <c r="E395" s="168" t="str">
        <f t="array" ref="E395">IFERROR(INDEX(Montageplatten[Bezeichnung 2],LARGE((Montageplatten[Winkel_ges]=$A$195)*(ROW(Montageplatten[Winkel_ges])-1),COUNTIF(Montageplatten[Winkel_ges],$A$195)+1-ROW(A9))),"")</f>
        <v/>
      </c>
      <c r="F395" s="168" t="str">
        <f t="array" ref="F395">IFERROR(INDEX(Montageplatten[Bezeichnung TGr],LARGE((Montageplatten[Winkel_ges]=$A$195)*(ROW(Montageplatten[Winkel_ges])-1),COUNTIF(Montageplatten[Winkel_ges],$A$195)+1-ROW(A9))),"")</f>
        <v/>
      </c>
      <c r="G395" s="171" t="str">
        <f t="array" ref="G395">IFERROR(INDEX(Montageplatten[37/32],LARGE((Montageplatten[Winkel_ges]=$A$195)*(ROW(Montageplatten[Winkel_ges])-1),COUNTIF(Montageplatten[Winkel_ges],$A$195)+1-ROW(A9))),"")</f>
        <v/>
      </c>
      <c r="H395" s="171" t="str">
        <f t="array" ref="H395">IFERROR(INDEX(Montageplatten[28/32],LARGE((Montageplatten[Winkel_ges]=$A$195)*(ROW(Montageplatten[Winkel_ges])-1),COUNTIF(Montageplatten[Winkel_ges],$A$195)+1-ROW(A9))),"")</f>
        <v/>
      </c>
      <c r="I395" s="171" t="str">
        <f t="array" ref="I395">IFERROR(INDEX(Montageplatten[20/32],LARGE((Montageplatten[Winkel_ges]=$A$195)*(ROW(Montageplatten[Winkel_ges])-1),COUNTIF(Montageplatten[Winkel_ges],$A$195)+1-ROW(A9))),"")</f>
        <v/>
      </c>
      <c r="J395" s="171" t="str">
        <f t="array" ref="J395">IFERROR(INDEX(Montageplatten[9,5/32],LARGE((Montageplatten[Winkel_ges]=$A$195)*(ROW(Montageplatten[Winkel_ges])-1),COUNTIF(Montageplatten[Winkel_ges],$A$195)+1-ROW(A9))),"")</f>
        <v/>
      </c>
      <c r="K395" s="171" t="str">
        <f t="array" ref="K395">IFERROR(INDEX(Montageplatten[10/32],LARGE((Montageplatten[Winkel_ges]=$A$195)*(ROW(Montageplatten[Winkel_ges])-1),COUNTIF(Montageplatten[Winkel_ges],$A$195)+1-ROW(A9))),"")</f>
        <v/>
      </c>
      <c r="L395" s="171" t="str">
        <f t="array" ref="L395">IFERROR(INDEX(Montageplatten[Höhe],LARGE((Montageplatten[Winkel_ges]=$A$195)*(ROW(Montageplatten[Winkel_ges])-1),COUNTIF(Montageplatten[Winkel_ges],$A$195)+1-ROW(A9))),"")</f>
        <v/>
      </c>
      <c r="M395" s="3">
        <v>9</v>
      </c>
      <c r="N395" s="8"/>
      <c r="O395" s="8"/>
      <c r="P395" s="8"/>
      <c r="Q395" s="8"/>
      <c r="R395" s="8"/>
      <c r="U395" s="246"/>
      <c r="V395" s="313"/>
      <c r="W395" s="313"/>
      <c r="X395" s="313"/>
      <c r="Y395" s="8"/>
      <c r="AH395" s="313"/>
      <c r="AI395" s="313"/>
      <c r="AJ395" s="313"/>
      <c r="AK395" s="8"/>
      <c r="AM395" s="34"/>
      <c r="AT395" s="227"/>
      <c r="AU395" s="227"/>
      <c r="AV395" s="282"/>
      <c r="AZ395" s="247"/>
      <c r="BB395">
        <v>1</v>
      </c>
      <c r="BC395">
        <v>1</v>
      </c>
    </row>
    <row r="396" spans="1:61" hidden="1" outlineLevel="1" x14ac:dyDescent="0.25">
      <c r="A396" s="168" t="str">
        <f t="array" ref="A396">IFERROR(INDEX(Montageplatten[Spalte1],LARGE((Montageplatten[Winkel_ges]=$A$195)*(ROW(Montageplatten[Winkel_ges])-1),COUNTIF(Montageplatten[Winkel_ges],$A$195)+1-ROW(A10))),"")</f>
        <v/>
      </c>
      <c r="B396" s="168" t="str">
        <f t="array" ref="B396">IFERROR(INDEX(Montageplatten[Spalte2],LARGE((Montageplatten[Winkel_ges]=$A$195)*(ROW(Montageplatten[Winkel_ges])-1),COUNTIF(Montageplatten[Winkel_ges],$A$195)+1-ROW(A10))),"")</f>
        <v/>
      </c>
      <c r="C396" s="168" t="str">
        <f t="array" ref="C396">IFERROR(INDEX(Montageplatten[Spalte3],LARGE((Montageplatten[Winkel_ges]=$A$195)*(ROW(Montageplatten[Winkel_ges])-1),COUNTIF(Montageplatten[Winkel_ges],$A$195)+1-ROW(A10))),"")</f>
        <v/>
      </c>
      <c r="D396" s="168" t="str">
        <f t="array" ref="D396">IFERROR(INDEX(Montageplatten[Bezeichnung 1],LARGE((Montageplatten[Winkel_ges]=$A$195)*(ROW(Montageplatten[Winkel_ges])-1),COUNTIF(Montageplatten[Winkel_ges],$A$195)+1-ROW(A10))),"")</f>
        <v/>
      </c>
      <c r="E396" s="168" t="str">
        <f t="array" ref="E396">IFERROR(INDEX(Montageplatten[Bezeichnung 2],LARGE((Montageplatten[Winkel_ges]=$A$195)*(ROW(Montageplatten[Winkel_ges])-1),COUNTIF(Montageplatten[Winkel_ges],$A$195)+1-ROW(A10))),"")</f>
        <v/>
      </c>
      <c r="F396" s="168" t="str">
        <f t="array" ref="F396">IFERROR(INDEX(Montageplatten[Bezeichnung TGr],LARGE((Montageplatten[Winkel_ges]=$A$195)*(ROW(Montageplatten[Winkel_ges])-1),COUNTIF(Montageplatten[Winkel_ges],$A$195)+1-ROW(A10))),"")</f>
        <v/>
      </c>
      <c r="G396" s="171" t="str">
        <f t="array" ref="G396">IFERROR(INDEX(Montageplatten[37/32],LARGE((Montageplatten[Winkel_ges]=$A$195)*(ROW(Montageplatten[Winkel_ges])-1),COUNTIF(Montageplatten[Winkel_ges],$A$195)+1-ROW(A10))),"")</f>
        <v/>
      </c>
      <c r="H396" s="171" t="str">
        <f t="array" ref="H396">IFERROR(INDEX(Montageplatten[28/32],LARGE((Montageplatten[Winkel_ges]=$A$195)*(ROW(Montageplatten[Winkel_ges])-1),COUNTIF(Montageplatten[Winkel_ges],$A$195)+1-ROW(A10))),"")</f>
        <v/>
      </c>
      <c r="I396" s="171" t="str">
        <f t="array" ref="I396">IFERROR(INDEX(Montageplatten[20/32],LARGE((Montageplatten[Winkel_ges]=$A$195)*(ROW(Montageplatten[Winkel_ges])-1),COUNTIF(Montageplatten[Winkel_ges],$A$195)+1-ROW(A10))),"")</f>
        <v/>
      </c>
      <c r="J396" s="171" t="str">
        <f t="array" ref="J396">IFERROR(INDEX(Montageplatten[9,5/32],LARGE((Montageplatten[Winkel_ges]=$A$195)*(ROW(Montageplatten[Winkel_ges])-1),COUNTIF(Montageplatten[Winkel_ges],$A$195)+1-ROW(A10))),"")</f>
        <v/>
      </c>
      <c r="K396" s="171" t="str">
        <f t="array" ref="K396">IFERROR(INDEX(Montageplatten[10/32],LARGE((Montageplatten[Winkel_ges]=$A$195)*(ROW(Montageplatten[Winkel_ges])-1),COUNTIF(Montageplatten[Winkel_ges],$A$195)+1-ROW(A10))),"")</f>
        <v/>
      </c>
      <c r="L396" s="171" t="str">
        <f t="array" ref="L396">IFERROR(INDEX(Montageplatten[Höhe],LARGE((Montageplatten[Winkel_ges]=$A$195)*(ROW(Montageplatten[Winkel_ges])-1),COUNTIF(Montageplatten[Winkel_ges],$A$195)+1-ROW(A10))),"")</f>
        <v/>
      </c>
      <c r="M396" s="8">
        <v>10</v>
      </c>
      <c r="N396" s="8"/>
      <c r="O396" s="8"/>
      <c r="P396" s="8"/>
      <c r="Q396" s="8"/>
      <c r="R396" s="8"/>
      <c r="U396" s="246"/>
      <c r="V396" s="313"/>
      <c r="W396" s="313"/>
      <c r="X396" s="313"/>
      <c r="Y396" s="308"/>
      <c r="Z396" s="308" t="s">
        <v>1839</v>
      </c>
      <c r="AA396" s="308"/>
      <c r="AB396" s="308">
        <v>3</v>
      </c>
      <c r="AC396" s="308">
        <v>4</v>
      </c>
      <c r="AD396" s="308">
        <v>5</v>
      </c>
      <c r="AE396" s="308">
        <v>6</v>
      </c>
      <c r="AF396" s="309">
        <v>7</v>
      </c>
      <c r="AH396" s="313"/>
      <c r="AI396" s="313"/>
      <c r="AJ396" s="313"/>
      <c r="AK396" s="8"/>
      <c r="AM396" s="34"/>
      <c r="AT396" s="227"/>
      <c r="AU396" s="227"/>
      <c r="AV396" s="227"/>
      <c r="AZ396" s="247"/>
      <c r="BB396" t="s">
        <v>1422</v>
      </c>
      <c r="BC396" t="s">
        <v>51</v>
      </c>
      <c r="BE396">
        <f>DCOUNT(Montageplatten[[#Headers],[#Data],[MPH Winkel]:[Höhe]],Montageplatten[[#Headers],[Höhe]],select!BB396:BC397)</f>
        <v>0</v>
      </c>
      <c r="BF396">
        <f t="shared" si="94"/>
        <v>0</v>
      </c>
    </row>
    <row r="397" spans="1:61" hidden="1" outlineLevel="1" x14ac:dyDescent="0.25">
      <c r="A397" s="168" t="str">
        <f t="array" ref="A397">IFERROR(INDEX(Montageplatten[Spalte1],LARGE((Montageplatten[Winkel_ges]=$A$195)*(ROW(Montageplatten[Winkel_ges])-1),COUNTIF(Montageplatten[Winkel_ges],$A$195)+1-ROW(A11))),"")</f>
        <v/>
      </c>
      <c r="B397" s="168" t="str">
        <f t="array" ref="B397">IFERROR(INDEX(Montageplatten[Spalte2],LARGE((Montageplatten[Winkel_ges]=$A$195)*(ROW(Montageplatten[Winkel_ges])-1),COUNTIF(Montageplatten[Winkel_ges],$A$195)+1-ROW(A11))),"")</f>
        <v/>
      </c>
      <c r="C397" s="168" t="str">
        <f t="array" ref="C397">IFERROR(INDEX(Montageplatten[Spalte3],LARGE((Montageplatten[Winkel_ges]=$A$195)*(ROW(Montageplatten[Winkel_ges])-1),COUNTIF(Montageplatten[Winkel_ges],$A$195)+1-ROW(A11))),"")</f>
        <v/>
      </c>
      <c r="D397" s="168" t="str">
        <f t="array" ref="D397">IFERROR(INDEX(Montageplatten[Bezeichnung 1],LARGE((Montageplatten[Winkel_ges]=$A$195)*(ROW(Montageplatten[Winkel_ges])-1),COUNTIF(Montageplatten[Winkel_ges],$A$195)+1-ROW(A11))),"")</f>
        <v/>
      </c>
      <c r="E397" s="168" t="str">
        <f t="array" ref="E397">IFERROR(INDEX(Montageplatten[Bezeichnung 2],LARGE((Montageplatten[Winkel_ges]=$A$195)*(ROW(Montageplatten[Winkel_ges])-1),COUNTIF(Montageplatten[Winkel_ges],$A$195)+1-ROW(A11))),"")</f>
        <v/>
      </c>
      <c r="F397" s="168" t="str">
        <f t="array" ref="F397">IFERROR(INDEX(Montageplatten[Bezeichnung TGr],LARGE((Montageplatten[Winkel_ges]=$A$195)*(ROW(Montageplatten[Winkel_ges])-1),COUNTIF(Montageplatten[Winkel_ges],$A$195)+1-ROW(A11))),"")</f>
        <v/>
      </c>
      <c r="G397" s="171" t="str">
        <f t="array" ref="G397">IFERROR(INDEX(Montageplatten[37/32],LARGE((Montageplatten[Winkel_ges]=$A$195)*(ROW(Montageplatten[Winkel_ges])-1),COUNTIF(Montageplatten[Winkel_ges],$A$195)+1-ROW(A11))),"")</f>
        <v/>
      </c>
      <c r="H397" s="171" t="str">
        <f t="array" ref="H397">IFERROR(INDEX(Montageplatten[28/32],LARGE((Montageplatten[Winkel_ges]=$A$195)*(ROW(Montageplatten[Winkel_ges])-1),COUNTIF(Montageplatten[Winkel_ges],$A$195)+1-ROW(A11))),"")</f>
        <v/>
      </c>
      <c r="I397" s="171" t="str">
        <f t="array" ref="I397">IFERROR(INDEX(Montageplatten[20/32],LARGE((Montageplatten[Winkel_ges]=$A$195)*(ROW(Montageplatten[Winkel_ges])-1),COUNTIF(Montageplatten[Winkel_ges],$A$195)+1-ROW(A11))),"")</f>
        <v/>
      </c>
      <c r="J397" s="171" t="str">
        <f t="array" ref="J397">IFERROR(INDEX(Montageplatten[9,5/32],LARGE((Montageplatten[Winkel_ges]=$A$195)*(ROW(Montageplatten[Winkel_ges])-1),COUNTIF(Montageplatten[Winkel_ges],$A$195)+1-ROW(A11))),"")</f>
        <v/>
      </c>
      <c r="K397" s="171" t="str">
        <f t="array" ref="K397">IFERROR(INDEX(Montageplatten[10/32],LARGE((Montageplatten[Winkel_ges]=$A$195)*(ROW(Montageplatten[Winkel_ges])-1),COUNTIF(Montageplatten[Winkel_ges],$A$195)+1-ROW(A11))),"")</f>
        <v/>
      </c>
      <c r="L397" s="171" t="str">
        <f t="array" ref="L397">IFERROR(INDEX(Montageplatten[Höhe],LARGE((Montageplatten[Winkel_ges]=$A$195)*(ROW(Montageplatten[Winkel_ges])-1),COUNTIF(Montageplatten[Winkel_ges],$A$195)+1-ROW(A11))),"")</f>
        <v/>
      </c>
      <c r="M397" s="3">
        <v>11</v>
      </c>
      <c r="U397" s="246"/>
      <c r="V397" s="313"/>
      <c r="W397" s="313"/>
      <c r="X397" s="313"/>
      <c r="Y397" s="34">
        <v>1</v>
      </c>
      <c r="Z397" s="34" t="str">
        <f>TEXT(AA397,"0,0")&amp;" mm"</f>
        <v>24,0 mm</v>
      </c>
      <c r="AA397" s="34">
        <f t="shared" ref="AA397:AA404" si="95">AO322</f>
        <v>24</v>
      </c>
      <c r="AB397" s="317">
        <v>2.4</v>
      </c>
      <c r="AC397" s="317">
        <v>2.1</v>
      </c>
      <c r="AD397" s="317">
        <v>2.1</v>
      </c>
      <c r="AE397" s="317">
        <v>2.1</v>
      </c>
      <c r="AF397" s="318">
        <v>2</v>
      </c>
      <c r="AG397" s="310">
        <v>1</v>
      </c>
      <c r="AH397" s="313"/>
      <c r="AI397" s="313"/>
      <c r="AJ397" s="313"/>
      <c r="AK397" s="8"/>
      <c r="AM397" s="34"/>
      <c r="AT397" s="227"/>
      <c r="AU397" s="227"/>
      <c r="AV397" s="282"/>
      <c r="AZ397" s="247"/>
      <c r="BB397">
        <v>1</v>
      </c>
      <c r="BC397">
        <v>1</v>
      </c>
    </row>
    <row r="398" spans="1:61" hidden="1" outlineLevel="1" x14ac:dyDescent="0.25">
      <c r="U398" s="246"/>
      <c r="V398" s="313"/>
      <c r="W398" s="313"/>
      <c r="X398" s="313"/>
      <c r="Y398" s="34">
        <v>2</v>
      </c>
      <c r="Z398" s="34" t="str">
        <f t="shared" ref="Z398:Z404" si="96">TEXT(AA398,"0,0")&amp;" mm"</f>
        <v>22,0 mm</v>
      </c>
      <c r="AA398" s="34">
        <f t="shared" si="95"/>
        <v>22</v>
      </c>
      <c r="AB398" s="317">
        <v>1.6</v>
      </c>
      <c r="AC398" s="317">
        <v>1.6</v>
      </c>
      <c r="AD398" s="317">
        <v>1.6</v>
      </c>
      <c r="AE398" s="317">
        <v>1.5</v>
      </c>
      <c r="AF398" s="318">
        <v>1.5</v>
      </c>
      <c r="AG398" s="311">
        <v>2</v>
      </c>
      <c r="AH398" s="313"/>
      <c r="AI398" s="313"/>
      <c r="AJ398" s="313"/>
      <c r="AK398" s="8"/>
      <c r="AM398" s="34"/>
      <c r="AT398" s="227"/>
      <c r="AU398" s="227"/>
      <c r="AV398" s="227"/>
      <c r="AZ398" s="247"/>
      <c r="BB398" t="s">
        <v>1422</v>
      </c>
      <c r="BC398" t="s">
        <v>1360</v>
      </c>
      <c r="BE398">
        <f>DCOUNT(Montageplatten[[#Headers],[#Data],[MPH Winkel]:[Höhe]],Montageplatten[[#Headers],[Höhe]],select!BB398:BC399)</f>
        <v>0</v>
      </c>
      <c r="BF398">
        <f t="shared" si="94"/>
        <v>0</v>
      </c>
    </row>
    <row r="399" spans="1:61" hidden="1" outlineLevel="1" x14ac:dyDescent="0.25">
      <c r="A399" t="s">
        <v>20</v>
      </c>
      <c r="U399" s="246"/>
      <c r="V399" s="313"/>
      <c r="W399" s="313"/>
      <c r="X399" s="313"/>
      <c r="Y399" s="34">
        <v>3</v>
      </c>
      <c r="Z399" s="34" t="str">
        <f t="shared" si="96"/>
        <v>21,0 mm</v>
      </c>
      <c r="AA399" s="34">
        <f t="shared" si="95"/>
        <v>21</v>
      </c>
      <c r="AB399" s="317">
        <v>1.4</v>
      </c>
      <c r="AC399" s="317">
        <v>1.3</v>
      </c>
      <c r="AD399" s="317">
        <v>1.3</v>
      </c>
      <c r="AE399" s="317">
        <v>1.3</v>
      </c>
      <c r="AF399" s="318">
        <v>1.3</v>
      </c>
      <c r="AG399" s="311">
        <v>3</v>
      </c>
      <c r="AH399" s="313"/>
      <c r="AI399" s="313"/>
      <c r="AJ399" s="313"/>
      <c r="AK399" s="8"/>
      <c r="AM399" s="34"/>
      <c r="AT399" s="227"/>
      <c r="AU399" s="227"/>
      <c r="AV399" s="282"/>
      <c r="AZ399" s="247"/>
      <c r="BB399">
        <v>1</v>
      </c>
      <c r="BC399">
        <v>1</v>
      </c>
    </row>
    <row r="400" spans="1:61" hidden="1" outlineLevel="1" x14ac:dyDescent="0.25">
      <c r="A400" t="s">
        <v>40</v>
      </c>
      <c r="O400" s="131" t="str">
        <f>IF(O401=0,Sprache!$A$56&amp;" "&amp;Sprache!$A$147,IF(P401=0,Sprache!$A$51,""))</f>
        <v/>
      </c>
      <c r="U400" s="246"/>
      <c r="V400" s="313"/>
      <c r="W400" s="313"/>
      <c r="X400" s="313"/>
      <c r="Y400" s="34">
        <v>4</v>
      </c>
      <c r="Z400" s="34" t="str">
        <f t="shared" si="96"/>
        <v>20,0 mm</v>
      </c>
      <c r="AA400" s="34">
        <f t="shared" si="95"/>
        <v>20</v>
      </c>
      <c r="AB400" s="317">
        <v>1.1000000000000001</v>
      </c>
      <c r="AC400" s="317">
        <v>1.1000000000000001</v>
      </c>
      <c r="AD400" s="317">
        <v>1.1000000000000001</v>
      </c>
      <c r="AE400" s="317">
        <v>1.1000000000000001</v>
      </c>
      <c r="AF400" s="318">
        <v>1.1000000000000001</v>
      </c>
      <c r="AG400" s="311">
        <v>4</v>
      </c>
      <c r="AH400" s="313"/>
      <c r="AI400" s="313"/>
      <c r="AJ400" s="313"/>
      <c r="AK400" s="8"/>
      <c r="AT400" s="227"/>
      <c r="AU400" s="227"/>
      <c r="AV400" s="227"/>
      <c r="AZ400" s="247"/>
      <c r="BB400" t="s">
        <v>1422</v>
      </c>
      <c r="BC400" t="s">
        <v>1373</v>
      </c>
      <c r="BE400">
        <f>DCOUNT(Montageplatten[[#Headers],[#Data],[MPH Winkel]:[Höhe]],Montageplatten[[#Headers],[Höhe]],select!BB400:BC401)</f>
        <v>0</v>
      </c>
      <c r="BF400">
        <f t="shared" si="94"/>
        <v>0</v>
      </c>
    </row>
    <row r="401" spans="1:55" hidden="1" outlineLevel="1" x14ac:dyDescent="0.25">
      <c r="A401" s="18" t="str">
        <f t="array" aca="1" ref="A401" ca="1">IFERROR(INDEX(select!$D$387:$D$397,LARGE(($G$387:$G$397=select!$L$178)*(ROW($G$387:$G$397)-$B$386),COUNTIF($G$387:$G$397,1)+1-ROW(A1))),Sprache!$A$56&amp;" "&amp;Sprache!$A$146)</f>
        <v>Eco Kreuz Mtg-Platte</v>
      </c>
      <c r="B401" s="18" t="str">
        <f t="array" aca="1" ref="B401" ca="1">IFERROR(INDEX(F387:F397,LARGE(($G$387:$G$397=select!$L$178)*(ROW($G$387:$G$397)-$B$386),COUNTIF($G$387:$G$397,1)+1-ROW(A1))),Sprache!$A$38)</f>
        <v>Tiomos Montageplatten</v>
      </c>
      <c r="C401" s="18" t="str">
        <f t="array" ref="C401">IFERROR(INDEX(select!$E$387:$E$397,LARGE(($G$387:$G$397=select!$L$178)*(ROW($G$387:$G$397)-$B$386),COUNTIF($G$387:$G$397,1)+1-ROW(A1))),"")</f>
        <v>H-02, ni /37</v>
      </c>
      <c r="D401" s="18">
        <f t="array" ref="D401">IFERROR(INDEX(select!$L$387:$L$397,LARGE(($G$387:$G$397=select!$L$178)*(ROW($G$387:$G$397)-$B$386),COUNTIF($G$387:$G$397,1)+1-ROW(A1))),"")</f>
        <v>-2</v>
      </c>
      <c r="E401" s="18" t="str">
        <f t="array" ref="E401">IFERROR(INDEX(select!$A$387:$A$397,LARGE(($G$387:$G$397=select!$L$178)*(ROW($G$387:$G$397)-$B$386),COUNTIF($G$387:$G$397,1)+1-ROW(A1))),"")</f>
        <v>F058</v>
      </c>
      <c r="F401" s="18" t="str">
        <f t="array" ref="F401">IFERROR(INDEX(select!$B$387:$B$397,LARGE(($G$387:$G$397=select!$L$178)*(ROW($G$387:$G$397)-$B$386),COUNTIF($G$387:$G$397,1)+1-ROW(A1))),"")</f>
        <v>139</v>
      </c>
      <c r="G401" s="18" t="str">
        <f t="array" ref="G401">IFERROR(INDEX(select!$C$387:$C$397,LARGE(($G$387:$G$397=select!$L$178)*(ROW($G$387:$G$397)-$B$386),COUNTIF($G$387:$G$397,1)+1-ROW(A1))),"")</f>
        <v>720</v>
      </c>
      <c r="H401" s="3"/>
      <c r="J401">
        <v>1</v>
      </c>
      <c r="K401" t="s">
        <v>894</v>
      </c>
      <c r="L401" t="str">
        <f>VLOOKUP(J401,J402:L406,3,FALSE)</f>
        <v>37/32</v>
      </c>
      <c r="M401" s="206">
        <f>VLOOKUP(J401,J402:M406,4,FALSE)</f>
        <v>0</v>
      </c>
      <c r="O401">
        <f>SUM(O402:O406)</f>
        <v>2</v>
      </c>
      <c r="P401">
        <f>VLOOKUP(J401,J402:O406,6,FALSE)</f>
        <v>1</v>
      </c>
      <c r="U401" s="246"/>
      <c r="V401" s="313"/>
      <c r="W401" s="313"/>
      <c r="X401" s="313"/>
      <c r="Y401" s="34">
        <v>5</v>
      </c>
      <c r="Z401" s="34" t="str">
        <f t="shared" si="96"/>
        <v>19,0 mm</v>
      </c>
      <c r="AA401" s="34">
        <f t="shared" si="95"/>
        <v>19</v>
      </c>
      <c r="AB401" s="317">
        <v>0.9</v>
      </c>
      <c r="AC401" s="317">
        <v>0.9</v>
      </c>
      <c r="AD401" s="317">
        <v>0.9</v>
      </c>
      <c r="AE401" s="317">
        <v>0.9</v>
      </c>
      <c r="AF401" s="318">
        <v>0.9</v>
      </c>
      <c r="AG401" s="311">
        <v>5</v>
      </c>
      <c r="AH401" s="313"/>
      <c r="AI401" s="313"/>
      <c r="AJ401" s="313"/>
      <c r="AK401" s="8"/>
      <c r="AT401" s="227"/>
      <c r="AU401" s="227"/>
      <c r="AV401" s="282"/>
      <c r="AZ401" s="247"/>
      <c r="BB401">
        <v>1</v>
      </c>
      <c r="BC401">
        <v>1</v>
      </c>
    </row>
    <row r="402" spans="1:55" hidden="1" outlineLevel="1" x14ac:dyDescent="0.25">
      <c r="A402" s="18" t="str">
        <f t="array" ref="A402">IFERROR(INDEX(select!$D$387:$D$397,LARGE(($G$387:$G$397=select!$L$178)*(ROW($G$387:$G$397)-$B$386),COUNTIF($G$387:$G$397,1)+1-ROW(A2))),"")</f>
        <v/>
      </c>
      <c r="B402" s="18" t="str">
        <f t="array" ref="B402">IFERROR(INDEX(F388:F398,LARGE(($G$387:$G$397=select!$L$178)*(ROW($G$387:$G$397)-$B$386),COUNTIF($G$387:$G$397,1)+1-ROW(A2))),"")</f>
        <v/>
      </c>
      <c r="C402" s="18" t="str">
        <f t="array" ref="C402">IFERROR(INDEX(select!$E$387:$E$397,LARGE(($G$387:$G$397=select!$L$178)*(ROW($G$387:$G$397)-$B$386),COUNTIF($G$387:$G$397,1)+1-ROW(A2))),"")</f>
        <v/>
      </c>
      <c r="D402" s="18" t="str">
        <f t="array" ref="D402">IFERROR(INDEX(select!$L$387:$L$397,LARGE(($G$387:$G$397=select!$L$178)*(ROW($G$387:$G$397)-$B$386),COUNTIF($G$387:$G$397,1)+1-ROW(A2))),"")</f>
        <v/>
      </c>
      <c r="E402" s="18" t="str">
        <f t="array" ref="E402">IFERROR(INDEX(select!$A$387:$A$397,LARGE(($G$387:$G$397=select!$L$178)*(ROW($G$387:$G$397)-$B$386),COUNTIF($G$387:$G$397,1)+1-ROW(A2))),"")</f>
        <v/>
      </c>
      <c r="F402" s="18" t="str">
        <f t="array" ref="F402">IFERROR(INDEX(select!$B$387:$B$397,LARGE(($G$387:$G$397=select!$L$178)*(ROW($G$387:$G$397)-$B$386),COUNTIF($G$387:$G$397,1)+1-ROW(A2))),"")</f>
        <v/>
      </c>
      <c r="G402" s="18" t="str">
        <f t="array" ref="G402">IFERROR(INDEX(select!$C$387:$C$397,LARGE(($G$387:$G$397=select!$L$178)*(ROW($G$387:$G$397)-$B$386),COUNTIF($G$387:$G$397,1)+1-ROW(A2))),"")</f>
        <v/>
      </c>
      <c r="J402">
        <v>1</v>
      </c>
      <c r="K402" t="str">
        <f>IF(SUM($G$387:$G$397)&lt;&gt;0,$B$6&amp;" "&amp;L402,$B$5&amp;" "&amp;L402)</f>
        <v>✓ 37/32</v>
      </c>
      <c r="L402" t="s">
        <v>40</v>
      </c>
      <c r="M402">
        <v>0</v>
      </c>
      <c r="N402" t="str">
        <f>IF(O402=1,ja&amp;" "&amp;L402,nein&amp; " "&amp;L402)</f>
        <v>✓ 37/32</v>
      </c>
      <c r="O402">
        <f>BF382</f>
        <v>1</v>
      </c>
      <c r="U402" s="246"/>
      <c r="V402" s="313"/>
      <c r="W402" s="313"/>
      <c r="X402" s="313"/>
      <c r="Y402" s="34">
        <v>6</v>
      </c>
      <c r="Z402" s="34" t="str">
        <f t="shared" si="96"/>
        <v>18,0 mm</v>
      </c>
      <c r="AA402" s="34">
        <f t="shared" si="95"/>
        <v>18</v>
      </c>
      <c r="AB402" s="317">
        <v>0.7</v>
      </c>
      <c r="AC402" s="317">
        <v>0.7</v>
      </c>
      <c r="AD402" s="317">
        <v>0.7</v>
      </c>
      <c r="AE402" s="317">
        <v>0.7</v>
      </c>
      <c r="AF402" s="318">
        <v>0.7</v>
      </c>
      <c r="AG402" s="311">
        <v>6</v>
      </c>
      <c r="AH402" s="313"/>
      <c r="AI402" s="313"/>
      <c r="AJ402" s="313"/>
      <c r="AT402" s="227"/>
      <c r="AU402" s="227"/>
      <c r="AV402" s="227"/>
      <c r="AZ402" s="247"/>
    </row>
    <row r="403" spans="1:55" hidden="1" outlineLevel="1" x14ac:dyDescent="0.25">
      <c r="A403" s="18" t="str">
        <f t="array" ref="A403">IFERROR(INDEX(select!$D$387:$D$397,LARGE(($G$387:$G$397=select!$L$178)*(ROW($G$387:$G$397)-$B$386),COUNTIF($G$387:$G$397,1)+1-ROW(A3))),"")</f>
        <v/>
      </c>
      <c r="B403" s="18" t="str">
        <f t="array" ref="B403">IFERROR(INDEX(F389:F399,LARGE(($G$387:$G$397=select!$L$178)*(ROW($G$387:$G$397)-$B$386),COUNTIF($G$387:$G$397,1)+1-ROW(A3))),"")</f>
        <v/>
      </c>
      <c r="C403" s="18" t="str">
        <f t="array" ref="C403">IFERROR(INDEX(select!$E$387:$E$397,LARGE(($G$387:$G$397=select!$L$178)*(ROW($G$387:$G$397)-$B$386),COUNTIF($G$387:$G$397,1)+1-ROW(A3))),"")</f>
        <v/>
      </c>
      <c r="D403" s="18" t="str">
        <f t="array" ref="D403">IFERROR(INDEX(select!$L$387:$L$397,LARGE(($G$387:$G$397=select!$L$178)*(ROW($G$387:$G$397)-$B$386),COUNTIF($G$387:$G$397,1)+1-ROW(A3))),"")</f>
        <v/>
      </c>
      <c r="E403" s="18" t="str">
        <f t="array" ref="E403">IFERROR(INDEX(select!$A$387:$A$397,LARGE(($G$387:$G$397=select!$L$178)*(ROW($G$387:$G$397)-$B$386),COUNTIF($G$387:$G$397,1)+1-ROW(A3))),"")</f>
        <v/>
      </c>
      <c r="F403" s="18" t="str">
        <f t="array" ref="F403">IFERROR(INDEX(select!$B$387:$B$397,LARGE(($G$387:$G$397=select!$L$178)*(ROW($G$387:$G$397)-$B$386),COUNTIF($G$387:$G$397,1)+1-ROW(A3))),"")</f>
        <v/>
      </c>
      <c r="G403" s="18" t="str">
        <f t="array" ref="G403">IFERROR(INDEX(select!$C$387:$C$397,LARGE(($G$387:$G$397=select!$L$178)*(ROW($G$387:$G$397)-$B$386),COUNTIF($G$387:$G$397,1)+1-ROW(A3))),"")</f>
        <v/>
      </c>
      <c r="J403">
        <v>2</v>
      </c>
      <c r="K403" t="str">
        <f>IF(SUM($H$387:$H$397)&lt;&gt;0,$B$6&amp;" "&amp;L403,$B$5&amp;" "&amp;L403)</f>
        <v xml:space="preserve">     28/32</v>
      </c>
      <c r="L403" t="s">
        <v>41</v>
      </c>
      <c r="M403">
        <v>9</v>
      </c>
      <c r="N403" t="str">
        <f>IF(O403=1,ja&amp;" "&amp;L403,nein&amp; " "&amp;L403)</f>
        <v>✓ 28/32</v>
      </c>
      <c r="O403">
        <f>BF384</f>
        <v>1</v>
      </c>
      <c r="U403" s="246"/>
      <c r="V403" s="313"/>
      <c r="W403" s="313"/>
      <c r="X403" s="313"/>
      <c r="Y403" s="34">
        <v>7</v>
      </c>
      <c r="Z403" s="34" t="str">
        <f t="shared" si="96"/>
        <v>17,0 mm</v>
      </c>
      <c r="AA403" s="34">
        <f t="shared" si="95"/>
        <v>17</v>
      </c>
      <c r="AB403" s="317">
        <v>0.6</v>
      </c>
      <c r="AC403" s="317">
        <v>0.6</v>
      </c>
      <c r="AD403" s="317">
        <v>0.6</v>
      </c>
      <c r="AE403" s="317">
        <v>0.6</v>
      </c>
      <c r="AF403" s="318">
        <v>0.6</v>
      </c>
      <c r="AG403" s="311">
        <v>7</v>
      </c>
      <c r="AH403" s="313"/>
      <c r="AI403" s="313"/>
      <c r="AJ403" s="313"/>
      <c r="AZ403" s="247"/>
    </row>
    <row r="404" spans="1:55" hidden="1" outlineLevel="1" x14ac:dyDescent="0.25">
      <c r="A404" s="18" t="str">
        <f t="array" ref="A404">IFERROR(INDEX(select!$D$387:$D$397,LARGE(($G$387:$G$397=select!$L$178)*(ROW($G$387:$G$397)-$B$386),COUNTIF($G$387:$G$397,1)+1-ROW(A4))),"")</f>
        <v/>
      </c>
      <c r="B404" s="18" t="str">
        <f t="array" ref="B404">IFERROR(INDEX(F390:F400,LARGE(($G$387:$G$397=select!$L$178)*(ROW($G$387:$G$397)-$B$386),COUNTIF($G$387:$G$397,1)+1-ROW(A4))),"")</f>
        <v/>
      </c>
      <c r="C404" s="18" t="str">
        <f t="array" ref="C404">IFERROR(INDEX(select!$E$387:$E$397,LARGE(($G$387:$G$397=select!$L$178)*(ROW($G$387:$G$397)-$B$386),COUNTIF($G$387:$G$397,1)+1-ROW(A4))),"")</f>
        <v/>
      </c>
      <c r="D404" s="18" t="str">
        <f t="array" ref="D404">IFERROR(INDEX(select!$L$387:$L$397,LARGE(($G$387:$G$397=select!$L$178)*(ROW($G$387:$G$397)-$B$386),COUNTIF($G$387:$G$397,1)+1-ROW(A4))),"")</f>
        <v/>
      </c>
      <c r="E404" s="18" t="str">
        <f t="array" ref="E404">IFERROR(INDEX(select!$A$387:$A$397,LARGE(($G$387:$G$397=select!$L$178)*(ROW($G$387:$G$397)-$B$386),COUNTIF($G$387:$G$397,1)+1-ROW(A4))),"")</f>
        <v/>
      </c>
      <c r="F404" s="18" t="str">
        <f t="array" ref="F404">IFERROR(INDEX(select!$B$387:$B$397,LARGE(($G$387:$G$397=select!$L$178)*(ROW($G$387:$G$397)-$B$386),COUNTIF($G$387:$G$397,1)+1-ROW(A4))),"")</f>
        <v/>
      </c>
      <c r="G404" s="18" t="str">
        <f t="array" ref="G404">IFERROR(INDEX(select!$C$387:$C$397,LARGE(($G$387:$G$397=select!$L$178)*(ROW($G$387:$G$397)-$B$386),COUNTIF($G$387:$G$397,1)+1-ROW(A4))),"")</f>
        <v/>
      </c>
      <c r="J404">
        <v>3</v>
      </c>
      <c r="K404" t="str">
        <f>IF(SUM($I$387:$I$397)&lt;&gt;0,$B$6&amp;" "&amp;L404,$B$5&amp;" "&amp;L404)</f>
        <v xml:space="preserve">     20/32</v>
      </c>
      <c r="L404" t="s">
        <v>1358</v>
      </c>
      <c r="M404">
        <v>0</v>
      </c>
      <c r="N404" t="str">
        <f>IF(O404=1,ja&amp;" "&amp;L404,nein&amp; " "&amp;L404)</f>
        <v xml:space="preserve">     20/32</v>
      </c>
      <c r="O404">
        <f>BF386</f>
        <v>0</v>
      </c>
      <c r="U404" s="246"/>
      <c r="V404" s="313"/>
      <c r="W404" s="313"/>
      <c r="X404" s="324"/>
      <c r="Y404" s="6">
        <v>8</v>
      </c>
      <c r="Z404" s="6" t="str">
        <f t="shared" si="96"/>
        <v>16,0 mm</v>
      </c>
      <c r="AA404" s="6">
        <f t="shared" si="95"/>
        <v>16</v>
      </c>
      <c r="AB404" s="319">
        <v>0.6</v>
      </c>
      <c r="AC404" s="319">
        <v>0.6</v>
      </c>
      <c r="AD404" s="319">
        <v>0.6</v>
      </c>
      <c r="AE404" s="319">
        <v>0.6</v>
      </c>
      <c r="AF404" s="320">
        <v>0.6</v>
      </c>
      <c r="AG404" s="312">
        <v>8</v>
      </c>
      <c r="AH404" s="313"/>
      <c r="AI404" s="313"/>
      <c r="AJ404" s="313"/>
      <c r="AZ404" s="247"/>
    </row>
    <row r="405" spans="1:55" hidden="1" outlineLevel="1" x14ac:dyDescent="0.25">
      <c r="A405" s="18" t="str">
        <f t="array" ref="A405">IFERROR(INDEX(select!$D$387:$D$397,LARGE(($G$387:$G$397=select!$L$178)*(ROW($G$387:$G$397)-$B$386),COUNTIF($G$387:$G$397,1)+1-ROW(A5))),"")</f>
        <v/>
      </c>
      <c r="B405" s="18" t="str">
        <f t="array" ref="B405">IFERROR(INDEX(F391:F401,LARGE(($G$387:$G$397=select!$L$178)*(ROW($G$387:$G$397)-$B$386),COUNTIF($G$387:$G$397,1)+1-ROW(A5))),"")</f>
        <v/>
      </c>
      <c r="C405" s="18" t="str">
        <f t="array" ref="C405">IFERROR(INDEX(select!$E$387:$E$397,LARGE(($G$387:$G$397=select!$L$178)*(ROW($G$387:$G$397)-$B$386),COUNTIF($G$387:$G$397,1)+1-ROW(A5))),"")</f>
        <v/>
      </c>
      <c r="D405" s="18" t="str">
        <f t="array" ref="D405">IFERROR(INDEX(select!$L$387:$L$397,LARGE(($G$387:$G$397=select!$L$178)*(ROW($G$387:$G$397)-$B$386),COUNTIF($G$387:$G$397,1)+1-ROW(A5))),"")</f>
        <v/>
      </c>
      <c r="E405" s="18" t="str">
        <f t="array" ref="E405">IFERROR(INDEX(select!$A$387:$A$397,LARGE(($G$387:$G$397=select!$L$178)*(ROW($G$387:$G$397)-$B$386),COUNTIF($G$387:$G$397,1)+1-ROW(A5))),"")</f>
        <v/>
      </c>
      <c r="F405" s="18" t="str">
        <f t="array" ref="F405">IFERROR(INDEX(select!$B$387:$B$397,LARGE(($G$387:$G$397=select!$L$178)*(ROW($G$387:$G$397)-$B$386),COUNTIF($G$387:$G$397,1)+1-ROW(A5))),"")</f>
        <v/>
      </c>
      <c r="G405" s="18" t="str">
        <f t="array" ref="G405">IFERROR(INDEX(select!$C$387:$C$397,LARGE(($G$387:$G$397=select!$L$178)*(ROW($G$387:$G$397)-$B$386),COUNTIF($G$387:$G$397,1)+1-ROW(A5))),"")</f>
        <v/>
      </c>
      <c r="J405">
        <v>4</v>
      </c>
      <c r="K405" t="str">
        <f>IF(SUM($J$387:$J$397)&lt;&gt;0,$B$6&amp;" "&amp;L405,$B$5&amp;" "&amp;L405)</f>
        <v xml:space="preserve">     9,5/32</v>
      </c>
      <c r="L405" t="s">
        <v>1361</v>
      </c>
      <c r="M405">
        <v>0</v>
      </c>
      <c r="N405" t="str">
        <f>IF(O405=1,ja&amp;" "&amp;L405,nein&amp; " "&amp;L405)</f>
        <v xml:space="preserve">     9,5/32</v>
      </c>
      <c r="O405">
        <f>BF388</f>
        <v>0</v>
      </c>
      <c r="U405" s="246"/>
      <c r="V405" s="313"/>
      <c r="W405" s="313"/>
      <c r="X405" s="324"/>
      <c r="Y405" s="313"/>
      <c r="Z405" s="313"/>
      <c r="AA405" s="313"/>
      <c r="AB405" s="313"/>
      <c r="AC405" s="313"/>
      <c r="AD405" s="313"/>
      <c r="AE405" s="313"/>
      <c r="AF405" s="313"/>
      <c r="AG405" s="313"/>
      <c r="AH405" s="313"/>
      <c r="AI405" s="313"/>
      <c r="AJ405" s="313"/>
      <c r="AZ405" s="247"/>
    </row>
    <row r="406" spans="1:55" hidden="1" outlineLevel="1" x14ac:dyDescent="0.25">
      <c r="A406" s="18" t="str">
        <f t="array" ref="A406">IFERROR(INDEX(select!$D$387:$D$397,LARGE(($G$387:$G$397=select!$L$178)*(ROW($G$387:$G$397)-$B$386),COUNTIF($G$387:$G$397,1)+1-ROW(A6))),"")</f>
        <v/>
      </c>
      <c r="B406" s="18" t="str">
        <f t="array" ref="B406">IFERROR(INDEX(F392:F402,LARGE(($G$387:$G$397=select!$L$178)*(ROW($G$387:$G$397)-$B$386),COUNTIF($G$387:$G$397,1)+1-ROW(A6))),"")</f>
        <v/>
      </c>
      <c r="C406" s="18" t="str">
        <f t="array" ref="C406">IFERROR(INDEX(select!$E$387:$E$397,LARGE(($G$387:$G$397=select!$L$178)*(ROW($G$387:$G$397)-$B$386),COUNTIF($G$387:$G$397,1)+1-ROW(A6))),"")</f>
        <v/>
      </c>
      <c r="D406" s="18" t="str">
        <f t="array" ref="D406">IFERROR(INDEX(select!$L$387:$L$397,LARGE(($G$387:$G$397=select!$L$178)*(ROW($G$387:$G$397)-$B$386),COUNTIF($G$387:$G$397,1)+1-ROW(A6))),"")</f>
        <v/>
      </c>
      <c r="E406" s="18" t="str">
        <f t="array" ref="E406">IFERROR(INDEX(select!$A$387:$A$397,LARGE(($G$387:$G$397=select!$L$178)*(ROW($G$387:$G$397)-$B$386),COUNTIF($G$387:$G$397,1)+1-ROW(A6))),"")</f>
        <v/>
      </c>
      <c r="F406" s="18" t="str">
        <f t="array" ref="F406">IFERROR(INDEX(select!$B$387:$B$397,LARGE(($G$387:$G$397=select!$L$178)*(ROW($G$387:$G$397)-$B$386),COUNTIF($G$387:$G$397,1)+1-ROW(A6))),"")</f>
        <v/>
      </c>
      <c r="G406" s="18" t="str">
        <f t="array" ref="G406">IFERROR(INDEX(select!$C$387:$C$397,LARGE(($G$387:$G$397=select!$L$178)*(ROW($G$387:$G$397)-$B$386),COUNTIF($G$387:$G$397,1)+1-ROW(A6))),"")</f>
        <v/>
      </c>
      <c r="J406">
        <v>5</v>
      </c>
      <c r="K406" t="str">
        <f>IF(SUM($K$387:$K$397)&lt;&gt;0,$B$6&amp;" "&amp;L406,$B$5&amp;" "&amp;L406)</f>
        <v xml:space="preserve">     10/32</v>
      </c>
      <c r="L406" s="86" t="s">
        <v>1370</v>
      </c>
      <c r="M406">
        <v>0</v>
      </c>
      <c r="N406" t="str">
        <f>IF(O406=1,ja&amp;" "&amp;L406,nein&amp; " "&amp;L406)</f>
        <v xml:space="preserve">     10/32</v>
      </c>
      <c r="O406">
        <f>BF390</f>
        <v>0</v>
      </c>
      <c r="U406" s="246"/>
      <c r="V406" s="313"/>
      <c r="W406" s="313"/>
      <c r="X406" s="324"/>
      <c r="Y406" s="313"/>
      <c r="Z406" s="313"/>
      <c r="AA406" s="313"/>
      <c r="AB406" s="313"/>
      <c r="AC406" s="313"/>
      <c r="AD406" s="313"/>
      <c r="AE406" s="313"/>
      <c r="AF406" s="313"/>
      <c r="AG406" s="313"/>
      <c r="AH406" s="313"/>
      <c r="AI406" s="313"/>
      <c r="AJ406" s="313"/>
      <c r="AZ406" s="247"/>
    </row>
    <row r="407" spans="1:55" hidden="1" outlineLevel="1" x14ac:dyDescent="0.25">
      <c r="U407" s="246"/>
      <c r="V407" s="313"/>
      <c r="W407" s="313"/>
      <c r="X407" s="324"/>
      <c r="Y407" s="313"/>
      <c r="Z407" s="313"/>
      <c r="AA407" s="313"/>
      <c r="AB407" s="313"/>
      <c r="AC407" s="313"/>
      <c r="AD407" s="313"/>
      <c r="AE407" s="313"/>
      <c r="AF407" s="313"/>
      <c r="AG407" s="313"/>
      <c r="AH407" s="313"/>
      <c r="AI407" s="313"/>
      <c r="AJ407" s="313"/>
      <c r="AZ407" s="247"/>
    </row>
    <row r="408" spans="1:55" hidden="1" outlineLevel="1" x14ac:dyDescent="0.25">
      <c r="A408" t="str">
        <f>H386</f>
        <v>28/32</v>
      </c>
      <c r="Q408" s="87" t="s">
        <v>2340</v>
      </c>
      <c r="U408" s="246"/>
      <c r="V408" s="313"/>
      <c r="W408" s="313"/>
      <c r="X408" s="324"/>
      <c r="Y408" s="313"/>
      <c r="Z408" s="313"/>
      <c r="AA408" s="313"/>
      <c r="AB408" s="313"/>
      <c r="AC408" s="313"/>
      <c r="AD408" s="313"/>
      <c r="AE408" s="313"/>
      <c r="AF408" s="313"/>
      <c r="AG408" s="313"/>
      <c r="AH408" s="313"/>
      <c r="AI408" s="313"/>
      <c r="AJ408" s="313"/>
      <c r="AZ408" s="247"/>
    </row>
    <row r="409" spans="1:55" hidden="1" outlineLevel="1" x14ac:dyDescent="0.25">
      <c r="A409" s="18" t="str">
        <f t="array" aca="1" ref="A409" ca="1">IFERROR(INDEX(select!$D$387:$D$397,LARGE(($H$387:$H$397=select!$L$178)*(ROW($H$387:$H$397)-$B$386),COUNTIF($H$387:$H$397,1)+1-ROW(A1))),Sprache!$A$56&amp;" "&amp;Sprache!$A$146)</f>
        <v>keine Lösungen</v>
      </c>
      <c r="B409" s="18" t="str">
        <f t="array" aca="1" ref="B409" ca="1">IFERROR(INDEX(F387:F397,LARGE(($H$387:$H$397=select!$L$178)*(ROW($H$387:$H$397)-$B$386),COUNTIF($H$387:$H$397,1)+1-ROW(A1))),Sprache!$A$38)</f>
        <v>Bitte Auswahl ändern!</v>
      </c>
      <c r="C409" s="18" t="str">
        <f t="array" ref="C409">IFERROR(INDEX(select!$E$387:$E$397,LARGE(($H$387:$H$397=select!$L$178)*(ROW($H$387:$H$397)-$B$386),COUNTIF($H$387:$H$397,1)+1-ROW(A1))),"")</f>
        <v/>
      </c>
      <c r="D409" s="18" t="str">
        <f t="array" ref="D409">IFERROR(INDEX(select!$L$387:$L$397,LARGE(($H$387:$H$397=select!$L$178)*(ROW($H$387:$H$397)-$B$386),COUNTIF($H$387:$H$397,1)+1-ROW(A1))),"")</f>
        <v/>
      </c>
      <c r="E409" s="18" t="str">
        <f t="array" ref="E409">IFERROR(INDEX(select!$A$387:$A$397,LARGE(($H$387:$H$397=select!$L$178)*(ROW($H$387:$H$397)-$B$386),COUNTIF($H$387:$H$397,1)+1-ROW(A1))),"")</f>
        <v/>
      </c>
      <c r="F409" s="18" t="str">
        <f t="array" ref="F409">IFERROR(INDEX(select!$B$387:$B$397,LARGE(($H$387:$H$397=select!$L$178)*(ROW($H$387:$H$397)-$B$386),COUNTIF($H$387:$H$397,1)+1-ROW(A1))),"")</f>
        <v/>
      </c>
      <c r="G409" s="18" t="str">
        <f t="array" ref="G409">IFERROR(INDEX(select!$C$387:$C$397,LARGE(($H$387:$H$397=select!$L$178)*(ROW($H$387:$H$397)-$B$386),COUNTIF($H$387:$H$397,1)+1-ROW(A1))),"")</f>
        <v/>
      </c>
      <c r="H409" s="3"/>
      <c r="I409" t="str">
        <f>VLOOKUP(J401,J402:L406,3,FALSE)</f>
        <v>37/32</v>
      </c>
      <c r="Q409">
        <f ca="1">SUM(Q410:Q415)</f>
        <v>1</v>
      </c>
      <c r="R409" s="131" t="str">
        <f ca="1">IF(Q409&gt;0,Sprache!A188,"")</f>
        <v>Achtung: Der Verstellbereich ist bei einer Montageplattenhöhe von -2,0 eingeschränkt!</v>
      </c>
      <c r="U409" s="246"/>
      <c r="V409" s="313"/>
      <c r="W409" s="313"/>
      <c r="X409" s="324"/>
      <c r="Y409" s="313"/>
      <c r="Z409" s="313"/>
      <c r="AA409" s="313"/>
      <c r="AB409" s="313"/>
      <c r="AC409" s="313"/>
      <c r="AD409" s="313"/>
      <c r="AE409" s="313"/>
      <c r="AF409" s="313"/>
      <c r="AG409" s="313"/>
      <c r="AH409" s="313"/>
      <c r="AI409" s="313"/>
      <c r="AJ409" s="313"/>
      <c r="AZ409" s="247"/>
    </row>
    <row r="410" spans="1:55" hidden="1" outlineLevel="1" x14ac:dyDescent="0.25">
      <c r="A410" s="18" t="str">
        <f t="array" ref="A410">IFERROR(INDEX(select!$D$387:$D$397,LARGE(($H$387:$H$397=select!$L$178)*(ROW($H$387:$H$397)-$B$386),COUNTIF($H$387:$H$397,1)+1-ROW(A2))),"")</f>
        <v/>
      </c>
      <c r="B410" s="18" t="str">
        <f t="array" ref="B410">IFERROR(INDEX(F388:F398,LARGE(($H$387:$H$397=select!$L$178)*(ROW($H$387:$H$397)-$B$386),COUNTIF($H$387:$H$397,1)+1-ROW(A2))),"")</f>
        <v/>
      </c>
      <c r="C410" s="18" t="str">
        <f t="array" ref="C410">IFERROR(INDEX(select!$E$387:$E$397,LARGE(($H$387:$H$397=select!$L$178)*(ROW($H$387:$H$397)-$B$386),COUNTIF($H$387:$H$397,1)+1-ROW(A2))),"")</f>
        <v/>
      </c>
      <c r="D410" s="18" t="str">
        <f t="array" ref="D410">IFERROR(INDEX(select!$L$387:$L$397,LARGE(($H$387:$H$397=select!$L$178)*(ROW($H$387:$H$397)-$B$386),COUNTIF($H$387:$H$397,1)+1-ROW(A2))),"")</f>
        <v/>
      </c>
      <c r="E410" s="18" t="str">
        <f t="array" ref="E410">IFERROR(INDEX(select!$A$387:$A$397,LARGE(($H$387:$H$397=select!$L$178)*(ROW($H$387:$H$397)-$B$386),COUNTIF($H$387:$H$397,1)+1-ROW(A2))),"")</f>
        <v/>
      </c>
      <c r="F410" s="18" t="str">
        <f t="array" ref="F410">IFERROR(INDEX(select!$B$387:$B$397,LARGE(($H$387:$H$397=select!$L$178)*(ROW($H$387:$H$397)-$B$386),COUNTIF($H$387:$H$397,1)+1-ROW(A2))),"")</f>
        <v/>
      </c>
      <c r="G410" s="18" t="str">
        <f t="array" ref="G410">IFERROR(INDEX(select!$C$387:$C$397,LARGE(($H$387:$H$397=select!$L$178)*(ROW($H$387:$H$397)-$B$386),COUNTIF($H$387:$H$397,1)+1-ROW(A2))),"")</f>
        <v/>
      </c>
      <c r="I410" s="4" t="str">
        <f ca="1">OFFSET(A401,$P$410,0)</f>
        <v>Eco Kreuz Mtg-Platte</v>
      </c>
      <c r="J410" s="4" t="str">
        <f t="shared" ref="I410:O415" ca="1" si="97">OFFSET(B401,$P$410,0)</f>
        <v>Tiomos Montageplatten</v>
      </c>
      <c r="K410" s="4" t="str">
        <f t="shared" ca="1" si="97"/>
        <v>H-02, ni /37</v>
      </c>
      <c r="L410" s="4">
        <f t="shared" ca="1" si="97"/>
        <v>-2</v>
      </c>
      <c r="M410" s="4" t="str">
        <f t="shared" ca="1" si="97"/>
        <v>F058</v>
      </c>
      <c r="N410" s="4" t="str">
        <f t="shared" ca="1" si="97"/>
        <v>139</v>
      </c>
      <c r="O410" s="4" t="str">
        <f t="shared" ca="1" si="97"/>
        <v>720</v>
      </c>
      <c r="P410">
        <f>J401*8-8</f>
        <v>0</v>
      </c>
      <c r="Q410" s="4">
        <f ca="1">IF(L410=-2,1,0)</f>
        <v>1</v>
      </c>
      <c r="U410" s="246"/>
      <c r="V410" s="313"/>
      <c r="W410" s="313"/>
      <c r="X410" s="324"/>
      <c r="Y410" s="313"/>
      <c r="Z410" s="313"/>
      <c r="AA410" s="313"/>
      <c r="AB410" s="313"/>
      <c r="AC410" s="313"/>
      <c r="AD410" s="313"/>
      <c r="AE410" s="313"/>
      <c r="AF410" s="313"/>
      <c r="AG410" s="313"/>
      <c r="AH410" s="313"/>
      <c r="AI410" s="313"/>
      <c r="AJ410" s="313"/>
      <c r="AZ410" s="247"/>
    </row>
    <row r="411" spans="1:55" hidden="1" outlineLevel="1" x14ac:dyDescent="0.25">
      <c r="A411" s="18" t="str">
        <f t="array" ref="A411">IFERROR(INDEX(select!$D$387:$D$397,LARGE(($H$387:$H$397=select!$L$178)*(ROW($H$387:$H$397)-$B$386),COUNTIF($H$387:$H$397,1)+1-ROW(A3))),"")</f>
        <v/>
      </c>
      <c r="B411" s="18" t="str">
        <f t="array" ref="B411">IFERROR(INDEX(F389:F399,LARGE(($H$387:$H$397=select!$L$178)*(ROW($H$387:$H$397)-$B$386),COUNTIF($H$387:$H$397,1)+1-ROW(A3))),"")</f>
        <v/>
      </c>
      <c r="C411" s="18" t="str">
        <f t="array" ref="C411">IFERROR(INDEX(select!$E$387:$E$397,LARGE(($H$387:$H$397=select!$L$178)*(ROW($H$387:$H$397)-$B$386),COUNTIF($H$387:$H$397,1)+1-ROW(A3))),"")</f>
        <v/>
      </c>
      <c r="D411" s="18" t="str">
        <f t="array" ref="D411">IFERROR(INDEX(select!$L$387:$L$397,LARGE(($H$387:$H$397=select!$L$178)*(ROW($H$387:$H$397)-$B$386),COUNTIF($H$387:$H$397,1)+1-ROW(A3))),"")</f>
        <v/>
      </c>
      <c r="E411" s="18" t="str">
        <f t="array" ref="E411">IFERROR(INDEX(select!$A$387:$A$397,LARGE(($H$387:$H$397=select!$L$178)*(ROW($H$387:$H$397)-$B$386),COUNTIF($H$387:$H$397,1)+1-ROW(A3))),"")</f>
        <v/>
      </c>
      <c r="F411" s="18" t="str">
        <f t="array" ref="F411">IFERROR(INDEX(select!$B$387:$B$397,LARGE(($H$387:$H$397=select!$L$178)*(ROW($H$387:$H$397)-$B$386),COUNTIF($H$387:$H$397,1)+1-ROW(A3))),"")</f>
        <v/>
      </c>
      <c r="G411" s="18" t="str">
        <f t="array" ref="G411">IFERROR(INDEX(select!$C$387:$C$397,LARGE(($H$387:$H$397=select!$L$178)*(ROW($H$387:$H$397)-$B$386),COUNTIF($H$387:$H$397,1)+1-ROW(A3))),"")</f>
        <v/>
      </c>
      <c r="I411" s="4" t="str">
        <f t="shared" ca="1" si="97"/>
        <v/>
      </c>
      <c r="J411" s="4" t="str">
        <f t="shared" ca="1" si="97"/>
        <v/>
      </c>
      <c r="K411" s="4" t="str">
        <f t="shared" ca="1" si="97"/>
        <v/>
      </c>
      <c r="L411" s="4" t="str">
        <f t="shared" ca="1" si="97"/>
        <v/>
      </c>
      <c r="M411" s="4" t="str">
        <f t="shared" ca="1" si="97"/>
        <v/>
      </c>
      <c r="N411" s="4" t="str">
        <f t="shared" ca="1" si="97"/>
        <v/>
      </c>
      <c r="O411" s="4" t="str">
        <f t="shared" ca="1" si="97"/>
        <v/>
      </c>
      <c r="Q411" s="4">
        <f t="shared" ref="Q411:Q415" ca="1" si="98">IF(L411=-2,1,0)</f>
        <v>0</v>
      </c>
      <c r="U411" s="246"/>
      <c r="V411" s="313"/>
      <c r="W411" s="313"/>
      <c r="X411" s="324"/>
      <c r="Y411" s="313"/>
      <c r="Z411" s="313"/>
      <c r="AA411" s="313"/>
      <c r="AB411" s="313"/>
      <c r="AC411" s="313"/>
      <c r="AD411" s="313"/>
      <c r="AE411" s="313"/>
      <c r="AF411" s="313"/>
      <c r="AG411" s="313"/>
      <c r="AH411" s="313"/>
      <c r="AI411" s="313"/>
      <c r="AJ411" s="313"/>
      <c r="AZ411" s="247"/>
    </row>
    <row r="412" spans="1:55" hidden="1" outlineLevel="1" x14ac:dyDescent="0.25">
      <c r="A412" s="18" t="str">
        <f t="array" ref="A412">IFERROR(INDEX(select!$D$387:$D$397,LARGE(($H$387:$H$397=select!$L$178)*(ROW($H$387:$H$397)-$B$386),COUNTIF($H$387:$H$397,1)+1-ROW(A4))),"")</f>
        <v/>
      </c>
      <c r="B412" s="18" t="str">
        <f t="array" ref="B412">IFERROR(INDEX(F390:F400,LARGE(($H$387:$H$397=select!$L$178)*(ROW($H$387:$H$397)-$B$386),COUNTIF($H$387:$H$397,1)+1-ROW(A4))),"")</f>
        <v/>
      </c>
      <c r="C412" s="18" t="str">
        <f t="array" ref="C412">IFERROR(INDEX(select!$E$387:$E$397,LARGE(($H$387:$H$397=select!$L$178)*(ROW($H$387:$H$397)-$B$386),COUNTIF($H$387:$H$397,1)+1-ROW(A4))),"")</f>
        <v/>
      </c>
      <c r="D412" s="18" t="str">
        <f t="array" ref="D412">IFERROR(INDEX(select!$L$387:$L$397,LARGE(($H$387:$H$397=select!$L$178)*(ROW($H$387:$H$397)-$B$386),COUNTIF($H$387:$H$397,1)+1-ROW(A4))),"")</f>
        <v/>
      </c>
      <c r="E412" s="18" t="str">
        <f t="array" ref="E412">IFERROR(INDEX(select!$A$387:$A$397,LARGE(($H$387:$H$397=select!$L$178)*(ROW($H$387:$H$397)-$B$386),COUNTIF($H$387:$H$397,1)+1-ROW(A4))),"")</f>
        <v/>
      </c>
      <c r="F412" s="18" t="str">
        <f t="array" ref="F412">IFERROR(INDEX(select!$B$387:$B$397,LARGE(($H$387:$H$397=select!$L$178)*(ROW($H$387:$H$397)-$B$386),COUNTIF($H$387:$H$397,1)+1-ROW(A4))),"")</f>
        <v/>
      </c>
      <c r="G412" s="18" t="str">
        <f t="array" ref="G412">IFERROR(INDEX(select!$C$387:$C$397,LARGE(($H$387:$H$397=select!$L$178)*(ROW($H$387:$H$397)-$B$386),COUNTIF($H$387:$H$397,1)+1-ROW(A4))),"")</f>
        <v/>
      </c>
      <c r="I412" s="4" t="str">
        <f t="shared" ca="1" si="97"/>
        <v/>
      </c>
      <c r="J412" s="4" t="str">
        <f t="shared" ca="1" si="97"/>
        <v/>
      </c>
      <c r="K412" s="4" t="str">
        <f t="shared" ca="1" si="97"/>
        <v/>
      </c>
      <c r="L412" s="4" t="str">
        <f t="shared" ca="1" si="97"/>
        <v/>
      </c>
      <c r="M412" s="4" t="str">
        <f t="shared" ca="1" si="97"/>
        <v/>
      </c>
      <c r="N412" s="4" t="str">
        <f t="shared" ca="1" si="97"/>
        <v/>
      </c>
      <c r="O412" s="4" t="str">
        <f t="shared" ca="1" si="97"/>
        <v/>
      </c>
      <c r="Q412" s="4">
        <f t="shared" ca="1" si="98"/>
        <v>0</v>
      </c>
      <c r="U412" s="246"/>
      <c r="V412" s="313"/>
      <c r="W412" s="313"/>
      <c r="X412" s="324"/>
      <c r="Y412" s="313"/>
      <c r="Z412" s="313"/>
      <c r="AA412" s="313"/>
      <c r="AB412" s="313"/>
      <c r="AC412" s="313"/>
      <c r="AD412" s="313"/>
      <c r="AE412" s="313"/>
      <c r="AF412" s="313"/>
      <c r="AG412" s="313"/>
      <c r="AH412" s="313"/>
      <c r="AI412" s="313"/>
      <c r="AJ412" s="313"/>
      <c r="AZ412" s="247"/>
    </row>
    <row r="413" spans="1:55" hidden="1" outlineLevel="1" x14ac:dyDescent="0.25">
      <c r="A413" s="18" t="str">
        <f t="array" ref="A413">IFERROR(INDEX(select!$D$387:$D$397,LARGE(($H$387:$H$397=select!$L$178)*(ROW($H$387:$H$397)-$B$386),COUNTIF($H$387:$H$397,1)+1-ROW(A5))),"")</f>
        <v/>
      </c>
      <c r="B413" s="18" t="str">
        <f t="array" ref="B413">IFERROR(INDEX(F391:F401,LARGE(($H$387:$H$397=select!$L$178)*(ROW($H$387:$H$397)-$B$386),COUNTIF($H$387:$H$397,1)+1-ROW(A5))),"")</f>
        <v/>
      </c>
      <c r="C413" s="18" t="str">
        <f t="array" ref="C413">IFERROR(INDEX(select!$E$387:$E$397,LARGE(($H$387:$H$397=select!$L$178)*(ROW($H$387:$H$397)-$B$386),COUNTIF($H$387:$H$397,1)+1-ROW(A5))),"")</f>
        <v/>
      </c>
      <c r="D413" s="18" t="str">
        <f t="array" ref="D413">IFERROR(INDEX(select!$L$387:$L$397,LARGE(($H$387:$H$397=select!$L$178)*(ROW($H$387:$H$397)-$B$386),COUNTIF($H$387:$H$397,1)+1-ROW(A5))),"")</f>
        <v/>
      </c>
      <c r="E413" s="18" t="str">
        <f t="array" ref="E413">IFERROR(INDEX(select!$A$387:$A$397,LARGE(($H$387:$H$397=select!$L$178)*(ROW($H$387:$H$397)-$B$386),COUNTIF($H$387:$H$397,1)+1-ROW(A5))),"")</f>
        <v/>
      </c>
      <c r="F413" s="18" t="str">
        <f t="array" ref="F413">IFERROR(INDEX(select!$B$387:$B$397,LARGE(($H$387:$H$397=select!$L$178)*(ROW($H$387:$H$397)-$B$386),COUNTIF($H$387:$H$397,1)+1-ROW(A5))),"")</f>
        <v/>
      </c>
      <c r="G413" s="18" t="str">
        <f t="array" ref="G413">IFERROR(INDEX(select!$C$387:$C$397,LARGE(($H$387:$H$397=select!$L$178)*(ROW($H$387:$H$397)-$B$386),COUNTIF($H$387:$H$397,1)+1-ROW(A5))),"")</f>
        <v/>
      </c>
      <c r="I413" s="4" t="str">
        <f t="shared" ca="1" si="97"/>
        <v/>
      </c>
      <c r="J413" s="4" t="str">
        <f t="shared" ca="1" si="97"/>
        <v/>
      </c>
      <c r="K413" s="4" t="str">
        <f t="shared" ca="1" si="97"/>
        <v/>
      </c>
      <c r="L413" s="4" t="str">
        <f t="shared" ca="1" si="97"/>
        <v/>
      </c>
      <c r="M413" s="4" t="str">
        <f t="shared" ca="1" si="97"/>
        <v/>
      </c>
      <c r="N413" s="4" t="str">
        <f t="shared" ca="1" si="97"/>
        <v/>
      </c>
      <c r="O413" s="4" t="str">
        <f t="shared" ca="1" si="97"/>
        <v/>
      </c>
      <c r="Q413" s="4">
        <f t="shared" ca="1" si="98"/>
        <v>0</v>
      </c>
      <c r="U413" s="246"/>
      <c r="V413" s="313"/>
      <c r="W413" s="313"/>
      <c r="X413" s="324"/>
      <c r="Y413" s="313"/>
      <c r="Z413" s="313"/>
      <c r="AA413" s="313"/>
      <c r="AB413" s="313"/>
      <c r="AC413" s="313"/>
      <c r="AD413" s="313"/>
      <c r="AE413" s="313"/>
      <c r="AF413" s="313"/>
      <c r="AG413" s="313"/>
      <c r="AH413" s="313"/>
      <c r="AI413" s="313"/>
      <c r="AJ413" s="313"/>
      <c r="AZ413" s="247"/>
    </row>
    <row r="414" spans="1:55" hidden="1" outlineLevel="1" x14ac:dyDescent="0.25">
      <c r="A414" s="18" t="str">
        <f t="array" ref="A414">IFERROR(INDEX(select!$D$387:$D$397,LARGE(($H$387:$H$397=select!$L$178)*(ROW($H$387:$H$397)-$B$386),COUNTIF($H$387:$H$397,1)+1-ROW(A6))),"")</f>
        <v/>
      </c>
      <c r="B414" s="18" t="str">
        <f t="array" ref="B414">IFERROR(INDEX(F392:F402,LARGE(($H$387:$H$397=select!$L$178)*(ROW($H$387:$H$397)-$B$386),COUNTIF($H$387:$H$397,1)+1-ROW(A6))),"")</f>
        <v/>
      </c>
      <c r="C414" s="18" t="str">
        <f t="array" ref="C414">IFERROR(INDEX(select!$E$387:$E$397,LARGE(($H$387:$H$397=select!$L$178)*(ROW($H$387:$H$397)-$B$386),COUNTIF($H$387:$H$397,1)+1-ROW(A6))),"")</f>
        <v/>
      </c>
      <c r="D414" s="18" t="str">
        <f t="array" ref="D414">IFERROR(INDEX(select!$L$387:$L$397,LARGE(($H$387:$H$397=select!$L$178)*(ROW($H$387:$H$397)-$B$386),COUNTIF($H$387:$H$397,1)+1-ROW(A6))),"")</f>
        <v/>
      </c>
      <c r="E414" s="18" t="str">
        <f t="array" ref="E414">IFERROR(INDEX(select!$A$387:$A$397,LARGE(($H$387:$H$397=select!$L$178)*(ROW($H$387:$H$397)-$B$386),COUNTIF($H$387:$H$397,1)+1-ROW(A6))),"")</f>
        <v/>
      </c>
      <c r="F414" s="18" t="str">
        <f t="array" ref="F414">IFERROR(INDEX(select!$B$387:$B$397,LARGE(($H$387:$H$397=select!$L$178)*(ROW($H$387:$H$397)-$B$386),COUNTIF($H$387:$H$397,1)+1-ROW(A6))),"")</f>
        <v/>
      </c>
      <c r="G414" s="18" t="str">
        <f t="array" ref="G414">IFERROR(INDEX(select!$C$387:$C$397,LARGE(($H$387:$H$397=select!$L$178)*(ROW($H$387:$H$397)-$B$386),COUNTIF($H$387:$H$397,1)+1-ROW(A6))),"")</f>
        <v/>
      </c>
      <c r="I414" s="4" t="str">
        <f t="shared" ca="1" si="97"/>
        <v/>
      </c>
      <c r="J414" s="4" t="str">
        <f t="shared" ca="1" si="97"/>
        <v/>
      </c>
      <c r="K414" s="4" t="str">
        <f t="shared" ca="1" si="97"/>
        <v/>
      </c>
      <c r="L414" s="4" t="str">
        <f t="shared" ca="1" si="97"/>
        <v/>
      </c>
      <c r="M414" s="4" t="str">
        <f t="shared" ca="1" si="97"/>
        <v/>
      </c>
      <c r="N414" s="4" t="str">
        <f t="shared" ca="1" si="97"/>
        <v/>
      </c>
      <c r="O414" s="4" t="str">
        <f t="shared" ca="1" si="97"/>
        <v/>
      </c>
      <c r="Q414" s="4">
        <f t="shared" ca="1" si="98"/>
        <v>0</v>
      </c>
      <c r="U414" s="246"/>
      <c r="V414" s="313"/>
      <c r="W414" s="313"/>
      <c r="X414" s="324"/>
      <c r="Y414" s="313"/>
      <c r="Z414" s="313"/>
      <c r="AA414" s="313"/>
      <c r="AB414" s="313"/>
      <c r="AC414" s="313"/>
      <c r="AD414" s="313"/>
      <c r="AE414" s="313"/>
      <c r="AF414" s="313"/>
      <c r="AG414" s="313"/>
      <c r="AH414" s="313"/>
      <c r="AI414" s="313"/>
      <c r="AJ414" s="313"/>
      <c r="AL414" s="8"/>
      <c r="AZ414" s="247"/>
    </row>
    <row r="415" spans="1:55" hidden="1" outlineLevel="1" x14ac:dyDescent="0.25">
      <c r="I415" s="4" t="str">
        <f t="shared" ca="1" si="97"/>
        <v/>
      </c>
      <c r="J415" s="4" t="str">
        <f t="shared" ca="1" si="97"/>
        <v/>
      </c>
      <c r="K415" s="4" t="str">
        <f t="shared" ca="1" si="97"/>
        <v/>
      </c>
      <c r="L415" s="4" t="str">
        <f t="shared" ca="1" si="97"/>
        <v/>
      </c>
      <c r="M415" s="4" t="str">
        <f t="shared" ca="1" si="97"/>
        <v/>
      </c>
      <c r="N415" s="4" t="str">
        <f t="shared" ca="1" si="97"/>
        <v/>
      </c>
      <c r="O415" s="4" t="str">
        <f t="shared" ca="1" si="97"/>
        <v/>
      </c>
      <c r="Q415" s="4">
        <f t="shared" ca="1" si="98"/>
        <v>0</v>
      </c>
      <c r="U415" s="246"/>
      <c r="V415" s="313"/>
      <c r="W415" s="313"/>
      <c r="X415" s="324"/>
      <c r="Y415" s="313"/>
      <c r="Z415" s="313"/>
      <c r="AA415" s="313"/>
      <c r="AB415" s="313"/>
      <c r="AC415" s="313"/>
      <c r="AD415" s="313"/>
      <c r="AE415" s="313"/>
      <c r="AF415" s="313"/>
      <c r="AG415" s="313"/>
      <c r="AH415" s="313"/>
      <c r="AI415" s="313"/>
      <c r="AJ415" s="313"/>
      <c r="AL415" s="8"/>
      <c r="AZ415" s="247"/>
    </row>
    <row r="416" spans="1:55" hidden="1" outlineLevel="1" x14ac:dyDescent="0.25">
      <c r="A416" t="str">
        <f>I386</f>
        <v>20/32</v>
      </c>
      <c r="U416" s="246"/>
      <c r="V416" s="313"/>
      <c r="W416" s="313"/>
      <c r="X416" s="324"/>
      <c r="Y416" s="313"/>
      <c r="Z416" s="313"/>
      <c r="AA416" s="313"/>
      <c r="AB416" s="313"/>
      <c r="AC416" s="313"/>
      <c r="AD416" s="313"/>
      <c r="AE416" s="313"/>
      <c r="AF416" s="313"/>
      <c r="AG416" s="313"/>
      <c r="AH416" s="313"/>
      <c r="AI416" s="313"/>
      <c r="AJ416" s="313"/>
      <c r="AL416" s="8"/>
      <c r="AZ416" s="247"/>
    </row>
    <row r="417" spans="1:52" hidden="1" outlineLevel="1" x14ac:dyDescent="0.25">
      <c r="A417" s="18" t="str">
        <f t="array" aca="1" ref="A417" ca="1">IFERROR(INDEX(select!$D$387:$D$397,LARGE(($I$387:$I$397=select!$L$178)*(ROW($I$387:$I$397)-$B$386),COUNTIF($I$387:$I$397,1)+1-ROW(A1))),Sprache!$A$56&amp;" "&amp;Sprache!$A$146)</f>
        <v>keine Lösungen</v>
      </c>
      <c r="B417" s="18" t="str">
        <f t="array" aca="1" ref="B417" ca="1">IFERROR(INDEX(F387:F397,LARGE(($I$387:$I$397=select!$L$178)*(ROW($I$387:$I$397)-$B$386),COUNTIF($I$387:$I$397,1)+1-ROW(A1))),Sprache!$A$38)</f>
        <v>Bitte Auswahl ändern!</v>
      </c>
      <c r="C417" s="18" t="str">
        <f t="array" ref="C417">IFERROR(INDEX(select!$E$387:$E$397,LARGE(($I$387:$I$397=select!$L$178)*(ROW($I$387:$I$397)-$B$386),COUNTIF($I$387:$I$397,1)+1-ROW(A1))),"")</f>
        <v/>
      </c>
      <c r="D417" s="18" t="str">
        <f t="array" ref="D417">IFERROR(INDEX(select!$L$387:$L$397,LARGE(($I$387:$I$397=select!$L$178)*(ROW($I$387:$I$397)-$B$386),COUNTIF($I$387:$I$397,1)+1-ROW(A1))),"")</f>
        <v/>
      </c>
      <c r="E417" s="18" t="str">
        <f t="array" ref="E417">IFERROR(INDEX(select!$A$387:$A$397,LARGE(($I$387:$I$397=select!$L$178)*(ROW($I$387:$I$397)-$B$386),COUNTIF($I$387:$I$397,1)+1-ROW(A1))),"")</f>
        <v/>
      </c>
      <c r="F417" s="18" t="str">
        <f t="array" ref="F417">IFERROR(INDEX(select!$B$387:$B$397,LARGE(($I$387:$I$397=select!$L$178)*(ROW($I$387:$I$397)-$B$386),COUNTIF($I$387:$I$397,1)+1-ROW(A1))),"")</f>
        <v/>
      </c>
      <c r="G417" s="18" t="str">
        <f t="array" ref="G417">IFERROR(INDEX(select!$C$387:$C$397,LARGE(($I$387:$I$397=select!$L$178)*(ROW($I$387:$I$397)-$B$386),COUNTIF($I$387:$I$397,1)+1-ROW(A1))),"")</f>
        <v/>
      </c>
      <c r="H417" s="3"/>
      <c r="I417" s="269" t="str">
        <f ca="1">IF(select!$K$317&lt;&gt;Sprache!$A$56&amp;" "&amp;Sprache!$A$146,I410,Sprache!$A$56&amp;" "&amp;Sprache!$A$146)</f>
        <v>Eco Kreuz Mtg-Platte</v>
      </c>
      <c r="J417" s="270" t="str">
        <f ca="1">IF(select!$K$317&lt;&gt;Sprache!$A$56&amp;" "&amp;Sprache!$A$146,J410,Sprache!$A$38)</f>
        <v>Tiomos Montageplatten</v>
      </c>
      <c r="K417" s="270" t="str">
        <f ca="1">IF(select!$K$317&lt;&gt;Sprache!$A$56&amp;" "&amp;Sprache!$A$146,K410,"")</f>
        <v>H-02, ni /37</v>
      </c>
      <c r="L417" s="270">
        <f ca="1">IF(select!$K$317&lt;&gt;Sprache!$A$56&amp;" "&amp;Sprache!$A$146,L410,"")</f>
        <v>-2</v>
      </c>
      <c r="M417" s="270" t="str">
        <f ca="1">IF(select!$K$317&lt;&gt;Sprache!$A$56&amp;" "&amp;Sprache!$A$146,M410,"")</f>
        <v>F058</v>
      </c>
      <c r="N417" s="270" t="str">
        <f ca="1">IF(select!$K$317&lt;&gt;Sprache!$A$56&amp;" "&amp;Sprache!$A$146,N410,"")</f>
        <v>139</v>
      </c>
      <c r="O417" s="271" t="str">
        <f ca="1">IF(select!$K$317&lt;&gt;Sprache!$A$56&amp;" "&amp;Sprache!$A$146,O410,"")</f>
        <v>720</v>
      </c>
      <c r="U417" s="246"/>
      <c r="AL417" s="8"/>
      <c r="AZ417" s="247"/>
    </row>
    <row r="418" spans="1:52" hidden="1" outlineLevel="1" x14ac:dyDescent="0.25">
      <c r="A418" s="18" t="str">
        <f t="array" ref="A418">IFERROR(INDEX(select!$D$387:$D$397,LARGE(($I$387:$I$397=select!$L$178)*(ROW($I$387:$I$397)-$B$386),COUNTIF($I$387:$I$397,1)+1-ROW(A2))),"")</f>
        <v/>
      </c>
      <c r="B418" s="18" t="str">
        <f t="array" ref="B418">IFERROR(INDEX(F388:F398,LARGE(($I$387:$I$397=select!$L$178)*(ROW($I$387:$I$397)-$B$386),COUNTIF($I$387:$I$397,1)+1-ROW(A2))),"")</f>
        <v/>
      </c>
      <c r="C418" s="18" t="str">
        <f t="array" ref="C418">IFERROR(INDEX(select!$E$387:$E$397,LARGE(($I$387:$I$397=select!$L$178)*(ROW($I$387:$I$397)-$B$386),COUNTIF($I$387:$I$397,1)+1-ROW(A2))),"")</f>
        <v/>
      </c>
      <c r="D418" s="18" t="str">
        <f t="array" ref="D418">IFERROR(INDEX(select!$L$387:$L$397,LARGE(($I$387:$I$397=select!$L$178)*(ROW($I$387:$I$397)-$B$386),COUNTIF($I$387:$I$397,1)+1-ROW(A2))),"")</f>
        <v/>
      </c>
      <c r="E418" s="18" t="str">
        <f t="array" ref="E418">IFERROR(INDEX(select!$A$387:$A$397,LARGE(($I$387:$I$397=select!$L$178)*(ROW($I$387:$I$397)-$B$386),COUNTIF($I$387:$I$397,1)+1-ROW(A2))),"")</f>
        <v/>
      </c>
      <c r="F418" s="18" t="str">
        <f t="array" ref="F418">IFERROR(INDEX(select!$B$387:$B$397,LARGE(($I$387:$I$397=select!$L$178)*(ROW($I$387:$I$397)-$B$386),COUNTIF($I$387:$I$397,1)+1-ROW(A2))),"")</f>
        <v/>
      </c>
      <c r="G418" s="18" t="str">
        <f t="array" ref="G418">IFERROR(INDEX(select!$C$387:$C$397,LARGE(($I$387:$I$397=select!$L$178)*(ROW($I$387:$I$397)-$B$386),COUNTIF($I$387:$I$397,1)+1-ROW(A2))),"")</f>
        <v/>
      </c>
      <c r="I418" s="71" t="str">
        <f ca="1">IF(select!$K$317&lt;&gt;Sprache!$A$56&amp;" "&amp;Sprache!$A$146,I411,"")</f>
        <v/>
      </c>
      <c r="J418" s="34" t="str">
        <f ca="1">IF(select!$K$317&lt;&gt;Sprache!$A$56&amp;" "&amp;Sprache!$A$146,J411,"")</f>
        <v/>
      </c>
      <c r="K418" s="34" t="str">
        <f ca="1">IF(select!$K$317&lt;&gt;Sprache!$A$56&amp;" "&amp;Sprache!$A$146,K411,"")</f>
        <v/>
      </c>
      <c r="L418" s="34" t="str">
        <f ca="1">IF(select!$K$317&lt;&gt;Sprache!$A$56&amp;" "&amp;Sprache!$A$146,L411,"")</f>
        <v/>
      </c>
      <c r="M418" s="34" t="str">
        <f ca="1">IF(select!$K$317&lt;&gt;Sprache!$A$56&amp;" "&amp;Sprache!$A$146,M411,"")</f>
        <v/>
      </c>
      <c r="N418" s="34" t="str">
        <f ca="1">IF(select!$K$317&lt;&gt;Sprache!$A$56&amp;" "&amp;Sprache!$A$146,N411,"")</f>
        <v/>
      </c>
      <c r="O418" s="55" t="str">
        <f ca="1">IF(select!$K$317&lt;&gt;Sprache!$A$56&amp;" "&amp;Sprache!$A$146,O411,"")</f>
        <v/>
      </c>
      <c r="U418" s="246"/>
      <c r="V418" s="247"/>
      <c r="W418" s="247"/>
      <c r="X418" s="247"/>
      <c r="Y418" s="247"/>
      <c r="Z418" s="247"/>
      <c r="AA418" s="247"/>
      <c r="AB418" s="247"/>
      <c r="AC418" s="247"/>
      <c r="AD418" s="247"/>
      <c r="AE418" s="247"/>
      <c r="AF418" s="247"/>
      <c r="AG418" s="247"/>
      <c r="AH418" s="247"/>
      <c r="AI418" s="247"/>
      <c r="AJ418" s="247"/>
      <c r="AK418" s="247"/>
      <c r="AL418" s="247"/>
      <c r="AM418" s="247"/>
      <c r="AN418" s="247"/>
      <c r="AO418" s="247"/>
      <c r="AP418" s="247"/>
      <c r="AQ418" s="247"/>
      <c r="AR418" s="247"/>
      <c r="AS418" s="247"/>
      <c r="AT418" s="247"/>
      <c r="AU418" s="247"/>
      <c r="AV418" s="247"/>
      <c r="AW418" s="247"/>
      <c r="AX418" s="247"/>
      <c r="AY418" s="247"/>
      <c r="AZ418" s="247"/>
    </row>
    <row r="419" spans="1:52" hidden="1" outlineLevel="1" x14ac:dyDescent="0.25">
      <c r="A419" s="18" t="str">
        <f t="array" ref="A419">IFERROR(INDEX(select!$D$387:$D$397,LARGE(($I$387:$I$397=select!$L$178)*(ROW($I$387:$I$397)-$B$386),COUNTIF($I$387:$I$397,1)+1-ROW(A3))),"")</f>
        <v/>
      </c>
      <c r="B419" s="18" t="str">
        <f t="array" ref="B419">IFERROR(INDEX(F389:F399,LARGE(($I$387:$I$397=select!$L$178)*(ROW($I$387:$I$397)-$B$386),COUNTIF($I$387:$I$397,1)+1-ROW(A3))),"")</f>
        <v/>
      </c>
      <c r="C419" s="18" t="str">
        <f t="array" ref="C419">IFERROR(INDEX(select!$E$387:$E$397,LARGE(($I$387:$I$397=select!$L$178)*(ROW($I$387:$I$397)-$B$386),COUNTIF($I$387:$I$397,1)+1-ROW(A3))),"")</f>
        <v/>
      </c>
      <c r="D419" s="18" t="str">
        <f t="array" ref="D419">IFERROR(INDEX(select!$L$387:$L$397,LARGE(($I$387:$I$397=select!$L$178)*(ROW($I$387:$I$397)-$B$386),COUNTIF($I$387:$I$397,1)+1-ROW(A3))),"")</f>
        <v/>
      </c>
      <c r="E419" s="18" t="str">
        <f t="array" ref="E419">IFERROR(INDEX(select!$A$387:$A$397,LARGE(($I$387:$I$397=select!$L$178)*(ROW($I$387:$I$397)-$B$386),COUNTIF($I$387:$I$397,1)+1-ROW(A3))),"")</f>
        <v/>
      </c>
      <c r="F419" s="18" t="str">
        <f t="array" ref="F419">IFERROR(INDEX(select!$B$387:$B$397,LARGE(($I$387:$I$397=select!$L$178)*(ROW($I$387:$I$397)-$B$386),COUNTIF($I$387:$I$397,1)+1-ROW(A3))),"")</f>
        <v/>
      </c>
      <c r="G419" s="18" t="str">
        <f t="array" ref="G419">IFERROR(INDEX(select!$C$387:$C$397,LARGE(($I$387:$I$397=select!$L$178)*(ROW($I$387:$I$397)-$B$386),COUNTIF($I$387:$I$397,1)+1-ROW(A3))),"")</f>
        <v/>
      </c>
      <c r="I419" s="71" t="str">
        <f ca="1">IF(select!$K$317&lt;&gt;Sprache!$A$56&amp;" "&amp;Sprache!$A$146,I412,"")</f>
        <v/>
      </c>
      <c r="J419" s="34" t="str">
        <f ca="1">IF(select!$K$317&lt;&gt;Sprache!$A$56&amp;" "&amp;Sprache!$A$146,J412,"")</f>
        <v/>
      </c>
      <c r="K419" s="34" t="str">
        <f ca="1">IF(select!$K$317&lt;&gt;Sprache!$A$56&amp;" "&amp;Sprache!$A$146,K412,"")</f>
        <v/>
      </c>
      <c r="L419" s="34" t="str">
        <f ca="1">IF(select!$K$317&lt;&gt;Sprache!$A$56&amp;" "&amp;Sprache!$A$146,L412,"")</f>
        <v/>
      </c>
      <c r="M419" s="34" t="str">
        <f ca="1">IF(select!$K$317&lt;&gt;Sprache!$A$56&amp;" "&amp;Sprache!$A$146,M412,"")</f>
        <v/>
      </c>
      <c r="N419" s="34" t="str">
        <f ca="1">IF(select!$K$317&lt;&gt;Sprache!$A$56&amp;" "&amp;Sprache!$A$146,N412,"")</f>
        <v/>
      </c>
      <c r="O419" s="55" t="str">
        <f ca="1">IF(select!$K$317&lt;&gt;Sprache!$A$56&amp;" "&amp;Sprache!$A$146,O412,"")</f>
        <v/>
      </c>
      <c r="T419" s="8"/>
      <c r="U419" s="8"/>
    </row>
    <row r="420" spans="1:52" hidden="1" outlineLevel="1" x14ac:dyDescent="0.25">
      <c r="A420" s="18" t="str">
        <f t="array" ref="A420">IFERROR(INDEX(select!$D$387:$D$397,LARGE(($I$387:$I$397=select!$L$178)*(ROW($I$387:$I$397)-$B$386),COUNTIF($I$387:$I$397,1)+1-ROW(A4))),"")</f>
        <v/>
      </c>
      <c r="B420" s="18" t="str">
        <f t="array" ref="B420">IFERROR(INDEX(F390:F400,LARGE(($I$387:$I$397=select!$L$178)*(ROW($I$387:$I$397)-$B$386),COUNTIF($I$387:$I$397,1)+1-ROW(A4))),"")</f>
        <v/>
      </c>
      <c r="C420" s="18" t="str">
        <f t="array" ref="C420">IFERROR(INDEX(select!$E$387:$E$397,LARGE(($I$387:$I$397=select!$L$178)*(ROW($I$387:$I$397)-$B$386),COUNTIF($I$387:$I$397,1)+1-ROW(A4))),"")</f>
        <v/>
      </c>
      <c r="D420" s="18" t="str">
        <f t="array" ref="D420">IFERROR(INDEX(select!$L$387:$L$397,LARGE(($I$387:$I$397=select!$L$178)*(ROW($I$387:$I$397)-$B$386),COUNTIF($I$387:$I$397,1)+1-ROW(A4))),"")</f>
        <v/>
      </c>
      <c r="E420" s="18" t="str">
        <f t="array" ref="E420">IFERROR(INDEX(select!$A$387:$A$397,LARGE(($I$387:$I$397=select!$L$178)*(ROW($I$387:$I$397)-$B$386),COUNTIF($I$387:$I$397,1)+1-ROW(A4))),"")</f>
        <v/>
      </c>
      <c r="F420" s="18" t="str">
        <f t="array" ref="F420">IFERROR(INDEX(select!$B$387:$B$397,LARGE(($I$387:$I$397=select!$L$178)*(ROW($I$387:$I$397)-$B$386),COUNTIF($I$387:$I$397,1)+1-ROW(A4))),"")</f>
        <v/>
      </c>
      <c r="G420" s="18" t="str">
        <f t="array" ref="G420">IFERROR(INDEX(select!$C$387:$C$397,LARGE(($I$387:$I$397=select!$L$178)*(ROW($I$387:$I$397)-$B$386),COUNTIF($I$387:$I$397,1)+1-ROW(A4))),"")</f>
        <v/>
      </c>
      <c r="I420" s="71" t="str">
        <f ca="1">IF(select!$K$317&lt;&gt;Sprache!$A$56&amp;" "&amp;Sprache!$A$146,I413,"")</f>
        <v/>
      </c>
      <c r="J420" s="34" t="str">
        <f ca="1">IF(select!$K$317&lt;&gt;Sprache!$A$56&amp;" "&amp;Sprache!$A$146,J413,"")</f>
        <v/>
      </c>
      <c r="K420" s="34" t="str">
        <f ca="1">IF(select!$K$317&lt;&gt;Sprache!$A$56&amp;" "&amp;Sprache!$A$146,K413,"")</f>
        <v/>
      </c>
      <c r="L420" s="34" t="str">
        <f ca="1">IF(select!$K$317&lt;&gt;Sprache!$A$56&amp;" "&amp;Sprache!$A$146,L413,"")</f>
        <v/>
      </c>
      <c r="M420" s="34" t="str">
        <f ca="1">IF(select!$K$317&lt;&gt;Sprache!$A$56&amp;" "&amp;Sprache!$A$146,M413,"")</f>
        <v/>
      </c>
      <c r="N420" s="34" t="str">
        <f ca="1">IF(select!$K$317&lt;&gt;Sprache!$A$56&amp;" "&amp;Sprache!$A$146,N413,"")</f>
        <v/>
      </c>
      <c r="O420" s="55" t="str">
        <f ca="1">IF(select!$K$317&lt;&gt;Sprache!$A$56&amp;" "&amp;Sprache!$A$146,O413,"")</f>
        <v/>
      </c>
      <c r="T420" s="8"/>
      <c r="U420" s="8"/>
    </row>
    <row r="421" spans="1:52" hidden="1" outlineLevel="1" x14ac:dyDescent="0.25">
      <c r="A421" s="18" t="str">
        <f t="array" ref="A421">IFERROR(INDEX(select!$D$387:$D$397,LARGE(($I$387:$I$397=select!$L$178)*(ROW($I$387:$I$397)-$B$386),COUNTIF($I$387:$I$397,1)+1-ROW(A5))),"")</f>
        <v/>
      </c>
      <c r="B421" s="18" t="str">
        <f t="array" ref="B421">IFERROR(INDEX(F391:F401,LARGE(($I$387:$I$397=select!$L$178)*(ROW($I$387:$I$397)-$B$386),COUNTIF($I$387:$I$397,1)+1-ROW(A5))),"")</f>
        <v/>
      </c>
      <c r="C421" s="18" t="str">
        <f t="array" ref="C421">IFERROR(INDEX(select!$E$387:$E$397,LARGE(($I$387:$I$397=select!$L$178)*(ROW($I$387:$I$397)-$B$386),COUNTIF($I$387:$I$397,1)+1-ROW(A5))),"")</f>
        <v/>
      </c>
      <c r="D421" s="18" t="str">
        <f t="array" ref="D421">IFERROR(INDEX(select!$L$387:$L$397,LARGE(($I$387:$I$397=select!$L$178)*(ROW($I$387:$I$397)-$B$386),COUNTIF($I$387:$I$397,1)+1-ROW(A5))),"")</f>
        <v/>
      </c>
      <c r="E421" s="18" t="str">
        <f t="array" ref="E421">IFERROR(INDEX(select!$A$387:$A$397,LARGE(($I$387:$I$397=select!$L$178)*(ROW($I$387:$I$397)-$B$386),COUNTIF($I$387:$I$397,1)+1-ROW(A5))),"")</f>
        <v/>
      </c>
      <c r="F421" s="18" t="str">
        <f t="array" ref="F421">IFERROR(INDEX(select!$B$387:$B$397,LARGE(($I$387:$I$397=select!$L$178)*(ROW($I$387:$I$397)-$B$386),COUNTIF($I$387:$I$397,1)+1-ROW(A5))),"")</f>
        <v/>
      </c>
      <c r="G421" s="18" t="str">
        <f t="array" ref="G421">IFERROR(INDEX(select!$C$387:$C$397,LARGE(($I$387:$I$397=select!$L$178)*(ROW($I$387:$I$397)-$B$386),COUNTIF($I$387:$I$397,1)+1-ROW(A5))),"")</f>
        <v/>
      </c>
      <c r="I421" s="71" t="str">
        <f ca="1">IF(select!$K$317&lt;&gt;Sprache!$A$56&amp;" "&amp;Sprache!$A$146,I414,"")</f>
        <v/>
      </c>
      <c r="J421" s="34" t="str">
        <f ca="1">IF(select!$K$317&lt;&gt;Sprache!$A$56&amp;" "&amp;Sprache!$A$146,J414,"")</f>
        <v/>
      </c>
      <c r="K421" s="34" t="str">
        <f ca="1">IF(select!$K$317&lt;&gt;Sprache!$A$56&amp;" "&amp;Sprache!$A$146,K414,"")</f>
        <v/>
      </c>
      <c r="L421" s="34" t="str">
        <f ca="1">IF(select!$K$317&lt;&gt;Sprache!$A$56&amp;" "&amp;Sprache!$A$146,L414,"")</f>
        <v/>
      </c>
      <c r="M421" s="34" t="str">
        <f ca="1">IF(select!$K$317&lt;&gt;Sprache!$A$56&amp;" "&amp;Sprache!$A$146,M414,"")</f>
        <v/>
      </c>
      <c r="N421" s="34" t="str">
        <f ca="1">IF(select!$K$317&lt;&gt;Sprache!$A$56&amp;" "&amp;Sprache!$A$146,N414,"")</f>
        <v/>
      </c>
      <c r="O421" s="55" t="str">
        <f ca="1">IF(select!$K$317&lt;&gt;Sprache!$A$56&amp;" "&amp;Sprache!$A$146,O414,"")</f>
        <v/>
      </c>
      <c r="T421" s="8"/>
      <c r="U421" s="8"/>
    </row>
    <row r="422" spans="1:52" hidden="1" outlineLevel="1" x14ac:dyDescent="0.25">
      <c r="A422" s="18" t="str">
        <f t="array" ref="A422">IFERROR(INDEX(select!$D$387:$D$397,LARGE(($I$387:$I$397=select!$L$178)*(ROW($I$387:$I$397)-$B$386),COUNTIF($I$387:$I$397,1)+1-ROW(A6))),"")</f>
        <v/>
      </c>
      <c r="B422" s="18" t="str">
        <f t="array" ref="B422">IFERROR(INDEX(F392:F402,LARGE(($I$387:$I$397=select!$L$178)*(ROW($I$387:$I$397)-$B$386),COUNTIF($I$387:$I$397,1)+1-ROW(A6))),"")</f>
        <v/>
      </c>
      <c r="C422" s="18" t="str">
        <f t="array" ref="C422">IFERROR(INDEX(select!$E$387:$E$397,LARGE(($I$387:$I$397=select!$L$178)*(ROW($I$387:$I$397)-$B$386),COUNTIF($I$387:$I$397,1)+1-ROW(A6))),"")</f>
        <v/>
      </c>
      <c r="D422" s="18" t="str">
        <f t="array" ref="D422">IFERROR(INDEX(select!$L$387:$L$397,LARGE(($I$387:$I$397=select!$L$178)*(ROW($I$387:$I$397)-$B$386),COUNTIF($I$387:$I$397,1)+1-ROW(A6))),"")</f>
        <v/>
      </c>
      <c r="E422" s="18" t="str">
        <f t="array" ref="E422">IFERROR(INDEX(select!$A$387:$A$397,LARGE(($I$387:$I$397=select!$L$178)*(ROW($I$387:$I$397)-$B$386),COUNTIF($I$387:$I$397,1)+1-ROW(A6))),"")</f>
        <v/>
      </c>
      <c r="F422" s="18" t="str">
        <f t="array" ref="F422">IFERROR(INDEX(select!$B$387:$B$397,LARGE(($I$387:$I$397=select!$L$178)*(ROW($I$387:$I$397)-$B$386),COUNTIF($I$387:$I$397,1)+1-ROW(A6))),"")</f>
        <v/>
      </c>
      <c r="G422" s="18" t="str">
        <f t="array" ref="G422">IFERROR(INDEX(select!$C$387:$C$397,LARGE(($I$387:$I$397=select!$L$178)*(ROW($I$387:$I$397)-$B$386),COUNTIF($I$387:$I$397,1)+1-ROW(A6))),"")</f>
        <v/>
      </c>
      <c r="I422" s="92" t="str">
        <f ca="1">IF(select!$K$317&lt;&gt;Sprache!$A$56&amp;" "&amp;Sprache!$A$146,I415,"")</f>
        <v/>
      </c>
      <c r="J422" s="6" t="str">
        <f ca="1">IF(select!$K$317&lt;&gt;Sprache!$A$56&amp;" "&amp;Sprache!$A$146,J415,"")</f>
        <v/>
      </c>
      <c r="K422" s="6" t="str">
        <f ca="1">IF(select!$K$317&lt;&gt;Sprache!$A$56&amp;" "&amp;Sprache!$A$146,K415,"")</f>
        <v/>
      </c>
      <c r="L422" s="6" t="str">
        <f ca="1">IF(select!$K$317&lt;&gt;Sprache!$A$56&amp;" "&amp;Sprache!$A$146,L415,"")</f>
        <v/>
      </c>
      <c r="M422" s="6" t="str">
        <f ca="1">IF(select!$K$317&lt;&gt;Sprache!$A$56&amp;" "&amp;Sprache!$A$146,M415,"")</f>
        <v/>
      </c>
      <c r="N422" s="6" t="str">
        <f ca="1">IF(select!$K$317&lt;&gt;Sprache!$A$56&amp;" "&amp;Sprache!$A$146,N415,"")</f>
        <v/>
      </c>
      <c r="O422" s="56" t="str">
        <f ca="1">IF(select!$K$317&lt;&gt;Sprache!$A$56&amp;" "&amp;Sprache!$A$146,O415,"")</f>
        <v/>
      </c>
      <c r="T422" s="8"/>
      <c r="U422" s="8"/>
    </row>
    <row r="423" spans="1:52" hidden="1" outlineLevel="1" x14ac:dyDescent="0.25">
      <c r="T423" s="8"/>
      <c r="U423" s="8"/>
    </row>
    <row r="424" spans="1:52" hidden="1" outlineLevel="1" x14ac:dyDescent="0.25">
      <c r="A424" t="str">
        <f>J386</f>
        <v>9,5/32</v>
      </c>
      <c r="O424">
        <f ca="1">COUNTBLANK(O417:O422)</f>
        <v>5</v>
      </c>
      <c r="T424" s="8"/>
      <c r="U424" s="8"/>
    </row>
    <row r="425" spans="1:52" hidden="1" outlineLevel="1" x14ac:dyDescent="0.25">
      <c r="A425" s="18" t="str">
        <f t="array" aca="1" ref="A425" ca="1">IFERROR(INDEX(select!$D$387:$D$397,LARGE(($J$387:$J$397=select!$L$178)*(ROW($J$387:$J$397)-$B$386),COUNTIF($J$387:$J$397,1)+1-ROW(A1))),Sprache!$A$56&amp;" "&amp;Sprache!$A$146)</f>
        <v>keine Lösungen</v>
      </c>
      <c r="B425" s="18" t="str">
        <f t="array" aca="1" ref="B425" ca="1">IFERROR(INDEX(F387:F397,LARGE(($J$387:$J$397=select!$L$178)*(ROW($J$387:$J$397)-$B$386),COUNTIF($J$387:$J$397,1)+1-ROW(A1))),Sprache!$A$38)</f>
        <v>Bitte Auswahl ändern!</v>
      </c>
      <c r="C425" s="18" t="str">
        <f t="array" ref="C425">IFERROR(INDEX(select!$E$387:$E$397,LARGE(($J$387:$J$397=select!$L$178)*(ROW($J$387:$J$397)-$B$386),COUNTIF($J$387:$J$397,1)+1-ROW(A1))),"")</f>
        <v/>
      </c>
      <c r="D425" s="18" t="str">
        <f t="array" ref="D425">IFERROR(INDEX(select!$L$387:$L$397,LARGE(($J$387:$J$397=select!$L$178)*(ROW($J$387:$J$397)-$B$386),COUNTIF($J$387:$J$397,1)+1-ROW(A1))),"")</f>
        <v/>
      </c>
      <c r="E425" s="18" t="str">
        <f t="array" ref="E425">IFERROR(INDEX(select!$A$387:$A$397,LARGE(($J$387:$J$397=select!$L$178)*(ROW($J$387:$J$397)-$B$386),COUNTIF($J$387:$J$397,1)+1-ROW(A1))),"")</f>
        <v/>
      </c>
      <c r="F425" s="18" t="str">
        <f t="array" ref="F425">IFERROR(INDEX(select!$B$387:$B$397,LARGE(($J$387:$J$397=select!$L$178)*(ROW($J$387:$J$397)-$B$386),COUNTIF($J$387:$J$397,1)+1-ROW(A1))),"")</f>
        <v/>
      </c>
      <c r="G425" s="18" t="str">
        <f t="array" ref="G425">IFERROR(INDEX(select!$C$387:$C$397,LARGE(($J$387:$J$397=select!$L$178)*(ROW($J$387:$J$397)-$B$386),COUNTIF($J$387:$J$397,1)+1-ROW(A1))),"")</f>
        <v/>
      </c>
      <c r="H425" s="3"/>
    </row>
    <row r="426" spans="1:52" hidden="1" outlineLevel="1" x14ac:dyDescent="0.25">
      <c r="A426" s="18" t="str">
        <f t="array" ref="A426">IFERROR(INDEX(select!$D$387:$D$397,LARGE(($J$387:$J$397=select!$L$178)*(ROW($J$387:$J$397)-$B$386),COUNTIF($J$387:$J$397,1)+1-ROW(A2))),"")</f>
        <v/>
      </c>
      <c r="B426" s="18" t="str">
        <f>IFERROR(INDEX(F388:F398,LARGE(($J$387:$J$397=select!$L$178)*(ROW($J$387:$J$397)-$B$386),COUNTIF($J$387:$J$397,1)+1-ROW(A2))),"")</f>
        <v/>
      </c>
      <c r="C426" s="18" t="str">
        <f t="array" ref="C426">IFERROR(INDEX(select!$E$387:$E$397,LARGE(($J$387:$J$397=select!$L$178)*(ROW($J$387:$J$397)-$B$386),COUNTIF($J$387:$J$397,1)+1-ROW(A2))),"")</f>
        <v/>
      </c>
      <c r="D426" s="18" t="str">
        <f t="array" ref="D426">IFERROR(INDEX(select!$L$387:$L$397,LARGE(($J$387:$J$397=select!$L$178)*(ROW($J$387:$J$397)-$B$386),COUNTIF($J$387:$J$397,1)+1-ROW(A2))),"")</f>
        <v/>
      </c>
      <c r="E426" s="18" t="str">
        <f t="array" ref="E426">IFERROR(INDEX(select!$A$387:$A$397,LARGE(($J$387:$J$397=select!$L$178)*(ROW($J$387:$J$397)-$B$386),COUNTIF($J$387:$J$397,1)+1-ROW(A2))),"")</f>
        <v/>
      </c>
      <c r="F426" s="18" t="str">
        <f t="array" ref="F426">IFERROR(INDEX(select!$B$387:$B$397,LARGE(($J$387:$J$397=select!$L$178)*(ROW($J$387:$J$397)-$B$386),COUNTIF($J$387:$J$397,1)+1-ROW(A2))),"")</f>
        <v/>
      </c>
      <c r="G426" s="18" t="str">
        <f t="array" ref="G426">IFERROR(INDEX(select!$C$387:$C$397,LARGE(($J$387:$J$397=select!$L$178)*(ROW($J$387:$J$397)-$B$386),COUNTIF($J$387:$J$397,1)+1-ROW(A2))),"")</f>
        <v/>
      </c>
    </row>
    <row r="427" spans="1:52" hidden="1" outlineLevel="1" x14ac:dyDescent="0.25">
      <c r="A427" s="18" t="str">
        <f t="array" ref="A427">IFERROR(INDEX(select!$D$387:$D$397,LARGE(($J$387:$J$397=select!$L$178)*(ROW($J$387:$J$397)-$B$386),COUNTIF($J$387:$J$397,1)+1-ROW(A3))),"")</f>
        <v/>
      </c>
      <c r="B427" s="18" t="str">
        <f>IFERROR(INDEX(F389:F399,LARGE(($J$387:$J$397=select!$L$178)*(ROW($J$387:$J$397)-$B$386),COUNTIF($J$387:$J$397,1)+1-ROW(A3))),"")</f>
        <v/>
      </c>
      <c r="C427" s="18" t="str">
        <f t="array" ref="C427">IFERROR(INDEX(select!$E$387:$E$397,LARGE(($J$387:$J$397=select!$L$178)*(ROW($J$387:$J$397)-$B$386),COUNTIF($J$387:$J$397,1)+1-ROW(A3))),"")</f>
        <v/>
      </c>
      <c r="D427" s="18" t="str">
        <f t="array" ref="D427">IFERROR(INDEX(select!$L$387:$L$397,LARGE(($J$387:$J$397=select!$L$178)*(ROW($J$387:$J$397)-$B$386),COUNTIF($J$387:$J$397,1)+1-ROW(A3))),"")</f>
        <v/>
      </c>
      <c r="E427" s="18" t="str">
        <f t="array" ref="E427">IFERROR(INDEX(select!$A$387:$A$397,LARGE(($J$387:$J$397=select!$L$178)*(ROW($J$387:$J$397)-$B$386),COUNTIF($J$387:$J$397,1)+1-ROW(A3))),"")</f>
        <v/>
      </c>
      <c r="F427" s="18" t="str">
        <f t="array" ref="F427">IFERROR(INDEX(select!$B$387:$B$397,LARGE(($J$387:$J$397=select!$L$178)*(ROW($J$387:$J$397)-$B$386),COUNTIF($J$387:$J$397,1)+1-ROW(A3))),"")</f>
        <v/>
      </c>
      <c r="G427" s="18" t="str">
        <f t="array" ref="G427">IFERROR(INDEX(select!$C$387:$C$397,LARGE(($J$387:$J$397=select!$L$178)*(ROW($J$387:$J$397)-$B$386),COUNTIF($J$387:$J$397,1)+1-ROW(A3))),"")</f>
        <v/>
      </c>
    </row>
    <row r="428" spans="1:52" hidden="1" outlineLevel="1" x14ac:dyDescent="0.25">
      <c r="A428" s="18" t="str">
        <f t="array" ref="A428">IFERROR(INDEX(select!$D$387:$D$397,LARGE(($J$387:$J$397=select!$L$178)*(ROW($J$387:$J$397)-$B$386),COUNTIF($J$387:$J$397,1)+1-ROW(A4))),"")</f>
        <v/>
      </c>
      <c r="B428" s="18" t="str">
        <f>IFERROR(INDEX(F390:F400,LARGE(($J$387:$J$397=select!$L$178)*(ROW($J$387:$J$397)-$B$386),COUNTIF($J$387:$J$397,1)+1-ROW(A4))),"")</f>
        <v/>
      </c>
      <c r="C428" s="18" t="str">
        <f t="array" ref="C428">IFERROR(INDEX(select!$E$387:$E$397,LARGE(($J$387:$J$397=select!$L$178)*(ROW($J$387:$J$397)-$B$386),COUNTIF($J$387:$J$397,1)+1-ROW(A4))),"")</f>
        <v/>
      </c>
      <c r="D428" s="18" t="str">
        <f t="array" ref="D428">IFERROR(INDEX(select!$L$387:$L$397,LARGE(($J$387:$J$397=select!$L$178)*(ROW($J$387:$J$397)-$B$386),COUNTIF($J$387:$J$397,1)+1-ROW(A4))),"")</f>
        <v/>
      </c>
      <c r="E428" s="18" t="str">
        <f t="array" ref="E428">IFERROR(INDEX(select!$A$387:$A$397,LARGE(($J$387:$J$397=select!$L$178)*(ROW($J$387:$J$397)-$B$386),COUNTIF($J$387:$J$397,1)+1-ROW(A4))),"")</f>
        <v/>
      </c>
      <c r="F428" s="18" t="str">
        <f t="array" ref="F428">IFERROR(INDEX(select!$B$387:$B$397,LARGE(($J$387:$J$397=select!$L$178)*(ROW($J$387:$J$397)-$B$386),COUNTIF($J$387:$J$397,1)+1-ROW(A4))),"")</f>
        <v/>
      </c>
      <c r="G428" s="18" t="str">
        <f t="array" ref="G428">IFERROR(INDEX(select!$C$387:$C$397,LARGE(($J$387:$J$397=select!$L$178)*(ROW($J$387:$J$397)-$B$386),COUNTIF($J$387:$J$397,1)+1-ROW(A4))),"")</f>
        <v/>
      </c>
    </row>
    <row r="429" spans="1:52" hidden="1" outlineLevel="1" x14ac:dyDescent="0.25">
      <c r="A429" s="18" t="str">
        <f t="array" ref="A429">IFERROR(INDEX(select!$D$387:$D$397,LARGE(($J$387:$J$397=select!$L$178)*(ROW($J$387:$J$397)-$B$386),COUNTIF($J$387:$J$397,1)+1-ROW(A5))),"")</f>
        <v/>
      </c>
      <c r="B429" s="18" t="str">
        <f>IFERROR(INDEX(F391:F401,LARGE(($J$387:$J$397=select!$L$178)*(ROW($J$387:$J$397)-$B$386),COUNTIF($J$387:$J$397,1)+1-ROW(A5))),"")</f>
        <v/>
      </c>
      <c r="C429" s="18" t="str">
        <f t="array" ref="C429">IFERROR(INDEX(select!$E$387:$E$397,LARGE(($J$387:$J$397=select!$L$178)*(ROW($J$387:$J$397)-$B$386),COUNTIF($J$387:$J$397,1)+1-ROW(A5))),"")</f>
        <v/>
      </c>
      <c r="D429" s="18" t="str">
        <f t="array" ref="D429">IFERROR(INDEX(select!$L$387:$L$397,LARGE(($J$387:$J$397=select!$L$178)*(ROW($J$387:$J$397)-$B$386),COUNTIF($J$387:$J$397,1)+1-ROW(A5))),"")</f>
        <v/>
      </c>
      <c r="E429" s="18" t="str">
        <f t="array" ref="E429">IFERROR(INDEX(select!$A$387:$A$397,LARGE(($J$387:$J$397=select!$L$178)*(ROW($J$387:$J$397)-$B$386),COUNTIF($J$387:$J$397,1)+1-ROW(A5))),"")</f>
        <v/>
      </c>
      <c r="F429" s="18" t="str">
        <f t="array" ref="F429">IFERROR(INDEX(select!$B$387:$B$397,LARGE(($J$387:$J$397=select!$L$178)*(ROW($J$387:$J$397)-$B$386),COUNTIF($J$387:$J$397,1)+1-ROW(A5))),"")</f>
        <v/>
      </c>
      <c r="G429" s="18" t="str">
        <f t="array" ref="G429">IFERROR(INDEX(select!$C$387:$C$397,LARGE(($J$387:$J$397=select!$L$178)*(ROW($J$387:$J$397)-$B$386),COUNTIF($J$387:$J$397,1)+1-ROW(A5))),"")</f>
        <v/>
      </c>
      <c r="J429" s="710">
        <v>1</v>
      </c>
      <c r="K429" s="710">
        <v>2</v>
      </c>
      <c r="L429" s="710">
        <v>3</v>
      </c>
      <c r="M429" s="710">
        <v>4</v>
      </c>
      <c r="N429" s="710">
        <v>5</v>
      </c>
      <c r="O429" s="710">
        <v>6</v>
      </c>
      <c r="P429" s="710">
        <v>7</v>
      </c>
      <c r="Q429" s="710">
        <v>8</v>
      </c>
      <c r="R429" s="710">
        <v>9</v>
      </c>
      <c r="S429" s="710">
        <v>10</v>
      </c>
      <c r="T429" s="710">
        <v>11</v>
      </c>
    </row>
    <row r="430" spans="1:52" hidden="1" outlineLevel="1" x14ac:dyDescent="0.25">
      <c r="A430" s="18" t="str">
        <f t="array" ref="A430">IFERROR(INDEX(select!$D$387:$D$397,LARGE(($J$387:$J$397=select!$L$178)*(ROW($J$387:$J$397)-$B$386),COUNTIF($J$387:$J$397,1)+1-ROW(A6))),"")</f>
        <v/>
      </c>
      <c r="B430" s="18" t="str">
        <f>IFERROR(INDEX(F392:F402,LARGE(($J$387:$J$397=select!$L$178)*(ROW($J$387:$J$397)-$B$386),COUNTIF($J$387:$J$397,1)+1-ROW(A6))),"")</f>
        <v/>
      </c>
      <c r="C430" s="18" t="str">
        <f t="array" ref="C430">IFERROR(INDEX(select!$E$387:$E$397,LARGE(($J$387:$J$397=select!$L$178)*(ROW($J$387:$J$397)-$B$386),COUNTIF($J$387:$J$397,1)+1-ROW(A6))),"")</f>
        <v/>
      </c>
      <c r="D430" s="18" t="str">
        <f t="array" ref="D430">IFERROR(INDEX(select!$L$387:$L$397,LARGE(($J$387:$J$397=select!$L$178)*(ROW($J$387:$J$397)-$B$386),COUNTIF($J$387:$J$397,1)+1-ROW(A6))),"")</f>
        <v/>
      </c>
      <c r="E430" s="18" t="str">
        <f t="array" ref="E430">IFERROR(INDEX(select!$A$387:$A$397,LARGE(($J$387:$J$397=select!$L$178)*(ROW($J$387:$J$397)-$B$386),COUNTIF($J$387:$J$397,1)+1-ROW(A6))),"")</f>
        <v/>
      </c>
      <c r="F430" s="18" t="str">
        <f t="array" ref="F430">IFERROR(INDEX(select!$B$387:$B$397,LARGE(($J$387:$J$397=select!$L$178)*(ROW($J$387:$J$397)-$B$386),COUNTIF($J$387:$J$397,1)+1-ROW(A6))),"")</f>
        <v/>
      </c>
      <c r="G430" s="18" t="str">
        <f t="array" ref="G430">IFERROR(INDEX(select!$C$387:$C$397,LARGE(($J$387:$J$397=select!$L$178)*(ROW($J$387:$J$397)-$B$386),COUNTIF($J$387:$J$397,1)+1-ROW(A6))),"")</f>
        <v/>
      </c>
      <c r="I430" s="76"/>
      <c r="J430" s="710" t="s">
        <v>2217</v>
      </c>
      <c r="K430" s="710" t="s">
        <v>2218</v>
      </c>
      <c r="L430" s="710" t="s">
        <v>2219</v>
      </c>
      <c r="M430" s="710" t="s">
        <v>2220</v>
      </c>
      <c r="N430" s="710" t="s">
        <v>2221</v>
      </c>
      <c r="O430" s="710" t="s">
        <v>2222</v>
      </c>
      <c r="P430" s="710" t="s">
        <v>2223</v>
      </c>
      <c r="Q430" s="710" t="s">
        <v>2224</v>
      </c>
      <c r="R430" s="734" t="s">
        <v>2225</v>
      </c>
      <c r="S430" s="734" t="s">
        <v>2226</v>
      </c>
      <c r="T430" s="734" t="s">
        <v>2227</v>
      </c>
      <c r="Z430" s="733" t="s">
        <v>2214</v>
      </c>
      <c r="AC430" s="87" t="s">
        <v>2215</v>
      </c>
      <c r="AG430">
        <v>4</v>
      </c>
      <c r="AJ430">
        <v>6</v>
      </c>
      <c r="AM430">
        <v>8</v>
      </c>
    </row>
    <row r="431" spans="1:52" hidden="1" outlineLevel="1" x14ac:dyDescent="0.25">
      <c r="I431" t="s">
        <v>1</v>
      </c>
      <c r="J431" s="710"/>
      <c r="K431" s="710"/>
      <c r="L431" s="710"/>
      <c r="M431" s="710"/>
      <c r="N431" s="710"/>
      <c r="O431" s="710"/>
      <c r="P431" s="710"/>
      <c r="Q431" s="710"/>
      <c r="R431" s="710"/>
      <c r="S431" s="710"/>
      <c r="T431" s="710"/>
    </row>
    <row r="432" spans="1:52" hidden="1" outlineLevel="1" x14ac:dyDescent="0.25">
      <c r="A432" t="str">
        <f>K386</f>
        <v>10/32</v>
      </c>
      <c r="H432" s="303">
        <f ca="1">IFERROR(OFFSET(I432,0,$A$318),0)</f>
        <v>1</v>
      </c>
      <c r="I432" s="76">
        <f>B348</f>
        <v>3</v>
      </c>
      <c r="J432" s="710">
        <f>Z328</f>
        <v>1</v>
      </c>
      <c r="K432" s="710" t="e">
        <f ca="1">Z382</f>
        <v>#N/A</v>
      </c>
      <c r="L432" s="475">
        <f>AB432</f>
        <v>0</v>
      </c>
      <c r="M432" s="710">
        <f>AH432</f>
        <v>1</v>
      </c>
      <c r="N432" s="710">
        <f>L432</f>
        <v>0</v>
      </c>
      <c r="O432" s="710">
        <f>AK432</f>
        <v>0</v>
      </c>
      <c r="P432" s="710">
        <f>L432</f>
        <v>0</v>
      </c>
      <c r="Q432" s="710">
        <f>AN432</f>
        <v>1</v>
      </c>
      <c r="R432" s="475">
        <f>AE432</f>
        <v>0</v>
      </c>
      <c r="S432" s="710">
        <f>R432</f>
        <v>0</v>
      </c>
      <c r="T432" s="710">
        <f>R432</f>
        <v>0</v>
      </c>
      <c r="Z432" t="e">
        <f>$X$454-((($AC$454)-1.1-I432)*COS($W$454/180*PI())+$AA$454*SIN($W$454/180*PI()))</f>
        <v>#N/A</v>
      </c>
      <c r="AA432" s="475" t="str">
        <f>IFERROR(IF(Z432&lt;0,(INT(Z432*-1)+IF(AND(ROUND(((Z432*-1)-INT(Z432*-1))*100,0)&gt;=0,ROUND(((Z432*-1)-INT(Z432*-1))*100,0)&lt;25)=TRUE,0,IF(AND(ROUND(((Z432*-1)-INT(Z432*-1))*100,0)&gt;=25,ROUND(((Z432*-1)-INT(Z432*-1))*100,0)&lt;50)=TRUE,0.5,IF(AND(ROUND(((Z432*-1)-INT(Z432*-1))*100,0)&gt;=50,ROUND(((Z432*-1)-INT(Z432*-1))*100,0)&lt;75)=TRUE,0.5,1))))*-1,(INT(Z432)+IF(AND(ROUND(((Z432)-INT(Z432))*100,0)&gt;=0,ROUND(((Z432)-INT(Z432))*100,0)&lt;25)=TRUE,0,IF(AND(ROUND(((Z432)-INT(Z432))*100,0)&gt;=25,ROUND(((Z432)-INT(Z432))*100,0)&lt;50)=TRUE,0.5,IF(AND(ROUND(((Z432)-INT(Z432))*100,0)&gt;=50,ROUND(((Z432)-INT(Z432))*100,0)&lt;75)=TRUE,0.5,1))))),"-")</f>
        <v>-</v>
      </c>
      <c r="AB432" s="53">
        <f>IFERROR(VLOOKUP(AA432,$O$447:$P$490,2,FALSE),0)</f>
        <v>0</v>
      </c>
      <c r="AC432" t="e">
        <f>($Y$565+I432-($AD$562))*COS(-$X$565*PI()/180)</f>
        <v>#N/A</v>
      </c>
      <c r="AD432" s="475" t="str">
        <f>IFERROR(IF(AC432&lt;0,(INT(AC432*-1)+IF(AND(ROUND(((AC432*-1)-INT(AC432*-1))*100,0)&gt;=0,ROUND(((AC432*-1)-INT(AC432*-1))*100,0)&lt;25)=TRUE,0,IF(AND(ROUND(((AC432*-1)-INT(AC432*-1))*100,0)&gt;=25,ROUND(((AC432*-1)-INT(AC432*-1))*100,0)&lt;50)=TRUE,0.5,IF(AND(ROUND(((AC432*-1)-INT(AC432*-1))*100,0)&gt;=50,ROUND(((AC432*-1)-INT(AC432*-1))*100,0)&lt;75)=TRUE,0.5,1))))*-1,(INT(AC432)+IF(AND(ROUND(((AC432)-INT(AC432))*100,0)&gt;=0,ROUND(((AC432)-INT(AC432))*100,0)&lt;25)=TRUE,0,IF(AND(ROUND(((AC432)-INT(AC432))*100,0)&gt;=25,ROUND(((AC432)-INT(AC432))*100,0)&lt;50)=TRUE,0.5,IF(AND(ROUND(((AC432)-INT(AC432))*100,0)&gt;=50,ROUND(((AC432)-INT(AC432))*100,0)&lt;75)=TRUE,0.5,1))))),"-")</f>
        <v>-</v>
      </c>
      <c r="AE432" s="53">
        <f>IFERROR(VLOOKUP(AD432,$R$561:$S$604,2,FALSE),0)</f>
        <v>0</v>
      </c>
      <c r="AG432">
        <f>VLOOKUP($C$685,$A$674:$F$682,I432-1,FALSE)</f>
        <v>9</v>
      </c>
      <c r="AH432" s="53">
        <f>IFERROR(VLOOKUP(AG432,$O$447:$P$490,2,FALSE),0)</f>
        <v>1</v>
      </c>
      <c r="AJ432" t="str">
        <f>VLOOKUP($C$708,$A$697:$F$705,I432-1,FALSE)</f>
        <v>-</v>
      </c>
      <c r="AK432" s="53">
        <f>IFERROR(VLOOKUP(AJ432,$O$447:$P$490,2,FALSE),0)</f>
        <v>0</v>
      </c>
      <c r="AM432">
        <f>VLOOKUP($C$731,$A$720:$F$728,I432-1,FALSE)</f>
        <v>14</v>
      </c>
      <c r="AN432" s="53">
        <f>IFERROR(VLOOKUP(AM432,$O$447:$P$490,2,FALSE),0)</f>
        <v>1</v>
      </c>
    </row>
    <row r="433" spans="1:52" hidden="1" outlineLevel="1" x14ac:dyDescent="0.25">
      <c r="A433" s="18" t="str">
        <f t="array" aca="1" ref="A433" ca="1">IFERROR(INDEX(select!$D$387:$D$397,LARGE(($K$387:$K$397=select!$L$178)*(ROW($K$387:$K$397)-$B$386),COUNTIF($K$387:$K$397,1)+1-ROW(A1))),Sprache!$A$56&amp;" "&amp;Sprache!$A$146)</f>
        <v>keine Lösungen</v>
      </c>
      <c r="B433" s="18" t="str">
        <f t="array" aca="1" ref="B433" ca="1">IFERROR(INDEX(F387:F397,LARGE(($K$387:$K$397=select!$L$178)*(ROW($K$387:$K$397)-$B$386),COUNTIF($K$387:$K$397,1)+1-ROW(A1))),Sprache!$A$38)</f>
        <v>Bitte Auswahl ändern!</v>
      </c>
      <c r="C433" s="18" t="str">
        <f t="array" ref="C433">IFERROR(INDEX(select!$E$387:$E$397,LARGE(($K$387:$K$397=select!$L$178)*(ROW($K$387:$K$397)-$B$386),COUNTIF($K$387:$K$397,1)+1-ROW(A1))),"")</f>
        <v/>
      </c>
      <c r="D433" s="18" t="str">
        <f t="array" ref="D433">IFERROR(INDEX(select!$L$387:$L$397,LARGE(($K$387:$K$397=select!$L$178)*(ROW($K$387:$K$397)-$B$386),COUNTIF($K$387:$K$397,1)+1-ROW(A1))),"")</f>
        <v/>
      </c>
      <c r="E433" s="18" t="str">
        <f t="array" ref="E433">IFERROR(INDEX(select!$A$387:$A$397,LARGE(($K$387:$K$397=select!$L$178)*(ROW($K$387:$K$397)-$B$386),COUNTIF($K$387:$K$397,1)+1-ROW(A1))),"")</f>
        <v/>
      </c>
      <c r="F433" s="18" t="str">
        <f t="array" ref="F433">IFERROR(INDEX(select!$B$387:$B$397,LARGE(($K$387:$K$397=select!$L$178)*(ROW($K$387:$K$397)-$B$386),COUNTIF($K$387:$K$397,1)+1-ROW(A1))),"")</f>
        <v/>
      </c>
      <c r="G433" s="18" t="str">
        <f t="array" ref="G433">IFERROR(INDEX(select!$C$387:$C$397,LARGE(($K$387:$K$397=select!$L$178)*(ROW($K$387:$K$397)-$B$386),COUNTIF($K$387:$K$397,1)+1-ROW(A1))),"")</f>
        <v/>
      </c>
      <c r="H433" s="303">
        <f t="shared" ref="H433:H438" ca="1" si="99">IFERROR(OFFSET(I433,0,$A$318),0)</f>
        <v>1</v>
      </c>
      <c r="I433" s="76">
        <f>B349</f>
        <v>4</v>
      </c>
      <c r="J433" s="710">
        <f>AB328</f>
        <v>1</v>
      </c>
      <c r="K433" s="710" t="e">
        <f>AB382</f>
        <v>#N/A</v>
      </c>
      <c r="L433" s="475">
        <f t="shared" ref="L433:L436" si="100">AB433</f>
        <v>0</v>
      </c>
      <c r="M433" s="710">
        <f t="shared" ref="M433:M436" si="101">AH433</f>
        <v>0</v>
      </c>
      <c r="N433" s="710">
        <f t="shared" ref="N433:N436" si="102">L433</f>
        <v>0</v>
      </c>
      <c r="O433" s="710">
        <f t="shared" ref="O433:O436" si="103">AK433</f>
        <v>1</v>
      </c>
      <c r="P433" s="710">
        <f t="shared" ref="P433:P436" si="104">L433</f>
        <v>0</v>
      </c>
      <c r="Q433" s="710">
        <f t="shared" ref="Q433:Q436" si="105">AN433</f>
        <v>0</v>
      </c>
      <c r="R433" s="475">
        <f t="shared" ref="R433:R436" si="106">AE433</f>
        <v>0</v>
      </c>
      <c r="S433" s="710">
        <f t="shared" ref="S433:S436" si="107">R433</f>
        <v>0</v>
      </c>
      <c r="T433" s="710">
        <f t="shared" ref="T433:T436" si="108">R433</f>
        <v>0</v>
      </c>
      <c r="Z433" t="e">
        <f>$X$454-((($AC$454)-1.1-I433)*COS($W$454/180*PI())+$AA$454*SIN($W$454/180*PI()))</f>
        <v>#N/A</v>
      </c>
      <c r="AA433" s="475" t="str">
        <f t="shared" ref="AA433:AA436" si="109">IFERROR(IF(Z433&lt;0,(INT(Z433*-1)+IF(AND(ROUND(((Z433*-1)-INT(Z433*-1))*100,0)&gt;=0,ROUND(((Z433*-1)-INT(Z433*-1))*100,0)&lt;25)=TRUE,0,IF(AND(ROUND(((Z433*-1)-INT(Z433*-1))*100,0)&gt;=25,ROUND(((Z433*-1)-INT(Z433*-1))*100,0)&lt;50)=TRUE,0.5,IF(AND(ROUND(((Z433*-1)-INT(Z433*-1))*100,0)&gt;=50,ROUND(((Z433*-1)-INT(Z433*-1))*100,0)&lt;75)=TRUE,0.5,1))))*-1,(INT(Z433)+IF(AND(ROUND(((Z433)-INT(Z433))*100,0)&gt;=0,ROUND(((Z433)-INT(Z433))*100,0)&lt;25)=TRUE,0,IF(AND(ROUND(((Z433)-INT(Z433))*100,0)&gt;=25,ROUND(((Z433)-INT(Z433))*100,0)&lt;50)=TRUE,0.5,IF(AND(ROUND(((Z433)-INT(Z433))*100,0)&gt;=50,ROUND(((Z433)-INT(Z433))*100,0)&lt;75)=TRUE,0.5,1))))),"-")</f>
        <v>-</v>
      </c>
      <c r="AB433" s="53">
        <f t="shared" ref="AB433:AB436" si="110">IFERROR(VLOOKUP(AA433,$O$447:$P$490,2,FALSE),0)</f>
        <v>0</v>
      </c>
      <c r="AC433" t="e">
        <f>($Y$565+I433-($AD$562))*COS(-$X$565*PI()/180)</f>
        <v>#N/A</v>
      </c>
      <c r="AD433" s="475" t="str">
        <f t="shared" ref="AD433:AD436" si="111">IFERROR(IF(AC433&lt;0,(INT(AC433*-1)+IF(AND(ROUND(((AC433*-1)-INT(AC433*-1))*100,0)&gt;=0,ROUND(((AC433*-1)-INT(AC433*-1))*100,0)&lt;25)=TRUE,0,IF(AND(ROUND(((AC433*-1)-INT(AC433*-1))*100,0)&gt;=25,ROUND(((AC433*-1)-INT(AC433*-1))*100,0)&lt;50)=TRUE,0.5,IF(AND(ROUND(((AC433*-1)-INT(AC433*-1))*100,0)&gt;=50,ROUND(((AC433*-1)-INT(AC433*-1))*100,0)&lt;75)=TRUE,0.5,1))))*-1,(INT(AC433)+IF(AND(ROUND(((AC433)-INT(AC433))*100,0)&gt;=0,ROUND(((AC433)-INT(AC433))*100,0)&lt;25)=TRUE,0,IF(AND(ROUND(((AC433)-INT(AC433))*100,0)&gt;=25,ROUND(((AC433)-INT(AC433))*100,0)&lt;50)=TRUE,0.5,IF(AND(ROUND(((AC433)-INT(AC433))*100,0)&gt;=50,ROUND(((AC433)-INT(AC433))*100,0)&lt;75)=TRUE,0.5,1))))),"-")</f>
        <v>-</v>
      </c>
      <c r="AE433" s="53">
        <f t="shared" ref="AE433:AE435" si="112">IFERROR(VLOOKUP(AD433,$R$561:$S$604,2,FALSE),0)</f>
        <v>0</v>
      </c>
      <c r="AG433" t="str">
        <f t="shared" ref="AG433:AG436" si="113">VLOOKUP($C$685,$A$674:$F$682,I433-1,FALSE)</f>
        <v>-</v>
      </c>
      <c r="AH433" s="53">
        <f>IFERROR(VLOOKUP(AG433,$O$447:$P$490,2,FALSE),0)</f>
        <v>0</v>
      </c>
      <c r="AJ433">
        <f t="shared" ref="AJ433:AJ436" si="114">VLOOKUP($C$708,$A$697:$F$705,I433-1,FALSE)</f>
        <v>12</v>
      </c>
      <c r="AK433" s="53">
        <f t="shared" ref="AK433:AK436" si="115">IFERROR(VLOOKUP(AJ433,$O$447:$P$490,2,FALSE),0)</f>
        <v>1</v>
      </c>
      <c r="AM433" t="str">
        <f t="shared" ref="AM433:AM436" si="116">VLOOKUP($C$731,$A$720:$F$728,I433-1,FALSE)</f>
        <v>-</v>
      </c>
      <c r="AN433" s="53">
        <f t="shared" ref="AN433:AN436" si="117">IFERROR(VLOOKUP(AM433,$O$447:$P$490,2,FALSE),0)</f>
        <v>0</v>
      </c>
    </row>
    <row r="434" spans="1:52" hidden="1" outlineLevel="1" x14ac:dyDescent="0.25">
      <c r="A434" s="18" t="str">
        <f t="array" ref="A434">IFERROR(INDEX(select!$D$387:$D$397,LARGE(($K$387:$K$397=select!$L$178)*(ROW($K$387:$K$397)-$B$386),COUNTIF($K$387:$K$397,1)+1-ROW(A2))),"")</f>
        <v/>
      </c>
      <c r="B434" s="18" t="str">
        <f t="array" ref="B434">IFERROR(INDEX(F388:F398,LARGE(($K$387:$K$397=select!$L$178)*(ROW($K$387:$K$397)-$B$386),COUNTIF($K$387:$K$397,1)+1-ROW(A2))),"")</f>
        <v/>
      </c>
      <c r="C434" s="18" t="str">
        <f t="array" ref="C434">IFERROR(INDEX(select!$E$387:$E$397,LARGE(($K$387:$K$397=select!$L$178)*(ROW($K$387:$K$397)-$B$386),COUNTIF($K$387:$K$397,1)+1-ROW(A2))),"")</f>
        <v/>
      </c>
      <c r="D434" s="18" t="str">
        <f t="array" ref="D434">IFERROR(INDEX(select!$L$387:$L$397,LARGE(($K$387:$K$397=select!$L$178)*(ROW($K$387:$K$397)-$B$386),COUNTIF($K$387:$K$397,1)+1-ROW(A2))),"")</f>
        <v/>
      </c>
      <c r="E434" s="18" t="str">
        <f t="array" ref="E434">IFERROR(INDEX(select!$A$387:$A$397,LARGE(($K$387:$K$397=select!$L$178)*(ROW($K$387:$K$397)-$B$386),COUNTIF($K$387:$K$397,1)+1-ROW(A2))),"")</f>
        <v/>
      </c>
      <c r="F434" s="18" t="str">
        <f t="array" ref="F434">IFERROR(INDEX(select!$B$387:$B$397,LARGE(($K$387:$K$397=select!$L$178)*(ROW($K$387:$K$397)-$B$386),COUNTIF($K$387:$K$397,1)+1-ROW(A2))),"")</f>
        <v/>
      </c>
      <c r="G434" s="18" t="str">
        <f t="array" ref="G434">IFERROR(INDEX(select!$C$387:$C$397,LARGE(($K$387:$K$397=select!$L$178)*(ROW($K$387:$K$397)-$B$386),COUNTIF($K$387:$K$397,1)+1-ROW(A2))),"")</f>
        <v/>
      </c>
      <c r="H434" s="303">
        <f t="shared" ca="1" si="99"/>
        <v>1</v>
      </c>
      <c r="I434" s="76">
        <f>B350</f>
        <v>5</v>
      </c>
      <c r="J434" s="710">
        <f>AD328</f>
        <v>1</v>
      </c>
      <c r="K434" s="710" t="e">
        <f>AD382</f>
        <v>#N/A</v>
      </c>
      <c r="L434" s="475">
        <f t="shared" si="100"/>
        <v>0</v>
      </c>
      <c r="M434" s="710">
        <f t="shared" si="101"/>
        <v>0</v>
      </c>
      <c r="N434" s="710">
        <f t="shared" si="102"/>
        <v>0</v>
      </c>
      <c r="O434" s="710">
        <f t="shared" si="103"/>
        <v>0</v>
      </c>
      <c r="P434" s="710">
        <f t="shared" si="104"/>
        <v>0</v>
      </c>
      <c r="Q434" s="710">
        <f t="shared" si="105"/>
        <v>1</v>
      </c>
      <c r="R434" s="475">
        <f t="shared" si="106"/>
        <v>0</v>
      </c>
      <c r="S434" s="710">
        <f t="shared" si="107"/>
        <v>0</v>
      </c>
      <c r="T434" s="710">
        <f t="shared" si="108"/>
        <v>0</v>
      </c>
      <c r="Z434" t="e">
        <f>$X$454-((($AC$454)-1.1-I434)*COS($W$454/180*PI())+$AA$454*SIN($W$454/180*PI()))</f>
        <v>#N/A</v>
      </c>
      <c r="AA434" s="475" t="str">
        <f t="shared" si="109"/>
        <v>-</v>
      </c>
      <c r="AB434" s="53">
        <f t="shared" si="110"/>
        <v>0</v>
      </c>
      <c r="AC434" t="e">
        <f>($Y$565+I434-($AD$562))*COS(-$X$565*PI()/180)</f>
        <v>#N/A</v>
      </c>
      <c r="AD434" s="475" t="str">
        <f t="shared" si="111"/>
        <v>-</v>
      </c>
      <c r="AE434" s="53">
        <f t="shared" si="112"/>
        <v>0</v>
      </c>
      <c r="AG434" t="str">
        <f t="shared" si="113"/>
        <v>-</v>
      </c>
      <c r="AH434" s="53">
        <f t="shared" ref="AH434:AH436" si="118">IFERROR(VLOOKUP(AG434,$O$447:$P$490,2,FALSE),0)</f>
        <v>0</v>
      </c>
      <c r="AJ434" t="str">
        <f t="shared" si="114"/>
        <v>-</v>
      </c>
      <c r="AK434" s="53">
        <f t="shared" si="115"/>
        <v>0</v>
      </c>
      <c r="AM434">
        <f t="shared" si="116"/>
        <v>15</v>
      </c>
      <c r="AN434" s="53">
        <f t="shared" si="117"/>
        <v>1</v>
      </c>
    </row>
    <row r="435" spans="1:52" hidden="1" outlineLevel="1" x14ac:dyDescent="0.25">
      <c r="A435" s="18" t="str">
        <f t="array" ref="A435">IFERROR(INDEX(select!$D$387:$D$397,LARGE(($K$387:$K$397=select!$L$178)*(ROW($K$387:$K$397)-$B$386),COUNTIF($K$387:$K$397,1)+1-ROW(A3))),"")</f>
        <v/>
      </c>
      <c r="B435" s="18" t="str">
        <f t="array" ref="B435">IFERROR(INDEX(F389:F399,LARGE(($K$387:$K$397=select!$L$178)*(ROW($K$387:$K$397)-$B$386),COUNTIF($K$387:$K$397,1)+1-ROW(A3))),"")</f>
        <v/>
      </c>
      <c r="C435" s="18" t="str">
        <f t="array" ref="C435">IFERROR(INDEX(select!$E$387:$E$397,LARGE(($K$387:$K$397=select!$L$178)*(ROW($K$387:$K$397)-$B$386),COUNTIF($K$387:$K$397,1)+1-ROW(A3))),"")</f>
        <v/>
      </c>
      <c r="D435" s="18" t="str">
        <f t="array" ref="D435">IFERROR(INDEX(select!$L$387:$L$397,LARGE(($K$387:$K$397=select!$L$178)*(ROW($K$387:$K$397)-$B$386),COUNTIF($K$387:$K$397,1)+1-ROW(A3))),"")</f>
        <v/>
      </c>
      <c r="E435" s="18" t="str">
        <f t="array" ref="E435">IFERROR(INDEX(select!$A$387:$A$397,LARGE(($K$387:$K$397=select!$L$178)*(ROW($K$387:$K$397)-$B$386),COUNTIF($K$387:$K$397,1)+1-ROW(A3))),"")</f>
        <v/>
      </c>
      <c r="F435" s="18" t="str">
        <f t="array" ref="F435">IFERROR(INDEX(select!$B$387:$B$397,LARGE(($K$387:$K$397=select!$L$178)*(ROW($K$387:$K$397)-$B$386),COUNTIF($K$387:$K$397,1)+1-ROW(A3))),"")</f>
        <v/>
      </c>
      <c r="G435" s="18" t="str">
        <f t="array" ref="G435">IFERROR(INDEX(select!$C$387:$C$397,LARGE(($K$387:$K$397=select!$L$178)*(ROW($K$387:$K$397)-$B$386),COUNTIF($K$387:$K$397,1)+1-ROW(A3))),"")</f>
        <v/>
      </c>
      <c r="H435" s="303">
        <f t="shared" ca="1" si="99"/>
        <v>1</v>
      </c>
      <c r="I435" s="76">
        <f>B351</f>
        <v>6</v>
      </c>
      <c r="J435" s="710">
        <f>AF328</f>
        <v>1</v>
      </c>
      <c r="K435" s="710" t="e">
        <f>AF382</f>
        <v>#N/A</v>
      </c>
      <c r="L435" s="475">
        <f t="shared" si="100"/>
        <v>0</v>
      </c>
      <c r="M435" s="710">
        <f t="shared" si="101"/>
        <v>0</v>
      </c>
      <c r="N435" s="710">
        <f t="shared" si="102"/>
        <v>0</v>
      </c>
      <c r="O435" s="710">
        <f t="shared" si="103"/>
        <v>1</v>
      </c>
      <c r="P435" s="710">
        <f t="shared" si="104"/>
        <v>0</v>
      </c>
      <c r="Q435" s="710">
        <f t="shared" si="105"/>
        <v>0</v>
      </c>
      <c r="R435" s="475">
        <f t="shared" si="106"/>
        <v>0</v>
      </c>
      <c r="S435" s="710">
        <f t="shared" si="107"/>
        <v>0</v>
      </c>
      <c r="T435" s="710">
        <f t="shared" si="108"/>
        <v>0</v>
      </c>
      <c r="Z435" t="e">
        <f>$X$454-((($AC$454)-1.1-I435)*COS($W$454/180*PI())+$AA$454*SIN($W$454/180*PI()))</f>
        <v>#N/A</v>
      </c>
      <c r="AA435" s="475" t="str">
        <f t="shared" si="109"/>
        <v>-</v>
      </c>
      <c r="AB435" s="53">
        <f t="shared" si="110"/>
        <v>0</v>
      </c>
      <c r="AC435" t="e">
        <f>($Y$565+I435-($AD$562))*COS(-$X$565*PI()/180)</f>
        <v>#N/A</v>
      </c>
      <c r="AD435" s="475" t="str">
        <f t="shared" si="111"/>
        <v>-</v>
      </c>
      <c r="AE435" s="53">
        <f t="shared" si="112"/>
        <v>0</v>
      </c>
      <c r="AG435" t="str">
        <f t="shared" si="113"/>
        <v>-</v>
      </c>
      <c r="AH435" s="53">
        <f t="shared" si="118"/>
        <v>0</v>
      </c>
      <c r="AJ435">
        <f t="shared" si="114"/>
        <v>14</v>
      </c>
      <c r="AK435" s="53">
        <f t="shared" si="115"/>
        <v>1</v>
      </c>
      <c r="AM435" t="str">
        <f t="shared" si="116"/>
        <v>-</v>
      </c>
      <c r="AN435" s="53">
        <f t="shared" si="117"/>
        <v>0</v>
      </c>
    </row>
    <row r="436" spans="1:52" hidden="1" outlineLevel="1" x14ac:dyDescent="0.25">
      <c r="A436" s="18" t="str">
        <f t="array" ref="A436">IFERROR(INDEX(select!$D$387:$D$397,LARGE(($K$387:$K$397=select!$L$178)*(ROW($K$387:$K$397)-$B$386),COUNTIF($K$387:$K$397,1)+1-ROW(A4))),"")</f>
        <v/>
      </c>
      <c r="B436" s="18" t="str">
        <f t="array" ref="B436">IFERROR(INDEX(F390:F400,LARGE(($K$387:$K$397=select!$L$178)*(ROW($K$387:$K$397)-$B$386),COUNTIF($K$387:$K$397,1)+1-ROW(A4))),"")</f>
        <v/>
      </c>
      <c r="C436" s="18" t="str">
        <f t="array" ref="C436">IFERROR(INDEX(select!$E$387:$E$397,LARGE(($K$387:$K$397=select!$L$178)*(ROW($K$387:$K$397)-$B$386),COUNTIF($K$387:$K$397,1)+1-ROW(A4))),"")</f>
        <v/>
      </c>
      <c r="D436" s="18" t="str">
        <f t="array" ref="D436">IFERROR(INDEX(select!$L$387:$L$397,LARGE(($K$387:$K$397=select!$L$178)*(ROW($K$387:$K$397)-$B$386),COUNTIF($K$387:$K$397,1)+1-ROW(A4))),"")</f>
        <v/>
      </c>
      <c r="E436" s="18" t="str">
        <f t="array" ref="E436">IFERROR(INDEX(select!$A$387:$A$397,LARGE(($K$387:$K$397=select!$L$178)*(ROW($K$387:$K$397)-$B$386),COUNTIF($K$387:$K$397,1)+1-ROW(A4))),"")</f>
        <v/>
      </c>
      <c r="F436" s="18" t="str">
        <f t="array" ref="F436">IFERROR(INDEX(select!$B$387:$B$397,LARGE(($K$387:$K$397=select!$L$178)*(ROW($K$387:$K$397)-$B$386),COUNTIF($K$387:$K$397,1)+1-ROW(A4))),"")</f>
        <v/>
      </c>
      <c r="G436" s="18" t="str">
        <f t="array" ref="G436">IFERROR(INDEX(select!$C$387:$C$397,LARGE(($K$387:$K$397=select!$L$178)*(ROW($K$387:$K$397)-$B$386),COUNTIF($K$387:$K$397,1)+1-ROW(A4))),"")</f>
        <v/>
      </c>
      <c r="H436" s="303">
        <f t="shared" ca="1" si="99"/>
        <v>1</v>
      </c>
      <c r="I436" s="76">
        <f>B352</f>
        <v>7</v>
      </c>
      <c r="J436" s="710">
        <f>AH328</f>
        <v>1</v>
      </c>
      <c r="K436" s="710" t="e">
        <f>AH382</f>
        <v>#N/A</v>
      </c>
      <c r="L436" s="475">
        <f t="shared" si="100"/>
        <v>0</v>
      </c>
      <c r="M436" s="710">
        <f t="shared" si="101"/>
        <v>0</v>
      </c>
      <c r="N436" s="710">
        <f t="shared" si="102"/>
        <v>0</v>
      </c>
      <c r="O436" s="710">
        <f t="shared" si="103"/>
        <v>0</v>
      </c>
      <c r="P436" s="710">
        <f t="shared" si="104"/>
        <v>0</v>
      </c>
      <c r="Q436" s="710">
        <f t="shared" si="105"/>
        <v>0</v>
      </c>
      <c r="R436" s="475">
        <f t="shared" si="106"/>
        <v>0</v>
      </c>
      <c r="S436" s="710">
        <f t="shared" si="107"/>
        <v>0</v>
      </c>
      <c r="T436" s="710">
        <f t="shared" si="108"/>
        <v>0</v>
      </c>
      <c r="Z436" t="e">
        <f>$X$454-((($AC$454)-1.1-I436)*COS($W$454/180*PI())+$AA$454*SIN($W$454/180*PI()))</f>
        <v>#N/A</v>
      </c>
      <c r="AA436" s="475" t="str">
        <f t="shared" si="109"/>
        <v>-</v>
      </c>
      <c r="AB436" s="53">
        <f t="shared" si="110"/>
        <v>0</v>
      </c>
      <c r="AC436" t="e">
        <f>($Y$565+I436-($AD$562))*COS(-$X$565*PI()/180)</f>
        <v>#N/A</v>
      </c>
      <c r="AD436" s="475" t="str">
        <f t="shared" si="111"/>
        <v>-</v>
      </c>
      <c r="AE436" s="53">
        <f>IFERROR(VLOOKUP(AD436,$R$561:$S$604,2,FALSE),0)</f>
        <v>0</v>
      </c>
      <c r="AG436" t="str">
        <f t="shared" si="113"/>
        <v>-</v>
      </c>
      <c r="AH436" s="53">
        <f t="shared" si="118"/>
        <v>0</v>
      </c>
      <c r="AJ436" t="str">
        <f t="shared" si="114"/>
        <v>-</v>
      </c>
      <c r="AK436" s="53">
        <f t="shared" si="115"/>
        <v>0</v>
      </c>
      <c r="AM436" t="str">
        <f t="shared" si="116"/>
        <v>-</v>
      </c>
      <c r="AN436" s="53">
        <f t="shared" si="117"/>
        <v>0</v>
      </c>
    </row>
    <row r="437" spans="1:52" hidden="1" outlineLevel="1" x14ac:dyDescent="0.25">
      <c r="A437" s="18" t="str">
        <f t="array" ref="A437">IFERROR(INDEX(select!$D$387:$D$397,LARGE(($K$387:$K$397=select!$L$178)*(ROW($K$387:$K$397)-$B$386),COUNTIF($K$387:$K$397,1)+1-ROW(A5))),"")</f>
        <v/>
      </c>
      <c r="B437" s="18" t="str">
        <f t="array" ref="B437">IFERROR(INDEX(F391:F401,LARGE(($K$387:$K$397=select!$L$178)*(ROW($K$387:$K$397)-$B$386),COUNTIF($K$387:$K$397,1)+1-ROW(A5))),"")</f>
        <v/>
      </c>
      <c r="C437" s="18" t="str">
        <f t="array" ref="C437">IFERROR(INDEX(select!$E$387:$E$397,LARGE(($K$387:$K$397=select!$L$178)*(ROW($K$387:$K$397)-$B$386),COUNTIF($K$387:$K$397,1)+1-ROW(A5))),"")</f>
        <v/>
      </c>
      <c r="D437" s="18" t="str">
        <f t="array" ref="D437">IFERROR(INDEX(select!$L$387:$L$397,LARGE(($K$387:$K$397=select!$L$178)*(ROW($K$387:$K$397)-$B$386),COUNTIF($K$387:$K$397,1)+1-ROW(A5))),"")</f>
        <v/>
      </c>
      <c r="E437" s="18" t="str">
        <f t="array" ref="E437">IFERROR(INDEX(select!$A$387:$A$397,LARGE(($K$387:$K$397=select!$L$178)*(ROW($K$387:$K$397)-$B$386),COUNTIF($K$387:$K$397,1)+1-ROW(A5))),"")</f>
        <v/>
      </c>
      <c r="F437" s="18" t="str">
        <f t="array" ref="F437">IFERROR(INDEX(select!$B$387:$B$397,LARGE(($K$387:$K$397=select!$L$178)*(ROW($K$387:$K$397)-$B$386),COUNTIF($K$387:$K$397,1)+1-ROW(A5))),"")</f>
        <v/>
      </c>
      <c r="G437" s="18" t="str">
        <f t="array" ref="G437">IFERROR(INDEX(select!$C$387:$C$397,LARGE(($K$387:$K$397=select!$L$178)*(ROW($K$387:$K$397)-$B$386),COUNTIF($K$387:$K$397,1)+1-ROW(A5))),"")</f>
        <v/>
      </c>
      <c r="J437" s="710"/>
      <c r="K437" s="710"/>
      <c r="L437" s="710"/>
      <c r="M437" s="710"/>
      <c r="N437" s="710"/>
      <c r="O437" s="710"/>
      <c r="P437" s="710"/>
      <c r="Q437" s="710"/>
      <c r="R437" s="710"/>
      <c r="S437" s="710"/>
      <c r="T437" s="710"/>
    </row>
    <row r="438" spans="1:52" hidden="1" outlineLevel="1" x14ac:dyDescent="0.25">
      <c r="A438" s="18" t="str">
        <f t="array" ref="A438">IFERROR(INDEX(select!$D$387:$D$397,LARGE(($K$387:$K$397=select!$L$178)*(ROW($K$387:$K$397)-$B$386),COUNTIF($K$387:$K$397,1)+1-ROW(A6))),"")</f>
        <v/>
      </c>
      <c r="B438" s="18" t="str">
        <f t="array" ref="B438">IFERROR(INDEX(F392:F402,LARGE(($K$387:$K$397=select!$L$178)*(ROW($K$387:$K$397)-$B$386),COUNTIF($K$387:$K$397,1)+1-ROW(A6))),"")</f>
        <v/>
      </c>
      <c r="C438" s="18" t="str">
        <f t="array" ref="C438">IFERROR(INDEX(select!$E$387:$E$397,LARGE(($K$387:$K$397=select!$L$178)*(ROW($K$387:$K$397)-$B$386),COUNTIF($K$387:$K$397,1)+1-ROW(A6))),"")</f>
        <v/>
      </c>
      <c r="D438" s="18" t="str">
        <f t="array" ref="D438">IFERROR(INDEX(select!$L$387:$L$397,LARGE(($K$387:$K$397=select!$L$178)*(ROW($K$387:$K$397)-$B$386),COUNTIF($K$387:$K$397,1)+1-ROW(A6))),"")</f>
        <v/>
      </c>
      <c r="E438" s="18" t="str">
        <f t="array" ref="E438">IFERROR(INDEX(select!$A$387:$A$397,LARGE(($K$387:$K$397=select!$L$178)*(ROW($K$387:$K$397)-$B$386),COUNTIF($K$387:$K$397,1)+1-ROW(A6))),"")</f>
        <v/>
      </c>
      <c r="F438" s="18" t="str">
        <f t="array" ref="F438">IFERROR(INDEX(select!$B$387:$B$397,LARGE(($K$387:$K$397=select!$L$178)*(ROW($K$387:$K$397)-$B$386),COUNTIF($K$387:$K$397,1)+1-ROW(A6))),"")</f>
        <v/>
      </c>
      <c r="G438" s="18" t="str">
        <f t="array" ref="G438">IFERROR(INDEX(select!$C$387:$C$397,LARGE(($K$387:$K$397=select!$L$178)*(ROW($K$387:$K$397)-$B$386),COUNTIF($K$387:$K$397,1)+1-ROW(A6))),"")</f>
        <v/>
      </c>
      <c r="H438" t="str">
        <f t="shared" ca="1" si="99"/>
        <v>Fuge</v>
      </c>
      <c r="J438" s="710" t="s">
        <v>1896</v>
      </c>
      <c r="K438" s="710" t="s">
        <v>1896</v>
      </c>
      <c r="L438" s="710" t="s">
        <v>1463</v>
      </c>
      <c r="M438" s="710" t="s">
        <v>2216</v>
      </c>
      <c r="N438" s="710" t="s">
        <v>1463</v>
      </c>
      <c r="O438" s="710" t="s">
        <v>2216</v>
      </c>
      <c r="P438" s="710" t="s">
        <v>1463</v>
      </c>
      <c r="Q438" s="710" t="s">
        <v>2216</v>
      </c>
      <c r="R438" s="710" t="s">
        <v>1463</v>
      </c>
      <c r="S438" s="710" t="s">
        <v>1463</v>
      </c>
      <c r="T438" s="710" t="s">
        <v>1463</v>
      </c>
    </row>
    <row r="439" spans="1:52" hidden="1" outlineLevel="1" x14ac:dyDescent="0.25"/>
    <row r="440" spans="1:52" hidden="1" outlineLevel="1" x14ac:dyDescent="0.25"/>
    <row r="441" spans="1:52" hidden="1" outlineLevel="1" x14ac:dyDescent="0.25"/>
    <row r="442" spans="1:52" hidden="1" outlineLevel="1" x14ac:dyDescent="0.25">
      <c r="B442" s="34"/>
      <c r="C442" s="34"/>
      <c r="D442" s="34"/>
      <c r="E442" s="34"/>
    </row>
    <row r="443" spans="1:52" hidden="1" outlineLevel="1" x14ac:dyDescent="0.25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 t="str">
        <f>B321</f>
        <v>Tiomos 110/30A</v>
      </c>
      <c r="X443" s="223"/>
      <c r="Y443" s="223"/>
      <c r="Z443" s="223"/>
      <c r="AA443" s="223"/>
      <c r="AB443" s="223" t="str">
        <f>select!B323</f>
        <v>Tiomos 110/37A</v>
      </c>
      <c r="AC443" s="223"/>
      <c r="AD443" s="223"/>
      <c r="AE443" s="223"/>
      <c r="AF443" s="223" t="str">
        <f>B325</f>
        <v>Tiomos 110/45A</v>
      </c>
      <c r="AG443" s="223"/>
      <c r="AH443" s="223"/>
      <c r="AI443" s="223"/>
      <c r="AJ443" s="223"/>
      <c r="AK443" s="223"/>
      <c r="AL443" s="223"/>
      <c r="AM443" s="223"/>
      <c r="AN443" s="223"/>
      <c r="AO443" s="223"/>
      <c r="AP443" s="223"/>
      <c r="AQ443" s="223"/>
      <c r="AR443" s="223"/>
      <c r="AS443" s="223"/>
      <c r="AT443" s="223"/>
      <c r="AU443" s="223"/>
      <c r="AV443" s="223"/>
      <c r="AW443" s="223"/>
    </row>
    <row r="444" spans="1:52" hidden="1" outlineLevel="1" x14ac:dyDescent="0.25">
      <c r="A444" s="236"/>
      <c r="B444" s="236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</row>
    <row r="445" spans="1:52" hidden="1" outlineLevel="1" x14ac:dyDescent="0.25">
      <c r="B445" t="s">
        <v>4</v>
      </c>
      <c r="AZ445" s="236"/>
    </row>
    <row r="446" spans="1:52" hidden="1" outlineLevel="1" x14ac:dyDescent="0.25">
      <c r="C446" s="1" t="s">
        <v>883</v>
      </c>
      <c r="D446" s="1" t="s">
        <v>884</v>
      </c>
      <c r="E446" t="s">
        <v>1465</v>
      </c>
      <c r="F446" t="s">
        <v>1477</v>
      </c>
      <c r="G446" t="s">
        <v>1478</v>
      </c>
      <c r="H446" t="s">
        <v>1479</v>
      </c>
      <c r="I446" t="s">
        <v>1480</v>
      </c>
      <c r="J446" t="s">
        <v>1481</v>
      </c>
      <c r="K446" t="s">
        <v>1482</v>
      </c>
      <c r="L446" t="s">
        <v>1483</v>
      </c>
      <c r="M446" s="71" t="s">
        <v>1399</v>
      </c>
      <c r="N446" s="1" t="s">
        <v>885</v>
      </c>
      <c r="O446">
        <v>1</v>
      </c>
      <c r="R446" s="671"/>
      <c r="AM446" s="8"/>
      <c r="AZ446" s="236"/>
    </row>
    <row r="447" spans="1:52" ht="15" hidden="1" customHeight="1" outlineLevel="1" x14ac:dyDescent="0.25">
      <c r="B447" t="s">
        <v>1377</v>
      </c>
      <c r="C447" s="218" t="str">
        <f>M447</f>
        <v>-</v>
      </c>
      <c r="D447" s="351">
        <f>IFERROR(VLOOKUP(C447,$O$447:$P$490,2,FALSE),0)</f>
        <v>0</v>
      </c>
      <c r="E447" t="e">
        <f>$X$454-((($AC$454+N447)-1.1-$AE$454)*COS($W$454/180*PI())+$AA$454*SIN($W$454/180*PI()))</f>
        <v>#N/A</v>
      </c>
      <c r="F447" s="211"/>
      <c r="G447" s="211"/>
      <c r="H447" s="211"/>
      <c r="I447" s="211"/>
      <c r="J447" s="211"/>
      <c r="K447" s="211"/>
      <c r="L447" s="211"/>
      <c r="M447" s="229" t="str">
        <f>IFERROR(IF(E447&lt;0,(INT(E447*-1)+IF(AND(ROUND(((E447*-1)-INT(E447*-1))*100,0)&gt;=0,ROUND(((E447*-1)-INT(E447*-1))*100,0)&lt;25)=TRUE,0,IF(AND(ROUND(((E447*-1)-INT(E447*-1))*100,0)&gt;=25,ROUND(((E447*-1)-INT(E447*-1))*100,0)&lt;50)=TRUE,0.5,IF(AND(ROUND(((E447*-1)-INT(E447*-1))*100,0)&gt;=50,ROUND(((E447*-1)-INT(E447*-1))*100,0)&lt;75)=TRUE,0.5,1))))*-1,(INT(E447)+IF(AND(ROUND(((E447)-INT(E447))*100,0)&gt;=0,ROUND(((E447)-INT(E447))*100,0)&lt;25)=TRUE,0,IF(AND(ROUND(((E447)-INT(E447))*100,0)&gt;=25,ROUND(((E447)-INT(E447))*100,0)&lt;50)=TRUE,0.5,IF(AND(ROUND(((E447)-INT(E447))*100,0)&gt;=50,ROUND(((E447)-INT(E447))*100,0)&lt;75)=TRUE,0.5,1))))),"-")</f>
        <v>-</v>
      </c>
      <c r="N447">
        <v>0</v>
      </c>
      <c r="O447" s="21">
        <f t="array" ref="O447">IFERROR(INDEX(Montageplatten[Höhe],LARGE((Montageplatten[Winkel_rand]=$L$70)*(ROW(Montageplatten[Winkel_rand])-1),COUNTIF(Montageplatten[Winkel_rand],$L$70)+1-ROW(A1))),"")</f>
        <v>-2</v>
      </c>
      <c r="P447" s="21">
        <v>1</v>
      </c>
      <c r="Q447" s="1087" t="s">
        <v>1350</v>
      </c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Z447" s="236"/>
    </row>
    <row r="448" spans="1:52" hidden="1" outlineLevel="1" x14ac:dyDescent="0.25">
      <c r="B448" s="925" t="s">
        <v>1378</v>
      </c>
      <c r="C448" s="220" t="str">
        <f t="shared" ref="C448:C496" si="119">M448</f>
        <v>-</v>
      </c>
      <c r="D448" s="351">
        <f t="shared" ref="D448:D496" si="120">IFERROR(VLOOKUP(C448,$O$447:$P$490,2,FALSE),0)</f>
        <v>0</v>
      </c>
      <c r="E448" t="e">
        <f t="shared" ref="E448:E496" si="121">$X$454-((($AC$454+N448)-1.1-$AE$454)*COS($W$454/180*PI())+$AA$454*SIN($W$454/180*PI()))</f>
        <v>#N/A</v>
      </c>
      <c r="F448" s="211"/>
      <c r="G448" s="211"/>
      <c r="H448" s="211"/>
      <c r="I448" s="211"/>
      <c r="J448" s="211"/>
      <c r="K448" s="211"/>
      <c r="L448" s="211"/>
      <c r="M448" s="229" t="str">
        <f t="shared" ref="M448:M496" si="122">IFERROR(IF(E448&lt;0,(INT(E448*-1)+IF(AND(ROUND(((E448*-1)-INT(E448*-1))*100,0)&gt;=0,ROUND(((E448*-1)-INT(E448*-1))*100,0)&lt;25)=TRUE,0,IF(AND(ROUND(((E448*-1)-INT(E448*-1))*100,0)&gt;=25,ROUND(((E448*-1)-INT(E448*-1))*100,0)&lt;50)=TRUE,0.5,IF(AND(ROUND(((E448*-1)-INT(E448*-1))*100,0)&gt;=50,ROUND(((E448*-1)-INT(E448*-1))*100,0)&lt;75)=TRUE,0.5,1))))*-1,(INT(E448)+IF(AND(ROUND(((E448)-INT(E448))*100,0)&gt;=0,ROUND(((E448)-INT(E448))*100,0)&lt;25)=TRUE,0,IF(AND(ROUND(((E448)-INT(E448))*100,0)&gt;=25,ROUND(((E448)-INT(E448))*100,0)&lt;50)=TRUE,0.5,IF(AND(ROUND(((E448)-INT(E448))*100,0)&gt;=50,ROUND(((E448)-INT(E448))*100,0)&lt;75)=TRUE,0.5,1))))),"-")</f>
        <v>-</v>
      </c>
      <c r="N448">
        <v>-0.5</v>
      </c>
      <c r="O448" s="21">
        <f t="array" ref="O448">IFERROR(INDEX(Montageplatten[Höhe],LARGE((Montageplatten[Winkel_rand]=$L$70)*(ROW(Montageplatten[Winkel_rand])-1),COUNTIF(Montageplatten[Winkel_rand],$L$70)+1-ROW(A2))),"")</f>
        <v>0</v>
      </c>
      <c r="P448" s="21">
        <v>1</v>
      </c>
      <c r="Q448" s="1087"/>
      <c r="W448" s="8" t="s">
        <v>1814</v>
      </c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Z448" s="236"/>
    </row>
    <row r="449" spans="2:52" hidden="1" outlineLevel="1" x14ac:dyDescent="0.25">
      <c r="B449" s="925"/>
      <c r="C449" s="220" t="str">
        <f t="shared" si="119"/>
        <v>-</v>
      </c>
      <c r="D449" s="351">
        <f t="shared" si="120"/>
        <v>0</v>
      </c>
      <c r="E449" t="e">
        <f t="shared" si="121"/>
        <v>#N/A</v>
      </c>
      <c r="F449" s="211"/>
      <c r="G449" s="211"/>
      <c r="H449" s="211"/>
      <c r="I449" s="211"/>
      <c r="J449" s="211"/>
      <c r="K449" s="211"/>
      <c r="L449" s="211"/>
      <c r="M449" s="229" t="str">
        <f t="shared" si="122"/>
        <v>-</v>
      </c>
      <c r="N449">
        <v>-1</v>
      </c>
      <c r="O449" s="21">
        <f t="array" ref="O449">IFERROR(INDEX(Montageplatten[Höhe],LARGE((Montageplatten[Winkel_rand]=$L$70)*(ROW(Montageplatten[Winkel_rand])-1),COUNTIF(Montageplatten[Winkel_rand],$L$70)+1-ROW(A3))),"")</f>
        <v>0</v>
      </c>
      <c r="P449" s="21">
        <v>1</v>
      </c>
      <c r="Q449" s="1087"/>
      <c r="W449" s="8" t="s">
        <v>1456</v>
      </c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Z449" s="236"/>
    </row>
    <row r="450" spans="2:52" hidden="1" outlineLevel="1" x14ac:dyDescent="0.25">
      <c r="B450" s="925"/>
      <c r="C450" s="220" t="str">
        <f t="shared" si="119"/>
        <v>-</v>
      </c>
      <c r="D450" s="351">
        <f t="shared" si="120"/>
        <v>0</v>
      </c>
      <c r="E450" t="e">
        <f t="shared" si="121"/>
        <v>#N/A</v>
      </c>
      <c r="F450" s="211"/>
      <c r="G450" s="211"/>
      <c r="H450" s="211"/>
      <c r="I450" s="211"/>
      <c r="J450" s="211"/>
      <c r="K450" s="211"/>
      <c r="L450" s="211"/>
      <c r="M450" s="229" t="str">
        <f t="shared" si="122"/>
        <v>-</v>
      </c>
      <c r="N450">
        <v>-1.5</v>
      </c>
      <c r="O450" s="21">
        <f t="array" ref="O450">IFERROR(INDEX(Montageplatten[Höhe],LARGE((Montageplatten[Winkel_rand]=$L$70)*(ROW(Montageplatten[Winkel_rand])-1),COUNTIF(Montageplatten[Winkel_rand],$L$70)+1-ROW(A4))),"")</f>
        <v>0</v>
      </c>
      <c r="P450" s="21">
        <v>1</v>
      </c>
      <c r="Q450" s="1087"/>
      <c r="W450" s="8" t="s">
        <v>1457</v>
      </c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Z450" s="236"/>
    </row>
    <row r="451" spans="2:52" hidden="1" outlineLevel="1" x14ac:dyDescent="0.25">
      <c r="B451" s="925"/>
      <c r="C451" s="220" t="str">
        <f t="shared" si="119"/>
        <v>-</v>
      </c>
      <c r="D451" s="351">
        <f t="shared" si="120"/>
        <v>0</v>
      </c>
      <c r="E451" t="e">
        <f t="shared" si="121"/>
        <v>#N/A</v>
      </c>
      <c r="F451" s="211"/>
      <c r="G451" s="211"/>
      <c r="H451" s="211"/>
      <c r="I451" s="211"/>
      <c r="J451" s="211"/>
      <c r="K451" s="211"/>
      <c r="L451" s="211"/>
      <c r="M451" s="229" t="str">
        <f t="shared" si="122"/>
        <v>-</v>
      </c>
      <c r="N451">
        <v>-2</v>
      </c>
      <c r="O451" s="21">
        <f t="array" ref="O451">IFERROR(INDEX(Montageplatten[Höhe],LARGE((Montageplatten[Winkel_rand]=$L$70)*(ROW(Montageplatten[Winkel_rand])-1),COUNTIF(Montageplatten[Winkel_rand],$L$70)+1-ROW(A5))),"")</f>
        <v>2</v>
      </c>
      <c r="P451" s="21">
        <v>1</v>
      </c>
      <c r="Q451" s="1087"/>
      <c r="W451" s="8" t="s">
        <v>1813</v>
      </c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Z451" s="236"/>
    </row>
    <row r="452" spans="2:52" hidden="1" outlineLevel="1" x14ac:dyDescent="0.25">
      <c r="B452" s="925"/>
      <c r="C452" s="220" t="str">
        <f t="shared" si="119"/>
        <v>-</v>
      </c>
      <c r="D452" s="351">
        <f t="shared" si="120"/>
        <v>0</v>
      </c>
      <c r="E452" t="e">
        <f t="shared" si="121"/>
        <v>#N/A</v>
      </c>
      <c r="F452" s="211"/>
      <c r="G452" s="211"/>
      <c r="H452" s="211"/>
      <c r="I452" s="211"/>
      <c r="J452" s="211"/>
      <c r="K452" s="211"/>
      <c r="L452" s="211"/>
      <c r="M452" s="229" t="str">
        <f t="shared" si="122"/>
        <v>-</v>
      </c>
      <c r="N452">
        <v>-2.5</v>
      </c>
      <c r="O452" s="21">
        <f t="array" ref="O452">IFERROR(INDEX(Montageplatten[Höhe],LARGE((Montageplatten[Winkel_rand]=$L$70)*(ROW(Montageplatten[Winkel_rand])-1),COUNTIF(Montageplatten[Winkel_rand],$L$70)+1-ROW(A6))),"")</f>
        <v>2</v>
      </c>
      <c r="P452" s="21">
        <v>1</v>
      </c>
      <c r="Q452" s="1087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K452" s="8"/>
      <c r="AL452" s="8"/>
      <c r="AM452" s="8"/>
      <c r="AZ452" s="236"/>
    </row>
    <row r="453" spans="2:52" hidden="1" outlineLevel="1" x14ac:dyDescent="0.25">
      <c r="B453" s="925"/>
      <c r="C453" s="220" t="str">
        <f t="shared" si="119"/>
        <v>-</v>
      </c>
      <c r="D453" s="351">
        <f t="shared" si="120"/>
        <v>0</v>
      </c>
      <c r="E453" t="e">
        <f t="shared" si="121"/>
        <v>#N/A</v>
      </c>
      <c r="F453" s="211"/>
      <c r="G453" s="211"/>
      <c r="H453" s="211"/>
      <c r="I453" s="211"/>
      <c r="J453" s="211"/>
      <c r="K453" s="211"/>
      <c r="L453" s="211"/>
      <c r="M453" s="229" t="str">
        <f t="shared" si="122"/>
        <v>-</v>
      </c>
      <c r="N453">
        <v>-3</v>
      </c>
      <c r="O453" s="21">
        <f t="array" ref="O453">IFERROR(INDEX(Montageplatten[Höhe],LARGE((Montageplatten[Winkel_rand]=$L$70)*(ROW(Montageplatten[Winkel_rand])-1),COUNTIF(Montageplatten[Winkel_rand],$L$70)+1-ROW(A7))),"")</f>
        <v>2</v>
      </c>
      <c r="P453" s="21">
        <v>1</v>
      </c>
      <c r="Q453" s="1087"/>
      <c r="W453" s="8" t="s">
        <v>1460</v>
      </c>
      <c r="X453" t="s">
        <v>1461</v>
      </c>
      <c r="Y453" t="s">
        <v>1359</v>
      </c>
      <c r="AA453" t="s">
        <v>1462</v>
      </c>
      <c r="AC453" t="s">
        <v>1463</v>
      </c>
      <c r="AE453" t="s">
        <v>1464</v>
      </c>
      <c r="AJ453" t="s">
        <v>1359</v>
      </c>
      <c r="AL453" s="131" t="str">
        <f ca="1">IF(AJ456&lt;AL455,Sprache!A37,"")</f>
        <v/>
      </c>
      <c r="AZ453" s="236"/>
    </row>
    <row r="454" spans="2:52" hidden="1" outlineLevel="1" x14ac:dyDescent="0.25">
      <c r="B454" s="925"/>
      <c r="C454" s="220" t="str">
        <f t="shared" si="119"/>
        <v>-</v>
      </c>
      <c r="D454" s="351">
        <f t="shared" si="120"/>
        <v>0</v>
      </c>
      <c r="E454" t="e">
        <f t="shared" si="121"/>
        <v>#N/A</v>
      </c>
      <c r="F454" s="211"/>
      <c r="G454" s="211"/>
      <c r="H454" s="211"/>
      <c r="I454" s="211"/>
      <c r="J454" s="211"/>
      <c r="K454" s="211"/>
      <c r="L454" s="211"/>
      <c r="M454" s="229" t="str">
        <f t="shared" si="122"/>
        <v>-</v>
      </c>
      <c r="N454">
        <v>-3.5</v>
      </c>
      <c r="O454" s="21">
        <f t="array" ref="O454">IFERROR(INDEX(Montageplatten[Höhe],LARGE((Montageplatten[Winkel_rand]=$L$70)*(ROW(Montageplatten[Winkel_rand])-1),COUNTIF(Montageplatten[Winkel_rand],$L$70)+1-ROW(A8))),"")</f>
        <v>3</v>
      </c>
      <c r="P454" s="21">
        <v>1</v>
      </c>
      <c r="Q454" s="1087"/>
      <c r="W454" t="e">
        <f>VLOOKUP($A$318,AA457:AD459,2,FALSE)</f>
        <v>#N/A</v>
      </c>
      <c r="X454" t="e">
        <f>VLOOKUP($A$318,AA457:AD459,3,FALSE)</f>
        <v>#N/A</v>
      </c>
      <c r="Y454" t="e">
        <f>VLOOKUP($A$318,AA457:AD459,4,FALSE)</f>
        <v>#N/A</v>
      </c>
      <c r="AA454" s="18">
        <v>1.5</v>
      </c>
      <c r="AC454" s="228">
        <f>Winkel!Q21</f>
        <v>18</v>
      </c>
      <c r="AE454">
        <f>A346</f>
        <v>3</v>
      </c>
      <c r="AH454" s="100"/>
      <c r="AI454" t="s">
        <v>52</v>
      </c>
      <c r="AJ454" t="e">
        <f>AJ455+17</f>
        <v>#N/A</v>
      </c>
      <c r="AL454" t="s">
        <v>2247</v>
      </c>
      <c r="AP454" s="1" t="s">
        <v>1445</v>
      </c>
      <c r="AQ454" s="1" t="s">
        <v>52</v>
      </c>
      <c r="AR454" s="1" t="s">
        <v>51</v>
      </c>
      <c r="AU454" s="179" t="s">
        <v>51</v>
      </c>
      <c r="AV454" s="180" t="s">
        <v>42</v>
      </c>
      <c r="AW454" s="181" t="s">
        <v>52</v>
      </c>
      <c r="AZ454" s="236"/>
    </row>
    <row r="455" spans="2:52" hidden="1" outlineLevel="1" x14ac:dyDescent="0.25">
      <c r="B455" s="925"/>
      <c r="C455" s="220" t="str">
        <f t="shared" si="119"/>
        <v>-</v>
      </c>
      <c r="D455" s="351">
        <f t="shared" si="120"/>
        <v>0</v>
      </c>
      <c r="E455" t="e">
        <f t="shared" si="121"/>
        <v>#N/A</v>
      </c>
      <c r="F455" s="211"/>
      <c r="G455" s="211"/>
      <c r="H455" s="211"/>
      <c r="I455" s="211"/>
      <c r="J455" s="211"/>
      <c r="K455" s="211"/>
      <c r="L455" s="211"/>
      <c r="M455" s="229" t="str">
        <f t="shared" si="122"/>
        <v>-</v>
      </c>
      <c r="N455">
        <v>-4</v>
      </c>
      <c r="O455" s="21">
        <f t="array" ref="O455">IFERROR(INDEX(Montageplatten[Höhe],LARGE((Montageplatten[Winkel_rand]=$L$70)*(ROW(Montageplatten[Winkel_rand])-1),COUNTIF(Montageplatten[Winkel_rand],$L$70)+1-ROW(A9))),"")</f>
        <v>3</v>
      </c>
      <c r="P455" s="21">
        <v>1</v>
      </c>
      <c r="Q455" s="1087"/>
      <c r="AI455" t="s">
        <v>51</v>
      </c>
      <c r="AJ455" t="e">
        <f>(X454-AA454*SIN(W454/180*PI())-AM473)*TAN(W454/180*PI())-AA454*COS(W454/180*PI())+Y454</f>
        <v>#N/A</v>
      </c>
      <c r="AL455" s="18">
        <v>5</v>
      </c>
      <c r="AP455" s="34">
        <f>DCOUNT(Montageplatten[[#Headers],[#Data],[MPH Winkel]:[Höhe]],Montageplatten[[#Headers],[Höhe]],select!AV454:AV455)</f>
        <v>0</v>
      </c>
      <c r="AQ455">
        <f>DCOUNT(Montageplatten[[#Headers],[#Data],[MPH Winkel]:[Höhe]],Montageplatten[[#Headers],[Höhe]],select!AV454:AW455)</f>
        <v>0</v>
      </c>
      <c r="AR455">
        <f>DCOUNT(Montageplatten[[#Headers],[#Data],[MPH Winkel]:[Höhe]],Montageplatten[[#Headers],[Höhe]],select!AU454:AV455)</f>
        <v>0</v>
      </c>
      <c r="AU455" s="182">
        <v>1</v>
      </c>
      <c r="AV455" s="173" t="str">
        <f>AM473</f>
        <v>-</v>
      </c>
      <c r="AW455" s="118">
        <v>1</v>
      </c>
      <c r="AZ455" s="236"/>
    </row>
    <row r="456" spans="2:52" hidden="1" outlineLevel="1" x14ac:dyDescent="0.25">
      <c r="B456" s="925"/>
      <c r="C456" s="220" t="str">
        <f t="shared" si="119"/>
        <v>-</v>
      </c>
      <c r="D456" s="351">
        <f t="shared" si="120"/>
        <v>0</v>
      </c>
      <c r="E456" t="e">
        <f t="shared" si="121"/>
        <v>#N/A</v>
      </c>
      <c r="F456" s="211"/>
      <c r="G456" s="211"/>
      <c r="H456" s="211"/>
      <c r="I456" s="211"/>
      <c r="J456" s="211"/>
      <c r="K456" s="211"/>
      <c r="L456" s="211"/>
      <c r="M456" s="229" t="str">
        <f t="shared" si="122"/>
        <v>-</v>
      </c>
      <c r="N456">
        <v>-4.5</v>
      </c>
      <c r="O456" s="21">
        <f t="array" ref="O456">IFERROR(INDEX(Montageplatten[Höhe],LARGE((Montageplatten[Winkel_rand]=$L$70)*(ROW(Montageplatten[Winkel_rand])-1),COUNTIF(Montageplatten[Winkel_rand],$L$70)+1-ROW(A10))),"")</f>
        <v>3</v>
      </c>
      <c r="P456" s="21">
        <v>1</v>
      </c>
      <c r="Q456" s="1087"/>
      <c r="AA456" t="s">
        <v>1798</v>
      </c>
      <c r="AB456" t="s">
        <v>1460</v>
      </c>
      <c r="AC456" t="s">
        <v>1461</v>
      </c>
      <c r="AD456" t="s">
        <v>1359</v>
      </c>
      <c r="AJ456" t="str">
        <f ca="1">IFERROR(ROUND(OFFSET(AJ453,D334,0)-$M$401,1),Sprache!A56&amp;" "&amp;Sprache!A146)</f>
        <v>keine Lösungen</v>
      </c>
      <c r="AZ456" s="236"/>
    </row>
    <row r="457" spans="2:52" hidden="1" outlineLevel="1" x14ac:dyDescent="0.25">
      <c r="B457" s="925"/>
      <c r="C457" s="220" t="str">
        <f t="shared" si="119"/>
        <v>-</v>
      </c>
      <c r="D457" s="351">
        <f t="shared" si="120"/>
        <v>0</v>
      </c>
      <c r="E457" t="e">
        <f t="shared" si="121"/>
        <v>#N/A</v>
      </c>
      <c r="F457" s="211"/>
      <c r="G457" s="211"/>
      <c r="H457" s="211"/>
      <c r="I457" s="211"/>
      <c r="J457" s="211"/>
      <c r="K457" s="211"/>
      <c r="L457" s="211"/>
      <c r="M457" s="229" t="str">
        <f t="shared" si="122"/>
        <v>-</v>
      </c>
      <c r="N457">
        <v>-5</v>
      </c>
      <c r="O457" s="21">
        <f t="array" ref="O457">IFERROR(INDEX(Montageplatten[Höhe],LARGE((Montageplatten[Winkel_rand]=$L$70)*(ROW(Montageplatten[Winkel_rand])-1),COUNTIF(Montageplatten[Winkel_rand],$L$70)+1-ROW(A11))),"")</f>
        <v>3.5</v>
      </c>
      <c r="P457" s="21">
        <v>1</v>
      </c>
      <c r="Q457" s="1087"/>
      <c r="Z457" s="1" t="str">
        <f>W443</f>
        <v>Tiomos 110/30A</v>
      </c>
      <c r="AA457">
        <v>3</v>
      </c>
      <c r="AB457">
        <v>30</v>
      </c>
      <c r="AC457">
        <v>11.51</v>
      </c>
      <c r="AD457" s="209">
        <v>11.9</v>
      </c>
      <c r="AZ457" s="236"/>
    </row>
    <row r="458" spans="2:52" hidden="1" outlineLevel="1" x14ac:dyDescent="0.25">
      <c r="B458" s="925"/>
      <c r="C458" s="220" t="str">
        <f t="shared" si="119"/>
        <v>-</v>
      </c>
      <c r="D458" s="351">
        <f t="shared" si="120"/>
        <v>0</v>
      </c>
      <c r="E458" t="e">
        <f t="shared" si="121"/>
        <v>#N/A</v>
      </c>
      <c r="F458" s="211"/>
      <c r="G458" s="211"/>
      <c r="H458" s="211"/>
      <c r="I458" s="211"/>
      <c r="J458" s="211"/>
      <c r="K458" s="211"/>
      <c r="L458" s="211"/>
      <c r="M458" s="229" t="str">
        <f t="shared" si="122"/>
        <v>-</v>
      </c>
      <c r="N458">
        <v>-5.5</v>
      </c>
      <c r="O458" s="21">
        <f t="array" ref="O458">IFERROR(INDEX(Montageplatten[Höhe],LARGE((Montageplatten[Winkel_rand]=$L$70)*(ROW(Montageplatten[Winkel_rand])-1),COUNTIF(Montageplatten[Winkel_rand],$L$70)+1-ROW(A12))),"")</f>
        <v>3.5</v>
      </c>
      <c r="P458" s="21">
        <v>1</v>
      </c>
      <c r="Q458" s="1087"/>
      <c r="Z458" s="1" t="str">
        <f>AB443</f>
        <v>Tiomos 110/37A</v>
      </c>
      <c r="AA458">
        <v>5</v>
      </c>
      <c r="AB458">
        <v>37</v>
      </c>
      <c r="AC458">
        <v>11.85</v>
      </c>
      <c r="AD458" s="100">
        <v>9.35</v>
      </c>
      <c r="AZ458" s="236"/>
    </row>
    <row r="459" spans="2:52" hidden="1" outlineLevel="1" x14ac:dyDescent="0.25">
      <c r="B459" s="925"/>
      <c r="C459" s="220" t="str">
        <f t="shared" si="119"/>
        <v>-</v>
      </c>
      <c r="D459" s="351">
        <f t="shared" si="120"/>
        <v>0</v>
      </c>
      <c r="E459" t="e">
        <f t="shared" si="121"/>
        <v>#N/A</v>
      </c>
      <c r="F459" s="211"/>
      <c r="G459" s="211"/>
      <c r="H459" s="211"/>
      <c r="I459" s="211"/>
      <c r="J459" s="211"/>
      <c r="K459" s="211"/>
      <c r="L459" s="211"/>
      <c r="M459" s="229" t="str">
        <f t="shared" si="122"/>
        <v>-</v>
      </c>
      <c r="N459">
        <v>-6</v>
      </c>
      <c r="O459" s="21">
        <f t="array" ref="O459">IFERROR(INDEX(Montageplatten[Höhe],LARGE((Montageplatten[Winkel_rand]=$L$70)*(ROW(Montageplatten[Winkel_rand])-1),COUNTIF(Montageplatten[Winkel_rand],$L$70)+1-ROW(A13))),"")</f>
        <v>3.5</v>
      </c>
      <c r="P459" s="21">
        <v>1</v>
      </c>
      <c r="Q459" s="1087"/>
      <c r="W459" t="s">
        <v>1418</v>
      </c>
      <c r="Z459" s="1" t="str">
        <f>AF443</f>
        <v>Tiomos 110/45A</v>
      </c>
      <c r="AA459">
        <v>7</v>
      </c>
      <c r="AB459">
        <v>45</v>
      </c>
      <c r="AC459">
        <v>9.0299999999999994</v>
      </c>
      <c r="AD459">
        <v>6.37</v>
      </c>
      <c r="AZ459" s="236"/>
    </row>
    <row r="460" spans="2:52" hidden="1" outlineLevel="1" x14ac:dyDescent="0.25">
      <c r="B460" s="925"/>
      <c r="C460" s="220" t="str">
        <f t="shared" si="119"/>
        <v>-</v>
      </c>
      <c r="D460" s="351">
        <f t="shared" si="120"/>
        <v>0</v>
      </c>
      <c r="E460" t="e">
        <f t="shared" si="121"/>
        <v>#N/A</v>
      </c>
      <c r="F460" s="211"/>
      <c r="G460" s="211"/>
      <c r="H460" s="211"/>
      <c r="I460" s="211"/>
      <c r="J460" s="211"/>
      <c r="K460" s="211"/>
      <c r="L460" s="211"/>
      <c r="M460" s="229" t="str">
        <f t="shared" si="122"/>
        <v>-</v>
      </c>
      <c r="N460">
        <v>-6.5</v>
      </c>
      <c r="O460" s="21">
        <f t="array" ref="O460">IFERROR(INDEX(Montageplatten[Höhe],LARGE((Montageplatten[Winkel_rand]=$L$70)*(ROW(Montageplatten[Winkel_rand])-1),COUNTIF(Montageplatten[Winkel_rand],$L$70)+1-ROW(A14))),"")</f>
        <v>6</v>
      </c>
      <c r="P460" s="21">
        <v>1</v>
      </c>
      <c r="Q460" s="1087"/>
      <c r="W460" s="207">
        <v>-2</v>
      </c>
      <c r="AD460" s="100"/>
      <c r="AZ460" s="236"/>
    </row>
    <row r="461" spans="2:52" hidden="1" outlineLevel="1" x14ac:dyDescent="0.25">
      <c r="B461" s="925"/>
      <c r="C461" s="220" t="str">
        <f t="shared" si="119"/>
        <v>-</v>
      </c>
      <c r="D461" s="351">
        <f t="shared" si="120"/>
        <v>0</v>
      </c>
      <c r="E461" t="e">
        <f t="shared" si="121"/>
        <v>#N/A</v>
      </c>
      <c r="F461" s="211"/>
      <c r="G461" s="211"/>
      <c r="H461" s="211"/>
      <c r="I461" s="211"/>
      <c r="J461" s="211"/>
      <c r="K461" s="211"/>
      <c r="L461" s="211"/>
      <c r="M461" s="229" t="str">
        <f t="shared" si="122"/>
        <v>-</v>
      </c>
      <c r="N461">
        <v>-7</v>
      </c>
      <c r="O461" s="21">
        <f t="array" ref="O461">IFERROR(INDEX(Montageplatten[Höhe],LARGE((Montageplatten[Winkel_rand]=$L$70)*(ROW(Montageplatten[Winkel_rand])-1),COUNTIF(Montageplatten[Winkel_rand],$L$70)+1-ROW(A15))),"")</f>
        <v>8</v>
      </c>
      <c r="P461" s="21">
        <v>1</v>
      </c>
      <c r="Q461" s="1087"/>
      <c r="W461" s="207">
        <v>-1.5</v>
      </c>
      <c r="AC461" s="3" t="s">
        <v>1470</v>
      </c>
      <c r="AD461" t="s">
        <v>1799</v>
      </c>
      <c r="AZ461" s="236"/>
    </row>
    <row r="462" spans="2:52" hidden="1" outlineLevel="1" x14ac:dyDescent="0.25">
      <c r="B462" s="925"/>
      <c r="C462" s="220" t="str">
        <f t="shared" si="119"/>
        <v>-</v>
      </c>
      <c r="D462" s="351">
        <f t="shared" si="120"/>
        <v>0</v>
      </c>
      <c r="E462" t="e">
        <f t="shared" si="121"/>
        <v>#N/A</v>
      </c>
      <c r="F462" s="211"/>
      <c r="G462" s="211"/>
      <c r="H462" s="211"/>
      <c r="I462" s="211"/>
      <c r="J462" s="211"/>
      <c r="K462" s="211"/>
      <c r="L462" s="211"/>
      <c r="M462" s="229" t="str">
        <f t="shared" si="122"/>
        <v>-</v>
      </c>
      <c r="N462">
        <v>-7.5</v>
      </c>
      <c r="O462" s="21">
        <f t="array" ref="O462">IFERROR(INDEX(Montageplatten[Höhe],LARGE((Montageplatten[Winkel_rand]=$L$70)*(ROW(Montageplatten[Winkel_rand])-1),COUNTIF(Montageplatten[Winkel_rand],$L$70)+1-ROW(A16))),"")</f>
        <v>9</v>
      </c>
      <c r="P462" s="21">
        <v>1</v>
      </c>
      <c r="Q462" s="1087"/>
      <c r="W462" s="207">
        <v>-1</v>
      </c>
      <c r="AA462">
        <v>3</v>
      </c>
      <c r="AB462">
        <v>30</v>
      </c>
      <c r="AC462">
        <v>-1.4999999999999999E-2</v>
      </c>
      <c r="AD462">
        <v>0.221</v>
      </c>
      <c r="AZ462" s="236"/>
    </row>
    <row r="463" spans="2:52" hidden="1" outlineLevel="1" x14ac:dyDescent="0.25">
      <c r="B463" s="925"/>
      <c r="C463" s="220" t="str">
        <f t="shared" si="119"/>
        <v>-</v>
      </c>
      <c r="D463" s="351">
        <f t="shared" si="120"/>
        <v>0</v>
      </c>
      <c r="E463" t="e">
        <f t="shared" si="121"/>
        <v>#N/A</v>
      </c>
      <c r="F463" s="211"/>
      <c r="G463" s="211"/>
      <c r="H463" s="211"/>
      <c r="I463" s="211"/>
      <c r="J463" s="211"/>
      <c r="K463" s="211"/>
      <c r="L463" s="211"/>
      <c r="M463" s="229" t="str">
        <f t="shared" si="122"/>
        <v>-</v>
      </c>
      <c r="N463">
        <v>-8</v>
      </c>
      <c r="O463" s="21">
        <f t="array" ref="O463">IFERROR(INDEX(Montageplatten[Höhe],LARGE((Montageplatten[Winkel_rand]=$L$70)*(ROW(Montageplatten[Winkel_rand])-1),COUNTIF(Montageplatten[Winkel_rand],$L$70)+1-ROW(A17))),"")</f>
        <v>9.5</v>
      </c>
      <c r="P463" s="21">
        <v>1</v>
      </c>
      <c r="Q463" s="1087"/>
      <c r="W463" s="207">
        <v>-0.5</v>
      </c>
      <c r="AA463">
        <v>5</v>
      </c>
      <c r="AB463" s="3">
        <v>37</v>
      </c>
      <c r="AC463">
        <v>-1.4999999999999999E-2</v>
      </c>
      <c r="AD463">
        <v>0.33800000000000002</v>
      </c>
      <c r="AZ463" s="236"/>
    </row>
    <row r="464" spans="2:52" hidden="1" outlineLevel="1" x14ac:dyDescent="0.25">
      <c r="B464" s="925"/>
      <c r="C464" s="220" t="str">
        <f t="shared" si="119"/>
        <v>-</v>
      </c>
      <c r="D464" s="351">
        <f t="shared" si="120"/>
        <v>0</v>
      </c>
      <c r="E464" t="e">
        <f t="shared" si="121"/>
        <v>#N/A</v>
      </c>
      <c r="F464" s="211"/>
      <c r="G464" s="211"/>
      <c r="H464" s="211"/>
      <c r="I464" s="211"/>
      <c r="J464" s="211"/>
      <c r="K464" s="211"/>
      <c r="L464" s="211"/>
      <c r="M464" s="229" t="str">
        <f t="shared" si="122"/>
        <v>-</v>
      </c>
      <c r="N464">
        <v>-8.5</v>
      </c>
      <c r="O464" s="21">
        <f t="array" ref="O464">IFERROR(INDEX(Montageplatten[Höhe],LARGE((Montageplatten[Winkel_rand]=$L$70)*(ROW(Montageplatten[Winkel_rand])-1),COUNTIF(Montageplatten[Winkel_rand],$L$70)+1-ROW(A18))),"")</f>
        <v>12</v>
      </c>
      <c r="P464" s="21">
        <v>1</v>
      </c>
      <c r="Q464" s="1087"/>
      <c r="W464" s="207">
        <v>0</v>
      </c>
      <c r="AA464">
        <v>7</v>
      </c>
      <c r="AB464">
        <v>45</v>
      </c>
      <c r="AC464">
        <v>-1.4999999999999999E-2</v>
      </c>
      <c r="AD464">
        <v>0.33800000000000002</v>
      </c>
      <c r="AI464" t="s">
        <v>1956</v>
      </c>
      <c r="AJ464" t="s">
        <v>1418</v>
      </c>
      <c r="AZ464" s="236"/>
    </row>
    <row r="465" spans="2:52" hidden="1" outlineLevel="1" x14ac:dyDescent="0.25">
      <c r="B465" s="925"/>
      <c r="C465" s="220" t="str">
        <f t="shared" si="119"/>
        <v>-</v>
      </c>
      <c r="D465" s="351">
        <f t="shared" si="120"/>
        <v>0</v>
      </c>
      <c r="E465" t="e">
        <f t="shared" si="121"/>
        <v>#N/A</v>
      </c>
      <c r="F465" s="211"/>
      <c r="G465" s="211"/>
      <c r="H465" s="211"/>
      <c r="I465" s="211"/>
      <c r="J465" s="211"/>
      <c r="K465" s="211"/>
      <c r="L465" s="211"/>
      <c r="M465" s="229" t="str">
        <f t="shared" si="122"/>
        <v>-</v>
      </c>
      <c r="N465">
        <v>-9</v>
      </c>
      <c r="O465" s="21">
        <f t="array" ref="O465">IFERROR(INDEX(Montageplatten[Höhe],LARGE((Montageplatten[Winkel_rand]=$L$70)*(ROW(Montageplatten[Winkel_rand])-1),COUNTIF(Montageplatten[Winkel_rand],$L$70)+1-ROW(A19))),"")</f>
        <v>14</v>
      </c>
      <c r="P465" s="21">
        <v>1</v>
      </c>
      <c r="Q465" s="1087"/>
      <c r="W465" s="207">
        <v>0.5</v>
      </c>
      <c r="AC465" s="100"/>
      <c r="AD465" s="100"/>
      <c r="AI465">
        <f>L334</f>
        <v>18</v>
      </c>
      <c r="AJ465" s="100" t="e">
        <f>X454-((AC454-1.1-AE454)*COS(W454/180*PI())+AA454*SIN(W454/180*PI()))</f>
        <v>#N/A</v>
      </c>
      <c r="AK465" s="475" t="str">
        <f>IFERROR(IF(AJ465&lt;0,(INT(AJ465*-1)+IF(AND(ROUND(((AJ465*-1)-INT(AJ465*-1))*100,0)&gt;=0,ROUND(((AJ465*-1)-INT(AJ465*-1))*100,0)&lt;25)=TRUE,0,IF(AND(ROUND(((AJ465*-1)-INT(AJ465*-1))*100,0)&gt;=25,ROUND(((AJ465*-1)-INT(AJ465*-1))*100,0)&lt;50)=TRUE,0.5,IF(AND(ROUND(((AJ465*-1)-INT(AJ465*-1))*100,0)&gt;=50,ROUND(((AJ465*-1)-INT(AJ465*-1))*100,0)&lt;75)=TRUE,0.5,1))))*-1,(INT(AJ465)+IF(AND(ROUND(((AJ465)-INT(AJ465))*100,0)&gt;=0,ROUND(((AJ465)-INT(AJ465))*100,0)&lt;25)=TRUE,0,IF(AND(ROUND(((AJ465)-INT(AJ465))*100,0)&gt;=25,ROUND(((AJ465)-INT(AJ465))*100,0)&lt;50)=TRUE,0.5,IF(AND(ROUND(((AJ465)-INT(AJ465))*100,0)&gt;=50,ROUND(((AJ465)-INT(AJ465))*100,0)&lt;75)=TRUE,0.5,1))))),"-")</f>
        <v>-</v>
      </c>
      <c r="AL465" t="s">
        <v>1465</v>
      </c>
      <c r="AZ465" s="236"/>
    </row>
    <row r="466" spans="2:52" hidden="1" outlineLevel="1" x14ac:dyDescent="0.25">
      <c r="B466" s="925"/>
      <c r="C466" s="220" t="str">
        <f t="shared" si="119"/>
        <v>-</v>
      </c>
      <c r="D466" s="351">
        <f t="shared" si="120"/>
        <v>0</v>
      </c>
      <c r="E466" t="e">
        <f t="shared" si="121"/>
        <v>#N/A</v>
      </c>
      <c r="F466" s="211"/>
      <c r="G466" s="211"/>
      <c r="H466" s="211"/>
      <c r="I466" s="211"/>
      <c r="J466" s="211"/>
      <c r="K466" s="211"/>
      <c r="L466" s="211"/>
      <c r="M466" s="229" t="str">
        <f t="shared" si="122"/>
        <v>-</v>
      </c>
      <c r="N466">
        <v>-9.5</v>
      </c>
      <c r="O466" s="21">
        <f t="array" ref="O466">IFERROR(INDEX(Montageplatten[Höhe],LARGE((Montageplatten[Winkel_rand]=$L$70)*(ROW(Montageplatten[Winkel_rand])-1),COUNTIF(Montageplatten[Winkel_rand],$L$70)+1-ROW(A20))),"")</f>
        <v>15</v>
      </c>
      <c r="P466" s="21">
        <v>1</v>
      </c>
      <c r="Q466" s="1087"/>
      <c r="W466" s="207">
        <v>1</v>
      </c>
      <c r="AZ466" s="236"/>
    </row>
    <row r="467" spans="2:52" hidden="1" outlineLevel="1" x14ac:dyDescent="0.25">
      <c r="B467" s="925"/>
      <c r="C467" s="220" t="str">
        <f t="shared" si="119"/>
        <v>-</v>
      </c>
      <c r="D467" s="351">
        <f t="shared" si="120"/>
        <v>0</v>
      </c>
      <c r="E467" t="e">
        <f t="shared" si="121"/>
        <v>#N/A</v>
      </c>
      <c r="F467" s="211"/>
      <c r="G467" s="211"/>
      <c r="H467" s="211"/>
      <c r="I467" s="211"/>
      <c r="J467" s="211"/>
      <c r="K467" s="211"/>
      <c r="L467" s="211"/>
      <c r="M467" s="229" t="str">
        <f t="shared" si="122"/>
        <v>-</v>
      </c>
      <c r="N467">
        <v>-10</v>
      </c>
      <c r="O467" s="21">
        <f t="array" ref="O467">IFERROR(INDEX(Montageplatten[Höhe],LARGE((Montageplatten[Winkel_rand]=$L$70)*(ROW(Montageplatten[Winkel_rand])-1),COUNTIF(Montageplatten[Winkel_rand],$L$70)+1-ROW(A21))),"")</f>
        <v>15.5</v>
      </c>
      <c r="P467" s="21">
        <v>1</v>
      </c>
      <c r="Q467" s="1087"/>
      <c r="W467" s="207">
        <v>1.5</v>
      </c>
      <c r="AB467" s="230" t="s">
        <v>1470</v>
      </c>
      <c r="AC467" s="18" t="e">
        <f>VLOOKUP($A$318,AA462:AD464,3,FALSE)</f>
        <v>#N/A</v>
      </c>
      <c r="AJ467" t="e">
        <f>ROUNDUP(AJ465,1)</f>
        <v>#N/A</v>
      </c>
      <c r="AL467" t="s">
        <v>1467</v>
      </c>
      <c r="AZ467" s="236"/>
    </row>
    <row r="468" spans="2:52" hidden="1" outlineLevel="1" x14ac:dyDescent="0.25">
      <c r="B468" s="925"/>
      <c r="C468" s="220" t="str">
        <f t="shared" si="119"/>
        <v>-</v>
      </c>
      <c r="D468" s="351">
        <f t="shared" si="120"/>
        <v>0</v>
      </c>
      <c r="E468" t="e">
        <f t="shared" si="121"/>
        <v>#N/A</v>
      </c>
      <c r="F468" s="211"/>
      <c r="G468" s="211"/>
      <c r="H468" s="211"/>
      <c r="I468" s="211"/>
      <c r="J468" s="211"/>
      <c r="K468" s="211"/>
      <c r="L468" s="211"/>
      <c r="M468" s="229" t="str">
        <f t="shared" si="122"/>
        <v>-</v>
      </c>
      <c r="N468">
        <v>-10.5</v>
      </c>
      <c r="O468" s="21">
        <f t="array" ref="O468">IFERROR(INDEX(Montageplatten[Höhe],LARGE((Montageplatten[Winkel_rand]=$L$70)*(ROW(Montageplatten[Winkel_rand])-1),COUNTIF(Montageplatten[Winkel_rand],$L$70)+1-ROW(A22))),"")</f>
        <v>19</v>
      </c>
      <c r="P468" s="21">
        <v>1</v>
      </c>
      <c r="Q468" s="1087"/>
      <c r="W468" s="207">
        <v>2</v>
      </c>
      <c r="AB468" s="1" t="s">
        <v>1799</v>
      </c>
      <c r="AC468" s="18" t="e">
        <f>VLOOKUP($A$318,AA462:AD464,4,FALSE)</f>
        <v>#N/A</v>
      </c>
      <c r="AH468" s="219" t="e">
        <f>IF(VALUE(RIGHT(TEXT(ROUNDDOWN(AJ465,2),"0,0"),1))&lt;5,0,0.5)</f>
        <v>#N/A</v>
      </c>
      <c r="AJ468" t="e">
        <f>ROUNDDOWN(AJ465,1)</f>
        <v>#N/A</v>
      </c>
      <c r="AL468" t="s">
        <v>1468</v>
      </c>
      <c r="AZ468" s="236"/>
    </row>
    <row r="469" spans="2:52" hidden="1" outlineLevel="1" x14ac:dyDescent="0.25">
      <c r="B469" s="925"/>
      <c r="C469" s="220" t="str">
        <f t="shared" si="119"/>
        <v>-</v>
      </c>
      <c r="D469" s="351">
        <f t="shared" si="120"/>
        <v>0</v>
      </c>
      <c r="E469" t="e">
        <f t="shared" si="121"/>
        <v>#N/A</v>
      </c>
      <c r="F469" s="211"/>
      <c r="G469" s="211"/>
      <c r="H469" s="211"/>
      <c r="I469" s="211"/>
      <c r="J469" s="211"/>
      <c r="K469" s="211"/>
      <c r="L469" s="211"/>
      <c r="M469" s="229" t="str">
        <f t="shared" si="122"/>
        <v>-</v>
      </c>
      <c r="N469">
        <v>-11</v>
      </c>
      <c r="O469" s="21">
        <f t="array" ref="O469">IFERROR(INDEX(Montageplatten[Höhe],LARGE((Montageplatten[Winkel_rand]=$L$70)*(ROW(Montageplatten[Winkel_rand])-1),COUNTIF(Montageplatten[Winkel_rand],$L$70)+1-ROW(A23))),"")</f>
        <v>21</v>
      </c>
      <c r="P469" s="21">
        <v>1</v>
      </c>
      <c r="Q469" s="1087"/>
      <c r="W469" s="207">
        <v>2.5</v>
      </c>
      <c r="AH469" s="129" t="e">
        <f>INT(AJ465)</f>
        <v>#N/A</v>
      </c>
      <c r="AI469" s="92"/>
      <c r="AJ469" s="6" t="e">
        <f>AH469+AH468</f>
        <v>#N/A</v>
      </c>
      <c r="AL469" t="s">
        <v>1466</v>
      </c>
      <c r="AZ469" s="236"/>
    </row>
    <row r="470" spans="2:52" hidden="1" outlineLevel="1" x14ac:dyDescent="0.25">
      <c r="B470" s="925"/>
      <c r="C470" s="220" t="str">
        <f t="shared" si="119"/>
        <v>-</v>
      </c>
      <c r="D470" s="351">
        <f t="shared" si="120"/>
        <v>0</v>
      </c>
      <c r="E470" t="e">
        <f t="shared" si="121"/>
        <v>#N/A</v>
      </c>
      <c r="F470" s="211"/>
      <c r="G470" s="211"/>
      <c r="H470" s="211"/>
      <c r="I470" s="211"/>
      <c r="J470" s="211"/>
      <c r="K470" s="211"/>
      <c r="L470" s="211"/>
      <c r="M470" s="229" t="str">
        <f t="shared" si="122"/>
        <v>-</v>
      </c>
      <c r="N470">
        <v>-11.5</v>
      </c>
      <c r="O470" s="21" t="str">
        <f t="array" ref="O470">IFERROR(INDEX(Montageplatten[Höhe],LARGE((Montageplatten[Winkel_rand]=$L$70)*(ROW(Montageplatten[Winkel_rand])-1),COUNTIF(Montageplatten[Winkel_rand],$L$70)+1-ROW(A24))),"")</f>
        <v/>
      </c>
      <c r="P470" s="21">
        <v>1</v>
      </c>
      <c r="Q470" s="1087"/>
      <c r="W470" s="207">
        <v>3</v>
      </c>
      <c r="AZ470" s="236"/>
    </row>
    <row r="471" spans="2:52" hidden="1" outlineLevel="1" x14ac:dyDescent="0.25">
      <c r="B471" s="925"/>
      <c r="C471" s="220" t="str">
        <f t="shared" si="119"/>
        <v>-</v>
      </c>
      <c r="D471" s="351">
        <f t="shared" si="120"/>
        <v>0</v>
      </c>
      <c r="E471" t="e">
        <f t="shared" si="121"/>
        <v>#N/A</v>
      </c>
      <c r="F471" s="211"/>
      <c r="G471" s="211"/>
      <c r="H471" s="211"/>
      <c r="I471" s="211"/>
      <c r="J471" s="211"/>
      <c r="K471" s="211"/>
      <c r="L471" s="211"/>
      <c r="M471" s="229" t="str">
        <f t="shared" si="122"/>
        <v>-</v>
      </c>
      <c r="N471">
        <v>-12</v>
      </c>
      <c r="O471" s="21" t="str">
        <f t="array" ref="O471">IFERROR(INDEX(Montageplatten[Höhe],LARGE((Montageplatten[Winkel_rand]=$L$70)*(ROW(Montageplatten[Winkel_rand])-1),COUNTIF(Montageplatten[Winkel_rand],$L$70)+1-ROW(A25))),"")</f>
        <v/>
      </c>
      <c r="P471" s="21">
        <v>1</v>
      </c>
      <c r="Q471" s="1087"/>
      <c r="W471" s="207">
        <v>3.5</v>
      </c>
      <c r="AJ471" t="e">
        <f>ROUND(AVERAGE(AJ467:AJ469),1)</f>
        <v>#N/A</v>
      </c>
      <c r="AL471" t="s">
        <v>1469</v>
      </c>
      <c r="AZ471" s="236"/>
    </row>
    <row r="472" spans="2:52" hidden="1" outlineLevel="1" x14ac:dyDescent="0.25">
      <c r="B472" s="925"/>
      <c r="C472" s="220" t="str">
        <f t="shared" si="119"/>
        <v>-</v>
      </c>
      <c r="D472" s="351">
        <f t="shared" si="120"/>
        <v>0</v>
      </c>
      <c r="E472" t="e">
        <f t="shared" si="121"/>
        <v>#N/A</v>
      </c>
      <c r="F472" s="211"/>
      <c r="G472" s="211"/>
      <c r="H472" s="211"/>
      <c r="I472" s="211"/>
      <c r="J472" s="211"/>
      <c r="K472" s="211"/>
      <c r="L472" s="211"/>
      <c r="M472" s="229" t="str">
        <f t="shared" si="122"/>
        <v>-</v>
      </c>
      <c r="N472">
        <v>-12.5</v>
      </c>
      <c r="O472" s="21" t="str">
        <f t="array" ref="O472">IFERROR(INDEX(Montageplatten[Höhe],LARGE((Montageplatten[Winkel_rand]=$L$70)*(ROW(Montageplatten[Winkel_rand])-1),COUNTIF(Montageplatten[Winkel_rand],$L$70)+1-ROW(A26))),"")</f>
        <v/>
      </c>
      <c r="P472" s="21">
        <v>1</v>
      </c>
      <c r="Q472" s="1087"/>
      <c r="W472" s="207">
        <v>4</v>
      </c>
      <c r="AZ472" s="236"/>
    </row>
    <row r="473" spans="2:52" hidden="1" outlineLevel="1" x14ac:dyDescent="0.25">
      <c r="B473" s="925"/>
      <c r="C473" s="220" t="str">
        <f t="shared" si="119"/>
        <v>-</v>
      </c>
      <c r="D473" s="351">
        <f t="shared" si="120"/>
        <v>0</v>
      </c>
      <c r="E473" t="e">
        <f t="shared" si="121"/>
        <v>#N/A</v>
      </c>
      <c r="F473" s="211"/>
      <c r="G473" s="211"/>
      <c r="H473" s="211"/>
      <c r="I473" s="211"/>
      <c r="J473" s="211"/>
      <c r="K473" s="211"/>
      <c r="L473" s="211"/>
      <c r="M473" s="229" t="str">
        <f t="shared" si="122"/>
        <v>-</v>
      </c>
      <c r="N473">
        <v>-13</v>
      </c>
      <c r="O473" s="21" t="str">
        <f t="array" ref="O473">IFERROR(INDEX(Montageplatten[Höhe],LARGE((Montageplatten[Winkel_rand]=$L$70)*(ROW(Montageplatten[Winkel_rand])-1),COUNTIF(Montageplatten[Winkel_rand],$L$70)+1-ROW(A27))),"")</f>
        <v/>
      </c>
      <c r="P473" s="21">
        <v>1</v>
      </c>
      <c r="Q473" s="1087"/>
      <c r="W473" s="207">
        <v>4.5</v>
      </c>
      <c r="AI473" s="1057" t="e">
        <f>AJ465-AJ469</f>
        <v>#N/A</v>
      </c>
      <c r="AJ473" s="1057"/>
      <c r="AK473" t="s">
        <v>1800</v>
      </c>
      <c r="AM473" s="210" t="str">
        <f>AK465</f>
        <v>-</v>
      </c>
      <c r="AZ473" s="236"/>
    </row>
    <row r="474" spans="2:52" hidden="1" outlineLevel="1" x14ac:dyDescent="0.25">
      <c r="B474" s="925"/>
      <c r="C474" s="220" t="str">
        <f t="shared" si="119"/>
        <v>-</v>
      </c>
      <c r="D474" s="351">
        <f t="shared" si="120"/>
        <v>0</v>
      </c>
      <c r="E474" t="e">
        <f t="shared" si="121"/>
        <v>#N/A</v>
      </c>
      <c r="F474" s="211"/>
      <c r="G474" s="211"/>
      <c r="H474" s="211"/>
      <c r="I474" s="211"/>
      <c r="J474" s="211"/>
      <c r="K474" s="211"/>
      <c r="L474" s="211"/>
      <c r="M474" s="229" t="str">
        <f t="shared" si="122"/>
        <v>-</v>
      </c>
      <c r="N474">
        <v>-13.5</v>
      </c>
      <c r="O474" s="21" t="str">
        <f t="array" ref="O474">IFERROR(INDEX(Montageplatten[Höhe],LARGE((Montageplatten[Winkel_rand]=$L$70)*(ROW(Montageplatten[Winkel_rand])-1),COUNTIF(Montageplatten[Winkel_rand],$L$70)+1-ROW(A28))),"")</f>
        <v/>
      </c>
      <c r="P474" s="21">
        <v>1</v>
      </c>
      <c r="Q474" s="1087"/>
      <c r="W474" s="207">
        <v>5</v>
      </c>
      <c r="AZ474" s="236"/>
    </row>
    <row r="475" spans="2:52" hidden="1" outlineLevel="1" x14ac:dyDescent="0.25">
      <c r="B475" s="925"/>
      <c r="C475" s="220" t="str">
        <f t="shared" si="119"/>
        <v>-</v>
      </c>
      <c r="D475" s="351">
        <f t="shared" si="120"/>
        <v>0</v>
      </c>
      <c r="E475" t="e">
        <f t="shared" si="121"/>
        <v>#N/A</v>
      </c>
      <c r="F475" s="211"/>
      <c r="G475" s="211"/>
      <c r="H475" s="211"/>
      <c r="I475" s="211"/>
      <c r="J475" s="211"/>
      <c r="K475" s="211"/>
      <c r="L475" s="211"/>
      <c r="M475" s="229" t="str">
        <f t="shared" si="122"/>
        <v>-</v>
      </c>
      <c r="N475">
        <v>-14</v>
      </c>
      <c r="O475" s="21" t="str">
        <f t="array" ref="O475">IFERROR(INDEX(Montageplatten[Höhe],LARGE((Montageplatten[Winkel_rand]=$L$70)*(ROW(Montageplatten[Winkel_rand])-1),COUNTIF(Montageplatten[Winkel_rand],$L$70)+1-ROW(A29))),"")</f>
        <v/>
      </c>
      <c r="P475" s="21">
        <v>1</v>
      </c>
      <c r="Q475" s="1087"/>
      <c r="W475" s="207">
        <v>5.5</v>
      </c>
      <c r="AJ475" s="208" t="str">
        <f>IFERROR(IF(AI473=0,AJ471,IF(AND(AI473&gt;$AC$467,AI473&lt;=$AC$468)=TRUE,AJ469,"")),"-")</f>
        <v>-</v>
      </c>
      <c r="AK475" t="s">
        <v>1483</v>
      </c>
      <c r="AM475" t="str">
        <f>IF(AJ475&lt;-2,"-",AJ475)</f>
        <v>-</v>
      </c>
      <c r="AZ475" s="236"/>
    </row>
    <row r="476" spans="2:52" hidden="1" outlineLevel="1" x14ac:dyDescent="0.25">
      <c r="B476" s="925"/>
      <c r="C476" s="220" t="str">
        <f t="shared" si="119"/>
        <v>-</v>
      </c>
      <c r="D476" s="351">
        <f t="shared" si="120"/>
        <v>0</v>
      </c>
      <c r="E476" t="e">
        <f t="shared" si="121"/>
        <v>#N/A</v>
      </c>
      <c r="F476" s="211"/>
      <c r="G476" s="211"/>
      <c r="H476" s="211"/>
      <c r="I476" s="211"/>
      <c r="J476" s="211"/>
      <c r="K476" s="211"/>
      <c r="L476" s="211"/>
      <c r="M476" s="229" t="str">
        <f t="shared" si="122"/>
        <v>-</v>
      </c>
      <c r="N476">
        <v>-14.5</v>
      </c>
      <c r="O476" s="21" t="str">
        <f t="array" ref="O476">IFERROR(INDEX(Montageplatten[Höhe],LARGE((Montageplatten[Winkel_rand]=$L$70)*(ROW(Montageplatten[Winkel_rand])-1),COUNTIF(Montageplatten[Winkel_rand],$L$70)+1-ROW(A30))),"")</f>
        <v/>
      </c>
      <c r="P476" s="21">
        <v>1</v>
      </c>
      <c r="Q476" s="1087"/>
      <c r="V476" s="207">
        <v>20</v>
      </c>
      <c r="W476" s="207">
        <v>6</v>
      </c>
      <c r="AZ476" s="236"/>
    </row>
    <row r="477" spans="2:52" hidden="1" outlineLevel="1" x14ac:dyDescent="0.25">
      <c r="B477" s="925"/>
      <c r="C477" s="220" t="str">
        <f t="shared" si="119"/>
        <v>-</v>
      </c>
      <c r="D477" s="351">
        <f t="shared" si="120"/>
        <v>0</v>
      </c>
      <c r="E477" t="e">
        <f t="shared" si="121"/>
        <v>#N/A</v>
      </c>
      <c r="F477" s="211"/>
      <c r="G477" s="211"/>
      <c r="H477" s="211"/>
      <c r="I477" s="211"/>
      <c r="J477" s="211"/>
      <c r="K477" s="211"/>
      <c r="L477" s="211"/>
      <c r="M477" s="229" t="str">
        <f t="shared" si="122"/>
        <v>-</v>
      </c>
      <c r="N477">
        <v>-15</v>
      </c>
      <c r="O477" s="21" t="str">
        <f t="array" ref="O477">IFERROR(INDEX(Montageplatten[Höhe],LARGE((Montageplatten[Winkel_rand]=$L$70)*(ROW(Montageplatten[Winkel_rand])-1),COUNTIF(Montageplatten[Winkel_rand],$L$70)+1-ROW(A31))),"")</f>
        <v/>
      </c>
      <c r="P477" s="21">
        <v>1</v>
      </c>
      <c r="Q477" s="1087"/>
      <c r="W477" s="207">
        <v>6.5</v>
      </c>
      <c r="AJ477" t="e">
        <f>AJ465-AJ469</f>
        <v>#N/A</v>
      </c>
      <c r="AK477" t="s">
        <v>1484</v>
      </c>
      <c r="AZ477" s="236"/>
    </row>
    <row r="478" spans="2:52" hidden="1" outlineLevel="1" x14ac:dyDescent="0.25">
      <c r="B478" s="925"/>
      <c r="C478" s="220" t="str">
        <f t="shared" si="119"/>
        <v>-</v>
      </c>
      <c r="D478" s="351">
        <f t="shared" si="120"/>
        <v>0</v>
      </c>
      <c r="E478" t="e">
        <f t="shared" si="121"/>
        <v>#N/A</v>
      </c>
      <c r="F478" s="211"/>
      <c r="G478" s="211"/>
      <c r="H478" s="211"/>
      <c r="I478" s="211"/>
      <c r="J478" s="211"/>
      <c r="K478" s="211"/>
      <c r="L478" s="211"/>
      <c r="M478" s="229" t="str">
        <f t="shared" si="122"/>
        <v>-</v>
      </c>
      <c r="N478">
        <v>-15.5</v>
      </c>
      <c r="O478" s="21" t="str">
        <f t="array" ref="O478">IFERROR(INDEX(Montageplatten[Höhe],LARGE((Montageplatten[Winkel_rand]=$L$70)*(ROW(Montageplatten[Winkel_rand])-1),COUNTIF(Montageplatten[Winkel_rand],$L$70)+1-ROW(A32))),"")</f>
        <v/>
      </c>
      <c r="P478" s="21">
        <v>1</v>
      </c>
      <c r="Q478" s="1087"/>
      <c r="W478" s="207">
        <v>7</v>
      </c>
      <c r="AC478" t="str">
        <f>IF((IFERROR(IF((AJ471-AJ469)=0,AJ471,IF(AND((AJ471-AJ469)&gt;0,(AJ471-AJ469)&lt;=0.1)=TRUE,AJ469,"")),""))&lt;-2,"",(IFERROR(IF((AJ471-AJ469)=0,AJ471,IF(AND((AJ471-AJ469)&gt;0,(AJ471-AJ469)&lt;=0.1)=TRUE,AJ469,"")),"")))</f>
        <v/>
      </c>
      <c r="AZ478" s="236"/>
    </row>
    <row r="479" spans="2:52" hidden="1" outlineLevel="1" x14ac:dyDescent="0.25">
      <c r="B479" s="925"/>
      <c r="C479" s="220" t="str">
        <f t="shared" si="119"/>
        <v>-</v>
      </c>
      <c r="D479" s="351">
        <f t="shared" si="120"/>
        <v>0</v>
      </c>
      <c r="E479" t="e">
        <f t="shared" si="121"/>
        <v>#N/A</v>
      </c>
      <c r="F479" s="211"/>
      <c r="G479" s="211"/>
      <c r="H479" s="211"/>
      <c r="I479" s="211"/>
      <c r="J479" s="211"/>
      <c r="K479" s="211"/>
      <c r="L479" s="211"/>
      <c r="M479" s="229" t="str">
        <f t="shared" si="122"/>
        <v>-</v>
      </c>
      <c r="N479">
        <v>-16</v>
      </c>
      <c r="O479" s="21" t="str">
        <f t="array" ref="O479">IFERROR(INDEX(Montageplatten[Höhe],LARGE((Montageplatten[Winkel_rand]=$L$70)*(ROW(Montageplatten[Winkel_rand])-1),COUNTIF(Montageplatten[Winkel_rand],$L$70)+1-ROW(A33))),"")</f>
        <v/>
      </c>
      <c r="P479" s="21">
        <v>1</v>
      </c>
      <c r="Q479" s="1087"/>
      <c r="W479" s="207">
        <v>7.5</v>
      </c>
      <c r="AZ479" s="236"/>
    </row>
    <row r="480" spans="2:52" hidden="1" outlineLevel="1" x14ac:dyDescent="0.25">
      <c r="B480" s="925"/>
      <c r="C480" s="220" t="str">
        <f t="shared" si="119"/>
        <v>-</v>
      </c>
      <c r="D480" s="351">
        <f t="shared" si="120"/>
        <v>0</v>
      </c>
      <c r="E480" t="e">
        <f t="shared" si="121"/>
        <v>#N/A</v>
      </c>
      <c r="F480" s="211"/>
      <c r="G480" s="211"/>
      <c r="H480" s="211"/>
      <c r="I480" s="211"/>
      <c r="J480" s="211"/>
      <c r="K480" s="211"/>
      <c r="L480" s="211"/>
      <c r="M480" s="229" t="str">
        <f t="shared" si="122"/>
        <v>-</v>
      </c>
      <c r="N480">
        <v>-16.5</v>
      </c>
      <c r="O480" s="21" t="str">
        <f t="array" ref="O480">IFERROR(INDEX(Montageplatten[Höhe],LARGE((Montageplatten[Winkel_rand]=$L$70)*(ROW(Montageplatten[Winkel_rand])-1),COUNTIF(Montageplatten[Winkel_rand],$L$70)+1-ROW(A34))),"")</f>
        <v/>
      </c>
      <c r="P480" s="21">
        <v>1</v>
      </c>
      <c r="Q480" s="1087"/>
      <c r="W480" s="207">
        <v>8</v>
      </c>
      <c r="AK480" s="3"/>
      <c r="AZ480" s="236"/>
    </row>
    <row r="481" spans="2:52" hidden="1" outlineLevel="1" x14ac:dyDescent="0.25">
      <c r="B481" s="925"/>
      <c r="C481" s="220" t="str">
        <f t="shared" si="119"/>
        <v>-</v>
      </c>
      <c r="D481" s="351">
        <f t="shared" si="120"/>
        <v>0</v>
      </c>
      <c r="E481" t="e">
        <f t="shared" si="121"/>
        <v>#N/A</v>
      </c>
      <c r="F481" s="211"/>
      <c r="G481" s="211"/>
      <c r="H481" s="211"/>
      <c r="I481" s="211"/>
      <c r="J481" s="211"/>
      <c r="K481" s="211"/>
      <c r="L481" s="211"/>
      <c r="M481" s="229" t="str">
        <f t="shared" si="122"/>
        <v>-</v>
      </c>
      <c r="N481">
        <v>-17</v>
      </c>
      <c r="O481" s="21" t="str">
        <f t="array" ref="O481">IFERROR(INDEX(Montageplatten[Höhe],LARGE((Montageplatten[Winkel_rand]=$L$70)*(ROW(Montageplatten[Winkel_rand])-1),COUNTIF(Montageplatten[Winkel_rand],$L$70)+1-ROW(A35))),"")</f>
        <v/>
      </c>
      <c r="P481" s="21">
        <v>1</v>
      </c>
      <c r="Q481" s="1087"/>
      <c r="W481" s="207">
        <v>8.5</v>
      </c>
      <c r="AZ481" s="236"/>
    </row>
    <row r="482" spans="2:52" hidden="1" outlineLevel="1" x14ac:dyDescent="0.25">
      <c r="B482" s="925"/>
      <c r="C482" s="220" t="str">
        <f t="shared" si="119"/>
        <v>-</v>
      </c>
      <c r="D482" s="351">
        <f t="shared" si="120"/>
        <v>0</v>
      </c>
      <c r="E482" t="e">
        <f t="shared" si="121"/>
        <v>#N/A</v>
      </c>
      <c r="F482" s="211"/>
      <c r="G482" s="211"/>
      <c r="H482" s="211"/>
      <c r="I482" s="211"/>
      <c r="J482" s="211"/>
      <c r="K482" s="211"/>
      <c r="L482" s="211"/>
      <c r="M482" s="229" t="str">
        <f t="shared" si="122"/>
        <v>-</v>
      </c>
      <c r="N482">
        <v>-17.5</v>
      </c>
      <c r="O482" s="21" t="str">
        <f t="array" ref="O482">IFERROR(INDEX(Montageplatten[Höhe],LARGE((Montageplatten[Winkel_rand]=$L$70)*(ROW(Montageplatten[Winkel_rand])-1),COUNTIF(Montageplatten[Winkel_rand],$L$70)+1-ROW(A36))),"")</f>
        <v/>
      </c>
      <c r="P482" s="21">
        <v>1</v>
      </c>
      <c r="Q482" s="1087"/>
      <c r="W482" s="207">
        <v>9</v>
      </c>
      <c r="AZ482" s="236"/>
    </row>
    <row r="483" spans="2:52" hidden="1" outlineLevel="1" x14ac:dyDescent="0.25">
      <c r="B483" s="925"/>
      <c r="C483" s="220" t="str">
        <f t="shared" si="119"/>
        <v>-</v>
      </c>
      <c r="D483" s="351">
        <f t="shared" si="120"/>
        <v>0</v>
      </c>
      <c r="E483" t="e">
        <f t="shared" si="121"/>
        <v>#N/A</v>
      </c>
      <c r="F483" s="211"/>
      <c r="G483" s="211"/>
      <c r="H483" s="211"/>
      <c r="I483" s="211"/>
      <c r="J483" s="211"/>
      <c r="K483" s="211"/>
      <c r="L483" s="211"/>
      <c r="M483" s="229" t="str">
        <f t="shared" si="122"/>
        <v>-</v>
      </c>
      <c r="N483">
        <v>-18</v>
      </c>
      <c r="O483" s="21" t="str">
        <f t="array" ref="O483">IFERROR(INDEX(Montageplatten[Höhe],LARGE((Montageplatten[Winkel_rand]=$L$70)*(ROW(Montageplatten[Winkel_rand])-1),COUNTIF(Montageplatten[Winkel_rand],$L$70)+1-ROW(A37))),"")</f>
        <v/>
      </c>
      <c r="P483" s="21">
        <v>1</v>
      </c>
      <c r="Q483" s="1087"/>
      <c r="W483" s="207">
        <v>9.5</v>
      </c>
      <c r="AZ483" s="236"/>
    </row>
    <row r="484" spans="2:52" hidden="1" outlineLevel="1" x14ac:dyDescent="0.25">
      <c r="B484" s="925"/>
      <c r="C484" s="220" t="str">
        <f t="shared" si="119"/>
        <v>-</v>
      </c>
      <c r="D484" s="351">
        <f t="shared" si="120"/>
        <v>0</v>
      </c>
      <c r="E484" t="e">
        <f t="shared" si="121"/>
        <v>#N/A</v>
      </c>
      <c r="F484" s="211"/>
      <c r="G484" s="211"/>
      <c r="H484" s="211"/>
      <c r="I484" s="211"/>
      <c r="J484" s="211"/>
      <c r="K484" s="211"/>
      <c r="L484" s="211"/>
      <c r="M484" s="229" t="str">
        <f t="shared" si="122"/>
        <v>-</v>
      </c>
      <c r="N484">
        <v>-18.5</v>
      </c>
      <c r="O484" s="21" t="str">
        <f t="array" ref="O484">IFERROR(INDEX(Montageplatten[Höhe],LARGE((Montageplatten[Winkel_rand]=$L$70)*(ROW(Montageplatten[Winkel_rand])-1),COUNTIF(Montageplatten[Winkel_rand],$L$70)+1-ROW(A38))),"")</f>
        <v/>
      </c>
      <c r="P484" s="21">
        <v>1</v>
      </c>
      <c r="Q484" s="1087"/>
      <c r="W484" s="207">
        <v>10</v>
      </c>
      <c r="AZ484" s="236"/>
    </row>
    <row r="485" spans="2:52" hidden="1" outlineLevel="1" x14ac:dyDescent="0.25">
      <c r="B485" s="925"/>
      <c r="C485" s="220" t="str">
        <f t="shared" si="119"/>
        <v>-</v>
      </c>
      <c r="D485" s="351">
        <f t="shared" si="120"/>
        <v>0</v>
      </c>
      <c r="E485" t="e">
        <f t="shared" si="121"/>
        <v>#N/A</v>
      </c>
      <c r="F485" s="211"/>
      <c r="G485" s="211"/>
      <c r="H485" s="211"/>
      <c r="I485" s="211"/>
      <c r="J485" s="211"/>
      <c r="K485" s="211"/>
      <c r="L485" s="211"/>
      <c r="M485" s="229" t="str">
        <f t="shared" si="122"/>
        <v>-</v>
      </c>
      <c r="N485">
        <v>-19</v>
      </c>
      <c r="O485" s="21" t="str">
        <f t="array" ref="O485">IFERROR(INDEX(Montageplatten[Höhe],LARGE((Montageplatten[Winkel_rand]=$L$70)*(ROW(Montageplatten[Winkel_rand])-1),COUNTIF(Montageplatten[Winkel_rand],$L$70)+1-ROW(A39))),"")</f>
        <v/>
      </c>
      <c r="P485" s="21">
        <v>1</v>
      </c>
      <c r="Q485" s="1087"/>
      <c r="W485" s="207">
        <v>10.5</v>
      </c>
      <c r="AZ485" s="236"/>
    </row>
    <row r="486" spans="2:52" hidden="1" outlineLevel="1" x14ac:dyDescent="0.25">
      <c r="B486" s="925"/>
      <c r="C486" s="220" t="str">
        <f t="shared" si="119"/>
        <v>-</v>
      </c>
      <c r="D486" s="351">
        <f t="shared" si="120"/>
        <v>0</v>
      </c>
      <c r="E486" t="e">
        <f t="shared" si="121"/>
        <v>#N/A</v>
      </c>
      <c r="F486" s="211"/>
      <c r="G486" s="211"/>
      <c r="H486" s="211"/>
      <c r="I486" s="211"/>
      <c r="J486" s="211"/>
      <c r="K486" s="211"/>
      <c r="L486" s="211"/>
      <c r="M486" s="229" t="str">
        <f t="shared" si="122"/>
        <v>-</v>
      </c>
      <c r="N486">
        <v>-19.5</v>
      </c>
      <c r="O486" s="21" t="str">
        <f t="array" ref="O486">IFERROR(INDEX(Montageplatten[Höhe],LARGE((Montageplatten[Winkel_rand]=$L$70)*(ROW(Montageplatten[Winkel_rand])-1),COUNTIF(Montageplatten[Winkel_rand],$L$70)+1-ROW(A40))),"")</f>
        <v/>
      </c>
      <c r="P486" s="21">
        <v>1</v>
      </c>
      <c r="Q486" s="1087"/>
      <c r="W486" s="207">
        <v>11</v>
      </c>
      <c r="AZ486" s="236"/>
    </row>
    <row r="487" spans="2:52" hidden="1" outlineLevel="1" x14ac:dyDescent="0.25">
      <c r="B487" s="925"/>
      <c r="C487" s="220" t="str">
        <f t="shared" si="119"/>
        <v>-</v>
      </c>
      <c r="D487" s="351">
        <f t="shared" si="120"/>
        <v>0</v>
      </c>
      <c r="E487" t="e">
        <f t="shared" si="121"/>
        <v>#N/A</v>
      </c>
      <c r="F487" s="211"/>
      <c r="G487" s="211"/>
      <c r="H487" s="211"/>
      <c r="I487" s="211"/>
      <c r="J487" s="211"/>
      <c r="K487" s="211"/>
      <c r="L487" s="211"/>
      <c r="M487" s="229" t="str">
        <f t="shared" si="122"/>
        <v>-</v>
      </c>
      <c r="N487">
        <v>-20</v>
      </c>
      <c r="O487" s="21" t="str">
        <f t="array" ref="O487">IFERROR(INDEX(Montageplatten[Höhe],LARGE((Montageplatten[Winkel_rand]=$L$70)*(ROW(Montageplatten[Winkel_rand])-1),COUNTIF(Montageplatten[Winkel_rand],$L$70)+1-ROW(A41))),"")</f>
        <v/>
      </c>
      <c r="P487" s="21">
        <v>1</v>
      </c>
      <c r="Q487" s="1087"/>
      <c r="W487" s="207">
        <v>11.5</v>
      </c>
      <c r="AZ487" s="236"/>
    </row>
    <row r="488" spans="2:52" hidden="1" outlineLevel="1" x14ac:dyDescent="0.25">
      <c r="B488" s="925"/>
      <c r="C488" s="220" t="str">
        <f t="shared" si="119"/>
        <v>-</v>
      </c>
      <c r="D488" s="351">
        <f t="shared" si="120"/>
        <v>0</v>
      </c>
      <c r="E488" t="e">
        <f t="shared" si="121"/>
        <v>#N/A</v>
      </c>
      <c r="F488" s="211"/>
      <c r="G488" s="211"/>
      <c r="H488" s="211"/>
      <c r="I488" s="211"/>
      <c r="J488" s="211"/>
      <c r="K488" s="211"/>
      <c r="L488" s="211"/>
      <c r="M488" s="229" t="str">
        <f t="shared" si="122"/>
        <v>-</v>
      </c>
      <c r="N488">
        <v>-20.5</v>
      </c>
      <c r="O488" s="21" t="str">
        <f t="array" ref="O488">IFERROR(INDEX(Montageplatten[Höhe],LARGE((Montageplatten[Winkel_rand]=$L$70)*(ROW(Montageplatten[Winkel_rand])-1),COUNTIF(Montageplatten[Winkel_rand],$L$70)+1-ROW(A42))),"")</f>
        <v/>
      </c>
      <c r="P488" s="21">
        <v>1</v>
      </c>
      <c r="Q488" s="1087"/>
      <c r="W488" s="207">
        <v>12</v>
      </c>
      <c r="AZ488" s="236"/>
    </row>
    <row r="489" spans="2:52" hidden="1" outlineLevel="1" x14ac:dyDescent="0.25">
      <c r="B489" s="925"/>
      <c r="C489" s="220" t="str">
        <f t="shared" si="119"/>
        <v>-</v>
      </c>
      <c r="D489" s="351">
        <f t="shared" si="120"/>
        <v>0</v>
      </c>
      <c r="E489" t="e">
        <f t="shared" si="121"/>
        <v>#N/A</v>
      </c>
      <c r="F489" s="211"/>
      <c r="G489" s="211"/>
      <c r="H489" s="211"/>
      <c r="I489" s="211"/>
      <c r="J489" s="211"/>
      <c r="K489" s="211"/>
      <c r="L489" s="211"/>
      <c r="M489" s="229" t="str">
        <f t="shared" si="122"/>
        <v>-</v>
      </c>
      <c r="N489">
        <v>-21</v>
      </c>
      <c r="O489" s="21" t="str">
        <f t="array" ref="O489">IFERROR(INDEX(Montageplatten[Höhe],LARGE((Montageplatten[Winkel_rand]=$L$70)*(ROW(Montageplatten[Winkel_rand])-1),COUNTIF(Montageplatten[Winkel_rand],$L$70)+1-ROW(A43))),"")</f>
        <v/>
      </c>
      <c r="P489" s="21">
        <v>1</v>
      </c>
      <c r="Q489" s="1087"/>
      <c r="W489" s="207">
        <v>12.5</v>
      </c>
      <c r="AZ489" s="236"/>
    </row>
    <row r="490" spans="2:52" hidden="1" outlineLevel="1" x14ac:dyDescent="0.25">
      <c r="B490" s="925"/>
      <c r="C490" s="220" t="str">
        <f t="shared" si="119"/>
        <v>-</v>
      </c>
      <c r="D490" s="351">
        <f t="shared" si="120"/>
        <v>0</v>
      </c>
      <c r="E490" t="e">
        <f t="shared" si="121"/>
        <v>#N/A</v>
      </c>
      <c r="F490" s="211"/>
      <c r="G490" s="211"/>
      <c r="H490" s="211"/>
      <c r="I490" s="211"/>
      <c r="J490" s="211"/>
      <c r="K490" s="211"/>
      <c r="L490" s="211"/>
      <c r="M490" s="229" t="str">
        <f t="shared" si="122"/>
        <v>-</v>
      </c>
      <c r="N490">
        <v>-21.5</v>
      </c>
      <c r="O490" s="21" t="str">
        <f t="array" ref="O490">IFERROR(INDEX(Montageplatten[Höhe],LARGE((Montageplatten[Winkel_rand]=$L$70)*(ROW(Montageplatten[Winkel_rand])-1),COUNTIF(Montageplatten[Winkel_rand],$L$70)+1-ROW(A44))),"")</f>
        <v/>
      </c>
      <c r="P490" s="21">
        <v>1</v>
      </c>
      <c r="Q490" s="1087"/>
      <c r="W490" s="207">
        <v>13</v>
      </c>
      <c r="AZ490" s="236"/>
    </row>
    <row r="491" spans="2:52" hidden="1" outlineLevel="1" x14ac:dyDescent="0.25">
      <c r="B491" s="925"/>
      <c r="C491" s="220" t="str">
        <f t="shared" si="119"/>
        <v>-</v>
      </c>
      <c r="D491" s="351">
        <f t="shared" si="120"/>
        <v>0</v>
      </c>
      <c r="E491" t="e">
        <f t="shared" si="121"/>
        <v>#N/A</v>
      </c>
      <c r="F491" s="211"/>
      <c r="G491" s="211"/>
      <c r="H491" s="211"/>
      <c r="I491" s="211"/>
      <c r="J491" s="211"/>
      <c r="K491" s="211"/>
      <c r="L491" s="211"/>
      <c r="M491" s="229" t="str">
        <f t="shared" si="122"/>
        <v>-</v>
      </c>
      <c r="N491">
        <v>-22</v>
      </c>
      <c r="W491" s="207">
        <v>13.5</v>
      </c>
      <c r="AZ491" s="236"/>
    </row>
    <row r="492" spans="2:52" hidden="1" outlineLevel="1" x14ac:dyDescent="0.25">
      <c r="B492" s="925"/>
      <c r="C492" s="220" t="str">
        <f t="shared" si="119"/>
        <v>-</v>
      </c>
      <c r="D492" s="351">
        <f t="shared" si="120"/>
        <v>0</v>
      </c>
      <c r="E492" t="e">
        <f t="shared" si="121"/>
        <v>#N/A</v>
      </c>
      <c r="F492" s="211"/>
      <c r="G492" s="211"/>
      <c r="H492" s="211"/>
      <c r="I492" s="211"/>
      <c r="J492" s="211"/>
      <c r="K492" s="211"/>
      <c r="L492" s="211"/>
      <c r="M492" s="229" t="str">
        <f t="shared" si="122"/>
        <v>-</v>
      </c>
      <c r="N492">
        <v>-22.5</v>
      </c>
      <c r="W492" s="207">
        <v>14</v>
      </c>
      <c r="AZ492" s="236"/>
    </row>
    <row r="493" spans="2:52" hidden="1" outlineLevel="1" x14ac:dyDescent="0.25">
      <c r="B493" s="925"/>
      <c r="C493" s="220" t="str">
        <f t="shared" si="119"/>
        <v>-</v>
      </c>
      <c r="D493" s="351">
        <f t="shared" si="120"/>
        <v>0</v>
      </c>
      <c r="E493" t="e">
        <f t="shared" si="121"/>
        <v>#N/A</v>
      </c>
      <c r="F493" s="211"/>
      <c r="G493" s="211"/>
      <c r="H493" s="211"/>
      <c r="I493" s="211"/>
      <c r="J493" s="211"/>
      <c r="K493" s="211"/>
      <c r="L493" s="211"/>
      <c r="M493" s="229" t="str">
        <f t="shared" si="122"/>
        <v>-</v>
      </c>
      <c r="N493">
        <v>-23</v>
      </c>
      <c r="W493" s="207">
        <v>14.5</v>
      </c>
      <c r="AZ493" s="236"/>
    </row>
    <row r="494" spans="2:52" hidden="1" outlineLevel="1" x14ac:dyDescent="0.25">
      <c r="B494" s="925"/>
      <c r="C494" s="220" t="str">
        <f t="shared" si="119"/>
        <v>-</v>
      </c>
      <c r="D494" s="351">
        <f t="shared" si="120"/>
        <v>0</v>
      </c>
      <c r="E494" t="e">
        <f t="shared" si="121"/>
        <v>#N/A</v>
      </c>
      <c r="F494" s="211"/>
      <c r="G494" s="211"/>
      <c r="H494" s="211"/>
      <c r="I494" s="211"/>
      <c r="J494" s="211"/>
      <c r="K494" s="211"/>
      <c r="L494" s="211"/>
      <c r="M494" s="229" t="str">
        <f t="shared" si="122"/>
        <v>-</v>
      </c>
      <c r="N494">
        <v>-23.5</v>
      </c>
      <c r="W494" s="207">
        <v>15</v>
      </c>
      <c r="AZ494" s="236"/>
    </row>
    <row r="495" spans="2:52" hidden="1" outlineLevel="1" x14ac:dyDescent="0.25">
      <c r="B495" s="925"/>
      <c r="C495" s="220" t="str">
        <f t="shared" si="119"/>
        <v>-</v>
      </c>
      <c r="D495" s="351">
        <f t="shared" si="120"/>
        <v>0</v>
      </c>
      <c r="E495" t="e">
        <f t="shared" si="121"/>
        <v>#N/A</v>
      </c>
      <c r="F495" s="211"/>
      <c r="G495" s="211"/>
      <c r="H495" s="211"/>
      <c r="I495" s="211"/>
      <c r="J495" s="211"/>
      <c r="K495" s="211"/>
      <c r="L495" s="211"/>
      <c r="M495" s="229" t="str">
        <f t="shared" si="122"/>
        <v>-</v>
      </c>
      <c r="N495">
        <v>-24</v>
      </c>
      <c r="W495" s="207">
        <v>15.5</v>
      </c>
      <c r="AZ495" s="236"/>
    </row>
    <row r="496" spans="2:52" hidden="1" outlineLevel="1" x14ac:dyDescent="0.25">
      <c r="B496" s="925"/>
      <c r="C496" s="220" t="str">
        <f t="shared" si="119"/>
        <v>-</v>
      </c>
      <c r="D496" s="351">
        <f t="shared" si="120"/>
        <v>0</v>
      </c>
      <c r="E496" t="e">
        <f t="shared" si="121"/>
        <v>#N/A</v>
      </c>
      <c r="F496" s="211"/>
      <c r="G496" s="211"/>
      <c r="H496" s="211"/>
      <c r="I496" s="211"/>
      <c r="J496" s="211"/>
      <c r="K496" s="211"/>
      <c r="L496" s="211"/>
      <c r="M496" s="229" t="str">
        <f t="shared" si="122"/>
        <v>-</v>
      </c>
      <c r="N496">
        <v>-24.5</v>
      </c>
      <c r="W496" s="207">
        <v>16</v>
      </c>
      <c r="AZ496" s="236"/>
    </row>
    <row r="497" spans="2:73" hidden="1" outlineLevel="1" x14ac:dyDescent="0.25">
      <c r="C497" s="3"/>
      <c r="F497" s="699">
        <f>ROUNDUP(E497,1)</f>
        <v>0</v>
      </c>
      <c r="G497" s="699">
        <f t="shared" ref="G497" si="123">ROUNDDOWN(E497,1)</f>
        <v>0</v>
      </c>
      <c r="H497" s="699">
        <f t="shared" ref="H497" si="124">INT(E497)+IF(VALUE(RIGHT(TEXT(ROUNDDOWN(E497,2),"0,0"),1))&lt;5,0,0.5)</f>
        <v>0</v>
      </c>
      <c r="I497" s="699">
        <f t="shared" ref="I497" si="125">E497-H497</f>
        <v>0</v>
      </c>
      <c r="J497" s="699">
        <f t="shared" ref="J497" si="126">E497-H497</f>
        <v>0</v>
      </c>
      <c r="K497" s="699">
        <f t="shared" ref="K497" si="127">ROUND(AVERAGE(F497:H497),1)</f>
        <v>0</v>
      </c>
      <c r="L497" s="699">
        <f t="shared" ref="L497" si="128">IFERROR(IF(J497=0,K497,IF(AND(J497&gt;$AC$467,J497&lt;=$AC$468)=TRUE,H497,"-")),"-")</f>
        <v>0</v>
      </c>
      <c r="M497" s="700">
        <f t="shared" ref="M497" si="129">IF(L497&lt;-2,"-",L497)</f>
        <v>0</v>
      </c>
      <c r="W497" s="207">
        <v>16.5</v>
      </c>
      <c r="AZ497" s="236"/>
    </row>
    <row r="498" spans="2:73" hidden="1" outlineLevel="1" x14ac:dyDescent="0.25">
      <c r="B498" s="53" t="str">
        <f>IFERROR(VLOOKUP(O446,D448:N496,11,FALSE),"-")</f>
        <v>-</v>
      </c>
      <c r="C498" s="3"/>
      <c r="W498" s="207">
        <v>17</v>
      </c>
      <c r="AZ498" s="236"/>
    </row>
    <row r="499" spans="2:73" hidden="1" outlineLevel="1" x14ac:dyDescent="0.25">
      <c r="C499" s="3"/>
      <c r="W499" s="207">
        <v>17.5</v>
      </c>
      <c r="AZ499" s="236"/>
    </row>
    <row r="500" spans="2:73" hidden="1" outlineLevel="1" x14ac:dyDescent="0.25">
      <c r="B500" s="925" t="s">
        <v>1379</v>
      </c>
      <c r="C500" s="220" t="str">
        <f>M500</f>
        <v>-</v>
      </c>
      <c r="D500" s="351">
        <f>IFERROR(VLOOKUP(C500,$O$447:$P$490,2,FALSE),0)</f>
        <v>0</v>
      </c>
      <c r="E500" t="e">
        <f>$X$454-((($AC$454+N500)-1.1-$AE$454)*COS($W$454/180*PI())+$AA$454*SIN($W$454/180*PI()))</f>
        <v>#N/A</v>
      </c>
      <c r="F500" s="211"/>
      <c r="G500" s="211"/>
      <c r="H500" s="211"/>
      <c r="I500" s="211"/>
      <c r="J500" s="211"/>
      <c r="K500" s="211"/>
      <c r="L500" s="211"/>
      <c r="M500" s="229" t="str">
        <f t="shared" ref="M500:M548" si="130">IFERROR(IF(E500&lt;0,(INT(E500*-1)+IF(AND(ROUND(((E500*-1)-INT(E500*-1))*100,0)&gt;=0,ROUND(((E500*-1)-INT(E500*-1))*100,0)&lt;25)=TRUE,0,IF(AND(ROUND(((E500*-1)-INT(E500*-1))*100,0)&gt;=25,ROUND(((E500*-1)-INT(E500*-1))*100,0)&lt;50)=TRUE,0.5,IF(AND(ROUND(((E500*-1)-INT(E500*-1))*100,0)&gt;=50,ROUND(((E500*-1)-INT(E500*-1))*100,0)&lt;75)=TRUE,0.5,1))))*-1,(INT(E500)+IF(AND(ROUND(((E500)-INT(E500))*100,0)&gt;=0,ROUND(((E500)-INT(E500))*100,0)&lt;25)=TRUE,0,IF(AND(ROUND(((E500)-INT(E500))*100,0)&gt;=25,ROUND(((E500)-INT(E500))*100,0)&lt;50)=TRUE,0.5,IF(AND(ROUND(((E500)-INT(E500))*100,0)&gt;=50,ROUND(((E500)-INT(E500))*100,0)&lt;75)=TRUE,0.5,1))))),"-")</f>
        <v>-</v>
      </c>
      <c r="N500">
        <v>0.5</v>
      </c>
      <c r="W500" s="207">
        <v>18</v>
      </c>
      <c r="AZ500" s="236"/>
    </row>
    <row r="501" spans="2:73" hidden="1" outlineLevel="1" x14ac:dyDescent="0.25">
      <c r="B501" s="925"/>
      <c r="C501" s="220" t="str">
        <f t="shared" ref="C501:C548" si="131">M501</f>
        <v>-</v>
      </c>
      <c r="D501" s="351">
        <f t="shared" ref="D501:D548" si="132">IFERROR(VLOOKUP(C501,$O$447:$P$490,2,FALSE),0)</f>
        <v>0</v>
      </c>
      <c r="E501" t="e">
        <f t="shared" ref="E501:E548" si="133">$X$454-((($AC$454+N501)-1.1-$AE$454)*COS($W$454/180*PI())+$AA$454*SIN($W$454/180*PI()))</f>
        <v>#N/A</v>
      </c>
      <c r="F501" s="211"/>
      <c r="G501" s="211"/>
      <c r="H501" s="211"/>
      <c r="I501" s="211"/>
      <c r="J501" s="211"/>
      <c r="K501" s="211"/>
      <c r="L501" s="211"/>
      <c r="M501" s="229" t="str">
        <f t="shared" si="130"/>
        <v>-</v>
      </c>
      <c r="N501">
        <v>1</v>
      </c>
      <c r="Q501" s="236"/>
      <c r="R501" s="236"/>
      <c r="S501" s="236"/>
      <c r="T501" s="236"/>
      <c r="U501" s="236"/>
      <c r="V501" s="236"/>
      <c r="W501" s="207">
        <v>18.5</v>
      </c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</row>
    <row r="502" spans="2:73" hidden="1" outlineLevel="1" x14ac:dyDescent="0.25">
      <c r="B502" s="925"/>
      <c r="C502" s="220" t="str">
        <f t="shared" si="131"/>
        <v>-</v>
      </c>
      <c r="D502" s="351">
        <f t="shared" si="132"/>
        <v>0</v>
      </c>
      <c r="E502" t="e">
        <f t="shared" si="133"/>
        <v>#N/A</v>
      </c>
      <c r="F502" s="211"/>
      <c r="G502" s="211"/>
      <c r="H502" s="211"/>
      <c r="I502" s="211"/>
      <c r="J502" s="211"/>
      <c r="K502" s="211"/>
      <c r="L502" s="211"/>
      <c r="M502" s="229" t="str">
        <f t="shared" si="130"/>
        <v>-</v>
      </c>
      <c r="N502">
        <v>1.5</v>
      </c>
      <c r="Q502" s="236"/>
      <c r="W502" s="207">
        <v>19</v>
      </c>
    </row>
    <row r="503" spans="2:73" hidden="1" outlineLevel="1" x14ac:dyDescent="0.25">
      <c r="B503" s="925"/>
      <c r="C503" s="220" t="str">
        <f t="shared" si="131"/>
        <v>-</v>
      </c>
      <c r="D503" s="351">
        <f t="shared" si="132"/>
        <v>0</v>
      </c>
      <c r="E503" t="e">
        <f t="shared" si="133"/>
        <v>#N/A</v>
      </c>
      <c r="F503" s="211"/>
      <c r="G503" s="211"/>
      <c r="H503" s="211"/>
      <c r="I503" s="211"/>
      <c r="J503" s="211"/>
      <c r="K503" s="211"/>
      <c r="L503" s="211"/>
      <c r="M503" s="229" t="str">
        <f t="shared" si="130"/>
        <v>-</v>
      </c>
      <c r="N503">
        <v>2</v>
      </c>
      <c r="Q503" s="236"/>
      <c r="S503" s="259"/>
      <c r="T503" s="259"/>
      <c r="U503" s="259"/>
      <c r="V503" s="259"/>
      <c r="W503" s="207">
        <v>19.5</v>
      </c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  <c r="AL503" s="259"/>
      <c r="AM503" s="259"/>
      <c r="AN503" s="259"/>
      <c r="AO503" s="259"/>
      <c r="AP503" s="259"/>
      <c r="AQ503" s="259"/>
      <c r="AR503" s="259"/>
      <c r="AS503" s="259"/>
      <c r="AT503" s="259"/>
      <c r="AU503" s="259"/>
      <c r="AV503" s="259"/>
      <c r="AW503" s="259"/>
      <c r="AX503" s="259"/>
      <c r="AY503" s="259"/>
      <c r="AZ503" s="259"/>
      <c r="BA503" s="259"/>
      <c r="BB503" s="259"/>
      <c r="BC503" s="259"/>
      <c r="BD503" s="259"/>
      <c r="BE503" s="259"/>
      <c r="BF503" s="259"/>
      <c r="BG503" s="259"/>
      <c r="BH503" s="259"/>
      <c r="BI503" s="259"/>
      <c r="BJ503" s="259"/>
      <c r="BK503" s="259"/>
      <c r="BL503" s="259"/>
      <c r="BM503" s="259"/>
      <c r="BN503" s="259"/>
      <c r="BO503" s="259"/>
      <c r="BP503" s="259"/>
      <c r="BQ503" s="259"/>
      <c r="BR503" s="259"/>
      <c r="BS503" s="259"/>
      <c r="BT503" s="259"/>
      <c r="BU503" s="259"/>
    </row>
    <row r="504" spans="2:73" hidden="1" outlineLevel="1" x14ac:dyDescent="0.25">
      <c r="B504" s="925"/>
      <c r="C504" s="220" t="str">
        <f>M504</f>
        <v>-</v>
      </c>
      <c r="D504" s="351">
        <f t="shared" si="132"/>
        <v>0</v>
      </c>
      <c r="E504" t="e">
        <f t="shared" si="133"/>
        <v>#N/A</v>
      </c>
      <c r="F504" s="211"/>
      <c r="G504" s="211"/>
      <c r="H504" s="211"/>
      <c r="I504" s="211"/>
      <c r="J504" s="211"/>
      <c r="K504" s="211"/>
      <c r="L504" s="211"/>
      <c r="M504" s="229" t="str">
        <f t="shared" si="130"/>
        <v>-</v>
      </c>
      <c r="N504">
        <v>2.5</v>
      </c>
      <c r="Q504" s="236"/>
      <c r="S504" s="259"/>
      <c r="BU504" s="259"/>
    </row>
    <row r="505" spans="2:73" hidden="1" outlineLevel="1" x14ac:dyDescent="0.25">
      <c r="B505" s="925"/>
      <c r="C505" s="220" t="str">
        <f t="shared" si="131"/>
        <v>-</v>
      </c>
      <c r="D505" s="351">
        <f t="shared" si="132"/>
        <v>0</v>
      </c>
      <c r="E505" t="e">
        <f t="shared" si="133"/>
        <v>#N/A</v>
      </c>
      <c r="F505" s="211"/>
      <c r="G505" s="211"/>
      <c r="H505" s="211"/>
      <c r="I505" s="211"/>
      <c r="J505" s="211"/>
      <c r="K505" s="211"/>
      <c r="L505" s="211"/>
      <c r="M505" s="229" t="str">
        <f t="shared" si="130"/>
        <v>-</v>
      </c>
      <c r="N505">
        <v>3</v>
      </c>
      <c r="Q505" s="236"/>
      <c r="S505" s="259"/>
      <c r="T505" s="8"/>
      <c r="U505" s="8"/>
      <c r="V505" s="8"/>
      <c r="W505" s="8"/>
      <c r="X505" s="8"/>
      <c r="Y505" s="8"/>
      <c r="AA505" t="s">
        <v>1846</v>
      </c>
      <c r="AH505" s="8"/>
      <c r="AI505" s="8"/>
      <c r="AJ505" s="8"/>
      <c r="AK505" s="8"/>
      <c r="AL505" s="8"/>
      <c r="AM505" s="8"/>
      <c r="AO505">
        <v>3</v>
      </c>
      <c r="AT505">
        <v>5</v>
      </c>
      <c r="AY505">
        <v>7</v>
      </c>
      <c r="BD505">
        <v>9</v>
      </c>
      <c r="BI505">
        <v>10</v>
      </c>
      <c r="BN505">
        <v>11</v>
      </c>
      <c r="BU505" s="259"/>
    </row>
    <row r="506" spans="2:73" hidden="1" outlineLevel="1" x14ac:dyDescent="0.25">
      <c r="B506" s="925"/>
      <c r="C506" s="220" t="str">
        <f t="shared" si="131"/>
        <v>-</v>
      </c>
      <c r="D506" s="351">
        <f t="shared" si="132"/>
        <v>0</v>
      </c>
      <c r="E506" t="e">
        <f t="shared" si="133"/>
        <v>#N/A</v>
      </c>
      <c r="F506" s="211"/>
      <c r="G506" s="211"/>
      <c r="H506" s="211"/>
      <c r="I506" s="211"/>
      <c r="J506" s="211"/>
      <c r="K506" s="211"/>
      <c r="L506" s="211"/>
      <c r="M506" s="229" t="str">
        <f t="shared" si="130"/>
        <v>-</v>
      </c>
      <c r="N506">
        <v>3.5</v>
      </c>
      <c r="Q506" s="236"/>
      <c r="S506" s="259"/>
      <c r="T506" s="8"/>
      <c r="U506" s="8"/>
      <c r="V506" s="8"/>
      <c r="W506" s="8"/>
      <c r="X506" s="8"/>
      <c r="Y506" s="8"/>
      <c r="Z506">
        <f>VLOOKUP($L$338,AA509:AG516,7,FALSE)</f>
        <v>3</v>
      </c>
      <c r="AA506" s="303" t="str">
        <f ca="1">IFERROR(VLOOKUP(Z506,Y509:AF516,$A$347+3,FALSE)&amp;" mm","---")</f>
        <v>---</v>
      </c>
      <c r="AH506" s="8"/>
      <c r="AI506" s="8"/>
      <c r="AJ506" s="8"/>
      <c r="AK506" s="8"/>
      <c r="AL506" s="8"/>
      <c r="AM506" s="8"/>
      <c r="AN506" t="str">
        <f>IF($A$318=3,1,IF($A$318=5,2,IF($A$318=7,3,IF($A$318=9,4,IF($A$318=10,5,IF($A$318=11,6,""))))))</f>
        <v/>
      </c>
      <c r="AO506" s="1084" t="str">
        <f>Z457</f>
        <v>Tiomos 110/30A</v>
      </c>
      <c r="AP506" s="1085"/>
      <c r="AQ506" s="1085"/>
      <c r="AR506" s="1085"/>
      <c r="AS506" s="1086"/>
      <c r="AT506" s="1084" t="str">
        <f>Z458</f>
        <v>Tiomos 110/37A</v>
      </c>
      <c r="AU506" s="1085"/>
      <c r="AV506" s="1085"/>
      <c r="AW506" s="1085"/>
      <c r="AX506" s="1086"/>
      <c r="AY506" s="1084" t="str">
        <f>Z459</f>
        <v>Tiomos 110/45A</v>
      </c>
      <c r="AZ506" s="1085"/>
      <c r="BA506" s="1085"/>
      <c r="BB506" s="1085"/>
      <c r="BC506" s="1086"/>
      <c r="BD506" s="1084" t="str">
        <f>B327</f>
        <v>Tiomos 120/-15A</v>
      </c>
      <c r="BE506" s="1085"/>
      <c r="BF506" s="1085"/>
      <c r="BG506" s="1085"/>
      <c r="BH506" s="1086"/>
      <c r="BI506" s="1084" t="str">
        <f>B328</f>
        <v>Tiomos 120/-30A</v>
      </c>
      <c r="BJ506" s="1085"/>
      <c r="BK506" s="1085"/>
      <c r="BL506" s="1085"/>
      <c r="BM506" s="1086"/>
      <c r="BN506" s="1084" t="str">
        <f>B329</f>
        <v>Tiomos 120/-45A</v>
      </c>
      <c r="BO506" s="1085"/>
      <c r="BP506" s="1085"/>
      <c r="BQ506" s="1085"/>
      <c r="BR506" s="1086"/>
      <c r="BU506" s="259"/>
    </row>
    <row r="507" spans="2:73" hidden="1" outlineLevel="1" x14ac:dyDescent="0.25">
      <c r="B507" s="925"/>
      <c r="C507" s="220" t="str">
        <f t="shared" si="131"/>
        <v>-</v>
      </c>
      <c r="D507" s="351">
        <f t="shared" si="132"/>
        <v>0</v>
      </c>
      <c r="E507" t="e">
        <f t="shared" si="133"/>
        <v>#N/A</v>
      </c>
      <c r="F507" s="211"/>
      <c r="G507" s="211"/>
      <c r="H507" s="211"/>
      <c r="I507" s="211"/>
      <c r="J507" s="211"/>
      <c r="K507" s="211"/>
      <c r="L507" s="211"/>
      <c r="M507" s="229" t="str">
        <f t="shared" si="130"/>
        <v>-</v>
      </c>
      <c r="N507">
        <v>4</v>
      </c>
      <c r="Q507" s="236"/>
      <c r="S507" s="259"/>
      <c r="T507" s="8"/>
      <c r="U507" s="8"/>
      <c r="V507" s="8"/>
      <c r="W507" s="8"/>
      <c r="X507" s="8"/>
      <c r="Y507" s="8"/>
      <c r="AH507" s="334"/>
      <c r="AI507" s="8"/>
      <c r="AJ507" s="8"/>
      <c r="AK507" s="8"/>
      <c r="AL507" s="8"/>
      <c r="AM507" s="8"/>
      <c r="AO507" s="92">
        <v>3</v>
      </c>
      <c r="AP507" s="6">
        <v>4</v>
      </c>
      <c r="AQ507" s="6">
        <v>5</v>
      </c>
      <c r="AR507" s="6">
        <v>6</v>
      </c>
      <c r="AS507" s="56">
        <v>7</v>
      </c>
      <c r="AT507" s="92">
        <v>3</v>
      </c>
      <c r="AU507" s="6">
        <v>4</v>
      </c>
      <c r="AV507" s="6">
        <v>5</v>
      </c>
      <c r="AW507" s="6">
        <v>6</v>
      </c>
      <c r="AX507" s="56">
        <v>7</v>
      </c>
      <c r="AY507" s="92">
        <v>3</v>
      </c>
      <c r="AZ507" s="6">
        <v>4</v>
      </c>
      <c r="BA507" s="6">
        <v>5</v>
      </c>
      <c r="BB507" s="6">
        <v>6</v>
      </c>
      <c r="BC507" s="56">
        <v>7</v>
      </c>
      <c r="BD507" s="92">
        <v>3</v>
      </c>
      <c r="BE507" s="6">
        <v>4</v>
      </c>
      <c r="BF507" s="6">
        <v>5</v>
      </c>
      <c r="BG507" s="6">
        <v>6</v>
      </c>
      <c r="BH507" s="56">
        <v>7</v>
      </c>
      <c r="BI507" s="92">
        <v>3</v>
      </c>
      <c r="BJ507" s="6">
        <v>4</v>
      </c>
      <c r="BK507" s="6">
        <v>5</v>
      </c>
      <c r="BL507" s="6">
        <v>6</v>
      </c>
      <c r="BM507" s="56">
        <v>7</v>
      </c>
      <c r="BN507" s="92">
        <v>3</v>
      </c>
      <c r="BO507" s="6">
        <v>4</v>
      </c>
      <c r="BP507" s="6">
        <v>5</v>
      </c>
      <c r="BQ507" s="6">
        <v>6</v>
      </c>
      <c r="BR507" s="56">
        <v>7</v>
      </c>
      <c r="BU507" s="259"/>
    </row>
    <row r="508" spans="2:73" hidden="1" outlineLevel="1" x14ac:dyDescent="0.25">
      <c r="B508" s="925"/>
      <c r="C508" s="220" t="str">
        <f t="shared" si="131"/>
        <v>-</v>
      </c>
      <c r="D508" s="351">
        <f t="shared" si="132"/>
        <v>0</v>
      </c>
      <c r="E508" t="e">
        <f t="shared" si="133"/>
        <v>#N/A</v>
      </c>
      <c r="F508" s="211"/>
      <c r="G508" s="211"/>
      <c r="H508" s="211"/>
      <c r="I508" s="211"/>
      <c r="J508" s="211"/>
      <c r="K508" s="211"/>
      <c r="L508" s="211"/>
      <c r="M508" s="229" t="str">
        <f t="shared" si="130"/>
        <v>-</v>
      </c>
      <c r="N508">
        <v>4.5</v>
      </c>
      <c r="Q508" s="236"/>
      <c r="S508" s="259"/>
      <c r="T508" s="8"/>
      <c r="U508" s="8"/>
      <c r="V508" s="8"/>
      <c r="W508" s="8"/>
      <c r="X508" s="8"/>
      <c r="Y508" s="308"/>
      <c r="Z508" s="308" t="s">
        <v>1839</v>
      </c>
      <c r="AA508" s="308"/>
      <c r="AB508" s="308">
        <v>3</v>
      </c>
      <c r="AC508" s="308">
        <v>4</v>
      </c>
      <c r="AD508" s="308">
        <v>5</v>
      </c>
      <c r="AE508" s="308">
        <v>6</v>
      </c>
      <c r="AF508" s="309">
        <v>7</v>
      </c>
      <c r="AH508" s="8"/>
      <c r="AI508" s="8"/>
      <c r="AJ508" s="8"/>
      <c r="AK508" s="8"/>
      <c r="AL508" s="8"/>
      <c r="AM508" s="8"/>
      <c r="AO508" s="71">
        <f>suf!I115</f>
        <v>2.4</v>
      </c>
      <c r="AP508" s="34">
        <f>suf!J115</f>
        <v>2.1</v>
      </c>
      <c r="AQ508" s="34">
        <f>suf!K115</f>
        <v>2.1</v>
      </c>
      <c r="AR508" s="34">
        <f>suf!L115</f>
        <v>2.1</v>
      </c>
      <c r="AS508" s="55">
        <f>suf!M115</f>
        <v>2</v>
      </c>
      <c r="AT508" s="71">
        <f>suf!I144</f>
        <v>2.4</v>
      </c>
      <c r="AU508" s="34">
        <f>suf!J144</f>
        <v>2.1</v>
      </c>
      <c r="AV508" s="34">
        <f>suf!K144</f>
        <v>2.1</v>
      </c>
      <c r="AW508" s="34">
        <f>suf!L144</f>
        <v>2.1</v>
      </c>
      <c r="AX508" s="55">
        <f>suf!M144</f>
        <v>2</v>
      </c>
      <c r="AY508" s="71">
        <f>suf!I171</f>
        <v>2.4</v>
      </c>
      <c r="AZ508" s="34">
        <f>suf!J171</f>
        <v>2.1</v>
      </c>
      <c r="BA508" s="34">
        <f>suf!K171</f>
        <v>2.1</v>
      </c>
      <c r="BB508" s="34">
        <f>suf!L171</f>
        <v>2.1</v>
      </c>
      <c r="BC508" s="55">
        <f>suf!M171</f>
        <v>2</v>
      </c>
      <c r="BD508" s="71">
        <f>suf!B198</f>
        <v>6.4</v>
      </c>
      <c r="BE508" s="8">
        <f>suf!C198</f>
        <v>5.4</v>
      </c>
      <c r="BF508" s="8">
        <f>suf!D198</f>
        <v>4.4000000000000004</v>
      </c>
      <c r="BG508" s="8">
        <f>suf!E198</f>
        <v>3.4</v>
      </c>
      <c r="BH508" s="55">
        <f>suf!F198</f>
        <v>2.4</v>
      </c>
      <c r="BI508" s="71">
        <f>suf!B212</f>
        <v>6.4</v>
      </c>
      <c r="BJ508" s="8">
        <f>suf!C212</f>
        <v>5.4</v>
      </c>
      <c r="BK508" s="8">
        <f>suf!D212</f>
        <v>4.4000000000000004</v>
      </c>
      <c r="BL508" s="8">
        <f>suf!E212</f>
        <v>3.4</v>
      </c>
      <c r="BM508" s="55">
        <f>suf!F212</f>
        <v>2.4</v>
      </c>
      <c r="BN508" s="71">
        <f>suf!B226</f>
        <v>6.4</v>
      </c>
      <c r="BO508" s="8">
        <f>suf!C226</f>
        <v>5.4</v>
      </c>
      <c r="BP508" s="8">
        <f>suf!D226</f>
        <v>4.4000000000000004</v>
      </c>
      <c r="BQ508" s="8">
        <f>suf!E226</f>
        <v>3.4</v>
      </c>
      <c r="BR508" s="55">
        <f>suf!F226</f>
        <v>2.4</v>
      </c>
      <c r="BU508" s="259"/>
    </row>
    <row r="509" spans="2:73" hidden="1" outlineLevel="1" x14ac:dyDescent="0.25">
      <c r="B509" s="925"/>
      <c r="C509" s="220" t="str">
        <f t="shared" si="131"/>
        <v>-</v>
      </c>
      <c r="D509" s="351">
        <f t="shared" si="132"/>
        <v>0</v>
      </c>
      <c r="E509" t="e">
        <f t="shared" si="133"/>
        <v>#N/A</v>
      </c>
      <c r="F509" s="211"/>
      <c r="G509" s="211"/>
      <c r="H509" s="211"/>
      <c r="I509" s="211"/>
      <c r="J509" s="211"/>
      <c r="K509" s="211"/>
      <c r="L509" s="211"/>
      <c r="M509" s="229" t="str">
        <f t="shared" si="130"/>
        <v>-</v>
      </c>
      <c r="N509">
        <v>5</v>
      </c>
      <c r="Q509" s="236"/>
      <c r="S509" s="259"/>
      <c r="T509" s="8"/>
      <c r="U509" s="8"/>
      <c r="V509" s="8"/>
      <c r="W509" s="8"/>
      <c r="X509" s="8"/>
      <c r="Y509" s="34">
        <v>1</v>
      </c>
      <c r="Z509" s="34" t="str">
        <f>TEXT(AA509,"0,0")&amp;" mm"</f>
        <v>24,0 mm</v>
      </c>
      <c r="AA509" s="34">
        <f t="shared" ref="AA509:AA516" si="134">AO322</f>
        <v>24</v>
      </c>
      <c r="AB509" s="231" t="e">
        <f ca="1">OFFSET(AJ508,0,$AN$506*5)</f>
        <v>#VALUE!</v>
      </c>
      <c r="AC509" s="231" t="e">
        <f t="shared" ref="AB509:AF516" ca="1" si="135">OFFSET(AK508,0,$AN$506*5)</f>
        <v>#VALUE!</v>
      </c>
      <c r="AD509" s="231" t="e">
        <f t="shared" ca="1" si="135"/>
        <v>#VALUE!</v>
      </c>
      <c r="AE509" s="231" t="e">
        <f t="shared" ca="1" si="135"/>
        <v>#VALUE!</v>
      </c>
      <c r="AF509" s="231" t="e">
        <f t="shared" ca="1" si="135"/>
        <v>#VALUE!</v>
      </c>
      <c r="AG509" s="310">
        <v>1</v>
      </c>
      <c r="AH509" s="8"/>
      <c r="AI509" s="8"/>
      <c r="AJ509" s="8"/>
      <c r="AK509" s="8"/>
      <c r="AL509" s="8"/>
      <c r="AM509" s="8"/>
      <c r="AO509" s="71">
        <f>suf!I116</f>
        <v>1.6</v>
      </c>
      <c r="AP509" s="34">
        <f>suf!J116</f>
        <v>1.6</v>
      </c>
      <c r="AQ509" s="34">
        <f>suf!K116</f>
        <v>1.6</v>
      </c>
      <c r="AR509" s="34">
        <f>suf!L116</f>
        <v>1.5</v>
      </c>
      <c r="AS509" s="55">
        <f>suf!M116</f>
        <v>1.5</v>
      </c>
      <c r="AT509" s="71">
        <f>suf!I145</f>
        <v>1.6</v>
      </c>
      <c r="AU509" s="8">
        <f>suf!J145</f>
        <v>1.6</v>
      </c>
      <c r="AV509" s="8">
        <f>suf!K145</f>
        <v>1.6</v>
      </c>
      <c r="AW509" s="8">
        <f>suf!L145</f>
        <v>1.5</v>
      </c>
      <c r="AX509" s="55">
        <f>suf!M145</f>
        <v>1.5</v>
      </c>
      <c r="AY509" s="71">
        <f>suf!I172</f>
        <v>1.6</v>
      </c>
      <c r="AZ509" s="34">
        <f>suf!J172</f>
        <v>1.6</v>
      </c>
      <c r="BA509" s="34">
        <f>suf!K172</f>
        <v>1.6</v>
      </c>
      <c r="BB509" s="34">
        <f>suf!L172</f>
        <v>1.5</v>
      </c>
      <c r="BC509" s="55">
        <f>suf!M172</f>
        <v>1.5</v>
      </c>
      <c r="BD509" s="71">
        <f>suf!B199</f>
        <v>3</v>
      </c>
      <c r="BE509" s="8">
        <f>suf!C199</f>
        <v>2</v>
      </c>
      <c r="BF509" s="8">
        <f>suf!D199</f>
        <v>1.5</v>
      </c>
      <c r="BG509" s="8">
        <f>suf!E199</f>
        <v>1.5</v>
      </c>
      <c r="BH509" s="8">
        <f>suf!F199</f>
        <v>1.5</v>
      </c>
      <c r="BI509" s="71">
        <f>suf!B213</f>
        <v>3</v>
      </c>
      <c r="BJ509" s="8">
        <f>suf!C213</f>
        <v>2</v>
      </c>
      <c r="BK509" s="8">
        <f>suf!D213</f>
        <v>1.5</v>
      </c>
      <c r="BL509" s="8">
        <f>suf!E213</f>
        <v>1.5</v>
      </c>
      <c r="BM509" s="8">
        <f>suf!F213</f>
        <v>1.5</v>
      </c>
      <c r="BN509" s="71">
        <f>suf!B227</f>
        <v>3</v>
      </c>
      <c r="BO509" s="8">
        <f>suf!C227</f>
        <v>2</v>
      </c>
      <c r="BP509" s="8">
        <f>suf!D227</f>
        <v>1.5</v>
      </c>
      <c r="BQ509" s="8">
        <f>suf!E227</f>
        <v>1.5</v>
      </c>
      <c r="BR509" s="55">
        <f>suf!F227</f>
        <v>1.5</v>
      </c>
      <c r="BU509" s="259"/>
    </row>
    <row r="510" spans="2:73" hidden="1" outlineLevel="1" x14ac:dyDescent="0.25">
      <c r="B510" s="925"/>
      <c r="C510" s="220" t="str">
        <f t="shared" si="131"/>
        <v>-</v>
      </c>
      <c r="D510" s="351">
        <f t="shared" si="132"/>
        <v>0</v>
      </c>
      <c r="E510" t="e">
        <f t="shared" si="133"/>
        <v>#N/A</v>
      </c>
      <c r="F510" s="211"/>
      <c r="G510" s="211"/>
      <c r="H510" s="211"/>
      <c r="I510" s="211"/>
      <c r="J510" s="211"/>
      <c r="K510" s="211"/>
      <c r="L510" s="211"/>
      <c r="M510" s="229" t="str">
        <f t="shared" si="130"/>
        <v>-</v>
      </c>
      <c r="N510">
        <v>5.5</v>
      </c>
      <c r="Q510" s="236"/>
      <c r="S510" s="259"/>
      <c r="T510" s="8"/>
      <c r="U510" s="8"/>
      <c r="V510" s="8"/>
      <c r="W510" s="8"/>
      <c r="X510" s="8"/>
      <c r="Y510" s="34">
        <v>2</v>
      </c>
      <c r="Z510" s="34" t="str">
        <f t="shared" ref="Z510:Z516" si="136">TEXT(AA510,"0,0")&amp;" mm"</f>
        <v>22,0 mm</v>
      </c>
      <c r="AA510" s="34">
        <f t="shared" si="134"/>
        <v>22</v>
      </c>
      <c r="AB510" s="231" t="e">
        <f t="shared" ca="1" si="135"/>
        <v>#VALUE!</v>
      </c>
      <c r="AC510" s="231" t="e">
        <f t="shared" ca="1" si="135"/>
        <v>#VALUE!</v>
      </c>
      <c r="AD510" s="231" t="e">
        <f t="shared" ca="1" si="135"/>
        <v>#VALUE!</v>
      </c>
      <c r="AE510" s="231" t="e">
        <f t="shared" ca="1" si="135"/>
        <v>#VALUE!</v>
      </c>
      <c r="AF510" s="231" t="e">
        <f t="shared" ca="1" si="135"/>
        <v>#VALUE!</v>
      </c>
      <c r="AG510" s="311">
        <v>2</v>
      </c>
      <c r="AH510" s="8"/>
      <c r="AI510" s="8"/>
      <c r="AJ510" s="8"/>
      <c r="AK510" s="8"/>
      <c r="AL510" s="8"/>
      <c r="AM510" s="8"/>
      <c r="AO510" s="71">
        <f>suf!I117</f>
        <v>1.4</v>
      </c>
      <c r="AP510" s="34">
        <f>suf!J117</f>
        <v>1.3</v>
      </c>
      <c r="AQ510" s="34">
        <f>suf!K117</f>
        <v>1.3</v>
      </c>
      <c r="AR510" s="34">
        <f>suf!L117</f>
        <v>1.3</v>
      </c>
      <c r="AS510" s="55">
        <f>suf!M117</f>
        <v>1.3</v>
      </c>
      <c r="AT510" s="71">
        <f>suf!I146</f>
        <v>1.4</v>
      </c>
      <c r="AU510" s="8">
        <f>suf!J146</f>
        <v>1.3</v>
      </c>
      <c r="AV510" s="8">
        <f>suf!K146</f>
        <v>1.3</v>
      </c>
      <c r="AW510" s="8">
        <f>suf!L146</f>
        <v>1.3</v>
      </c>
      <c r="AX510" s="55">
        <f>suf!M146</f>
        <v>1.3</v>
      </c>
      <c r="AY510" s="71">
        <f>suf!I173</f>
        <v>1.4</v>
      </c>
      <c r="AZ510" s="34">
        <f>suf!J173</f>
        <v>1.3</v>
      </c>
      <c r="BA510" s="34">
        <f>suf!K173</f>
        <v>1.3</v>
      </c>
      <c r="BB510" s="34">
        <f>suf!L173</f>
        <v>1.3</v>
      </c>
      <c r="BC510" s="55">
        <f>suf!M173</f>
        <v>1.3</v>
      </c>
      <c r="BD510" s="71">
        <f>suf!B200</f>
        <v>1.4</v>
      </c>
      <c r="BE510" s="8">
        <f>suf!C200</f>
        <v>1.3</v>
      </c>
      <c r="BF510" s="8">
        <f>suf!D200</f>
        <v>1.3</v>
      </c>
      <c r="BG510" s="8">
        <f>suf!E200</f>
        <v>1.3</v>
      </c>
      <c r="BH510" s="8">
        <f>suf!F200</f>
        <v>1.3</v>
      </c>
      <c r="BI510" s="71">
        <f>suf!B214</f>
        <v>1.4</v>
      </c>
      <c r="BJ510" s="8">
        <f>suf!C214</f>
        <v>1.3</v>
      </c>
      <c r="BK510" s="8">
        <f>suf!D214</f>
        <v>1.3</v>
      </c>
      <c r="BL510" s="8">
        <f>suf!E214</f>
        <v>1.3</v>
      </c>
      <c r="BM510" s="8">
        <f>suf!F214</f>
        <v>1.3</v>
      </c>
      <c r="BN510" s="71">
        <f>suf!B228</f>
        <v>1.4</v>
      </c>
      <c r="BO510" s="8">
        <f>suf!C228</f>
        <v>1.3</v>
      </c>
      <c r="BP510" s="8">
        <f>suf!D228</f>
        <v>1.3</v>
      </c>
      <c r="BQ510" s="8">
        <f>suf!E228</f>
        <v>1.3</v>
      </c>
      <c r="BR510" s="55">
        <f>suf!F228</f>
        <v>1.3</v>
      </c>
      <c r="BU510" s="259"/>
    </row>
    <row r="511" spans="2:73" hidden="1" outlineLevel="1" x14ac:dyDescent="0.25">
      <c r="B511" s="925"/>
      <c r="C511" s="220" t="str">
        <f t="shared" si="131"/>
        <v>-</v>
      </c>
      <c r="D511" s="351">
        <f t="shared" si="132"/>
        <v>0</v>
      </c>
      <c r="E511" t="e">
        <f t="shared" si="133"/>
        <v>#N/A</v>
      </c>
      <c r="F511" s="211"/>
      <c r="G511" s="211"/>
      <c r="H511" s="211"/>
      <c r="I511" s="211"/>
      <c r="J511" s="211"/>
      <c r="K511" s="211"/>
      <c r="L511" s="211"/>
      <c r="M511" s="229" t="str">
        <f t="shared" si="130"/>
        <v>-</v>
      </c>
      <c r="N511">
        <v>6</v>
      </c>
      <c r="Q511" s="236"/>
      <c r="S511" s="259"/>
      <c r="T511" s="8"/>
      <c r="U511" s="8"/>
      <c r="V511" s="8"/>
      <c r="W511" s="8"/>
      <c r="X511" s="8"/>
      <c r="Y511" s="34">
        <v>3</v>
      </c>
      <c r="Z511" s="34" t="str">
        <f t="shared" si="136"/>
        <v>21,0 mm</v>
      </c>
      <c r="AA511" s="34">
        <f t="shared" si="134"/>
        <v>21</v>
      </c>
      <c r="AB511" s="231" t="e">
        <f t="shared" ca="1" si="135"/>
        <v>#VALUE!</v>
      </c>
      <c r="AC511" s="231" t="e">
        <f t="shared" ca="1" si="135"/>
        <v>#VALUE!</v>
      </c>
      <c r="AD511" s="231" t="e">
        <f t="shared" ca="1" si="135"/>
        <v>#VALUE!</v>
      </c>
      <c r="AE511" s="231" t="e">
        <f t="shared" ca="1" si="135"/>
        <v>#VALUE!</v>
      </c>
      <c r="AF511" s="231" t="e">
        <f t="shared" ca="1" si="135"/>
        <v>#VALUE!</v>
      </c>
      <c r="AG511" s="311">
        <v>3</v>
      </c>
      <c r="AH511" s="8"/>
      <c r="AI511" s="8"/>
      <c r="AJ511" s="8"/>
      <c r="AK511" s="8"/>
      <c r="AL511" s="8"/>
      <c r="AM511" s="8"/>
      <c r="AO511" s="71">
        <f>suf!I118</f>
        <v>1.1000000000000001</v>
      </c>
      <c r="AP511" s="34">
        <f>suf!J118</f>
        <v>1.1000000000000001</v>
      </c>
      <c r="AQ511" s="34">
        <f>suf!K118</f>
        <v>1.1000000000000001</v>
      </c>
      <c r="AR511" s="34">
        <f>suf!L118</f>
        <v>1.1000000000000001</v>
      </c>
      <c r="AS511" s="55">
        <f>suf!M118</f>
        <v>1.1000000000000001</v>
      </c>
      <c r="AT511" s="71">
        <f>suf!I147</f>
        <v>1.1000000000000001</v>
      </c>
      <c r="AU511" s="8">
        <f>suf!J147</f>
        <v>1.1000000000000001</v>
      </c>
      <c r="AV511" s="8">
        <f>suf!K147</f>
        <v>1.1000000000000001</v>
      </c>
      <c r="AW511" s="8">
        <f>suf!L147</f>
        <v>1.1000000000000001</v>
      </c>
      <c r="AX511" s="55">
        <f>suf!M147</f>
        <v>1.1000000000000001</v>
      </c>
      <c r="AY511" s="71">
        <f>suf!I174</f>
        <v>1.1000000000000001</v>
      </c>
      <c r="AZ511" s="34">
        <f>suf!J174</f>
        <v>1.1000000000000001</v>
      </c>
      <c r="BA511" s="34">
        <f>suf!K174</f>
        <v>1.1000000000000001</v>
      </c>
      <c r="BB511" s="34">
        <f>suf!L174</f>
        <v>1.1000000000000001</v>
      </c>
      <c r="BC511" s="55">
        <f>suf!M174</f>
        <v>1.1000000000000001</v>
      </c>
      <c r="BD511" s="71">
        <f>suf!B201</f>
        <v>1.1000000000000001</v>
      </c>
      <c r="BE511" s="34">
        <f>suf!C201</f>
        <v>1.1000000000000001</v>
      </c>
      <c r="BF511" s="34">
        <f>suf!D201</f>
        <v>1.1000000000000001</v>
      </c>
      <c r="BG511" s="34">
        <f>suf!E201</f>
        <v>1.1000000000000001</v>
      </c>
      <c r="BH511" s="55">
        <f>suf!F201</f>
        <v>1.1000000000000001</v>
      </c>
      <c r="BI511" s="71">
        <f>suf!B215</f>
        <v>1.1000000000000001</v>
      </c>
      <c r="BJ511" s="34">
        <f>suf!C215</f>
        <v>1.1000000000000001</v>
      </c>
      <c r="BK511" s="34">
        <f>suf!D215</f>
        <v>1.1000000000000001</v>
      </c>
      <c r="BL511" s="34">
        <f>suf!E215</f>
        <v>1.1000000000000001</v>
      </c>
      <c r="BM511" s="55">
        <f>suf!F215</f>
        <v>1.1000000000000001</v>
      </c>
      <c r="BN511" s="71">
        <f>suf!B229</f>
        <v>1.1000000000000001</v>
      </c>
      <c r="BO511" s="8">
        <f>suf!C229</f>
        <v>1.1000000000000001</v>
      </c>
      <c r="BP511" s="8">
        <f>suf!D229</f>
        <v>1.1000000000000001</v>
      </c>
      <c r="BQ511" s="8">
        <f>suf!E229</f>
        <v>1.1000000000000001</v>
      </c>
      <c r="BR511" s="55">
        <f>suf!F229</f>
        <v>1.1000000000000001</v>
      </c>
      <c r="BU511" s="259"/>
    </row>
    <row r="512" spans="2:73" hidden="1" outlineLevel="1" x14ac:dyDescent="0.25">
      <c r="B512" s="925"/>
      <c r="C512" s="220" t="str">
        <f t="shared" si="131"/>
        <v>-</v>
      </c>
      <c r="D512" s="351">
        <f t="shared" si="132"/>
        <v>0</v>
      </c>
      <c r="E512" t="e">
        <f t="shared" si="133"/>
        <v>#N/A</v>
      </c>
      <c r="F512" s="211"/>
      <c r="G512" s="211"/>
      <c r="H512" s="211"/>
      <c r="I512" s="211"/>
      <c r="J512" s="211"/>
      <c r="K512" s="211"/>
      <c r="L512" s="211"/>
      <c r="M512" s="229" t="str">
        <f t="shared" si="130"/>
        <v>-</v>
      </c>
      <c r="N512">
        <v>6.5</v>
      </c>
      <c r="Q512" s="236"/>
      <c r="S512" s="259"/>
      <c r="T512" s="8"/>
      <c r="U512" s="8"/>
      <c r="V512" s="8"/>
      <c r="W512" s="8"/>
      <c r="X512" s="8"/>
      <c r="Y512" s="34">
        <v>4</v>
      </c>
      <c r="Z512" s="34" t="str">
        <f t="shared" si="136"/>
        <v>20,0 mm</v>
      </c>
      <c r="AA512" s="34">
        <f t="shared" si="134"/>
        <v>20</v>
      </c>
      <c r="AB512" s="231" t="e">
        <f t="shared" ca="1" si="135"/>
        <v>#VALUE!</v>
      </c>
      <c r="AC512" s="231" t="e">
        <f t="shared" ca="1" si="135"/>
        <v>#VALUE!</v>
      </c>
      <c r="AD512" s="231" t="e">
        <f t="shared" ca="1" si="135"/>
        <v>#VALUE!</v>
      </c>
      <c r="AE512" s="231" t="e">
        <f t="shared" ca="1" si="135"/>
        <v>#VALUE!</v>
      </c>
      <c r="AF512" s="231" t="e">
        <f t="shared" ca="1" si="135"/>
        <v>#VALUE!</v>
      </c>
      <c r="AG512" s="311">
        <v>4</v>
      </c>
      <c r="AH512" s="8"/>
      <c r="AI512" s="8"/>
      <c r="AJ512" s="8"/>
      <c r="AK512" s="8"/>
      <c r="AL512" s="8"/>
      <c r="AM512" s="8"/>
      <c r="AO512" s="71">
        <f>suf!I119</f>
        <v>0.9</v>
      </c>
      <c r="AP512" s="34">
        <f>suf!J119</f>
        <v>0.9</v>
      </c>
      <c r="AQ512" s="34">
        <f>suf!K119</f>
        <v>0.9</v>
      </c>
      <c r="AR512" s="34">
        <f>suf!L119</f>
        <v>0.9</v>
      </c>
      <c r="AS512" s="55">
        <f>suf!M119</f>
        <v>0.9</v>
      </c>
      <c r="AT512" s="71">
        <f>suf!I148</f>
        <v>0.9</v>
      </c>
      <c r="AU512" s="8">
        <f>suf!J148</f>
        <v>0.9</v>
      </c>
      <c r="AV512" s="8">
        <f>suf!K148</f>
        <v>0.9</v>
      </c>
      <c r="AW512" s="8">
        <f>suf!L148</f>
        <v>0.9</v>
      </c>
      <c r="AX512" s="55">
        <f>suf!M148</f>
        <v>0.9</v>
      </c>
      <c r="AY512" s="71">
        <f>suf!I175</f>
        <v>0.9</v>
      </c>
      <c r="AZ512" s="34">
        <f>suf!J175</f>
        <v>0.9</v>
      </c>
      <c r="BA512" s="34">
        <f>suf!K175</f>
        <v>0.9</v>
      </c>
      <c r="BB512" s="34">
        <f>suf!L175</f>
        <v>0.9</v>
      </c>
      <c r="BC512" s="55">
        <f>suf!M175</f>
        <v>0.9</v>
      </c>
      <c r="BD512" s="71">
        <f>suf!B202</f>
        <v>0.9</v>
      </c>
      <c r="BE512" s="34">
        <f>suf!C202</f>
        <v>0.9</v>
      </c>
      <c r="BF512" s="34">
        <f>suf!D202</f>
        <v>0.9</v>
      </c>
      <c r="BG512" s="34">
        <f>suf!E202</f>
        <v>0.9</v>
      </c>
      <c r="BH512" s="55">
        <f>suf!F202</f>
        <v>0.9</v>
      </c>
      <c r="BI512" s="71">
        <f>suf!B216</f>
        <v>0.9</v>
      </c>
      <c r="BJ512" s="34">
        <f>suf!C216</f>
        <v>0.9</v>
      </c>
      <c r="BK512" s="34">
        <f>suf!D216</f>
        <v>0.9</v>
      </c>
      <c r="BL512" s="34">
        <f>suf!E216</f>
        <v>0.9</v>
      </c>
      <c r="BM512" s="55">
        <f>suf!F216</f>
        <v>0.9</v>
      </c>
      <c r="BN512" s="71">
        <f>suf!B230</f>
        <v>0.9</v>
      </c>
      <c r="BO512" s="8">
        <f>suf!C230</f>
        <v>0.9</v>
      </c>
      <c r="BP512" s="8">
        <f>suf!D230</f>
        <v>0.9</v>
      </c>
      <c r="BQ512" s="8">
        <f>suf!E230</f>
        <v>0.9</v>
      </c>
      <c r="BR512" s="55">
        <f>suf!F230</f>
        <v>0.9</v>
      </c>
      <c r="BU512" s="259"/>
    </row>
    <row r="513" spans="2:73" hidden="1" outlineLevel="1" x14ac:dyDescent="0.25">
      <c r="B513" s="925"/>
      <c r="C513" s="220" t="str">
        <f t="shared" si="131"/>
        <v>-</v>
      </c>
      <c r="D513" s="351">
        <f t="shared" si="132"/>
        <v>0</v>
      </c>
      <c r="E513" t="e">
        <f t="shared" si="133"/>
        <v>#N/A</v>
      </c>
      <c r="F513" s="211"/>
      <c r="G513" s="211"/>
      <c r="H513" s="211"/>
      <c r="I513" s="211"/>
      <c r="J513" s="211"/>
      <c r="K513" s="211"/>
      <c r="L513" s="211"/>
      <c r="M513" s="229" t="str">
        <f t="shared" si="130"/>
        <v>-</v>
      </c>
      <c r="N513">
        <v>7</v>
      </c>
      <c r="Q513" s="236"/>
      <c r="S513" s="259"/>
      <c r="T513" s="8"/>
      <c r="U513" s="8"/>
      <c r="V513" s="8"/>
      <c r="W513" s="8"/>
      <c r="X513" s="8"/>
      <c r="Y513" s="34">
        <v>5</v>
      </c>
      <c r="Z513" s="34" t="str">
        <f t="shared" si="136"/>
        <v>19,0 mm</v>
      </c>
      <c r="AA513" s="34">
        <f t="shared" si="134"/>
        <v>19</v>
      </c>
      <c r="AB513" s="231" t="e">
        <f t="shared" ca="1" si="135"/>
        <v>#VALUE!</v>
      </c>
      <c r="AC513" s="231" t="e">
        <f t="shared" ca="1" si="135"/>
        <v>#VALUE!</v>
      </c>
      <c r="AD513" s="231" t="e">
        <f t="shared" ca="1" si="135"/>
        <v>#VALUE!</v>
      </c>
      <c r="AE513" s="231" t="e">
        <f t="shared" ca="1" si="135"/>
        <v>#VALUE!</v>
      </c>
      <c r="AF513" s="231" t="e">
        <f t="shared" ca="1" si="135"/>
        <v>#VALUE!</v>
      </c>
      <c r="AG513" s="311">
        <v>5</v>
      </c>
      <c r="AH513" s="8"/>
      <c r="AI513" s="8"/>
      <c r="AJ513" s="8"/>
      <c r="AK513" s="8"/>
      <c r="AL513" s="8"/>
      <c r="AM513" s="8"/>
      <c r="AO513" s="71">
        <f>suf!I120</f>
        <v>0.7</v>
      </c>
      <c r="AP513" s="34">
        <f>suf!J120</f>
        <v>0.7</v>
      </c>
      <c r="AQ513" s="34">
        <f>suf!K120</f>
        <v>0.7</v>
      </c>
      <c r="AR513" s="34">
        <f>suf!L120</f>
        <v>0.7</v>
      </c>
      <c r="AS513" s="55">
        <f>suf!M120</f>
        <v>0.7</v>
      </c>
      <c r="AT513" s="71">
        <f>suf!I149</f>
        <v>0.7</v>
      </c>
      <c r="AU513" s="8">
        <f>suf!J149</f>
        <v>0.7</v>
      </c>
      <c r="AV513" s="8">
        <f>suf!K149</f>
        <v>0.7</v>
      </c>
      <c r="AW513" s="8">
        <f>suf!L149</f>
        <v>0.7</v>
      </c>
      <c r="AX513" s="55">
        <f>suf!M149</f>
        <v>0.7</v>
      </c>
      <c r="AY513" s="71">
        <f>suf!I176</f>
        <v>0.7</v>
      </c>
      <c r="AZ513" s="34">
        <f>suf!J176</f>
        <v>0.7</v>
      </c>
      <c r="BA513" s="34">
        <f>suf!K176</f>
        <v>0.7</v>
      </c>
      <c r="BB513" s="34">
        <f>suf!L176</f>
        <v>0.7</v>
      </c>
      <c r="BC513" s="55">
        <f>suf!M176</f>
        <v>0.7</v>
      </c>
      <c r="BD513" s="71">
        <f>suf!B203</f>
        <v>0.7</v>
      </c>
      <c r="BE513" s="8">
        <f>suf!C203</f>
        <v>0.7</v>
      </c>
      <c r="BF513" s="8">
        <f>suf!D203</f>
        <v>0.7</v>
      </c>
      <c r="BG513" s="8">
        <f>suf!E203</f>
        <v>0.7</v>
      </c>
      <c r="BH513" s="55">
        <f>suf!F203</f>
        <v>0.7</v>
      </c>
      <c r="BI513" s="71">
        <f>suf!B217</f>
        <v>0.7</v>
      </c>
      <c r="BJ513" s="8">
        <f>suf!C217</f>
        <v>0.7</v>
      </c>
      <c r="BK513" s="8">
        <f>suf!D217</f>
        <v>0.7</v>
      </c>
      <c r="BL513" s="8">
        <f>suf!E217</f>
        <v>0.7</v>
      </c>
      <c r="BM513" s="55">
        <f>suf!F217</f>
        <v>0.7</v>
      </c>
      <c r="BN513" s="71">
        <f>suf!B231</f>
        <v>0.7</v>
      </c>
      <c r="BO513" s="8">
        <f>suf!C231</f>
        <v>0.7</v>
      </c>
      <c r="BP513" s="8">
        <f>suf!D231</f>
        <v>0.7</v>
      </c>
      <c r="BQ513" s="8">
        <f>suf!E231</f>
        <v>0.7</v>
      </c>
      <c r="BR513" s="55">
        <f>suf!F231</f>
        <v>0.7</v>
      </c>
      <c r="BU513" s="259"/>
    </row>
    <row r="514" spans="2:73" hidden="1" outlineLevel="1" x14ac:dyDescent="0.25">
      <c r="B514" s="925"/>
      <c r="C514" s="220" t="str">
        <f t="shared" si="131"/>
        <v>-</v>
      </c>
      <c r="D514" s="351">
        <f t="shared" si="132"/>
        <v>0</v>
      </c>
      <c r="E514" t="e">
        <f t="shared" si="133"/>
        <v>#N/A</v>
      </c>
      <c r="F514" s="211"/>
      <c r="G514" s="211"/>
      <c r="H514" s="211"/>
      <c r="I514" s="211"/>
      <c r="J514" s="211"/>
      <c r="K514" s="211"/>
      <c r="L514" s="211"/>
      <c r="M514" s="229" t="str">
        <f t="shared" si="130"/>
        <v>-</v>
      </c>
      <c r="N514">
        <v>7.5</v>
      </c>
      <c r="Q514" s="236"/>
      <c r="S514" s="259"/>
      <c r="T514" s="8"/>
      <c r="U514" s="8"/>
      <c r="V514" s="8"/>
      <c r="W514" s="8"/>
      <c r="X514" s="8"/>
      <c r="Y514" s="34">
        <v>6</v>
      </c>
      <c r="Z514" s="34" t="str">
        <f t="shared" si="136"/>
        <v>18,0 mm</v>
      </c>
      <c r="AA514" s="34">
        <f t="shared" si="134"/>
        <v>18</v>
      </c>
      <c r="AB514" s="231" t="e">
        <f t="shared" ca="1" si="135"/>
        <v>#VALUE!</v>
      </c>
      <c r="AC514" s="231" t="e">
        <f t="shared" ca="1" si="135"/>
        <v>#VALUE!</v>
      </c>
      <c r="AD514" s="231" t="e">
        <f t="shared" ca="1" si="135"/>
        <v>#VALUE!</v>
      </c>
      <c r="AE514" s="231" t="e">
        <f t="shared" ca="1" si="135"/>
        <v>#VALUE!</v>
      </c>
      <c r="AF514" s="231" t="e">
        <f t="shared" ca="1" si="135"/>
        <v>#VALUE!</v>
      </c>
      <c r="AG514" s="311">
        <v>6</v>
      </c>
      <c r="AH514" s="8"/>
      <c r="AI514" s="8"/>
      <c r="AJ514" s="8"/>
      <c r="AK514" s="8"/>
      <c r="AL514" s="8"/>
      <c r="AM514" s="8"/>
      <c r="AO514" s="71">
        <f>suf!I121</f>
        <v>0.6</v>
      </c>
      <c r="AP514" s="34">
        <f>suf!J121</f>
        <v>0.6</v>
      </c>
      <c r="AQ514" s="34">
        <f>suf!K121</f>
        <v>0.6</v>
      </c>
      <c r="AR514" s="34">
        <f>suf!L121</f>
        <v>0.6</v>
      </c>
      <c r="AS514" s="55">
        <f>suf!M121</f>
        <v>0.6</v>
      </c>
      <c r="AT514" s="71">
        <f>suf!I150</f>
        <v>0.6</v>
      </c>
      <c r="AU514" s="8">
        <f>suf!J150</f>
        <v>0.6</v>
      </c>
      <c r="AV514" s="8">
        <f>suf!K150</f>
        <v>0.6</v>
      </c>
      <c r="AW514" s="8">
        <f>suf!L150</f>
        <v>0.6</v>
      </c>
      <c r="AX514" s="55">
        <f>suf!M150</f>
        <v>0.6</v>
      </c>
      <c r="AY514" s="71">
        <f>suf!I177</f>
        <v>0.6</v>
      </c>
      <c r="AZ514" s="34">
        <f>suf!J177</f>
        <v>0.6</v>
      </c>
      <c r="BA514" s="34">
        <f>suf!K177</f>
        <v>0.6</v>
      </c>
      <c r="BB514" s="34">
        <f>suf!L177</f>
        <v>0.6</v>
      </c>
      <c r="BC514" s="55">
        <f>suf!M177</f>
        <v>0.6</v>
      </c>
      <c r="BD514" s="71">
        <f>suf!B204</f>
        <v>1</v>
      </c>
      <c r="BE514" s="8">
        <f>suf!C204</f>
        <v>1</v>
      </c>
      <c r="BF514" s="8">
        <f>suf!D204</f>
        <v>1</v>
      </c>
      <c r="BG514" s="8">
        <f>suf!E204</f>
        <v>1</v>
      </c>
      <c r="BH514" s="55">
        <f>suf!F204</f>
        <v>1.5</v>
      </c>
      <c r="BI514" s="71">
        <f>suf!B218</f>
        <v>1</v>
      </c>
      <c r="BJ514" s="8">
        <f>suf!C218</f>
        <v>1</v>
      </c>
      <c r="BK514" s="8">
        <f>suf!D218</f>
        <v>1</v>
      </c>
      <c r="BL514" s="8">
        <f>suf!E218</f>
        <v>1</v>
      </c>
      <c r="BM514" s="55">
        <f>suf!F218</f>
        <v>1.5</v>
      </c>
      <c r="BN514" s="71">
        <f>suf!B232</f>
        <v>1</v>
      </c>
      <c r="BO514" s="8">
        <f>suf!C232</f>
        <v>1</v>
      </c>
      <c r="BP514" s="8">
        <f>suf!D232</f>
        <v>1</v>
      </c>
      <c r="BQ514" s="8">
        <f>suf!E232</f>
        <v>1</v>
      </c>
      <c r="BR514" s="55">
        <f>suf!F232</f>
        <v>1.5</v>
      </c>
      <c r="BU514" s="259"/>
    </row>
    <row r="515" spans="2:73" hidden="1" outlineLevel="1" x14ac:dyDescent="0.25">
      <c r="B515" s="925"/>
      <c r="C515" s="220" t="str">
        <f t="shared" si="131"/>
        <v>-</v>
      </c>
      <c r="D515" s="351">
        <f t="shared" si="132"/>
        <v>0</v>
      </c>
      <c r="E515" t="e">
        <f t="shared" si="133"/>
        <v>#N/A</v>
      </c>
      <c r="F515" s="211"/>
      <c r="G515" s="211"/>
      <c r="H515" s="211"/>
      <c r="I515" s="211"/>
      <c r="J515" s="211"/>
      <c r="K515" s="211"/>
      <c r="L515" s="211"/>
      <c r="M515" s="229" t="str">
        <f t="shared" si="130"/>
        <v>-</v>
      </c>
      <c r="N515">
        <v>8</v>
      </c>
      <c r="Q515" s="236"/>
      <c r="S515" s="259"/>
      <c r="T515" s="8"/>
      <c r="U515" s="8"/>
      <c r="V515" s="8"/>
      <c r="W515" s="8"/>
      <c r="X515" s="8"/>
      <c r="Y515" s="34">
        <v>7</v>
      </c>
      <c r="Z515" s="34" t="str">
        <f t="shared" si="136"/>
        <v>17,0 mm</v>
      </c>
      <c r="AA515" s="34">
        <f t="shared" si="134"/>
        <v>17</v>
      </c>
      <c r="AB515" s="231" t="e">
        <f t="shared" ca="1" si="135"/>
        <v>#VALUE!</v>
      </c>
      <c r="AC515" s="231" t="e">
        <f t="shared" ca="1" si="135"/>
        <v>#VALUE!</v>
      </c>
      <c r="AD515" s="231" t="e">
        <f t="shared" ca="1" si="135"/>
        <v>#VALUE!</v>
      </c>
      <c r="AE515" s="231" t="e">
        <f t="shared" ca="1" si="135"/>
        <v>#VALUE!</v>
      </c>
      <c r="AF515" s="231" t="e">
        <f t="shared" ca="1" si="135"/>
        <v>#VALUE!</v>
      </c>
      <c r="AG515" s="311">
        <v>7</v>
      </c>
      <c r="AH515" s="8"/>
      <c r="AI515" s="8"/>
      <c r="AJ515" s="8"/>
      <c r="AK515" s="8"/>
      <c r="AL515" s="8"/>
      <c r="AM515" s="8"/>
      <c r="AO515" s="92">
        <f>suf!I122</f>
        <v>0.6</v>
      </c>
      <c r="AP515" s="6">
        <f>suf!J122</f>
        <v>0.6</v>
      </c>
      <c r="AQ515" s="6">
        <f>suf!K122</f>
        <v>0.6</v>
      </c>
      <c r="AR515" s="6">
        <f>suf!L122</f>
        <v>0.6</v>
      </c>
      <c r="AS515" s="56">
        <f>suf!M122</f>
        <v>0.6</v>
      </c>
      <c r="AT515" s="92">
        <f>suf!I151</f>
        <v>0.6</v>
      </c>
      <c r="AU515" s="6">
        <f>suf!J151</f>
        <v>0.6</v>
      </c>
      <c r="AV515" s="6">
        <f>suf!K151</f>
        <v>0.6</v>
      </c>
      <c r="AW515" s="6">
        <f>suf!L151</f>
        <v>0.6</v>
      </c>
      <c r="AX515" s="56">
        <f>suf!M151</f>
        <v>0.6</v>
      </c>
      <c r="AY515" s="92">
        <f>suf!I178</f>
        <v>0.6</v>
      </c>
      <c r="AZ515" s="6">
        <f>suf!J178</f>
        <v>0.6</v>
      </c>
      <c r="BA515" s="6">
        <f>suf!K178</f>
        <v>0.6</v>
      </c>
      <c r="BB515" s="6">
        <f>suf!L178</f>
        <v>0.6</v>
      </c>
      <c r="BC515" s="56">
        <f>suf!M178</f>
        <v>0.6</v>
      </c>
      <c r="BD515" s="92">
        <f>suf!B205</f>
        <v>1</v>
      </c>
      <c r="BE515" s="6">
        <f>suf!C205</f>
        <v>1</v>
      </c>
      <c r="BF515" s="6">
        <f>suf!D205</f>
        <v>1</v>
      </c>
      <c r="BG515" s="6">
        <f>suf!E205</f>
        <v>1</v>
      </c>
      <c r="BH515" s="56">
        <f>suf!F205</f>
        <v>1</v>
      </c>
      <c r="BI515" s="92">
        <f>suf!B219</f>
        <v>1</v>
      </c>
      <c r="BJ515" s="6">
        <f>suf!C219</f>
        <v>1</v>
      </c>
      <c r="BK515" s="6">
        <f>suf!D219</f>
        <v>1</v>
      </c>
      <c r="BL515" s="6">
        <f>suf!E219</f>
        <v>1</v>
      </c>
      <c r="BM515" s="56">
        <f>suf!F219</f>
        <v>1</v>
      </c>
      <c r="BN515" s="92">
        <f>suf!B233</f>
        <v>1</v>
      </c>
      <c r="BO515" s="6">
        <f>suf!C233</f>
        <v>1</v>
      </c>
      <c r="BP515" s="6">
        <f>suf!D233</f>
        <v>1</v>
      </c>
      <c r="BQ515" s="6">
        <f>suf!E233</f>
        <v>1</v>
      </c>
      <c r="BR515" s="56">
        <f>suf!F233</f>
        <v>1</v>
      </c>
      <c r="BU515" s="259"/>
    </row>
    <row r="516" spans="2:73" hidden="1" outlineLevel="1" x14ac:dyDescent="0.25">
      <c r="B516" s="925"/>
      <c r="C516" s="220" t="str">
        <f t="shared" si="131"/>
        <v>-</v>
      </c>
      <c r="D516" s="351">
        <f t="shared" si="132"/>
        <v>0</v>
      </c>
      <c r="E516" t="e">
        <f t="shared" si="133"/>
        <v>#N/A</v>
      </c>
      <c r="F516" s="211"/>
      <c r="G516" s="211"/>
      <c r="H516" s="211"/>
      <c r="I516" s="211"/>
      <c r="J516" s="211"/>
      <c r="K516" s="211"/>
      <c r="L516" s="211"/>
      <c r="M516" s="229" t="str">
        <f t="shared" si="130"/>
        <v>-</v>
      </c>
      <c r="N516">
        <v>8.5</v>
      </c>
      <c r="Q516" s="236"/>
      <c r="S516" s="259"/>
      <c r="T516" s="8"/>
      <c r="U516" s="8"/>
      <c r="V516" s="8"/>
      <c r="W516" s="8"/>
      <c r="X516" s="8"/>
      <c r="Y516" s="6">
        <v>8</v>
      </c>
      <c r="Z516" s="6" t="str">
        <f t="shared" si="136"/>
        <v>16,0 mm</v>
      </c>
      <c r="AA516" s="34">
        <f t="shared" si="134"/>
        <v>16</v>
      </c>
      <c r="AB516" s="231" t="e">
        <f t="shared" ca="1" si="135"/>
        <v>#VALUE!</v>
      </c>
      <c r="AC516" s="231" t="e">
        <f t="shared" ca="1" si="135"/>
        <v>#VALUE!</v>
      </c>
      <c r="AD516" s="231" t="e">
        <f t="shared" ca="1" si="135"/>
        <v>#VALUE!</v>
      </c>
      <c r="AE516" s="231" t="e">
        <f t="shared" ca="1" si="135"/>
        <v>#VALUE!</v>
      </c>
      <c r="AF516" s="231" t="e">
        <f t="shared" ca="1" si="135"/>
        <v>#VALUE!</v>
      </c>
      <c r="AG516" s="312">
        <v>8</v>
      </c>
      <c r="AH516" s="8"/>
      <c r="AI516" s="8"/>
      <c r="AJ516" s="8"/>
      <c r="AK516" s="8"/>
      <c r="AL516" s="8"/>
      <c r="AM516" s="8"/>
      <c r="BU516" s="259"/>
    </row>
    <row r="517" spans="2:73" hidden="1" outlineLevel="1" x14ac:dyDescent="0.25">
      <c r="B517" s="925"/>
      <c r="C517" s="220" t="str">
        <f t="shared" si="131"/>
        <v>-</v>
      </c>
      <c r="D517" s="351">
        <f t="shared" si="132"/>
        <v>0</v>
      </c>
      <c r="E517" t="e">
        <f t="shared" si="133"/>
        <v>#N/A</v>
      </c>
      <c r="F517" s="211"/>
      <c r="G517" s="211"/>
      <c r="H517" s="211"/>
      <c r="I517" s="211"/>
      <c r="J517" s="211"/>
      <c r="K517" s="211"/>
      <c r="L517" s="211"/>
      <c r="M517" s="229" t="str">
        <f t="shared" si="130"/>
        <v>-</v>
      </c>
      <c r="N517">
        <v>9</v>
      </c>
      <c r="Q517" s="236"/>
      <c r="S517" s="259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BU517" s="259"/>
    </row>
    <row r="518" spans="2:73" hidden="1" outlineLevel="1" x14ac:dyDescent="0.25">
      <c r="B518" s="925"/>
      <c r="C518" s="220" t="str">
        <f t="shared" si="131"/>
        <v>-</v>
      </c>
      <c r="D518" s="351">
        <f t="shared" si="132"/>
        <v>0</v>
      </c>
      <c r="E518" t="e">
        <f t="shared" si="133"/>
        <v>#N/A</v>
      </c>
      <c r="F518" s="211"/>
      <c r="G518" s="211"/>
      <c r="H518" s="211"/>
      <c r="I518" s="211"/>
      <c r="J518" s="211"/>
      <c r="K518" s="211"/>
      <c r="L518" s="211"/>
      <c r="M518" s="229" t="str">
        <f t="shared" si="130"/>
        <v>-</v>
      </c>
      <c r="N518">
        <v>9.5</v>
      </c>
      <c r="Q518" s="236"/>
      <c r="S518" s="259"/>
      <c r="T518" s="8"/>
      <c r="U518" s="8"/>
      <c r="V518" s="8"/>
      <c r="W518" s="8"/>
      <c r="X518" s="8"/>
      <c r="AH518" s="8"/>
      <c r="AI518" s="8"/>
      <c r="AJ518" s="8"/>
      <c r="AK518" s="8"/>
      <c r="AL518" s="8"/>
      <c r="AM518" s="8"/>
      <c r="BU518" s="259"/>
    </row>
    <row r="519" spans="2:73" hidden="1" outlineLevel="1" x14ac:dyDescent="0.25">
      <c r="B519" s="925"/>
      <c r="C519" s="220" t="str">
        <f t="shared" si="131"/>
        <v>-</v>
      </c>
      <c r="D519" s="351">
        <f t="shared" si="132"/>
        <v>0</v>
      </c>
      <c r="E519" t="e">
        <f t="shared" si="133"/>
        <v>#N/A</v>
      </c>
      <c r="F519" s="211"/>
      <c r="G519" s="211"/>
      <c r="H519" s="211"/>
      <c r="I519" s="211"/>
      <c r="J519" s="211"/>
      <c r="K519" s="211"/>
      <c r="L519" s="211"/>
      <c r="M519" s="229" t="str">
        <f t="shared" si="130"/>
        <v>-</v>
      </c>
      <c r="N519">
        <v>10</v>
      </c>
      <c r="Q519" s="236"/>
      <c r="S519" s="259"/>
      <c r="T519" s="8"/>
      <c r="U519" s="8"/>
      <c r="V519" s="8"/>
      <c r="W519" s="8"/>
      <c r="X519" s="8"/>
      <c r="AH519" s="8"/>
      <c r="AI519" s="8"/>
      <c r="AJ519" s="8"/>
      <c r="AK519" s="8"/>
      <c r="AL519" s="8"/>
      <c r="AM519" s="8"/>
      <c r="BU519" s="259"/>
    </row>
    <row r="520" spans="2:73" hidden="1" outlineLevel="1" x14ac:dyDescent="0.25">
      <c r="B520" s="925"/>
      <c r="C520" s="220" t="str">
        <f t="shared" si="131"/>
        <v>-</v>
      </c>
      <c r="D520" s="351">
        <f t="shared" si="132"/>
        <v>0</v>
      </c>
      <c r="E520" t="e">
        <f t="shared" si="133"/>
        <v>#N/A</v>
      </c>
      <c r="F520" s="211"/>
      <c r="G520" s="211"/>
      <c r="H520" s="211"/>
      <c r="I520" s="211"/>
      <c r="J520" s="211"/>
      <c r="K520" s="211"/>
      <c r="L520" s="211"/>
      <c r="M520" s="229" t="str">
        <f t="shared" si="130"/>
        <v>-</v>
      </c>
      <c r="N520">
        <v>10.5</v>
      </c>
      <c r="Q520" s="236"/>
      <c r="S520" s="259"/>
      <c r="T520" s="8"/>
      <c r="U520" s="8"/>
      <c r="V520" s="8"/>
      <c r="W520" s="8"/>
      <c r="X520" s="8"/>
      <c r="AH520" s="8"/>
      <c r="AI520" s="8"/>
      <c r="AJ520" s="8"/>
      <c r="AK520" s="8"/>
      <c r="AL520" s="8"/>
      <c r="AM520" s="8"/>
      <c r="BU520" s="259"/>
    </row>
    <row r="521" spans="2:73" hidden="1" outlineLevel="1" x14ac:dyDescent="0.25">
      <c r="B521" s="925"/>
      <c r="C521" s="220" t="str">
        <f t="shared" si="131"/>
        <v>-</v>
      </c>
      <c r="D521" s="351">
        <f t="shared" si="132"/>
        <v>0</v>
      </c>
      <c r="E521" t="e">
        <f t="shared" si="133"/>
        <v>#N/A</v>
      </c>
      <c r="F521" s="211"/>
      <c r="G521" s="211"/>
      <c r="H521" s="211"/>
      <c r="I521" s="211"/>
      <c r="J521" s="211"/>
      <c r="K521" s="211"/>
      <c r="L521" s="211"/>
      <c r="M521" s="229" t="str">
        <f t="shared" si="130"/>
        <v>-</v>
      </c>
      <c r="N521">
        <v>11</v>
      </c>
      <c r="Q521" s="236"/>
      <c r="S521" s="259"/>
      <c r="T521" s="8"/>
      <c r="U521" s="8"/>
      <c r="V521" s="8"/>
      <c r="W521" s="8"/>
      <c r="X521" s="8"/>
      <c r="AH521" s="8"/>
      <c r="AI521" s="8"/>
      <c r="AJ521" s="8"/>
      <c r="AK521" s="8"/>
      <c r="AL521" s="8"/>
      <c r="AM521" s="8"/>
      <c r="BU521" s="259"/>
    </row>
    <row r="522" spans="2:73" hidden="1" outlineLevel="1" x14ac:dyDescent="0.25">
      <c r="B522" s="925"/>
      <c r="C522" s="220" t="str">
        <f t="shared" si="131"/>
        <v>-</v>
      </c>
      <c r="D522" s="351">
        <f t="shared" si="132"/>
        <v>0</v>
      </c>
      <c r="E522" t="e">
        <f t="shared" si="133"/>
        <v>#N/A</v>
      </c>
      <c r="F522" s="211"/>
      <c r="G522" s="211"/>
      <c r="H522" s="211"/>
      <c r="I522" s="211"/>
      <c r="J522" s="211"/>
      <c r="K522" s="211"/>
      <c r="L522" s="211"/>
      <c r="M522" s="229" t="str">
        <f t="shared" si="130"/>
        <v>-</v>
      </c>
      <c r="N522">
        <v>11.5</v>
      </c>
      <c r="Q522" s="236"/>
      <c r="S522" s="259"/>
      <c r="T522" s="8"/>
      <c r="U522" s="8"/>
      <c r="V522" s="8"/>
      <c r="W522" s="8"/>
      <c r="X522" s="8"/>
      <c r="AH522" s="8"/>
      <c r="AI522" s="8"/>
      <c r="AJ522" s="8"/>
      <c r="AK522" s="8"/>
      <c r="AL522" s="8"/>
      <c r="AM522" s="8"/>
      <c r="BU522" s="259"/>
    </row>
    <row r="523" spans="2:73" hidden="1" outlineLevel="1" x14ac:dyDescent="0.25">
      <c r="B523" s="925"/>
      <c r="C523" s="220" t="str">
        <f t="shared" si="131"/>
        <v>-</v>
      </c>
      <c r="D523" s="351">
        <f t="shared" si="132"/>
        <v>0</v>
      </c>
      <c r="E523" t="e">
        <f t="shared" si="133"/>
        <v>#N/A</v>
      </c>
      <c r="F523" s="211"/>
      <c r="G523" s="211"/>
      <c r="H523" s="211"/>
      <c r="I523" s="211"/>
      <c r="J523" s="211"/>
      <c r="K523" s="211"/>
      <c r="L523" s="211"/>
      <c r="M523" s="229" t="str">
        <f t="shared" si="130"/>
        <v>-</v>
      </c>
      <c r="N523">
        <v>12</v>
      </c>
      <c r="Q523" s="236"/>
      <c r="S523" s="259"/>
      <c r="T523" s="8"/>
      <c r="U523" s="8"/>
      <c r="V523" s="8"/>
      <c r="W523" s="8"/>
      <c r="X523" s="8"/>
      <c r="AH523" s="8"/>
      <c r="AI523" s="8"/>
      <c r="AJ523" s="8"/>
      <c r="AK523" s="8"/>
      <c r="AL523" s="8"/>
      <c r="AM523" s="8"/>
      <c r="BU523" s="259"/>
    </row>
    <row r="524" spans="2:73" hidden="1" outlineLevel="1" x14ac:dyDescent="0.25">
      <c r="B524" s="925"/>
      <c r="C524" s="220" t="str">
        <f t="shared" si="131"/>
        <v>-</v>
      </c>
      <c r="D524" s="351">
        <f t="shared" si="132"/>
        <v>0</v>
      </c>
      <c r="E524" t="e">
        <f t="shared" si="133"/>
        <v>#N/A</v>
      </c>
      <c r="F524" s="211"/>
      <c r="G524" s="211"/>
      <c r="H524" s="211"/>
      <c r="I524" s="211"/>
      <c r="J524" s="211"/>
      <c r="K524" s="211"/>
      <c r="L524" s="211"/>
      <c r="M524" s="229" t="str">
        <f t="shared" si="130"/>
        <v>-</v>
      </c>
      <c r="N524">
        <v>12.5</v>
      </c>
      <c r="Q524" s="236"/>
      <c r="S524" s="259"/>
      <c r="T524" s="8"/>
      <c r="U524" s="8"/>
      <c r="V524" s="8"/>
      <c r="W524" s="8"/>
      <c r="X524" s="8"/>
      <c r="AH524" s="8"/>
      <c r="AI524" s="8"/>
      <c r="AJ524" s="8"/>
      <c r="AK524" s="8"/>
      <c r="AL524" s="8"/>
      <c r="AM524" s="8"/>
      <c r="BU524" s="259"/>
    </row>
    <row r="525" spans="2:73" hidden="1" outlineLevel="1" x14ac:dyDescent="0.25">
      <c r="B525" s="925"/>
      <c r="C525" s="220" t="str">
        <f t="shared" si="131"/>
        <v>-</v>
      </c>
      <c r="D525" s="351">
        <f t="shared" si="132"/>
        <v>0</v>
      </c>
      <c r="E525" t="e">
        <f t="shared" si="133"/>
        <v>#N/A</v>
      </c>
      <c r="F525" s="211"/>
      <c r="G525" s="211"/>
      <c r="H525" s="211"/>
      <c r="I525" s="211"/>
      <c r="J525" s="211"/>
      <c r="K525" s="211"/>
      <c r="L525" s="211"/>
      <c r="M525" s="229" t="str">
        <f t="shared" si="130"/>
        <v>-</v>
      </c>
      <c r="N525">
        <v>13</v>
      </c>
      <c r="Q525" s="236"/>
      <c r="S525" s="259"/>
      <c r="T525" s="8"/>
      <c r="U525" s="8"/>
      <c r="V525" s="8"/>
      <c r="W525" s="8"/>
      <c r="X525" s="287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BU525" s="259"/>
    </row>
    <row r="526" spans="2:73" hidden="1" outlineLevel="1" x14ac:dyDescent="0.25">
      <c r="B526" s="925"/>
      <c r="C526" s="220" t="str">
        <f t="shared" si="131"/>
        <v>-</v>
      </c>
      <c r="D526" s="351">
        <f t="shared" si="132"/>
        <v>0</v>
      </c>
      <c r="E526" t="e">
        <f t="shared" si="133"/>
        <v>#N/A</v>
      </c>
      <c r="F526" s="211"/>
      <c r="G526" s="211"/>
      <c r="H526" s="211"/>
      <c r="I526" s="211"/>
      <c r="J526" s="211"/>
      <c r="K526" s="211"/>
      <c r="L526" s="211"/>
      <c r="M526" s="229" t="str">
        <f t="shared" si="130"/>
        <v>-</v>
      </c>
      <c r="N526">
        <v>13.5</v>
      </c>
      <c r="Q526" s="236"/>
      <c r="S526" s="259"/>
      <c r="T526" s="8"/>
      <c r="U526" s="8"/>
      <c r="V526" s="8"/>
      <c r="W526" s="8"/>
      <c r="X526" s="287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BU526" s="259"/>
    </row>
    <row r="527" spans="2:73" hidden="1" outlineLevel="1" x14ac:dyDescent="0.25">
      <c r="B527" s="925"/>
      <c r="C527" s="220" t="str">
        <f t="shared" si="131"/>
        <v>-</v>
      </c>
      <c r="D527" s="351">
        <f t="shared" si="132"/>
        <v>0</v>
      </c>
      <c r="E527" t="e">
        <f t="shared" si="133"/>
        <v>#N/A</v>
      </c>
      <c r="F527" s="211"/>
      <c r="G527" s="211"/>
      <c r="H527" s="211"/>
      <c r="I527" s="211"/>
      <c r="J527" s="211"/>
      <c r="K527" s="211"/>
      <c r="L527" s="211"/>
      <c r="M527" s="229" t="str">
        <f t="shared" si="130"/>
        <v>-</v>
      </c>
      <c r="N527">
        <v>14</v>
      </c>
      <c r="Q527" s="236"/>
      <c r="S527" s="259"/>
      <c r="V527" s="8"/>
      <c r="W527" s="8"/>
      <c r="X527" s="287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BU527" s="259"/>
    </row>
    <row r="528" spans="2:73" hidden="1" outlineLevel="1" x14ac:dyDescent="0.25">
      <c r="B528" s="925"/>
      <c r="C528" s="220" t="str">
        <f t="shared" si="131"/>
        <v>-</v>
      </c>
      <c r="D528" s="351">
        <f t="shared" si="132"/>
        <v>0</v>
      </c>
      <c r="E528" t="e">
        <f t="shared" si="133"/>
        <v>#N/A</v>
      </c>
      <c r="F528" s="211"/>
      <c r="G528" s="211"/>
      <c r="H528" s="211"/>
      <c r="I528" s="211"/>
      <c r="J528" s="211"/>
      <c r="K528" s="211"/>
      <c r="L528" s="211"/>
      <c r="M528" s="229" t="str">
        <f t="shared" si="130"/>
        <v>-</v>
      </c>
      <c r="N528">
        <v>14.5</v>
      </c>
      <c r="Q528" s="236"/>
      <c r="S528" s="259"/>
      <c r="V528" s="8"/>
      <c r="W528" s="8"/>
      <c r="X528" s="287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BU528" s="259"/>
    </row>
    <row r="529" spans="2:73" hidden="1" outlineLevel="1" x14ac:dyDescent="0.25">
      <c r="B529" s="925"/>
      <c r="C529" s="220" t="str">
        <f t="shared" si="131"/>
        <v>-</v>
      </c>
      <c r="D529" s="351">
        <f t="shared" si="132"/>
        <v>0</v>
      </c>
      <c r="E529" t="e">
        <f t="shared" si="133"/>
        <v>#N/A</v>
      </c>
      <c r="F529" s="211"/>
      <c r="G529" s="211"/>
      <c r="H529" s="211"/>
      <c r="I529" s="211"/>
      <c r="J529" s="211"/>
      <c r="K529" s="211"/>
      <c r="L529" s="211"/>
      <c r="M529" s="229" t="str">
        <f t="shared" si="130"/>
        <v>-</v>
      </c>
      <c r="N529">
        <v>15</v>
      </c>
      <c r="Q529" s="236"/>
      <c r="S529" s="259"/>
      <c r="V529" s="8"/>
      <c r="W529" s="8"/>
      <c r="X529" s="287"/>
      <c r="AH529" s="8"/>
      <c r="AI529" s="8"/>
      <c r="BU529" s="259"/>
    </row>
    <row r="530" spans="2:73" hidden="1" outlineLevel="1" x14ac:dyDescent="0.25">
      <c r="B530" s="925"/>
      <c r="C530" s="220" t="str">
        <f t="shared" si="131"/>
        <v>-</v>
      </c>
      <c r="D530" s="351">
        <f t="shared" si="132"/>
        <v>0</v>
      </c>
      <c r="E530" t="e">
        <f t="shared" si="133"/>
        <v>#N/A</v>
      </c>
      <c r="F530" s="211"/>
      <c r="G530" s="211"/>
      <c r="H530" s="211"/>
      <c r="I530" s="211"/>
      <c r="J530" s="211"/>
      <c r="K530" s="211"/>
      <c r="L530" s="211"/>
      <c r="M530" s="229" t="str">
        <f t="shared" si="130"/>
        <v>-</v>
      </c>
      <c r="N530">
        <v>15.5</v>
      </c>
      <c r="Q530" s="236"/>
      <c r="S530" s="259"/>
      <c r="V530" s="8"/>
      <c r="W530" s="8"/>
      <c r="X530" s="287"/>
      <c r="AH530" s="8"/>
      <c r="AI530" s="8"/>
      <c r="BU530" s="259"/>
    </row>
    <row r="531" spans="2:73" hidden="1" outlineLevel="1" x14ac:dyDescent="0.25">
      <c r="B531" s="925"/>
      <c r="C531" s="220" t="str">
        <f t="shared" si="131"/>
        <v>-</v>
      </c>
      <c r="D531" s="351">
        <f t="shared" si="132"/>
        <v>0</v>
      </c>
      <c r="E531" t="e">
        <f t="shared" si="133"/>
        <v>#N/A</v>
      </c>
      <c r="F531" s="211"/>
      <c r="G531" s="211"/>
      <c r="H531" s="211"/>
      <c r="I531" s="211"/>
      <c r="J531" s="211"/>
      <c r="K531" s="211"/>
      <c r="L531" s="211"/>
      <c r="M531" s="229" t="str">
        <f t="shared" si="130"/>
        <v>-</v>
      </c>
      <c r="N531">
        <v>16</v>
      </c>
      <c r="Q531" s="236"/>
      <c r="S531" s="259"/>
      <c r="V531" s="8"/>
      <c r="W531" s="8"/>
      <c r="X531" s="287"/>
      <c r="AH531" s="8"/>
      <c r="AI531" s="8"/>
      <c r="BU531" s="259"/>
    </row>
    <row r="532" spans="2:73" hidden="1" outlineLevel="1" x14ac:dyDescent="0.25">
      <c r="B532" s="925"/>
      <c r="C532" s="220" t="str">
        <f t="shared" si="131"/>
        <v>-</v>
      </c>
      <c r="D532" s="351">
        <f t="shared" si="132"/>
        <v>0</v>
      </c>
      <c r="E532" t="e">
        <f t="shared" si="133"/>
        <v>#N/A</v>
      </c>
      <c r="F532" s="211"/>
      <c r="G532" s="211"/>
      <c r="H532" s="211"/>
      <c r="I532" s="211"/>
      <c r="J532" s="211"/>
      <c r="K532" s="211"/>
      <c r="L532" s="211"/>
      <c r="M532" s="229" t="str">
        <f t="shared" si="130"/>
        <v>-</v>
      </c>
      <c r="N532">
        <v>16.5</v>
      </c>
      <c r="Q532" s="236"/>
      <c r="S532" s="259"/>
      <c r="V532" s="8"/>
      <c r="W532" s="8"/>
      <c r="X532" s="287"/>
      <c r="AH532" s="8"/>
      <c r="AI532" s="8"/>
      <c r="BU532" s="259"/>
    </row>
    <row r="533" spans="2:73" hidden="1" outlineLevel="1" x14ac:dyDescent="0.25">
      <c r="B533" s="925"/>
      <c r="C533" s="220" t="str">
        <f t="shared" si="131"/>
        <v>-</v>
      </c>
      <c r="D533" s="351">
        <f t="shared" si="132"/>
        <v>0</v>
      </c>
      <c r="E533" t="e">
        <f t="shared" si="133"/>
        <v>#N/A</v>
      </c>
      <c r="F533" s="211"/>
      <c r="G533" s="211"/>
      <c r="H533" s="211"/>
      <c r="I533" s="211"/>
      <c r="J533" s="211"/>
      <c r="K533" s="211"/>
      <c r="L533" s="211"/>
      <c r="M533" s="229" t="str">
        <f t="shared" si="130"/>
        <v>-</v>
      </c>
      <c r="N533">
        <v>17</v>
      </c>
      <c r="Q533" s="236"/>
      <c r="S533" s="259"/>
      <c r="V533" s="8"/>
      <c r="W533" s="8"/>
      <c r="X533" s="287"/>
      <c r="AH533" s="8"/>
      <c r="AI533" s="8"/>
      <c r="BU533" s="259"/>
    </row>
    <row r="534" spans="2:73" hidden="1" outlineLevel="1" x14ac:dyDescent="0.25">
      <c r="B534" s="925"/>
      <c r="C534" s="220" t="str">
        <f t="shared" si="131"/>
        <v>-</v>
      </c>
      <c r="D534" s="351">
        <f t="shared" si="132"/>
        <v>0</v>
      </c>
      <c r="E534" t="e">
        <f t="shared" si="133"/>
        <v>#N/A</v>
      </c>
      <c r="F534" s="211"/>
      <c r="G534" s="211"/>
      <c r="H534" s="211"/>
      <c r="I534" s="211"/>
      <c r="J534" s="211"/>
      <c r="K534" s="211"/>
      <c r="L534" s="211"/>
      <c r="M534" s="229" t="str">
        <f t="shared" si="130"/>
        <v>-</v>
      </c>
      <c r="N534">
        <v>17.5</v>
      </c>
      <c r="Q534" s="236"/>
      <c r="S534" s="259"/>
      <c r="V534" s="8"/>
      <c r="W534" s="8"/>
      <c r="X534" s="287"/>
      <c r="AH534" s="8"/>
      <c r="AI534" s="8"/>
      <c r="BU534" s="259"/>
    </row>
    <row r="535" spans="2:73" hidden="1" outlineLevel="1" x14ac:dyDescent="0.25">
      <c r="B535" s="925"/>
      <c r="C535" s="220" t="str">
        <f t="shared" si="131"/>
        <v>-</v>
      </c>
      <c r="D535" s="351">
        <f t="shared" si="132"/>
        <v>0</v>
      </c>
      <c r="E535" t="e">
        <f t="shared" si="133"/>
        <v>#N/A</v>
      </c>
      <c r="F535" s="211"/>
      <c r="G535" s="211"/>
      <c r="H535" s="211"/>
      <c r="I535" s="211"/>
      <c r="J535" s="211"/>
      <c r="K535" s="211"/>
      <c r="L535" s="211"/>
      <c r="M535" s="229" t="str">
        <f t="shared" si="130"/>
        <v>-</v>
      </c>
      <c r="N535">
        <v>18</v>
      </c>
      <c r="Q535" s="236"/>
      <c r="S535" s="259"/>
      <c r="V535" s="8"/>
      <c r="W535" s="8"/>
      <c r="X535" s="287"/>
      <c r="AH535" s="8"/>
      <c r="AI535" s="8"/>
      <c r="BU535" s="259"/>
    </row>
    <row r="536" spans="2:73" hidden="1" outlineLevel="1" x14ac:dyDescent="0.25">
      <c r="B536" s="925"/>
      <c r="C536" s="220" t="str">
        <f t="shared" si="131"/>
        <v>-</v>
      </c>
      <c r="D536" s="351">
        <f t="shared" si="132"/>
        <v>0</v>
      </c>
      <c r="E536" t="e">
        <f t="shared" si="133"/>
        <v>#N/A</v>
      </c>
      <c r="F536" s="211"/>
      <c r="G536" s="211"/>
      <c r="H536" s="211"/>
      <c r="I536" s="211"/>
      <c r="J536" s="211"/>
      <c r="K536" s="211"/>
      <c r="L536" s="211"/>
      <c r="M536" s="229" t="str">
        <f t="shared" si="130"/>
        <v>-</v>
      </c>
      <c r="N536">
        <v>18.5</v>
      </c>
      <c r="Q536" s="236"/>
      <c r="S536" s="259"/>
      <c r="V536" s="8"/>
      <c r="W536" s="8"/>
      <c r="X536" s="287"/>
      <c r="AH536" s="8"/>
      <c r="AI536" s="8"/>
      <c r="BU536" s="259"/>
    </row>
    <row r="537" spans="2:73" hidden="1" outlineLevel="1" x14ac:dyDescent="0.25">
      <c r="B537" s="925"/>
      <c r="C537" s="220" t="str">
        <f t="shared" si="131"/>
        <v>-</v>
      </c>
      <c r="D537" s="351">
        <f t="shared" si="132"/>
        <v>0</v>
      </c>
      <c r="E537" t="e">
        <f t="shared" si="133"/>
        <v>#N/A</v>
      </c>
      <c r="F537" s="211"/>
      <c r="G537" s="211"/>
      <c r="H537" s="211"/>
      <c r="I537" s="211"/>
      <c r="J537" s="211"/>
      <c r="K537" s="211"/>
      <c r="L537" s="211"/>
      <c r="M537" s="229" t="str">
        <f t="shared" si="130"/>
        <v>-</v>
      </c>
      <c r="N537">
        <v>19</v>
      </c>
      <c r="Q537" s="236"/>
      <c r="S537" s="259"/>
      <c r="U537" s="8"/>
      <c r="V537" s="8"/>
      <c r="W537" s="8"/>
      <c r="X537" s="287"/>
      <c r="AH537" s="8"/>
      <c r="AI537" s="8"/>
      <c r="BU537" s="259"/>
    </row>
    <row r="538" spans="2:73" hidden="1" outlineLevel="1" x14ac:dyDescent="0.25">
      <c r="B538" s="925"/>
      <c r="C538" s="220" t="str">
        <f t="shared" si="131"/>
        <v>-</v>
      </c>
      <c r="D538" s="351">
        <f t="shared" si="132"/>
        <v>0</v>
      </c>
      <c r="E538" t="e">
        <f t="shared" si="133"/>
        <v>#N/A</v>
      </c>
      <c r="F538" s="211"/>
      <c r="G538" s="211"/>
      <c r="H538" s="211"/>
      <c r="I538" s="211"/>
      <c r="J538" s="211"/>
      <c r="K538" s="211"/>
      <c r="L538" s="211"/>
      <c r="M538" s="229" t="str">
        <f t="shared" si="130"/>
        <v>-</v>
      </c>
      <c r="N538">
        <v>19.5</v>
      </c>
      <c r="Q538" s="236"/>
      <c r="S538" s="259"/>
      <c r="V538" s="8"/>
      <c r="W538" s="8"/>
      <c r="X538" s="8"/>
      <c r="AH538" s="8"/>
      <c r="AI538" s="8"/>
      <c r="BU538" s="259"/>
    </row>
    <row r="539" spans="2:73" hidden="1" outlineLevel="1" x14ac:dyDescent="0.25">
      <c r="B539" s="925"/>
      <c r="C539" s="220" t="str">
        <f t="shared" si="131"/>
        <v>-</v>
      </c>
      <c r="D539" s="351">
        <f t="shared" si="132"/>
        <v>0</v>
      </c>
      <c r="E539" t="e">
        <f t="shared" si="133"/>
        <v>#N/A</v>
      </c>
      <c r="F539" s="211"/>
      <c r="G539" s="211"/>
      <c r="H539" s="211"/>
      <c r="I539" s="211"/>
      <c r="J539" s="211"/>
      <c r="K539" s="211"/>
      <c r="L539" s="211"/>
      <c r="M539" s="229" t="str">
        <f t="shared" si="130"/>
        <v>-</v>
      </c>
      <c r="N539">
        <v>20</v>
      </c>
      <c r="Q539" s="236"/>
      <c r="S539" s="259"/>
      <c r="BU539" s="259"/>
    </row>
    <row r="540" spans="2:73" hidden="1" outlineLevel="1" x14ac:dyDescent="0.25">
      <c r="B540" s="925"/>
      <c r="C540" s="220" t="str">
        <f t="shared" si="131"/>
        <v>-</v>
      </c>
      <c r="D540" s="351">
        <f t="shared" si="132"/>
        <v>0</v>
      </c>
      <c r="E540" t="e">
        <f t="shared" si="133"/>
        <v>#N/A</v>
      </c>
      <c r="F540" s="211"/>
      <c r="G540" s="211"/>
      <c r="H540" s="211"/>
      <c r="I540" s="211"/>
      <c r="J540" s="211"/>
      <c r="K540" s="211"/>
      <c r="L540" s="211"/>
      <c r="M540" s="229" t="str">
        <f t="shared" si="130"/>
        <v>-</v>
      </c>
      <c r="N540">
        <v>20.5</v>
      </c>
      <c r="Q540" s="236"/>
      <c r="S540" s="259"/>
      <c r="BU540" s="259"/>
    </row>
    <row r="541" spans="2:73" hidden="1" outlineLevel="1" x14ac:dyDescent="0.25">
      <c r="B541" s="925"/>
      <c r="C541" s="220" t="str">
        <f t="shared" si="131"/>
        <v>-</v>
      </c>
      <c r="D541" s="351">
        <f t="shared" si="132"/>
        <v>0</v>
      </c>
      <c r="E541" t="e">
        <f t="shared" si="133"/>
        <v>#N/A</v>
      </c>
      <c r="F541" s="211"/>
      <c r="G541" s="211"/>
      <c r="H541" s="211"/>
      <c r="I541" s="211"/>
      <c r="J541" s="211"/>
      <c r="K541" s="211"/>
      <c r="L541" s="211"/>
      <c r="M541" s="229" t="str">
        <f t="shared" si="130"/>
        <v>-</v>
      </c>
      <c r="N541">
        <v>21</v>
      </c>
      <c r="Q541" s="236"/>
      <c r="S541" s="259"/>
      <c r="Y541" s="313"/>
      <c r="Z541" s="313"/>
      <c r="AA541" s="313"/>
      <c r="AB541" s="313"/>
      <c r="AC541" s="313"/>
      <c r="AD541" s="313"/>
      <c r="AE541" s="313"/>
      <c r="AF541" s="313"/>
      <c r="AG541" s="313"/>
      <c r="BU541" s="259"/>
    </row>
    <row r="542" spans="2:73" hidden="1" outlineLevel="1" x14ac:dyDescent="0.25">
      <c r="B542" s="925"/>
      <c r="C542" s="220" t="str">
        <f t="shared" si="131"/>
        <v>-</v>
      </c>
      <c r="D542" s="351">
        <f t="shared" si="132"/>
        <v>0</v>
      </c>
      <c r="E542" t="e">
        <f t="shared" si="133"/>
        <v>#N/A</v>
      </c>
      <c r="F542" s="211"/>
      <c r="G542" s="211"/>
      <c r="H542" s="211"/>
      <c r="I542" s="211"/>
      <c r="J542" s="211"/>
      <c r="K542" s="211"/>
      <c r="L542" s="211"/>
      <c r="M542" s="229" t="str">
        <f t="shared" si="130"/>
        <v>-</v>
      </c>
      <c r="N542">
        <v>21.5</v>
      </c>
      <c r="Q542" s="236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  <c r="AJ542" s="259"/>
      <c r="AK542" s="259"/>
      <c r="AL542" s="259"/>
      <c r="AM542" s="259"/>
      <c r="AN542" s="259"/>
      <c r="AO542" s="259"/>
      <c r="AP542" s="259"/>
      <c r="AQ542" s="259"/>
      <c r="AR542" s="259"/>
      <c r="AS542" s="259"/>
      <c r="AT542" s="259"/>
      <c r="AU542" s="259"/>
      <c r="AV542" s="259"/>
      <c r="AW542" s="259"/>
      <c r="AX542" s="259"/>
      <c r="AY542" s="259"/>
      <c r="AZ542" s="259"/>
      <c r="BA542" s="259"/>
      <c r="BB542" s="259"/>
      <c r="BC542" s="259"/>
      <c r="BD542" s="259"/>
      <c r="BE542" s="259"/>
      <c r="BF542" s="259"/>
      <c r="BG542" s="259"/>
      <c r="BH542" s="259"/>
      <c r="BI542" s="259"/>
      <c r="BJ542" s="259"/>
      <c r="BK542" s="259"/>
      <c r="BL542" s="259"/>
      <c r="BM542" s="259"/>
      <c r="BN542" s="259"/>
      <c r="BO542" s="259"/>
      <c r="BP542" s="259"/>
      <c r="BQ542" s="259"/>
      <c r="BR542" s="259"/>
      <c r="BS542" s="259"/>
      <c r="BT542" s="259"/>
      <c r="BU542" s="259"/>
    </row>
    <row r="543" spans="2:73" hidden="1" outlineLevel="1" x14ac:dyDescent="0.25">
      <c r="B543" s="925"/>
      <c r="C543" s="220" t="str">
        <f t="shared" si="131"/>
        <v>-</v>
      </c>
      <c r="D543" s="351">
        <f t="shared" si="132"/>
        <v>0</v>
      </c>
      <c r="E543" t="e">
        <f t="shared" si="133"/>
        <v>#N/A</v>
      </c>
      <c r="F543" s="211"/>
      <c r="G543" s="211"/>
      <c r="H543" s="211"/>
      <c r="I543" s="211"/>
      <c r="J543" s="211"/>
      <c r="K543" s="211"/>
      <c r="L543" s="211"/>
      <c r="M543" s="229" t="str">
        <f t="shared" si="130"/>
        <v>-</v>
      </c>
      <c r="N543">
        <v>22</v>
      </c>
      <c r="Q543" s="236"/>
    </row>
    <row r="544" spans="2:73" hidden="1" outlineLevel="1" x14ac:dyDescent="0.25">
      <c r="B544" s="925"/>
      <c r="C544" s="220" t="str">
        <f t="shared" si="131"/>
        <v>-</v>
      </c>
      <c r="D544" s="351">
        <f t="shared" si="132"/>
        <v>0</v>
      </c>
      <c r="E544" t="e">
        <f t="shared" si="133"/>
        <v>#N/A</v>
      </c>
      <c r="F544" s="211"/>
      <c r="G544" s="211"/>
      <c r="H544" s="211"/>
      <c r="I544" s="211"/>
      <c r="J544" s="211"/>
      <c r="K544" s="211"/>
      <c r="L544" s="211"/>
      <c r="M544" s="229" t="str">
        <f t="shared" si="130"/>
        <v>-</v>
      </c>
      <c r="N544">
        <v>22.5</v>
      </c>
      <c r="Q544" s="236"/>
    </row>
    <row r="545" spans="1:55" hidden="1" outlineLevel="1" x14ac:dyDescent="0.25">
      <c r="B545" s="925"/>
      <c r="C545" s="220" t="str">
        <f t="shared" si="131"/>
        <v>-</v>
      </c>
      <c r="D545" s="351">
        <f t="shared" si="132"/>
        <v>0</v>
      </c>
      <c r="E545" t="e">
        <f t="shared" si="133"/>
        <v>#N/A</v>
      </c>
      <c r="F545" s="211"/>
      <c r="G545" s="211"/>
      <c r="H545" s="211"/>
      <c r="I545" s="211"/>
      <c r="J545" s="211"/>
      <c r="K545" s="211"/>
      <c r="L545" s="211"/>
      <c r="M545" s="229" t="str">
        <f t="shared" si="130"/>
        <v>-</v>
      </c>
      <c r="N545">
        <v>23</v>
      </c>
      <c r="Q545" s="236"/>
    </row>
    <row r="546" spans="1:55" hidden="1" outlineLevel="1" x14ac:dyDescent="0.25">
      <c r="B546" s="925"/>
      <c r="C546" s="220" t="str">
        <f t="shared" si="131"/>
        <v>-</v>
      </c>
      <c r="D546" s="351">
        <f t="shared" si="132"/>
        <v>0</v>
      </c>
      <c r="E546" t="e">
        <f t="shared" si="133"/>
        <v>#N/A</v>
      </c>
      <c r="F546" s="211"/>
      <c r="G546" s="211"/>
      <c r="H546" s="211"/>
      <c r="I546" s="211"/>
      <c r="J546" s="211"/>
      <c r="K546" s="211"/>
      <c r="L546" s="211"/>
      <c r="M546" s="229" t="str">
        <f t="shared" si="130"/>
        <v>-</v>
      </c>
      <c r="N546">
        <v>23.5</v>
      </c>
      <c r="Q546" s="236"/>
    </row>
    <row r="547" spans="1:55" hidden="1" outlineLevel="1" x14ac:dyDescent="0.25">
      <c r="B547" s="925"/>
      <c r="C547" s="220" t="str">
        <f t="shared" si="131"/>
        <v>-</v>
      </c>
      <c r="D547" s="351">
        <f t="shared" si="132"/>
        <v>0</v>
      </c>
      <c r="E547" t="e">
        <f t="shared" si="133"/>
        <v>#N/A</v>
      </c>
      <c r="F547" s="211"/>
      <c r="G547" s="211"/>
      <c r="H547" s="211"/>
      <c r="I547" s="211"/>
      <c r="J547" s="211"/>
      <c r="K547" s="211"/>
      <c r="L547" s="211"/>
      <c r="M547" s="229" t="str">
        <f t="shared" si="130"/>
        <v>-</v>
      </c>
      <c r="N547">
        <v>24</v>
      </c>
      <c r="Q547" s="236"/>
    </row>
    <row r="548" spans="1:55" hidden="1" outlineLevel="1" x14ac:dyDescent="0.25">
      <c r="B548" s="925"/>
      <c r="C548" s="220" t="str">
        <f t="shared" si="131"/>
        <v>-</v>
      </c>
      <c r="D548" s="351">
        <f t="shared" si="132"/>
        <v>0</v>
      </c>
      <c r="E548" t="e">
        <f t="shared" si="133"/>
        <v>#N/A</v>
      </c>
      <c r="F548" s="211"/>
      <c r="G548" s="211"/>
      <c r="H548" s="211"/>
      <c r="I548" s="211"/>
      <c r="J548" s="211"/>
      <c r="K548" s="211"/>
      <c r="L548" s="211"/>
      <c r="M548" s="229" t="str">
        <f t="shared" si="130"/>
        <v>-</v>
      </c>
      <c r="N548">
        <v>24.5</v>
      </c>
      <c r="Q548" s="236"/>
    </row>
    <row r="549" spans="1:55" hidden="1" outlineLevel="1" x14ac:dyDescent="0.25">
      <c r="F549" s="701">
        <f t="shared" ref="F549" si="137">ROUNDUP(E549,1)</f>
        <v>0</v>
      </c>
      <c r="G549" s="701">
        <f t="shared" ref="G549" si="138">ROUNDDOWN(E549,1)</f>
        <v>0</v>
      </c>
      <c r="H549" s="701">
        <f t="shared" ref="H549" si="139">INT(E549)+IF(VALUE(RIGHT(TEXT(ROUNDDOWN(E549,2),"0,0"),1))&lt;5,0,0.5)</f>
        <v>0</v>
      </c>
      <c r="I549" s="701">
        <f t="shared" ref="I549" si="140">E549-H549</f>
        <v>0</v>
      </c>
      <c r="J549" s="701">
        <f t="shared" ref="J549" si="141">E549-H549</f>
        <v>0</v>
      </c>
      <c r="K549" s="701">
        <f t="shared" ref="K549" si="142">ROUND(AVERAGE(F549:H549),1)</f>
        <v>0</v>
      </c>
      <c r="L549" s="701">
        <f t="shared" ref="L549" si="143">IFERROR(IF(J549=0,K549,IF(AND(J549&gt;$AC$467,J549&lt;=$AC$468)=TRUE,H549,"-")),"-")</f>
        <v>0</v>
      </c>
      <c r="M549" s="702">
        <f t="shared" ref="M549" si="144">IF(L549&lt;-2,"-",L549)</f>
        <v>0</v>
      </c>
      <c r="Q549" s="236"/>
    </row>
    <row r="550" spans="1:55" hidden="1" outlineLevel="1" x14ac:dyDescent="0.25">
      <c r="B550" s="53" t="str">
        <f>IFERROR(VLOOKUP(O446,D500:N548,11,FALSE),"")</f>
        <v/>
      </c>
      <c r="Q550" s="236"/>
    </row>
    <row r="551" spans="1:55" hidden="1" outlineLevel="1" x14ac:dyDescent="0.25">
      <c r="Q551" s="236"/>
    </row>
    <row r="552" spans="1:55" hidden="1" outlineLevel="1" x14ac:dyDescent="0.25">
      <c r="Q552" s="236"/>
    </row>
    <row r="553" spans="1:55" hidden="1" outlineLevel="1" x14ac:dyDescent="0.25">
      <c r="A553" s="236"/>
      <c r="B553" s="236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</row>
    <row r="554" spans="1:55" hidden="1" outlineLevel="1" x14ac:dyDescent="0.25"/>
    <row r="555" spans="1:55" hidden="1" outlineLevel="1" x14ac:dyDescent="0.25"/>
    <row r="556" spans="1:55" hidden="1" outlineLevel="1" x14ac:dyDescent="0.25">
      <c r="A556" s="223"/>
      <c r="B556" s="223"/>
      <c r="C556" s="223"/>
      <c r="D556" s="223" t="str">
        <f>B327</f>
        <v>Tiomos 120/-15A</v>
      </c>
      <c r="E556" s="223"/>
      <c r="F556" s="223"/>
      <c r="G556" s="223"/>
      <c r="H556" s="223"/>
      <c r="I556" s="223" t="str">
        <f>B328</f>
        <v>Tiomos 120/-30A</v>
      </c>
      <c r="J556" s="223"/>
      <c r="K556" s="223"/>
      <c r="L556" s="223"/>
      <c r="M556" s="223" t="str">
        <f>B329</f>
        <v>Tiomos 120/-45A</v>
      </c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  <c r="AN556" s="223"/>
      <c r="AO556" s="223"/>
      <c r="AP556" s="223"/>
      <c r="AQ556" s="223"/>
      <c r="AR556" s="223"/>
      <c r="AS556" s="223"/>
      <c r="AT556" s="223"/>
      <c r="AU556" s="223"/>
      <c r="AV556" s="223"/>
      <c r="AW556" s="223"/>
      <c r="AX556" s="223"/>
      <c r="AY556" s="223"/>
      <c r="AZ556" s="223"/>
      <c r="BA556" s="223"/>
      <c r="BB556" s="223"/>
      <c r="BC556" s="223"/>
    </row>
    <row r="557" spans="1:55" hidden="1" outlineLevel="1" x14ac:dyDescent="0.25">
      <c r="A557" s="248"/>
      <c r="B557" s="248"/>
      <c r="C557" s="248"/>
      <c r="D557" s="248"/>
      <c r="E557" s="248"/>
      <c r="F557" s="248"/>
      <c r="G557" s="248"/>
      <c r="H557" s="248"/>
      <c r="I557" s="248"/>
      <c r="J557" s="248"/>
      <c r="K557" s="248"/>
      <c r="L557" s="248"/>
      <c r="M557" s="248"/>
      <c r="N557" s="248"/>
      <c r="O557" s="248"/>
      <c r="P557" s="248"/>
      <c r="Q557" s="248"/>
      <c r="R557" s="248"/>
      <c r="S557" s="248"/>
      <c r="T557" s="248"/>
      <c r="U557" s="248"/>
      <c r="V557" s="248"/>
      <c r="W557" s="248"/>
      <c r="X557" s="248"/>
      <c r="Y557" s="248"/>
      <c r="Z557" s="248"/>
      <c r="AA557" s="248"/>
      <c r="AB557" s="248"/>
      <c r="AC557" s="248"/>
      <c r="AD557" s="248"/>
      <c r="AE557" s="248"/>
      <c r="AF557" s="248"/>
      <c r="AG557" s="248"/>
      <c r="AH557" s="248"/>
      <c r="AI557" s="248"/>
      <c r="AJ557" s="248"/>
      <c r="AK557" s="248"/>
      <c r="AL557" s="248"/>
      <c r="AM557" s="248"/>
      <c r="AN557" s="248"/>
      <c r="AO557" s="248"/>
      <c r="AP557" s="248"/>
      <c r="AQ557" s="248"/>
      <c r="AR557" s="248"/>
      <c r="AS557" s="248"/>
      <c r="AT557" s="248"/>
      <c r="AU557" s="248"/>
      <c r="AV557" s="248"/>
      <c r="AW557" s="248"/>
      <c r="AX557" s="248"/>
      <c r="AY557" s="248"/>
    </row>
    <row r="558" spans="1:55" hidden="1" outlineLevel="1" x14ac:dyDescent="0.25">
      <c r="AY558" s="248"/>
    </row>
    <row r="559" spans="1:55" hidden="1" outlineLevel="1" x14ac:dyDescent="0.25">
      <c r="B559" t="s">
        <v>4</v>
      </c>
      <c r="W559" t="s">
        <v>1801</v>
      </c>
      <c r="AY559" s="248"/>
    </row>
    <row r="560" spans="1:55" hidden="1" outlineLevel="1" x14ac:dyDescent="0.25">
      <c r="C560" s="1" t="s">
        <v>883</v>
      </c>
      <c r="D560" s="1" t="s">
        <v>884</v>
      </c>
      <c r="E560" t="s">
        <v>1465</v>
      </c>
      <c r="P560" s="71" t="s">
        <v>1399</v>
      </c>
      <c r="Q560" s="1" t="s">
        <v>885</v>
      </c>
      <c r="R560">
        <v>1</v>
      </c>
      <c r="AJ560" s="233" t="s">
        <v>1804</v>
      </c>
      <c r="AK560" s="234"/>
      <c r="AL560" s="234"/>
      <c r="AM560" s="235"/>
      <c r="AP560" s="1" t="s">
        <v>1445</v>
      </c>
      <c r="AQ560" s="1" t="s">
        <v>52</v>
      </c>
      <c r="AR560" s="1" t="s">
        <v>51</v>
      </c>
      <c r="AU560" s="179" t="s">
        <v>51</v>
      </c>
      <c r="AV560" s="180" t="s">
        <v>42</v>
      </c>
      <c r="AW560" s="181" t="s">
        <v>52</v>
      </c>
      <c r="AY560" s="248"/>
    </row>
    <row r="561" spans="2:51" ht="15" hidden="1" customHeight="1" outlineLevel="1" x14ac:dyDescent="0.25">
      <c r="B561" t="s">
        <v>1377</v>
      </c>
      <c r="C561" s="218" t="str">
        <f>P561</f>
        <v>-</v>
      </c>
      <c r="D561" s="351">
        <f>IFERROR(VLOOKUP(C561,$R$561:$S$604,2,FALSE),0)</f>
        <v>0</v>
      </c>
      <c r="E561" t="e">
        <f>($Y$565+$AF$562-($AD$562+Q561))*COS(-$X$565*PI()/180)</f>
        <v>#N/A</v>
      </c>
      <c r="P561" s="670" t="str">
        <f>IFERROR(IF(E561&lt;0,(INT(E561*-1)+IF(AND(ROUND(((E561*-1)-INT(E561*-1))*100,0)&gt;=0,ROUND(((E561*-1)-INT(E561*-1))*100,0)&lt;25)=TRUE,0,IF(AND(ROUND(((E561*-1)-INT(E561*-1))*100,0)&gt;=25,ROUND(((E561*-1)-INT(E561*-1))*100,0)&lt;50)=TRUE,0.5,IF(AND(ROUND(((E561*-1)-INT(E561*-1))*100,0)&gt;=50,ROUND(((E561*-1)-INT(E561*-1))*100,0)&lt;75)=TRUE,0.5,1))))*-1,(INT(E561)+IF(AND(ROUND(((E561)-INT(E561))*100,0)&gt;=0,ROUND(((E561)-INT(E561))*100,0)&lt;25)=TRUE,0,IF(AND(ROUND(((E561)-INT(E561))*100,0)&gt;=25,ROUND(((E561)-INT(E561))*100,0)&lt;50)=TRUE,0.5,IF(AND(ROUND(((E561)-INT(E561))*100,0)&gt;=50,ROUND(((E561)-INT(E561))*100,0)&lt;75)=TRUE,0.5,1))))),"-")</f>
        <v>-</v>
      </c>
      <c r="Q561">
        <v>0</v>
      </c>
      <c r="R561" s="21">
        <f t="array" ref="R561">IFERROR(INDEX(Montageplatten[Höhe],LARGE((Montageplatten[Winkel_rand]=$L$70)*(ROW(Montageplatten[Winkel_rand])-1),COUNTIF(Montageplatten[Winkel_rand],$L$70)+1-ROW(A1))),"")</f>
        <v>-2</v>
      </c>
      <c r="S561" s="21">
        <v>1</v>
      </c>
      <c r="T561" s="1087" t="s">
        <v>1350</v>
      </c>
      <c r="W561" t="s">
        <v>1798</v>
      </c>
      <c r="X561" t="s">
        <v>1460</v>
      </c>
      <c r="Y561" t="s">
        <v>1802</v>
      </c>
      <c r="Z561" t="s">
        <v>1808</v>
      </c>
      <c r="AD561" t="s">
        <v>1463</v>
      </c>
      <c r="AF561" t="s">
        <v>1803</v>
      </c>
      <c r="AH561" s="237" t="s">
        <v>1418</v>
      </c>
      <c r="AJ561" s="71">
        <v>0</v>
      </c>
      <c r="AK561" s="34">
        <v>0.25</v>
      </c>
      <c r="AL561" s="34">
        <v>0.75</v>
      </c>
      <c r="AM561" s="55">
        <v>1</v>
      </c>
      <c r="AP561" s="34">
        <f>DCOUNT(Montageplatten[[#Headers],[#Data],[MPH Winkel]:[Höhe]],Montageplatten[[#Headers],[Höhe]],select!AV560:AV561)</f>
        <v>0</v>
      </c>
      <c r="AQ561">
        <f>DCOUNT(Montageplatten[[#Headers],[#Data],[MPH Winkel]:[Höhe]],Montageplatten[[#Headers],[Höhe]],select!AV560:AW561)</f>
        <v>0</v>
      </c>
      <c r="AR561">
        <f>DCOUNT(Montageplatten[[#Headers],[#Data],[MPH Winkel]:[Höhe]],Montageplatten[[#Headers],[Höhe]],select!AU560:AV561)</f>
        <v>0</v>
      </c>
      <c r="AU561" s="182">
        <v>1</v>
      </c>
      <c r="AV561" s="227" t="str">
        <f>AH562</f>
        <v>-</v>
      </c>
      <c r="AW561" s="118">
        <v>1</v>
      </c>
      <c r="AY561" s="248"/>
    </row>
    <row r="562" spans="2:51" ht="15" hidden="1" customHeight="1" outlineLevel="1" x14ac:dyDescent="0.25">
      <c r="B562" s="925" t="s">
        <v>1378</v>
      </c>
      <c r="C562" s="220" t="str">
        <f t="shared" ref="C562:C592" si="145">P562</f>
        <v>-</v>
      </c>
      <c r="D562" s="351">
        <f t="shared" ref="D562:D609" si="146">IFERROR(VLOOKUP(C562,$R$561:$S$604,2,FALSE),0)</f>
        <v>0</v>
      </c>
      <c r="E562" t="e">
        <f t="shared" ref="E562:E610" si="147">($Y$565+$AF$562-($AD$562+Q562))*COS(-$X$565*PI()/180)</f>
        <v>#N/A</v>
      </c>
      <c r="P562" s="670" t="str">
        <f t="shared" ref="P562:P610" si="148">IFERROR(IF(E562&lt;0,(INT(E562*-1)+IF(AND(ROUND(((E562*-1)-INT(E562*-1))*100,0)&gt;=0,ROUND(((E562*-1)-INT(E562*-1))*100,0)&lt;25)=TRUE,0,IF(AND(ROUND(((E562*-1)-INT(E562*-1))*100,0)&gt;=25,ROUND(((E562*-1)-INT(E562*-1))*100,0)&lt;50)=TRUE,0.5,IF(AND(ROUND(((E562*-1)-INT(E562*-1))*100,0)&gt;=50,ROUND(((E562*-1)-INT(E562*-1))*100,0)&lt;75)=TRUE,0.5,1))))*-1,(INT(E562)+IF(AND(ROUND(((E562)-INT(E562))*100,0)&gt;=0,ROUND(((E562)-INT(E562))*100,0)&lt;25)=TRUE,0,IF(AND(ROUND(((E562)-INT(E562))*100,0)&gt;=25,ROUND(((E562)-INT(E562))*100,0)&lt;50)=TRUE,0.5,IF(AND(ROUND(((E562)-INT(E562))*100,0)&gt;=50,ROUND(((E562)-INT(E562))*100,0)&lt;75)=TRUE,0.5,1))))),"-")</f>
        <v>-</v>
      </c>
      <c r="Q562">
        <v>-0.5</v>
      </c>
      <c r="R562" s="21">
        <f t="array" ref="R562">IFERROR(INDEX(Montageplatten[Höhe],LARGE((Montageplatten[Winkel_rand]=$L$70)*(ROW(Montageplatten[Winkel_rand])-1),COUNTIF(Montageplatten[Winkel_rand],$L$70)+1-ROW(A2))),"")</f>
        <v>0</v>
      </c>
      <c r="S562" s="21">
        <v>1</v>
      </c>
      <c r="T562" s="1087"/>
      <c r="W562">
        <v>9</v>
      </c>
      <c r="X562">
        <v>-14</v>
      </c>
      <c r="Y562">
        <v>10.7</v>
      </c>
      <c r="Z562">
        <v>39.9</v>
      </c>
      <c r="AD562">
        <f>AC454</f>
        <v>18</v>
      </c>
      <c r="AF562">
        <f>AE454</f>
        <v>3</v>
      </c>
      <c r="AH562" s="237" t="str">
        <f>AG564</f>
        <v>-</v>
      </c>
      <c r="AJ562" s="71" t="s">
        <v>1805</v>
      </c>
      <c r="AK562" s="34" t="s">
        <v>1806</v>
      </c>
      <c r="AL562" s="34"/>
      <c r="AM562" s="55">
        <v>0</v>
      </c>
      <c r="AY562" s="248"/>
    </row>
    <row r="563" spans="2:51" hidden="1" outlineLevel="1" x14ac:dyDescent="0.25">
      <c r="B563" s="925"/>
      <c r="C563" s="220" t="str">
        <f t="shared" si="145"/>
        <v>-</v>
      </c>
      <c r="D563" s="351">
        <f t="shared" si="146"/>
        <v>0</v>
      </c>
      <c r="E563" t="e">
        <f t="shared" si="147"/>
        <v>#N/A</v>
      </c>
      <c r="P563" s="670" t="str">
        <f t="shared" si="148"/>
        <v>-</v>
      </c>
      <c r="Q563">
        <v>-1</v>
      </c>
      <c r="R563" s="21">
        <f t="array" ref="R563">IFERROR(INDEX(Montageplatten[Höhe],LARGE((Montageplatten[Winkel_rand]=$L$70)*(ROW(Montageplatten[Winkel_rand])-1),COUNTIF(Montageplatten[Winkel_rand],$L$70)+1-ROW(A3))),"")</f>
        <v>0</v>
      </c>
      <c r="S563" s="21">
        <v>1</v>
      </c>
      <c r="T563" s="1087"/>
      <c r="W563">
        <v>10</v>
      </c>
      <c r="X563">
        <v>-30</v>
      </c>
      <c r="Y563">
        <v>11.7</v>
      </c>
      <c r="Z563">
        <v>53.6</v>
      </c>
      <c r="AJ563" s="71"/>
      <c r="AK563" s="34" t="s">
        <v>1805</v>
      </c>
      <c r="AL563" s="34" t="s">
        <v>1806</v>
      </c>
      <c r="AM563" s="55">
        <v>0.5</v>
      </c>
      <c r="AY563" s="248"/>
    </row>
    <row r="564" spans="2:51" hidden="1" outlineLevel="1" x14ac:dyDescent="0.25">
      <c r="B564" s="925"/>
      <c r="C564" s="220" t="str">
        <f t="shared" si="145"/>
        <v>-</v>
      </c>
      <c r="D564" s="351">
        <f t="shared" si="146"/>
        <v>0</v>
      </c>
      <c r="E564" t="e">
        <f t="shared" si="147"/>
        <v>#N/A</v>
      </c>
      <c r="P564" s="670" t="str">
        <f t="shared" si="148"/>
        <v>-</v>
      </c>
      <c r="Q564">
        <v>-1.5</v>
      </c>
      <c r="R564" s="21">
        <f t="array" ref="R564">IFERROR(INDEX(Montageplatten[Höhe],LARGE((Montageplatten[Winkel_rand]=$L$70)*(ROW(Montageplatten[Winkel_rand])-1),COUNTIF(Montageplatten[Winkel_rand],$L$70)+1-ROW(A4))),"")</f>
        <v>0</v>
      </c>
      <c r="S564" s="21">
        <v>1</v>
      </c>
      <c r="T564" s="1087"/>
      <c r="W564" s="6">
        <v>11</v>
      </c>
      <c r="X564" s="6">
        <v>-45</v>
      </c>
      <c r="Y564" s="6">
        <v>5.5</v>
      </c>
      <c r="Z564" s="6">
        <v>60.7</v>
      </c>
      <c r="AE564" t="s">
        <v>1465</v>
      </c>
      <c r="AF564" t="e">
        <f>(Y565+AF562-AD562)*COS(-X565*PI()/180)</f>
        <v>#N/A</v>
      </c>
      <c r="AG564" s="475" t="str">
        <f>IFERROR(IF(AF564&lt;0,(INT(AF564*-1)+IF(AND(ROUND(((AF564*-1)-INT(AF564*-1))*100,0)&gt;=0,ROUND(((AF564*-1)-INT(AF564*-1))*100,0)&lt;25)=TRUE,0,IF(AND(ROUND(((AF564*-1)-INT(AF564*-1))*100,0)&gt;=25,ROUND(((AF564*-1)-INT(AF564*-1))*100,0)&lt;50)=TRUE,0.5,IF(AND(ROUND(((AF564*-1)-INT(AF564*-1))*100,0)&gt;=50,ROUND(((AF564*-1)-INT(AF564*-1))*100,0)&lt;75)=TRUE,0.5,1))))*-1,(INT(AF564)+IF(AND(ROUND(((AF564)-INT(AF564))*100,0)&gt;=0,ROUND(((AF564)-INT(AF564))*100,0)&lt;25)=TRUE,0,IF(AND(ROUND(((AF564)-INT(AF564))*100,0)&gt;=25,ROUND(((AF564)-INT(AF564))*100,0)&lt;50)=TRUE,0.5,IF(AND(ROUND(((AF564)-INT(AF564))*100,0)&gt;=50,ROUND(((AF564)-INT(AF564))*100,0)&lt;75)=TRUE,0.5,1))))),"-")</f>
        <v>-</v>
      </c>
      <c r="AJ564" s="92"/>
      <c r="AK564" s="6"/>
      <c r="AL564" s="6"/>
      <c r="AM564" s="56">
        <v>1</v>
      </c>
      <c r="AY564" s="248"/>
    </row>
    <row r="565" spans="2:51" hidden="1" outlineLevel="1" x14ac:dyDescent="0.25">
      <c r="B565" s="925"/>
      <c r="C565" s="220" t="str">
        <f t="shared" si="145"/>
        <v>-</v>
      </c>
      <c r="D565" s="351">
        <f t="shared" si="146"/>
        <v>0</v>
      </c>
      <c r="E565" t="e">
        <f t="shared" si="147"/>
        <v>#N/A</v>
      </c>
      <c r="P565" s="670" t="str">
        <f t="shared" si="148"/>
        <v>-</v>
      </c>
      <c r="Q565">
        <v>-2</v>
      </c>
      <c r="R565" s="21">
        <f t="array" ref="R565">IFERROR(INDEX(Montageplatten[Höhe],LARGE((Montageplatten[Winkel_rand]=$L$70)*(ROW(Montageplatten[Winkel_rand])-1),COUNTIF(Montageplatten[Winkel_rand],$L$70)+1-ROW(A5))),"")</f>
        <v>2</v>
      </c>
      <c r="S565" s="21">
        <v>1</v>
      </c>
      <c r="T565" s="1087"/>
      <c r="X565" t="e">
        <f>VLOOKUP(A318,W562:Y564,2,FALSE)</f>
        <v>#N/A</v>
      </c>
      <c r="Y565" t="e">
        <f>VLOOKUP(A318,W562:Y564,3,FALSE)</f>
        <v>#N/A</v>
      </c>
      <c r="Z565" t="e">
        <f>VLOOKUP(A318,W562:Z564,4,FALSE)</f>
        <v>#N/A</v>
      </c>
      <c r="AY565" s="248"/>
    </row>
    <row r="566" spans="2:51" hidden="1" outlineLevel="1" x14ac:dyDescent="0.25">
      <c r="B566" s="925"/>
      <c r="C566" s="220" t="str">
        <f t="shared" si="145"/>
        <v>-</v>
      </c>
      <c r="D566" s="351">
        <f t="shared" si="146"/>
        <v>0</v>
      </c>
      <c r="E566" t="e">
        <f t="shared" si="147"/>
        <v>#N/A</v>
      </c>
      <c r="P566" s="670" t="str">
        <f t="shared" si="148"/>
        <v>-</v>
      </c>
      <c r="Q566">
        <v>-2.5</v>
      </c>
      <c r="R566" s="21">
        <f t="array" ref="R566">IFERROR(INDEX(Montageplatten[Höhe],LARGE((Montageplatten[Winkel_rand]=$L$70)*(ROW(Montageplatten[Winkel_rand])-1),COUNTIF(Montageplatten[Winkel_rand],$L$70)+1-ROW(A6))),"")</f>
        <v>2</v>
      </c>
      <c r="S566" s="21">
        <v>1</v>
      </c>
      <c r="T566" s="1087"/>
      <c r="AH566" t="e">
        <f>IF(AH570&lt;0,AH570+1,AH570)</f>
        <v>#N/A</v>
      </c>
      <c r="AI566" t="s">
        <v>1812</v>
      </c>
      <c r="AY566" s="248"/>
    </row>
    <row r="567" spans="2:51" hidden="1" outlineLevel="1" x14ac:dyDescent="0.25">
      <c r="B567" s="925"/>
      <c r="C567" s="220" t="str">
        <f t="shared" si="145"/>
        <v>-</v>
      </c>
      <c r="D567" s="351">
        <f t="shared" si="146"/>
        <v>0</v>
      </c>
      <c r="E567" t="e">
        <f t="shared" si="147"/>
        <v>#N/A</v>
      </c>
      <c r="P567" s="670" t="str">
        <f t="shared" si="148"/>
        <v>-</v>
      </c>
      <c r="Q567">
        <v>-3</v>
      </c>
      <c r="R567" s="21">
        <f t="array" ref="R567">IFERROR(INDEX(Montageplatten[Höhe],LARGE((Montageplatten[Winkel_rand]=$L$70)*(ROW(Montageplatten[Winkel_rand])-1),COUNTIF(Montageplatten[Winkel_rand],$L$70)+1-ROW(A7))),"")</f>
        <v>2</v>
      </c>
      <c r="S567" s="21">
        <v>1</v>
      </c>
      <c r="T567" s="1087"/>
      <c r="AH567" t="e">
        <f>AF564-AH566</f>
        <v>#N/A</v>
      </c>
      <c r="AI567" t="s">
        <v>1480</v>
      </c>
      <c r="AY567" s="248"/>
    </row>
    <row r="568" spans="2:51" hidden="1" outlineLevel="1" x14ac:dyDescent="0.25">
      <c r="B568" s="925"/>
      <c r="C568" s="220" t="str">
        <f t="shared" si="145"/>
        <v>-</v>
      </c>
      <c r="D568" s="351">
        <f t="shared" si="146"/>
        <v>0</v>
      </c>
      <c r="E568" t="e">
        <f t="shared" si="147"/>
        <v>#N/A</v>
      </c>
      <c r="P568" s="670" t="str">
        <f t="shared" si="148"/>
        <v>-</v>
      </c>
      <c r="Q568">
        <v>-3.5</v>
      </c>
      <c r="R568" s="21">
        <f t="array" ref="R568">IFERROR(INDEX(Montageplatten[Höhe],LARGE((Montageplatten[Winkel_rand]=$L$70)*(ROW(Montageplatten[Winkel_rand])-1),COUNTIF(Montageplatten[Winkel_rand],$L$70)+1-ROW(A8))),"")</f>
        <v>3</v>
      </c>
      <c r="S568" s="21">
        <v>1</v>
      </c>
      <c r="T568" s="1087"/>
      <c r="AH568" t="e">
        <f>IF(AH567&lt;0,AH567*-1,AH567)</f>
        <v>#N/A</v>
      </c>
      <c r="AI568" t="e">
        <f>IF(AND(AH568&gt;=AJ561,AH568&lt;AK561)=TRUE,AM562,IF(AND(AH568&gt;=AK561,AH568&lt;AL561)=TRUE,AM563,AM564))</f>
        <v>#N/A</v>
      </c>
      <c r="AJ568" t="e">
        <f>IF(AH566&lt;0,AI568*-1,AI568)</f>
        <v>#N/A</v>
      </c>
      <c r="AK568" t="s">
        <v>1807</v>
      </c>
      <c r="AY568" s="248"/>
    </row>
    <row r="569" spans="2:51" hidden="1" outlineLevel="1" x14ac:dyDescent="0.25">
      <c r="B569" s="925"/>
      <c r="C569" s="220" t="str">
        <f t="shared" si="145"/>
        <v>-</v>
      </c>
      <c r="D569" s="351">
        <f t="shared" si="146"/>
        <v>0</v>
      </c>
      <c r="E569" t="e">
        <f t="shared" si="147"/>
        <v>#N/A</v>
      </c>
      <c r="P569" s="670" t="str">
        <f t="shared" si="148"/>
        <v>-</v>
      </c>
      <c r="Q569">
        <v>-4</v>
      </c>
      <c r="R569" s="21">
        <f t="array" ref="R569">IFERROR(INDEX(Montageplatten[Höhe],LARGE((Montageplatten[Winkel_rand]=$L$70)*(ROW(Montageplatten[Winkel_rand])-1),COUNTIF(Montageplatten[Winkel_rand],$L$70)+1-ROW(A9))),"")</f>
        <v>3</v>
      </c>
      <c r="S569" s="21">
        <v>1</v>
      </c>
      <c r="T569" s="1087"/>
      <c r="AH569" t="e">
        <f>AH566+AJ568</f>
        <v>#N/A</v>
      </c>
      <c r="AI569" t="e">
        <f>AF564-AH569</f>
        <v>#N/A</v>
      </c>
      <c r="AY569" s="248"/>
    </row>
    <row r="570" spans="2:51" hidden="1" outlineLevel="1" x14ac:dyDescent="0.25">
      <c r="B570" s="925"/>
      <c r="C570" s="220" t="str">
        <f t="shared" si="145"/>
        <v>-</v>
      </c>
      <c r="D570" s="351">
        <f t="shared" si="146"/>
        <v>0</v>
      </c>
      <c r="E570" t="e">
        <f t="shared" si="147"/>
        <v>#N/A</v>
      </c>
      <c r="P570" s="670" t="str">
        <f t="shared" si="148"/>
        <v>-</v>
      </c>
      <c r="Q570">
        <v>-4.5</v>
      </c>
      <c r="R570" s="21">
        <f t="array" ref="R570">IFERROR(INDEX(Montageplatten[Höhe],LARGE((Montageplatten[Winkel_rand]=$L$70)*(ROW(Montageplatten[Winkel_rand])-1),COUNTIF(Montageplatten[Winkel_rand],$L$70)+1-ROW(A10))),"")</f>
        <v>3</v>
      </c>
      <c r="S570" s="21">
        <v>1</v>
      </c>
      <c r="T570" s="1087"/>
      <c r="AG570" t="s">
        <v>1811</v>
      </c>
      <c r="AH570" t="e">
        <f>INT(AF564)</f>
        <v>#N/A</v>
      </c>
      <c r="AI570" t="e">
        <f>AF564-AH570</f>
        <v>#N/A</v>
      </c>
      <c r="AL570" t="e">
        <f>IF(AI569&lt;AI570,AH569,AH570)</f>
        <v>#N/A</v>
      </c>
      <c r="AY570" s="248"/>
    </row>
    <row r="571" spans="2:51" hidden="1" outlineLevel="1" x14ac:dyDescent="0.25">
      <c r="B571" s="925"/>
      <c r="C571" s="220" t="str">
        <f t="shared" si="145"/>
        <v>-</v>
      </c>
      <c r="D571" s="351">
        <f t="shared" si="146"/>
        <v>0</v>
      </c>
      <c r="E571" t="e">
        <f t="shared" si="147"/>
        <v>#N/A</v>
      </c>
      <c r="P571" s="670" t="str">
        <f t="shared" si="148"/>
        <v>-</v>
      </c>
      <c r="Q571">
        <v>-5</v>
      </c>
      <c r="R571" s="21">
        <f t="array" ref="R571">IFERROR(INDEX(Montageplatten[Höhe],LARGE((Montageplatten[Winkel_rand]=$L$70)*(ROW(Montageplatten[Winkel_rand])-1),COUNTIF(Montageplatten[Winkel_rand],$L$70)+1-ROW(A11))),"")</f>
        <v>3.5</v>
      </c>
      <c r="S571" s="21">
        <v>1</v>
      </c>
      <c r="T571" s="1087"/>
      <c r="AY571" s="248"/>
    </row>
    <row r="572" spans="2:51" hidden="1" outlineLevel="1" x14ac:dyDescent="0.25">
      <c r="B572" s="925"/>
      <c r="C572" s="220" t="str">
        <f t="shared" si="145"/>
        <v>-</v>
      </c>
      <c r="D572" s="351">
        <f t="shared" si="146"/>
        <v>0</v>
      </c>
      <c r="E572" t="e">
        <f t="shared" si="147"/>
        <v>#N/A</v>
      </c>
      <c r="P572" s="670" t="str">
        <f t="shared" si="148"/>
        <v>-</v>
      </c>
      <c r="Q572">
        <v>-5.5</v>
      </c>
      <c r="R572" s="21">
        <f t="array" ref="R572">IFERROR(INDEX(Montageplatten[Höhe],LARGE((Montageplatten[Winkel_rand]=$L$70)*(ROW(Montageplatten[Winkel_rand])-1),COUNTIF(Montageplatten[Winkel_rand],$L$70)+1-ROW(A12))),"")</f>
        <v>3.5</v>
      </c>
      <c r="S572" s="21">
        <v>1</v>
      </c>
      <c r="T572" s="1087"/>
      <c r="AY572" s="248"/>
    </row>
    <row r="573" spans="2:51" hidden="1" outlineLevel="1" x14ac:dyDescent="0.25">
      <c r="B573" s="925"/>
      <c r="C573" s="220" t="str">
        <f t="shared" si="145"/>
        <v>-</v>
      </c>
      <c r="D573" s="351">
        <f t="shared" si="146"/>
        <v>0</v>
      </c>
      <c r="E573" t="e">
        <f t="shared" si="147"/>
        <v>#N/A</v>
      </c>
      <c r="P573" s="670" t="str">
        <f t="shared" si="148"/>
        <v>-</v>
      </c>
      <c r="Q573">
        <v>-6</v>
      </c>
      <c r="R573" s="21">
        <f t="array" ref="R573">IFERROR(INDEX(Montageplatten[Höhe],LARGE((Montageplatten[Winkel_rand]=$L$70)*(ROW(Montageplatten[Winkel_rand])-1),COUNTIF(Montageplatten[Winkel_rand],$L$70)+1-ROW(A13))),"")</f>
        <v>3.5</v>
      </c>
      <c r="S573" s="21">
        <v>1</v>
      </c>
      <c r="T573" s="1087"/>
      <c r="W573" t="s">
        <v>1809</v>
      </c>
      <c r="AY573" s="248"/>
    </row>
    <row r="574" spans="2:51" hidden="1" outlineLevel="1" x14ac:dyDescent="0.25">
      <c r="B574" s="925"/>
      <c r="C574" s="220" t="str">
        <f t="shared" si="145"/>
        <v>-</v>
      </c>
      <c r="D574" s="351">
        <f t="shared" si="146"/>
        <v>0</v>
      </c>
      <c r="E574" t="e">
        <f t="shared" si="147"/>
        <v>#N/A</v>
      </c>
      <c r="P574" s="670" t="str">
        <f t="shared" si="148"/>
        <v>-</v>
      </c>
      <c r="Q574">
        <v>-6.5</v>
      </c>
      <c r="R574" s="21">
        <f t="array" ref="R574">IFERROR(INDEX(Montageplatten[Höhe],LARGE((Montageplatten[Winkel_rand]=$L$70)*(ROW(Montageplatten[Winkel_rand])-1),COUNTIF(Montageplatten[Winkel_rand],$L$70)+1-ROW(A14))),"")</f>
        <v>6</v>
      </c>
      <c r="S574" s="21">
        <v>1</v>
      </c>
      <c r="T574" s="1087"/>
      <c r="AE574" t="s">
        <v>1815</v>
      </c>
      <c r="AY574" s="248"/>
    </row>
    <row r="575" spans="2:51" hidden="1" outlineLevel="1" x14ac:dyDescent="0.25">
      <c r="B575" s="925"/>
      <c r="C575" s="220" t="str">
        <f t="shared" si="145"/>
        <v>-</v>
      </c>
      <c r="D575" s="351">
        <f t="shared" si="146"/>
        <v>0</v>
      </c>
      <c r="E575" t="e">
        <f t="shared" si="147"/>
        <v>#N/A</v>
      </c>
      <c r="P575" s="670" t="str">
        <f t="shared" si="148"/>
        <v>-</v>
      </c>
      <c r="Q575">
        <v>-7</v>
      </c>
      <c r="R575" s="21">
        <f t="array" ref="R575">IFERROR(INDEX(Montageplatten[Höhe],LARGE((Montageplatten[Winkel_rand]=$L$70)*(ROW(Montageplatten[Winkel_rand])-1),COUNTIF(Montageplatten[Winkel_rand],$L$70)+1-ROW(A15))),"")</f>
        <v>8</v>
      </c>
      <c r="S575" s="21">
        <v>1</v>
      </c>
      <c r="T575" s="1087"/>
      <c r="X575" s="237"/>
      <c r="Y575" s="237" t="s">
        <v>1414</v>
      </c>
      <c r="AE575" t="s">
        <v>1456</v>
      </c>
      <c r="AY575" s="248"/>
    </row>
    <row r="576" spans="2:51" hidden="1" outlineLevel="1" x14ac:dyDescent="0.25">
      <c r="B576" s="925"/>
      <c r="C576" s="220" t="str">
        <f t="shared" si="145"/>
        <v>-</v>
      </c>
      <c r="D576" s="351">
        <f t="shared" si="146"/>
        <v>0</v>
      </c>
      <c r="E576" t="e">
        <f t="shared" si="147"/>
        <v>#N/A</v>
      </c>
      <c r="P576" s="670" t="str">
        <f t="shared" si="148"/>
        <v>-</v>
      </c>
      <c r="Q576">
        <v>-7.5</v>
      </c>
      <c r="R576" s="21">
        <f t="array" ref="R576">IFERROR(INDEX(Montageplatten[Höhe],LARGE((Montageplatten[Winkel_rand]=$L$70)*(ROW(Montageplatten[Winkel_rand])-1),COUNTIF(Montageplatten[Winkel_rand],$L$70)+1-ROW(A16))),"")</f>
        <v>9</v>
      </c>
      <c r="S576" s="21">
        <v>1</v>
      </c>
      <c r="T576" s="1087"/>
      <c r="X576" s="237" t="s">
        <v>52</v>
      </c>
      <c r="Y576" s="237" t="e">
        <f>Z565+AH562*TAN(-X565/180*PI())</f>
        <v>#N/A</v>
      </c>
      <c r="AY576" s="248"/>
    </row>
    <row r="577" spans="2:51" hidden="1" outlineLevel="1" x14ac:dyDescent="0.25">
      <c r="B577" s="925"/>
      <c r="C577" s="220" t="str">
        <f t="shared" si="145"/>
        <v>-</v>
      </c>
      <c r="D577" s="351">
        <f t="shared" si="146"/>
        <v>0</v>
      </c>
      <c r="E577" t="e">
        <f t="shared" si="147"/>
        <v>#N/A</v>
      </c>
      <c r="P577" s="670" t="str">
        <f t="shared" si="148"/>
        <v>-</v>
      </c>
      <c r="Q577">
        <v>-8</v>
      </c>
      <c r="R577" s="21">
        <f t="array" ref="R577">IFERROR(INDEX(Montageplatten[Höhe],LARGE((Montageplatten[Winkel_rand]=$L$70)*(ROW(Montageplatten[Winkel_rand])-1),COUNTIF(Montageplatten[Winkel_rand],$L$70)+1-ROW(A17))),"")</f>
        <v>9.5</v>
      </c>
      <c r="S577" s="21">
        <v>1</v>
      </c>
      <c r="T577" s="1087"/>
      <c r="X577" s="237" t="s">
        <v>51</v>
      </c>
      <c r="Y577" s="237" t="e">
        <f>Y576-17</f>
        <v>#N/A</v>
      </c>
      <c r="AY577" s="248"/>
    </row>
    <row r="578" spans="2:51" hidden="1" outlineLevel="1" x14ac:dyDescent="0.25">
      <c r="B578" s="925"/>
      <c r="C578" s="220" t="str">
        <f t="shared" si="145"/>
        <v>-</v>
      </c>
      <c r="D578" s="351">
        <f t="shared" si="146"/>
        <v>0</v>
      </c>
      <c r="E578" t="e">
        <f t="shared" si="147"/>
        <v>#N/A</v>
      </c>
      <c r="P578" s="670" t="str">
        <f t="shared" si="148"/>
        <v>-</v>
      </c>
      <c r="Q578">
        <v>-8.5</v>
      </c>
      <c r="R578" s="21">
        <f t="array" ref="R578">IFERROR(INDEX(Montageplatten[Höhe],LARGE((Montageplatten[Winkel_rand]=$L$70)*(ROW(Montageplatten[Winkel_rand])-1),COUNTIF(Montageplatten[Winkel_rand],$L$70)+1-ROW(A18))),"")</f>
        <v>12</v>
      </c>
      <c r="S578" s="21">
        <v>1</v>
      </c>
      <c r="T578" s="1087"/>
      <c r="Y578" t="str">
        <f ca="1">IFERROR(ROUND(OFFSET(Y575,D334,0)-$M$401,1),Sprache!A56&amp;" "&amp;Sprache!A146)</f>
        <v>keine Lösungen</v>
      </c>
      <c r="AY578" s="248"/>
    </row>
    <row r="579" spans="2:51" hidden="1" outlineLevel="1" x14ac:dyDescent="0.25">
      <c r="B579" s="925"/>
      <c r="C579" s="220" t="str">
        <f t="shared" si="145"/>
        <v>-</v>
      </c>
      <c r="D579" s="351">
        <f t="shared" si="146"/>
        <v>0</v>
      </c>
      <c r="E579" t="e">
        <f t="shared" si="147"/>
        <v>#N/A</v>
      </c>
      <c r="P579" s="670" t="str">
        <f t="shared" si="148"/>
        <v>-</v>
      </c>
      <c r="Q579">
        <v>-9</v>
      </c>
      <c r="R579" s="21">
        <f t="array" ref="R579">IFERROR(INDEX(Montageplatten[Höhe],LARGE((Montageplatten[Winkel_rand]=$L$70)*(ROW(Montageplatten[Winkel_rand])-1),COUNTIF(Montageplatten[Winkel_rand],$L$70)+1-ROW(A19))),"")</f>
        <v>14</v>
      </c>
      <c r="S579" s="21">
        <v>1</v>
      </c>
      <c r="T579" s="1087"/>
      <c r="AY579" s="248"/>
    </row>
    <row r="580" spans="2:51" hidden="1" outlineLevel="1" x14ac:dyDescent="0.25">
      <c r="B580" s="925"/>
      <c r="C580" s="220" t="str">
        <f t="shared" si="145"/>
        <v>-</v>
      </c>
      <c r="D580" s="351">
        <f t="shared" si="146"/>
        <v>0</v>
      </c>
      <c r="E580" t="e">
        <f t="shared" si="147"/>
        <v>#N/A</v>
      </c>
      <c r="P580" s="670" t="str">
        <f t="shared" si="148"/>
        <v>-</v>
      </c>
      <c r="Q580">
        <v>-9.5</v>
      </c>
      <c r="R580" s="21">
        <f t="array" ref="R580">IFERROR(INDEX(Montageplatten[Höhe],LARGE((Montageplatten[Winkel_rand]=$L$70)*(ROW(Montageplatten[Winkel_rand])-1),COUNTIF(Montageplatten[Winkel_rand],$L$70)+1-ROW(A20))),"")</f>
        <v>15</v>
      </c>
      <c r="S580" s="21">
        <v>1</v>
      </c>
      <c r="T580" s="1087"/>
      <c r="AY580" s="248"/>
    </row>
    <row r="581" spans="2:51" hidden="1" outlineLevel="1" x14ac:dyDescent="0.25">
      <c r="B581" s="925"/>
      <c r="C581" s="220" t="str">
        <f t="shared" si="145"/>
        <v>-</v>
      </c>
      <c r="D581" s="351">
        <f t="shared" si="146"/>
        <v>0</v>
      </c>
      <c r="E581" t="e">
        <f t="shared" si="147"/>
        <v>#N/A</v>
      </c>
      <c r="P581" s="670" t="str">
        <f t="shared" si="148"/>
        <v>-</v>
      </c>
      <c r="Q581">
        <v>-10</v>
      </c>
      <c r="R581" s="21">
        <f t="array" ref="R581">IFERROR(INDEX(Montageplatten[Höhe],LARGE((Montageplatten[Winkel_rand]=$L$70)*(ROW(Montageplatten[Winkel_rand])-1),COUNTIF(Montageplatten[Winkel_rand],$L$70)+1-ROW(A21))),"")</f>
        <v>15.5</v>
      </c>
      <c r="S581" s="21">
        <v>1</v>
      </c>
      <c r="T581" s="1087"/>
      <c r="AY581" s="248"/>
    </row>
    <row r="582" spans="2:51" hidden="1" outlineLevel="1" x14ac:dyDescent="0.25">
      <c r="B582" s="925"/>
      <c r="C582" s="220" t="str">
        <f t="shared" si="145"/>
        <v>-</v>
      </c>
      <c r="D582" s="351">
        <f t="shared" si="146"/>
        <v>0</v>
      </c>
      <c r="E582" t="e">
        <f t="shared" si="147"/>
        <v>#N/A</v>
      </c>
      <c r="P582" s="670" t="str">
        <f t="shared" si="148"/>
        <v>-</v>
      </c>
      <c r="Q582">
        <v>-10.5</v>
      </c>
      <c r="R582" s="21">
        <f t="array" ref="R582">IFERROR(INDEX(Montageplatten[Höhe],LARGE((Montageplatten[Winkel_rand]=$L$70)*(ROW(Montageplatten[Winkel_rand])-1),COUNTIF(Montageplatten[Winkel_rand],$L$70)+1-ROW(A22))),"")</f>
        <v>19</v>
      </c>
      <c r="S582" s="21">
        <v>1</v>
      </c>
      <c r="T582" s="1087"/>
      <c r="AY582" s="248"/>
    </row>
    <row r="583" spans="2:51" hidden="1" outlineLevel="1" x14ac:dyDescent="0.25">
      <c r="B583" s="925"/>
      <c r="C583" s="220" t="str">
        <f t="shared" si="145"/>
        <v>-</v>
      </c>
      <c r="D583" s="351">
        <f t="shared" si="146"/>
        <v>0</v>
      </c>
      <c r="E583" t="e">
        <f t="shared" si="147"/>
        <v>#N/A</v>
      </c>
      <c r="P583" s="670" t="str">
        <f t="shared" si="148"/>
        <v>-</v>
      </c>
      <c r="Q583">
        <v>-11</v>
      </c>
      <c r="R583" s="21">
        <f t="array" ref="R583">IFERROR(INDEX(Montageplatten[Höhe],LARGE((Montageplatten[Winkel_rand]=$L$70)*(ROW(Montageplatten[Winkel_rand])-1),COUNTIF(Montageplatten[Winkel_rand],$L$70)+1-ROW(A23))),"")</f>
        <v>21</v>
      </c>
      <c r="S583" s="21">
        <v>1</v>
      </c>
      <c r="T583" s="1087"/>
      <c r="AY583" s="248"/>
    </row>
    <row r="584" spans="2:51" hidden="1" outlineLevel="1" x14ac:dyDescent="0.25">
      <c r="B584" s="925"/>
      <c r="C584" s="220" t="str">
        <f t="shared" si="145"/>
        <v>-</v>
      </c>
      <c r="D584" s="351">
        <f t="shared" si="146"/>
        <v>0</v>
      </c>
      <c r="E584" t="e">
        <f t="shared" si="147"/>
        <v>#N/A</v>
      </c>
      <c r="P584" s="670" t="str">
        <f t="shared" si="148"/>
        <v>-</v>
      </c>
      <c r="Q584">
        <v>-11.5</v>
      </c>
      <c r="R584" s="21" t="str">
        <f t="array" ref="R584">IFERROR(INDEX(Montageplatten[Höhe],LARGE((Montageplatten[Winkel_rand]=$L$70)*(ROW(Montageplatten[Winkel_rand])-1),COUNTIF(Montageplatten[Winkel_rand],$L$70)+1-ROW(A24))),"")</f>
        <v/>
      </c>
      <c r="S584" s="21">
        <v>1</v>
      </c>
      <c r="T584" s="1087"/>
      <c r="AY584" s="248"/>
    </row>
    <row r="585" spans="2:51" hidden="1" outlineLevel="1" x14ac:dyDescent="0.25">
      <c r="B585" s="925"/>
      <c r="C585" s="220" t="str">
        <f t="shared" si="145"/>
        <v>-</v>
      </c>
      <c r="D585" s="351">
        <f t="shared" si="146"/>
        <v>0</v>
      </c>
      <c r="E585" t="e">
        <f t="shared" si="147"/>
        <v>#N/A</v>
      </c>
      <c r="P585" s="670" t="str">
        <f t="shared" si="148"/>
        <v>-</v>
      </c>
      <c r="Q585">
        <v>-12</v>
      </c>
      <c r="R585" s="21" t="str">
        <f t="array" ref="R585">IFERROR(INDEX(Montageplatten[Höhe],LARGE((Montageplatten[Winkel_rand]=$L$70)*(ROW(Montageplatten[Winkel_rand])-1),COUNTIF(Montageplatten[Winkel_rand],$L$70)+1-ROW(A25))),"")</f>
        <v/>
      </c>
      <c r="S585" s="21">
        <v>1</v>
      </c>
      <c r="T585" s="1087"/>
      <c r="AY585" s="248"/>
    </row>
    <row r="586" spans="2:51" hidden="1" outlineLevel="1" x14ac:dyDescent="0.25">
      <c r="B586" s="925"/>
      <c r="C586" s="220" t="str">
        <f t="shared" si="145"/>
        <v>-</v>
      </c>
      <c r="D586" s="351">
        <f t="shared" si="146"/>
        <v>0</v>
      </c>
      <c r="E586" t="e">
        <f t="shared" si="147"/>
        <v>#N/A</v>
      </c>
      <c r="P586" s="670" t="str">
        <f t="shared" si="148"/>
        <v>-</v>
      </c>
      <c r="Q586">
        <v>-12.5</v>
      </c>
      <c r="R586" s="21" t="str">
        <f t="array" ref="R586">IFERROR(INDEX(Montageplatten[Höhe],LARGE((Montageplatten[Winkel_rand]=$L$70)*(ROW(Montageplatten[Winkel_rand])-1),COUNTIF(Montageplatten[Winkel_rand],$L$70)+1-ROW(A26))),"")</f>
        <v/>
      </c>
      <c r="S586" s="21">
        <v>1</v>
      </c>
      <c r="T586" s="1087"/>
      <c r="AY586" s="248"/>
    </row>
    <row r="587" spans="2:51" hidden="1" outlineLevel="1" x14ac:dyDescent="0.25">
      <c r="B587" s="925"/>
      <c r="C587" s="220" t="str">
        <f t="shared" si="145"/>
        <v>-</v>
      </c>
      <c r="D587" s="351">
        <f t="shared" si="146"/>
        <v>0</v>
      </c>
      <c r="E587" t="e">
        <f t="shared" si="147"/>
        <v>#N/A</v>
      </c>
      <c r="P587" s="670" t="str">
        <f t="shared" si="148"/>
        <v>-</v>
      </c>
      <c r="Q587">
        <v>-13</v>
      </c>
      <c r="R587" s="21" t="str">
        <f t="array" ref="R587">IFERROR(INDEX(Montageplatten[Höhe],LARGE((Montageplatten[Winkel_rand]=$L$70)*(ROW(Montageplatten[Winkel_rand])-1),COUNTIF(Montageplatten[Winkel_rand],$L$70)+1-ROW(A27))),"")</f>
        <v/>
      </c>
      <c r="S587" s="21">
        <v>1</v>
      </c>
      <c r="T587" s="1087"/>
      <c r="AY587" s="248"/>
    </row>
    <row r="588" spans="2:51" hidden="1" outlineLevel="1" x14ac:dyDescent="0.25">
      <c r="B588" s="925"/>
      <c r="C588" s="220" t="str">
        <f t="shared" si="145"/>
        <v>-</v>
      </c>
      <c r="D588" s="351">
        <f t="shared" si="146"/>
        <v>0</v>
      </c>
      <c r="E588" t="e">
        <f t="shared" si="147"/>
        <v>#N/A</v>
      </c>
      <c r="P588" s="670" t="str">
        <f t="shared" si="148"/>
        <v>-</v>
      </c>
      <c r="Q588">
        <v>-13.5</v>
      </c>
      <c r="R588" s="21" t="str">
        <f t="array" ref="R588">IFERROR(INDEX(Montageplatten[Höhe],LARGE((Montageplatten[Winkel_rand]=$L$70)*(ROW(Montageplatten[Winkel_rand])-1),COUNTIF(Montageplatten[Winkel_rand],$L$70)+1-ROW(A28))),"")</f>
        <v/>
      </c>
      <c r="S588" s="21">
        <v>1</v>
      </c>
      <c r="T588" s="1087"/>
      <c r="AY588" s="248"/>
    </row>
    <row r="589" spans="2:51" hidden="1" outlineLevel="1" x14ac:dyDescent="0.25">
      <c r="B589" s="925"/>
      <c r="C589" s="220" t="str">
        <f t="shared" si="145"/>
        <v>-</v>
      </c>
      <c r="D589" s="351">
        <f t="shared" si="146"/>
        <v>0</v>
      </c>
      <c r="E589" t="e">
        <f t="shared" si="147"/>
        <v>#N/A</v>
      </c>
      <c r="P589" s="670" t="str">
        <f t="shared" si="148"/>
        <v>-</v>
      </c>
      <c r="Q589">
        <v>-14</v>
      </c>
      <c r="R589" s="21" t="str">
        <f t="array" ref="R589">IFERROR(INDEX(Montageplatten[Höhe],LARGE((Montageplatten[Winkel_rand]=$L$70)*(ROW(Montageplatten[Winkel_rand])-1),COUNTIF(Montageplatten[Winkel_rand],$L$70)+1-ROW(A29))),"")</f>
        <v/>
      </c>
      <c r="S589" s="21">
        <v>1</v>
      </c>
      <c r="T589" s="1087"/>
      <c r="AY589" s="248"/>
    </row>
    <row r="590" spans="2:51" hidden="1" outlineLevel="1" x14ac:dyDescent="0.25">
      <c r="B590" s="925"/>
      <c r="C590" s="220" t="str">
        <f t="shared" si="145"/>
        <v>-</v>
      </c>
      <c r="D590" s="351">
        <f t="shared" si="146"/>
        <v>0</v>
      </c>
      <c r="E590" t="e">
        <f t="shared" si="147"/>
        <v>#N/A</v>
      </c>
      <c r="P590" s="670" t="str">
        <f t="shared" si="148"/>
        <v>-</v>
      </c>
      <c r="Q590">
        <v>-14.5</v>
      </c>
      <c r="R590" s="21" t="str">
        <f t="array" ref="R590">IFERROR(INDEX(Montageplatten[Höhe],LARGE((Montageplatten[Winkel_rand]=$L$70)*(ROW(Montageplatten[Winkel_rand])-1),COUNTIF(Montageplatten[Winkel_rand],$L$70)+1-ROW(A30))),"")</f>
        <v/>
      </c>
      <c r="S590" s="21">
        <v>1</v>
      </c>
      <c r="T590" s="1087"/>
      <c r="AY590" s="248"/>
    </row>
    <row r="591" spans="2:51" hidden="1" outlineLevel="1" x14ac:dyDescent="0.25">
      <c r="B591" s="925"/>
      <c r="C591" s="220" t="str">
        <f t="shared" si="145"/>
        <v>-</v>
      </c>
      <c r="D591" s="351">
        <f t="shared" si="146"/>
        <v>0</v>
      </c>
      <c r="E591" t="e">
        <f t="shared" si="147"/>
        <v>#N/A</v>
      </c>
      <c r="P591" s="670" t="str">
        <f t="shared" si="148"/>
        <v>-</v>
      </c>
      <c r="Q591">
        <v>-15</v>
      </c>
      <c r="R591" s="21" t="str">
        <f t="array" ref="R591">IFERROR(INDEX(Montageplatten[Höhe],LARGE((Montageplatten[Winkel_rand]=$L$70)*(ROW(Montageplatten[Winkel_rand])-1),COUNTIF(Montageplatten[Winkel_rand],$L$70)+1-ROW(A31))),"")</f>
        <v/>
      </c>
      <c r="S591" s="21">
        <v>1</v>
      </c>
      <c r="T591" s="1087"/>
      <c r="AY591" s="248"/>
    </row>
    <row r="592" spans="2:51" hidden="1" outlineLevel="1" x14ac:dyDescent="0.25">
      <c r="B592" s="925"/>
      <c r="C592" s="220" t="str">
        <f t="shared" si="145"/>
        <v>-</v>
      </c>
      <c r="D592" s="351">
        <f t="shared" si="146"/>
        <v>0</v>
      </c>
      <c r="E592" t="e">
        <f t="shared" si="147"/>
        <v>#N/A</v>
      </c>
      <c r="P592" s="670" t="str">
        <f t="shared" si="148"/>
        <v>-</v>
      </c>
      <c r="Q592">
        <v>-15.5</v>
      </c>
      <c r="R592" s="21" t="str">
        <f t="array" ref="R592">IFERROR(INDEX(Montageplatten[Höhe],LARGE((Montageplatten[Winkel_rand]=$L$70)*(ROW(Montageplatten[Winkel_rand])-1),COUNTIF(Montageplatten[Winkel_rand],$L$70)+1-ROW(A32))),"")</f>
        <v/>
      </c>
      <c r="S592" s="21">
        <v>1</v>
      </c>
      <c r="T592" s="1087"/>
      <c r="AY592" s="248"/>
    </row>
    <row r="593" spans="2:51" hidden="1" outlineLevel="1" x14ac:dyDescent="0.25">
      <c r="B593" s="925"/>
      <c r="C593" s="220" t="str">
        <f t="shared" ref="C593:C610" si="149">P593</f>
        <v>-</v>
      </c>
      <c r="D593" s="351">
        <f t="shared" si="146"/>
        <v>0</v>
      </c>
      <c r="E593" t="e">
        <f t="shared" si="147"/>
        <v>#N/A</v>
      </c>
      <c r="P593" s="670" t="str">
        <f t="shared" si="148"/>
        <v>-</v>
      </c>
      <c r="Q593">
        <v>-16</v>
      </c>
      <c r="R593" s="21" t="str">
        <f t="array" ref="R593">IFERROR(INDEX(Montageplatten[Höhe],LARGE((Montageplatten[Winkel_rand]=$L$70)*(ROW(Montageplatten[Winkel_rand])-1),COUNTIF(Montageplatten[Winkel_rand],$L$70)+1-ROW(A33))),"")</f>
        <v/>
      </c>
      <c r="S593" s="21">
        <v>1</v>
      </c>
      <c r="T593" s="1087"/>
      <c r="AY593" s="248"/>
    </row>
    <row r="594" spans="2:51" hidden="1" outlineLevel="1" x14ac:dyDescent="0.25">
      <c r="B594" s="925"/>
      <c r="C594" s="220" t="str">
        <f t="shared" si="149"/>
        <v>-</v>
      </c>
      <c r="D594" s="351">
        <f t="shared" si="146"/>
        <v>0</v>
      </c>
      <c r="E594" t="e">
        <f t="shared" si="147"/>
        <v>#N/A</v>
      </c>
      <c r="P594" s="670" t="str">
        <f t="shared" si="148"/>
        <v>-</v>
      </c>
      <c r="Q594">
        <v>-16.5</v>
      </c>
      <c r="R594" s="21" t="str">
        <f t="array" ref="R594">IFERROR(INDEX(Montageplatten[Höhe],LARGE((Montageplatten[Winkel_rand]=$L$70)*(ROW(Montageplatten[Winkel_rand])-1),COUNTIF(Montageplatten[Winkel_rand],$L$70)+1-ROW(A34))),"")</f>
        <v/>
      </c>
      <c r="S594" s="21">
        <v>1</v>
      </c>
      <c r="T594" s="1087"/>
      <c r="AY594" s="248"/>
    </row>
    <row r="595" spans="2:51" hidden="1" outlineLevel="1" x14ac:dyDescent="0.25">
      <c r="B595" s="925"/>
      <c r="C595" s="220" t="str">
        <f t="shared" si="149"/>
        <v>-</v>
      </c>
      <c r="D595" s="351">
        <f t="shared" si="146"/>
        <v>0</v>
      </c>
      <c r="E595" t="e">
        <f t="shared" si="147"/>
        <v>#N/A</v>
      </c>
      <c r="P595" s="670" t="str">
        <f t="shared" si="148"/>
        <v>-</v>
      </c>
      <c r="Q595">
        <v>-17</v>
      </c>
      <c r="R595" s="21" t="str">
        <f t="array" ref="R595">IFERROR(INDEX(Montageplatten[Höhe],LARGE((Montageplatten[Winkel_rand]=$L$70)*(ROW(Montageplatten[Winkel_rand])-1),COUNTIF(Montageplatten[Winkel_rand],$L$70)+1-ROW(A35))),"")</f>
        <v/>
      </c>
      <c r="S595" s="21">
        <v>1</v>
      </c>
      <c r="T595" s="1087"/>
      <c r="AY595" s="248"/>
    </row>
    <row r="596" spans="2:51" hidden="1" outlineLevel="1" x14ac:dyDescent="0.25">
      <c r="B596" s="925"/>
      <c r="C596" s="220" t="str">
        <f t="shared" si="149"/>
        <v>-</v>
      </c>
      <c r="D596" s="351">
        <f t="shared" si="146"/>
        <v>0</v>
      </c>
      <c r="E596" t="e">
        <f t="shared" si="147"/>
        <v>#N/A</v>
      </c>
      <c r="P596" s="670" t="str">
        <f t="shared" si="148"/>
        <v>-</v>
      </c>
      <c r="Q596">
        <v>-17.5</v>
      </c>
      <c r="R596" s="21" t="str">
        <f t="array" ref="R596">IFERROR(INDEX(Montageplatten[Höhe],LARGE((Montageplatten[Winkel_rand]=$L$70)*(ROW(Montageplatten[Winkel_rand])-1),COUNTIF(Montageplatten[Winkel_rand],$L$70)+1-ROW(A36))),"")</f>
        <v/>
      </c>
      <c r="S596" s="21">
        <v>1</v>
      </c>
      <c r="T596" s="1087"/>
      <c r="V596" s="248"/>
      <c r="W596" s="248"/>
      <c r="X596" s="248"/>
      <c r="Y596" s="248"/>
      <c r="Z596" s="248"/>
      <c r="AA596" s="248"/>
      <c r="AB596" s="248"/>
      <c r="AC596" s="248"/>
      <c r="AD596" s="248"/>
      <c r="AE596" s="248"/>
      <c r="AF596" s="248"/>
      <c r="AG596" s="248"/>
      <c r="AH596" s="248"/>
      <c r="AI596" s="248"/>
      <c r="AJ596" s="248"/>
      <c r="AK596" s="248"/>
      <c r="AL596" s="248"/>
      <c r="AM596" s="248"/>
      <c r="AN596" s="248"/>
      <c r="AO596" s="248"/>
      <c r="AP596" s="248"/>
      <c r="AQ596" s="248"/>
      <c r="AR596" s="248"/>
      <c r="AS596" s="248"/>
      <c r="AT596" s="248"/>
      <c r="AU596" s="248"/>
      <c r="AV596" s="248"/>
      <c r="AW596" s="248"/>
      <c r="AX596" s="248"/>
      <c r="AY596" s="248"/>
    </row>
    <row r="597" spans="2:51" hidden="1" outlineLevel="1" x14ac:dyDescent="0.25">
      <c r="B597" s="925"/>
      <c r="C597" s="220" t="str">
        <f t="shared" si="149"/>
        <v>-</v>
      </c>
      <c r="D597" s="351">
        <f t="shared" si="146"/>
        <v>0</v>
      </c>
      <c r="E597" t="e">
        <f t="shared" si="147"/>
        <v>#N/A</v>
      </c>
      <c r="P597" s="670" t="str">
        <f t="shared" si="148"/>
        <v>-</v>
      </c>
      <c r="Q597">
        <v>-18</v>
      </c>
      <c r="R597" s="21" t="str">
        <f t="array" ref="R597">IFERROR(INDEX(Montageplatten[Höhe],LARGE((Montageplatten[Winkel_rand]=$L$70)*(ROW(Montageplatten[Winkel_rand])-1),COUNTIF(Montageplatten[Winkel_rand],$L$70)+1-ROW(A37))),"")</f>
        <v/>
      </c>
      <c r="S597" s="21">
        <v>1</v>
      </c>
      <c r="T597" s="1087"/>
      <c r="V597" s="248"/>
    </row>
    <row r="598" spans="2:51" hidden="1" outlineLevel="1" x14ac:dyDescent="0.25">
      <c r="B598" s="925"/>
      <c r="C598" s="220" t="str">
        <f t="shared" si="149"/>
        <v>-</v>
      </c>
      <c r="D598" s="351">
        <f t="shared" si="146"/>
        <v>0</v>
      </c>
      <c r="E598" t="e">
        <f t="shared" si="147"/>
        <v>#N/A</v>
      </c>
      <c r="P598" s="670" t="str">
        <f t="shared" si="148"/>
        <v>-</v>
      </c>
      <c r="Q598">
        <v>-18.5</v>
      </c>
      <c r="R598" s="21" t="str">
        <f t="array" ref="R598">IFERROR(INDEX(Montageplatten[Höhe],LARGE((Montageplatten[Winkel_rand]=$L$70)*(ROW(Montageplatten[Winkel_rand])-1),COUNTIF(Montageplatten[Winkel_rand],$L$70)+1-ROW(A38))),"")</f>
        <v/>
      </c>
      <c r="S598" s="21">
        <v>1</v>
      </c>
      <c r="T598" s="1087"/>
      <c r="V598" s="248"/>
    </row>
    <row r="599" spans="2:51" hidden="1" outlineLevel="1" x14ac:dyDescent="0.25">
      <c r="B599" s="925"/>
      <c r="C599" s="220" t="str">
        <f t="shared" si="149"/>
        <v>-</v>
      </c>
      <c r="D599" s="351">
        <f t="shared" si="146"/>
        <v>0</v>
      </c>
      <c r="E599" t="e">
        <f t="shared" si="147"/>
        <v>#N/A</v>
      </c>
      <c r="P599" s="670" t="str">
        <f t="shared" si="148"/>
        <v>-</v>
      </c>
      <c r="Q599">
        <v>-19</v>
      </c>
      <c r="R599" s="21" t="str">
        <f t="array" ref="R599">IFERROR(INDEX(Montageplatten[Höhe],LARGE((Montageplatten[Winkel_rand]=$L$70)*(ROW(Montageplatten[Winkel_rand])-1),COUNTIF(Montageplatten[Winkel_rand],$L$70)+1-ROW(A39))),"")</f>
        <v/>
      </c>
      <c r="S599" s="21">
        <v>1</v>
      </c>
      <c r="T599" s="1087"/>
      <c r="V599" s="248"/>
    </row>
    <row r="600" spans="2:51" hidden="1" outlineLevel="1" x14ac:dyDescent="0.25">
      <c r="B600" s="925"/>
      <c r="C600" s="220" t="str">
        <f t="shared" si="149"/>
        <v>-</v>
      </c>
      <c r="D600" s="351">
        <f t="shared" si="146"/>
        <v>0</v>
      </c>
      <c r="E600" t="e">
        <f t="shared" si="147"/>
        <v>#N/A</v>
      </c>
      <c r="P600" s="670" t="str">
        <f t="shared" si="148"/>
        <v>-</v>
      </c>
      <c r="Q600">
        <v>-19.5</v>
      </c>
      <c r="R600" s="21" t="str">
        <f t="array" ref="R600">IFERROR(INDEX(Montageplatten[Höhe],LARGE((Montageplatten[Winkel_rand]=$L$70)*(ROW(Montageplatten[Winkel_rand])-1),COUNTIF(Montageplatten[Winkel_rand],$L$70)+1-ROW(A40))),"")</f>
        <v/>
      </c>
      <c r="S600" s="21">
        <v>1</v>
      </c>
      <c r="T600" s="1087"/>
      <c r="V600" s="248"/>
    </row>
    <row r="601" spans="2:51" hidden="1" outlineLevel="1" x14ac:dyDescent="0.25">
      <c r="B601" s="925"/>
      <c r="C601" s="220" t="str">
        <f t="shared" si="149"/>
        <v>-</v>
      </c>
      <c r="D601" s="351">
        <f t="shared" si="146"/>
        <v>0</v>
      </c>
      <c r="E601" t="e">
        <f t="shared" si="147"/>
        <v>#N/A</v>
      </c>
      <c r="P601" s="670" t="str">
        <f t="shared" si="148"/>
        <v>-</v>
      </c>
      <c r="Q601">
        <v>-20</v>
      </c>
      <c r="R601" s="21" t="str">
        <f t="array" ref="R601">IFERROR(INDEX(Montageplatten[Höhe],LARGE((Montageplatten[Winkel_rand]=$L$70)*(ROW(Montageplatten[Winkel_rand])-1),COUNTIF(Montageplatten[Winkel_rand],$L$70)+1-ROW(A41))),"")</f>
        <v/>
      </c>
      <c r="S601" s="21">
        <v>1</v>
      </c>
      <c r="T601" s="1087"/>
      <c r="V601" s="248"/>
    </row>
    <row r="602" spans="2:51" hidden="1" outlineLevel="1" x14ac:dyDescent="0.25">
      <c r="B602" s="925"/>
      <c r="C602" s="220" t="str">
        <f t="shared" si="149"/>
        <v>-</v>
      </c>
      <c r="D602" s="351">
        <f t="shared" si="146"/>
        <v>0</v>
      </c>
      <c r="E602" t="e">
        <f t="shared" si="147"/>
        <v>#N/A</v>
      </c>
      <c r="P602" s="670" t="str">
        <f t="shared" si="148"/>
        <v>-</v>
      </c>
      <c r="Q602">
        <v>-20.5</v>
      </c>
      <c r="R602" s="21" t="str">
        <f t="array" ref="R602">IFERROR(INDEX(Montageplatten[Höhe],LARGE((Montageplatten[Winkel_rand]=$L$70)*(ROW(Montageplatten[Winkel_rand])-1),COUNTIF(Montageplatten[Winkel_rand],$L$70)+1-ROW(A42))),"")</f>
        <v/>
      </c>
      <c r="S602" s="21">
        <v>1</v>
      </c>
      <c r="T602" s="1087"/>
      <c r="V602" s="248"/>
    </row>
    <row r="603" spans="2:51" hidden="1" outlineLevel="1" x14ac:dyDescent="0.25">
      <c r="B603" s="925"/>
      <c r="C603" s="220" t="str">
        <f t="shared" si="149"/>
        <v>-</v>
      </c>
      <c r="D603" s="351">
        <f t="shared" si="146"/>
        <v>0</v>
      </c>
      <c r="E603" t="e">
        <f t="shared" si="147"/>
        <v>#N/A</v>
      </c>
      <c r="P603" s="670" t="str">
        <f t="shared" si="148"/>
        <v>-</v>
      </c>
      <c r="Q603">
        <v>-21</v>
      </c>
      <c r="R603" s="21" t="str">
        <f t="array" ref="R603">IFERROR(INDEX(Montageplatten[Höhe],LARGE((Montageplatten[Winkel_rand]=$L$70)*(ROW(Montageplatten[Winkel_rand])-1),COUNTIF(Montageplatten[Winkel_rand],$L$70)+1-ROW(A43))),"")</f>
        <v/>
      </c>
      <c r="S603" s="21">
        <v>1</v>
      </c>
      <c r="T603" s="1087"/>
      <c r="V603" s="248"/>
    </row>
    <row r="604" spans="2:51" hidden="1" outlineLevel="1" x14ac:dyDescent="0.25">
      <c r="B604" s="925"/>
      <c r="C604" s="220" t="str">
        <f t="shared" si="149"/>
        <v>-</v>
      </c>
      <c r="D604" s="351">
        <f t="shared" si="146"/>
        <v>0</v>
      </c>
      <c r="E604" t="e">
        <f t="shared" si="147"/>
        <v>#N/A</v>
      </c>
      <c r="P604" s="670" t="str">
        <f t="shared" si="148"/>
        <v>-</v>
      </c>
      <c r="Q604">
        <v>-21.5</v>
      </c>
      <c r="R604" s="21" t="str">
        <f t="array" ref="R604">IFERROR(INDEX(Montageplatten[Höhe],LARGE((Montageplatten[Winkel_rand]=$L$70)*(ROW(Montageplatten[Winkel_rand])-1),COUNTIF(Montageplatten[Winkel_rand],$L$70)+1-ROW(A44))),"")</f>
        <v/>
      </c>
      <c r="S604" s="21">
        <v>1</v>
      </c>
      <c r="T604" s="1087"/>
      <c r="V604" s="248"/>
    </row>
    <row r="605" spans="2:51" hidden="1" outlineLevel="1" x14ac:dyDescent="0.25">
      <c r="B605" s="925"/>
      <c r="C605" s="220" t="str">
        <f t="shared" si="149"/>
        <v>-</v>
      </c>
      <c r="D605" s="351">
        <f t="shared" si="146"/>
        <v>0</v>
      </c>
      <c r="E605" t="e">
        <f t="shared" si="147"/>
        <v>#N/A</v>
      </c>
      <c r="P605" s="670" t="str">
        <f t="shared" si="148"/>
        <v>-</v>
      </c>
      <c r="Q605">
        <v>-22</v>
      </c>
      <c r="V605" s="248"/>
    </row>
    <row r="606" spans="2:51" hidden="1" outlineLevel="1" x14ac:dyDescent="0.25">
      <c r="B606" s="925"/>
      <c r="C606" s="220" t="str">
        <f t="shared" si="149"/>
        <v>-</v>
      </c>
      <c r="D606" s="351">
        <f t="shared" si="146"/>
        <v>0</v>
      </c>
      <c r="E606" t="e">
        <f t="shared" si="147"/>
        <v>#N/A</v>
      </c>
      <c r="P606" s="670" t="str">
        <f t="shared" si="148"/>
        <v>-</v>
      </c>
      <c r="Q606">
        <v>-22.5</v>
      </c>
      <c r="V606" s="248"/>
    </row>
    <row r="607" spans="2:51" hidden="1" outlineLevel="1" x14ac:dyDescent="0.25">
      <c r="B607" s="925"/>
      <c r="C607" s="220" t="str">
        <f t="shared" si="149"/>
        <v>-</v>
      </c>
      <c r="D607" s="351">
        <f t="shared" si="146"/>
        <v>0</v>
      </c>
      <c r="E607" t="e">
        <f t="shared" si="147"/>
        <v>#N/A</v>
      </c>
      <c r="P607" s="670" t="str">
        <f t="shared" si="148"/>
        <v>-</v>
      </c>
      <c r="Q607">
        <v>-23</v>
      </c>
      <c r="V607" s="248"/>
    </row>
    <row r="608" spans="2:51" hidden="1" outlineLevel="1" x14ac:dyDescent="0.25">
      <c r="B608" s="925"/>
      <c r="C608" s="220" t="str">
        <f t="shared" si="149"/>
        <v>-</v>
      </c>
      <c r="D608" s="351">
        <f t="shared" si="146"/>
        <v>0</v>
      </c>
      <c r="E608" t="e">
        <f t="shared" si="147"/>
        <v>#N/A</v>
      </c>
      <c r="P608" s="670" t="str">
        <f t="shared" si="148"/>
        <v>-</v>
      </c>
      <c r="Q608">
        <v>-23.5</v>
      </c>
      <c r="V608" s="248"/>
    </row>
    <row r="609" spans="2:22" hidden="1" outlineLevel="1" x14ac:dyDescent="0.25">
      <c r="B609" s="925"/>
      <c r="C609" s="220" t="str">
        <f t="shared" si="149"/>
        <v>-</v>
      </c>
      <c r="D609" s="351">
        <f t="shared" si="146"/>
        <v>0</v>
      </c>
      <c r="E609" t="e">
        <f t="shared" si="147"/>
        <v>#N/A</v>
      </c>
      <c r="P609" s="670" t="str">
        <f t="shared" si="148"/>
        <v>-</v>
      </c>
      <c r="Q609">
        <v>-24</v>
      </c>
      <c r="V609" s="248"/>
    </row>
    <row r="610" spans="2:22" hidden="1" outlineLevel="1" x14ac:dyDescent="0.25">
      <c r="B610" s="925"/>
      <c r="C610" s="220" t="str">
        <f t="shared" si="149"/>
        <v>-</v>
      </c>
      <c r="D610" s="351">
        <f>IFERROR(VLOOKUP(C610,$R$561:$S$604,2,FALSE),0)</f>
        <v>0</v>
      </c>
      <c r="E610" t="e">
        <f t="shared" si="147"/>
        <v>#N/A</v>
      </c>
      <c r="P610" s="670" t="str">
        <f t="shared" si="148"/>
        <v>-</v>
      </c>
      <c r="Q610">
        <v>-24.5</v>
      </c>
      <c r="V610" s="248"/>
    </row>
    <row r="611" spans="2:22" hidden="1" outlineLevel="1" x14ac:dyDescent="0.25">
      <c r="C611" s="3"/>
      <c r="F611" s="454">
        <f t="shared" ref="F611" si="150">INT(E611)</f>
        <v>0</v>
      </c>
      <c r="G611" s="454">
        <f t="shared" ref="G611" si="151">IF(F611&lt;0,F611+1,F611)</f>
        <v>0</v>
      </c>
      <c r="H611" s="454">
        <f t="shared" ref="H611" si="152">E611-G611</f>
        <v>0</v>
      </c>
      <c r="I611" s="454">
        <f t="shared" ref="I611" si="153">IF(H611&lt;0,H611*-1,H611)</f>
        <v>0</v>
      </c>
      <c r="J611" s="454">
        <f t="shared" ref="J611" si="154">IF(AND(I611&gt;=$AJ$561,I611&lt;$AK$561)=TRUE,$AM$562,IF(AND(I611&gt;=$AK$561,I611&lt;$AL$561)=TRUE,$AM$563,$AM$564))</f>
        <v>0</v>
      </c>
      <c r="K611" s="454">
        <f t="shared" ref="K611" si="155">IF(G611&lt;0,J611*-1,J611)</f>
        <v>0</v>
      </c>
      <c r="L611" s="454">
        <f t="shared" ref="L611" si="156">G611+K611</f>
        <v>0</v>
      </c>
      <c r="M611" s="454">
        <f t="shared" ref="M611" si="157">E611-L611</f>
        <v>0</v>
      </c>
      <c r="N611" s="454">
        <f t="shared" ref="N611" si="158">E611-F611</f>
        <v>0</v>
      </c>
      <c r="O611" s="454"/>
      <c r="P611" s="1"/>
      <c r="V611" s="248"/>
    </row>
    <row r="612" spans="2:22" hidden="1" outlineLevel="1" x14ac:dyDescent="0.25">
      <c r="B612" s="53" t="str">
        <f>IFERROR(VLOOKUP(R560,D562:Q610,14,FALSE),"-")</f>
        <v>-</v>
      </c>
      <c r="C612" s="3"/>
      <c r="V612" s="248"/>
    </row>
    <row r="613" spans="2:22" hidden="1" outlineLevel="1" x14ac:dyDescent="0.25">
      <c r="C613" s="3"/>
      <c r="V613" s="248"/>
    </row>
    <row r="614" spans="2:22" hidden="1" outlineLevel="1" x14ac:dyDescent="0.25">
      <c r="B614" s="925" t="s">
        <v>1379</v>
      </c>
      <c r="C614" s="220" t="str">
        <f t="shared" ref="C614:C645" si="159">P614</f>
        <v>-</v>
      </c>
      <c r="D614" s="351">
        <f>IFERROR(VLOOKUP(C614,$R$561:$S$604,2,FALSE),0)</f>
        <v>0</v>
      </c>
      <c r="E614" t="e">
        <f t="shared" ref="E614:E662" si="160">($Y$565+$AF$562-($AD$562+Q614))*COS(-$X$565*PI()/180)</f>
        <v>#N/A</v>
      </c>
      <c r="P614" s="670" t="str">
        <f t="shared" ref="P614:P662" si="161">IFERROR(IF(E614&lt;0,(INT(E614*-1)+IF(AND(ROUND(((E614*-1)-INT(E614*-1))*100,0)&gt;=0,ROUND(((E614*-1)-INT(E614*-1))*100,0)&lt;25)=TRUE,0,IF(AND(ROUND(((E614*-1)-INT(E614*-1))*100,0)&gt;=25,ROUND(((E614*-1)-INT(E614*-1))*100,0)&lt;50)=TRUE,0.5,IF(AND(ROUND(((E614*-1)-INT(E614*-1))*100,0)&gt;=50,ROUND(((E614*-1)-INT(E614*-1))*100,0)&lt;75)=TRUE,0.5,1))))*-1,(INT(E614)+IF(AND(ROUND(((E614)-INT(E614))*100,0)&gt;=0,ROUND(((E614)-INT(E614))*100,0)&lt;25)=TRUE,0,IF(AND(ROUND(((E614)-INT(E614))*100,0)&gt;=25,ROUND(((E614)-INT(E614))*100,0)&lt;50)=TRUE,0.5,IF(AND(ROUND(((E614)-INT(E614))*100,0)&gt;=50,ROUND(((E614)-INT(E614))*100,0)&lt;75)=TRUE,0.5,1))))),"-")</f>
        <v>-</v>
      </c>
      <c r="Q614">
        <v>0.5</v>
      </c>
      <c r="V614" s="248"/>
    </row>
    <row r="615" spans="2:22" hidden="1" outlineLevel="1" x14ac:dyDescent="0.25">
      <c r="B615" s="925"/>
      <c r="C615" s="220" t="str">
        <f t="shared" si="159"/>
        <v>-</v>
      </c>
      <c r="D615" s="351">
        <f t="shared" ref="D615:D662" si="162">IFERROR(VLOOKUP(C615,$R$561:$S$604,2,FALSE),0)</f>
        <v>0</v>
      </c>
      <c r="E615" t="e">
        <f t="shared" si="160"/>
        <v>#N/A</v>
      </c>
      <c r="P615" s="670" t="str">
        <f t="shared" si="161"/>
        <v>-</v>
      </c>
      <c r="Q615">
        <v>1</v>
      </c>
      <c r="V615" s="248"/>
    </row>
    <row r="616" spans="2:22" hidden="1" outlineLevel="1" x14ac:dyDescent="0.25">
      <c r="B616" s="925"/>
      <c r="C616" s="220" t="str">
        <f t="shared" si="159"/>
        <v>-</v>
      </c>
      <c r="D616" s="351">
        <f t="shared" si="162"/>
        <v>0</v>
      </c>
      <c r="E616" t="e">
        <f t="shared" si="160"/>
        <v>#N/A</v>
      </c>
      <c r="P616" s="670" t="str">
        <f t="shared" si="161"/>
        <v>-</v>
      </c>
      <c r="Q616">
        <v>1.5</v>
      </c>
      <c r="V616" s="248"/>
    </row>
    <row r="617" spans="2:22" hidden="1" outlineLevel="1" x14ac:dyDescent="0.25">
      <c r="B617" s="925"/>
      <c r="C617" s="220" t="str">
        <f t="shared" si="159"/>
        <v>-</v>
      </c>
      <c r="D617" s="351">
        <f t="shared" si="162"/>
        <v>0</v>
      </c>
      <c r="E617" t="e">
        <f t="shared" si="160"/>
        <v>#N/A</v>
      </c>
      <c r="P617" s="670" t="str">
        <f t="shared" si="161"/>
        <v>-</v>
      </c>
      <c r="Q617">
        <v>2</v>
      </c>
      <c r="V617" s="248"/>
    </row>
    <row r="618" spans="2:22" hidden="1" outlineLevel="1" x14ac:dyDescent="0.25">
      <c r="B618" s="925"/>
      <c r="C618" s="220" t="str">
        <f t="shared" si="159"/>
        <v>-</v>
      </c>
      <c r="D618" s="351">
        <f t="shared" si="162"/>
        <v>0</v>
      </c>
      <c r="E618" t="e">
        <f t="shared" si="160"/>
        <v>#N/A</v>
      </c>
      <c r="P618" s="670" t="str">
        <f t="shared" si="161"/>
        <v>-</v>
      </c>
      <c r="Q618">
        <v>2.5</v>
      </c>
      <c r="V618" s="248"/>
    </row>
    <row r="619" spans="2:22" hidden="1" outlineLevel="1" x14ac:dyDescent="0.25">
      <c r="B619" s="925"/>
      <c r="C619" s="220" t="str">
        <f t="shared" si="159"/>
        <v>-</v>
      </c>
      <c r="D619" s="351">
        <f t="shared" si="162"/>
        <v>0</v>
      </c>
      <c r="E619" t="e">
        <f t="shared" si="160"/>
        <v>#N/A</v>
      </c>
      <c r="P619" s="670" t="str">
        <f t="shared" si="161"/>
        <v>-</v>
      </c>
      <c r="Q619">
        <v>3</v>
      </c>
      <c r="V619" s="248"/>
    </row>
    <row r="620" spans="2:22" hidden="1" outlineLevel="1" x14ac:dyDescent="0.25">
      <c r="B620" s="925"/>
      <c r="C620" s="220" t="str">
        <f t="shared" si="159"/>
        <v>-</v>
      </c>
      <c r="D620" s="351">
        <f t="shared" si="162"/>
        <v>0</v>
      </c>
      <c r="E620" t="e">
        <f t="shared" si="160"/>
        <v>#N/A</v>
      </c>
      <c r="P620" s="670" t="str">
        <f t="shared" si="161"/>
        <v>-</v>
      </c>
      <c r="Q620">
        <v>3.5</v>
      </c>
      <c r="V620" s="248"/>
    </row>
    <row r="621" spans="2:22" hidden="1" outlineLevel="1" x14ac:dyDescent="0.25">
      <c r="B621" s="925"/>
      <c r="C621" s="220" t="str">
        <f t="shared" si="159"/>
        <v>-</v>
      </c>
      <c r="D621" s="351">
        <f t="shared" si="162"/>
        <v>0</v>
      </c>
      <c r="E621" t="e">
        <f t="shared" si="160"/>
        <v>#N/A</v>
      </c>
      <c r="P621" s="670" t="str">
        <f t="shared" si="161"/>
        <v>-</v>
      </c>
      <c r="Q621">
        <v>4</v>
      </c>
      <c r="V621" s="248"/>
    </row>
    <row r="622" spans="2:22" hidden="1" outlineLevel="1" x14ac:dyDescent="0.25">
      <c r="B622" s="925"/>
      <c r="C622" s="220" t="str">
        <f t="shared" si="159"/>
        <v>-</v>
      </c>
      <c r="D622" s="351">
        <f t="shared" si="162"/>
        <v>0</v>
      </c>
      <c r="E622" t="e">
        <f t="shared" si="160"/>
        <v>#N/A</v>
      </c>
      <c r="P622" s="670" t="str">
        <f t="shared" si="161"/>
        <v>-</v>
      </c>
      <c r="Q622">
        <v>4.5</v>
      </c>
      <c r="V622" s="248"/>
    </row>
    <row r="623" spans="2:22" hidden="1" outlineLevel="1" x14ac:dyDescent="0.25">
      <c r="B623" s="925"/>
      <c r="C623" s="220" t="str">
        <f t="shared" si="159"/>
        <v>-</v>
      </c>
      <c r="D623" s="351">
        <f t="shared" si="162"/>
        <v>0</v>
      </c>
      <c r="E623" t="e">
        <f t="shared" si="160"/>
        <v>#N/A</v>
      </c>
      <c r="P623" s="670" t="str">
        <f t="shared" si="161"/>
        <v>-</v>
      </c>
      <c r="Q623">
        <v>5</v>
      </c>
      <c r="V623" s="248"/>
    </row>
    <row r="624" spans="2:22" hidden="1" outlineLevel="1" x14ac:dyDescent="0.25">
      <c r="B624" s="925"/>
      <c r="C624" s="220" t="str">
        <f t="shared" si="159"/>
        <v>-</v>
      </c>
      <c r="D624" s="351">
        <f t="shared" si="162"/>
        <v>0</v>
      </c>
      <c r="E624" t="e">
        <f t="shared" si="160"/>
        <v>#N/A</v>
      </c>
      <c r="P624" s="670" t="str">
        <f t="shared" si="161"/>
        <v>-</v>
      </c>
      <c r="Q624">
        <v>5.5</v>
      </c>
      <c r="V624" s="248"/>
    </row>
    <row r="625" spans="2:22" hidden="1" outlineLevel="1" x14ac:dyDescent="0.25">
      <c r="B625" s="925"/>
      <c r="C625" s="220" t="str">
        <f t="shared" si="159"/>
        <v>-</v>
      </c>
      <c r="D625" s="351">
        <f t="shared" si="162"/>
        <v>0</v>
      </c>
      <c r="E625" t="e">
        <f t="shared" si="160"/>
        <v>#N/A</v>
      </c>
      <c r="P625" s="670" t="str">
        <f t="shared" si="161"/>
        <v>-</v>
      </c>
      <c r="Q625">
        <v>6</v>
      </c>
      <c r="V625" s="248"/>
    </row>
    <row r="626" spans="2:22" hidden="1" outlineLevel="1" x14ac:dyDescent="0.25">
      <c r="B626" s="925"/>
      <c r="C626" s="220" t="str">
        <f t="shared" si="159"/>
        <v>-</v>
      </c>
      <c r="D626" s="351">
        <f t="shared" si="162"/>
        <v>0</v>
      </c>
      <c r="E626" t="e">
        <f t="shared" si="160"/>
        <v>#N/A</v>
      </c>
      <c r="P626" s="670" t="str">
        <f t="shared" si="161"/>
        <v>-</v>
      </c>
      <c r="Q626">
        <v>6.5</v>
      </c>
      <c r="V626" s="248"/>
    </row>
    <row r="627" spans="2:22" hidden="1" outlineLevel="1" x14ac:dyDescent="0.25">
      <c r="B627" s="925"/>
      <c r="C627" s="220" t="str">
        <f t="shared" si="159"/>
        <v>-</v>
      </c>
      <c r="D627" s="351">
        <f t="shared" si="162"/>
        <v>0</v>
      </c>
      <c r="E627" t="e">
        <f t="shared" si="160"/>
        <v>#N/A</v>
      </c>
      <c r="P627" s="670" t="str">
        <f t="shared" si="161"/>
        <v>-</v>
      </c>
      <c r="Q627">
        <v>7</v>
      </c>
      <c r="V627" s="248"/>
    </row>
    <row r="628" spans="2:22" hidden="1" outlineLevel="1" x14ac:dyDescent="0.25">
      <c r="B628" s="925"/>
      <c r="C628" s="220" t="str">
        <f t="shared" si="159"/>
        <v>-</v>
      </c>
      <c r="D628" s="351">
        <f t="shared" si="162"/>
        <v>0</v>
      </c>
      <c r="E628" t="e">
        <f t="shared" si="160"/>
        <v>#N/A</v>
      </c>
      <c r="P628" s="670" t="str">
        <f t="shared" si="161"/>
        <v>-</v>
      </c>
      <c r="Q628">
        <v>7.5</v>
      </c>
      <c r="V628" s="248"/>
    </row>
    <row r="629" spans="2:22" hidden="1" outlineLevel="1" x14ac:dyDescent="0.25">
      <c r="B629" s="925"/>
      <c r="C629" s="220" t="str">
        <f t="shared" si="159"/>
        <v>-</v>
      </c>
      <c r="D629" s="351">
        <f t="shared" si="162"/>
        <v>0</v>
      </c>
      <c r="E629" t="e">
        <f t="shared" si="160"/>
        <v>#N/A</v>
      </c>
      <c r="P629" s="670" t="str">
        <f t="shared" si="161"/>
        <v>-</v>
      </c>
      <c r="Q629">
        <v>8</v>
      </c>
      <c r="V629" s="248"/>
    </row>
    <row r="630" spans="2:22" hidden="1" outlineLevel="1" x14ac:dyDescent="0.25">
      <c r="B630" s="925"/>
      <c r="C630" s="220" t="str">
        <f t="shared" si="159"/>
        <v>-</v>
      </c>
      <c r="D630" s="351">
        <f t="shared" si="162"/>
        <v>0</v>
      </c>
      <c r="E630" t="e">
        <f t="shared" si="160"/>
        <v>#N/A</v>
      </c>
      <c r="P630" s="670" t="str">
        <f t="shared" si="161"/>
        <v>-</v>
      </c>
      <c r="Q630">
        <v>8.5</v>
      </c>
      <c r="V630" s="248"/>
    </row>
    <row r="631" spans="2:22" hidden="1" outlineLevel="1" x14ac:dyDescent="0.25">
      <c r="B631" s="925"/>
      <c r="C631" s="220" t="str">
        <f t="shared" si="159"/>
        <v>-</v>
      </c>
      <c r="D631" s="351">
        <f t="shared" si="162"/>
        <v>0</v>
      </c>
      <c r="E631" t="e">
        <f t="shared" si="160"/>
        <v>#N/A</v>
      </c>
      <c r="P631" s="670" t="str">
        <f t="shared" si="161"/>
        <v>-</v>
      </c>
      <c r="Q631">
        <v>9</v>
      </c>
      <c r="V631" s="248"/>
    </row>
    <row r="632" spans="2:22" hidden="1" outlineLevel="1" x14ac:dyDescent="0.25">
      <c r="B632" s="925"/>
      <c r="C632" s="220" t="str">
        <f t="shared" si="159"/>
        <v>-</v>
      </c>
      <c r="D632" s="351">
        <f t="shared" si="162"/>
        <v>0</v>
      </c>
      <c r="E632" t="e">
        <f t="shared" si="160"/>
        <v>#N/A</v>
      </c>
      <c r="P632" s="670" t="str">
        <f t="shared" si="161"/>
        <v>-</v>
      </c>
      <c r="Q632">
        <v>9.5</v>
      </c>
      <c r="V632" s="248"/>
    </row>
    <row r="633" spans="2:22" hidden="1" outlineLevel="1" x14ac:dyDescent="0.25">
      <c r="B633" s="925"/>
      <c r="C633" s="220" t="str">
        <f t="shared" si="159"/>
        <v>-</v>
      </c>
      <c r="D633" s="351">
        <f t="shared" si="162"/>
        <v>0</v>
      </c>
      <c r="E633" t="e">
        <f t="shared" si="160"/>
        <v>#N/A</v>
      </c>
      <c r="P633" s="670" t="str">
        <f t="shared" si="161"/>
        <v>-</v>
      </c>
      <c r="Q633">
        <v>10</v>
      </c>
      <c r="V633" s="248"/>
    </row>
    <row r="634" spans="2:22" hidden="1" outlineLevel="1" x14ac:dyDescent="0.25">
      <c r="B634" s="925"/>
      <c r="C634" s="220" t="str">
        <f t="shared" si="159"/>
        <v>-</v>
      </c>
      <c r="D634" s="351">
        <f t="shared" si="162"/>
        <v>0</v>
      </c>
      <c r="E634" t="e">
        <f t="shared" si="160"/>
        <v>#N/A</v>
      </c>
      <c r="P634" s="670" t="str">
        <f t="shared" si="161"/>
        <v>-</v>
      </c>
      <c r="Q634">
        <v>10.5</v>
      </c>
      <c r="V634" s="248"/>
    </row>
    <row r="635" spans="2:22" hidden="1" outlineLevel="1" x14ac:dyDescent="0.25">
      <c r="B635" s="925"/>
      <c r="C635" s="220" t="str">
        <f t="shared" si="159"/>
        <v>-</v>
      </c>
      <c r="D635" s="351">
        <f t="shared" si="162"/>
        <v>0</v>
      </c>
      <c r="E635" t="e">
        <f t="shared" si="160"/>
        <v>#N/A</v>
      </c>
      <c r="P635" s="670" t="str">
        <f t="shared" si="161"/>
        <v>-</v>
      </c>
      <c r="Q635">
        <v>11</v>
      </c>
      <c r="V635" s="248"/>
    </row>
    <row r="636" spans="2:22" hidden="1" outlineLevel="1" x14ac:dyDescent="0.25">
      <c r="B636" s="925"/>
      <c r="C636" s="220" t="str">
        <f t="shared" si="159"/>
        <v>-</v>
      </c>
      <c r="D636" s="351">
        <f t="shared" si="162"/>
        <v>0</v>
      </c>
      <c r="E636" t="e">
        <f t="shared" si="160"/>
        <v>#N/A</v>
      </c>
      <c r="P636" s="670" t="str">
        <f t="shared" si="161"/>
        <v>-</v>
      </c>
      <c r="Q636">
        <v>11.5</v>
      </c>
      <c r="V636" s="248"/>
    </row>
    <row r="637" spans="2:22" hidden="1" outlineLevel="1" x14ac:dyDescent="0.25">
      <c r="B637" s="925"/>
      <c r="C637" s="220" t="str">
        <f t="shared" si="159"/>
        <v>-</v>
      </c>
      <c r="D637" s="351">
        <f t="shared" si="162"/>
        <v>0</v>
      </c>
      <c r="E637" t="e">
        <f t="shared" si="160"/>
        <v>#N/A</v>
      </c>
      <c r="P637" s="670" t="str">
        <f t="shared" si="161"/>
        <v>-</v>
      </c>
      <c r="Q637">
        <v>12</v>
      </c>
      <c r="V637" s="248"/>
    </row>
    <row r="638" spans="2:22" hidden="1" outlineLevel="1" x14ac:dyDescent="0.25">
      <c r="B638" s="925"/>
      <c r="C638" s="220" t="str">
        <f t="shared" si="159"/>
        <v>-</v>
      </c>
      <c r="D638" s="351">
        <f t="shared" si="162"/>
        <v>0</v>
      </c>
      <c r="E638" t="e">
        <f t="shared" si="160"/>
        <v>#N/A</v>
      </c>
      <c r="P638" s="670" t="str">
        <f t="shared" si="161"/>
        <v>-</v>
      </c>
      <c r="Q638">
        <v>12.5</v>
      </c>
      <c r="V638" s="248"/>
    </row>
    <row r="639" spans="2:22" hidden="1" outlineLevel="1" x14ac:dyDescent="0.25">
      <c r="B639" s="925"/>
      <c r="C639" s="220" t="str">
        <f t="shared" si="159"/>
        <v>-</v>
      </c>
      <c r="D639" s="351">
        <f t="shared" si="162"/>
        <v>0</v>
      </c>
      <c r="E639" t="e">
        <f t="shared" si="160"/>
        <v>#N/A</v>
      </c>
      <c r="P639" s="670" t="str">
        <f t="shared" si="161"/>
        <v>-</v>
      </c>
      <c r="Q639">
        <v>13</v>
      </c>
      <c r="V639" s="248"/>
    </row>
    <row r="640" spans="2:22" hidden="1" outlineLevel="1" x14ac:dyDescent="0.25">
      <c r="B640" s="925"/>
      <c r="C640" s="220" t="str">
        <f t="shared" si="159"/>
        <v>-</v>
      </c>
      <c r="D640" s="351">
        <f t="shared" si="162"/>
        <v>0</v>
      </c>
      <c r="E640" t="e">
        <f t="shared" si="160"/>
        <v>#N/A</v>
      </c>
      <c r="P640" s="670" t="str">
        <f t="shared" si="161"/>
        <v>-</v>
      </c>
      <c r="Q640">
        <v>13.5</v>
      </c>
      <c r="V640" s="248"/>
    </row>
    <row r="641" spans="2:22" hidden="1" outlineLevel="1" x14ac:dyDescent="0.25">
      <c r="B641" s="925"/>
      <c r="C641" s="220" t="str">
        <f t="shared" si="159"/>
        <v>-</v>
      </c>
      <c r="D641" s="351">
        <f t="shared" si="162"/>
        <v>0</v>
      </c>
      <c r="E641" t="e">
        <f t="shared" si="160"/>
        <v>#N/A</v>
      </c>
      <c r="P641" s="670" t="str">
        <f t="shared" si="161"/>
        <v>-</v>
      </c>
      <c r="Q641">
        <v>14</v>
      </c>
      <c r="V641" s="248"/>
    </row>
    <row r="642" spans="2:22" hidden="1" outlineLevel="1" x14ac:dyDescent="0.25">
      <c r="B642" s="925"/>
      <c r="C642" s="220" t="str">
        <f t="shared" si="159"/>
        <v>-</v>
      </c>
      <c r="D642" s="351">
        <f t="shared" si="162"/>
        <v>0</v>
      </c>
      <c r="E642" t="e">
        <f t="shared" si="160"/>
        <v>#N/A</v>
      </c>
      <c r="P642" s="670" t="str">
        <f t="shared" si="161"/>
        <v>-</v>
      </c>
      <c r="Q642">
        <v>14.5</v>
      </c>
      <c r="V642" s="248"/>
    </row>
    <row r="643" spans="2:22" hidden="1" outlineLevel="1" x14ac:dyDescent="0.25">
      <c r="B643" s="925"/>
      <c r="C643" s="220" t="str">
        <f t="shared" si="159"/>
        <v>-</v>
      </c>
      <c r="D643" s="351">
        <f t="shared" si="162"/>
        <v>0</v>
      </c>
      <c r="E643" t="e">
        <f t="shared" si="160"/>
        <v>#N/A</v>
      </c>
      <c r="P643" s="670" t="str">
        <f t="shared" si="161"/>
        <v>-</v>
      </c>
      <c r="Q643">
        <v>15</v>
      </c>
      <c r="V643" s="248"/>
    </row>
    <row r="644" spans="2:22" hidden="1" outlineLevel="1" x14ac:dyDescent="0.25">
      <c r="B644" s="925"/>
      <c r="C644" s="220" t="str">
        <f t="shared" si="159"/>
        <v>-</v>
      </c>
      <c r="D644" s="351">
        <f t="shared" si="162"/>
        <v>0</v>
      </c>
      <c r="E644" t="e">
        <f t="shared" si="160"/>
        <v>#N/A</v>
      </c>
      <c r="P644" s="670" t="str">
        <f t="shared" si="161"/>
        <v>-</v>
      </c>
      <c r="Q644">
        <v>15.5</v>
      </c>
      <c r="V644" s="248"/>
    </row>
    <row r="645" spans="2:22" hidden="1" outlineLevel="1" x14ac:dyDescent="0.25">
      <c r="B645" s="925"/>
      <c r="C645" s="220" t="str">
        <f t="shared" si="159"/>
        <v>-</v>
      </c>
      <c r="D645" s="351">
        <f t="shared" si="162"/>
        <v>0</v>
      </c>
      <c r="E645" t="e">
        <f t="shared" si="160"/>
        <v>#N/A</v>
      </c>
      <c r="P645" s="670" t="str">
        <f t="shared" si="161"/>
        <v>-</v>
      </c>
      <c r="Q645">
        <v>16</v>
      </c>
      <c r="V645" s="248"/>
    </row>
    <row r="646" spans="2:22" hidden="1" outlineLevel="1" x14ac:dyDescent="0.25">
      <c r="B646" s="925"/>
      <c r="C646" s="220" t="str">
        <f t="shared" ref="C646:C662" si="163">P646</f>
        <v>-</v>
      </c>
      <c r="D646" s="351">
        <f t="shared" si="162"/>
        <v>0</v>
      </c>
      <c r="E646" t="e">
        <f t="shared" si="160"/>
        <v>#N/A</v>
      </c>
      <c r="P646" s="670" t="str">
        <f t="shared" si="161"/>
        <v>-</v>
      </c>
      <c r="Q646">
        <v>16.5</v>
      </c>
      <c r="V646" s="248"/>
    </row>
    <row r="647" spans="2:22" hidden="1" outlineLevel="1" x14ac:dyDescent="0.25">
      <c r="B647" s="925"/>
      <c r="C647" s="220" t="str">
        <f t="shared" si="163"/>
        <v>-</v>
      </c>
      <c r="D647" s="351">
        <f t="shared" si="162"/>
        <v>0</v>
      </c>
      <c r="E647" t="e">
        <f t="shared" si="160"/>
        <v>#N/A</v>
      </c>
      <c r="P647" s="670" t="str">
        <f t="shared" si="161"/>
        <v>-</v>
      </c>
      <c r="Q647">
        <v>17</v>
      </c>
      <c r="V647" s="248"/>
    </row>
    <row r="648" spans="2:22" hidden="1" outlineLevel="1" x14ac:dyDescent="0.25">
      <c r="B648" s="925"/>
      <c r="C648" s="220" t="str">
        <f t="shared" si="163"/>
        <v>-</v>
      </c>
      <c r="D648" s="351">
        <f t="shared" si="162"/>
        <v>0</v>
      </c>
      <c r="E648" t="e">
        <f t="shared" si="160"/>
        <v>#N/A</v>
      </c>
      <c r="P648" s="670" t="str">
        <f t="shared" si="161"/>
        <v>-</v>
      </c>
      <c r="Q648">
        <v>17.5</v>
      </c>
      <c r="V648" s="248"/>
    </row>
    <row r="649" spans="2:22" hidden="1" outlineLevel="1" x14ac:dyDescent="0.25">
      <c r="B649" s="925"/>
      <c r="C649" s="220" t="str">
        <f t="shared" si="163"/>
        <v>-</v>
      </c>
      <c r="D649" s="351">
        <f t="shared" si="162"/>
        <v>0</v>
      </c>
      <c r="E649" t="e">
        <f t="shared" si="160"/>
        <v>#N/A</v>
      </c>
      <c r="P649" s="670" t="str">
        <f t="shared" si="161"/>
        <v>-</v>
      </c>
      <c r="Q649">
        <v>18</v>
      </c>
      <c r="V649" s="248"/>
    </row>
    <row r="650" spans="2:22" hidden="1" outlineLevel="1" x14ac:dyDescent="0.25">
      <c r="B650" s="925"/>
      <c r="C650" s="220" t="str">
        <f t="shared" si="163"/>
        <v>-</v>
      </c>
      <c r="D650" s="351">
        <f t="shared" si="162"/>
        <v>0</v>
      </c>
      <c r="E650" t="e">
        <f t="shared" si="160"/>
        <v>#N/A</v>
      </c>
      <c r="P650" s="670" t="str">
        <f t="shared" si="161"/>
        <v>-</v>
      </c>
      <c r="Q650">
        <v>18.5</v>
      </c>
      <c r="V650" s="248"/>
    </row>
    <row r="651" spans="2:22" hidden="1" outlineLevel="1" x14ac:dyDescent="0.25">
      <c r="B651" s="925"/>
      <c r="C651" s="220" t="str">
        <f t="shared" si="163"/>
        <v>-</v>
      </c>
      <c r="D651" s="351">
        <f t="shared" si="162"/>
        <v>0</v>
      </c>
      <c r="E651" t="e">
        <f t="shared" si="160"/>
        <v>#N/A</v>
      </c>
      <c r="P651" s="670" t="str">
        <f t="shared" si="161"/>
        <v>-</v>
      </c>
      <c r="Q651">
        <v>19</v>
      </c>
      <c r="V651" s="248"/>
    </row>
    <row r="652" spans="2:22" hidden="1" outlineLevel="1" x14ac:dyDescent="0.25">
      <c r="B652" s="925"/>
      <c r="C652" s="220" t="str">
        <f t="shared" si="163"/>
        <v>-</v>
      </c>
      <c r="D652" s="351">
        <f t="shared" si="162"/>
        <v>0</v>
      </c>
      <c r="E652" t="e">
        <f t="shared" si="160"/>
        <v>#N/A</v>
      </c>
      <c r="P652" s="670" t="str">
        <f t="shared" si="161"/>
        <v>-</v>
      </c>
      <c r="Q652">
        <v>19.5</v>
      </c>
      <c r="V652" s="248"/>
    </row>
    <row r="653" spans="2:22" hidden="1" outlineLevel="1" x14ac:dyDescent="0.25">
      <c r="B653" s="925"/>
      <c r="C653" s="220" t="str">
        <f t="shared" si="163"/>
        <v>-</v>
      </c>
      <c r="D653" s="351">
        <f t="shared" si="162"/>
        <v>0</v>
      </c>
      <c r="E653" t="e">
        <f t="shared" si="160"/>
        <v>#N/A</v>
      </c>
      <c r="P653" s="670" t="str">
        <f t="shared" si="161"/>
        <v>-</v>
      </c>
      <c r="Q653">
        <v>20</v>
      </c>
      <c r="V653" s="248"/>
    </row>
    <row r="654" spans="2:22" hidden="1" outlineLevel="1" x14ac:dyDescent="0.25">
      <c r="B654" s="925"/>
      <c r="C654" s="220" t="str">
        <f t="shared" si="163"/>
        <v>-</v>
      </c>
      <c r="D654" s="351">
        <f t="shared" si="162"/>
        <v>0</v>
      </c>
      <c r="E654" t="e">
        <f t="shared" si="160"/>
        <v>#N/A</v>
      </c>
      <c r="P654" s="670" t="str">
        <f t="shared" si="161"/>
        <v>-</v>
      </c>
      <c r="Q654">
        <v>20.5</v>
      </c>
      <c r="V654" s="248"/>
    </row>
    <row r="655" spans="2:22" hidden="1" outlineLevel="1" x14ac:dyDescent="0.25">
      <c r="B655" s="925"/>
      <c r="C655" s="220" t="str">
        <f t="shared" si="163"/>
        <v>-</v>
      </c>
      <c r="D655" s="351">
        <f t="shared" si="162"/>
        <v>0</v>
      </c>
      <c r="E655" t="e">
        <f t="shared" si="160"/>
        <v>#N/A</v>
      </c>
      <c r="P655" s="670" t="str">
        <f t="shared" si="161"/>
        <v>-</v>
      </c>
      <c r="Q655">
        <v>21</v>
      </c>
      <c r="V655" s="248"/>
    </row>
    <row r="656" spans="2:22" hidden="1" outlineLevel="1" x14ac:dyDescent="0.25">
      <c r="B656" s="925"/>
      <c r="C656" s="220" t="str">
        <f t="shared" si="163"/>
        <v>-</v>
      </c>
      <c r="D656" s="351">
        <f t="shared" si="162"/>
        <v>0</v>
      </c>
      <c r="E656" t="e">
        <f t="shared" si="160"/>
        <v>#N/A</v>
      </c>
      <c r="P656" s="670" t="str">
        <f t="shared" si="161"/>
        <v>-</v>
      </c>
      <c r="Q656">
        <v>21.5</v>
      </c>
      <c r="V656" s="248"/>
    </row>
    <row r="657" spans="1:22" hidden="1" outlineLevel="1" x14ac:dyDescent="0.25">
      <c r="B657" s="925"/>
      <c r="C657" s="220" t="str">
        <f t="shared" si="163"/>
        <v>-</v>
      </c>
      <c r="D657" s="351">
        <f t="shared" si="162"/>
        <v>0</v>
      </c>
      <c r="E657" t="e">
        <f t="shared" si="160"/>
        <v>#N/A</v>
      </c>
      <c r="P657" s="670" t="str">
        <f t="shared" si="161"/>
        <v>-</v>
      </c>
      <c r="Q657">
        <v>22</v>
      </c>
      <c r="V657" s="248"/>
    </row>
    <row r="658" spans="1:22" hidden="1" outlineLevel="1" x14ac:dyDescent="0.25">
      <c r="B658" s="925"/>
      <c r="C658" s="220" t="str">
        <f t="shared" si="163"/>
        <v>-</v>
      </c>
      <c r="D658" s="351">
        <f t="shared" si="162"/>
        <v>0</v>
      </c>
      <c r="E658" t="e">
        <f t="shared" si="160"/>
        <v>#N/A</v>
      </c>
      <c r="P658" s="670" t="str">
        <f t="shared" si="161"/>
        <v>-</v>
      </c>
      <c r="Q658">
        <v>22.5</v>
      </c>
      <c r="V658" s="248"/>
    </row>
    <row r="659" spans="1:22" hidden="1" outlineLevel="1" x14ac:dyDescent="0.25">
      <c r="B659" s="925"/>
      <c r="C659" s="220" t="str">
        <f t="shared" si="163"/>
        <v>-</v>
      </c>
      <c r="D659" s="351">
        <f t="shared" si="162"/>
        <v>0</v>
      </c>
      <c r="E659" t="e">
        <f t="shared" si="160"/>
        <v>#N/A</v>
      </c>
      <c r="P659" s="670" t="str">
        <f t="shared" si="161"/>
        <v>-</v>
      </c>
      <c r="Q659">
        <v>23</v>
      </c>
      <c r="V659" s="248"/>
    </row>
    <row r="660" spans="1:22" hidden="1" outlineLevel="1" x14ac:dyDescent="0.25">
      <c r="B660" s="925"/>
      <c r="C660" s="220" t="str">
        <f t="shared" si="163"/>
        <v>-</v>
      </c>
      <c r="D660" s="351">
        <f t="shared" si="162"/>
        <v>0</v>
      </c>
      <c r="E660" t="e">
        <f t="shared" si="160"/>
        <v>#N/A</v>
      </c>
      <c r="P660" s="670" t="str">
        <f t="shared" si="161"/>
        <v>-</v>
      </c>
      <c r="Q660">
        <v>23.5</v>
      </c>
      <c r="V660" s="248"/>
    </row>
    <row r="661" spans="1:22" hidden="1" outlineLevel="1" x14ac:dyDescent="0.25">
      <c r="B661" s="925"/>
      <c r="C661" s="220" t="str">
        <f t="shared" si="163"/>
        <v>-</v>
      </c>
      <c r="D661" s="351">
        <f t="shared" si="162"/>
        <v>0</v>
      </c>
      <c r="E661" t="e">
        <f t="shared" si="160"/>
        <v>#N/A</v>
      </c>
      <c r="P661" s="670" t="str">
        <f t="shared" si="161"/>
        <v>-</v>
      </c>
      <c r="Q661">
        <v>24</v>
      </c>
      <c r="V661" s="248"/>
    </row>
    <row r="662" spans="1:22" hidden="1" outlineLevel="1" x14ac:dyDescent="0.25">
      <c r="B662" s="925"/>
      <c r="C662" s="220" t="str">
        <f t="shared" si="163"/>
        <v>-</v>
      </c>
      <c r="D662" s="351">
        <f t="shared" si="162"/>
        <v>0</v>
      </c>
      <c r="E662" t="e">
        <f t="shared" si="160"/>
        <v>#N/A</v>
      </c>
      <c r="P662" s="670" t="str">
        <f t="shared" si="161"/>
        <v>-</v>
      </c>
      <c r="Q662">
        <v>24.5</v>
      </c>
      <c r="V662" s="248"/>
    </row>
    <row r="663" spans="1:22" hidden="1" outlineLevel="1" x14ac:dyDescent="0.25">
      <c r="F663" s="454">
        <f t="shared" ref="F663" si="164">INT(E663)</f>
        <v>0</v>
      </c>
      <c r="G663" s="454">
        <f t="shared" ref="G663" si="165">IF(F663&lt;0,F663+1,F663)</f>
        <v>0</v>
      </c>
      <c r="H663" s="454">
        <f t="shared" ref="H663" si="166">E663-G663</f>
        <v>0</v>
      </c>
      <c r="I663" s="454">
        <f t="shared" ref="I663" si="167">IF(H663&lt;0,H663*-1,H663)</f>
        <v>0</v>
      </c>
      <c r="J663" s="454">
        <f t="shared" ref="J663" si="168">IF(AND(I663&gt;=$AJ$561,I663&lt;$AK$561)=TRUE,$AM$562,IF(AND(I663&gt;=$AK$561,I663&lt;$AL$561)=TRUE,$AM$563,$AM$564))</f>
        <v>0</v>
      </c>
      <c r="K663" s="454">
        <f t="shared" ref="K663" si="169">IF(G663&lt;0,J663*-1,J663)</f>
        <v>0</v>
      </c>
      <c r="L663" s="454">
        <f t="shared" ref="L663" si="170">G663+K663</f>
        <v>0</v>
      </c>
      <c r="M663" s="454">
        <f t="shared" ref="M663" si="171">E663-L663</f>
        <v>0</v>
      </c>
      <c r="N663" s="454">
        <f t="shared" ref="N663" si="172">E663-F663</f>
        <v>0</v>
      </c>
      <c r="O663" s="454"/>
      <c r="V663" s="248"/>
    </row>
    <row r="664" spans="1:22" hidden="1" outlineLevel="1" x14ac:dyDescent="0.25">
      <c r="B664" s="53" t="str">
        <f>IFERROR(VLOOKUP(R560,D614:Q662,14,FALSE),"")</f>
        <v/>
      </c>
      <c r="V664" s="248"/>
    </row>
    <row r="665" spans="1:22" hidden="1" outlineLevel="1" x14ac:dyDescent="0.25">
      <c r="V665" s="248"/>
    </row>
    <row r="666" spans="1:22" hidden="1" outlineLevel="1" x14ac:dyDescent="0.25">
      <c r="V666" s="248"/>
    </row>
    <row r="667" spans="1:22" hidden="1" outlineLevel="1" x14ac:dyDescent="0.25">
      <c r="A667" s="248"/>
      <c r="B667" s="248"/>
      <c r="C667" s="248"/>
      <c r="D667" s="248"/>
      <c r="E667" s="248"/>
      <c r="F667" s="248"/>
      <c r="G667" s="248"/>
      <c r="H667" s="248"/>
      <c r="I667" s="248"/>
      <c r="J667" s="248"/>
      <c r="K667" s="248"/>
      <c r="L667" s="248"/>
      <c r="M667" s="248"/>
      <c r="N667" s="248"/>
      <c r="O667" s="248"/>
      <c r="P667" s="248"/>
      <c r="Q667" s="248"/>
      <c r="R667" s="248"/>
      <c r="S667" s="248"/>
      <c r="T667" s="248"/>
      <c r="U667" s="248"/>
      <c r="V667" s="248"/>
    </row>
    <row r="668" spans="1:22" hidden="1" outlineLevel="1" x14ac:dyDescent="0.25"/>
    <row r="669" spans="1:22" s="335" customFormat="1" hidden="1" outlineLevel="1" x14ac:dyDescent="0.25">
      <c r="B669" s="223" t="str">
        <f>B322</f>
        <v>Tiomos 110/30E</v>
      </c>
    </row>
    <row r="670" spans="1:22" hidden="1" outlineLevel="1" x14ac:dyDescent="0.25"/>
    <row r="671" spans="1:22" hidden="1" outlineLevel="1" x14ac:dyDescent="0.25"/>
    <row r="672" spans="1:22" hidden="1" outlineLevel="1" x14ac:dyDescent="0.25">
      <c r="B672" t="s">
        <v>1418</v>
      </c>
      <c r="G672" t="s">
        <v>1852</v>
      </c>
    </row>
    <row r="673" spans="1:29" hidden="1" outlineLevel="1" x14ac:dyDescent="0.25">
      <c r="A673" s="321"/>
      <c r="B673" s="336">
        <v>3</v>
      </c>
      <c r="C673" s="336">
        <v>4</v>
      </c>
      <c r="D673" s="336">
        <v>5</v>
      </c>
      <c r="E673" s="336">
        <v>6</v>
      </c>
      <c r="F673" s="327">
        <v>7</v>
      </c>
      <c r="G673" s="339">
        <v>3</v>
      </c>
      <c r="H673" s="336">
        <v>4</v>
      </c>
      <c r="I673" s="336">
        <v>5</v>
      </c>
      <c r="J673" s="336">
        <v>6</v>
      </c>
      <c r="K673" s="336">
        <v>7</v>
      </c>
      <c r="U673" s="8"/>
      <c r="W673" t="s">
        <v>1846</v>
      </c>
    </row>
    <row r="674" spans="1:29" hidden="1" outlineLevel="1" x14ac:dyDescent="0.25">
      <c r="A674" s="321">
        <v>24</v>
      </c>
      <c r="B674" s="337" t="s">
        <v>1264</v>
      </c>
      <c r="C674" s="337" t="s">
        <v>1264</v>
      </c>
      <c r="D674" s="337" t="s">
        <v>1264</v>
      </c>
      <c r="E674" s="337" t="s">
        <v>1264</v>
      </c>
      <c r="F674" s="338" t="s">
        <v>1264</v>
      </c>
      <c r="G674" s="340" t="s">
        <v>1264</v>
      </c>
      <c r="H674" s="338" t="s">
        <v>1264</v>
      </c>
      <c r="I674" s="338" t="s">
        <v>1264</v>
      </c>
      <c r="J674" s="338" t="s">
        <v>1264</v>
      </c>
      <c r="K674" s="338" t="s">
        <v>1264</v>
      </c>
      <c r="M674" s="341" t="str">
        <f t="shared" ref="M674:M682" ca="1" si="173">IF(OFFSET(A674,0,$C$686-2)&lt;&gt;"-",ja,nein)</f>
        <v xml:space="preserve">    </v>
      </c>
      <c r="U674" s="8"/>
      <c r="V674">
        <f>VLOOKUP($L$338,W677:AC684,7,FALSE)</f>
        <v>3</v>
      </c>
      <c r="W674" s="303" t="str">
        <f>IFERROR(VLOOKUP(V674,U677:AB684,$A$347+3,FALSE)&amp;" mm","---")</f>
        <v>1,4 mm</v>
      </c>
    </row>
    <row r="675" spans="1:29" hidden="1" outlineLevel="1" x14ac:dyDescent="0.25">
      <c r="A675" s="321">
        <v>22</v>
      </c>
      <c r="B675" s="337">
        <v>9.5</v>
      </c>
      <c r="C675" s="337" t="s">
        <v>1264</v>
      </c>
      <c r="D675" s="337" t="s">
        <v>1264</v>
      </c>
      <c r="E675" s="337">
        <v>12</v>
      </c>
      <c r="F675" s="338" t="s">
        <v>1264</v>
      </c>
      <c r="G675" s="340">
        <v>63.5</v>
      </c>
      <c r="H675" s="338" t="s">
        <v>1264</v>
      </c>
      <c r="I675" s="338" t="s">
        <v>1264</v>
      </c>
      <c r="J675" s="338">
        <v>61.5</v>
      </c>
      <c r="K675" s="338" t="s">
        <v>1264</v>
      </c>
      <c r="M675" s="170" t="str">
        <f t="shared" ca="1" si="173"/>
        <v>✓</v>
      </c>
      <c r="U675" s="8"/>
    </row>
    <row r="676" spans="1:29" hidden="1" outlineLevel="1" x14ac:dyDescent="0.25">
      <c r="A676" s="321">
        <v>21</v>
      </c>
      <c r="B676" s="337">
        <v>9</v>
      </c>
      <c r="C676" s="337" t="s">
        <v>1264</v>
      </c>
      <c r="D676" s="337" t="s">
        <v>1264</v>
      </c>
      <c r="E676" s="337" t="s">
        <v>1264</v>
      </c>
      <c r="F676" s="338" t="s">
        <v>1264</v>
      </c>
      <c r="G676" s="340">
        <v>62.5</v>
      </c>
      <c r="H676" s="338" t="s">
        <v>1264</v>
      </c>
      <c r="I676" s="338" t="s">
        <v>1264</v>
      </c>
      <c r="J676" s="338" t="s">
        <v>1264</v>
      </c>
      <c r="K676" s="338" t="s">
        <v>1264</v>
      </c>
      <c r="M676" s="170" t="str">
        <f t="shared" ca="1" si="173"/>
        <v>✓</v>
      </c>
      <c r="U676" s="308"/>
      <c r="V676" s="308" t="s">
        <v>1839</v>
      </c>
      <c r="W676" s="308"/>
      <c r="X676" s="308">
        <v>3</v>
      </c>
      <c r="Y676" s="308">
        <v>4</v>
      </c>
      <c r="Z676" s="308">
        <v>5</v>
      </c>
      <c r="AA676" s="308">
        <v>6</v>
      </c>
      <c r="AB676" s="309">
        <v>7</v>
      </c>
    </row>
    <row r="677" spans="1:29" hidden="1" outlineLevel="1" x14ac:dyDescent="0.25">
      <c r="A677" s="321">
        <v>20</v>
      </c>
      <c r="B677" s="337" t="s">
        <v>1264</v>
      </c>
      <c r="C677" s="337" t="s">
        <v>1264</v>
      </c>
      <c r="D677" s="337" t="s">
        <v>1264</v>
      </c>
      <c r="E677" s="337" t="s">
        <v>1264</v>
      </c>
      <c r="F677" s="338">
        <v>12</v>
      </c>
      <c r="G677" s="340" t="s">
        <v>1264</v>
      </c>
      <c r="H677" s="338">
        <v>61.5</v>
      </c>
      <c r="I677" s="338" t="s">
        <v>1264</v>
      </c>
      <c r="J677" s="338" t="s">
        <v>1264</v>
      </c>
      <c r="K677" s="338">
        <v>60</v>
      </c>
      <c r="M677" s="170" t="str">
        <f t="shared" ca="1" si="173"/>
        <v xml:space="preserve">    </v>
      </c>
      <c r="U677" s="34">
        <v>1</v>
      </c>
      <c r="V677" s="34" t="str">
        <f ca="1">M674&amp;" "&amp;TEXT(W677,"0,0")&amp;" mm"</f>
        <v xml:space="preserve">     24,0 mm</v>
      </c>
      <c r="W677" s="34">
        <f t="shared" ref="W677:W684" si="174">AO322</f>
        <v>24</v>
      </c>
      <c r="X677" s="317">
        <v>2.4</v>
      </c>
      <c r="Y677" s="317">
        <v>2.1</v>
      </c>
      <c r="Z677" s="317">
        <v>2.1</v>
      </c>
      <c r="AA677" s="317">
        <v>2.1</v>
      </c>
      <c r="AB677" s="318">
        <v>2</v>
      </c>
      <c r="AC677" s="310">
        <v>1</v>
      </c>
    </row>
    <row r="678" spans="1:29" hidden="1" outlineLevel="1" x14ac:dyDescent="0.25">
      <c r="A678" s="321">
        <v>19</v>
      </c>
      <c r="B678" s="337">
        <v>8</v>
      </c>
      <c r="C678" s="337">
        <v>9</v>
      </c>
      <c r="D678" s="337">
        <v>9.5</v>
      </c>
      <c r="E678" s="337" t="s">
        <v>1264</v>
      </c>
      <c r="F678" s="338" t="s">
        <v>1264</v>
      </c>
      <c r="G678" s="340">
        <v>61.8</v>
      </c>
      <c r="H678" s="338">
        <v>61</v>
      </c>
      <c r="I678" s="338">
        <v>60</v>
      </c>
      <c r="J678" s="338" t="s">
        <v>1264</v>
      </c>
      <c r="K678" s="338" t="s">
        <v>1264</v>
      </c>
      <c r="M678" s="170" t="str">
        <f t="shared" ca="1" si="173"/>
        <v>✓</v>
      </c>
      <c r="U678" s="34">
        <v>2</v>
      </c>
      <c r="V678" s="34" t="str">
        <f t="shared" ref="V678:V684" ca="1" si="175">M675&amp;" "&amp;TEXT(W678,"0,0")&amp;" mm"</f>
        <v>✓ 22,0 mm</v>
      </c>
      <c r="W678" s="34">
        <f t="shared" si="174"/>
        <v>22</v>
      </c>
      <c r="X678" s="317">
        <v>1.6</v>
      </c>
      <c r="Y678" s="317">
        <v>1.6</v>
      </c>
      <c r="Z678" s="317">
        <v>1.6</v>
      </c>
      <c r="AA678" s="317">
        <v>1.5</v>
      </c>
      <c r="AB678" s="318">
        <v>1.5</v>
      </c>
      <c r="AC678" s="311">
        <v>2</v>
      </c>
    </row>
    <row r="679" spans="1:29" hidden="1" outlineLevel="1" x14ac:dyDescent="0.25">
      <c r="A679" s="321">
        <v>18</v>
      </c>
      <c r="B679" s="337" t="s">
        <v>1264</v>
      </c>
      <c r="C679" s="337">
        <v>8</v>
      </c>
      <c r="D679" s="337">
        <v>9</v>
      </c>
      <c r="E679" s="337" t="s">
        <v>1264</v>
      </c>
      <c r="F679" s="338" t="s">
        <v>1264</v>
      </c>
      <c r="G679" s="340" t="s">
        <v>1264</v>
      </c>
      <c r="H679" s="338">
        <v>59</v>
      </c>
      <c r="I679" s="338">
        <v>59</v>
      </c>
      <c r="J679" s="338" t="s">
        <v>1264</v>
      </c>
      <c r="K679" s="338" t="s">
        <v>1264</v>
      </c>
      <c r="M679" s="170" t="str">
        <f t="shared" ca="1" si="173"/>
        <v xml:space="preserve">    </v>
      </c>
      <c r="U679" s="34">
        <v>3</v>
      </c>
      <c r="V679" s="34" t="str">
        <f t="shared" ca="1" si="175"/>
        <v>✓ 21,0 mm</v>
      </c>
      <c r="W679" s="34">
        <f t="shared" si="174"/>
        <v>21</v>
      </c>
      <c r="X679" s="317">
        <v>1.4</v>
      </c>
      <c r="Y679" s="317">
        <v>1.3</v>
      </c>
      <c r="Z679" s="317">
        <v>1.3</v>
      </c>
      <c r="AA679" s="317">
        <v>1.3</v>
      </c>
      <c r="AB679" s="318">
        <v>1.3</v>
      </c>
      <c r="AC679" s="311">
        <v>3</v>
      </c>
    </row>
    <row r="680" spans="1:29" hidden="1" outlineLevel="1" x14ac:dyDescent="0.25">
      <c r="A680" s="321">
        <v>17</v>
      </c>
      <c r="B680" s="337" t="s">
        <v>1264</v>
      </c>
      <c r="C680" s="337" t="s">
        <v>1264</v>
      </c>
      <c r="D680" s="337" t="s">
        <v>1264</v>
      </c>
      <c r="E680" s="337">
        <v>9.5</v>
      </c>
      <c r="F680" s="338" t="s">
        <v>1264</v>
      </c>
      <c r="G680" s="340" t="s">
        <v>1264</v>
      </c>
      <c r="H680" s="338" t="s">
        <v>1264</v>
      </c>
      <c r="I680" s="338" t="s">
        <v>1264</v>
      </c>
      <c r="J680" s="338">
        <v>58</v>
      </c>
      <c r="K680" s="338" t="s">
        <v>1264</v>
      </c>
      <c r="M680" s="170" t="str">
        <f t="shared" ca="1" si="173"/>
        <v xml:space="preserve">    </v>
      </c>
      <c r="U680" s="34">
        <v>4</v>
      </c>
      <c r="V680" s="34" t="str">
        <f t="shared" ca="1" si="175"/>
        <v xml:space="preserve">     20,0 mm</v>
      </c>
      <c r="W680" s="34">
        <f t="shared" si="174"/>
        <v>20</v>
      </c>
      <c r="X680" s="317">
        <v>1.1000000000000001</v>
      </c>
      <c r="Y680" s="317">
        <v>1.1000000000000001</v>
      </c>
      <c r="Z680" s="317">
        <v>1.1000000000000001</v>
      </c>
      <c r="AA680" s="317">
        <v>1.1000000000000001</v>
      </c>
      <c r="AB680" s="318">
        <v>1.1000000000000001</v>
      </c>
      <c r="AC680" s="311">
        <v>4</v>
      </c>
    </row>
    <row r="681" spans="1:29" hidden="1" outlineLevel="1" x14ac:dyDescent="0.25">
      <c r="A681" s="321">
        <v>16</v>
      </c>
      <c r="B681" s="337" t="s">
        <v>1264</v>
      </c>
      <c r="C681" s="337" t="s">
        <v>1264</v>
      </c>
      <c r="D681" s="337">
        <v>8</v>
      </c>
      <c r="E681" s="337" t="s">
        <v>1264</v>
      </c>
      <c r="F681" s="338">
        <v>9.5</v>
      </c>
      <c r="G681" s="340" t="s">
        <v>1264</v>
      </c>
      <c r="H681" s="338" t="s">
        <v>1264</v>
      </c>
      <c r="I681" s="338">
        <v>57.5</v>
      </c>
      <c r="J681" s="338" t="s">
        <v>1264</v>
      </c>
      <c r="K681" s="338">
        <v>56.5</v>
      </c>
      <c r="M681" s="170" t="str">
        <f t="shared" ca="1" si="173"/>
        <v xml:space="preserve">    </v>
      </c>
      <c r="U681" s="34">
        <v>5</v>
      </c>
      <c r="V681" s="34" t="str">
        <f t="shared" ca="1" si="175"/>
        <v>✓ 19,0 mm</v>
      </c>
      <c r="W681" s="34">
        <f t="shared" si="174"/>
        <v>19</v>
      </c>
      <c r="X681" s="317">
        <v>0.9</v>
      </c>
      <c r="Y681" s="317">
        <v>0.9</v>
      </c>
      <c r="Z681" s="317">
        <v>0.9</v>
      </c>
      <c r="AA681" s="317">
        <v>0.9</v>
      </c>
      <c r="AB681" s="318">
        <v>0.9</v>
      </c>
      <c r="AC681" s="311">
        <v>5</v>
      </c>
    </row>
    <row r="682" spans="1:29" hidden="1" outlineLevel="1" x14ac:dyDescent="0.25">
      <c r="A682" s="321">
        <v>15</v>
      </c>
      <c r="B682" s="337">
        <v>6</v>
      </c>
      <c r="C682" s="337" t="s">
        <v>1264</v>
      </c>
      <c r="D682" s="337" t="s">
        <v>1264</v>
      </c>
      <c r="E682" s="337" t="s">
        <v>1264</v>
      </c>
      <c r="F682" s="338">
        <v>9</v>
      </c>
      <c r="G682" s="340">
        <v>57.5</v>
      </c>
      <c r="H682" s="338" t="s">
        <v>1264</v>
      </c>
      <c r="I682" s="338" t="s">
        <v>1264</v>
      </c>
      <c r="J682" s="338" t="s">
        <v>1264</v>
      </c>
      <c r="K682" s="338">
        <v>55.5</v>
      </c>
      <c r="M682" s="129" t="str">
        <f t="shared" ca="1" si="173"/>
        <v>✓</v>
      </c>
      <c r="U682" s="34">
        <v>6</v>
      </c>
      <c r="V682" s="34" t="str">
        <f t="shared" ca="1" si="175"/>
        <v xml:space="preserve">     18,0 mm</v>
      </c>
      <c r="W682" s="34">
        <f t="shared" si="174"/>
        <v>18</v>
      </c>
      <c r="X682" s="317">
        <v>0.7</v>
      </c>
      <c r="Y682" s="317">
        <v>0.7</v>
      </c>
      <c r="Z682" s="317">
        <v>0.7</v>
      </c>
      <c r="AA682" s="317">
        <v>0.7</v>
      </c>
      <c r="AB682" s="318">
        <v>0.7</v>
      </c>
      <c r="AC682" s="311">
        <v>6</v>
      </c>
    </row>
    <row r="683" spans="1:29" hidden="1" outlineLevel="1" x14ac:dyDescent="0.25">
      <c r="U683" s="34">
        <v>7</v>
      </c>
      <c r="V683" s="34" t="str">
        <f t="shared" ca="1" si="175"/>
        <v xml:space="preserve">     17,0 mm</v>
      </c>
      <c r="W683" s="34">
        <f t="shared" si="174"/>
        <v>17</v>
      </c>
      <c r="X683" s="317">
        <v>0.6</v>
      </c>
      <c r="Y683" s="317">
        <v>0.6</v>
      </c>
      <c r="Z683" s="317">
        <v>0.6</v>
      </c>
      <c r="AA683" s="317">
        <v>0.6</v>
      </c>
      <c r="AB683" s="318">
        <v>0.6</v>
      </c>
      <c r="AC683" s="311">
        <v>7</v>
      </c>
    </row>
    <row r="684" spans="1:29" hidden="1" outlineLevel="1" x14ac:dyDescent="0.25">
      <c r="U684" s="6">
        <v>8</v>
      </c>
      <c r="V684" s="34" t="str">
        <f t="shared" ca="1" si="175"/>
        <v xml:space="preserve">     16,0 mm</v>
      </c>
      <c r="W684" s="6">
        <f t="shared" si="174"/>
        <v>16</v>
      </c>
      <c r="X684" s="319">
        <v>0.6</v>
      </c>
      <c r="Y684" s="319">
        <v>0.6</v>
      </c>
      <c r="Z684" s="319">
        <v>0.6</v>
      </c>
      <c r="AA684" s="319">
        <v>0.6</v>
      </c>
      <c r="AB684" s="320">
        <v>0.6</v>
      </c>
      <c r="AC684" s="312">
        <v>8</v>
      </c>
    </row>
    <row r="685" spans="1:29" hidden="1" outlineLevel="1" x14ac:dyDescent="0.25">
      <c r="B685" t="s">
        <v>1400</v>
      </c>
      <c r="C685">
        <f>$L$338</f>
        <v>21</v>
      </c>
    </row>
    <row r="686" spans="1:29" hidden="1" outlineLevel="1" x14ac:dyDescent="0.25">
      <c r="B686" t="s">
        <v>1850</v>
      </c>
      <c r="C686">
        <f>$A$346</f>
        <v>3</v>
      </c>
    </row>
    <row r="687" spans="1:29" hidden="1" outlineLevel="1" x14ac:dyDescent="0.25">
      <c r="G687" t="s">
        <v>1853</v>
      </c>
      <c r="J687" s="326" t="s">
        <v>1847</v>
      </c>
      <c r="K687" s="306" t="s">
        <v>52</v>
      </c>
      <c r="L687" s="307" t="s">
        <v>51</v>
      </c>
      <c r="N687" s="305" t="s">
        <v>51</v>
      </c>
      <c r="O687" s="306" t="s">
        <v>42</v>
      </c>
      <c r="P687" s="307" t="s">
        <v>52</v>
      </c>
    </row>
    <row r="688" spans="1:29" hidden="1" outlineLevel="1" x14ac:dyDescent="0.25">
      <c r="B688" t="s">
        <v>1418</v>
      </c>
      <c r="C688">
        <f>VLOOKUP(C685,$A$674:$F$682,C686-1,FALSE)</f>
        <v>9</v>
      </c>
      <c r="G688">
        <f>VLOOKUP(C685,A674:K682,C686+4,FALSE)</f>
        <v>62.5</v>
      </c>
      <c r="J688" s="92">
        <f>DCOUNT(Montageplatten[[#Headers],[#Data],[MPH Winkel]:[Höhe]],Montageplatten[[#Headers],[Höhe]],select!O687:O688)</f>
        <v>2</v>
      </c>
      <c r="K688" s="6">
        <f>DCOUNT(Montageplatten[[#Headers],[#Data],[MPH Winkel]:[Höhe]],Montageplatten[[#Headers],[Höhe]],select!O687:P688)</f>
        <v>2</v>
      </c>
      <c r="L688" s="56">
        <f>DCOUNT(Montageplatten[[#Headers],[#Data],[MPH Winkel]:[Höhe]],Montageplatten[[#Headers],[Höhe]],select!N687:O688)</f>
        <v>0</v>
      </c>
      <c r="N688" s="92">
        <v>1</v>
      </c>
      <c r="O688" s="6">
        <f>C688</f>
        <v>9</v>
      </c>
      <c r="P688" s="56">
        <v>1</v>
      </c>
    </row>
    <row r="689" spans="1:29" hidden="1" outlineLevel="1" x14ac:dyDescent="0.25"/>
    <row r="690" spans="1:29" hidden="1" outlineLevel="1" x14ac:dyDescent="0.25"/>
    <row r="691" spans="1:29" hidden="1" outlineLevel="1" x14ac:dyDescent="0.25"/>
    <row r="692" spans="1:29" s="335" customFormat="1" hidden="1" outlineLevel="1" x14ac:dyDescent="0.25">
      <c r="B692" s="223" t="str">
        <f>B324</f>
        <v>Tiomos 110/37E</v>
      </c>
    </row>
    <row r="693" spans="1:29" hidden="1" outlineLevel="1" x14ac:dyDescent="0.25"/>
    <row r="694" spans="1:29" hidden="1" outlineLevel="1" x14ac:dyDescent="0.25"/>
    <row r="695" spans="1:29" hidden="1" outlineLevel="1" x14ac:dyDescent="0.25">
      <c r="B695" t="s">
        <v>1418</v>
      </c>
      <c r="G695" t="s">
        <v>1852</v>
      </c>
    </row>
    <row r="696" spans="1:29" hidden="1" outlineLevel="1" x14ac:dyDescent="0.25">
      <c r="A696" s="321"/>
      <c r="B696" s="336">
        <v>3</v>
      </c>
      <c r="C696" s="336">
        <v>4</v>
      </c>
      <c r="D696" s="336">
        <v>5</v>
      </c>
      <c r="E696" s="336">
        <v>6</v>
      </c>
      <c r="F696" s="327">
        <v>7</v>
      </c>
      <c r="G696" s="339">
        <v>3</v>
      </c>
      <c r="H696" s="336">
        <v>4</v>
      </c>
      <c r="I696" s="336">
        <v>5</v>
      </c>
      <c r="J696" s="336">
        <v>6</v>
      </c>
      <c r="K696" s="336">
        <v>7</v>
      </c>
      <c r="U696" s="8"/>
      <c r="W696" t="s">
        <v>1846</v>
      </c>
    </row>
    <row r="697" spans="1:29" hidden="1" outlineLevel="1" x14ac:dyDescent="0.25">
      <c r="A697" s="321">
        <v>24</v>
      </c>
      <c r="B697" s="337" t="s">
        <v>1264</v>
      </c>
      <c r="C697" s="337" t="s">
        <v>1264</v>
      </c>
      <c r="D697" s="337" t="s">
        <v>1264</v>
      </c>
      <c r="E697" s="337" t="s">
        <v>1264</v>
      </c>
      <c r="F697" s="338" t="s">
        <v>1264</v>
      </c>
      <c r="G697" s="340" t="s">
        <v>1264</v>
      </c>
      <c r="H697" s="338" t="s">
        <v>1264</v>
      </c>
      <c r="I697" s="338" t="s">
        <v>1264</v>
      </c>
      <c r="J697" s="338" t="s">
        <v>1264</v>
      </c>
      <c r="K697" s="338" t="s">
        <v>1264</v>
      </c>
      <c r="M697" s="341" t="str">
        <f t="shared" ref="M697:M705" ca="1" si="176">IF(OFFSET(A697,0,$C$709-2)&lt;&gt;"-",ja,nein)</f>
        <v xml:space="preserve">    </v>
      </c>
      <c r="U697" s="8"/>
      <c r="V697">
        <f>VLOOKUP($L$338,W700:AC707,7,FALSE)</f>
        <v>3</v>
      </c>
      <c r="W697" s="303" t="str">
        <f>IFERROR(VLOOKUP(V697,U700:AB707,$A$347+3,FALSE)&amp;" mm","---")</f>
        <v>1,4 mm</v>
      </c>
    </row>
    <row r="698" spans="1:29" hidden="1" outlineLevel="1" x14ac:dyDescent="0.25">
      <c r="A698" s="321">
        <v>22</v>
      </c>
      <c r="B698" s="337">
        <v>12</v>
      </c>
      <c r="C698" s="337" t="s">
        <v>1264</v>
      </c>
      <c r="D698" s="337">
        <v>14</v>
      </c>
      <c r="E698" s="337" t="s">
        <v>1264</v>
      </c>
      <c r="F698" s="338">
        <v>15</v>
      </c>
      <c r="G698" s="340">
        <v>59</v>
      </c>
      <c r="H698" s="338" t="s">
        <v>1264</v>
      </c>
      <c r="I698" s="338">
        <v>57.5</v>
      </c>
      <c r="J698" s="338" t="s">
        <v>1264</v>
      </c>
      <c r="K698" s="338">
        <v>56.5</v>
      </c>
      <c r="M698" s="170" t="str">
        <f t="shared" ca="1" si="176"/>
        <v>✓</v>
      </c>
      <c r="U698" s="8"/>
    </row>
    <row r="699" spans="1:29" hidden="1" outlineLevel="1" x14ac:dyDescent="0.25">
      <c r="A699" s="321">
        <v>21</v>
      </c>
      <c r="B699" s="337" t="s">
        <v>1264</v>
      </c>
      <c r="C699" s="337">
        <v>12</v>
      </c>
      <c r="D699" s="337" t="s">
        <v>1264</v>
      </c>
      <c r="E699" s="337">
        <v>14</v>
      </c>
      <c r="F699" s="338" t="s">
        <v>1264</v>
      </c>
      <c r="G699" s="340" t="s">
        <v>1264</v>
      </c>
      <c r="H699" s="338">
        <v>57.5</v>
      </c>
      <c r="I699" s="338" t="s">
        <v>1264</v>
      </c>
      <c r="J699" s="338">
        <v>56.5</v>
      </c>
      <c r="K699" s="338" t="s">
        <v>1264</v>
      </c>
      <c r="M699" s="170" t="str">
        <f t="shared" ca="1" si="176"/>
        <v xml:space="preserve">    </v>
      </c>
      <c r="U699" s="308"/>
      <c r="V699" s="308" t="s">
        <v>1839</v>
      </c>
      <c r="W699" s="308"/>
      <c r="X699" s="308">
        <v>3</v>
      </c>
      <c r="Y699" s="308">
        <v>4</v>
      </c>
      <c r="Z699" s="308">
        <v>5</v>
      </c>
      <c r="AA699" s="308">
        <v>6</v>
      </c>
      <c r="AB699" s="309">
        <v>7</v>
      </c>
    </row>
    <row r="700" spans="1:29" hidden="1" outlineLevel="1" x14ac:dyDescent="0.25">
      <c r="A700" s="321">
        <v>20</v>
      </c>
      <c r="B700" s="337" t="s">
        <v>1264</v>
      </c>
      <c r="C700" s="337" t="s">
        <v>1264</v>
      </c>
      <c r="D700" s="337">
        <v>12</v>
      </c>
      <c r="E700" s="337" t="s">
        <v>1264</v>
      </c>
      <c r="F700" s="338">
        <v>14</v>
      </c>
      <c r="G700" s="340" t="s">
        <v>1264</v>
      </c>
      <c r="H700" s="338" t="s">
        <v>1264</v>
      </c>
      <c r="I700" s="338">
        <v>56.5</v>
      </c>
      <c r="J700" s="338" t="s">
        <v>1264</v>
      </c>
      <c r="K700" s="338">
        <v>55</v>
      </c>
      <c r="M700" s="170" t="str">
        <f t="shared" ca="1" si="176"/>
        <v xml:space="preserve">    </v>
      </c>
      <c r="U700" s="34">
        <v>1</v>
      </c>
      <c r="V700" s="34" t="str">
        <f ca="1">M697&amp;" "&amp;TEXT(W700,"0,0")&amp;" mm"</f>
        <v xml:space="preserve">     24,0 mm</v>
      </c>
      <c r="W700" s="34">
        <f>AO322</f>
        <v>24</v>
      </c>
      <c r="X700" s="317">
        <v>2.4</v>
      </c>
      <c r="Y700" s="317">
        <v>2.1</v>
      </c>
      <c r="Z700" s="317">
        <v>2.1</v>
      </c>
      <c r="AA700" s="317">
        <v>2.1</v>
      </c>
      <c r="AB700" s="318">
        <v>2</v>
      </c>
      <c r="AC700" s="310">
        <v>1</v>
      </c>
    </row>
    <row r="701" spans="1:29" hidden="1" outlineLevel="1" x14ac:dyDescent="0.25">
      <c r="A701" s="321">
        <v>19</v>
      </c>
      <c r="B701" s="337" t="s">
        <v>1264</v>
      </c>
      <c r="C701" s="337" t="s">
        <v>1264</v>
      </c>
      <c r="D701" s="337" t="s">
        <v>1264</v>
      </c>
      <c r="E701" s="337">
        <v>12</v>
      </c>
      <c r="F701" s="338" t="s">
        <v>1264</v>
      </c>
      <c r="G701" s="340" t="s">
        <v>1264</v>
      </c>
      <c r="H701" s="338" t="s">
        <v>1264</v>
      </c>
      <c r="I701" s="338" t="s">
        <v>1264</v>
      </c>
      <c r="J701" s="338">
        <v>55</v>
      </c>
      <c r="K701" s="338" t="s">
        <v>1264</v>
      </c>
      <c r="M701" s="170" t="str">
        <f t="shared" ca="1" si="176"/>
        <v xml:space="preserve">    </v>
      </c>
      <c r="U701" s="34">
        <v>2</v>
      </c>
      <c r="V701" s="34" t="str">
        <f t="shared" ref="V701:V707" ca="1" si="177">M698&amp;" "&amp;TEXT(W701,"0,0")&amp;" mm"</f>
        <v>✓ 22,0 mm</v>
      </c>
      <c r="W701" s="34">
        <f t="shared" ref="W701:W707" si="178">AO323</f>
        <v>22</v>
      </c>
      <c r="X701" s="317">
        <v>1.6</v>
      </c>
      <c r="Y701" s="317">
        <v>1.6</v>
      </c>
      <c r="Z701" s="317">
        <v>1.6</v>
      </c>
      <c r="AA701" s="317">
        <v>1.5</v>
      </c>
      <c r="AB701" s="318">
        <v>1.5</v>
      </c>
      <c r="AC701" s="311">
        <v>2</v>
      </c>
    </row>
    <row r="702" spans="1:29" hidden="1" outlineLevel="1" x14ac:dyDescent="0.25">
      <c r="A702" s="321">
        <v>18</v>
      </c>
      <c r="B702" s="337">
        <v>9</v>
      </c>
      <c r="C702" s="337" t="s">
        <v>1264</v>
      </c>
      <c r="D702" s="337" t="s">
        <v>1264</v>
      </c>
      <c r="E702" s="337" t="s">
        <v>1264</v>
      </c>
      <c r="F702" s="338" t="s">
        <v>1264</v>
      </c>
      <c r="G702" s="340">
        <v>56</v>
      </c>
      <c r="H702" s="338" t="s">
        <v>1264</v>
      </c>
      <c r="I702" s="338" t="s">
        <v>1264</v>
      </c>
      <c r="J702" s="338" t="s">
        <v>1264</v>
      </c>
      <c r="K702" s="338" t="s">
        <v>1264</v>
      </c>
      <c r="M702" s="170" t="str">
        <f t="shared" ca="1" si="176"/>
        <v>✓</v>
      </c>
      <c r="U702" s="34">
        <v>3</v>
      </c>
      <c r="V702" s="34" t="str">
        <f t="shared" ca="1" si="177"/>
        <v xml:space="preserve">     21,0 mm</v>
      </c>
      <c r="W702" s="34">
        <f t="shared" si="178"/>
        <v>21</v>
      </c>
      <c r="X702" s="317">
        <v>1.4</v>
      </c>
      <c r="Y702" s="317">
        <v>1.3</v>
      </c>
      <c r="Z702" s="317">
        <v>1.3</v>
      </c>
      <c r="AA702" s="317">
        <v>1.3</v>
      </c>
      <c r="AB702" s="318">
        <v>1.3</v>
      </c>
      <c r="AC702" s="311">
        <v>3</v>
      </c>
    </row>
    <row r="703" spans="1:29" hidden="1" outlineLevel="1" x14ac:dyDescent="0.25">
      <c r="A703" s="321">
        <v>17</v>
      </c>
      <c r="B703" s="337" t="s">
        <v>1264</v>
      </c>
      <c r="C703" s="337">
        <v>9.5</v>
      </c>
      <c r="D703" s="337" t="s">
        <v>1264</v>
      </c>
      <c r="E703" s="337" t="s">
        <v>1264</v>
      </c>
      <c r="F703" s="338">
        <v>12</v>
      </c>
      <c r="G703" s="340" t="s">
        <v>1264</v>
      </c>
      <c r="H703" s="338">
        <v>54.5</v>
      </c>
      <c r="I703" s="338" t="s">
        <v>1264</v>
      </c>
      <c r="J703" s="338" t="s">
        <v>1264</v>
      </c>
      <c r="K703" s="338">
        <v>53</v>
      </c>
      <c r="M703" s="170" t="str">
        <f t="shared" ca="1" si="176"/>
        <v xml:space="preserve">    </v>
      </c>
      <c r="U703" s="34">
        <v>4</v>
      </c>
      <c r="V703" s="34" t="str">
        <f t="shared" ca="1" si="177"/>
        <v xml:space="preserve">     20,0 mm</v>
      </c>
      <c r="W703" s="34">
        <f t="shared" si="178"/>
        <v>20</v>
      </c>
      <c r="X703" s="317">
        <v>1.1000000000000001</v>
      </c>
      <c r="Y703" s="317">
        <v>1.1000000000000001</v>
      </c>
      <c r="Z703" s="317">
        <v>1.1000000000000001</v>
      </c>
      <c r="AA703" s="317">
        <v>1.1000000000000001</v>
      </c>
      <c r="AB703" s="318">
        <v>1.1000000000000001</v>
      </c>
      <c r="AC703" s="311">
        <v>4</v>
      </c>
    </row>
    <row r="704" spans="1:29" hidden="1" outlineLevel="1" x14ac:dyDescent="0.25">
      <c r="A704" s="321">
        <v>16</v>
      </c>
      <c r="B704" s="337">
        <v>8</v>
      </c>
      <c r="C704" s="337">
        <v>9</v>
      </c>
      <c r="D704" s="337">
        <v>9.5</v>
      </c>
      <c r="E704" s="337" t="s">
        <v>1264</v>
      </c>
      <c r="F704" s="338" t="s">
        <v>1264</v>
      </c>
      <c r="G704" s="340">
        <v>54.5</v>
      </c>
      <c r="H704" s="338">
        <v>54</v>
      </c>
      <c r="I704" s="338">
        <v>53</v>
      </c>
      <c r="J704" s="338" t="s">
        <v>1264</v>
      </c>
      <c r="K704" s="338" t="s">
        <v>1264</v>
      </c>
      <c r="M704" s="170" t="str">
        <f t="shared" ca="1" si="176"/>
        <v>✓</v>
      </c>
      <c r="U704" s="34">
        <v>5</v>
      </c>
      <c r="V704" s="34" t="str">
        <f t="shared" ca="1" si="177"/>
        <v xml:space="preserve">     19,0 mm</v>
      </c>
      <c r="W704" s="34">
        <f t="shared" si="178"/>
        <v>19</v>
      </c>
      <c r="X704" s="317">
        <v>0.9</v>
      </c>
      <c r="Y704" s="317">
        <v>0.9</v>
      </c>
      <c r="Z704" s="317">
        <v>0.9</v>
      </c>
      <c r="AA704" s="317">
        <v>0.9</v>
      </c>
      <c r="AB704" s="318">
        <v>0.9</v>
      </c>
      <c r="AC704" s="311">
        <v>5</v>
      </c>
    </row>
    <row r="705" spans="1:29" hidden="1" outlineLevel="1" x14ac:dyDescent="0.25">
      <c r="A705" s="321">
        <v>15</v>
      </c>
      <c r="B705" s="337" t="s">
        <v>1264</v>
      </c>
      <c r="C705" s="337">
        <v>8</v>
      </c>
      <c r="D705" s="337">
        <v>9</v>
      </c>
      <c r="E705" s="337" t="s">
        <v>1264</v>
      </c>
      <c r="F705" s="338" t="s">
        <v>1264</v>
      </c>
      <c r="G705" s="340" t="s">
        <v>1264</v>
      </c>
      <c r="H705" s="338">
        <v>53</v>
      </c>
      <c r="I705" s="338">
        <v>52.5</v>
      </c>
      <c r="J705" s="338" t="s">
        <v>1264</v>
      </c>
      <c r="K705" s="338" t="s">
        <v>1264</v>
      </c>
      <c r="M705" s="129" t="str">
        <f t="shared" ca="1" si="176"/>
        <v xml:space="preserve">    </v>
      </c>
      <c r="U705" s="34">
        <v>6</v>
      </c>
      <c r="V705" s="34" t="str">
        <f t="shared" ca="1" si="177"/>
        <v>✓ 18,0 mm</v>
      </c>
      <c r="W705" s="34">
        <f t="shared" si="178"/>
        <v>18</v>
      </c>
      <c r="X705" s="317">
        <v>0.7</v>
      </c>
      <c r="Y705" s="317">
        <v>0.7</v>
      </c>
      <c r="Z705" s="317">
        <v>0.7</v>
      </c>
      <c r="AA705" s="317">
        <v>0.7</v>
      </c>
      <c r="AB705" s="318">
        <v>0.7</v>
      </c>
      <c r="AC705" s="311">
        <v>6</v>
      </c>
    </row>
    <row r="706" spans="1:29" hidden="1" outlineLevel="1" x14ac:dyDescent="0.25">
      <c r="U706" s="34">
        <v>7</v>
      </c>
      <c r="V706" s="34" t="str">
        <f t="shared" ca="1" si="177"/>
        <v xml:space="preserve">     17,0 mm</v>
      </c>
      <c r="W706" s="34">
        <f t="shared" si="178"/>
        <v>17</v>
      </c>
      <c r="X706" s="317">
        <v>0.6</v>
      </c>
      <c r="Y706" s="317">
        <v>0.6</v>
      </c>
      <c r="Z706" s="317">
        <v>0.6</v>
      </c>
      <c r="AA706" s="317">
        <v>0.6</v>
      </c>
      <c r="AB706" s="318">
        <v>0.6</v>
      </c>
      <c r="AC706" s="311">
        <v>7</v>
      </c>
    </row>
    <row r="707" spans="1:29" hidden="1" outlineLevel="1" x14ac:dyDescent="0.25">
      <c r="U707" s="6">
        <v>8</v>
      </c>
      <c r="V707" s="34" t="str">
        <f t="shared" ca="1" si="177"/>
        <v>✓ 16,0 mm</v>
      </c>
      <c r="W707" s="34">
        <f t="shared" si="178"/>
        <v>16</v>
      </c>
      <c r="X707" s="319">
        <v>0.6</v>
      </c>
      <c r="Y707" s="319">
        <v>0.6</v>
      </c>
      <c r="Z707" s="319">
        <v>0.6</v>
      </c>
      <c r="AA707" s="319">
        <v>0.6</v>
      </c>
      <c r="AB707" s="320">
        <v>0.6</v>
      </c>
      <c r="AC707" s="312">
        <v>8</v>
      </c>
    </row>
    <row r="708" spans="1:29" hidden="1" outlineLevel="1" x14ac:dyDescent="0.25">
      <c r="B708" t="s">
        <v>1400</v>
      </c>
      <c r="C708">
        <f>$L$338</f>
        <v>21</v>
      </c>
    </row>
    <row r="709" spans="1:29" hidden="1" outlineLevel="1" x14ac:dyDescent="0.25">
      <c r="B709" t="s">
        <v>1850</v>
      </c>
      <c r="C709">
        <f>$A$346</f>
        <v>3</v>
      </c>
    </row>
    <row r="710" spans="1:29" hidden="1" outlineLevel="1" x14ac:dyDescent="0.25">
      <c r="G710" t="s">
        <v>1853</v>
      </c>
      <c r="J710" s="326" t="s">
        <v>1847</v>
      </c>
      <c r="K710" s="306" t="s">
        <v>52</v>
      </c>
      <c r="L710" s="307" t="s">
        <v>51</v>
      </c>
      <c r="N710" s="305" t="s">
        <v>51</v>
      </c>
      <c r="O710" s="306" t="s">
        <v>42</v>
      </c>
      <c r="P710" s="307" t="s">
        <v>52</v>
      </c>
    </row>
    <row r="711" spans="1:29" hidden="1" outlineLevel="1" x14ac:dyDescent="0.25">
      <c r="B711" t="s">
        <v>1418</v>
      </c>
      <c r="C711" t="str">
        <f>VLOOKUP(C708,$A$697:$F$705,C709-1,FALSE)</f>
        <v>-</v>
      </c>
      <c r="G711" t="str">
        <f>VLOOKUP(C708,A697:K705,C709+4,FALSE)</f>
        <v>-</v>
      </c>
      <c r="J711" s="92">
        <f>DCOUNT(Montageplatten[[#Headers],[#Data],[MPH Winkel]:[Höhe]],Montageplatten[[#Headers],[Höhe]],select!O710:O711)</f>
        <v>0</v>
      </c>
      <c r="K711" s="6">
        <f>DCOUNT(Montageplatten[[#Headers],[#Data],[MPH Winkel]:[Höhe]],Montageplatten[[#Headers],[Höhe]],select!O710:P711)</f>
        <v>0</v>
      </c>
      <c r="L711" s="56">
        <f>DCOUNT(Montageplatten[[#Headers],[#Data],[MPH Winkel]:[Höhe]],Montageplatten[[#Headers],[Höhe]],select!N710:O711)</f>
        <v>0</v>
      </c>
      <c r="N711" s="92">
        <v>1</v>
      </c>
      <c r="O711" s="6" t="str">
        <f>C711</f>
        <v>-</v>
      </c>
      <c r="P711" s="56">
        <v>1</v>
      </c>
    </row>
    <row r="712" spans="1:29" hidden="1" outlineLevel="1" x14ac:dyDescent="0.25"/>
    <row r="713" spans="1:29" hidden="1" outlineLevel="1" x14ac:dyDescent="0.25"/>
    <row r="714" spans="1:29" hidden="1" outlineLevel="1" x14ac:dyDescent="0.25"/>
    <row r="715" spans="1:29" s="335" customFormat="1" hidden="1" outlineLevel="1" x14ac:dyDescent="0.25">
      <c r="B715" s="223" t="str">
        <f>B326</f>
        <v>Tiomos 110/45E</v>
      </c>
    </row>
    <row r="716" spans="1:29" hidden="1" outlineLevel="1" x14ac:dyDescent="0.25"/>
    <row r="717" spans="1:29" hidden="1" outlineLevel="1" x14ac:dyDescent="0.25"/>
    <row r="718" spans="1:29" hidden="1" outlineLevel="1" x14ac:dyDescent="0.25">
      <c r="B718" t="s">
        <v>1418</v>
      </c>
      <c r="G718" t="s">
        <v>1852</v>
      </c>
    </row>
    <row r="719" spans="1:29" hidden="1" outlineLevel="1" x14ac:dyDescent="0.25">
      <c r="A719" s="321"/>
      <c r="B719" s="336">
        <v>3</v>
      </c>
      <c r="C719" s="336">
        <v>4</v>
      </c>
      <c r="D719" s="336">
        <v>5</v>
      </c>
      <c r="E719" s="336">
        <v>6</v>
      </c>
      <c r="F719" s="327">
        <v>7</v>
      </c>
      <c r="G719" s="339">
        <v>3</v>
      </c>
      <c r="H719" s="336">
        <v>4</v>
      </c>
      <c r="I719" s="336">
        <v>5</v>
      </c>
      <c r="J719" s="336">
        <v>6</v>
      </c>
      <c r="K719" s="336">
        <v>7</v>
      </c>
      <c r="U719" s="8"/>
      <c r="W719" t="s">
        <v>1846</v>
      </c>
    </row>
    <row r="720" spans="1:29" hidden="1" outlineLevel="1" x14ac:dyDescent="0.25">
      <c r="A720" s="321">
        <v>24</v>
      </c>
      <c r="B720" s="337" t="s">
        <v>1264</v>
      </c>
      <c r="C720" s="337" t="s">
        <v>1264</v>
      </c>
      <c r="D720" s="337" t="s">
        <v>1264</v>
      </c>
      <c r="E720" s="337" t="s">
        <v>1264</v>
      </c>
      <c r="F720" s="338" t="s">
        <v>1264</v>
      </c>
      <c r="G720" s="340" t="s">
        <v>1264</v>
      </c>
      <c r="H720" s="338" t="s">
        <v>1264</v>
      </c>
      <c r="I720" s="338" t="s">
        <v>1264</v>
      </c>
      <c r="J720" s="338" t="s">
        <v>1264</v>
      </c>
      <c r="K720" s="338" t="s">
        <v>1264</v>
      </c>
      <c r="M720" s="341" t="str">
        <f t="shared" ref="M720:M728" ca="1" si="179">IF(OFFSET(A720,0,$C$709-2)&lt;&gt;"-",ja,nein)</f>
        <v xml:space="preserve">    </v>
      </c>
      <c r="U720" s="8"/>
      <c r="V720">
        <f>VLOOKUP($L$338,W723:AC730,7,FALSE)</f>
        <v>3</v>
      </c>
      <c r="W720" s="303" t="str">
        <f>IFERROR(VLOOKUP(V720,U723:AB730,$A$347+3,FALSE)&amp;" mm","---")</f>
        <v>1,4 mm</v>
      </c>
    </row>
    <row r="721" spans="1:29" hidden="1" outlineLevel="1" x14ac:dyDescent="0.25">
      <c r="A721" s="321">
        <v>22</v>
      </c>
      <c r="B721" s="337" t="s">
        <v>1264</v>
      </c>
      <c r="C721" s="337">
        <v>15.5</v>
      </c>
      <c r="D721" s="337" t="s">
        <v>1264</v>
      </c>
      <c r="E721" s="337" t="s">
        <v>1264</v>
      </c>
      <c r="F721" s="338" t="s">
        <v>1264</v>
      </c>
      <c r="G721" s="340" t="s">
        <v>1264</v>
      </c>
      <c r="H721" s="338">
        <v>53</v>
      </c>
      <c r="I721" s="338" t="s">
        <v>1264</v>
      </c>
      <c r="J721" s="338" t="s">
        <v>1264</v>
      </c>
      <c r="K721" s="338" t="s">
        <v>1264</v>
      </c>
      <c r="M721" s="170" t="str">
        <f t="shared" ca="1" si="179"/>
        <v xml:space="preserve">    </v>
      </c>
      <c r="U721" s="8"/>
    </row>
    <row r="722" spans="1:29" hidden="1" outlineLevel="1" x14ac:dyDescent="0.25">
      <c r="A722" s="321">
        <v>21</v>
      </c>
      <c r="B722" s="337">
        <v>14</v>
      </c>
      <c r="C722" s="337" t="s">
        <v>1264</v>
      </c>
      <c r="D722" s="337">
        <v>15</v>
      </c>
      <c r="E722" s="337" t="s">
        <v>1264</v>
      </c>
      <c r="F722" s="338" t="s">
        <v>1264</v>
      </c>
      <c r="G722" s="340" t="s">
        <v>1264</v>
      </c>
      <c r="H722" s="338" t="s">
        <v>1264</v>
      </c>
      <c r="I722" s="338">
        <v>51.5</v>
      </c>
      <c r="J722" s="338" t="s">
        <v>1264</v>
      </c>
      <c r="K722" s="338" t="s">
        <v>1264</v>
      </c>
      <c r="M722" s="170" t="str">
        <f t="shared" ca="1" si="179"/>
        <v>✓</v>
      </c>
      <c r="U722" s="308"/>
      <c r="V722" s="308" t="s">
        <v>1839</v>
      </c>
      <c r="W722" s="308"/>
      <c r="X722" s="308">
        <v>3</v>
      </c>
      <c r="Y722" s="308">
        <v>4</v>
      </c>
      <c r="Z722" s="308">
        <v>5</v>
      </c>
      <c r="AA722" s="308">
        <v>6</v>
      </c>
      <c r="AB722" s="309">
        <v>7</v>
      </c>
    </row>
    <row r="723" spans="1:29" hidden="1" outlineLevel="1" x14ac:dyDescent="0.25">
      <c r="A723" s="321">
        <v>20</v>
      </c>
      <c r="B723" s="337" t="s">
        <v>1264</v>
      </c>
      <c r="C723" s="337" t="s">
        <v>1264</v>
      </c>
      <c r="D723" s="337">
        <v>14</v>
      </c>
      <c r="E723" s="337">
        <v>15</v>
      </c>
      <c r="F723" s="338">
        <v>15.5</v>
      </c>
      <c r="G723" s="340" t="s">
        <v>1264</v>
      </c>
      <c r="H723" s="338" t="s">
        <v>1264</v>
      </c>
      <c r="I723" s="338">
        <v>51</v>
      </c>
      <c r="J723" s="338">
        <v>50.5</v>
      </c>
      <c r="K723" s="338">
        <v>50</v>
      </c>
      <c r="M723" s="170" t="str">
        <f t="shared" ca="1" si="179"/>
        <v xml:space="preserve">    </v>
      </c>
      <c r="U723" s="34">
        <v>1</v>
      </c>
      <c r="V723" s="34" t="str">
        <f ca="1">M720&amp;" "&amp;TEXT(W723,"0,0")&amp;" mm"</f>
        <v xml:space="preserve">     24,0 mm</v>
      </c>
      <c r="W723" s="34">
        <f>AO322</f>
        <v>24</v>
      </c>
      <c r="X723" s="317">
        <v>2.4</v>
      </c>
      <c r="Y723" s="317">
        <v>2.1</v>
      </c>
      <c r="Z723" s="317">
        <v>2.1</v>
      </c>
      <c r="AA723" s="317">
        <v>2.1</v>
      </c>
      <c r="AB723" s="318">
        <v>2</v>
      </c>
      <c r="AC723" s="310">
        <v>1</v>
      </c>
    </row>
    <row r="724" spans="1:29" hidden="1" outlineLevel="1" x14ac:dyDescent="0.25">
      <c r="A724" s="321">
        <v>19</v>
      </c>
      <c r="B724" s="337">
        <v>12</v>
      </c>
      <c r="C724" s="337" t="s">
        <v>1264</v>
      </c>
      <c r="D724" s="337" t="s">
        <v>1264</v>
      </c>
      <c r="E724" s="337">
        <v>15</v>
      </c>
      <c r="F724" s="338">
        <v>15</v>
      </c>
      <c r="G724" s="340">
        <v>52</v>
      </c>
      <c r="H724" s="338" t="s">
        <v>1264</v>
      </c>
      <c r="I724" s="338" t="s">
        <v>1264</v>
      </c>
      <c r="J724" s="338">
        <v>50</v>
      </c>
      <c r="K724" s="338">
        <v>49</v>
      </c>
      <c r="M724" s="170" t="str">
        <f t="shared" ca="1" si="179"/>
        <v>✓</v>
      </c>
      <c r="U724" s="34">
        <v>2</v>
      </c>
      <c r="V724" s="34" t="str">
        <f t="shared" ref="V724:V730" ca="1" si="180">M721&amp;" "&amp;TEXT(W724,"0,0")&amp;" mm"</f>
        <v xml:space="preserve">     22,0 mm</v>
      </c>
      <c r="W724" s="34">
        <f t="shared" ref="W724:W730" si="181">AO323</f>
        <v>22</v>
      </c>
      <c r="X724" s="317">
        <v>1.6</v>
      </c>
      <c r="Y724" s="317">
        <v>1.6</v>
      </c>
      <c r="Z724" s="317">
        <v>1.6</v>
      </c>
      <c r="AA724" s="317">
        <v>1.5</v>
      </c>
      <c r="AB724" s="318">
        <v>1.5</v>
      </c>
      <c r="AC724" s="311">
        <v>2</v>
      </c>
    </row>
    <row r="725" spans="1:29" hidden="1" outlineLevel="1" x14ac:dyDescent="0.25">
      <c r="A725" s="321">
        <v>18</v>
      </c>
      <c r="B725" s="337" t="s">
        <v>1264</v>
      </c>
      <c r="C725" s="337">
        <v>12</v>
      </c>
      <c r="D725" s="337" t="s">
        <v>1264</v>
      </c>
      <c r="E725" s="337" t="s">
        <v>1264</v>
      </c>
      <c r="F725" s="338">
        <v>14</v>
      </c>
      <c r="G725" s="340" t="s">
        <v>1264</v>
      </c>
      <c r="H725" s="338">
        <v>50.5</v>
      </c>
      <c r="I725" s="338" t="s">
        <v>1264</v>
      </c>
      <c r="J725" s="338" t="s">
        <v>1264</v>
      </c>
      <c r="K725" s="338">
        <v>48.5</v>
      </c>
      <c r="M725" s="170" t="str">
        <f t="shared" ca="1" si="179"/>
        <v xml:space="preserve">    </v>
      </c>
      <c r="U725" s="34">
        <v>3</v>
      </c>
      <c r="V725" s="34" t="str">
        <f t="shared" ca="1" si="180"/>
        <v>✓ 21,0 mm</v>
      </c>
      <c r="W725" s="34">
        <f t="shared" si="181"/>
        <v>21</v>
      </c>
      <c r="X725" s="317">
        <v>1.4</v>
      </c>
      <c r="Y725" s="317">
        <v>1.3</v>
      </c>
      <c r="Z725" s="317">
        <v>1.3</v>
      </c>
      <c r="AA725" s="317">
        <v>1.3</v>
      </c>
      <c r="AB725" s="318">
        <v>1.3</v>
      </c>
      <c r="AC725" s="311">
        <v>3</v>
      </c>
    </row>
    <row r="726" spans="1:29" hidden="1" outlineLevel="1" x14ac:dyDescent="0.25">
      <c r="A726" s="321">
        <v>17</v>
      </c>
      <c r="B726" s="337" t="s">
        <v>1264</v>
      </c>
      <c r="C726" s="337" t="s">
        <v>1264</v>
      </c>
      <c r="D726" s="337">
        <v>12</v>
      </c>
      <c r="E726" s="337" t="s">
        <v>1264</v>
      </c>
      <c r="F726" s="338" t="s">
        <v>1264</v>
      </c>
      <c r="G726" s="340" t="s">
        <v>1264</v>
      </c>
      <c r="H726" s="338" t="s">
        <v>1264</v>
      </c>
      <c r="I726" s="338">
        <v>49</v>
      </c>
      <c r="J726" s="338" t="s">
        <v>1264</v>
      </c>
      <c r="K726" s="338" t="s">
        <v>1264</v>
      </c>
      <c r="M726" s="170" t="str">
        <f t="shared" ca="1" si="179"/>
        <v xml:space="preserve">    </v>
      </c>
      <c r="U726" s="34">
        <v>4</v>
      </c>
      <c r="V726" s="34" t="str">
        <f t="shared" ca="1" si="180"/>
        <v xml:space="preserve">     20,0 mm</v>
      </c>
      <c r="W726" s="34">
        <f t="shared" si="181"/>
        <v>20</v>
      </c>
      <c r="X726" s="317">
        <v>1.1000000000000001</v>
      </c>
      <c r="Y726" s="317">
        <v>1.1000000000000001</v>
      </c>
      <c r="Z726" s="317">
        <v>1.1000000000000001</v>
      </c>
      <c r="AA726" s="317">
        <v>1.1000000000000001</v>
      </c>
      <c r="AB726" s="318">
        <v>1.1000000000000001</v>
      </c>
      <c r="AC726" s="311">
        <v>4</v>
      </c>
    </row>
    <row r="727" spans="1:29" hidden="1" outlineLevel="1" x14ac:dyDescent="0.25">
      <c r="A727" s="321">
        <v>16</v>
      </c>
      <c r="B727" s="337" t="s">
        <v>1264</v>
      </c>
      <c r="C727" s="337" t="s">
        <v>1264</v>
      </c>
      <c r="D727" s="337" t="s">
        <v>1264</v>
      </c>
      <c r="E727" s="337">
        <v>12</v>
      </c>
      <c r="F727" s="338" t="s">
        <v>1264</v>
      </c>
      <c r="G727" s="340" t="s">
        <v>1264</v>
      </c>
      <c r="H727" s="338" t="s">
        <v>1264</v>
      </c>
      <c r="I727" s="338" t="s">
        <v>1264</v>
      </c>
      <c r="J727" s="338">
        <v>47.5</v>
      </c>
      <c r="K727" s="338" t="s">
        <v>1264</v>
      </c>
      <c r="M727" s="170" t="str">
        <f t="shared" ca="1" si="179"/>
        <v xml:space="preserve">    </v>
      </c>
      <c r="U727" s="34">
        <v>5</v>
      </c>
      <c r="V727" s="34" t="str">
        <f t="shared" ca="1" si="180"/>
        <v>✓ 19,0 mm</v>
      </c>
      <c r="W727" s="34">
        <f t="shared" si="181"/>
        <v>19</v>
      </c>
      <c r="X727" s="317">
        <v>0.9</v>
      </c>
      <c r="Y727" s="317">
        <v>0.9</v>
      </c>
      <c r="Z727" s="317">
        <v>0.9</v>
      </c>
      <c r="AA727" s="317">
        <v>0.9</v>
      </c>
      <c r="AB727" s="318">
        <v>0.9</v>
      </c>
      <c r="AC727" s="311">
        <v>5</v>
      </c>
    </row>
    <row r="728" spans="1:29" hidden="1" outlineLevel="1" x14ac:dyDescent="0.25">
      <c r="A728" s="321">
        <v>15</v>
      </c>
      <c r="B728" s="337">
        <v>9</v>
      </c>
      <c r="C728" s="337" t="s">
        <v>1264</v>
      </c>
      <c r="D728" s="337" t="s">
        <v>1264</v>
      </c>
      <c r="E728" s="337" t="s">
        <v>1264</v>
      </c>
      <c r="F728" s="338">
        <v>12</v>
      </c>
      <c r="G728" s="340">
        <v>49</v>
      </c>
      <c r="H728" s="338" t="s">
        <v>1264</v>
      </c>
      <c r="I728" s="338" t="s">
        <v>1264</v>
      </c>
      <c r="J728" s="338" t="s">
        <v>1264</v>
      </c>
      <c r="K728" s="338">
        <v>46</v>
      </c>
      <c r="M728" s="129" t="str">
        <f t="shared" ca="1" si="179"/>
        <v>✓</v>
      </c>
      <c r="U728" s="34">
        <v>6</v>
      </c>
      <c r="V728" s="34" t="str">
        <f t="shared" ca="1" si="180"/>
        <v xml:space="preserve">     18,0 mm</v>
      </c>
      <c r="W728" s="34">
        <f t="shared" si="181"/>
        <v>18</v>
      </c>
      <c r="X728" s="317">
        <v>0.7</v>
      </c>
      <c r="Y728" s="317">
        <v>0.7</v>
      </c>
      <c r="Z728" s="317">
        <v>0.7</v>
      </c>
      <c r="AA728" s="317">
        <v>0.7</v>
      </c>
      <c r="AB728" s="318">
        <v>0.7</v>
      </c>
      <c r="AC728" s="311">
        <v>6</v>
      </c>
    </row>
    <row r="729" spans="1:29" hidden="1" outlineLevel="1" x14ac:dyDescent="0.25">
      <c r="U729" s="34">
        <v>7</v>
      </c>
      <c r="V729" s="34" t="str">
        <f t="shared" ca="1" si="180"/>
        <v xml:space="preserve">     17,0 mm</v>
      </c>
      <c r="W729" s="34">
        <f t="shared" si="181"/>
        <v>17</v>
      </c>
      <c r="X729" s="317">
        <v>0.6</v>
      </c>
      <c r="Y729" s="317">
        <v>0.6</v>
      </c>
      <c r="Z729" s="317">
        <v>0.6</v>
      </c>
      <c r="AA729" s="317">
        <v>0.6</v>
      </c>
      <c r="AB729" s="318">
        <v>0.6</v>
      </c>
      <c r="AC729" s="311">
        <v>7</v>
      </c>
    </row>
    <row r="730" spans="1:29" hidden="1" outlineLevel="1" x14ac:dyDescent="0.25">
      <c r="U730" s="6">
        <v>8</v>
      </c>
      <c r="V730" s="34" t="str">
        <f t="shared" ca="1" si="180"/>
        <v xml:space="preserve">     16,0 mm</v>
      </c>
      <c r="W730" s="34">
        <f t="shared" si="181"/>
        <v>16</v>
      </c>
      <c r="X730" s="319">
        <v>0.6</v>
      </c>
      <c r="Y730" s="319">
        <v>0.6</v>
      </c>
      <c r="Z730" s="319">
        <v>0.6</v>
      </c>
      <c r="AA730" s="319">
        <v>0.6</v>
      </c>
      <c r="AB730" s="320">
        <v>0.6</v>
      </c>
      <c r="AC730" s="312">
        <v>8</v>
      </c>
    </row>
    <row r="731" spans="1:29" hidden="1" outlineLevel="1" x14ac:dyDescent="0.25">
      <c r="B731" t="s">
        <v>1400</v>
      </c>
      <c r="C731">
        <f>$L$338</f>
        <v>21</v>
      </c>
    </row>
    <row r="732" spans="1:29" hidden="1" outlineLevel="1" x14ac:dyDescent="0.25">
      <c r="B732" t="s">
        <v>1850</v>
      </c>
      <c r="C732">
        <f>$A$346</f>
        <v>3</v>
      </c>
    </row>
    <row r="733" spans="1:29" hidden="1" outlineLevel="1" x14ac:dyDescent="0.25">
      <c r="G733" t="s">
        <v>1853</v>
      </c>
      <c r="J733" s="326" t="s">
        <v>1847</v>
      </c>
      <c r="K733" s="306" t="s">
        <v>52</v>
      </c>
      <c r="L733" s="307" t="s">
        <v>51</v>
      </c>
      <c r="N733" s="305" t="s">
        <v>51</v>
      </c>
      <c r="O733" s="306" t="s">
        <v>42</v>
      </c>
      <c r="P733" s="307" t="s">
        <v>52</v>
      </c>
    </row>
    <row r="734" spans="1:29" hidden="1" outlineLevel="1" x14ac:dyDescent="0.25">
      <c r="B734" t="s">
        <v>1418</v>
      </c>
      <c r="C734">
        <f>VLOOKUP(C731,$A$720:$F$728,C732-1,FALSE)</f>
        <v>14</v>
      </c>
      <c r="G734" t="str">
        <f>VLOOKUP(C731,A720:K728,C732+4,FALSE)</f>
        <v>-</v>
      </c>
      <c r="J734" s="92">
        <f>DCOUNT(Montageplatten[[#Headers],[#Data],[MPH Winkel]:[Höhe]],Montageplatten[[#Headers],[Höhe]],select!O733:O734)</f>
        <v>2</v>
      </c>
      <c r="K734" s="6">
        <f>DCOUNT(Montageplatten[[#Headers],[#Data],[MPH Winkel]:[Höhe]],Montageplatten[[#Headers],[Höhe]],select!O733:P734)</f>
        <v>2</v>
      </c>
      <c r="L734" s="56">
        <f>DCOUNT(Montageplatten[[#Headers],[#Data],[MPH Winkel]:[Höhe]],Montageplatten[[#Headers],[Höhe]],select!N733:O734)</f>
        <v>0</v>
      </c>
      <c r="N734" s="92">
        <v>1</v>
      </c>
      <c r="O734" s="6">
        <f>C734</f>
        <v>14</v>
      </c>
      <c r="P734" s="56">
        <v>1</v>
      </c>
    </row>
    <row r="735" spans="1:29" hidden="1" outlineLevel="1" x14ac:dyDescent="0.25"/>
    <row r="736" spans="1:29" hidden="1" outlineLevel="1" x14ac:dyDescent="0.25"/>
    <row r="737" spans="1:33" hidden="1" outlineLevel="1" x14ac:dyDescent="0.25"/>
    <row r="738" spans="1:33" hidden="1" outlineLevel="1" x14ac:dyDescent="0.25"/>
    <row r="739" spans="1:33" hidden="1" outlineLevel="1" x14ac:dyDescent="0.25"/>
    <row r="740" spans="1:33" hidden="1" outlineLevel="1" x14ac:dyDescent="0.25"/>
    <row r="741" spans="1:33" s="78" customFormat="1" collapsed="1" x14ac:dyDescent="0.25">
      <c r="A741" s="78" t="s">
        <v>1819</v>
      </c>
    </row>
    <row r="742" spans="1:33" hidden="1" outlineLevel="1" x14ac:dyDescent="0.25"/>
    <row r="743" spans="1:33" hidden="1" outlineLevel="1" x14ac:dyDescent="0.25">
      <c r="AF743" t="s">
        <v>1445</v>
      </c>
      <c r="AG743" t="s">
        <v>2279</v>
      </c>
    </row>
    <row r="744" spans="1:33" hidden="1" outlineLevel="1" x14ac:dyDescent="0.25">
      <c r="O744" s="131" t="str">
        <f ca="1">IF(A747=2,"",IF(OR(O746=0,O746="")=TRUE,Sprache!A42,""))</f>
        <v/>
      </c>
    </row>
    <row r="745" spans="1:33" hidden="1" outlineLevel="1" x14ac:dyDescent="0.25">
      <c r="D745" s="6" t="s">
        <v>1409</v>
      </c>
      <c r="E745" s="6" t="s">
        <v>1410</v>
      </c>
      <c r="F745" s="6" t="s">
        <v>1411</v>
      </c>
      <c r="G745" s="6" t="s">
        <v>1412</v>
      </c>
      <c r="H745" s="6" t="s">
        <v>1419</v>
      </c>
      <c r="I745" s="6" t="s">
        <v>1420</v>
      </c>
      <c r="J745" s="6" t="s">
        <v>1835</v>
      </c>
      <c r="K745" s="6" t="s">
        <v>5</v>
      </c>
      <c r="L745" s="6" t="s">
        <v>1417</v>
      </c>
      <c r="M745" s="6" t="s">
        <v>1418</v>
      </c>
      <c r="N745" s="8" t="s">
        <v>1264</v>
      </c>
      <c r="O745" s="8" t="s">
        <v>1450</v>
      </c>
    </row>
    <row r="746" spans="1:33" ht="15.75" hidden="1" outlineLevel="1" thickBot="1" x14ac:dyDescent="0.3">
      <c r="A746" s="4" t="str">
        <f>VLOOKUP(A747,A748:B761,2,FALSE)</f>
        <v>Tiomos 100</v>
      </c>
      <c r="D746" t="str">
        <f ca="1">VLOOKUP(A747,A748:D752,4,FALSE)</f>
        <v>Türauflage</v>
      </c>
      <c r="E746">
        <f>VLOOKUP(A747,A748:E752,5,FALSE)</f>
        <v>-24</v>
      </c>
      <c r="F746">
        <f>VLOOKUP(A747,A748:F752,6,FALSE)</f>
        <v>24</v>
      </c>
      <c r="G746">
        <f>VLOOKUP(A747,A748:G752,7,FALSE)</f>
        <v>0</v>
      </c>
      <c r="H746">
        <f ca="1">VLOOKUP(A747,A748:H752,8,FALSE)</f>
        <v>2</v>
      </c>
      <c r="I746">
        <f ca="1">VLOOKUP(A747,A748:I752,9,FALSE)</f>
        <v>-1</v>
      </c>
      <c r="J746">
        <f>VLOOKUP(A747,A748:J752,10,FALSE)</f>
        <v>0</v>
      </c>
      <c r="K746" s="116">
        <f>VLOOKUP(A747,A748:K752,11,FALSE)</f>
        <v>3</v>
      </c>
      <c r="L746" t="str">
        <f ca="1">VLOOKUP(A747,A748:L752,12,FALSE)</f>
        <v>Topfabstand</v>
      </c>
      <c r="M746">
        <f ca="1">VLOOKUP(A747,A748:M752,13,FALSE)</f>
        <v>14</v>
      </c>
      <c r="N746" t="str">
        <f>VLOOKUP(A747,A748:N752,14,FALSE)</f>
        <v>-</v>
      </c>
      <c r="O746">
        <f ca="1">VLOOKUP(A747,A748:O752,15,FALSE)</f>
        <v>2</v>
      </c>
    </row>
    <row r="747" spans="1:33" ht="15.75" hidden="1" outlineLevel="1" thickBot="1" x14ac:dyDescent="0.3">
      <c r="A747" s="286">
        <v>1</v>
      </c>
      <c r="B747" s="3"/>
      <c r="Y747" t="s">
        <v>29</v>
      </c>
      <c r="Z747" t="s">
        <v>30</v>
      </c>
      <c r="AA747" t="s">
        <v>1367</v>
      </c>
      <c r="AB747" t="s">
        <v>31</v>
      </c>
      <c r="AC747" s="825" t="s">
        <v>1357</v>
      </c>
      <c r="AD747" s="8" t="s">
        <v>2</v>
      </c>
      <c r="AF747">
        <f>DCOUNT(Scharniere[[#Headers],[#Data]],Scharniere[[#Headers],[Scharnierart]],Y747:AD748)</f>
        <v>0</v>
      </c>
      <c r="AG747" s="40">
        <f>IF(AF747&gt;0,1,0)</f>
        <v>0</v>
      </c>
    </row>
    <row r="748" spans="1:33" hidden="1" outlineLevel="1" x14ac:dyDescent="0.25">
      <c r="A748">
        <v>1</v>
      </c>
      <c r="B748" t="s">
        <v>1397</v>
      </c>
      <c r="D748" s="290" t="str">
        <f ca="1">Sprache!A154</f>
        <v>Türauflage</v>
      </c>
      <c r="E748" s="290">
        <v>-24</v>
      </c>
      <c r="F748" s="290">
        <v>24</v>
      </c>
      <c r="G748" s="290">
        <v>0</v>
      </c>
      <c r="H748" s="290">
        <f ca="1">C899</f>
        <v>2</v>
      </c>
      <c r="I748" s="290">
        <f ca="1">C848</f>
        <v>-1</v>
      </c>
      <c r="J748" s="290"/>
      <c r="K748" s="290">
        <v>3</v>
      </c>
      <c r="L748" s="290" t="str">
        <f ca="1">Sprache!A176</f>
        <v>Topfabstand</v>
      </c>
      <c r="M748" s="290">
        <f ca="1">B798</f>
        <v>14</v>
      </c>
      <c r="N748" s="291" t="s">
        <v>1264</v>
      </c>
      <c r="O748">
        <f ca="1">OFFSET(I805,0,J783)</f>
        <v>2</v>
      </c>
      <c r="Y748">
        <f>IF(A748=1,1,0)</f>
        <v>1</v>
      </c>
      <c r="Z748">
        <f>IF(A748=2,1,0)</f>
        <v>0</v>
      </c>
      <c r="AA748">
        <f>IF(A748=3,1,0)</f>
        <v>0</v>
      </c>
      <c r="AB748">
        <f>IF(A748=4,1,0)</f>
        <v>0</v>
      </c>
      <c r="AC748">
        <v>1</v>
      </c>
      <c r="AD748" s="87" t="s">
        <v>1264</v>
      </c>
    </row>
    <row r="749" spans="1:33" hidden="1" outlineLevel="1" x14ac:dyDescent="0.25">
      <c r="A749">
        <v>2</v>
      </c>
      <c r="B749" t="s">
        <v>1395</v>
      </c>
      <c r="D749" s="290" t="str">
        <f ca="1">Sprache!A56</f>
        <v>keine</v>
      </c>
      <c r="E749" s="290"/>
      <c r="F749" s="290"/>
      <c r="G749" s="290">
        <v>1</v>
      </c>
      <c r="H749" s="290"/>
      <c r="I749" s="290"/>
      <c r="J749" s="290"/>
      <c r="K749" s="290" t="s">
        <v>1264</v>
      </c>
      <c r="L749" s="290" t="str">
        <f ca="1">Sprache!A176</f>
        <v>Topfabstand</v>
      </c>
      <c r="M749" s="290">
        <v>0</v>
      </c>
      <c r="N749" s="291" t="s">
        <v>1264</v>
      </c>
      <c r="O749">
        <f ca="1">O748</f>
        <v>2</v>
      </c>
      <c r="Y749" t="s">
        <v>29</v>
      </c>
      <c r="Z749" t="s">
        <v>30</v>
      </c>
      <c r="AA749" t="s">
        <v>1367</v>
      </c>
      <c r="AB749" t="s">
        <v>31</v>
      </c>
      <c r="AC749" s="754" t="str">
        <f>AC747</f>
        <v>Spezialscharnier</v>
      </c>
      <c r="AD749" s="8" t="s">
        <v>2</v>
      </c>
      <c r="AF749">
        <f>DCOUNT(Scharniere[[#Headers],[#Data]],Scharniere[[#Headers],[Scharnierart]],Y749:AD750)</f>
        <v>0</v>
      </c>
      <c r="AG749" s="40">
        <f>IF(AF749&gt;0,1,0)</f>
        <v>0</v>
      </c>
    </row>
    <row r="750" spans="1:33" hidden="1" outlineLevel="1" x14ac:dyDescent="0.25">
      <c r="A750">
        <v>3</v>
      </c>
      <c r="B750" t="s">
        <v>1392</v>
      </c>
      <c r="D750" s="290" t="str">
        <f ca="1">Sprache!A154</f>
        <v>Türauflage</v>
      </c>
      <c r="E750" s="290">
        <v>-24</v>
      </c>
      <c r="F750" s="290">
        <v>24</v>
      </c>
      <c r="G750" s="290">
        <v>0</v>
      </c>
      <c r="H750" s="290">
        <f ca="1">H748</f>
        <v>2</v>
      </c>
      <c r="I750" s="290">
        <f ca="1">I748</f>
        <v>-1</v>
      </c>
      <c r="J750" s="290"/>
      <c r="K750" s="290">
        <v>3</v>
      </c>
      <c r="L750" s="290" t="str">
        <f ca="1">Sprache!A176</f>
        <v>Topfabstand</v>
      </c>
      <c r="M750" s="290">
        <f ca="1">M748</f>
        <v>14</v>
      </c>
      <c r="N750" s="291" t="s">
        <v>1264</v>
      </c>
      <c r="O750">
        <f ca="1">O748</f>
        <v>2</v>
      </c>
      <c r="Y750">
        <f>Y748</f>
        <v>1</v>
      </c>
      <c r="Z750">
        <f>Z748</f>
        <v>0</v>
      </c>
      <c r="AA750">
        <f>AA748</f>
        <v>0</v>
      </c>
      <c r="AB750">
        <f>AB748</f>
        <v>0</v>
      </c>
      <c r="AC750">
        <f>AC748</f>
        <v>1</v>
      </c>
      <c r="AD750" t="s">
        <v>1693</v>
      </c>
    </row>
    <row r="751" spans="1:33" hidden="1" outlineLevel="1" x14ac:dyDescent="0.25">
      <c r="A751">
        <v>4</v>
      </c>
      <c r="B751" t="s">
        <v>1396</v>
      </c>
      <c r="D751" s="290" t="str">
        <f ca="1">Sprache!A154</f>
        <v>Türauflage</v>
      </c>
      <c r="E751" s="290">
        <v>-24</v>
      </c>
      <c r="F751" s="290">
        <v>25</v>
      </c>
      <c r="G751" s="290">
        <v>0</v>
      </c>
      <c r="H751" s="290">
        <f ca="1">H748</f>
        <v>2</v>
      </c>
      <c r="I751" s="290">
        <f ca="1">I748</f>
        <v>-1</v>
      </c>
      <c r="J751" s="290"/>
      <c r="K751" s="290">
        <v>14</v>
      </c>
      <c r="L751" s="290" t="str">
        <f ca="1">Sprache!A176</f>
        <v>Topfabstand</v>
      </c>
      <c r="M751" s="290">
        <f ca="1">M748</f>
        <v>14</v>
      </c>
      <c r="N751" s="291" t="s">
        <v>1264</v>
      </c>
      <c r="O751">
        <f ca="1">O748</f>
        <v>2</v>
      </c>
      <c r="Y751" t="s">
        <v>29</v>
      </c>
      <c r="Z751" t="s">
        <v>30</v>
      </c>
      <c r="AA751" t="s">
        <v>1367</v>
      </c>
      <c r="AB751" t="s">
        <v>31</v>
      </c>
      <c r="AC751" s="754" t="str">
        <f>AC747</f>
        <v>Spezialscharnier</v>
      </c>
      <c r="AD751" s="8" t="s">
        <v>2</v>
      </c>
      <c r="AF751">
        <f>DCOUNT(Scharniere[[#Headers],[#Data]],Scharniere[[#Headers],[Scharnierart]],Y751:AD752)</f>
        <v>1</v>
      </c>
      <c r="AG751" s="40">
        <f>IF(AF751&gt;0,1,0)</f>
        <v>1</v>
      </c>
    </row>
    <row r="752" spans="1:33" hidden="1" outlineLevel="1" x14ac:dyDescent="0.25">
      <c r="A752">
        <v>5</v>
      </c>
      <c r="B752" t="s">
        <v>1394</v>
      </c>
      <c r="D752" s="292" t="str">
        <f ca="1">Sprache!A154</f>
        <v>Türauflage</v>
      </c>
      <c r="E752" s="292">
        <v>-24</v>
      </c>
      <c r="F752" s="292">
        <v>25</v>
      </c>
      <c r="G752" s="292">
        <v>0</v>
      </c>
      <c r="H752" s="292">
        <f ca="1">H748</f>
        <v>2</v>
      </c>
      <c r="I752" s="292">
        <f ca="1">I748</f>
        <v>-1</v>
      </c>
      <c r="J752" s="292"/>
      <c r="K752" s="292">
        <v>14</v>
      </c>
      <c r="L752" s="292" t="str">
        <f ca="1">Sprache!A165</f>
        <v>Anschraubmaß (Z)</v>
      </c>
      <c r="M752" s="292">
        <f ca="1">M748</f>
        <v>14</v>
      </c>
      <c r="N752" s="292"/>
      <c r="O752">
        <f ca="1">O748</f>
        <v>2</v>
      </c>
      <c r="Y752">
        <f>Y750</f>
        <v>1</v>
      </c>
      <c r="Z752">
        <f>Z750</f>
        <v>0</v>
      </c>
      <c r="AA752">
        <f>AA750</f>
        <v>0</v>
      </c>
      <c r="AB752">
        <f>AB750</f>
        <v>0</v>
      </c>
      <c r="AC752">
        <f>AC750</f>
        <v>1</v>
      </c>
      <c r="AD752" t="s">
        <v>9</v>
      </c>
    </row>
    <row r="753" spans="1:57" hidden="1" outlineLevel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Y753" t="s">
        <v>29</v>
      </c>
      <c r="Z753" t="s">
        <v>30</v>
      </c>
      <c r="AA753" t="s">
        <v>1367</v>
      </c>
      <c r="AB753" t="s">
        <v>31</v>
      </c>
      <c r="AC753" s="8" t="str">
        <f t="shared" ref="AC753:AC760" si="182">AC751</f>
        <v>Spezialscharnier</v>
      </c>
      <c r="AD753" s="8" t="s">
        <v>2</v>
      </c>
      <c r="AF753">
        <f>DCOUNT(Scharniere[[#Headers],[#Data]],Scharniere[[#Headers],[Scharnierart]],Y753:AD754)</f>
        <v>1</v>
      </c>
      <c r="AG753" s="40">
        <f t="shared" ref="AG753" si="183">IF(AF753&gt;0,1,0)</f>
        <v>1</v>
      </c>
    </row>
    <row r="754" spans="1:57" ht="15.75" hidden="1" outlineLevel="1" thickBot="1" x14ac:dyDescent="0.3">
      <c r="A754" s="24" t="s">
        <v>2</v>
      </c>
      <c r="B754" s="8"/>
      <c r="C754" s="8"/>
      <c r="D754" s="8"/>
      <c r="E754" s="8"/>
      <c r="F754" s="8"/>
      <c r="G754" s="8"/>
      <c r="H754" s="8"/>
      <c r="I754" s="8"/>
      <c r="K754" s="18">
        <f ca="1">IF($A$747=5,VLOOKUP(K755,K756:L777,2,FALSE)-42,VLOOKUP(K755,K756:L777,2,FALSE))</f>
        <v>5</v>
      </c>
      <c r="N754" s="8"/>
      <c r="O754" s="8"/>
      <c r="P754" s="8"/>
      <c r="Q754" s="131" t="str">
        <f ca="1">IF(S754=0,Sprache!$A$56&amp;" "&amp;Sprache!$A$147,IF(R754=0,Sprache!$A$40,""))</f>
        <v/>
      </c>
      <c r="R754">
        <f ca="1">VLOOKUP(K755,K756:R777,8,FALSE)</f>
        <v>1</v>
      </c>
      <c r="S754">
        <f ca="1">SUM(R755:R777)</f>
        <v>3</v>
      </c>
      <c r="Y754">
        <f>Y752</f>
        <v>1</v>
      </c>
      <c r="Z754">
        <f>Z752</f>
        <v>0</v>
      </c>
      <c r="AA754">
        <f>AA752</f>
        <v>0</v>
      </c>
      <c r="AB754">
        <f>AB752</f>
        <v>0</v>
      </c>
      <c r="AC754">
        <f t="shared" si="182"/>
        <v>1</v>
      </c>
      <c r="AD754" t="s">
        <v>3</v>
      </c>
    </row>
    <row r="755" spans="1:57" ht="15.75" hidden="1" outlineLevel="1" thickBot="1" x14ac:dyDescent="0.3">
      <c r="A755" s="130" t="str">
        <f>VLOOKUP(A756,A757:B763,2,FALSE)</f>
        <v>-</v>
      </c>
      <c r="C755" s="720" t="str">
        <f ca="1">IF(D755=0,Sprache!$A$56&amp; " " &amp;Sprache!$A$147,IF(D756=0,Sprache!$A$43,""))</f>
        <v>Bitte ein Bohrbild auswählen</v>
      </c>
      <c r="D755" s="381">
        <f>SUM(D757:D763)</f>
        <v>5</v>
      </c>
      <c r="I755" s="8"/>
      <c r="K755" s="283">
        <v>3</v>
      </c>
      <c r="L755" s="24" t="s">
        <v>1</v>
      </c>
      <c r="M755" s="344">
        <v>100</v>
      </c>
      <c r="N755" s="345" t="s">
        <v>1858</v>
      </c>
      <c r="O755" s="345" t="s">
        <v>1859</v>
      </c>
      <c r="P755" s="346" t="s">
        <v>1860</v>
      </c>
      <c r="Q755" s="347" t="s">
        <v>1861</v>
      </c>
      <c r="S755" s="100"/>
      <c r="T755" s="100"/>
      <c r="Y755" t="s">
        <v>29</v>
      </c>
      <c r="Z755" t="s">
        <v>30</v>
      </c>
      <c r="AA755" t="s">
        <v>1367</v>
      </c>
      <c r="AB755" t="s">
        <v>31</v>
      </c>
      <c r="AC755" s="8" t="str">
        <f t="shared" si="182"/>
        <v>Spezialscharnier</v>
      </c>
      <c r="AD755" s="8" t="s">
        <v>2</v>
      </c>
      <c r="AF755">
        <f>DCOUNT(Scharniere[[#Headers],[#Data]],Scharniere[[#Headers],[Scharnierart]],Y755:AD756)</f>
        <v>1</v>
      </c>
      <c r="AG755" s="40">
        <f t="shared" ref="AG755" si="184">IF(AF755&gt;0,1,0)</f>
        <v>1</v>
      </c>
    </row>
    <row r="756" spans="1:57" ht="15.75" hidden="1" outlineLevel="1" thickBot="1" x14ac:dyDescent="0.3">
      <c r="A756" s="283">
        <v>1</v>
      </c>
      <c r="D756" s="381">
        <f>VLOOKUP(A756,A757:D763,4,FALSE)</f>
        <v>0</v>
      </c>
      <c r="I756" s="8"/>
      <c r="J756" s="289"/>
      <c r="K756">
        <v>1</v>
      </c>
      <c r="L756" s="724">
        <f ca="1">IF(OFFSET(L756,0,$A$747)=0,"",OFFSET(L756,0,$A$747))</f>
        <v>3</v>
      </c>
      <c r="M756" s="71">
        <v>3</v>
      </c>
      <c r="N756" s="34">
        <v>3.5</v>
      </c>
      <c r="O756" s="34">
        <v>3</v>
      </c>
      <c r="P756" s="34">
        <v>3</v>
      </c>
      <c r="Q756" s="55">
        <v>38</v>
      </c>
      <c r="R756">
        <f t="shared" ref="R756:R777" ca="1" si="185">M816</f>
        <v>1</v>
      </c>
      <c r="S756" s="40" t="str">
        <f ca="1">IF(R756=1,ja&amp;" "&amp;TEXT(L756,"0,0"),nein&amp;" "&amp;TEXT(L756,"0,0"))&amp;IF(L756&lt;&gt;""," mm","")</f>
        <v>✓ 3,0 mm</v>
      </c>
      <c r="Y756">
        <f>Y754</f>
        <v>1</v>
      </c>
      <c r="Z756">
        <f>Z754</f>
        <v>0</v>
      </c>
      <c r="AA756">
        <f>AA754</f>
        <v>0</v>
      </c>
      <c r="AB756">
        <f>AB754</f>
        <v>0</v>
      </c>
      <c r="AC756">
        <f t="shared" si="182"/>
        <v>1</v>
      </c>
      <c r="AD756" t="s">
        <v>11</v>
      </c>
    </row>
    <row r="757" spans="1:57" hidden="1" outlineLevel="1" x14ac:dyDescent="0.25">
      <c r="A757">
        <v>1</v>
      </c>
      <c r="B757" s="609" t="s">
        <v>1264</v>
      </c>
      <c r="C757" s="612" t="str">
        <f t="shared" ref="C757:C763" si="186">IF(D757=1,ja&amp;" "&amp;B757,nein&amp; " "&amp;B757)</f>
        <v xml:space="preserve">     -</v>
      </c>
      <c r="D757" s="829">
        <f>AG747</f>
        <v>0</v>
      </c>
      <c r="I757" s="8"/>
      <c r="K757">
        <v>2</v>
      </c>
      <c r="L757" s="724">
        <f t="shared" ref="L757:L777" ca="1" si="187">IF(OFFSET(L757,0,$A$747)=0,"",OFFSET(L757,0,$A$747))</f>
        <v>4</v>
      </c>
      <c r="M757" s="71">
        <v>4</v>
      </c>
      <c r="N757" s="34"/>
      <c r="O757" s="34">
        <v>4</v>
      </c>
      <c r="P757" s="34">
        <v>4</v>
      </c>
      <c r="Q757" s="55">
        <v>39</v>
      </c>
      <c r="R757">
        <f t="shared" ca="1" si="185"/>
        <v>0</v>
      </c>
      <c r="S757" s="40" t="str">
        <f t="shared" ref="S757:S777" ca="1" si="188">IF(R757=1,ja&amp;" "&amp;TEXT(L757,"0,0"),nein&amp;" "&amp;TEXT(L757,"0,0"))&amp;IF(L757&lt;&gt;""," mm","")</f>
        <v xml:space="preserve">     4,0 mm</v>
      </c>
      <c r="Y757" t="s">
        <v>29</v>
      </c>
      <c r="Z757" t="s">
        <v>30</v>
      </c>
      <c r="AA757" t="s">
        <v>1367</v>
      </c>
      <c r="AB757" t="s">
        <v>31</v>
      </c>
      <c r="AC757" s="8" t="str">
        <f t="shared" si="182"/>
        <v>Spezialscharnier</v>
      </c>
      <c r="AD757" s="8" t="s">
        <v>2</v>
      </c>
      <c r="AF757">
        <f>DCOUNT(Scharniere[[#Headers],[#Data]],Scharniere[[#Headers],[Scharnierart]],Y757:AD758)</f>
        <v>1</v>
      </c>
      <c r="AG757" s="40">
        <f t="shared" ref="AG757" si="189">IF(AF757&gt;0,1,0)</f>
        <v>1</v>
      </c>
    </row>
    <row r="758" spans="1:57" hidden="1" outlineLevel="1" x14ac:dyDescent="0.25">
      <c r="A758">
        <v>2</v>
      </c>
      <c r="B758" s="71" t="s">
        <v>1693</v>
      </c>
      <c r="C758" s="55" t="str">
        <f t="shared" si="186"/>
        <v xml:space="preserve">     36/7,5</v>
      </c>
      <c r="D758" s="381">
        <f>AG749</f>
        <v>0</v>
      </c>
      <c r="I758" s="8"/>
      <c r="K758">
        <v>3</v>
      </c>
      <c r="L758" s="724">
        <f t="shared" ca="1" si="187"/>
        <v>5</v>
      </c>
      <c r="M758" s="71">
        <v>5</v>
      </c>
      <c r="N758" s="34"/>
      <c r="O758" s="34">
        <v>5</v>
      </c>
      <c r="P758" s="34">
        <v>5</v>
      </c>
      <c r="Q758" s="55">
        <v>47</v>
      </c>
      <c r="R758">
        <f t="shared" ca="1" si="185"/>
        <v>1</v>
      </c>
      <c r="S758" s="40" t="str">
        <f t="shared" ca="1" si="188"/>
        <v>✓ 5,0 mm</v>
      </c>
      <c r="Y758">
        <f>Y756</f>
        <v>1</v>
      </c>
      <c r="Z758">
        <f>Z756</f>
        <v>0</v>
      </c>
      <c r="AA758">
        <f>AA756</f>
        <v>0</v>
      </c>
      <c r="AB758">
        <f>AB756</f>
        <v>0</v>
      </c>
      <c r="AC758">
        <f t="shared" si="182"/>
        <v>1</v>
      </c>
      <c r="AD758" t="s">
        <v>8</v>
      </c>
      <c r="AO758" s="24" t="s">
        <v>2</v>
      </c>
      <c r="AT758" s="8"/>
    </row>
    <row r="759" spans="1:57" hidden="1" outlineLevel="1" x14ac:dyDescent="0.25">
      <c r="A759">
        <v>3</v>
      </c>
      <c r="B759" s="71" t="s">
        <v>9</v>
      </c>
      <c r="C759" s="55" t="str">
        <f t="shared" si="186"/>
        <v>✓ 42/11</v>
      </c>
      <c r="D759" s="381">
        <f>AG751</f>
        <v>1</v>
      </c>
      <c r="K759">
        <v>4</v>
      </c>
      <c r="L759" s="724">
        <f t="shared" ca="1" si="187"/>
        <v>6</v>
      </c>
      <c r="M759" s="71">
        <v>6</v>
      </c>
      <c r="N759" s="34"/>
      <c r="O759" s="34">
        <v>6</v>
      </c>
      <c r="P759" s="34">
        <v>6</v>
      </c>
      <c r="Q759" s="55">
        <v>49</v>
      </c>
      <c r="R759">
        <f t="shared" ca="1" si="185"/>
        <v>1</v>
      </c>
      <c r="S759" s="40" t="str">
        <f t="shared" ca="1" si="188"/>
        <v>✓ 6,0 mm</v>
      </c>
      <c r="Y759" t="s">
        <v>29</v>
      </c>
      <c r="Z759" t="s">
        <v>30</v>
      </c>
      <c r="AA759" t="s">
        <v>1367</v>
      </c>
      <c r="AB759" t="s">
        <v>31</v>
      </c>
      <c r="AC759" s="8" t="str">
        <f t="shared" si="182"/>
        <v>Spezialscharnier</v>
      </c>
      <c r="AD759" s="8" t="s">
        <v>2</v>
      </c>
      <c r="AF759">
        <f>DCOUNT(Scharniere[[#Headers],[#Data]],Scharniere[[#Headers],[Scharnierart]],Y759:AD760)</f>
        <v>1</v>
      </c>
      <c r="AG759" s="40">
        <f t="shared" ref="AG759" si="190">IF(AF759&gt;0,1,0)</f>
        <v>1</v>
      </c>
      <c r="AO759" s="344">
        <v>100</v>
      </c>
      <c r="AP759" s="345" t="s">
        <v>1858</v>
      </c>
      <c r="AQ759" s="345" t="s">
        <v>1859</v>
      </c>
      <c r="AR759" s="346" t="s">
        <v>1860</v>
      </c>
      <c r="AS759" s="347" t="s">
        <v>1861</v>
      </c>
      <c r="AT759" s="8"/>
    </row>
    <row r="760" spans="1:57" hidden="1" outlineLevel="1" x14ac:dyDescent="0.25">
      <c r="A760">
        <v>4</v>
      </c>
      <c r="B760" s="92" t="s">
        <v>3</v>
      </c>
      <c r="C760" s="55" t="str">
        <f t="shared" si="186"/>
        <v>✓ 45/9,5</v>
      </c>
      <c r="D760" s="381">
        <f>AG753</f>
        <v>1</v>
      </c>
      <c r="K760">
        <v>5</v>
      </c>
      <c r="L760" s="724">
        <f t="shared" ca="1" si="187"/>
        <v>7</v>
      </c>
      <c r="M760" s="71">
        <v>7</v>
      </c>
      <c r="N760" s="34"/>
      <c r="O760" s="34"/>
      <c r="P760" s="34">
        <v>7</v>
      </c>
      <c r="Q760" s="55">
        <v>51</v>
      </c>
      <c r="R760">
        <f t="shared" ca="1" si="185"/>
        <v>0</v>
      </c>
      <c r="S760" s="40" t="str">
        <f t="shared" ca="1" si="188"/>
        <v xml:space="preserve">     7,0 mm</v>
      </c>
      <c r="Y760">
        <f>Y758</f>
        <v>1</v>
      </c>
      <c r="Z760">
        <f>Z758</f>
        <v>0</v>
      </c>
      <c r="AA760">
        <f>AA758</f>
        <v>0</v>
      </c>
      <c r="AB760">
        <f>AB758</f>
        <v>0</v>
      </c>
      <c r="AC760">
        <f t="shared" si="182"/>
        <v>1</v>
      </c>
      <c r="AD760" t="s">
        <v>10</v>
      </c>
      <c r="AO760" s="71" t="s">
        <v>8</v>
      </c>
      <c r="AP760" s="34" t="s">
        <v>8</v>
      </c>
      <c r="AQ760" s="34" t="s">
        <v>1693</v>
      </c>
      <c r="AR760" s="34" t="s">
        <v>8</v>
      </c>
      <c r="AS760" s="55" t="s">
        <v>1264</v>
      </c>
      <c r="AT760" s="71" t="s">
        <v>8</v>
      </c>
    </row>
    <row r="761" spans="1:57" hidden="1" outlineLevel="1" x14ac:dyDescent="0.25">
      <c r="A761">
        <v>5</v>
      </c>
      <c r="B761" s="71" t="s">
        <v>11</v>
      </c>
      <c r="C761" s="55" t="str">
        <f t="shared" si="186"/>
        <v>✓ 48/6</v>
      </c>
      <c r="D761" s="381">
        <f>AG755</f>
        <v>1</v>
      </c>
      <c r="K761">
        <v>6</v>
      </c>
      <c r="L761" s="724" t="str">
        <f t="shared" ca="1" si="187"/>
        <v/>
      </c>
      <c r="M761" s="71"/>
      <c r="N761" s="34"/>
      <c r="O761" s="34"/>
      <c r="P761" s="8">
        <v>8</v>
      </c>
      <c r="Q761" s="350">
        <v>53</v>
      </c>
      <c r="R761">
        <f t="shared" ca="1" si="185"/>
        <v>0</v>
      </c>
      <c r="S761" s="40" t="str">
        <f t="shared" ca="1" si="188"/>
        <v xml:space="preserve">     </v>
      </c>
      <c r="AO761" s="71" t="s">
        <v>9</v>
      </c>
      <c r="AP761" s="34" t="s">
        <v>9</v>
      </c>
      <c r="AQ761" s="373"/>
      <c r="AR761" s="34" t="s">
        <v>9</v>
      </c>
      <c r="AS761" s="55"/>
      <c r="AT761" s="71" t="s">
        <v>9</v>
      </c>
    </row>
    <row r="762" spans="1:57" hidden="1" outlineLevel="1" x14ac:dyDescent="0.25">
      <c r="A762">
        <v>6</v>
      </c>
      <c r="B762" s="71" t="s">
        <v>8</v>
      </c>
      <c r="C762" s="55" t="str">
        <f t="shared" si="186"/>
        <v>✓ 48/9</v>
      </c>
      <c r="D762" s="381">
        <f>AG757</f>
        <v>1</v>
      </c>
      <c r="K762">
        <v>7</v>
      </c>
      <c r="L762" s="724" t="str">
        <f t="shared" ca="1" si="187"/>
        <v/>
      </c>
      <c r="M762" s="71"/>
      <c r="N762" s="34"/>
      <c r="O762" s="34"/>
      <c r="P762" s="8">
        <v>9</v>
      </c>
      <c r="Q762" s="350">
        <v>55</v>
      </c>
      <c r="R762">
        <f t="shared" ca="1" si="185"/>
        <v>0</v>
      </c>
      <c r="S762" s="40" t="str">
        <f t="shared" ca="1" si="188"/>
        <v xml:space="preserve">     </v>
      </c>
      <c r="AO762" s="71" t="s">
        <v>10</v>
      </c>
      <c r="AP762" s="34" t="s">
        <v>10</v>
      </c>
      <c r="AQ762" s="34"/>
      <c r="AR762" s="34" t="s">
        <v>10</v>
      </c>
      <c r="AS762" s="55"/>
      <c r="AT762" s="71" t="s">
        <v>10</v>
      </c>
    </row>
    <row r="763" spans="1:57" hidden="1" outlineLevel="1" x14ac:dyDescent="0.25">
      <c r="A763">
        <v>7</v>
      </c>
      <c r="B763" s="92" t="s">
        <v>10</v>
      </c>
      <c r="C763" s="56" t="str">
        <f t="shared" si="186"/>
        <v>✓ 52/5,5</v>
      </c>
      <c r="D763" s="381">
        <f>AG759</f>
        <v>1</v>
      </c>
      <c r="K763">
        <v>8</v>
      </c>
      <c r="L763" s="724" t="str">
        <f t="shared" ca="1" si="187"/>
        <v/>
      </c>
      <c r="M763" s="71"/>
      <c r="N763" s="34"/>
      <c r="O763" s="34"/>
      <c r="P763" s="8">
        <v>10</v>
      </c>
      <c r="Q763" s="350">
        <v>56</v>
      </c>
      <c r="R763">
        <f t="shared" ca="1" si="185"/>
        <v>0</v>
      </c>
      <c r="S763" s="40" t="str">
        <f t="shared" ca="1" si="188"/>
        <v xml:space="preserve">     </v>
      </c>
      <c r="AO763" s="71" t="s">
        <v>11</v>
      </c>
      <c r="AP763" s="34" t="s">
        <v>11</v>
      </c>
      <c r="AQ763" s="34"/>
      <c r="AR763" s="34" t="s">
        <v>11</v>
      </c>
      <c r="AS763" s="55"/>
      <c r="AT763" s="71" t="s">
        <v>11</v>
      </c>
    </row>
    <row r="764" spans="1:57" hidden="1" outlineLevel="1" x14ac:dyDescent="0.25">
      <c r="K764">
        <v>9</v>
      </c>
      <c r="L764" s="724" t="str">
        <f t="shared" ca="1" si="187"/>
        <v/>
      </c>
      <c r="M764" s="71"/>
      <c r="N764" s="34"/>
      <c r="O764" s="34"/>
      <c r="P764" s="8">
        <v>11</v>
      </c>
      <c r="Q764" s="350">
        <v>58</v>
      </c>
      <c r="R764">
        <f t="shared" ca="1" si="185"/>
        <v>0</v>
      </c>
      <c r="S764" s="40" t="str">
        <f t="shared" ca="1" si="188"/>
        <v xml:space="preserve">     </v>
      </c>
      <c r="AO764" s="92" t="s">
        <v>3</v>
      </c>
      <c r="AP764" s="6" t="s">
        <v>3</v>
      </c>
      <c r="AQ764" s="6"/>
      <c r="AR764" s="6" t="s">
        <v>3</v>
      </c>
      <c r="AS764" s="56"/>
      <c r="AT764" s="92" t="s">
        <v>3</v>
      </c>
    </row>
    <row r="765" spans="1:57" hidden="1" outlineLevel="1" x14ac:dyDescent="0.25">
      <c r="K765">
        <v>10</v>
      </c>
      <c r="L765" s="724" t="str">
        <f t="shared" ca="1" si="187"/>
        <v/>
      </c>
      <c r="M765" s="71"/>
      <c r="N765" s="34"/>
      <c r="O765" s="34"/>
      <c r="P765" s="8">
        <v>12</v>
      </c>
      <c r="Q765" s="350">
        <v>60</v>
      </c>
      <c r="R765">
        <f t="shared" ca="1" si="185"/>
        <v>0</v>
      </c>
      <c r="S765" s="40" t="str">
        <f t="shared" ca="1" si="188"/>
        <v xml:space="preserve">     </v>
      </c>
    </row>
    <row r="766" spans="1:57" hidden="1" outlineLevel="1" x14ac:dyDescent="0.25">
      <c r="K766">
        <v>11</v>
      </c>
      <c r="L766" s="724" t="str">
        <f t="shared" ca="1" si="187"/>
        <v/>
      </c>
      <c r="M766" s="71"/>
      <c r="N766" s="34"/>
      <c r="O766" s="34"/>
      <c r="P766" s="8">
        <v>13</v>
      </c>
      <c r="Q766" s="350">
        <v>61</v>
      </c>
      <c r="R766">
        <f t="shared" ca="1" si="185"/>
        <v>0</v>
      </c>
      <c r="S766" s="40" t="str">
        <f t="shared" ca="1" si="188"/>
        <v xml:space="preserve">     </v>
      </c>
    </row>
    <row r="767" spans="1:57" hidden="1" outlineLevel="1" x14ac:dyDescent="0.25">
      <c r="K767">
        <v>12</v>
      </c>
      <c r="L767" s="724" t="str">
        <f t="shared" ca="1" si="187"/>
        <v/>
      </c>
      <c r="M767" s="71"/>
      <c r="N767" s="34"/>
      <c r="O767" s="34"/>
      <c r="P767" s="8">
        <v>14</v>
      </c>
      <c r="Q767" s="350">
        <v>63</v>
      </c>
      <c r="R767">
        <f t="shared" ca="1" si="185"/>
        <v>0</v>
      </c>
      <c r="S767" s="40" t="str">
        <f t="shared" ca="1" si="188"/>
        <v xml:space="preserve">     </v>
      </c>
      <c r="AO767" s="24" t="s">
        <v>12</v>
      </c>
      <c r="AW767">
        <v>13</v>
      </c>
      <c r="AX767" s="724" t="str">
        <f ca="1">IF(OFFSET(AX767,0,$A$747)=0,"",OFFSET(AX767,0,$A$747))</f>
        <v/>
      </c>
      <c r="AY767" s="71"/>
      <c r="AZ767" s="34"/>
      <c r="BA767" s="34"/>
      <c r="BB767" s="8">
        <v>15</v>
      </c>
      <c r="BC767" s="350">
        <v>64</v>
      </c>
      <c r="BD767">
        <f t="shared" ref="BD767:BD772" ca="1" si="191">M828</f>
        <v>0</v>
      </c>
      <c r="BE767" s="40" t="str">
        <f t="shared" ref="BE767:BE772" ca="1" si="192">IF(BD767=1,ja&amp;" "&amp;TEXT(AX767,"0,0"),nein&amp;" "&amp;TEXT(AX767,"0,0"))&amp;IF(AX767&lt;&gt;""," mm","")</f>
        <v xml:space="preserve">     </v>
      </c>
    </row>
    <row r="768" spans="1:57" ht="15.75" hidden="1" outlineLevel="1" thickBot="1" x14ac:dyDescent="0.3">
      <c r="A768" s="4" t="str">
        <f ca="1">VLOOKUP(A769,A770:B773,2,FALSE)</f>
        <v>Click-on Anschrauben</v>
      </c>
      <c r="B768" s="3"/>
      <c r="C768" s="720" t="str">
        <f>IF(D768=0,Sprache!$A$56&amp; " " &amp;Sprache!$A$147,IF(D769=0,Sprache!$A$44,""))</f>
        <v/>
      </c>
      <c r="D768" s="381">
        <f>SUM(D770:D773)</f>
        <v>2</v>
      </c>
      <c r="K768">
        <v>13</v>
      </c>
      <c r="L768" s="724" t="str">
        <f t="shared" ca="1" si="187"/>
        <v/>
      </c>
      <c r="M768" s="71"/>
      <c r="P768" s="8">
        <v>15</v>
      </c>
      <c r="Q768" s="350">
        <v>64</v>
      </c>
      <c r="R768">
        <f t="shared" ref="R768:R773" ca="1" si="193">M828</f>
        <v>0</v>
      </c>
      <c r="S768" s="40" t="str">
        <f t="shared" ref="S768:S773" ca="1" si="194">IF(R768=1,ja&amp;" "&amp;TEXT(L768,"0,0"),nein&amp;" "&amp;TEXT(L768,"0,0"))&amp;IF(L768&lt;&gt;""," mm","")</f>
        <v xml:space="preserve">     </v>
      </c>
      <c r="AO768" s="344">
        <v>100</v>
      </c>
      <c r="AP768" s="345" t="s">
        <v>1858</v>
      </c>
      <c r="AQ768" s="345" t="s">
        <v>1859</v>
      </c>
      <c r="AR768" s="346" t="s">
        <v>1860</v>
      </c>
      <c r="AS768" s="347" t="s">
        <v>1861</v>
      </c>
      <c r="AW768">
        <v>14</v>
      </c>
      <c r="AX768" s="724" t="str">
        <f t="shared" ref="AX768:AX772" ca="1" si="195">IF(OFFSET(AX768,0,$A$747)=0,"",OFFSET(AX768,0,$A$747))</f>
        <v/>
      </c>
      <c r="AY768" s="71"/>
      <c r="AZ768" s="34"/>
      <c r="BA768" s="34"/>
      <c r="BB768" s="34">
        <v>16</v>
      </c>
      <c r="BC768" s="350">
        <v>66</v>
      </c>
      <c r="BD768">
        <f t="shared" ca="1" si="191"/>
        <v>0</v>
      </c>
      <c r="BE768" s="40" t="str">
        <f t="shared" ca="1" si="192"/>
        <v xml:space="preserve">     </v>
      </c>
    </row>
    <row r="769" spans="1:67" ht="15.75" hidden="1" outlineLevel="1" thickBot="1" x14ac:dyDescent="0.3">
      <c r="A769" s="284">
        <v>1</v>
      </c>
      <c r="B769" s="83" t="s">
        <v>891</v>
      </c>
      <c r="D769" s="381">
        <f>VLOOKUP(A769,A770:D773,4,FALSE)</f>
        <v>1</v>
      </c>
      <c r="K769">
        <v>14</v>
      </c>
      <c r="L769" s="724" t="str">
        <f t="shared" ca="1" si="187"/>
        <v/>
      </c>
      <c r="M769" s="71"/>
      <c r="P769" s="8">
        <v>16</v>
      </c>
      <c r="Q769" s="350">
        <v>66</v>
      </c>
      <c r="R769">
        <f t="shared" ca="1" si="193"/>
        <v>0</v>
      </c>
      <c r="S769" s="40" t="str">
        <f t="shared" ca="1" si="194"/>
        <v xml:space="preserve">     </v>
      </c>
      <c r="AO769" s="71" t="str">
        <f ca="1">AT769</f>
        <v>Click-on Anschrauben</v>
      </c>
      <c r="AP769" s="34" t="str">
        <f ca="1">AT769</f>
        <v>Click-on Anschrauben</v>
      </c>
      <c r="AQ769" s="34" t="str">
        <f ca="1">AT769</f>
        <v>Click-on Anschrauben</v>
      </c>
      <c r="AR769" s="34" t="str">
        <f ca="1">AT769</f>
        <v>Click-on Anschrauben</v>
      </c>
      <c r="AS769" s="55" t="str">
        <f ca="1">AT769</f>
        <v>Click-on Anschrauben</v>
      </c>
      <c r="AT769" s="8" t="str">
        <f ca="1">Sprache!$A$184</f>
        <v>Click-on Anschrauben</v>
      </c>
      <c r="AW769">
        <v>15</v>
      </c>
      <c r="AX769" s="724" t="str">
        <f ca="1">IF(OFFSET(AX769,0,$A$747)=0,"",OFFSET(AX769,0,$A$747))</f>
        <v/>
      </c>
      <c r="AY769" s="71"/>
      <c r="AZ769" s="34"/>
      <c r="BA769" s="34"/>
      <c r="BB769" s="8">
        <v>17</v>
      </c>
      <c r="BC769" s="55"/>
      <c r="BD769">
        <f t="shared" ca="1" si="191"/>
        <v>0</v>
      </c>
      <c r="BE769" s="40" t="str">
        <f t="shared" ca="1" si="192"/>
        <v xml:space="preserve">     </v>
      </c>
    </row>
    <row r="770" spans="1:67" hidden="1" outlineLevel="1" x14ac:dyDescent="0.25">
      <c r="A770" s="3">
        <v>1</v>
      </c>
      <c r="B770" s="3" t="str">
        <f ca="1">Sprache!$A$184</f>
        <v>Click-on Anschrauben</v>
      </c>
      <c r="C770" t="str">
        <f ca="1">IF(D770=1,ja&amp;" "&amp;B770,nein&amp; " "&amp;B770)</f>
        <v>✓ Click-on Anschrauben</v>
      </c>
      <c r="D770" s="381">
        <f>AC784</f>
        <v>1</v>
      </c>
      <c r="K770">
        <v>15</v>
      </c>
      <c r="L770" s="724" t="str">
        <f t="shared" ca="1" si="187"/>
        <v/>
      </c>
      <c r="M770" s="71"/>
      <c r="P770" s="8">
        <v>17</v>
      </c>
      <c r="Q770" s="350"/>
      <c r="R770">
        <f t="shared" ca="1" si="193"/>
        <v>0</v>
      </c>
      <c r="S770" s="40" t="str">
        <f t="shared" ca="1" si="194"/>
        <v xml:space="preserve">     </v>
      </c>
      <c r="AO770" s="71" t="str">
        <f ca="1">AT770</f>
        <v>Click-on Einpressen</v>
      </c>
      <c r="AP770" s="34" t="str">
        <f ca="1">AT770</f>
        <v>Click-on Einpressen</v>
      </c>
      <c r="AQ770" s="373" t="s">
        <v>1916</v>
      </c>
      <c r="AR770" s="373" t="s">
        <v>1916</v>
      </c>
      <c r="AS770" s="624" t="s">
        <v>1916</v>
      </c>
      <c r="AT770" s="3" t="str">
        <f ca="1">Sprache!$A$185</f>
        <v>Click-on Einpressen</v>
      </c>
      <c r="AW770">
        <v>16</v>
      </c>
      <c r="AX770" s="724" t="str">
        <f t="shared" ca="1" si="195"/>
        <v/>
      </c>
      <c r="AY770" s="71"/>
      <c r="AZ770" s="34"/>
      <c r="BA770" s="34"/>
      <c r="BB770" s="8">
        <v>18</v>
      </c>
      <c r="BC770" s="55"/>
      <c r="BD770">
        <f t="shared" ca="1" si="191"/>
        <v>0</v>
      </c>
      <c r="BE770" s="40" t="str">
        <f t="shared" ca="1" si="192"/>
        <v xml:space="preserve">     </v>
      </c>
    </row>
    <row r="771" spans="1:67" hidden="1" outlineLevel="1" x14ac:dyDescent="0.25">
      <c r="A771">
        <v>2</v>
      </c>
      <c r="B771" s="3" t="str">
        <f ca="1">Sprache!$A$185</f>
        <v>Click-on Einpressen</v>
      </c>
      <c r="C771" t="str">
        <f ca="1">IF(D771=1,ja&amp;" "&amp;B771,nein&amp; " "&amp;B771)</f>
        <v>✓ Click-on Einpressen</v>
      </c>
      <c r="D771" s="381">
        <f>AC786</f>
        <v>1</v>
      </c>
      <c r="K771">
        <v>16</v>
      </c>
      <c r="L771" s="724" t="str">
        <f t="shared" ca="1" si="187"/>
        <v/>
      </c>
      <c r="M771" s="71"/>
      <c r="P771" s="8">
        <v>18</v>
      </c>
      <c r="Q771" s="350"/>
      <c r="R771">
        <f t="shared" ca="1" si="193"/>
        <v>0</v>
      </c>
      <c r="S771" s="40" t="str">
        <f t="shared" ca="1" si="194"/>
        <v xml:space="preserve">     </v>
      </c>
      <c r="AO771" s="711" t="s">
        <v>1916</v>
      </c>
      <c r="AP771" s="373" t="s">
        <v>1916</v>
      </c>
      <c r="AQ771" s="373" t="s">
        <v>1916</v>
      </c>
      <c r="AR771" s="373" t="s">
        <v>1916</v>
      </c>
      <c r="AS771" s="624" t="s">
        <v>1916</v>
      </c>
      <c r="AT771" s="3" t="str">
        <f ca="1">Sprache!$A$186</f>
        <v>Click-on Quick</v>
      </c>
      <c r="AW771">
        <v>17</v>
      </c>
      <c r="AX771" s="724" t="str">
        <f t="shared" ca="1" si="195"/>
        <v/>
      </c>
      <c r="AY771" s="71"/>
      <c r="AZ771" s="34"/>
      <c r="BA771" s="34"/>
      <c r="BB771" s="8">
        <v>19</v>
      </c>
      <c r="BC771" s="55"/>
      <c r="BD771">
        <f t="shared" ca="1" si="191"/>
        <v>0</v>
      </c>
      <c r="BE771" s="40" t="str">
        <f t="shared" ca="1" si="192"/>
        <v xml:space="preserve">     </v>
      </c>
    </row>
    <row r="772" spans="1:67" hidden="1" outlineLevel="1" x14ac:dyDescent="0.25">
      <c r="A772">
        <v>3</v>
      </c>
      <c r="B772" t="str">
        <f ca="1">Sprache!$A$186</f>
        <v>Click-on Quick</v>
      </c>
      <c r="C772" t="str">
        <f ca="1">IF(D772=1,ja&amp;" "&amp;B772,nein&amp; " "&amp;B772)</f>
        <v xml:space="preserve">     Click-on Quick</v>
      </c>
      <c r="D772" s="381">
        <f>AC788</f>
        <v>0</v>
      </c>
      <c r="K772">
        <v>17</v>
      </c>
      <c r="L772" s="724" t="str">
        <f t="shared" ca="1" si="187"/>
        <v/>
      </c>
      <c r="M772" s="71"/>
      <c r="P772" s="8">
        <v>19</v>
      </c>
      <c r="Q772" s="350"/>
      <c r="R772">
        <f t="shared" ca="1" si="193"/>
        <v>0</v>
      </c>
      <c r="S772" s="40" t="str">
        <f t="shared" ca="1" si="194"/>
        <v xml:space="preserve">     </v>
      </c>
      <c r="AO772" s="712" t="s">
        <v>1916</v>
      </c>
      <c r="AP772" s="713" t="s">
        <v>1916</v>
      </c>
      <c r="AQ772" s="713" t="s">
        <v>1916</v>
      </c>
      <c r="AR772" s="713" t="s">
        <v>1916</v>
      </c>
      <c r="AS772" s="625" t="s">
        <v>1916</v>
      </c>
      <c r="AT772" s="3" t="str">
        <f ca="1">Sprache!$A$189</f>
        <v>Impresso</v>
      </c>
      <c r="AW772">
        <v>18</v>
      </c>
      <c r="AX772" s="724" t="str">
        <f t="shared" ca="1" si="195"/>
        <v/>
      </c>
      <c r="AY772" s="71"/>
      <c r="AZ772" s="34"/>
      <c r="BA772" s="34"/>
      <c r="BB772" s="8">
        <v>20</v>
      </c>
      <c r="BC772" s="55"/>
      <c r="BD772">
        <f t="shared" ca="1" si="191"/>
        <v>0</v>
      </c>
      <c r="BE772" s="40" t="str">
        <f t="shared" ca="1" si="192"/>
        <v xml:space="preserve">     </v>
      </c>
    </row>
    <row r="773" spans="1:67" hidden="1" outlineLevel="1" x14ac:dyDescent="0.25">
      <c r="A773">
        <v>4</v>
      </c>
      <c r="B773" s="3" t="str">
        <f ca="1">Sprache!$A$189</f>
        <v>Impresso</v>
      </c>
      <c r="C773" t="str">
        <f ca="1">IF(D773=1,ja&amp;" "&amp;B773,nein&amp; " "&amp;B773)</f>
        <v xml:space="preserve">     Impresso</v>
      </c>
      <c r="D773" s="381">
        <f>AC790</f>
        <v>0</v>
      </c>
      <c r="K773">
        <v>18</v>
      </c>
      <c r="L773" s="724" t="str">
        <f t="shared" ca="1" si="187"/>
        <v/>
      </c>
      <c r="M773" s="71"/>
      <c r="P773" s="8">
        <v>20</v>
      </c>
      <c r="Q773" s="350"/>
      <c r="R773">
        <f t="shared" ca="1" si="193"/>
        <v>0</v>
      </c>
      <c r="S773" s="40" t="str">
        <f t="shared" ca="1" si="194"/>
        <v xml:space="preserve">     </v>
      </c>
    </row>
    <row r="774" spans="1:67" hidden="1" outlineLevel="1" x14ac:dyDescent="0.25">
      <c r="B774" s="76"/>
      <c r="K774">
        <v>19</v>
      </c>
      <c r="L774" s="724" t="str">
        <f t="shared" ca="1" si="187"/>
        <v/>
      </c>
      <c r="M774" s="71"/>
      <c r="N774" s="34"/>
      <c r="O774" s="34"/>
      <c r="P774" s="8">
        <v>21</v>
      </c>
      <c r="Q774" s="55"/>
      <c r="R774">
        <f t="shared" ca="1" si="185"/>
        <v>0</v>
      </c>
      <c r="S774" s="40" t="str">
        <f t="shared" ca="1" si="188"/>
        <v xml:space="preserve">     </v>
      </c>
      <c r="AB774" t="s">
        <v>2189</v>
      </c>
      <c r="AC774" t="s">
        <v>2280</v>
      </c>
    </row>
    <row r="775" spans="1:67" hidden="1" outlineLevel="1" x14ac:dyDescent="0.25">
      <c r="B775" s="76"/>
      <c r="K775">
        <v>20</v>
      </c>
      <c r="L775" s="724" t="str">
        <f t="shared" ca="1" si="187"/>
        <v/>
      </c>
      <c r="M775" s="71"/>
      <c r="N775" s="34"/>
      <c r="O775" s="34"/>
      <c r="P775" s="8">
        <v>22</v>
      </c>
      <c r="Q775" s="55"/>
      <c r="R775">
        <f t="shared" ca="1" si="185"/>
        <v>0</v>
      </c>
      <c r="S775" s="40" t="str">
        <f t="shared" ca="1" si="188"/>
        <v xml:space="preserve">     </v>
      </c>
      <c r="V775" s="8"/>
      <c r="W775" s="8"/>
      <c r="X775" s="8"/>
      <c r="Y775" s="8" t="str">
        <f>AC759</f>
        <v>Spezialscharnier</v>
      </c>
      <c r="Z775" s="8" t="s">
        <v>57</v>
      </c>
      <c r="AB775">
        <f>DCOUNT(Scharniere[[#Headers],[#Data]],Scharniere[[#Headers],[Scharnierart]],Y775:Z776)</f>
        <v>0</v>
      </c>
      <c r="AC775" s="40">
        <f t="shared" ref="AC775" si="196">IF(AB775&gt;0,1,0)</f>
        <v>0</v>
      </c>
      <c r="AF775" t="s">
        <v>14</v>
      </c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</row>
    <row r="776" spans="1:67" hidden="1" outlineLevel="1" x14ac:dyDescent="0.25">
      <c r="K776">
        <v>21</v>
      </c>
      <c r="L776" s="724" t="str">
        <f t="shared" ca="1" si="187"/>
        <v/>
      </c>
      <c r="M776" s="71"/>
      <c r="N776" s="34"/>
      <c r="O776" s="34"/>
      <c r="P776" s="8">
        <v>23</v>
      </c>
      <c r="Q776" s="55"/>
      <c r="R776">
        <f t="shared" ca="1" si="185"/>
        <v>0</v>
      </c>
      <c r="S776" s="40" t="str">
        <f t="shared" ca="1" si="188"/>
        <v xml:space="preserve">     </v>
      </c>
      <c r="V776" s="8"/>
      <c r="W776" s="8"/>
      <c r="X776" s="287"/>
      <c r="Y776">
        <v>1</v>
      </c>
      <c r="Z776" s="8">
        <v>1</v>
      </c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</row>
    <row r="777" spans="1:67" ht="15.75" hidden="1" outlineLevel="1" thickBot="1" x14ac:dyDescent="0.3">
      <c r="A777" s="4" t="str">
        <f ca="1">VLOOKUP(A778,A779:B781,2,FALSE)</f>
        <v>ohne Soft-close</v>
      </c>
      <c r="C777" s="720" t="str">
        <f>IF(D777=0,Sprache!$A$56&amp; " " &amp;Sprache!$A$147,IF(D778=0,Sprache!$A$45,""))</f>
        <v/>
      </c>
      <c r="D777" s="381">
        <f>SUM(D779:D781)</f>
        <v>1</v>
      </c>
      <c r="K777">
        <v>22</v>
      </c>
      <c r="L777" s="724" t="str">
        <f t="shared" ca="1" si="187"/>
        <v/>
      </c>
      <c r="M777" s="92"/>
      <c r="N777" s="6"/>
      <c r="O777" s="6"/>
      <c r="P777" s="672">
        <v>24</v>
      </c>
      <c r="Q777" s="56"/>
      <c r="R777">
        <f t="shared" ca="1" si="185"/>
        <v>0</v>
      </c>
      <c r="S777" s="40" t="str">
        <f t="shared" ca="1" si="188"/>
        <v xml:space="preserve">     </v>
      </c>
      <c r="V777" s="8"/>
      <c r="W777" s="8"/>
      <c r="X777" s="287"/>
      <c r="Y777" s="8" t="str">
        <f>AC759</f>
        <v>Spezialscharnier</v>
      </c>
      <c r="Z777" s="8" t="s">
        <v>58</v>
      </c>
      <c r="AB777">
        <f>DCOUNT(Scharniere[[#Headers],[#Data]],Scharniere[[#Headers],[Scharnierart]],Y777:Z778)</f>
        <v>10</v>
      </c>
      <c r="AC777" s="40">
        <f t="shared" ref="AC777" si="197">IF(AB777&gt;0,1,0)</f>
        <v>1</v>
      </c>
      <c r="AF777" t="s">
        <v>15</v>
      </c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</row>
    <row r="778" spans="1:67" ht="15.75" hidden="1" outlineLevel="1" thickBot="1" x14ac:dyDescent="0.3">
      <c r="A778" s="284">
        <v>2</v>
      </c>
      <c r="B778" s="24" t="s">
        <v>13</v>
      </c>
      <c r="D778" s="381">
        <f>VLOOKUP(A778,A779:D781,4,FALSE)</f>
        <v>1</v>
      </c>
      <c r="V778" s="8"/>
      <c r="W778" s="8"/>
      <c r="X778" s="287"/>
      <c r="Y778">
        <v>1</v>
      </c>
      <c r="Z778" s="8">
        <v>1</v>
      </c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</row>
    <row r="779" spans="1:67" hidden="1" outlineLevel="1" x14ac:dyDescent="0.25">
      <c r="A779" s="3">
        <v>1</v>
      </c>
      <c r="B779" t="str">
        <f ca="1">Sprache!$A$73</f>
        <v>mit Soft-close</v>
      </c>
      <c r="C779" t="str">
        <f ca="1">IF(D779=1,ja&amp;" "&amp;B779,nein&amp; " "&amp;B779)</f>
        <v xml:space="preserve">     mit Soft-close</v>
      </c>
      <c r="D779" s="381">
        <f>AC775</f>
        <v>0</v>
      </c>
      <c r="V779" s="8"/>
      <c r="W779" s="8"/>
      <c r="X779" s="8"/>
      <c r="Y779" s="8" t="str">
        <f>AC759</f>
        <v>Spezialscharnier</v>
      </c>
      <c r="Z779" s="8" t="s">
        <v>28</v>
      </c>
      <c r="AB779">
        <f>DCOUNT(Scharniere[[#Headers],[#Data]],Scharniere[[#Headers],[Scharnierart]],Y779:Z780)</f>
        <v>0</v>
      </c>
      <c r="AC779" s="40">
        <f t="shared" ref="AC779" si="198">IF(AB779&gt;0,1,0)</f>
        <v>0</v>
      </c>
      <c r="AF779" t="s">
        <v>16</v>
      </c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</row>
    <row r="780" spans="1:67" hidden="1" outlineLevel="1" x14ac:dyDescent="0.25">
      <c r="A780">
        <v>2</v>
      </c>
      <c r="B780" t="str">
        <f ca="1">Sprache!$A$74</f>
        <v>ohne Soft-close</v>
      </c>
      <c r="C780" t="str">
        <f ca="1">IF(D780=1,ja&amp;" "&amp;B780,nein&amp; " "&amp;B780)</f>
        <v>✓ ohne Soft-close</v>
      </c>
      <c r="D780" s="381">
        <f>AC777</f>
        <v>1</v>
      </c>
      <c r="V780" s="8"/>
      <c r="W780" s="8"/>
      <c r="X780" s="8"/>
      <c r="Y780">
        <v>1</v>
      </c>
      <c r="Z780" s="8">
        <v>1</v>
      </c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</row>
    <row r="781" spans="1:67" hidden="1" outlineLevel="1" x14ac:dyDescent="0.25">
      <c r="A781">
        <v>3</v>
      </c>
      <c r="B781" t="str">
        <f ca="1">Sprache!$A$190</f>
        <v>Tipmatic</v>
      </c>
      <c r="C781" t="str">
        <f ca="1">IF(D781=1,ja&amp;" "&amp;B781,nein&amp; " "&amp;B781)</f>
        <v xml:space="preserve">     Tipmatic</v>
      </c>
      <c r="D781" s="381">
        <f>AC779</f>
        <v>0</v>
      </c>
      <c r="V781" s="8"/>
      <c r="W781" s="8"/>
      <c r="X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</row>
    <row r="782" spans="1:67" ht="15.75" hidden="1" outlineLevel="1" thickBot="1" x14ac:dyDescent="0.3">
      <c r="J782" s="4" t="str">
        <f ca="1">VLOOKUP(J783,J784:K787,2,FALSE)</f>
        <v>Kreuzmontageplatte</v>
      </c>
      <c r="M782" s="720" t="str">
        <f ca="1">IF(N783=0,Sprache!$A$56&amp; " " &amp;Sprache!$A$147,IF(M783=0,Sprache!$A$50,""))</f>
        <v/>
      </c>
      <c r="X782" s="8"/>
    </row>
    <row r="783" spans="1:67" ht="15.75" hidden="1" outlineLevel="1" thickBot="1" x14ac:dyDescent="0.3">
      <c r="J783" s="284">
        <v>1</v>
      </c>
      <c r="K783" s="24" t="s">
        <v>20</v>
      </c>
      <c r="M783">
        <f ca="1">VLOOKUP(J783,J784:M787,4,FALSE)</f>
        <v>1</v>
      </c>
      <c r="N783">
        <f ca="1">SUM(M784:M787)</f>
        <v>1</v>
      </c>
      <c r="X783" s="8"/>
      <c r="AB783" t="s">
        <v>1445</v>
      </c>
      <c r="AC783" t="s">
        <v>2281</v>
      </c>
    </row>
    <row r="784" spans="1:67" hidden="1" outlineLevel="1" x14ac:dyDescent="0.25">
      <c r="A784" s="100" t="s">
        <v>893</v>
      </c>
      <c r="B784" s="100"/>
      <c r="C784" s="100"/>
      <c r="D784" s="100" t="str">
        <f>Scharniere[[#Headers],[Bezeichnung 1]]</f>
        <v>Bezeichnung 1</v>
      </c>
      <c r="E784" s="100" t="str">
        <f>Scharniere[[#Headers],[Bezeichnung 2]]</f>
        <v>Bezeichnung 2</v>
      </c>
      <c r="F784" s="100" t="str">
        <f>Scharniere[[#Headers],[Bezeichnung TGr]]</f>
        <v>Bezeichnung TGr</v>
      </c>
      <c r="J784" s="3">
        <v>1</v>
      </c>
      <c r="K784" t="str">
        <f ca="1">Sprache!$A$135</f>
        <v>Kreuzmontageplatte</v>
      </c>
      <c r="L784" t="str">
        <f ca="1">IF(M784=1,ja&amp;" "&amp;K784,nein&amp; " "&amp;K784)&amp;" ("&amp;O784&amp;")"</f>
        <v>✓ Kreuzmontageplatte (2)</v>
      </c>
      <c r="M784" s="381">
        <f ca="1">AD825</f>
        <v>1</v>
      </c>
      <c r="N784" t="s">
        <v>52</v>
      </c>
      <c r="O784">
        <f ca="1">AC825</f>
        <v>2</v>
      </c>
      <c r="X784" s="8"/>
      <c r="Y784" s="8" t="str">
        <f>Y775</f>
        <v>Spezialscharnier</v>
      </c>
      <c r="Z784" s="8" t="s">
        <v>29</v>
      </c>
      <c r="AB784">
        <f>DCOUNT(Scharniere[[#Headers],[#Data]],Scharniere[[#Headers],[Scharnierart]],Y784:Z785)</f>
        <v>5</v>
      </c>
      <c r="AC784" s="40">
        <f>IF(AB784&gt;0,1,0)</f>
        <v>1</v>
      </c>
      <c r="AF784" t="s">
        <v>890</v>
      </c>
      <c r="AQ784" s="8"/>
      <c r="AR784" s="8"/>
    </row>
    <row r="785" spans="1:44" hidden="1" outlineLevel="1" x14ac:dyDescent="0.25">
      <c r="A785" s="4" t="str">
        <f t="array" aca="1" ref="A785" ca="1">IFERROR(INDEX(Scharniere[Spalte3],LARGE((Scharniere[spezial gesamt]=$L$178)*(ROW(Scharniere[spezial gesamt])-1),COUNTIF(Scharniere[spezial gesamt],1)+1-ROW(A1))),"")</f>
        <v/>
      </c>
      <c r="B785" s="4" t="str">
        <f t="array" aca="1" ref="B785" ca="1">IFERROR(INDEX(Scharniere[Spalte2],LARGE((Scharniere[spezial gesamt]=$L$178)*(ROW(Scharniere[spezial gesamt])-1),COUNTIF(Scharniere[spezial gesamt],1)+1-ROW(A1))),"")</f>
        <v/>
      </c>
      <c r="C785" s="4" t="str">
        <f t="array" aca="1" ref="C785" ca="1">IFERROR(INDEX(Scharniere[Spalte1],LARGE((Scharniere[spezial gesamt]=$L$178)*(ROW(Scharniere[spezial gesamt])-1),COUNTIF(Scharniere[spezial gesamt],1)+1-ROW(A1))),"")</f>
        <v/>
      </c>
      <c r="D785" s="4" t="str">
        <f t="array" aca="1" ref="D785" ca="1">IFERROR(INDEX(Scharniere[Bezeichnung 1],LARGE((Scharniere[spezial gesamt]=$L$178)*(ROW(Scharniere[spezial gesamt])-1),COUNTIF(Scharniere[spezial gesamt],1)+1-ROW(A1))),Sprache!$A$38)</f>
        <v>Bitte Auswahl ändern!</v>
      </c>
      <c r="E785" s="4" t="str">
        <f t="array" aca="1" ref="E785" ca="1">IFERROR(INDEX(Scharniere[Bezeichnung 2],LARGE((Scharniere[spezial gesamt]=$L$178)*(ROW(Scharniere[spezial gesamt])-1),COUNTIF(Scharniere[spezial gesamt],1)+1-ROW(A1))),"")</f>
        <v/>
      </c>
      <c r="F785" s="4" t="str">
        <f t="array" aca="1" ref="F785" ca="1">IFERROR(INDEX(Scharniere[Bezeichnung TGr],LARGE((Scharniere[spezial gesamt]=$L$178)*(ROW(Scharniere[spezial gesamt])-1),COUNTIF(Scharniere[spezial gesamt],1)+1-ROW(A1))),Sprache!$A$56&amp;" "&amp;Sprache!$A$146)</f>
        <v>keine Lösungen</v>
      </c>
      <c r="H785" s="8"/>
      <c r="I785" s="8"/>
      <c r="J785">
        <v>2</v>
      </c>
      <c r="K785" t="str">
        <f ca="1">Sprache!$A$138</f>
        <v>Linearmontageplatte</v>
      </c>
      <c r="L785" t="str">
        <f ca="1">IF(M785=1,ja&amp;" "&amp;K785,nein&amp; " "&amp;K785)&amp;" ("&amp;O785&amp;")"</f>
        <v xml:space="preserve">     Linearmontageplatte (0)</v>
      </c>
      <c r="M785" s="381">
        <f ca="1">AD827</f>
        <v>0</v>
      </c>
      <c r="N785" t="s">
        <v>51</v>
      </c>
      <c r="O785">
        <f ca="1">AC827</f>
        <v>0</v>
      </c>
      <c r="U785">
        <f>F746-(S787*((F746-E746)/96))</f>
        <v>3</v>
      </c>
      <c r="X785" s="8"/>
      <c r="Y785">
        <v>1</v>
      </c>
      <c r="Z785" s="8">
        <v>1</v>
      </c>
      <c r="AQ785" s="8"/>
      <c r="AR785" s="8"/>
    </row>
    <row r="786" spans="1:44" ht="15.75" hidden="1" outlineLevel="1" thickBot="1" x14ac:dyDescent="0.3">
      <c r="A786" s="4" t="str">
        <f t="array" aca="1" ref="A786" ca="1">IFERROR(INDEX(Scharniere[Spalte3],LARGE((Scharniere[spezial gesamt]=$L$178)*(ROW(Scharniere[spezial gesamt])-1),COUNTIF(Scharniere[spezial gesamt],1)+1-ROW(A2))),"")</f>
        <v/>
      </c>
      <c r="B786" s="4" t="str">
        <f t="array" aca="1" ref="B786" ca="1">IFERROR(INDEX(Scharniere[Spalte2],LARGE((Scharniere[spezial gesamt]=$L$178)*(ROW(Scharniere[spezial gesamt])-1),COUNTIF(Scharniere[spezial gesamt],1)+1-ROW(A2))),"")</f>
        <v/>
      </c>
      <c r="C786" s="4" t="str">
        <f t="array" aca="1" ref="C786" ca="1">IFERROR(INDEX(Scharniere[Spalte1],LARGE((Scharniere[spezial gesamt]=$L$178)*(ROW(Scharniere[spezial gesamt])-1),COUNTIF(Scharniere[spezial gesamt],1)+1-ROW(A2))),"")</f>
        <v/>
      </c>
      <c r="D786" s="4" t="str">
        <f ca="1">IFERROR(INDEX(Scharniere[Bezeichnung 1],LARGE((Scharniere[spezial gesamt]=$L$178)*(ROW(Scharniere[spezial gesamt])-1),COUNTIF(Scharniere[spezial gesamt],1)+1-ROW(A2))),"")</f>
        <v/>
      </c>
      <c r="E786" s="4" t="str">
        <f t="array" aca="1" ref="E786" ca="1">IFERROR(INDEX(Scharniere[Bezeichnung 2],LARGE((Scharniere[spezial gesamt]=$L$178)*(ROW(Scharniere[spezial gesamt])-1),COUNTIF(Scharniere[spezial gesamt],1)+1-ROW(A2))),"")</f>
        <v/>
      </c>
      <c r="F786" s="4" t="str">
        <f t="array" aca="1" ref="F786" ca="1">IFERROR(INDEX(Scharniere[Bezeichnung TGr],LARGE((Scharniere[spezial gesamt]=$L$178)*(ROW(Scharniere[spezial gesamt])-1),COUNTIF(Scharniere[spezial gesamt],1)+1-ROW(A2))),"")</f>
        <v/>
      </c>
      <c r="I786" s="34"/>
      <c r="J786">
        <v>3</v>
      </c>
      <c r="K786" t="str">
        <f ca="1">Sprache!$A$141</f>
        <v>Deltamontageplatte</v>
      </c>
      <c r="L786" t="str">
        <f ca="1">IF(M786=1,ja&amp;" "&amp;K786,nein&amp; " "&amp;K786)&amp;" ("&amp;O786&amp;")"</f>
        <v xml:space="preserve">     Deltamontageplatte (0)</v>
      </c>
      <c r="M786" s="381">
        <f ca="1">AD829</f>
        <v>0</v>
      </c>
      <c r="N786" t="s">
        <v>1360</v>
      </c>
      <c r="O786">
        <f ca="1">AC829</f>
        <v>0</v>
      </c>
      <c r="R786" t="s">
        <v>1408</v>
      </c>
      <c r="S786" s="3" t="s">
        <v>1413</v>
      </c>
      <c r="T786" s="3">
        <f>D742</f>
        <v>0</v>
      </c>
      <c r="U786">
        <f>ROUND(F746-(S787*((F746-E746)/96)),0)</f>
        <v>3</v>
      </c>
      <c r="Y786" s="8" t="str">
        <f>Y784</f>
        <v>Spezialscharnier</v>
      </c>
      <c r="Z786" s="8" t="s">
        <v>30</v>
      </c>
      <c r="AB786">
        <f>DCOUNT(Scharniere[[#Headers],[#Data]],Scharniere[[#Headers],[Scharnierart]],Y786:Z787)</f>
        <v>5</v>
      </c>
      <c r="AC786" s="40">
        <f>IF(AB786&gt;0,1,0)</f>
        <v>1</v>
      </c>
      <c r="AF786" t="s">
        <v>889</v>
      </c>
    </row>
    <row r="787" spans="1:44" ht="15.75" hidden="1" outlineLevel="1" thickBot="1" x14ac:dyDescent="0.3">
      <c r="A787" s="4" t="str">
        <f t="array" aca="1" ref="A787" ca="1">IFERROR(INDEX(Scharniere[Spalte3],LARGE((Scharniere[spezial gesamt]=$L$178)*(ROW(Scharniere[spezial gesamt])-1),COUNTIF(Scharniere[spezial gesamt],1)+1-ROW(A3))),"")</f>
        <v/>
      </c>
      <c r="B787" s="4" t="str">
        <f t="array" aca="1" ref="B787" ca="1">IFERROR(INDEX(Scharniere[Spalte2],LARGE((Scharniere[spezial gesamt]=$L$178)*(ROW(Scharniere[spezial gesamt])-1),COUNTIF(Scharniere[spezial gesamt],1)+1-ROW(A3))),"")</f>
        <v/>
      </c>
      <c r="C787" s="4" t="str">
        <f t="array" aca="1" ref="C787" ca="1">IFERROR(INDEX(Scharniere[Spalte1],LARGE((Scharniere[spezial gesamt]=$L$178)*(ROW(Scharniere[spezial gesamt])-1),COUNTIF(Scharniere[spezial gesamt],1)+1-ROW(A3))),"")</f>
        <v/>
      </c>
      <c r="D787" s="4" t="str">
        <f ca="1">IFERROR(INDEX(Scharniere[Bezeichnung 1],LARGE((Scharniere[spezial gesamt]=$L$178)*(ROW(Scharniere[spezial gesamt])-1),COUNTIF(Scharniere[spezial gesamt],1)+1-ROW(A3))),"")</f>
        <v/>
      </c>
      <c r="E787" s="4" t="str">
        <f t="array" aca="1" ref="E787" ca="1">IFERROR(INDEX(Scharniere[Bezeichnung 2],LARGE((Scharniere[spezial gesamt]=$L$178)*(ROW(Scharniere[spezial gesamt])-1),COUNTIF(Scharniere[spezial gesamt],1)+1-ROW(A3))),"")</f>
        <v/>
      </c>
      <c r="F787" s="4" t="str">
        <f t="array" aca="1" ref="F787" ca="1">IFERROR(INDEX(Scharniere[Bezeichnung TGr],LARGE((Scharniere[spezial gesamt]=$L$178)*(ROW(Scharniere[spezial gesamt])-1),COUNTIF(Scharniere[spezial gesamt],1)+1-ROW(A3))),"")</f>
        <v/>
      </c>
      <c r="I787" s="34"/>
      <c r="J787">
        <v>4</v>
      </c>
      <c r="K787" t="str">
        <f ca="1">Sprache!$A$143</f>
        <v>Inset Beaded (Rahmenkonstruktion)</v>
      </c>
      <c r="L787" t="str">
        <f ca="1">IF(M787=1,ja&amp;" "&amp;K787,nein&amp; " "&amp;K787)&amp;" ("&amp;O787&amp;")"</f>
        <v xml:space="preserve">     Inset Beaded (Rahmenkonstruktion) (0)</v>
      </c>
      <c r="M787" s="381">
        <f ca="1">AD831</f>
        <v>0</v>
      </c>
      <c r="N787" t="s">
        <v>1373</v>
      </c>
      <c r="O787">
        <f ca="1">AC831</f>
        <v>0</v>
      </c>
      <c r="R787">
        <f>96/(F746-E746)</f>
        <v>2</v>
      </c>
      <c r="S787" s="285">
        <v>42</v>
      </c>
      <c r="T787" s="18">
        <f>U787</f>
        <v>3</v>
      </c>
      <c r="U787">
        <f>IF(SIGN(U786)=1, U786-(IF(VALUE(RIGHT(TEXT(ROUNDDOWN(F746-(S787*((F746-E746)/96)),1),"0,0"),1))&lt;5,0,0.5)),U786+(IF(VALUE(RIGHT(TEXT(ROUNDDOWN(F746-(S787*((F746-E746)/96)),1),"0,0"),1))&lt;5,0,0.5)))</f>
        <v>3</v>
      </c>
      <c r="Y787">
        <v>1</v>
      </c>
      <c r="Z787" s="8">
        <v>1</v>
      </c>
    </row>
    <row r="788" spans="1:44" hidden="1" outlineLevel="1" x14ac:dyDescent="0.25">
      <c r="A788" s="4" t="str">
        <f t="array" aca="1" ref="A788" ca="1">IFERROR(INDEX(Scharniere[Spalte3],LARGE((Scharniere[spezial gesamt]=$L$178)*(ROW(Scharniere[spezial gesamt])-1),COUNTIF(Scharniere[spezial gesamt],1)+1-ROW(A4))),"")</f>
        <v/>
      </c>
      <c r="B788" s="4" t="str">
        <f t="array" aca="1" ref="B788" ca="1">IFERROR(INDEX(Scharniere[Spalte2],LARGE((Scharniere[spezial gesamt]=$L$178)*(ROW(Scharniere[spezial gesamt])-1),COUNTIF(Scharniere[spezial gesamt],1)+1-ROW(A4))),"")</f>
        <v/>
      </c>
      <c r="C788" s="4" t="str">
        <f t="array" aca="1" ref="C788" ca="1">IFERROR(INDEX(Scharniere[Spalte1],LARGE((Scharniere[spezial gesamt]=$L$178)*(ROW(Scharniere[spezial gesamt])-1),COUNTIF(Scharniere[spezial gesamt],1)+1-ROW(A4))),"")</f>
        <v/>
      </c>
      <c r="D788" s="4" t="str">
        <f ca="1">IFERROR(INDEX(Scharniere[Bezeichnung 1],LARGE((Scharniere[spezial gesamt]=$L$178)*(ROW(Scharniere[spezial gesamt])-1),COUNTIF(Scharniere[spezial gesamt],1)+1-ROW(A4))),"")</f>
        <v/>
      </c>
      <c r="E788" s="4" t="str">
        <f t="array" aca="1" ref="E788" ca="1">IFERROR(INDEX(Scharniere[Bezeichnung 2],LARGE((Scharniere[spezial gesamt]=$L$178)*(ROW(Scharniere[spezial gesamt])-1),COUNTIF(Scharniere[spezial gesamt],1)+1-ROW(A4))),"")</f>
        <v/>
      </c>
      <c r="F788" s="4" t="str">
        <f t="array" aca="1" ref="F788" ca="1">IFERROR(INDEX(Scharniere[Bezeichnung TGr],LARGE((Scharniere[spezial gesamt]=$L$178)*(ROW(Scharniere[spezial gesamt])-1),COUNTIF(Scharniere[spezial gesamt],1)+1-ROW(A4))),"")</f>
        <v/>
      </c>
      <c r="I788" s="34"/>
      <c r="M788" t="s">
        <v>2285</v>
      </c>
      <c r="N788" t="str">
        <f>VLOOKUP(J783,J784:N787,5,FALSE)</f>
        <v>Kreuz</v>
      </c>
      <c r="O788" t="s">
        <v>2286</v>
      </c>
      <c r="Y788" s="8" t="str">
        <f>Y786</f>
        <v>Spezialscharnier</v>
      </c>
      <c r="Z788" s="8" t="s">
        <v>1367</v>
      </c>
      <c r="AB788">
        <f>DCOUNT(Scharniere[[#Headers],[#Data]],Scharniere[[#Headers],[Scharnierart]],Y788:Z789)</f>
        <v>0</v>
      </c>
      <c r="AC788" s="40">
        <f>IF(AB788&gt;0,1,0)</f>
        <v>0</v>
      </c>
      <c r="AF788" t="s">
        <v>1368</v>
      </c>
    </row>
    <row r="789" spans="1:44" hidden="1" outlineLevel="1" x14ac:dyDescent="0.25">
      <c r="A789" s="4" t="str">
        <f t="array" aca="1" ref="A789" ca="1">IFERROR(INDEX(Scharniere[Spalte3],LARGE((Scharniere[spezial gesamt]=$L$178)*(ROW(Scharniere[spezial gesamt])-1),COUNTIF(Scharniere[spezial gesamt],1)+1-ROW(A5))),"")</f>
        <v/>
      </c>
      <c r="B789" s="4" t="str">
        <f t="array" aca="1" ref="B789" ca="1">IFERROR(INDEX(Scharniere[Spalte2],LARGE((Scharniere[spezial gesamt]=$L$178)*(ROW(Scharniere[spezial gesamt])-1),COUNTIF(Scharniere[spezial gesamt],1)+1-ROW(A5))),"")</f>
        <v/>
      </c>
      <c r="C789" s="4" t="str">
        <f t="array" aca="1" ref="C789" ca="1">IFERROR(INDEX(Scharniere[Spalte1],LARGE((Scharniere[spezial gesamt]=$L$178)*(ROW(Scharniere[spezial gesamt])-1),COUNTIF(Scharniere[spezial gesamt],1)+1-ROW(A5))),"")</f>
        <v/>
      </c>
      <c r="D789" s="4" t="str">
        <f ca="1">IFERROR(INDEX(Scharniere[Bezeichnung 1],LARGE((Scharniere[spezial gesamt]=$L$178)*(ROW(Scharniere[spezial gesamt])-1),COUNTIF(Scharniere[spezial gesamt],1)+1-ROW(A5))),"")</f>
        <v/>
      </c>
      <c r="E789" s="4" t="str">
        <f t="array" aca="1" ref="E789" ca="1">IFERROR(INDEX(Scharniere[Bezeichnung 2],LARGE((Scharniere[spezial gesamt]=$L$178)*(ROW(Scharniere[spezial gesamt])-1),COUNTIF(Scharniere[spezial gesamt],1)+1-ROW(A5))),"")</f>
        <v/>
      </c>
      <c r="F789" s="4" t="str">
        <f t="array" aca="1" ref="F789" ca="1">IFERROR(INDEX(Scharniere[Bezeichnung TGr],LARGE((Scharniere[spezial gesamt]=$L$178)*(ROW(Scharniere[spezial gesamt])-1),COUNTIF(Scharniere[spezial gesamt],1)+1-ROW(A5))),"")</f>
        <v/>
      </c>
      <c r="I789" s="34"/>
      <c r="Y789">
        <v>1</v>
      </c>
      <c r="Z789" s="8">
        <v>1</v>
      </c>
    </row>
    <row r="790" spans="1:44" hidden="1" outlineLevel="1" x14ac:dyDescent="0.25">
      <c r="B790" s="76"/>
      <c r="T790" s="8"/>
      <c r="U790" s="8"/>
      <c r="Y790" s="8" t="str">
        <f>Y788</f>
        <v>Spezialscharnier</v>
      </c>
      <c r="Z790" t="s">
        <v>31</v>
      </c>
      <c r="AB790">
        <f>DCOUNT(Scharniere[[#Headers],[#Data]],Scharniere[[#Headers],[Scharnierart]],Y790:Z791)</f>
        <v>0</v>
      </c>
      <c r="AC790" s="40">
        <f>IF(AB790&gt;0,1,0)</f>
        <v>0</v>
      </c>
      <c r="AF790" t="s">
        <v>888</v>
      </c>
    </row>
    <row r="791" spans="1:44" ht="15.75" hidden="1" outlineLevel="1" thickBot="1" x14ac:dyDescent="0.3">
      <c r="A791" t="s">
        <v>1418</v>
      </c>
      <c r="B791" s="76"/>
      <c r="M791" s="8"/>
      <c r="O791" s="24" t="str">
        <f>H793&amp;" II"</f>
        <v xml:space="preserve"> Scharnierbefestigung  II</v>
      </c>
      <c r="T791" s="8"/>
      <c r="U791" s="8"/>
      <c r="Y791">
        <v>1</v>
      </c>
      <c r="Z791" s="8">
        <v>1</v>
      </c>
    </row>
    <row r="792" spans="1:44" ht="15.75" hidden="1" outlineLevel="1" thickBot="1" x14ac:dyDescent="0.3">
      <c r="B792" s="76"/>
      <c r="G792" s="4" t="str">
        <f ca="1">VLOOKUP(G793,G794:H796,2,FALSE)</f>
        <v>Zum Anschrauben</v>
      </c>
      <c r="M792" s="8"/>
      <c r="N792" s="284">
        <f>VLOOKUP(N793,P799:S802,G793+1,FALSE)</f>
        <v>2</v>
      </c>
      <c r="O792" t="str">
        <f ca="1">VLOOKUP(N793,O794:S797,G793+2,FALSE)</f>
        <v>✓ Zum Anschrauben mit Holzschrauben</v>
      </c>
      <c r="T792" s="8"/>
      <c r="U792" s="8"/>
      <c r="AA792" s="8"/>
    </row>
    <row r="793" spans="1:44" ht="15.75" hidden="1" outlineLevel="1" thickBot="1" x14ac:dyDescent="0.3">
      <c r="A793" t="s">
        <v>5</v>
      </c>
      <c r="G793" s="288">
        <v>1</v>
      </c>
      <c r="H793" s="24" t="s">
        <v>12</v>
      </c>
      <c r="M793" s="8"/>
      <c r="N793" s="355">
        <v>1</v>
      </c>
      <c r="O793" t="s">
        <v>872</v>
      </c>
      <c r="T793" s="8"/>
      <c r="U793" s="8"/>
      <c r="AJ793" s="131" t="str">
        <f ca="1">IF(SUM(AJ796:AJ802)=0,Sprache!$A$56&amp;" "&amp;Sprache!$A$147,IF(select!AH812=0,Sprache!$A$51,""))</f>
        <v/>
      </c>
    </row>
    <row r="794" spans="1:44" hidden="1" outlineLevel="1" x14ac:dyDescent="0.25">
      <c r="B794" s="348">
        <f>K746</f>
        <v>3</v>
      </c>
      <c r="C794" s="9"/>
      <c r="D794" s="8"/>
      <c r="E794" s="8"/>
      <c r="F794" s="8"/>
      <c r="G794" s="3">
        <v>1</v>
      </c>
      <c r="H794" t="str">
        <f ca="1">Sprache!$A$179</f>
        <v>Zum Anschrauben</v>
      </c>
      <c r="I794" t="str">
        <f ca="1">IF(J794=1,ja&amp;" "&amp;H794,nein&amp; " "&amp;H794)</f>
        <v>✓ Zum Anschrauben</v>
      </c>
      <c r="J794" s="381">
        <f ca="1">AJ798</f>
        <v>1</v>
      </c>
      <c r="M794" s="8"/>
      <c r="N794" s="1" t="str">
        <f ca="1">VLOOKUP(1,P794:S794,G793+1,FALSE)</f>
        <v>✓ Zum Anschrauben mit Holzschrauben</v>
      </c>
      <c r="O794">
        <v>1</v>
      </c>
      <c r="P794">
        <v>1</v>
      </c>
      <c r="Q794" t="str">
        <f ca="1">AF798</f>
        <v>✓ Zum Anschrauben mit Holzschrauben</v>
      </c>
      <c r="R794" t="str">
        <f ca="1">AF796</f>
        <v xml:space="preserve">     Zum Einpressen</v>
      </c>
      <c r="S794" t="str">
        <f ca="1">AF802</f>
        <v>✓ vormontierte Euroschrauben [13,5]</v>
      </c>
      <c r="T794" s="8"/>
      <c r="U794" s="8"/>
      <c r="AA794" s="8"/>
    </row>
    <row r="795" spans="1:44" hidden="1" outlineLevel="1" x14ac:dyDescent="0.25">
      <c r="D795" s="8"/>
      <c r="E795" s="8"/>
      <c r="F795" s="8"/>
      <c r="G795">
        <v>2</v>
      </c>
      <c r="H795" t="str">
        <f ca="1">Sprache!$A$180</f>
        <v>Zum Einpressen</v>
      </c>
      <c r="I795" t="str">
        <f ca="1">IF(J795=1,ja&amp;" "&amp;H795,nein&amp; " "&amp;H795)</f>
        <v xml:space="preserve">     Zum Einpressen</v>
      </c>
      <c r="J795" s="381">
        <f ca="1">AJ796</f>
        <v>0</v>
      </c>
      <c r="M795" s="8"/>
      <c r="N795" s="1" t="str">
        <f ca="1">VLOOKUP(1,P795:S795,G793+1,FALSE)</f>
        <v xml:space="preserve">     Zum Anschrauben mit Euroschrauben</v>
      </c>
      <c r="O795">
        <v>2</v>
      </c>
      <c r="P795">
        <v>1</v>
      </c>
      <c r="Q795" t="str">
        <f ca="1">AF800</f>
        <v xml:space="preserve">     Zum Anschrauben mit Euroschrauben</v>
      </c>
      <c r="R795" t="str">
        <f ca="1">AF796</f>
        <v xml:space="preserve">     Zum Einpressen</v>
      </c>
      <c r="S795" t="str">
        <f ca="1">AF804</f>
        <v xml:space="preserve">     vormontierte Euroschrauben [10,5]</v>
      </c>
      <c r="U795" s="8"/>
      <c r="AC795" s="801" t="s">
        <v>2189</v>
      </c>
      <c r="AD795" s="801"/>
      <c r="AE795" t="s">
        <v>2278</v>
      </c>
      <c r="AJ795" t="s">
        <v>2277</v>
      </c>
    </row>
    <row r="796" spans="1:44" hidden="1" outlineLevel="1" x14ac:dyDescent="0.25">
      <c r="A796" t="s">
        <v>4</v>
      </c>
      <c r="D796" s="8"/>
      <c r="E796" s="8"/>
      <c r="F796" s="8"/>
      <c r="G796">
        <v>3</v>
      </c>
      <c r="H796" t="str">
        <f ca="1">Sprache!$A$182</f>
        <v>Für 5 mm Lochreihe</v>
      </c>
      <c r="I796" t="str">
        <f ca="1">IF(J796=1,ja&amp;" "&amp;H796,nein&amp; " "&amp;H796)</f>
        <v>✓ Für 5 mm Lochreihe</v>
      </c>
      <c r="J796" s="381">
        <f ca="1">AJ802</f>
        <v>1</v>
      </c>
      <c r="M796" s="8"/>
      <c r="N796" s="1" t="str">
        <f>VLOOKUP(1,P796:S796,G793+1,FALSE)</f>
        <v/>
      </c>
      <c r="O796">
        <v>3</v>
      </c>
      <c r="P796">
        <v>1</v>
      </c>
      <c r="Q796" s="87" t="s">
        <v>1916</v>
      </c>
      <c r="R796" t="str">
        <f ca="1">R795</f>
        <v xml:space="preserve">     Zum Einpressen</v>
      </c>
      <c r="S796" t="str">
        <f ca="1">AF806</f>
        <v xml:space="preserve">     Spreizdübel 11 mm</v>
      </c>
      <c r="U796" s="8"/>
      <c r="Y796" s="826" t="str">
        <f>N788</f>
        <v>Kreuz</v>
      </c>
      <c r="Z796" s="826" t="s">
        <v>1825</v>
      </c>
      <c r="AA796" t="s">
        <v>727</v>
      </c>
      <c r="AB796" s="826" t="str">
        <f>L922</f>
        <v>37/32</v>
      </c>
      <c r="AC796" s="801">
        <f ca="1">DCOUNT(Montageplatten[[#Headers],[#Data],[Typ]:[Höhe]],Montageplatten[[#Headers],[Höhe]],select!Y796:AB797)</f>
        <v>0</v>
      </c>
      <c r="AD796" s="827">
        <f ca="1">IF(AC796&gt;0,1,0)</f>
        <v>0</v>
      </c>
      <c r="AE796">
        <v>1</v>
      </c>
      <c r="AF796" s="40" t="str">
        <f ca="1">IF(AD796=1,ja&amp;" "&amp;AG796,nein&amp;" "&amp;AG796)</f>
        <v xml:space="preserve">     Zum Einpressen</v>
      </c>
      <c r="AG796" t="str">
        <f ca="1">Sprache!$A$66</f>
        <v>Zum Einpressen</v>
      </c>
      <c r="AJ796" s="40">
        <f ca="1">AD796</f>
        <v>0</v>
      </c>
    </row>
    <row r="797" spans="1:44" hidden="1" outlineLevel="1" x14ac:dyDescent="0.25">
      <c r="B797" s="1" t="s">
        <v>883</v>
      </c>
      <c r="C797" s="1" t="s">
        <v>884</v>
      </c>
      <c r="D797" s="1" t="s">
        <v>885</v>
      </c>
      <c r="E797" s="289"/>
      <c r="F797" s="289"/>
      <c r="G797" s="289"/>
      <c r="H797" s="289"/>
      <c r="I797" s="289"/>
      <c r="M797" s="8"/>
      <c r="N797" s="1" t="str">
        <f>VLOOKUP(1,P797:S797,G793+1,FALSE)</f>
        <v/>
      </c>
      <c r="O797">
        <v>4</v>
      </c>
      <c r="P797">
        <v>1</v>
      </c>
      <c r="Q797" s="87" t="s">
        <v>1916</v>
      </c>
      <c r="R797" t="str">
        <f ca="1">R796</f>
        <v xml:space="preserve">     Zum Einpressen</v>
      </c>
      <c r="S797" t="str">
        <f ca="1">AF808</f>
        <v xml:space="preserve">     Zwillingsmontageplatte (Spreizdübel 7,5 mm)</v>
      </c>
      <c r="U797" s="8"/>
      <c r="Y797">
        <v>1</v>
      </c>
      <c r="Z797">
        <v>1</v>
      </c>
      <c r="AA797">
        <v>1</v>
      </c>
      <c r="AB797">
        <v>1</v>
      </c>
      <c r="AC797" s="801"/>
      <c r="AD797" s="827"/>
    </row>
    <row r="798" spans="1:44" hidden="1" outlineLevel="1" x14ac:dyDescent="0.25">
      <c r="A798" t="s">
        <v>1377</v>
      </c>
      <c r="B798" s="88">
        <f t="shared" ref="B798:B829" ca="1" si="199">IF(($T$787+D798-15-$K$754)*-1-$B$794&gt;=-2,($T$787+D798-15-$K$754)*-1-$B$794,"-")</f>
        <v>14</v>
      </c>
      <c r="C798" s="351">
        <f ca="1">IFERROR(VLOOKUP(B798,$F$800:$G$843,2,FALSE),0)</f>
        <v>1</v>
      </c>
      <c r="D798">
        <v>0</v>
      </c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34"/>
      <c r="U798" s="8"/>
      <c r="Y798" t="str">
        <f>Y796</f>
        <v>Kreuz</v>
      </c>
      <c r="Z798" s="782" t="str">
        <f>Z796</f>
        <v>MPH Spezial</v>
      </c>
      <c r="AA798" t="s">
        <v>728</v>
      </c>
      <c r="AB798" t="str">
        <f>AB796</f>
        <v>37/32</v>
      </c>
      <c r="AC798" s="801">
        <f ca="1">DCOUNT(Montageplatten[[#Headers],[#Data],[Typ]:[Höhe]],Montageplatten[[#Headers],[Höhe]],select!Y798:AB799)</f>
        <v>1</v>
      </c>
      <c r="AD798" s="827">
        <f t="shared" ref="AD798" ca="1" si="200">IF(AC798&gt;0,1,0)</f>
        <v>1</v>
      </c>
      <c r="AE798">
        <v>2</v>
      </c>
      <c r="AF798" s="40" t="str">
        <f ca="1">IF(AD798=1,ja&amp;" "&amp;AG798,nein&amp;" "&amp;AG798)</f>
        <v>✓ Zum Anschrauben mit Holzschrauben</v>
      </c>
      <c r="AG798" t="str">
        <f ca="1">Sprache!$A$64</f>
        <v>Zum Anschrauben mit Holzschrauben</v>
      </c>
      <c r="AJ798" s="40">
        <f ca="1">IF(SUM(AD798:AD800)&gt;0,1,0)</f>
        <v>1</v>
      </c>
    </row>
    <row r="799" spans="1:44" hidden="1" outlineLevel="1" x14ac:dyDescent="0.25">
      <c r="A799" s="925" t="s">
        <v>1378</v>
      </c>
      <c r="B799" s="266">
        <f t="shared" ca="1" si="199"/>
        <v>14.5</v>
      </c>
      <c r="C799" s="351">
        <f t="shared" ref="C799:C846" ca="1" si="201">IFERROR(VLOOKUP(B799,$F$800:$G$843,2,FALSE),0)</f>
        <v>0</v>
      </c>
      <c r="D799">
        <v>-0.5</v>
      </c>
      <c r="E799" s="289"/>
      <c r="F799">
        <v>1</v>
      </c>
      <c r="H799" s="289"/>
      <c r="I799" s="289"/>
      <c r="O799" t="str">
        <f t="array" ref="O799">IFERROR(INDEX(Montageplatten[Teil],LARGE((Montageplatten[Randbedingungen]=$L$70)*(ROW(Montageplatten[Randbedingungen])-1),COUNTIF(Montageplatten[Randbedingungen],$L$70)+1-ROW(A650))),"")</f>
        <v/>
      </c>
      <c r="P799">
        <v>1</v>
      </c>
      <c r="Q799">
        <v>2</v>
      </c>
      <c r="R799">
        <v>1</v>
      </c>
      <c r="S799">
        <v>4</v>
      </c>
      <c r="Y799">
        <v>1</v>
      </c>
      <c r="Z799">
        <v>1</v>
      </c>
      <c r="AA799">
        <v>1</v>
      </c>
      <c r="AB799">
        <v>1</v>
      </c>
      <c r="AC799" s="801"/>
      <c r="AD799" s="827"/>
    </row>
    <row r="800" spans="1:44" hidden="1" outlineLevel="1" x14ac:dyDescent="0.25">
      <c r="A800" s="925"/>
      <c r="B800" s="266">
        <f t="shared" ca="1" si="199"/>
        <v>15</v>
      </c>
      <c r="C800" s="351">
        <f t="shared" ca="1" si="201"/>
        <v>1</v>
      </c>
      <c r="D800">
        <v>-1</v>
      </c>
      <c r="E800" s="289"/>
      <c r="F800" s="21">
        <f t="array" ref="F800">IFERROR(INDEX(Montageplatten[Höhe],LARGE((Montageplatten[Randbed Spezial]=$L$70)*(ROW(Montageplatten[Randbed Spezial])-1),COUNTIF(Montageplatten[Randbed Spezial],$L$70)+1-ROW(A1))),"")</f>
        <v>-2</v>
      </c>
      <c r="G800" s="21">
        <v>1</v>
      </c>
      <c r="H800" s="1087" t="s">
        <v>1350</v>
      </c>
      <c r="P800">
        <v>2</v>
      </c>
      <c r="Q800">
        <v>3</v>
      </c>
      <c r="R800">
        <v>1</v>
      </c>
      <c r="S800">
        <v>5</v>
      </c>
      <c r="Y800" t="str">
        <f>Y798</f>
        <v>Kreuz</v>
      </c>
      <c r="Z800" s="782" t="str">
        <f>Z798</f>
        <v>MPH Spezial</v>
      </c>
      <c r="AA800" t="s">
        <v>729</v>
      </c>
      <c r="AB800" t="str">
        <f>AB796</f>
        <v>37/32</v>
      </c>
      <c r="AC800" s="801">
        <f ca="1">DCOUNT(Montageplatten[[#Headers],[#Data],[Typ]:[Höhe]],Montageplatten[[#Headers],[Höhe]],select!Y800:AB801)</f>
        <v>0</v>
      </c>
      <c r="AD800" s="827">
        <f t="shared" ref="AD800" ca="1" si="202">IF(AC800&gt;0,1,0)</f>
        <v>0</v>
      </c>
      <c r="AE800">
        <v>3</v>
      </c>
      <c r="AF800" s="40" t="str">
        <f ca="1">IF(AD800=1,ja&amp;" "&amp;AG800,nein&amp;" "&amp;AG800)</f>
        <v xml:space="preserve">     Zum Anschrauben mit Euroschrauben</v>
      </c>
      <c r="AG800" t="str">
        <f ca="1">Sprache!$A$65</f>
        <v>Zum Anschrauben mit Euroschrauben</v>
      </c>
    </row>
    <row r="801" spans="1:36" hidden="1" outlineLevel="1" x14ac:dyDescent="0.25">
      <c r="A801" s="925"/>
      <c r="B801" s="266">
        <f t="shared" ca="1" si="199"/>
        <v>15.5</v>
      </c>
      <c r="C801" s="351">
        <f t="shared" ca="1" si="201"/>
        <v>1</v>
      </c>
      <c r="D801">
        <v>-1.5</v>
      </c>
      <c r="E801" s="289"/>
      <c r="F801" s="21">
        <f t="array" ref="F801">IFERROR(INDEX(Montageplatten[Höhe],LARGE((Montageplatten[Randbed Spezial]=$L$70)*(ROW(Montageplatten[Randbed Spezial])-1),COUNTIF(Montageplatten[Randbed Spezial],$L$70)+1-ROW(A2))),"")</f>
        <v>0</v>
      </c>
      <c r="G801" s="21">
        <v>1</v>
      </c>
      <c r="H801" s="1087"/>
      <c r="P801">
        <v>3</v>
      </c>
      <c r="Q801">
        <v>0</v>
      </c>
      <c r="R801">
        <v>1</v>
      </c>
      <c r="S801">
        <v>6</v>
      </c>
      <c r="Y801">
        <v>1</v>
      </c>
      <c r="Z801">
        <v>1</v>
      </c>
      <c r="AA801">
        <v>1</v>
      </c>
      <c r="AB801">
        <v>1</v>
      </c>
      <c r="AC801" s="801"/>
      <c r="AD801" s="827"/>
    </row>
    <row r="802" spans="1:36" hidden="1" outlineLevel="1" x14ac:dyDescent="0.25">
      <c r="A802" s="925"/>
      <c r="B802" s="266">
        <f t="shared" ca="1" si="199"/>
        <v>16</v>
      </c>
      <c r="C802" s="351">
        <f t="shared" ca="1" si="201"/>
        <v>0</v>
      </c>
      <c r="D802">
        <v>-2</v>
      </c>
      <c r="E802" s="289"/>
      <c r="F802" s="21">
        <f t="array" ref="F802">IFERROR(INDEX(Montageplatten[Höhe],LARGE((Montageplatten[Randbed Spezial]=$L$70)*(ROW(Montageplatten[Randbed Spezial])-1),COUNTIF(Montageplatten[Randbed Spezial],$L$70)+1-ROW(A3))),"")</f>
        <v>0</v>
      </c>
      <c r="G802" s="21">
        <v>1</v>
      </c>
      <c r="H802" s="1087"/>
      <c r="P802">
        <v>4</v>
      </c>
      <c r="Q802">
        <v>0</v>
      </c>
      <c r="R802">
        <v>1</v>
      </c>
      <c r="S802">
        <v>7</v>
      </c>
      <c r="Y802" t="str">
        <f>Y800</f>
        <v>Kreuz</v>
      </c>
      <c r="Z802" s="782" t="str">
        <f>Z800</f>
        <v>MPH Spezial</v>
      </c>
      <c r="AA802" t="s">
        <v>730</v>
      </c>
      <c r="AB802" t="str">
        <f>AB796</f>
        <v>37/32</v>
      </c>
      <c r="AC802" s="801">
        <f ca="1">DCOUNT(Montageplatten[[#Headers],[#Data],[Typ]:[Höhe]],Montageplatten[[#Headers],[Höhe]],select!Y802:AB803)</f>
        <v>1</v>
      </c>
      <c r="AD802" s="827">
        <f t="shared" ref="AD802" ca="1" si="203">IF(AC802&gt;0,1,0)</f>
        <v>1</v>
      </c>
      <c r="AE802">
        <v>4</v>
      </c>
      <c r="AF802" s="40" t="str">
        <f ca="1">IF(AD802=1,ja&amp;" "&amp;AG802,nein&amp;" "&amp;AG802)</f>
        <v>✓ vormontierte Euroschrauben [13,5]</v>
      </c>
      <c r="AG802" t="str">
        <f ca="1">Sprache!$A$67</f>
        <v>vormontierte Euroschrauben [13,5]</v>
      </c>
      <c r="AJ802" s="40">
        <f ca="1">IF(SUM(AD802:AD804)&gt;0,1,0)</f>
        <v>1</v>
      </c>
    </row>
    <row r="803" spans="1:36" hidden="1" outlineLevel="1" x14ac:dyDescent="0.25">
      <c r="A803" s="925"/>
      <c r="B803" s="266">
        <f t="shared" ca="1" si="199"/>
        <v>16.5</v>
      </c>
      <c r="C803" s="351">
        <f t="shared" ca="1" si="201"/>
        <v>0</v>
      </c>
      <c r="D803">
        <v>-2.5</v>
      </c>
      <c r="E803" s="289"/>
      <c r="F803" s="21">
        <f t="array" ref="F803">IFERROR(INDEX(Montageplatten[Höhe],LARGE((Montageplatten[Randbed Spezial]=$L$70)*(ROW(Montageplatten[Randbed Spezial])-1),COUNTIF(Montageplatten[Randbed Spezial],$L$70)+1-ROW(A4))),"")</f>
        <v>0</v>
      </c>
      <c r="G803" s="21">
        <v>1</v>
      </c>
      <c r="H803" s="1087"/>
      <c r="Y803">
        <v>1</v>
      </c>
      <c r="Z803">
        <v>1</v>
      </c>
      <c r="AA803">
        <v>1</v>
      </c>
      <c r="AB803">
        <v>1</v>
      </c>
      <c r="AC803" s="801"/>
      <c r="AD803" s="827"/>
    </row>
    <row r="804" spans="1:36" hidden="1" outlineLevel="1" x14ac:dyDescent="0.25">
      <c r="A804" s="925"/>
      <c r="B804" s="266">
        <f t="shared" ca="1" si="199"/>
        <v>17</v>
      </c>
      <c r="C804" s="351">
        <f t="shared" ca="1" si="201"/>
        <v>0</v>
      </c>
      <c r="D804">
        <v>-3</v>
      </c>
      <c r="E804" s="289"/>
      <c r="F804" s="21">
        <f t="array" ref="F804">IFERROR(INDEX(Montageplatten[Höhe],LARGE((Montageplatten[Randbed Spezial]=$L$70)*(ROW(Montageplatten[Randbed Spezial])-1),COUNTIF(Montageplatten[Randbed Spezial],$L$70)+1-ROW(A5))),"")</f>
        <v>2</v>
      </c>
      <c r="G804" s="21">
        <v>1</v>
      </c>
      <c r="H804" s="1087"/>
      <c r="I804" s="722" t="s">
        <v>1445</v>
      </c>
      <c r="J804" s="723" t="s">
        <v>52</v>
      </c>
      <c r="K804" s="723" t="s">
        <v>51</v>
      </c>
      <c r="L804" s="610" t="str">
        <f>O807</f>
        <v>Delta</v>
      </c>
      <c r="M804" s="612" t="str">
        <f>Q807</f>
        <v>INSET</v>
      </c>
      <c r="O804" s="179" t="s">
        <v>51</v>
      </c>
      <c r="P804" s="180" t="s">
        <v>42</v>
      </c>
      <c r="Q804" s="181" t="s">
        <v>52</v>
      </c>
      <c r="Y804" t="str">
        <f>Y802</f>
        <v>Kreuz</v>
      </c>
      <c r="Z804" s="782" t="str">
        <f>Z802</f>
        <v>MPH Spezial</v>
      </c>
      <c r="AA804" t="s">
        <v>731</v>
      </c>
      <c r="AB804" t="str">
        <f>AB796</f>
        <v>37/32</v>
      </c>
      <c r="AC804" s="801">
        <f ca="1">DCOUNT(Montageplatten[[#Headers],[#Data],[Typ]:[Höhe]],Montageplatten[[#Headers],[Höhe]],select!Y804:AB805)</f>
        <v>0</v>
      </c>
      <c r="AD804" s="827">
        <f t="shared" ref="AD804" ca="1" si="204">IF(AC804&gt;0,1,0)</f>
        <v>0</v>
      </c>
      <c r="AE804">
        <v>5</v>
      </c>
      <c r="AF804" s="40" t="str">
        <f ca="1">IF(AD804=1,ja&amp;" "&amp;AG804,nein&amp;" "&amp;AG804)</f>
        <v xml:space="preserve">     vormontierte Euroschrauben [10,5]</v>
      </c>
      <c r="AG804" t="str">
        <f ca="1">Sprache!$A$68</f>
        <v>vormontierte Euroschrauben [10,5]</v>
      </c>
    </row>
    <row r="805" spans="1:36" hidden="1" outlineLevel="1" x14ac:dyDescent="0.25">
      <c r="A805" s="925"/>
      <c r="B805" s="266">
        <f t="shared" ca="1" si="199"/>
        <v>17.5</v>
      </c>
      <c r="C805" s="351">
        <f t="shared" ca="1" si="201"/>
        <v>0</v>
      </c>
      <c r="D805">
        <v>-3.5</v>
      </c>
      <c r="E805" s="289"/>
      <c r="F805" s="21">
        <f t="array" ref="F805">IFERROR(INDEX(Montageplatten[Höhe],LARGE((Montageplatten[Randbed Spezial]=$L$70)*(ROW(Montageplatten[Randbed Spezial])-1),COUNTIF(Montageplatten[Randbed Spezial],$L$70)+1-ROW(A6))),"")</f>
        <v>2</v>
      </c>
      <c r="G805" s="21">
        <v>1</v>
      </c>
      <c r="H805" s="1087"/>
      <c r="I805" s="92">
        <f ca="1">DCOUNT(Montageplatten[[#Headers],[#Data],[MPH Winkel]:[Höhe]],Montageplatten[[#Headers],[Höhe]],select!P804:P805)</f>
        <v>2</v>
      </c>
      <c r="J805" s="6">
        <f ca="1">DCOUNT(Montageplatten[[#Headers],[#Data],[MPH Winkel]:[Höhe]],Montageplatten[[#Headers],[Höhe]],select!P804:Q805)</f>
        <v>2</v>
      </c>
      <c r="K805" s="6">
        <f ca="1">DCOUNT(Montageplatten[[#Headers],[#Data],[MPH Winkel]:[Höhe]],Montageplatten[[#Headers],[Höhe]],select!O804:P805)</f>
        <v>0</v>
      </c>
      <c r="L805" s="6">
        <f ca="1">DCOUNT(Montageplatten[[#Headers],[#Data],[MPH Winkel]:[Höhe]],Montageplatten[[#Headers],[Höhe]],select!O807:P808)</f>
        <v>0</v>
      </c>
      <c r="M805" s="56">
        <f ca="1">DCOUNT(Montageplatten[[#Headers],[#Data],[MPH Winkel]:[Höhe]],Montageplatten[[#Headers],[Höhe]],select!P807:Q808)</f>
        <v>0</v>
      </c>
      <c r="O805" s="182">
        <v>1</v>
      </c>
      <c r="P805" s="227">
        <f ca="1">M746</f>
        <v>14</v>
      </c>
      <c r="Q805" s="118">
        <v>1</v>
      </c>
      <c r="Y805">
        <v>1</v>
      </c>
      <c r="Z805">
        <v>1</v>
      </c>
      <c r="AA805">
        <v>1</v>
      </c>
      <c r="AB805">
        <v>1</v>
      </c>
      <c r="AD805" s="828"/>
    </row>
    <row r="806" spans="1:36" hidden="1" outlineLevel="1" x14ac:dyDescent="0.25">
      <c r="A806" s="925"/>
      <c r="B806" s="266">
        <f t="shared" ca="1" si="199"/>
        <v>18</v>
      </c>
      <c r="C806" s="351">
        <f t="shared" ca="1" si="201"/>
        <v>0</v>
      </c>
      <c r="D806">
        <v>-4</v>
      </c>
      <c r="E806" s="289"/>
      <c r="F806" s="21">
        <f t="array" ref="F806">IFERROR(INDEX(Montageplatten[Höhe],LARGE((Montageplatten[Randbed Spezial]=$L$70)*(ROW(Montageplatten[Randbed Spezial])-1),COUNTIF(Montageplatten[Randbed Spezial],$L$70)+1-ROW(A7))),"")</f>
        <v>2</v>
      </c>
      <c r="G806" s="21">
        <v>1</v>
      </c>
      <c r="H806" s="1087"/>
      <c r="I806" s="289"/>
      <c r="Y806" t="str">
        <f>Y804</f>
        <v>Kreuz</v>
      </c>
      <c r="Z806" s="782" t="str">
        <f>Z804</f>
        <v>MPH Spezial</v>
      </c>
      <c r="AA806" t="s">
        <v>2312</v>
      </c>
      <c r="AB806" t="str">
        <f>AB796</f>
        <v>37/32</v>
      </c>
      <c r="AC806" s="854">
        <f ca="1">DCOUNT(Montageplatten[[#Headers],[#Data],[Typ]:[Höhe]],Montageplatten[[#Headers],[Höhe]],select!Y806:AB807)</f>
        <v>0</v>
      </c>
      <c r="AD806" s="827">
        <f ca="1">IF(AC806&gt;0,1,0)</f>
        <v>0</v>
      </c>
      <c r="AE806">
        <v>6</v>
      </c>
      <c r="AF806" s="40" t="str">
        <f ca="1">IF(AD806=1,ja&amp;" "&amp;AG806,nein&amp;" "&amp;AG806)</f>
        <v xml:space="preserve">     Spreizdübel 11 mm</v>
      </c>
      <c r="AG806" t="str">
        <f ca="1">Sprache!$A$69</f>
        <v>Spreizdübel 11 mm</v>
      </c>
    </row>
    <row r="807" spans="1:36" hidden="1" outlineLevel="1" x14ac:dyDescent="0.25">
      <c r="A807" s="925"/>
      <c r="B807" s="266">
        <f t="shared" ca="1" si="199"/>
        <v>18.5</v>
      </c>
      <c r="C807" s="351">
        <f t="shared" ca="1" si="201"/>
        <v>0</v>
      </c>
      <c r="D807">
        <v>-4.5</v>
      </c>
      <c r="E807" s="289"/>
      <c r="F807" s="21">
        <f t="array" ref="F807">IFERROR(INDEX(Montageplatten[Höhe],LARGE((Montageplatten[Randbed Spezial]=$L$70)*(ROW(Montageplatten[Randbed Spezial])-1),COUNTIF(Montageplatten[Randbed Spezial],$L$70)+1-ROW(A8))),"")</f>
        <v>3</v>
      </c>
      <c r="G807" s="21">
        <v>1</v>
      </c>
      <c r="H807" s="1087"/>
      <c r="I807" s="289"/>
      <c r="O807" t="s">
        <v>1360</v>
      </c>
      <c r="P807" s="180" t="s">
        <v>42</v>
      </c>
      <c r="Q807" t="s">
        <v>1373</v>
      </c>
      <c r="Y807">
        <v>1</v>
      </c>
      <c r="Z807">
        <v>1</v>
      </c>
      <c r="AA807">
        <v>1</v>
      </c>
      <c r="AB807">
        <v>1</v>
      </c>
    </row>
    <row r="808" spans="1:36" hidden="1" outlineLevel="1" x14ac:dyDescent="0.25">
      <c r="A808" s="925"/>
      <c r="B808" s="266">
        <f t="shared" ca="1" si="199"/>
        <v>19</v>
      </c>
      <c r="C808" s="351">
        <f t="shared" ca="1" si="201"/>
        <v>1</v>
      </c>
      <c r="D808">
        <v>-5</v>
      </c>
      <c r="E808" s="289"/>
      <c r="F808" s="21">
        <f t="array" ref="F808">IFERROR(INDEX(Montageplatten[Höhe],LARGE((Montageplatten[Randbed Spezial]=$L$70)*(ROW(Montageplatten[Randbed Spezial])-1),COUNTIF(Montageplatten[Randbed Spezial],$L$70)+1-ROW(A9))),"")</f>
        <v>3</v>
      </c>
      <c r="G808" s="21">
        <v>1</v>
      </c>
      <c r="H808" s="1087"/>
      <c r="I808" s="289"/>
      <c r="O808">
        <v>1</v>
      </c>
      <c r="P808">
        <f ca="1">P805</f>
        <v>14</v>
      </c>
      <c r="Q808">
        <v>1</v>
      </c>
      <c r="Y808" t="str">
        <f>Y806</f>
        <v>Kreuz</v>
      </c>
      <c r="Z808" s="782" t="str">
        <f>Z806</f>
        <v>MPH Spezial</v>
      </c>
      <c r="AA808" t="s">
        <v>2313</v>
      </c>
      <c r="AB808" t="str">
        <f>AB796</f>
        <v>37/32</v>
      </c>
      <c r="AC808" s="854">
        <f ca="1">DCOUNT(Montageplatten[[#Headers],[#Data],[Typ]:[Höhe]],Montageplatten[[#Headers],[Höhe]],select!Y808:AB809)</f>
        <v>0</v>
      </c>
      <c r="AD808" s="827">
        <f ca="1">IF(AC808&gt;0,1,0)</f>
        <v>0</v>
      </c>
      <c r="AE808">
        <v>7</v>
      </c>
      <c r="AF808" s="40" t="str">
        <f ca="1">IF(AD808=1,ja&amp;" "&amp;AG808,nein&amp;" "&amp;AG808)</f>
        <v xml:space="preserve">     Zwillingsmontageplatte (Spreizdübel 7,5 mm)</v>
      </c>
      <c r="AG808" t="str">
        <f ca="1">Sprache!$A$70</f>
        <v>Zwillingsmontageplatte (Spreizdübel 7,5 mm)</v>
      </c>
    </row>
    <row r="809" spans="1:36" hidden="1" outlineLevel="1" x14ac:dyDescent="0.25">
      <c r="A809" s="925"/>
      <c r="B809" s="266">
        <f t="shared" ca="1" si="199"/>
        <v>19.5</v>
      </c>
      <c r="C809" s="351">
        <f t="shared" ca="1" si="201"/>
        <v>0</v>
      </c>
      <c r="D809">
        <v>-5.5</v>
      </c>
      <c r="E809" s="289"/>
      <c r="F809" s="21">
        <f t="array" ref="F809">IFERROR(INDEX(Montageplatten[Höhe],LARGE((Montageplatten[Randbed Spezial]=$L$70)*(ROW(Montageplatten[Randbed Spezial])-1),COUNTIF(Montageplatten[Randbed Spezial],$L$70)+1-ROW(A10))),"")</f>
        <v>3</v>
      </c>
      <c r="G809" s="21">
        <v>1</v>
      </c>
      <c r="H809" s="1087"/>
      <c r="I809" s="289"/>
      <c r="Y809">
        <v>1</v>
      </c>
      <c r="Z809">
        <v>1</v>
      </c>
      <c r="AA809">
        <v>1</v>
      </c>
      <c r="AB809">
        <v>1</v>
      </c>
    </row>
    <row r="810" spans="1:36" hidden="1" outlineLevel="1" x14ac:dyDescent="0.25">
      <c r="A810" s="925"/>
      <c r="B810" s="266">
        <f t="shared" ca="1" si="199"/>
        <v>20</v>
      </c>
      <c r="C810" s="351">
        <f t="shared" ca="1" si="201"/>
        <v>0</v>
      </c>
      <c r="D810">
        <v>-6</v>
      </c>
      <c r="E810" s="289"/>
      <c r="F810" s="21">
        <f t="array" ref="F810">IFERROR(INDEX(Montageplatten[Höhe],LARGE((Montageplatten[Randbed Spezial]=$L$70)*(ROW(Montageplatten[Randbed Spezial])-1),COUNTIF(Montageplatten[Randbed Spezial],$L$70)+1-ROW(A11))),"")</f>
        <v>3.5</v>
      </c>
      <c r="G810" s="21">
        <v>1</v>
      </c>
      <c r="H810" s="1087"/>
      <c r="I810" s="289"/>
    </row>
    <row r="811" spans="1:36" hidden="1" outlineLevel="1" x14ac:dyDescent="0.25">
      <c r="A811" s="925"/>
      <c r="B811" s="266">
        <f t="shared" ca="1" si="199"/>
        <v>20.5</v>
      </c>
      <c r="C811" s="351">
        <f t="shared" ca="1" si="201"/>
        <v>0</v>
      </c>
      <c r="D811">
        <v>-6.5</v>
      </c>
      <c r="E811" s="289"/>
      <c r="F811" s="21">
        <f t="array" ref="F811">IFERROR(INDEX(Montageplatten[Höhe],LARGE((Montageplatten[Randbed Spezial]=$L$70)*(ROW(Montageplatten[Randbed Spezial])-1),COUNTIF(Montageplatten[Randbed Spezial],$L$70)+1-ROW(A12))),"")</f>
        <v>3.5</v>
      </c>
      <c r="G811" s="21">
        <v>1</v>
      </c>
      <c r="H811" s="1087"/>
      <c r="I811" s="289"/>
    </row>
    <row r="812" spans="1:36" hidden="1" outlineLevel="1" x14ac:dyDescent="0.25">
      <c r="A812" s="925"/>
      <c r="B812" s="266">
        <f t="shared" ca="1" si="199"/>
        <v>21</v>
      </c>
      <c r="C812" s="351">
        <f t="shared" ca="1" si="201"/>
        <v>1</v>
      </c>
      <c r="D812">
        <v>-7</v>
      </c>
      <c r="E812" s="289"/>
      <c r="F812" s="21">
        <f t="array" ref="F812">IFERROR(INDEX(Montageplatten[Höhe],LARGE((Montageplatten[Randbed Spezial]=$L$70)*(ROW(Montageplatten[Randbed Spezial])-1),COUNTIF(Montageplatten[Randbed Spezial],$L$70)+1-ROW(A13))),"")</f>
        <v>3.5</v>
      </c>
      <c r="G812" s="21">
        <v>1</v>
      </c>
      <c r="H812" s="1087"/>
      <c r="I812" s="289"/>
      <c r="AC812" t="s">
        <v>2189</v>
      </c>
      <c r="AD812" t="s">
        <v>2283</v>
      </c>
      <c r="AH812" s="826">
        <f ca="1">VLOOKUP(N792,AH813:AI820,2,FALSE)</f>
        <v>1</v>
      </c>
      <c r="AI812" t="s">
        <v>2282</v>
      </c>
    </row>
    <row r="813" spans="1:36" hidden="1" outlineLevel="1" x14ac:dyDescent="0.25">
      <c r="A813" s="925"/>
      <c r="B813" s="266">
        <f t="shared" ca="1" si="199"/>
        <v>21.5</v>
      </c>
      <c r="C813" s="351">
        <f t="shared" ca="1" si="201"/>
        <v>0</v>
      </c>
      <c r="D813">
        <v>-7.5</v>
      </c>
      <c r="E813" s="289"/>
      <c r="F813" s="21">
        <f t="array" ref="F813">IFERROR(INDEX(Montageplatten[Höhe],LARGE((Montageplatten[Randbed Spezial]=$L$70)*(ROW(Montageplatten[Randbed Spezial])-1),COUNTIF(Montageplatten[Randbed Spezial],$L$70)+1-ROW(A14))),"")</f>
        <v>6</v>
      </c>
      <c r="G813" s="21">
        <v>1</v>
      </c>
      <c r="H813" s="1087"/>
      <c r="I813" s="289"/>
      <c r="Y813" t="str">
        <f>Y804</f>
        <v>Kreuz</v>
      </c>
      <c r="Z813" s="782" t="str">
        <f>Z804</f>
        <v>MPH Spezial</v>
      </c>
      <c r="AA813" t="s">
        <v>40</v>
      </c>
      <c r="AC813">
        <f ca="1">DCOUNT(Montageplatten[[#Headers],[#Data],[Typ]:[Höhe]],Montageplatten[[#Headers],[Höhe]],select!Y813:AA814)</f>
        <v>2</v>
      </c>
      <c r="AD813" s="40">
        <f t="shared" ref="AD813" ca="1" si="205">IF(AC813&gt;0,1,0)</f>
        <v>1</v>
      </c>
      <c r="AH813">
        <v>0</v>
      </c>
      <c r="AI813">
        <v>0</v>
      </c>
    </row>
    <row r="814" spans="1:36" hidden="1" outlineLevel="1" x14ac:dyDescent="0.25">
      <c r="A814" s="925"/>
      <c r="B814" s="266">
        <f t="shared" ca="1" si="199"/>
        <v>22</v>
      </c>
      <c r="C814" s="351">
        <f t="shared" ca="1" si="201"/>
        <v>0</v>
      </c>
      <c r="D814">
        <v>-8</v>
      </c>
      <c r="E814" s="289"/>
      <c r="F814" s="21">
        <f t="array" ref="F814">IFERROR(INDEX(Montageplatten[Höhe],LARGE((Montageplatten[Randbed Spezial]=$L$70)*(ROW(Montageplatten[Randbed Spezial])-1),COUNTIF(Montageplatten[Randbed Spezial],$L$70)+1-ROW(A15))),"")</f>
        <v>8</v>
      </c>
      <c r="G814" s="21">
        <v>1</v>
      </c>
      <c r="H814" s="1087"/>
      <c r="I814" s="289"/>
      <c r="Y814">
        <v>1</v>
      </c>
      <c r="Z814">
        <v>1</v>
      </c>
      <c r="AA814">
        <v>1</v>
      </c>
      <c r="AH814">
        <v>1</v>
      </c>
      <c r="AI814">
        <f ca="1">AD796</f>
        <v>0</v>
      </c>
    </row>
    <row r="815" spans="1:36" hidden="1" outlineLevel="1" x14ac:dyDescent="0.25">
      <c r="A815" s="925"/>
      <c r="B815" s="266">
        <f t="shared" ca="1" si="199"/>
        <v>22.5</v>
      </c>
      <c r="C815" s="351">
        <f t="shared" ca="1" si="201"/>
        <v>0</v>
      </c>
      <c r="D815">
        <v>-8.5</v>
      </c>
      <c r="E815" s="289"/>
      <c r="F815" s="21">
        <f t="array" ref="F815">IFERROR(INDEX(Montageplatten[Höhe],LARGE((Montageplatten[Randbed Spezial]=$L$70)*(ROW(Montageplatten[Randbed Spezial])-1),COUNTIF(Montageplatten[Randbed Spezial],$L$70)+1-ROW(A16))),"")</f>
        <v>9</v>
      </c>
      <c r="G815" s="21">
        <v>1</v>
      </c>
      <c r="H815" s="1087"/>
      <c r="I815" s="289"/>
      <c r="K815" t="s">
        <v>1</v>
      </c>
      <c r="L815" t="s">
        <v>1418</v>
      </c>
      <c r="Y815" t="str">
        <f>Y813</f>
        <v>Kreuz</v>
      </c>
      <c r="Z815" s="782" t="str">
        <f>Z804</f>
        <v>MPH Spezial</v>
      </c>
      <c r="AA815" t="s">
        <v>41</v>
      </c>
      <c r="AC815">
        <f ca="1">DCOUNT(Montageplatten[[#Headers],[#Data],[Typ]:[Höhe]],Montageplatten[[#Headers],[Höhe]],select!Y815:AA816)</f>
        <v>0</v>
      </c>
      <c r="AD815" s="40">
        <f t="shared" ref="AD815" ca="1" si="206">IF(AC815&gt;0,1,0)</f>
        <v>0</v>
      </c>
      <c r="AH815">
        <v>2</v>
      </c>
      <c r="AI815">
        <f ca="1">AD798</f>
        <v>1</v>
      </c>
    </row>
    <row r="816" spans="1:36" hidden="1" outlineLevel="1" x14ac:dyDescent="0.25">
      <c r="A816" s="925"/>
      <c r="B816" s="266">
        <f t="shared" ca="1" si="199"/>
        <v>23</v>
      </c>
      <c r="C816" s="351">
        <f t="shared" ca="1" si="201"/>
        <v>0</v>
      </c>
      <c r="D816">
        <v>-9</v>
      </c>
      <c r="E816" s="289"/>
      <c r="F816" s="21">
        <f t="array" ref="F816">IFERROR(INDEX(Montageplatten[Höhe],LARGE((Montageplatten[Randbed Spezial]=$L$70)*(ROW(Montageplatten[Randbed Spezial])-1),COUNTIF(Montageplatten[Randbed Spezial],$L$70)+1-ROW(A17))),"")</f>
        <v>9.5</v>
      </c>
      <c r="G816" s="21">
        <v>1</v>
      </c>
      <c r="H816" s="1087"/>
      <c r="I816" s="289"/>
      <c r="K816" s="727">
        <f ca="1">IF($A$747=5,L756-42,L756)</f>
        <v>3</v>
      </c>
      <c r="L816" s="612">
        <f ca="1">IF(A747=2,0,($T$787-15-$K816)*-1-$B$794)</f>
        <v>12</v>
      </c>
      <c r="M816" s="53">
        <f ca="1">IFERROR(VLOOKUP(L816,$F$800:$G$843,2,FALSE),0)</f>
        <v>1</v>
      </c>
      <c r="Y816">
        <v>1</v>
      </c>
      <c r="Z816">
        <v>1</v>
      </c>
      <c r="AA816">
        <v>1</v>
      </c>
      <c r="AH816">
        <v>3</v>
      </c>
      <c r="AI816">
        <f ca="1">AD800</f>
        <v>0</v>
      </c>
    </row>
    <row r="817" spans="1:42" hidden="1" outlineLevel="1" x14ac:dyDescent="0.25">
      <c r="A817" s="925"/>
      <c r="B817" s="266">
        <f t="shared" ca="1" si="199"/>
        <v>23.5</v>
      </c>
      <c r="C817" s="351">
        <f t="shared" ca="1" si="201"/>
        <v>0</v>
      </c>
      <c r="D817">
        <v>-9.5</v>
      </c>
      <c r="E817" s="289"/>
      <c r="F817" s="21">
        <f t="array" ref="F817">IFERROR(INDEX(Montageplatten[Höhe],LARGE((Montageplatten[Randbed Spezial]=$L$70)*(ROW(Montageplatten[Randbed Spezial])-1),COUNTIF(Montageplatten[Randbed Spezial],$L$70)+1-ROW(A18))),"")</f>
        <v>12</v>
      </c>
      <c r="G817" s="21">
        <v>1</v>
      </c>
      <c r="H817" s="1087"/>
      <c r="I817" s="289"/>
      <c r="K817" s="728">
        <f t="shared" ref="K817:K827" ca="1" si="207">IF($A$747=5,L757-42,L757)</f>
        <v>4</v>
      </c>
      <c r="L817" s="55">
        <f t="shared" ref="L817:L837" ca="1" si="208">($T$787-15-$K817)*-1-$B$794</f>
        <v>13</v>
      </c>
      <c r="M817" s="53">
        <f t="shared" ref="M817:M837" ca="1" si="209">IFERROR(VLOOKUP(L817,$F$800:$G$843,2,FALSE),0)</f>
        <v>0</v>
      </c>
      <c r="Y817" t="str">
        <f>Y815</f>
        <v>Kreuz</v>
      </c>
      <c r="Z817" s="782" t="str">
        <f>Z804</f>
        <v>MPH Spezial</v>
      </c>
      <c r="AA817" t="s">
        <v>1358</v>
      </c>
      <c r="AC817">
        <f ca="1">DCOUNT(Montageplatten[[#Headers],[#Data],[Typ]:[Höhe]],Montageplatten[[#Headers],[Höhe]],select!Y817:AA818)</f>
        <v>0</v>
      </c>
      <c r="AD817" s="40">
        <f t="shared" ref="AD817" ca="1" si="210">IF(AC817&gt;0,1,0)</f>
        <v>0</v>
      </c>
      <c r="AH817">
        <v>4</v>
      </c>
      <c r="AI817">
        <f ca="1">AD802</f>
        <v>1</v>
      </c>
    </row>
    <row r="818" spans="1:42" hidden="1" outlineLevel="1" x14ac:dyDescent="0.25">
      <c r="A818" s="925"/>
      <c r="B818" s="266">
        <f t="shared" ca="1" si="199"/>
        <v>24</v>
      </c>
      <c r="C818" s="351">
        <f t="shared" ca="1" si="201"/>
        <v>0</v>
      </c>
      <c r="D818">
        <v>-10</v>
      </c>
      <c r="E818" s="289"/>
      <c r="F818" s="21">
        <f t="array" ref="F818">IFERROR(INDEX(Montageplatten[Höhe],LARGE((Montageplatten[Randbed Spezial]=$L$70)*(ROW(Montageplatten[Randbed Spezial])-1),COUNTIF(Montageplatten[Randbed Spezial],$L$70)+1-ROW(A19))),"")</f>
        <v>14</v>
      </c>
      <c r="G818" s="21">
        <v>1</v>
      </c>
      <c r="H818" s="1087"/>
      <c r="I818" s="289"/>
      <c r="K818" s="728">
        <f t="shared" ca="1" si="207"/>
        <v>5</v>
      </c>
      <c r="L818" s="55">
        <f t="shared" ca="1" si="208"/>
        <v>14</v>
      </c>
      <c r="M818" s="53">
        <f t="shared" ca="1" si="209"/>
        <v>1</v>
      </c>
      <c r="Y818">
        <v>1</v>
      </c>
      <c r="Z818">
        <v>1</v>
      </c>
      <c r="AA818">
        <v>1</v>
      </c>
      <c r="AH818">
        <v>5</v>
      </c>
      <c r="AI818">
        <f ca="1">AD804</f>
        <v>0</v>
      </c>
    </row>
    <row r="819" spans="1:42" hidden="1" outlineLevel="1" x14ac:dyDescent="0.25">
      <c r="A819" s="925"/>
      <c r="B819" s="266">
        <f t="shared" ca="1" si="199"/>
        <v>24.5</v>
      </c>
      <c r="C819" s="351">
        <f t="shared" ca="1" si="201"/>
        <v>0</v>
      </c>
      <c r="D819">
        <v>-10.5</v>
      </c>
      <c r="E819" s="289"/>
      <c r="F819" s="21">
        <f t="array" ref="F819">IFERROR(INDEX(Montageplatten[Höhe],LARGE((Montageplatten[Randbed Spezial]=$L$70)*(ROW(Montageplatten[Randbed Spezial])-1),COUNTIF(Montageplatten[Randbed Spezial],$L$70)+1-ROW(A20))),"")</f>
        <v>15</v>
      </c>
      <c r="G819" s="21">
        <v>1</v>
      </c>
      <c r="H819" s="1087"/>
      <c r="I819" s="289"/>
      <c r="K819" s="728">
        <f t="shared" ca="1" si="207"/>
        <v>6</v>
      </c>
      <c r="L819" s="55">
        <f t="shared" ca="1" si="208"/>
        <v>15</v>
      </c>
      <c r="M819" s="53">
        <f t="shared" ca="1" si="209"/>
        <v>1</v>
      </c>
      <c r="Y819" t="str">
        <f>Y817</f>
        <v>Kreuz</v>
      </c>
      <c r="Z819" s="782" t="str">
        <f>Z817</f>
        <v>MPH Spezial</v>
      </c>
      <c r="AA819" t="s">
        <v>1361</v>
      </c>
      <c r="AC819">
        <f ca="1">DCOUNT(Montageplatten[[#Headers],[#Data],[Typ]:[Höhe]],Montageplatten[[#Headers],[Höhe]],select!Y819:AA820)</f>
        <v>0</v>
      </c>
      <c r="AD819" s="40">
        <f t="shared" ref="AD819" ca="1" si="211">IF(AC819&gt;0,1,0)</f>
        <v>0</v>
      </c>
      <c r="AH819">
        <v>6</v>
      </c>
      <c r="AI819">
        <f ca="1">AD806</f>
        <v>0</v>
      </c>
    </row>
    <row r="820" spans="1:42" hidden="1" outlineLevel="1" x14ac:dyDescent="0.25">
      <c r="A820" s="925"/>
      <c r="B820" s="266">
        <f t="shared" ca="1" si="199"/>
        <v>25</v>
      </c>
      <c r="C820" s="351">
        <f t="shared" ca="1" si="201"/>
        <v>0</v>
      </c>
      <c r="D820">
        <v>-11</v>
      </c>
      <c r="E820" s="289"/>
      <c r="F820" s="21">
        <f t="array" ref="F820">IFERROR(INDEX(Montageplatten[Höhe],LARGE((Montageplatten[Randbed Spezial]=$L$70)*(ROW(Montageplatten[Randbed Spezial])-1),COUNTIF(Montageplatten[Randbed Spezial],$L$70)+1-ROW(A21))),"")</f>
        <v>15.5</v>
      </c>
      <c r="G820" s="21">
        <v>1</v>
      </c>
      <c r="H820" s="1087"/>
      <c r="I820" s="289"/>
      <c r="K820" s="728">
        <f t="shared" ca="1" si="207"/>
        <v>7</v>
      </c>
      <c r="L820" s="55">
        <f t="shared" ca="1" si="208"/>
        <v>16</v>
      </c>
      <c r="M820" s="53">
        <f t="shared" ca="1" si="209"/>
        <v>0</v>
      </c>
      <c r="Y820">
        <v>1</v>
      </c>
      <c r="Z820">
        <v>1</v>
      </c>
      <c r="AA820">
        <v>1</v>
      </c>
      <c r="AH820">
        <v>7</v>
      </c>
      <c r="AI820">
        <f ca="1">AD808</f>
        <v>0</v>
      </c>
    </row>
    <row r="821" spans="1:42" hidden="1" outlineLevel="1" x14ac:dyDescent="0.25">
      <c r="A821" s="925"/>
      <c r="B821" s="266">
        <f t="shared" ca="1" si="199"/>
        <v>25.5</v>
      </c>
      <c r="C821" s="351">
        <f t="shared" ca="1" si="201"/>
        <v>0</v>
      </c>
      <c r="D821">
        <v>-11.5</v>
      </c>
      <c r="E821" s="289"/>
      <c r="F821" s="21">
        <f t="array" ref="F821">IFERROR(INDEX(Montageplatten[Höhe],LARGE((Montageplatten[Randbed Spezial]=$L$70)*(ROW(Montageplatten[Randbed Spezial])-1),COUNTIF(Montageplatten[Randbed Spezial],$L$70)+1-ROW(A22))),"")</f>
        <v>19</v>
      </c>
      <c r="G821" s="21">
        <v>1</v>
      </c>
      <c r="H821" s="1087"/>
      <c r="I821" s="289"/>
      <c r="K821" s="728" t="str">
        <f t="shared" ca="1" si="207"/>
        <v/>
      </c>
      <c r="L821" s="55" t="e">
        <f t="shared" ca="1" si="208"/>
        <v>#VALUE!</v>
      </c>
      <c r="M821" s="53">
        <f t="shared" ca="1" si="209"/>
        <v>0</v>
      </c>
      <c r="Y821" t="str">
        <f>Y819</f>
        <v>Kreuz</v>
      </c>
      <c r="Z821" s="782" t="str">
        <f>Z819</f>
        <v>MPH Spezial</v>
      </c>
      <c r="AA821" t="s">
        <v>1370</v>
      </c>
      <c r="AC821">
        <f ca="1">DCOUNT(Montageplatten[[#Headers],[#Data],[Typ]:[Höhe]],Montageplatten[[#Headers],[Höhe]],select!Y821:AA822)</f>
        <v>0</v>
      </c>
      <c r="AD821" s="40">
        <f t="shared" ref="AD821" ca="1" si="212">IF(AC821&gt;0,1,0)</f>
        <v>0</v>
      </c>
    </row>
    <row r="822" spans="1:42" hidden="1" outlineLevel="1" x14ac:dyDescent="0.25">
      <c r="A822" s="925"/>
      <c r="B822" s="266">
        <f t="shared" ca="1" si="199"/>
        <v>26</v>
      </c>
      <c r="C822" s="351">
        <f t="shared" ca="1" si="201"/>
        <v>0</v>
      </c>
      <c r="D822">
        <v>-12</v>
      </c>
      <c r="E822" s="289"/>
      <c r="F822" s="21">
        <f t="array" ref="F822">IFERROR(INDEX(Montageplatten[Höhe],LARGE((Montageplatten[Randbed Spezial]=$L$70)*(ROW(Montageplatten[Randbed Spezial])-1),COUNTIF(Montageplatten[Randbed Spezial],$L$70)+1-ROW(A23))),"")</f>
        <v>21</v>
      </c>
      <c r="G822" s="21">
        <v>1</v>
      </c>
      <c r="H822" s="1087"/>
      <c r="I822" s="289"/>
      <c r="K822" s="728" t="str">
        <f t="shared" ca="1" si="207"/>
        <v/>
      </c>
      <c r="L822" s="55" t="e">
        <f t="shared" ca="1" si="208"/>
        <v>#VALUE!</v>
      </c>
      <c r="M822" s="53">
        <f t="shared" ca="1" si="209"/>
        <v>0</v>
      </c>
      <c r="Y822">
        <v>1</v>
      </c>
      <c r="Z822">
        <v>1</v>
      </c>
      <c r="AA822">
        <v>1</v>
      </c>
    </row>
    <row r="823" spans="1:42" hidden="1" outlineLevel="1" x14ac:dyDescent="0.25">
      <c r="A823" s="925"/>
      <c r="B823" s="266">
        <f t="shared" ca="1" si="199"/>
        <v>26.5</v>
      </c>
      <c r="C823" s="351">
        <f t="shared" ca="1" si="201"/>
        <v>0</v>
      </c>
      <c r="D823">
        <v>-12.5</v>
      </c>
      <c r="E823" s="289"/>
      <c r="F823" s="21" t="str">
        <f t="array" ref="F823">IFERROR(INDEX(Montageplatten[Höhe],LARGE((Montageplatten[Randbed Spezial]=$L$70)*(ROW(Montageplatten[Randbed Spezial])-1),COUNTIF(Montageplatten[Randbed Spezial],$L$70)+1-ROW(A24))),"")</f>
        <v/>
      </c>
      <c r="G823" s="21">
        <v>1</v>
      </c>
      <c r="H823" s="1087"/>
      <c r="I823" s="289"/>
      <c r="K823" s="728" t="str">
        <f t="shared" ca="1" si="207"/>
        <v/>
      </c>
      <c r="L823" s="55" t="e">
        <f t="shared" ca="1" si="208"/>
        <v>#VALUE!</v>
      </c>
      <c r="M823" s="53">
        <f t="shared" ca="1" si="209"/>
        <v>0</v>
      </c>
    </row>
    <row r="824" spans="1:42" hidden="1" outlineLevel="1" x14ac:dyDescent="0.25">
      <c r="A824" s="925"/>
      <c r="B824" s="266">
        <f t="shared" ca="1" si="199"/>
        <v>27</v>
      </c>
      <c r="C824" s="351">
        <f t="shared" ca="1" si="201"/>
        <v>0</v>
      </c>
      <c r="D824">
        <v>-13</v>
      </c>
      <c r="E824" s="289"/>
      <c r="F824" s="21" t="str">
        <f t="array" ref="F824">IFERROR(INDEX(Montageplatten[Höhe],LARGE((Montageplatten[Randbed Spezial]=$L$70)*(ROW(Montageplatten[Randbed Spezial])-1),COUNTIF(Montageplatten[Randbed Spezial],$L$70)+1-ROW(A25))),"")</f>
        <v/>
      </c>
      <c r="G824" s="21">
        <v>1</v>
      </c>
      <c r="H824" s="1087"/>
      <c r="I824" s="289"/>
      <c r="K824" s="728" t="str">
        <f t="shared" ca="1" si="207"/>
        <v/>
      </c>
      <c r="L824" s="55" t="e">
        <f t="shared" ca="1" si="208"/>
        <v>#VALUE!</v>
      </c>
      <c r="M824" s="53">
        <f t="shared" ca="1" si="209"/>
        <v>0</v>
      </c>
      <c r="AC824" t="s">
        <v>2189</v>
      </c>
      <c r="AD824" t="s">
        <v>2284</v>
      </c>
    </row>
    <row r="825" spans="1:42" hidden="1" outlineLevel="1" x14ac:dyDescent="0.25">
      <c r="A825" s="925"/>
      <c r="B825" s="266">
        <f t="shared" ca="1" si="199"/>
        <v>27.5</v>
      </c>
      <c r="C825" s="351">
        <f t="shared" ca="1" si="201"/>
        <v>0</v>
      </c>
      <c r="D825">
        <v>-13.5</v>
      </c>
      <c r="E825" s="289"/>
      <c r="F825" s="21" t="str">
        <f t="array" ref="F825">IFERROR(INDEX(Montageplatten[Höhe],LARGE((Montageplatten[Randbed Spezial]=$L$70)*(ROW(Montageplatten[Randbed Spezial])-1),COUNTIF(Montageplatten[Randbed Spezial],$L$70)+1-ROW(A26))),"")</f>
        <v/>
      </c>
      <c r="G825" s="21">
        <v>1</v>
      </c>
      <c r="H825" s="1087"/>
      <c r="I825" s="289"/>
      <c r="K825" s="728" t="str">
        <f t="shared" ca="1" si="207"/>
        <v/>
      </c>
      <c r="L825" s="55" t="e">
        <f t="shared" ca="1" si="208"/>
        <v>#VALUE!</v>
      </c>
      <c r="M825" s="53">
        <f t="shared" ca="1" si="209"/>
        <v>0</v>
      </c>
      <c r="Z825" s="782" t="str">
        <f>Z821</f>
        <v>MPH Spezial</v>
      </c>
      <c r="AA825" t="s">
        <v>52</v>
      </c>
      <c r="AC825">
        <f ca="1">DCOUNT(Montageplatten[[#Headers],[#Data],[Typ]:[Höhe]],Montageplatten[[#Headers],[Höhe]],select!Z825:AA826)</f>
        <v>2</v>
      </c>
      <c r="AD825" s="40">
        <f t="shared" ref="AD825" ca="1" si="213">IF(AC825&gt;0,1,0)</f>
        <v>1</v>
      </c>
    </row>
    <row r="826" spans="1:42" hidden="1" outlineLevel="1" x14ac:dyDescent="0.25">
      <c r="A826" s="925"/>
      <c r="B826" s="266">
        <f t="shared" ca="1" si="199"/>
        <v>28</v>
      </c>
      <c r="C826" s="351">
        <f t="shared" ca="1" si="201"/>
        <v>0</v>
      </c>
      <c r="D826">
        <v>-14</v>
      </c>
      <c r="E826" s="289"/>
      <c r="F826" s="21" t="str">
        <f t="array" ref="F826">IFERROR(INDEX(Montageplatten[Höhe],LARGE((Montageplatten[Randbed Spezial]=$L$70)*(ROW(Montageplatten[Randbed Spezial])-1),COUNTIF(Montageplatten[Randbed Spezial],$L$70)+1-ROW(A27))),"")</f>
        <v/>
      </c>
      <c r="G826" s="21">
        <v>1</v>
      </c>
      <c r="H826" s="1087"/>
      <c r="I826" s="289"/>
      <c r="K826" s="728" t="str">
        <f t="shared" ca="1" si="207"/>
        <v/>
      </c>
      <c r="L826" s="55" t="e">
        <f t="shared" ca="1" si="208"/>
        <v>#VALUE!</v>
      </c>
      <c r="M826" s="53">
        <f t="shared" ca="1" si="209"/>
        <v>0</v>
      </c>
      <c r="Z826">
        <v>1</v>
      </c>
      <c r="AA826">
        <v>1</v>
      </c>
    </row>
    <row r="827" spans="1:42" hidden="1" outlineLevel="1" x14ac:dyDescent="0.25">
      <c r="A827" s="925"/>
      <c r="B827" s="266">
        <f t="shared" ca="1" si="199"/>
        <v>28.5</v>
      </c>
      <c r="C827" s="351">
        <f t="shared" ca="1" si="201"/>
        <v>0</v>
      </c>
      <c r="D827">
        <v>-14.5</v>
      </c>
      <c r="E827" s="289"/>
      <c r="F827" s="21" t="str">
        <f t="array" ref="F827">IFERROR(INDEX(Montageplatten[Höhe],LARGE((Montageplatten[Randbed Spezial]=$L$70)*(ROW(Montageplatten[Randbed Spezial])-1),COUNTIF(Montageplatten[Randbed Spezial],$L$70)+1-ROW(A28))),"")</f>
        <v/>
      </c>
      <c r="G827" s="21">
        <v>1</v>
      </c>
      <c r="H827" s="1087"/>
      <c r="I827" s="289"/>
      <c r="K827" s="728" t="str">
        <f t="shared" ca="1" si="207"/>
        <v/>
      </c>
      <c r="L827" s="55" t="e">
        <f t="shared" ca="1" si="208"/>
        <v>#VALUE!</v>
      </c>
      <c r="M827" s="53">
        <f t="shared" ca="1" si="209"/>
        <v>0</v>
      </c>
      <c r="Z827" s="782" t="str">
        <f>Z825</f>
        <v>MPH Spezial</v>
      </c>
      <c r="AA827" t="s">
        <v>51</v>
      </c>
      <c r="AC827">
        <f ca="1">DCOUNT(Montageplatten[[#Headers],[#Data],[Typ]:[Höhe]],Montageplatten[[#Headers],[Höhe]],select!Z827:AA828)</f>
        <v>0</v>
      </c>
      <c r="AD827" s="40">
        <f t="shared" ref="AD827" ca="1" si="214">IF(AC827&gt;0,1,0)</f>
        <v>0</v>
      </c>
    </row>
    <row r="828" spans="1:42" hidden="1" outlineLevel="1" x14ac:dyDescent="0.25">
      <c r="A828" s="925"/>
      <c r="B828" s="266">
        <f t="shared" ca="1" si="199"/>
        <v>29</v>
      </c>
      <c r="C828" s="351">
        <f t="shared" ca="1" si="201"/>
        <v>0</v>
      </c>
      <c r="D828">
        <v>-15</v>
      </c>
      <c r="E828" s="289"/>
      <c r="F828" s="21" t="str">
        <f t="array" ref="F828">IFERROR(INDEX(Montageplatten[Höhe],LARGE((Montageplatten[Randbed Spezial]=$L$70)*(ROW(Montageplatten[Randbed Spezial])-1),COUNTIF(Montageplatten[Randbed Spezial],$L$70)+1-ROW(A29))),"")</f>
        <v/>
      </c>
      <c r="G828" s="21">
        <v>1</v>
      </c>
      <c r="H828" s="1087"/>
      <c r="I828" s="289"/>
      <c r="K828" s="728" t="str">
        <f t="shared" ref="K828:K833" ca="1" si="215">IF($A$747=5,AX767-42,AX767)</f>
        <v/>
      </c>
      <c r="L828" s="55" t="e">
        <f t="shared" ca="1" si="208"/>
        <v>#VALUE!</v>
      </c>
      <c r="M828" s="53">
        <f t="shared" ca="1" si="209"/>
        <v>0</v>
      </c>
      <c r="Z828">
        <v>1</v>
      </c>
      <c r="AA828">
        <v>1</v>
      </c>
    </row>
    <row r="829" spans="1:42" s="3" customFormat="1" hidden="1" outlineLevel="1" x14ac:dyDescent="0.25">
      <c r="A829" s="925"/>
      <c r="B829" s="266">
        <f t="shared" ca="1" si="199"/>
        <v>29.5</v>
      </c>
      <c r="C829" s="351">
        <f t="shared" ca="1" si="201"/>
        <v>0</v>
      </c>
      <c r="D829" s="3">
        <v>-15.5</v>
      </c>
      <c r="E829" s="289"/>
      <c r="F829" s="21" t="str">
        <f t="array" ref="F829">IFERROR(INDEX(Montageplatten[Höhe],LARGE((Montageplatten[Randbed Spezial]=$L$70)*(ROW(Montageplatten[Randbed Spezial])-1),COUNTIF(Montageplatten[Randbed Spezial],$L$70)+1-ROW(A30))),"")</f>
        <v/>
      </c>
      <c r="G829" s="21">
        <v>1</v>
      </c>
      <c r="H829" s="1087"/>
      <c r="I829" s="289"/>
      <c r="K829" s="779" t="str">
        <f ca="1">IF($A$747=5,AX768-42,AX768)</f>
        <v/>
      </c>
      <c r="L829" s="55" t="e">
        <f t="shared" ca="1" si="208"/>
        <v>#VALUE!</v>
      </c>
      <c r="M829" s="53">
        <f t="shared" ca="1" si="209"/>
        <v>0</v>
      </c>
      <c r="Y829"/>
      <c r="Z829" s="782" t="str">
        <f>Z827</f>
        <v>MPH Spezial</v>
      </c>
      <c r="AA829" t="s">
        <v>1360</v>
      </c>
      <c r="AB829"/>
      <c r="AC829">
        <f ca="1">DCOUNT(Montageplatten[[#Headers],[#Data],[Typ]:[Höhe]],Montageplatten[[#Headers],[Höhe]],select!Z829:AA830)</f>
        <v>0</v>
      </c>
      <c r="AD829" s="40">
        <f t="shared" ref="AD829" ca="1" si="216">IF(AC829&gt;0,1,0)</f>
        <v>0</v>
      </c>
      <c r="AE829"/>
      <c r="AF829"/>
      <c r="AG829"/>
      <c r="AH829"/>
      <c r="AI829"/>
      <c r="AJ829"/>
      <c r="AK829"/>
      <c r="AL829"/>
      <c r="AM829"/>
      <c r="AN829"/>
      <c r="AO829"/>
      <c r="AP829"/>
    </row>
    <row r="830" spans="1:42" hidden="1" outlineLevel="1" x14ac:dyDescent="0.25">
      <c r="A830" s="925"/>
      <c r="B830" s="266">
        <f t="shared" ref="B830:B846" ca="1" si="217">IF(($T$787+D830-15-$K$754)*-1-$B$794&gt;=-2,($T$787+D830-15-$K$754)*-1-$B$794,"-")</f>
        <v>30</v>
      </c>
      <c r="C830" s="351">
        <f t="shared" ca="1" si="201"/>
        <v>0</v>
      </c>
      <c r="D830">
        <v>-16</v>
      </c>
      <c r="E830" s="289"/>
      <c r="F830" s="21" t="str">
        <f t="array" ref="F830">IFERROR(INDEX(Montageplatten[Höhe],LARGE((Montageplatten[Randbed Spezial]=$L$70)*(ROW(Montageplatten[Randbed Spezial])-1),COUNTIF(Montageplatten[Randbed Spezial],$L$70)+1-ROW(A31))),"")</f>
        <v/>
      </c>
      <c r="G830" s="21">
        <v>1</v>
      </c>
      <c r="H830" s="1087"/>
      <c r="I830" s="289"/>
      <c r="K830" s="779" t="str">
        <f ca="1">IF($A$747=5,AX769-42,AX769)</f>
        <v/>
      </c>
      <c r="L830" s="55" t="e">
        <f t="shared" ca="1" si="208"/>
        <v>#VALUE!</v>
      </c>
      <c r="M830" s="53">
        <f t="shared" ca="1" si="209"/>
        <v>0</v>
      </c>
      <c r="Z830">
        <v>1</v>
      </c>
      <c r="AA830">
        <v>1</v>
      </c>
    </row>
    <row r="831" spans="1:42" hidden="1" outlineLevel="1" x14ac:dyDescent="0.25">
      <c r="A831" s="925"/>
      <c r="B831" s="266">
        <f t="shared" ca="1" si="217"/>
        <v>30.5</v>
      </c>
      <c r="C831" s="351">
        <f t="shared" ca="1" si="201"/>
        <v>0</v>
      </c>
      <c r="D831">
        <v>-16.5</v>
      </c>
      <c r="E831" s="289"/>
      <c r="F831" s="21" t="str">
        <f t="array" ref="F831">IFERROR(INDEX(Montageplatten[Höhe],LARGE((Montageplatten[Randbed Spezial]=$L$70)*(ROW(Montageplatten[Randbed Spezial])-1),COUNTIF(Montageplatten[Randbed Spezial],$L$70)+1-ROW(A32))),"")</f>
        <v/>
      </c>
      <c r="G831" s="21">
        <v>1</v>
      </c>
      <c r="H831" s="1087"/>
      <c r="I831" s="289"/>
      <c r="K831" s="779" t="str">
        <f t="shared" ca="1" si="215"/>
        <v/>
      </c>
      <c r="L831" s="55" t="e">
        <f t="shared" ca="1" si="208"/>
        <v>#VALUE!</v>
      </c>
      <c r="M831" s="53">
        <f t="shared" ca="1" si="209"/>
        <v>0</v>
      </c>
      <c r="Z831" s="782" t="str">
        <f>Z829</f>
        <v>MPH Spezial</v>
      </c>
      <c r="AA831" t="s">
        <v>1373</v>
      </c>
      <c r="AC831">
        <f ca="1">DCOUNT(Montageplatten[[#Headers],[#Data],[Typ]:[Höhe]],Montageplatten[[#Headers],[Höhe]],select!Z831:AA832)</f>
        <v>0</v>
      </c>
      <c r="AD831" s="40">
        <f t="shared" ref="AD831" ca="1" si="218">IF(AC831&gt;0,1,0)</f>
        <v>0</v>
      </c>
    </row>
    <row r="832" spans="1:42" hidden="1" outlineLevel="1" x14ac:dyDescent="0.25">
      <c r="A832" s="925"/>
      <c r="B832" s="266">
        <f t="shared" ca="1" si="217"/>
        <v>31</v>
      </c>
      <c r="C832" s="351">
        <f t="shared" ca="1" si="201"/>
        <v>0</v>
      </c>
      <c r="D832">
        <v>-17</v>
      </c>
      <c r="E832" s="289"/>
      <c r="F832" s="21" t="str">
        <f t="array" ref="F832">IFERROR(INDEX(Montageplatten[Höhe],LARGE((Montageplatten[Randbed Spezial]=$L$70)*(ROW(Montageplatten[Randbed Spezial])-1),COUNTIF(Montageplatten[Randbed Spezial],$L$70)+1-ROW(A33))),"")</f>
        <v/>
      </c>
      <c r="G832" s="21">
        <v>1</v>
      </c>
      <c r="H832" s="1087"/>
      <c r="I832" s="289"/>
      <c r="K832" s="71" t="str">
        <f t="shared" ca="1" si="215"/>
        <v/>
      </c>
      <c r="L832" s="55" t="e">
        <f t="shared" ca="1" si="208"/>
        <v>#VALUE!</v>
      </c>
      <c r="M832" s="53">
        <f t="shared" ca="1" si="209"/>
        <v>0</v>
      </c>
      <c r="Z832">
        <v>1</v>
      </c>
      <c r="AA832">
        <v>1</v>
      </c>
    </row>
    <row r="833" spans="1:13" hidden="1" outlineLevel="1" x14ac:dyDescent="0.25">
      <c r="A833" s="925"/>
      <c r="B833" s="266">
        <f t="shared" ca="1" si="217"/>
        <v>31.5</v>
      </c>
      <c r="C833" s="351">
        <f t="shared" ca="1" si="201"/>
        <v>0</v>
      </c>
      <c r="D833">
        <v>-17.5</v>
      </c>
      <c r="E833" s="289"/>
      <c r="F833" s="21" t="str">
        <f t="array" ref="F833">IFERROR(INDEX(Montageplatten[Höhe],LARGE((Montageplatten[Randbed Spezial]=$L$70)*(ROW(Montageplatten[Randbed Spezial])-1),COUNTIF(Montageplatten[Randbed Spezial],$L$70)+1-ROW(A34))),"")</f>
        <v/>
      </c>
      <c r="G833" s="21">
        <v>1</v>
      </c>
      <c r="H833" s="1087"/>
      <c r="I833" s="289"/>
      <c r="K833" s="71" t="str">
        <f t="shared" ca="1" si="215"/>
        <v/>
      </c>
      <c r="L833" s="55" t="e">
        <f t="shared" ca="1" si="208"/>
        <v>#VALUE!</v>
      </c>
      <c r="M833" s="53">
        <f t="shared" ca="1" si="209"/>
        <v>0</v>
      </c>
    </row>
    <row r="834" spans="1:13" hidden="1" outlineLevel="1" x14ac:dyDescent="0.25">
      <c r="A834" s="925"/>
      <c r="B834" s="266">
        <f t="shared" ca="1" si="217"/>
        <v>32</v>
      </c>
      <c r="C834" s="351">
        <f t="shared" ca="1" si="201"/>
        <v>0</v>
      </c>
      <c r="D834">
        <v>-18</v>
      </c>
      <c r="E834" s="289"/>
      <c r="F834" s="21" t="str">
        <f t="array" ref="F834">IFERROR(INDEX(Montageplatten[Höhe],LARGE((Montageplatten[Randbed Spezial]=$L$70)*(ROW(Montageplatten[Randbed Spezial])-1),COUNTIF(Montageplatten[Randbed Spezial],$L$70)+1-ROW(A35))),"")</f>
        <v/>
      </c>
      <c r="G834" s="21">
        <v>1</v>
      </c>
      <c r="H834" s="1087"/>
      <c r="I834" s="289"/>
      <c r="K834" s="71" t="str">
        <f t="shared" ref="K834:K837" ca="1" si="219">IF($A$747=5,L774-42,L774)</f>
        <v/>
      </c>
      <c r="L834" s="55" t="e">
        <f t="shared" ca="1" si="208"/>
        <v>#VALUE!</v>
      </c>
      <c r="M834" s="53">
        <f t="shared" ca="1" si="209"/>
        <v>0</v>
      </c>
    </row>
    <row r="835" spans="1:13" hidden="1" outlineLevel="1" x14ac:dyDescent="0.25">
      <c r="A835" s="925"/>
      <c r="B835" s="266">
        <f t="shared" ca="1" si="217"/>
        <v>32.5</v>
      </c>
      <c r="C835" s="351">
        <f t="shared" ca="1" si="201"/>
        <v>0</v>
      </c>
      <c r="D835">
        <v>-18.5</v>
      </c>
      <c r="E835" s="289"/>
      <c r="F835" s="21" t="str">
        <f t="array" ref="F835">IFERROR(INDEX(Montageplatten[Höhe],LARGE((Montageplatten[Randbed Spezial]=$L$70)*(ROW(Montageplatten[Randbed Spezial])-1),COUNTIF(Montageplatten[Randbed Spezial],$L$70)+1-ROW(A36))),"")</f>
        <v/>
      </c>
      <c r="G835" s="21">
        <v>1</v>
      </c>
      <c r="H835" s="1087"/>
      <c r="I835" s="289"/>
      <c r="K835" s="71" t="str">
        <f t="shared" ca="1" si="219"/>
        <v/>
      </c>
      <c r="L835" s="55" t="e">
        <f t="shared" ca="1" si="208"/>
        <v>#VALUE!</v>
      </c>
      <c r="M835" s="53">
        <f t="shared" ca="1" si="209"/>
        <v>0</v>
      </c>
    </row>
    <row r="836" spans="1:13" hidden="1" outlineLevel="1" x14ac:dyDescent="0.25">
      <c r="A836" s="925"/>
      <c r="B836" s="266">
        <f t="shared" ca="1" si="217"/>
        <v>33</v>
      </c>
      <c r="C836" s="351">
        <f t="shared" ca="1" si="201"/>
        <v>0</v>
      </c>
      <c r="D836">
        <v>-19</v>
      </c>
      <c r="E836" s="289"/>
      <c r="F836" s="21" t="str">
        <f t="array" ref="F836">IFERROR(INDEX(Montageplatten[Höhe],LARGE((Montageplatten[Randbed Spezial]=$L$70)*(ROW(Montageplatten[Randbed Spezial])-1),COUNTIF(Montageplatten[Randbed Spezial],$L$70)+1-ROW(A37))),"")</f>
        <v/>
      </c>
      <c r="G836" s="21">
        <v>1</v>
      </c>
      <c r="H836" s="1087"/>
      <c r="I836" s="289"/>
      <c r="K836" s="71" t="str">
        <f t="shared" ca="1" si="219"/>
        <v/>
      </c>
      <c r="L836" s="55" t="e">
        <f t="shared" ca="1" si="208"/>
        <v>#VALUE!</v>
      </c>
      <c r="M836" s="53">
        <f t="shared" ca="1" si="209"/>
        <v>0</v>
      </c>
    </row>
    <row r="837" spans="1:13" hidden="1" outlineLevel="1" x14ac:dyDescent="0.25">
      <c r="A837" s="925"/>
      <c r="B837" s="266">
        <f t="shared" ca="1" si="217"/>
        <v>33.5</v>
      </c>
      <c r="C837" s="351">
        <f t="shared" ca="1" si="201"/>
        <v>0</v>
      </c>
      <c r="D837">
        <v>-19.5</v>
      </c>
      <c r="E837" s="289"/>
      <c r="F837" s="21" t="str">
        <f t="array" ref="F837">IFERROR(INDEX(Montageplatten[Höhe],LARGE((Montageplatten[Randbed Spezial]=$L$70)*(ROW(Montageplatten[Randbed Spezial])-1),COUNTIF(Montageplatten[Randbed Spezial],$L$70)+1-ROW(A38))),"")</f>
        <v/>
      </c>
      <c r="G837" s="21">
        <v>1</v>
      </c>
      <c r="H837" s="1087"/>
      <c r="I837" s="289"/>
      <c r="K837" s="92" t="str">
        <f t="shared" ca="1" si="219"/>
        <v/>
      </c>
      <c r="L837" s="56" t="e">
        <f t="shared" ca="1" si="208"/>
        <v>#VALUE!</v>
      </c>
      <c r="M837" s="53">
        <f t="shared" ca="1" si="209"/>
        <v>0</v>
      </c>
    </row>
    <row r="838" spans="1:13" hidden="1" outlineLevel="1" x14ac:dyDescent="0.25">
      <c r="A838" s="925"/>
      <c r="B838" s="266">
        <f t="shared" ca="1" si="217"/>
        <v>34</v>
      </c>
      <c r="C838" s="351">
        <f t="shared" ca="1" si="201"/>
        <v>0</v>
      </c>
      <c r="D838">
        <v>-20</v>
      </c>
      <c r="E838" s="289"/>
      <c r="F838" s="21" t="str">
        <f t="array" ref="F838">IFERROR(INDEX(Montageplatten[Höhe],LARGE((Montageplatten[Randbed Spezial]=$L$70)*(ROW(Montageplatten[Randbed Spezial])-1),COUNTIF(Montageplatten[Randbed Spezial],$L$70)+1-ROW(A39))),"")</f>
        <v/>
      </c>
      <c r="G838" s="21">
        <v>1</v>
      </c>
      <c r="H838" s="1087"/>
      <c r="I838" s="289"/>
    </row>
    <row r="839" spans="1:13" hidden="1" outlineLevel="1" x14ac:dyDescent="0.25">
      <c r="A839" s="925"/>
      <c r="B839" s="266">
        <f t="shared" ca="1" si="217"/>
        <v>34.5</v>
      </c>
      <c r="C839" s="351">
        <f t="shared" ca="1" si="201"/>
        <v>0</v>
      </c>
      <c r="D839">
        <v>-20.5</v>
      </c>
      <c r="E839" s="289"/>
      <c r="F839" s="21" t="str">
        <f t="array" ref="F839">IFERROR(INDEX(Montageplatten[Höhe],LARGE((Montageplatten[Randbed Spezial]=$L$70)*(ROW(Montageplatten[Randbed Spezial])-1),COUNTIF(Montageplatten[Randbed Spezial],$L$70)+1-ROW(A40))),"")</f>
        <v/>
      </c>
      <c r="G839" s="21">
        <v>1</v>
      </c>
      <c r="H839" s="1087"/>
      <c r="I839" s="289"/>
    </row>
    <row r="840" spans="1:13" hidden="1" outlineLevel="1" x14ac:dyDescent="0.25">
      <c r="A840" s="925"/>
      <c r="B840" s="266">
        <f t="shared" ca="1" si="217"/>
        <v>35</v>
      </c>
      <c r="C840" s="351">
        <f t="shared" ca="1" si="201"/>
        <v>0</v>
      </c>
      <c r="D840">
        <v>-21</v>
      </c>
      <c r="E840" s="289"/>
      <c r="F840" s="21" t="str">
        <f t="array" ref="F840">IFERROR(INDEX(Montageplatten[Höhe],LARGE((Montageplatten[Randbed Spezial]=$L$70)*(ROW(Montageplatten[Randbed Spezial])-1),COUNTIF(Montageplatten[Randbed Spezial],$L$70)+1-ROW(A41))),"")</f>
        <v/>
      </c>
      <c r="G840" s="21">
        <v>1</v>
      </c>
      <c r="H840" s="1087"/>
      <c r="I840" s="289"/>
    </row>
    <row r="841" spans="1:13" hidden="1" outlineLevel="1" x14ac:dyDescent="0.25">
      <c r="A841" s="925"/>
      <c r="B841" s="266">
        <f t="shared" ca="1" si="217"/>
        <v>35.5</v>
      </c>
      <c r="C841" s="351">
        <f t="shared" ca="1" si="201"/>
        <v>0</v>
      </c>
      <c r="D841">
        <v>-21.5</v>
      </c>
      <c r="E841" s="289"/>
      <c r="F841" s="21" t="str">
        <f t="array" ref="F841">IFERROR(INDEX(Montageplatten[Höhe],LARGE((Montageplatten[Randbed Spezial]=$L$70)*(ROW(Montageplatten[Randbed Spezial])-1),COUNTIF(Montageplatten[Randbed Spezial],$L$70)+1-ROW(A42))),"")</f>
        <v/>
      </c>
      <c r="G841" s="21">
        <v>1</v>
      </c>
      <c r="H841" s="1087"/>
      <c r="I841" s="289"/>
    </row>
    <row r="842" spans="1:13" hidden="1" outlineLevel="1" x14ac:dyDescent="0.25">
      <c r="A842" s="925"/>
      <c r="B842" s="266">
        <f t="shared" ca="1" si="217"/>
        <v>36</v>
      </c>
      <c r="C842" s="351">
        <f t="shared" ca="1" si="201"/>
        <v>0</v>
      </c>
      <c r="D842">
        <v>-22</v>
      </c>
      <c r="E842" s="289"/>
      <c r="F842" s="21" t="str">
        <f t="array" ref="F842">IFERROR(INDEX(Montageplatten[Höhe],LARGE((Montageplatten[Randbed Spezial]=$L$70)*(ROW(Montageplatten[Randbed Spezial])-1),COUNTIF(Montageplatten[Randbed Spezial],$L$70)+1-ROW(A43))),"")</f>
        <v/>
      </c>
      <c r="G842" s="21">
        <v>1</v>
      </c>
      <c r="H842" s="1087"/>
      <c r="I842" s="289"/>
    </row>
    <row r="843" spans="1:13" hidden="1" outlineLevel="1" x14ac:dyDescent="0.25">
      <c r="A843" s="925"/>
      <c r="B843" s="266">
        <f t="shared" ca="1" si="217"/>
        <v>36.5</v>
      </c>
      <c r="C843" s="351">
        <f t="shared" ca="1" si="201"/>
        <v>0</v>
      </c>
      <c r="D843">
        <v>-22.5</v>
      </c>
      <c r="E843" s="289"/>
      <c r="F843" s="21" t="str">
        <f t="array" ref="F843">IFERROR(INDEX(Montageplatten[Höhe],LARGE((Montageplatten[Randbed Spezial]=$L$70)*(ROW(Montageplatten[Randbed Spezial])-1),COUNTIF(Montageplatten[Randbed Spezial],$L$70)+1-ROW(A44))),"")</f>
        <v/>
      </c>
      <c r="G843" s="21">
        <v>1</v>
      </c>
      <c r="H843" s="1087"/>
      <c r="I843" s="289"/>
    </row>
    <row r="844" spans="1:13" hidden="1" outlineLevel="1" x14ac:dyDescent="0.25">
      <c r="A844" s="925"/>
      <c r="B844" s="266">
        <f t="shared" ca="1" si="217"/>
        <v>37</v>
      </c>
      <c r="C844" s="351">
        <f t="shared" ca="1" si="201"/>
        <v>0</v>
      </c>
      <c r="D844">
        <v>-23</v>
      </c>
      <c r="E844" s="289"/>
      <c r="F844" s="289"/>
      <c r="G844" s="289"/>
      <c r="H844" s="289"/>
      <c r="I844" s="289"/>
    </row>
    <row r="845" spans="1:13" hidden="1" outlineLevel="1" x14ac:dyDescent="0.25">
      <c r="A845" s="925"/>
      <c r="B845" s="266">
        <f t="shared" ca="1" si="217"/>
        <v>37.5</v>
      </c>
      <c r="C845" s="351">
        <f t="shared" ca="1" si="201"/>
        <v>0</v>
      </c>
      <c r="D845">
        <v>-23.5</v>
      </c>
      <c r="E845" s="289"/>
      <c r="F845" s="289"/>
      <c r="G845" s="289"/>
      <c r="H845" s="289"/>
      <c r="I845" s="289"/>
    </row>
    <row r="846" spans="1:13" hidden="1" outlineLevel="1" x14ac:dyDescent="0.25">
      <c r="A846" s="925"/>
      <c r="B846" s="266">
        <f t="shared" ca="1" si="217"/>
        <v>38</v>
      </c>
      <c r="C846" s="351">
        <f t="shared" ca="1" si="201"/>
        <v>0</v>
      </c>
      <c r="D846">
        <v>-24</v>
      </c>
      <c r="E846" s="289"/>
      <c r="F846" s="289"/>
      <c r="G846" s="289"/>
      <c r="H846" s="289"/>
      <c r="I846" s="289"/>
    </row>
    <row r="847" spans="1:13" hidden="1" outlineLevel="1" x14ac:dyDescent="0.25">
      <c r="A847" s="8"/>
      <c r="B847" s="8"/>
      <c r="C847" s="8"/>
      <c r="D847" s="8"/>
      <c r="E847" s="8"/>
      <c r="F847" s="8"/>
      <c r="G847" s="8"/>
      <c r="H847" s="8"/>
      <c r="I847" s="8"/>
    </row>
    <row r="848" spans="1:13" hidden="1" outlineLevel="1" x14ac:dyDescent="0.25">
      <c r="A848" s="3"/>
      <c r="C848" s="40">
        <f ca="1">IFERROR(VLOOKUP(F799,C799:D846,2,FALSE),"")</f>
        <v>-1</v>
      </c>
      <c r="E848" s="8"/>
      <c r="F848" s="8"/>
      <c r="G848" s="8"/>
      <c r="H848" s="8"/>
      <c r="I848" s="8"/>
    </row>
    <row r="849" spans="1:9" hidden="1" outlineLevel="1" x14ac:dyDescent="0.25">
      <c r="E849" s="8"/>
      <c r="F849" s="8"/>
      <c r="G849" s="8"/>
      <c r="H849" s="8"/>
      <c r="I849" s="8"/>
    </row>
    <row r="850" spans="1:9" hidden="1" outlineLevel="1" x14ac:dyDescent="0.25">
      <c r="A850" s="925" t="s">
        <v>1379</v>
      </c>
      <c r="B850" s="266">
        <f t="shared" ref="B850:B897" ca="1" si="220">IF(($T$787+D850-15-$K$754)*-1-$B$794&gt;=-2,($T$787+D850-15-$K$754)*-1-$B$794,"-")</f>
        <v>13.5</v>
      </c>
      <c r="C850" s="351">
        <f ca="1">IFERROR(VLOOKUP(B850,$F$800:$G$843,2,FALSE),0)</f>
        <v>0</v>
      </c>
      <c r="D850">
        <v>0.5</v>
      </c>
      <c r="E850" s="289"/>
      <c r="F850" s="289"/>
      <c r="G850" s="8"/>
      <c r="H850" s="289"/>
      <c r="I850" s="8"/>
    </row>
    <row r="851" spans="1:9" hidden="1" outlineLevel="1" x14ac:dyDescent="0.25">
      <c r="A851" s="925"/>
      <c r="B851" s="266">
        <f t="shared" ca="1" si="220"/>
        <v>13</v>
      </c>
      <c r="C851" s="351">
        <f t="shared" ref="C851:C897" ca="1" si="221">IFERROR(VLOOKUP(B851,$F$800:$G$843,2,FALSE),0)</f>
        <v>0</v>
      </c>
      <c r="D851">
        <v>1</v>
      </c>
      <c r="E851" s="289"/>
      <c r="F851" s="289"/>
      <c r="G851" s="8"/>
      <c r="H851" s="289"/>
      <c r="I851" s="8"/>
    </row>
    <row r="852" spans="1:9" hidden="1" outlineLevel="1" x14ac:dyDescent="0.25">
      <c r="A852" s="925"/>
      <c r="B852" s="266">
        <f t="shared" ca="1" si="220"/>
        <v>12.5</v>
      </c>
      <c r="C852" s="351">
        <f t="shared" ca="1" si="221"/>
        <v>0</v>
      </c>
      <c r="D852">
        <v>1.5</v>
      </c>
      <c r="E852" s="289"/>
      <c r="F852" s="289"/>
      <c r="G852" s="8"/>
      <c r="H852" s="289"/>
      <c r="I852" s="8"/>
    </row>
    <row r="853" spans="1:9" hidden="1" outlineLevel="1" x14ac:dyDescent="0.25">
      <c r="A853" s="925"/>
      <c r="B853" s="266">
        <f t="shared" ca="1" si="220"/>
        <v>12</v>
      </c>
      <c r="C853" s="351">
        <f t="shared" ca="1" si="221"/>
        <v>1</v>
      </c>
      <c r="D853">
        <v>2</v>
      </c>
      <c r="E853" s="289"/>
      <c r="F853" s="289"/>
      <c r="G853" s="8"/>
      <c r="H853" s="289"/>
      <c r="I853" s="8"/>
    </row>
    <row r="854" spans="1:9" hidden="1" outlineLevel="1" x14ac:dyDescent="0.25">
      <c r="A854" s="925"/>
      <c r="B854" s="266">
        <f t="shared" ca="1" si="220"/>
        <v>11.5</v>
      </c>
      <c r="C854" s="351">
        <f t="shared" ca="1" si="221"/>
        <v>0</v>
      </c>
      <c r="D854">
        <v>2.5</v>
      </c>
      <c r="E854" s="289"/>
      <c r="F854" s="289"/>
      <c r="G854" s="8"/>
      <c r="H854" s="289"/>
      <c r="I854" s="8"/>
    </row>
    <row r="855" spans="1:9" hidden="1" outlineLevel="1" x14ac:dyDescent="0.25">
      <c r="A855" s="925"/>
      <c r="B855" s="266">
        <f t="shared" ca="1" si="220"/>
        <v>11</v>
      </c>
      <c r="C855" s="351">
        <f t="shared" ca="1" si="221"/>
        <v>0</v>
      </c>
      <c r="D855">
        <v>3</v>
      </c>
      <c r="E855" s="289"/>
      <c r="F855" s="289"/>
      <c r="G855" s="8"/>
      <c r="H855" s="289"/>
      <c r="I855" s="8"/>
    </row>
    <row r="856" spans="1:9" hidden="1" outlineLevel="1" x14ac:dyDescent="0.25">
      <c r="A856" s="925"/>
      <c r="B856" s="266">
        <f t="shared" ca="1" si="220"/>
        <v>10.5</v>
      </c>
      <c r="C856" s="351">
        <f t="shared" ca="1" si="221"/>
        <v>0</v>
      </c>
      <c r="D856">
        <v>3.5</v>
      </c>
      <c r="E856" s="289"/>
      <c r="F856" s="289"/>
      <c r="G856" s="8"/>
      <c r="H856" s="289"/>
      <c r="I856" s="8"/>
    </row>
    <row r="857" spans="1:9" hidden="1" outlineLevel="1" x14ac:dyDescent="0.25">
      <c r="A857" s="925"/>
      <c r="B857" s="266">
        <f t="shared" ca="1" si="220"/>
        <v>10</v>
      </c>
      <c r="C857" s="351">
        <f t="shared" ca="1" si="221"/>
        <v>0</v>
      </c>
      <c r="D857">
        <v>4</v>
      </c>
      <c r="E857" s="289"/>
      <c r="F857" s="289"/>
      <c r="G857" s="8"/>
      <c r="H857" s="289"/>
      <c r="I857" s="8"/>
    </row>
    <row r="858" spans="1:9" hidden="1" outlineLevel="1" x14ac:dyDescent="0.25">
      <c r="A858" s="925"/>
      <c r="B858" s="266">
        <f t="shared" ca="1" si="220"/>
        <v>9.5</v>
      </c>
      <c r="C858" s="351">
        <f t="shared" ca="1" si="221"/>
        <v>1</v>
      </c>
      <c r="D858">
        <v>4.5</v>
      </c>
      <c r="E858" s="289"/>
      <c r="F858" s="289"/>
      <c r="G858" s="8"/>
      <c r="H858" s="289"/>
      <c r="I858" s="8"/>
    </row>
    <row r="859" spans="1:9" hidden="1" outlineLevel="1" x14ac:dyDescent="0.25">
      <c r="A859" s="925"/>
      <c r="B859" s="266">
        <f t="shared" ca="1" si="220"/>
        <v>9</v>
      </c>
      <c r="C859" s="351">
        <f t="shared" ca="1" si="221"/>
        <v>1</v>
      </c>
      <c r="D859">
        <v>5</v>
      </c>
      <c r="E859" s="289"/>
      <c r="F859" s="289"/>
      <c r="G859" s="8"/>
      <c r="H859" s="289"/>
      <c r="I859" s="8"/>
    </row>
    <row r="860" spans="1:9" hidden="1" outlineLevel="1" x14ac:dyDescent="0.25">
      <c r="A860" s="925"/>
      <c r="B860" s="266">
        <f t="shared" ca="1" si="220"/>
        <v>8.5</v>
      </c>
      <c r="C860" s="351">
        <f t="shared" ca="1" si="221"/>
        <v>0</v>
      </c>
      <c r="D860">
        <v>5.5</v>
      </c>
      <c r="E860" s="289"/>
      <c r="F860" s="289"/>
      <c r="G860" s="8"/>
      <c r="H860" s="289"/>
      <c r="I860" s="8"/>
    </row>
    <row r="861" spans="1:9" hidden="1" outlineLevel="1" x14ac:dyDescent="0.25">
      <c r="A861" s="925"/>
      <c r="B861" s="266">
        <f t="shared" ca="1" si="220"/>
        <v>8</v>
      </c>
      <c r="C861" s="351">
        <f t="shared" ca="1" si="221"/>
        <v>1</v>
      </c>
      <c r="D861">
        <v>6</v>
      </c>
      <c r="E861" s="289"/>
      <c r="F861" s="289"/>
      <c r="G861" s="8"/>
      <c r="H861" s="289"/>
      <c r="I861" s="8"/>
    </row>
    <row r="862" spans="1:9" hidden="1" outlineLevel="1" x14ac:dyDescent="0.25">
      <c r="A862" s="925"/>
      <c r="B862" s="266">
        <f t="shared" ca="1" si="220"/>
        <v>7.5</v>
      </c>
      <c r="C862" s="351">
        <f t="shared" ca="1" si="221"/>
        <v>0</v>
      </c>
      <c r="D862">
        <v>6.5</v>
      </c>
      <c r="E862" s="289"/>
      <c r="F862" s="289"/>
      <c r="G862" s="8"/>
      <c r="H862" s="289"/>
      <c r="I862" s="8"/>
    </row>
    <row r="863" spans="1:9" hidden="1" outlineLevel="1" x14ac:dyDescent="0.25">
      <c r="A863" s="925"/>
      <c r="B863" s="266">
        <f t="shared" ca="1" si="220"/>
        <v>7</v>
      </c>
      <c r="C863" s="351">
        <f t="shared" ca="1" si="221"/>
        <v>0</v>
      </c>
      <c r="D863">
        <v>7</v>
      </c>
      <c r="E863" s="289"/>
      <c r="F863" s="289"/>
      <c r="G863" s="8"/>
      <c r="H863" s="289"/>
      <c r="I863" s="8"/>
    </row>
    <row r="864" spans="1:9" hidden="1" outlineLevel="1" x14ac:dyDescent="0.25">
      <c r="A864" s="925"/>
      <c r="B864" s="266">
        <f t="shared" ca="1" si="220"/>
        <v>6.5</v>
      </c>
      <c r="C864" s="351">
        <f t="shared" ca="1" si="221"/>
        <v>0</v>
      </c>
      <c r="D864">
        <v>7.5</v>
      </c>
      <c r="E864" s="289"/>
      <c r="F864" s="289"/>
      <c r="G864" s="8"/>
      <c r="H864" s="289"/>
      <c r="I864" s="8"/>
    </row>
    <row r="865" spans="1:9" hidden="1" outlineLevel="1" x14ac:dyDescent="0.25">
      <c r="A865" s="925"/>
      <c r="B865" s="266">
        <f t="shared" ca="1" si="220"/>
        <v>6</v>
      </c>
      <c r="C865" s="351">
        <f t="shared" ca="1" si="221"/>
        <v>1</v>
      </c>
      <c r="D865">
        <v>8</v>
      </c>
      <c r="E865" s="289"/>
      <c r="F865" s="289"/>
      <c r="G865" s="8"/>
      <c r="H865" s="289"/>
      <c r="I865" s="8"/>
    </row>
    <row r="866" spans="1:9" hidden="1" outlineLevel="1" x14ac:dyDescent="0.25">
      <c r="A866" s="925"/>
      <c r="B866" s="266">
        <f t="shared" ca="1" si="220"/>
        <v>5.5</v>
      </c>
      <c r="C866" s="351">
        <f t="shared" ca="1" si="221"/>
        <v>0</v>
      </c>
      <c r="D866">
        <v>8.5</v>
      </c>
      <c r="E866" s="289"/>
      <c r="F866" s="289"/>
      <c r="G866" s="8"/>
      <c r="H866" s="289"/>
      <c r="I866" s="8"/>
    </row>
    <row r="867" spans="1:9" hidden="1" outlineLevel="1" x14ac:dyDescent="0.25">
      <c r="A867" s="925"/>
      <c r="B867" s="266">
        <f t="shared" ca="1" si="220"/>
        <v>5</v>
      </c>
      <c r="C867" s="351">
        <f t="shared" ca="1" si="221"/>
        <v>0</v>
      </c>
      <c r="D867">
        <v>9</v>
      </c>
      <c r="E867" s="289"/>
      <c r="F867" s="289"/>
      <c r="G867" s="8"/>
      <c r="H867" s="289"/>
      <c r="I867" s="8"/>
    </row>
    <row r="868" spans="1:9" hidden="1" outlineLevel="1" x14ac:dyDescent="0.25">
      <c r="A868" s="925"/>
      <c r="B868" s="266">
        <f t="shared" ca="1" si="220"/>
        <v>4.5</v>
      </c>
      <c r="C868" s="351">
        <f t="shared" ca="1" si="221"/>
        <v>0</v>
      </c>
      <c r="D868">
        <v>9.5</v>
      </c>
      <c r="E868" s="289"/>
      <c r="F868" s="289"/>
      <c r="G868" s="8"/>
      <c r="H868" s="289"/>
      <c r="I868" s="8"/>
    </row>
    <row r="869" spans="1:9" hidden="1" outlineLevel="1" x14ac:dyDescent="0.25">
      <c r="A869" s="925"/>
      <c r="B869" s="266">
        <f t="shared" ca="1" si="220"/>
        <v>4</v>
      </c>
      <c r="C869" s="351">
        <f t="shared" ca="1" si="221"/>
        <v>0</v>
      </c>
      <c r="D869">
        <v>10</v>
      </c>
      <c r="E869" s="289"/>
      <c r="F869" s="289"/>
      <c r="G869" s="8"/>
      <c r="H869" s="289"/>
      <c r="I869" s="8"/>
    </row>
    <row r="870" spans="1:9" hidden="1" outlineLevel="1" x14ac:dyDescent="0.25">
      <c r="A870" s="925"/>
      <c r="B870" s="266">
        <f t="shared" ca="1" si="220"/>
        <v>3.5</v>
      </c>
      <c r="C870" s="351">
        <f t="shared" ca="1" si="221"/>
        <v>1</v>
      </c>
      <c r="D870">
        <v>10.5</v>
      </c>
      <c r="E870" s="289"/>
      <c r="F870" s="289"/>
      <c r="G870" s="8"/>
      <c r="H870" s="289"/>
      <c r="I870" s="8"/>
    </row>
    <row r="871" spans="1:9" hidden="1" outlineLevel="1" x14ac:dyDescent="0.25">
      <c r="A871" s="925"/>
      <c r="B871" s="266">
        <f t="shared" ca="1" si="220"/>
        <v>3</v>
      </c>
      <c r="C871" s="351">
        <f t="shared" ca="1" si="221"/>
        <v>1</v>
      </c>
      <c r="D871">
        <v>11</v>
      </c>
      <c r="E871" s="289"/>
      <c r="F871" s="289"/>
      <c r="G871" s="8"/>
      <c r="H871" s="289"/>
      <c r="I871" s="8"/>
    </row>
    <row r="872" spans="1:9" hidden="1" outlineLevel="1" x14ac:dyDescent="0.25">
      <c r="A872" s="925"/>
      <c r="B872" s="266">
        <f t="shared" ca="1" si="220"/>
        <v>2.5</v>
      </c>
      <c r="C872" s="351">
        <f t="shared" ca="1" si="221"/>
        <v>0</v>
      </c>
      <c r="D872">
        <v>11.5</v>
      </c>
      <c r="E872" s="289"/>
      <c r="F872" s="289"/>
      <c r="G872" s="8"/>
      <c r="H872" s="289"/>
      <c r="I872" s="8"/>
    </row>
    <row r="873" spans="1:9" hidden="1" outlineLevel="1" x14ac:dyDescent="0.25">
      <c r="A873" s="925"/>
      <c r="B873" s="266">
        <f t="shared" ca="1" si="220"/>
        <v>2</v>
      </c>
      <c r="C873" s="351">
        <f t="shared" ca="1" si="221"/>
        <v>1</v>
      </c>
      <c r="D873">
        <v>12</v>
      </c>
      <c r="E873" s="289"/>
      <c r="F873" s="289"/>
      <c r="G873" s="8"/>
      <c r="H873" s="289"/>
      <c r="I873" s="8"/>
    </row>
    <row r="874" spans="1:9" hidden="1" outlineLevel="1" x14ac:dyDescent="0.25">
      <c r="A874" s="925"/>
      <c r="B874" s="266">
        <f t="shared" ca="1" si="220"/>
        <v>1.5</v>
      </c>
      <c r="C874" s="351">
        <f t="shared" ca="1" si="221"/>
        <v>0</v>
      </c>
      <c r="D874">
        <v>12.5</v>
      </c>
      <c r="E874" s="289"/>
      <c r="F874" s="289"/>
      <c r="G874" s="8"/>
      <c r="H874" s="289"/>
      <c r="I874" s="8"/>
    </row>
    <row r="875" spans="1:9" hidden="1" outlineLevel="1" x14ac:dyDescent="0.25">
      <c r="A875" s="925"/>
      <c r="B875" s="266">
        <f t="shared" ca="1" si="220"/>
        <v>1</v>
      </c>
      <c r="C875" s="351">
        <f t="shared" ca="1" si="221"/>
        <v>0</v>
      </c>
      <c r="D875">
        <v>13</v>
      </c>
      <c r="E875" s="289"/>
      <c r="F875" s="289"/>
      <c r="G875" s="8"/>
      <c r="H875" s="289"/>
      <c r="I875" s="8"/>
    </row>
    <row r="876" spans="1:9" hidden="1" outlineLevel="1" x14ac:dyDescent="0.25">
      <c r="A876" s="925"/>
      <c r="B876" s="266">
        <f t="shared" ca="1" si="220"/>
        <v>0.5</v>
      </c>
      <c r="C876" s="351">
        <f t="shared" ca="1" si="221"/>
        <v>0</v>
      </c>
      <c r="D876">
        <v>13.5</v>
      </c>
      <c r="E876" s="289"/>
      <c r="F876" s="289"/>
      <c r="G876" s="8"/>
      <c r="H876" s="289"/>
      <c r="I876" s="8"/>
    </row>
    <row r="877" spans="1:9" hidden="1" outlineLevel="1" x14ac:dyDescent="0.25">
      <c r="A877" s="925"/>
      <c r="B877" s="266">
        <f t="shared" ca="1" si="220"/>
        <v>0</v>
      </c>
      <c r="C877" s="351">
        <f t="shared" ca="1" si="221"/>
        <v>1</v>
      </c>
      <c r="D877">
        <v>14</v>
      </c>
      <c r="E877" s="289"/>
      <c r="F877" s="289"/>
      <c r="G877" s="8"/>
      <c r="H877" s="289"/>
      <c r="I877" s="8"/>
    </row>
    <row r="878" spans="1:9" hidden="1" outlineLevel="1" x14ac:dyDescent="0.25">
      <c r="A878" s="925"/>
      <c r="B878" s="266">
        <f t="shared" ca="1" si="220"/>
        <v>-0.5</v>
      </c>
      <c r="C878" s="351">
        <f t="shared" ca="1" si="221"/>
        <v>0</v>
      </c>
      <c r="D878">
        <v>14.5</v>
      </c>
      <c r="E878" s="289"/>
      <c r="F878" s="289"/>
      <c r="G878" s="8"/>
      <c r="H878" s="289"/>
      <c r="I878" s="8"/>
    </row>
    <row r="879" spans="1:9" hidden="1" outlineLevel="1" x14ac:dyDescent="0.25">
      <c r="A879" s="925"/>
      <c r="B879" s="266">
        <f t="shared" ca="1" si="220"/>
        <v>-1</v>
      </c>
      <c r="C879" s="351">
        <f t="shared" ca="1" si="221"/>
        <v>0</v>
      </c>
      <c r="D879">
        <v>15</v>
      </c>
      <c r="E879" s="289"/>
      <c r="F879" s="289"/>
      <c r="G879" s="8"/>
      <c r="H879" s="289"/>
      <c r="I879" s="8"/>
    </row>
    <row r="880" spans="1:9" hidden="1" outlineLevel="1" x14ac:dyDescent="0.25">
      <c r="A880" s="925"/>
      <c r="B880" s="266">
        <f t="shared" ca="1" si="220"/>
        <v>-1.5</v>
      </c>
      <c r="C880" s="351">
        <f t="shared" ca="1" si="221"/>
        <v>0</v>
      </c>
      <c r="D880">
        <v>15.5</v>
      </c>
      <c r="E880" s="289"/>
      <c r="F880" s="289"/>
      <c r="G880" s="8"/>
      <c r="H880" s="289"/>
      <c r="I880" s="8"/>
    </row>
    <row r="881" spans="1:15" hidden="1" outlineLevel="1" x14ac:dyDescent="0.25">
      <c r="A881" s="925"/>
      <c r="B881" s="266">
        <f t="shared" ca="1" si="220"/>
        <v>-2</v>
      </c>
      <c r="C881" s="351">
        <f t="shared" ca="1" si="221"/>
        <v>1</v>
      </c>
      <c r="D881">
        <v>16</v>
      </c>
      <c r="E881" s="289"/>
      <c r="F881" s="289"/>
      <c r="G881" s="8"/>
      <c r="H881" s="289"/>
      <c r="I881" s="8"/>
    </row>
    <row r="882" spans="1:15" hidden="1" outlineLevel="1" x14ac:dyDescent="0.25">
      <c r="A882" s="925"/>
      <c r="B882" s="266" t="str">
        <f t="shared" ca="1" si="220"/>
        <v>-</v>
      </c>
      <c r="C882" s="351">
        <f t="shared" ca="1" si="221"/>
        <v>0</v>
      </c>
      <c r="D882">
        <v>16.5</v>
      </c>
      <c r="E882" s="289"/>
      <c r="F882" s="289"/>
      <c r="G882" s="8"/>
      <c r="H882" s="289"/>
      <c r="I882" s="8"/>
    </row>
    <row r="883" spans="1:15" hidden="1" outlineLevel="1" x14ac:dyDescent="0.25">
      <c r="A883" s="925"/>
      <c r="B883" s="266" t="str">
        <f t="shared" ca="1" si="220"/>
        <v>-</v>
      </c>
      <c r="C883" s="351">
        <f t="shared" ca="1" si="221"/>
        <v>0</v>
      </c>
      <c r="D883">
        <v>17</v>
      </c>
      <c r="E883" s="289"/>
      <c r="F883" s="289"/>
      <c r="G883" s="8"/>
      <c r="H883" s="289"/>
      <c r="I883" s="8"/>
    </row>
    <row r="884" spans="1:15" hidden="1" outlineLevel="1" x14ac:dyDescent="0.25">
      <c r="A884" s="925"/>
      <c r="B884" s="266" t="str">
        <f t="shared" ca="1" si="220"/>
        <v>-</v>
      </c>
      <c r="C884" s="351">
        <f t="shared" ca="1" si="221"/>
        <v>0</v>
      </c>
      <c r="D884">
        <v>17.5</v>
      </c>
      <c r="E884" s="289"/>
      <c r="F884" s="289"/>
      <c r="G884" s="8"/>
      <c r="H884" s="289"/>
      <c r="I884" s="8"/>
    </row>
    <row r="885" spans="1:15" hidden="1" outlineLevel="1" x14ac:dyDescent="0.25">
      <c r="A885" s="925"/>
      <c r="B885" s="266" t="str">
        <f t="shared" ca="1" si="220"/>
        <v>-</v>
      </c>
      <c r="C885" s="351">
        <f t="shared" ca="1" si="221"/>
        <v>0</v>
      </c>
      <c r="D885">
        <v>18</v>
      </c>
      <c r="E885" s="289"/>
      <c r="F885" s="289"/>
      <c r="G885" s="8"/>
      <c r="H885" s="289"/>
      <c r="I885" s="8"/>
    </row>
    <row r="886" spans="1:15" hidden="1" outlineLevel="1" x14ac:dyDescent="0.25">
      <c r="A886" s="925"/>
      <c r="B886" s="266" t="str">
        <f t="shared" ca="1" si="220"/>
        <v>-</v>
      </c>
      <c r="C886" s="351">
        <f t="shared" ca="1" si="221"/>
        <v>0</v>
      </c>
      <c r="D886">
        <v>18.5</v>
      </c>
      <c r="E886" s="289"/>
      <c r="F886" s="289"/>
      <c r="G886" s="8"/>
      <c r="H886" s="289"/>
      <c r="I886" s="8"/>
    </row>
    <row r="887" spans="1:15" hidden="1" outlineLevel="1" x14ac:dyDescent="0.25">
      <c r="A887" s="925"/>
      <c r="B887" s="266" t="str">
        <f t="shared" ca="1" si="220"/>
        <v>-</v>
      </c>
      <c r="C887" s="351">
        <f t="shared" ca="1" si="221"/>
        <v>0</v>
      </c>
      <c r="D887">
        <v>19</v>
      </c>
      <c r="E887" s="289"/>
      <c r="F887" s="289"/>
      <c r="G887" s="8"/>
      <c r="H887" s="289"/>
      <c r="I887" s="8"/>
    </row>
    <row r="888" spans="1:15" hidden="1" outlineLevel="1" x14ac:dyDescent="0.25">
      <c r="A888" s="925"/>
      <c r="B888" s="266" t="str">
        <f t="shared" ca="1" si="220"/>
        <v>-</v>
      </c>
      <c r="C888" s="351">
        <f t="shared" ca="1" si="221"/>
        <v>0</v>
      </c>
      <c r="D888">
        <v>19.5</v>
      </c>
      <c r="E888" s="289"/>
      <c r="F888" s="289"/>
      <c r="G888" s="8"/>
      <c r="H888" s="289"/>
      <c r="I888" s="8"/>
    </row>
    <row r="889" spans="1:15" hidden="1" outlineLevel="1" x14ac:dyDescent="0.25">
      <c r="A889" s="925"/>
      <c r="B889" s="266" t="str">
        <f t="shared" ca="1" si="220"/>
        <v>-</v>
      </c>
      <c r="C889" s="351">
        <f t="shared" ca="1" si="221"/>
        <v>0</v>
      </c>
      <c r="D889">
        <v>20</v>
      </c>
      <c r="E889" s="289"/>
      <c r="F889" s="289"/>
      <c r="G889" s="8"/>
      <c r="H889" s="289"/>
      <c r="I889" s="8"/>
    </row>
    <row r="890" spans="1:15" hidden="1" outlineLevel="1" x14ac:dyDescent="0.25">
      <c r="A890" s="925"/>
      <c r="B890" s="266" t="str">
        <f t="shared" ca="1" si="220"/>
        <v>-</v>
      </c>
      <c r="C890" s="351">
        <f t="shared" ca="1" si="221"/>
        <v>0</v>
      </c>
      <c r="D890">
        <v>20.5</v>
      </c>
      <c r="E890" s="289"/>
      <c r="F890" s="289"/>
      <c r="G890" s="8"/>
      <c r="H890" s="289"/>
      <c r="I890" s="8"/>
    </row>
    <row r="891" spans="1:15" hidden="1" outlineLevel="1" x14ac:dyDescent="0.25">
      <c r="A891" s="925"/>
      <c r="B891" s="266" t="str">
        <f t="shared" ca="1" si="220"/>
        <v>-</v>
      </c>
      <c r="C891" s="351">
        <f t="shared" ca="1" si="221"/>
        <v>0</v>
      </c>
      <c r="D891">
        <v>21</v>
      </c>
      <c r="E891" s="289"/>
      <c r="F891" s="289"/>
      <c r="G891" s="8"/>
      <c r="H891" s="289"/>
      <c r="I891" s="8"/>
    </row>
    <row r="892" spans="1:15" hidden="1" outlineLevel="1" x14ac:dyDescent="0.25">
      <c r="A892" s="925"/>
      <c r="B892" s="266" t="str">
        <f t="shared" ca="1" si="220"/>
        <v>-</v>
      </c>
      <c r="C892" s="351">
        <f t="shared" ca="1" si="221"/>
        <v>0</v>
      </c>
      <c r="D892">
        <v>21.5</v>
      </c>
      <c r="E892" s="289"/>
      <c r="F892" s="289"/>
      <c r="G892" s="8"/>
      <c r="H892" s="289"/>
      <c r="I892" s="8"/>
      <c r="O892" t="str">
        <f t="array" ref="O892">IFERROR(INDEX(Montageplatten[Teil],LARGE((Montageplatten[Randbedingungen]=$L$70)*(ROW(Montageplatten[Randbedingungen])-1),COUNTIF(Montageplatten[Randbedingungen],$L$70)+1-ROW(A808))),"")</f>
        <v/>
      </c>
    </row>
    <row r="893" spans="1:15" hidden="1" outlineLevel="1" x14ac:dyDescent="0.25">
      <c r="A893" s="925"/>
      <c r="B893" s="266" t="str">
        <f t="shared" ca="1" si="220"/>
        <v>-</v>
      </c>
      <c r="C893" s="351">
        <f t="shared" ca="1" si="221"/>
        <v>0</v>
      </c>
      <c r="D893">
        <v>22</v>
      </c>
      <c r="E893" s="289"/>
      <c r="F893" s="289"/>
      <c r="G893" s="8"/>
      <c r="H893" s="289"/>
      <c r="I893" s="8"/>
      <c r="O893" t="str">
        <f t="array" ref="O893">IFERROR(INDEX(Montageplatten[Teil],LARGE((Montageplatten[Randbedingungen]=$L$70)*(ROW(Montageplatten[Randbedingungen])-1),COUNTIF(Montageplatten[Randbedingungen],$L$70)+1-ROW(A809))),"")</f>
        <v/>
      </c>
    </row>
    <row r="894" spans="1:15" hidden="1" outlineLevel="1" x14ac:dyDescent="0.25">
      <c r="A894" s="925"/>
      <c r="B894" s="266" t="str">
        <f t="shared" ca="1" si="220"/>
        <v>-</v>
      </c>
      <c r="C894" s="351">
        <f t="shared" ca="1" si="221"/>
        <v>0</v>
      </c>
      <c r="D894">
        <v>22.5</v>
      </c>
      <c r="E894" s="289"/>
      <c r="F894" s="289"/>
      <c r="G894" s="8"/>
      <c r="H894" s="289"/>
      <c r="I894" s="8"/>
      <c r="O894" t="str">
        <f t="array" ref="O894">IFERROR(INDEX(Montageplatten[Teil],LARGE((Montageplatten[Randbedingungen]=$L$70)*(ROW(Montageplatten[Randbedingungen])-1),COUNTIF(Montageplatten[Randbedingungen],$L$70)+1-ROW(A810))),"")</f>
        <v/>
      </c>
    </row>
    <row r="895" spans="1:15" hidden="1" outlineLevel="1" x14ac:dyDescent="0.25">
      <c r="A895" s="925"/>
      <c r="B895" s="266" t="str">
        <f t="shared" ca="1" si="220"/>
        <v>-</v>
      </c>
      <c r="C895" s="351">
        <f t="shared" ca="1" si="221"/>
        <v>0</v>
      </c>
      <c r="D895">
        <v>23</v>
      </c>
      <c r="E895" s="289"/>
      <c r="F895" s="289"/>
      <c r="G895" s="8"/>
      <c r="H895" s="289"/>
      <c r="I895" s="8"/>
      <c r="O895" t="str">
        <f t="array" ref="O895">IFERROR(INDEX(Montageplatten[Teil],LARGE((Montageplatten[Randbedingungen]=$L$70)*(ROW(Montageplatten[Randbedingungen])-1),COUNTIF(Montageplatten[Randbedingungen],$L$70)+1-ROW(A811))),"")</f>
        <v/>
      </c>
    </row>
    <row r="896" spans="1:15" hidden="1" outlineLevel="1" x14ac:dyDescent="0.25">
      <c r="A896" s="925"/>
      <c r="B896" s="266" t="str">
        <f t="shared" ca="1" si="220"/>
        <v>-</v>
      </c>
      <c r="C896" s="351">
        <f t="shared" ca="1" si="221"/>
        <v>0</v>
      </c>
      <c r="D896">
        <v>23.5</v>
      </c>
      <c r="E896" s="289"/>
      <c r="F896" s="289"/>
      <c r="G896" s="8"/>
      <c r="H896" s="289"/>
      <c r="I896" s="8"/>
      <c r="O896" t="str">
        <f t="array" ref="O896">IFERROR(INDEX(Montageplatten[Teil],LARGE((Montageplatten[Randbedingungen]=$L$70)*(ROW(Montageplatten[Randbedingungen])-1),COUNTIF(Montageplatten[Randbedingungen],$L$70)+1-ROW(A812))),"")</f>
        <v/>
      </c>
    </row>
    <row r="897" spans="1:17" hidden="1" outlineLevel="1" x14ac:dyDescent="0.25">
      <c r="A897" s="925"/>
      <c r="B897" s="266" t="str">
        <f t="shared" ca="1" si="220"/>
        <v>-</v>
      </c>
      <c r="C897" s="351">
        <f t="shared" ca="1" si="221"/>
        <v>0</v>
      </c>
      <c r="D897">
        <v>24</v>
      </c>
      <c r="E897" s="289"/>
      <c r="F897" s="289"/>
      <c r="G897" s="8"/>
      <c r="H897" s="289"/>
      <c r="I897" s="8"/>
      <c r="O897" t="str">
        <f t="array" ref="O897">IFERROR(INDEX(Montageplatten[Teil],LARGE((Montageplatten[Randbedingungen]=$L$70)*(ROW(Montageplatten[Randbedingungen])-1),COUNTIF(Montageplatten[Randbedingungen],$L$70)+1-ROW(A813))),"")</f>
        <v/>
      </c>
    </row>
    <row r="898" spans="1:17" hidden="1" outlineLevel="1" x14ac:dyDescent="0.25">
      <c r="A898" s="100"/>
      <c r="D898" s="8"/>
      <c r="E898" s="8"/>
      <c r="F898" s="8"/>
      <c r="G898" s="8"/>
      <c r="H898" s="8"/>
      <c r="I898" s="8"/>
    </row>
    <row r="899" spans="1:17" hidden="1" outlineLevel="1" x14ac:dyDescent="0.25">
      <c r="A899" s="3"/>
      <c r="C899" s="40">
        <f ca="1">IFERROR(VLOOKUP(F799,C850:D897,2,FALSE),"")</f>
        <v>2</v>
      </c>
      <c r="D899" s="8"/>
      <c r="E899" s="8"/>
      <c r="F899" s="8"/>
      <c r="G899" s="8"/>
      <c r="H899" s="8"/>
      <c r="I899" s="8"/>
    </row>
    <row r="900" spans="1:17" hidden="1" outlineLevel="1" x14ac:dyDescent="0.25">
      <c r="D900" s="8"/>
      <c r="E900" s="8"/>
      <c r="F900" s="8"/>
      <c r="G900" s="8"/>
      <c r="H900" s="8"/>
      <c r="I900" s="8"/>
    </row>
    <row r="901" spans="1:17" hidden="1" outlineLevel="1" x14ac:dyDescent="0.25">
      <c r="D901" s="8"/>
      <c r="E901" s="8"/>
      <c r="F901" s="8"/>
      <c r="G901" s="8"/>
      <c r="H901" s="8"/>
      <c r="I901" s="8"/>
    </row>
    <row r="902" spans="1:17" hidden="1" outlineLevel="1" x14ac:dyDescent="0.25"/>
    <row r="903" spans="1:17" hidden="1" outlineLevel="1" x14ac:dyDescent="0.25"/>
    <row r="904" spans="1:17" hidden="1" outlineLevel="1" x14ac:dyDescent="0.25"/>
    <row r="905" spans="1:17" hidden="1" outlineLevel="1" x14ac:dyDescent="0.25"/>
    <row r="906" spans="1:17" hidden="1" outlineLevel="1" x14ac:dyDescent="0.25"/>
    <row r="907" spans="1:17" hidden="1" outlineLevel="1" x14ac:dyDescent="0.25">
      <c r="A907" t="s">
        <v>1441</v>
      </c>
      <c r="B907" s="8">
        <f>ROW()</f>
        <v>907</v>
      </c>
      <c r="D907" s="100" t="str">
        <f>Montageplatten[[#Headers],[Bezeichnung 1]]</f>
        <v>Bezeichnung 1</v>
      </c>
      <c r="E907" s="100" t="str">
        <f>Montageplatten[[#Headers],[Bezeichnung 2]]</f>
        <v>Bezeichnung 2</v>
      </c>
      <c r="F907" s="100" t="str">
        <f>Montageplatten[[#Headers],[Bezeichnung TGr]]</f>
        <v>Bezeichnung TGr</v>
      </c>
      <c r="G907" s="268" t="str">
        <f>Montageplatten[[#Headers],[37/32]]</f>
        <v>37/32</v>
      </c>
      <c r="H907" s="268" t="str">
        <f>Montageplatten[[#Headers],[28/32]]</f>
        <v>28/32</v>
      </c>
      <c r="I907" s="268" t="s">
        <v>1358</v>
      </c>
      <c r="J907" s="268" t="s">
        <v>1361</v>
      </c>
      <c r="K907" s="268" t="s">
        <v>1370</v>
      </c>
      <c r="L907" s="268" t="str">
        <f>Montageplatten[[#Headers],[Höhe]]</f>
        <v>Höhe</v>
      </c>
      <c r="M907" s="100"/>
      <c r="N907" s="8"/>
      <c r="O907" s="8"/>
      <c r="P907" s="8"/>
      <c r="Q907" s="8"/>
    </row>
    <row r="908" spans="1:17" hidden="1" outlineLevel="1" x14ac:dyDescent="0.25">
      <c r="A908" s="168" t="str">
        <f t="array" aca="1" ref="A908" ca="1">IFERROR(INDEX(Montageplatten[Spalte1],LARGE((Montageplatten[Gesamt spezial]=$A$195)*(ROW(Montageplatten[Gesamt spezial])-1),COUNTIF(Montageplatten[Gesamt spezial],$A$195)+1-ROW(A1))),"")</f>
        <v>F058</v>
      </c>
      <c r="B908" s="168" t="str">
        <f t="array" aca="1" ref="B908" ca="1">IFERROR(INDEX(Montageplatten[Spalte2],LARGE((Montageplatten[Gesamt spezial]=$A$195)*(ROW(Montageplatten[Gesamt spezial])-1),COUNTIF(Montageplatten[Gesamt spezial],$A$195)+1-ROW(A1))),"")</f>
        <v>139</v>
      </c>
      <c r="C908" s="168" t="str">
        <f t="array" aca="1" ref="C908" ca="1">IFERROR(INDEX(Montageplatten[Spalte3],LARGE((Montageplatten[Gesamt spezial]=$A$195)*(ROW(Montageplatten[Gesamt spezial])-1),COUNTIF(Montageplatten[Gesamt spezial],$A$195)+1-ROW(A1))),"")</f>
        <v>889</v>
      </c>
      <c r="D908" s="168" t="str">
        <f t="array" aca="1" ref="D908" ca="1">IFERROR(INDEX(Montageplatten[Bezeichnung 1],LARGE((Montageplatten[Gesamt spezial]=$A$195)*(ROW(Montageplatten[Gesamt spezial])-1),COUNTIF(Montageplatten[Gesamt spezial],$A$195)+1-ROW(A1))),"")</f>
        <v>1D Kreuz Mtg-Platte</v>
      </c>
      <c r="E908" s="168" t="str">
        <f t="array" aca="1" ref="E908" ca="1">IFERROR(INDEX(Montageplatten[Bezeichnung 2],LARGE((Montageplatten[Gesamt spezial]=$A$195)*(ROW(Montageplatten[Gesamt spezial])-1),COUNTIF(Montageplatten[Gesamt spezial],$A$195)+1-ROW(A1))),"")</f>
        <v>H 14, ni /37</v>
      </c>
      <c r="F908" s="168" t="str">
        <f t="array" aca="1" ref="F908" ca="1">IFERROR(INDEX(Montageplatten[Bezeichnung TGr],LARGE((Montageplatten[Gesamt spezial]=$A$195)*(ROW(Montageplatten[Gesamt spezial])-1),COUNTIF(Montageplatten[Gesamt spezial],$A$195)+1-ROW(A1))),"")</f>
        <v>Tiomos Montageplatten</v>
      </c>
      <c r="G908" s="171">
        <f t="array" aca="1" ref="G908" ca="1">IFERROR(INDEX(Montageplatten[37/32],LARGE((Montageplatten[Gesamt spezial]=$A$195)*(ROW(Montageplatten[Gesamt spezial])-1),COUNTIF(Montageplatten[Gesamt spezial],$A$195)+1-ROW(A1))),"")</f>
        <v>1</v>
      </c>
      <c r="H908" s="171">
        <f t="array" aca="1" ref="H908" ca="1">IFERROR(INDEX(Montageplatten[28/32],LARGE((Montageplatten[Gesamt spezial]=$A$195)*(ROW(Montageplatten[Gesamt spezial])-1),COUNTIF(Montageplatten[Gesamt spezial],$A$195)+1-ROW(A1))),"")</f>
        <v>0</v>
      </c>
      <c r="I908" s="171">
        <f t="array" aca="1" ref="I908" ca="1">IFERROR(INDEX(Montageplatten[20/32],LARGE((Montageplatten[Gesamt spezial]=$A$195)*(ROW(Montageplatten[Gesamt spezial])-1),COUNTIF(Montageplatten[Gesamt spezial],$A$195)+1-ROW(A1))),"")</f>
        <v>0</v>
      </c>
      <c r="J908" s="171">
        <f t="array" aca="1" ref="J908" ca="1">IFERROR(INDEX(Montageplatten[9,5/32],LARGE((Montageplatten[Gesamt spezial]=$A$195)*(ROW(Montageplatten[Gesamt spezial])-1),COUNTIF(Montageplatten[Gesamt spezial],$A$195)+1-ROW(A1))),"")</f>
        <v>0</v>
      </c>
      <c r="K908" s="171">
        <f t="array" aca="1" ref="K908" ca="1">IFERROR(INDEX(Montageplatten[10/32],LARGE((Montageplatten[Gesamt spezial]=$A$195)*(ROW(Montageplatten[Gesamt spezial])-1),COUNTIF(Montageplatten[Gesamt spezial],$A$195)+1-ROW(A1))),"")</f>
        <v>0</v>
      </c>
      <c r="L908" s="171">
        <f t="array" aca="1" ref="L908" ca="1">IFERROR(INDEX(Montageplatten[Höhe],LARGE((Montageplatten[Gesamt spezial]=$A$195)*(ROW(Montageplatten[Gesamt spezial])-1),COUNTIF(Montageplatten[Gesamt spezial],$A$195)+1-ROW(A1))),"")</f>
        <v>14</v>
      </c>
      <c r="M908" s="3">
        <v>1</v>
      </c>
      <c r="N908" s="8"/>
      <c r="O908" s="8"/>
      <c r="P908" s="8"/>
      <c r="Q908" s="8"/>
    </row>
    <row r="909" spans="1:17" hidden="1" outlineLevel="1" x14ac:dyDescent="0.25">
      <c r="A909" s="168" t="str">
        <f t="array" aca="1" ref="A909" ca="1">IFERROR(INDEX(Montageplatten[Spalte1],LARGE((Montageplatten[Gesamt spezial]=$A$195)*(ROW(Montageplatten[Gesamt spezial])-1),COUNTIF(Montageplatten[Gesamt spezial],$A$195)+1-ROW(A2))),"")</f>
        <v/>
      </c>
      <c r="B909" s="168" t="str">
        <f t="array" aca="1" ref="B909" ca="1">IFERROR(INDEX(Montageplatten[Spalte2],LARGE((Montageplatten[Gesamt spezial]=$A$195)*(ROW(Montageplatten[Gesamt spezial])-1),COUNTIF(Montageplatten[Gesamt spezial],$A$195)+1-ROW(A2))),"")</f>
        <v/>
      </c>
      <c r="C909" s="168" t="str">
        <f t="array" aca="1" ref="C909" ca="1">IFERROR(INDEX(Montageplatten[Spalte3],LARGE((Montageplatten[Gesamt spezial]=$A$195)*(ROW(Montageplatten[Gesamt spezial])-1),COUNTIF(Montageplatten[Gesamt spezial],$A$195)+1-ROW(A2))),"")</f>
        <v/>
      </c>
      <c r="D909" s="168" t="str">
        <f t="array" aca="1" ref="D909" ca="1">IFERROR(INDEX(Montageplatten[Bezeichnung 1],LARGE((Montageplatten[Gesamt spezial]=$A$195)*(ROW(Montageplatten[Gesamt spezial])-1),COUNTIF(Montageplatten[Gesamt spezial],$A$195)+1-ROW(A2))),"")</f>
        <v/>
      </c>
      <c r="E909" s="168" t="str">
        <f t="array" aca="1" ref="E909" ca="1">IFERROR(INDEX(Montageplatten[Bezeichnung 2],LARGE((Montageplatten[Gesamt spezial]=$A$195)*(ROW(Montageplatten[Gesamt spezial])-1),COUNTIF(Montageplatten[Gesamt spezial],$A$195)+1-ROW(A2))),"")</f>
        <v/>
      </c>
      <c r="F909" s="168" t="str">
        <f t="array" aca="1" ref="F909" ca="1">IFERROR(INDEX(Montageplatten[Bezeichnung TGr],LARGE((Montageplatten[Gesamt spezial]=$A$195)*(ROW(Montageplatten[Gesamt spezial])-1),COUNTIF(Montageplatten[Gesamt spezial],$A$195)+1-ROW(A2))),"")</f>
        <v/>
      </c>
      <c r="G909" s="171" t="str">
        <f t="array" aca="1" ref="G909" ca="1">IFERROR(INDEX(Montageplatten[37/32],LARGE((Montageplatten[Gesamt spezial]=$A$195)*(ROW(Montageplatten[Gesamt spezial])-1),COUNTIF(Montageplatten[Gesamt spezial],$A$195)+1-ROW(A2))),"")</f>
        <v/>
      </c>
      <c r="H909" s="171" t="str">
        <f t="array" aca="1" ref="H909" ca="1">IFERROR(INDEX(Montageplatten[28/32],LARGE((Montageplatten[Gesamt spezial]=$A$195)*(ROW(Montageplatten[Gesamt spezial])-1),COUNTIF(Montageplatten[Gesamt spezial],$A$195)+1-ROW(A2))),"")</f>
        <v/>
      </c>
      <c r="I909" s="171" t="str">
        <f t="array" aca="1" ref="I909" ca="1">IFERROR(INDEX(Montageplatten[20/32],LARGE((Montageplatten[Gesamt spezial]=$A$195)*(ROW(Montageplatten[Gesamt spezial])-1),COUNTIF(Montageplatten[Gesamt spezial],$A$195)+1-ROW(A2))),"")</f>
        <v/>
      </c>
      <c r="J909" s="171" t="str">
        <f t="array" aca="1" ref="J909" ca="1">IFERROR(INDEX(Montageplatten[9,5/32],LARGE((Montageplatten[Gesamt spezial]=$A$195)*(ROW(Montageplatten[Gesamt spezial])-1),COUNTIF(Montageplatten[Gesamt spezial],$A$195)+1-ROW(A2))),"")</f>
        <v/>
      </c>
      <c r="K909" s="171" t="str">
        <f t="array" aca="1" ref="K909" ca="1">IFERROR(INDEX(Montageplatten[10/32],LARGE((Montageplatten[Gesamt spezial]=$A$195)*(ROW(Montageplatten[Gesamt spezial])-1),COUNTIF(Montageplatten[Gesamt spezial],$A$195)+1-ROW(A2))),"")</f>
        <v/>
      </c>
      <c r="L909" s="171" t="str">
        <f t="array" aca="1" ref="L909" ca="1">IFERROR(INDEX(Montageplatten[Höhe],LARGE((Montageplatten[Gesamt spezial]=$A$195)*(ROW(Montageplatten[Gesamt spezial])-1),COUNTIF(Montageplatten[Gesamt spezial],$A$195)+1-ROW(A2))),"")</f>
        <v/>
      </c>
      <c r="M909" s="8">
        <v>2</v>
      </c>
      <c r="N909" s="8"/>
      <c r="O909" s="8"/>
      <c r="P909" s="151"/>
      <c r="Q909" s="151"/>
    </row>
    <row r="910" spans="1:17" hidden="1" outlineLevel="1" x14ac:dyDescent="0.25">
      <c r="A910" s="168" t="str">
        <f t="array" aca="1" ref="A910" ca="1">IFERROR(INDEX(Montageplatten[Spalte1],LARGE((Montageplatten[Gesamt spezial]=$A$195)*(ROW(Montageplatten[Gesamt spezial])-1),COUNTIF(Montageplatten[Gesamt spezial],$A$195)+1-ROW(A3))),"")</f>
        <v/>
      </c>
      <c r="B910" s="168" t="str">
        <f t="array" aca="1" ref="B910" ca="1">IFERROR(INDEX(Montageplatten[Spalte2],LARGE((Montageplatten[Gesamt spezial]=$A$195)*(ROW(Montageplatten[Gesamt spezial])-1),COUNTIF(Montageplatten[Gesamt spezial],$A$195)+1-ROW(A3))),"")</f>
        <v/>
      </c>
      <c r="C910" s="168" t="str">
        <f t="array" aca="1" ref="C910" ca="1">IFERROR(INDEX(Montageplatten[Spalte3],LARGE((Montageplatten[Gesamt spezial]=$A$195)*(ROW(Montageplatten[Gesamt spezial])-1),COUNTIF(Montageplatten[Gesamt spezial],$A$195)+1-ROW(A3))),"")</f>
        <v/>
      </c>
      <c r="D910" s="168" t="str">
        <f t="array" aca="1" ref="D910" ca="1">IFERROR(INDEX(Montageplatten[Bezeichnung 1],LARGE((Montageplatten[Gesamt spezial]=$A$195)*(ROW(Montageplatten[Gesamt spezial])-1),COUNTIF(Montageplatten[Gesamt spezial],$A$195)+1-ROW(A3))),"")</f>
        <v/>
      </c>
      <c r="E910" s="168" t="str">
        <f t="array" aca="1" ref="E910" ca="1">IFERROR(INDEX(Montageplatten[Bezeichnung 2],LARGE((Montageplatten[Gesamt spezial]=$A$195)*(ROW(Montageplatten[Gesamt spezial])-1),COUNTIF(Montageplatten[Gesamt spezial],$A$195)+1-ROW(A3))),"")</f>
        <v/>
      </c>
      <c r="F910" s="168" t="str">
        <f t="array" aca="1" ref="F910" ca="1">IFERROR(INDEX(Montageplatten[Bezeichnung TGr],LARGE((Montageplatten[Gesamt spezial]=$A$195)*(ROW(Montageplatten[Gesamt spezial])-1),COUNTIF(Montageplatten[Gesamt spezial],$A$195)+1-ROW(A3))),"")</f>
        <v/>
      </c>
      <c r="G910" s="171" t="str">
        <f t="array" aca="1" ref="G910" ca="1">IFERROR(INDEX(Montageplatten[37/32],LARGE((Montageplatten[Gesamt spezial]=$A$195)*(ROW(Montageplatten[Gesamt spezial])-1),COUNTIF(Montageplatten[Gesamt spezial],$A$195)+1-ROW(A3))),"")</f>
        <v/>
      </c>
      <c r="H910" s="171" t="str">
        <f t="array" aca="1" ref="H910" ca="1">IFERROR(INDEX(Montageplatten[28/32],LARGE((Montageplatten[Gesamt spezial]=$A$195)*(ROW(Montageplatten[Gesamt spezial])-1),COUNTIF(Montageplatten[Gesamt spezial],$A$195)+1-ROW(A3))),"")</f>
        <v/>
      </c>
      <c r="I910" s="171" t="str">
        <f t="array" aca="1" ref="I910" ca="1">IFERROR(INDEX(Montageplatten[20/32],LARGE((Montageplatten[Gesamt spezial]=$A$195)*(ROW(Montageplatten[Gesamt spezial])-1),COUNTIF(Montageplatten[Gesamt spezial],$A$195)+1-ROW(A3))),"")</f>
        <v/>
      </c>
      <c r="J910" s="171" t="str">
        <f t="array" aca="1" ref="J910" ca="1">IFERROR(INDEX(Montageplatten[9,5/32],LARGE((Montageplatten[Gesamt spezial]=$A$195)*(ROW(Montageplatten[Gesamt spezial])-1),COUNTIF(Montageplatten[Gesamt spezial],$A$195)+1-ROW(A3))),"")</f>
        <v/>
      </c>
      <c r="K910" s="171" t="str">
        <f t="array" aca="1" ref="K910" ca="1">IFERROR(INDEX(Montageplatten[10/32],LARGE((Montageplatten[Gesamt spezial]=$A$195)*(ROW(Montageplatten[Gesamt spezial])-1),COUNTIF(Montageplatten[Gesamt spezial],$A$195)+1-ROW(A3))),"")</f>
        <v/>
      </c>
      <c r="L910" s="171" t="str">
        <f t="array" aca="1" ref="L910" ca="1">IFERROR(INDEX(Montageplatten[Höhe],LARGE((Montageplatten[Gesamt spezial]=$A$195)*(ROW(Montageplatten[Gesamt spezial])-1),COUNTIF(Montageplatten[Gesamt spezial],$A$195)+1-ROW(A3))),"")</f>
        <v/>
      </c>
      <c r="M910" s="3">
        <v>3</v>
      </c>
      <c r="N910" s="8"/>
      <c r="O910" s="8"/>
      <c r="P910" s="8"/>
      <c r="Q910" s="8"/>
    </row>
    <row r="911" spans="1:17" hidden="1" outlineLevel="1" x14ac:dyDescent="0.25">
      <c r="A911" s="168" t="str">
        <f t="array" aca="1" ref="A911" ca="1">IFERROR(INDEX(Montageplatten[Spalte1],LARGE((Montageplatten[Gesamt spezial]=$A$195)*(ROW(Montageplatten[Gesamt spezial])-1),COUNTIF(Montageplatten[Gesamt spezial],$A$195)+1-ROW(A4))),"")</f>
        <v/>
      </c>
      <c r="B911" s="168" t="str">
        <f t="array" aca="1" ref="B911" ca="1">IFERROR(INDEX(Montageplatten[Spalte2],LARGE((Montageplatten[Gesamt spezial]=$A$195)*(ROW(Montageplatten[Gesamt spezial])-1),COUNTIF(Montageplatten[Gesamt spezial],$A$195)+1-ROW(A4))),"")</f>
        <v/>
      </c>
      <c r="C911" s="168" t="str">
        <f t="array" aca="1" ref="C911" ca="1">IFERROR(INDEX(Montageplatten[Spalte3],LARGE((Montageplatten[Gesamt spezial]=$A$195)*(ROW(Montageplatten[Gesamt spezial])-1),COUNTIF(Montageplatten[Gesamt spezial],$A$195)+1-ROW(A4))),"")</f>
        <v/>
      </c>
      <c r="D911" s="168" t="str">
        <f t="array" aca="1" ref="D911" ca="1">IFERROR(INDEX(Montageplatten[Bezeichnung 1],LARGE((Montageplatten[Gesamt spezial]=$A$195)*(ROW(Montageplatten[Gesamt spezial])-1),COUNTIF(Montageplatten[Gesamt spezial],$A$195)+1-ROW(A4))),"")</f>
        <v/>
      </c>
      <c r="E911" s="168" t="str">
        <f t="array" aca="1" ref="E911" ca="1">IFERROR(INDEX(Montageplatten[Bezeichnung 2],LARGE((Montageplatten[Gesamt spezial]=$A$195)*(ROW(Montageplatten[Gesamt spezial])-1),COUNTIF(Montageplatten[Gesamt spezial],$A$195)+1-ROW(A4))),"")</f>
        <v/>
      </c>
      <c r="F911" s="168" t="str">
        <f t="array" aca="1" ref="F911" ca="1">IFERROR(INDEX(Montageplatten[Bezeichnung TGr],LARGE((Montageplatten[Gesamt spezial]=$A$195)*(ROW(Montageplatten[Gesamt spezial])-1),COUNTIF(Montageplatten[Gesamt spezial],$A$195)+1-ROW(A4))),"")</f>
        <v/>
      </c>
      <c r="G911" s="171" t="str">
        <f t="array" aca="1" ref="G911" ca="1">IFERROR(INDEX(Montageplatten[37/32],LARGE((Montageplatten[Gesamt spezial]=$A$195)*(ROW(Montageplatten[Gesamt spezial])-1),COUNTIF(Montageplatten[Gesamt spezial],$A$195)+1-ROW(A4))),"")</f>
        <v/>
      </c>
      <c r="H911" s="171" t="str">
        <f t="array" aca="1" ref="H911" ca="1">IFERROR(INDEX(Montageplatten[28/32],LARGE((Montageplatten[Gesamt spezial]=$A$195)*(ROW(Montageplatten[Gesamt spezial])-1),COUNTIF(Montageplatten[Gesamt spezial],$A$195)+1-ROW(A4))),"")</f>
        <v/>
      </c>
      <c r="I911" s="171" t="str">
        <f t="array" aca="1" ref="I911" ca="1">IFERROR(INDEX(Montageplatten[20/32],LARGE((Montageplatten[Gesamt spezial]=$A$195)*(ROW(Montageplatten[Gesamt spezial])-1),COUNTIF(Montageplatten[Gesamt spezial],$A$195)+1-ROW(A4))),"")</f>
        <v/>
      </c>
      <c r="J911" s="171" t="str">
        <f t="array" aca="1" ref="J911" ca="1">IFERROR(INDEX(Montageplatten[9,5/32],LARGE((Montageplatten[Gesamt spezial]=$A$195)*(ROW(Montageplatten[Gesamt spezial])-1),COUNTIF(Montageplatten[Gesamt spezial],$A$195)+1-ROW(A4))),"")</f>
        <v/>
      </c>
      <c r="K911" s="171" t="str">
        <f t="array" aca="1" ref="K911" ca="1">IFERROR(INDEX(Montageplatten[10/32],LARGE((Montageplatten[Gesamt spezial]=$A$195)*(ROW(Montageplatten[Gesamt spezial])-1),COUNTIF(Montageplatten[Gesamt spezial],$A$195)+1-ROW(A4))),"")</f>
        <v/>
      </c>
      <c r="L911" s="171" t="str">
        <f t="array" aca="1" ref="L911" ca="1">IFERROR(INDEX(Montageplatten[Höhe],LARGE((Montageplatten[Gesamt spezial]=$A$195)*(ROW(Montageplatten[Gesamt spezial])-1),COUNTIF(Montageplatten[Gesamt spezial],$A$195)+1-ROW(A4))),"")</f>
        <v/>
      </c>
      <c r="M911" s="8">
        <v>4</v>
      </c>
      <c r="N911" s="8"/>
      <c r="O911" s="8"/>
      <c r="P911" s="8"/>
      <c r="Q911" s="8"/>
    </row>
    <row r="912" spans="1:17" hidden="1" outlineLevel="1" x14ac:dyDescent="0.25">
      <c r="A912" s="168" t="str">
        <f t="array" aca="1" ref="A912" ca="1">IFERROR(INDEX(Montageplatten[Spalte1],LARGE((Montageplatten[Gesamt spezial]=$A$195)*(ROW(Montageplatten[Gesamt spezial])-1),COUNTIF(Montageplatten[Gesamt spezial],$A$195)+1-ROW(A5))),"")</f>
        <v/>
      </c>
      <c r="B912" s="168" t="str">
        <f t="array" aca="1" ref="B912" ca="1">IFERROR(INDEX(Montageplatten[Spalte2],LARGE((Montageplatten[Gesamt spezial]=$A$195)*(ROW(Montageplatten[Gesamt spezial])-1),COUNTIF(Montageplatten[Gesamt spezial],$A$195)+1-ROW(A5))),"")</f>
        <v/>
      </c>
      <c r="C912" s="168" t="str">
        <f t="array" aca="1" ref="C912" ca="1">IFERROR(INDEX(Montageplatten[Spalte3],LARGE((Montageplatten[Gesamt spezial]=$A$195)*(ROW(Montageplatten[Gesamt spezial])-1),COUNTIF(Montageplatten[Gesamt spezial],$A$195)+1-ROW(A5))),"")</f>
        <v/>
      </c>
      <c r="D912" s="168" t="str">
        <f t="array" aca="1" ref="D912" ca="1">IFERROR(INDEX(Montageplatten[Bezeichnung 1],LARGE((Montageplatten[Gesamt spezial]=$A$195)*(ROW(Montageplatten[Gesamt spezial])-1),COUNTIF(Montageplatten[Gesamt spezial],$A$195)+1-ROW(A5))),"")</f>
        <v/>
      </c>
      <c r="E912" s="168" t="str">
        <f t="array" aca="1" ref="E912" ca="1">IFERROR(INDEX(Montageplatten[Bezeichnung 2],LARGE((Montageplatten[Gesamt spezial]=$A$195)*(ROW(Montageplatten[Gesamt spezial])-1),COUNTIF(Montageplatten[Gesamt spezial],$A$195)+1-ROW(A5))),"")</f>
        <v/>
      </c>
      <c r="F912" s="168" t="str">
        <f t="array" aca="1" ref="F912" ca="1">IFERROR(INDEX(Montageplatten[Bezeichnung TGr],LARGE((Montageplatten[Gesamt spezial]=$A$195)*(ROW(Montageplatten[Gesamt spezial])-1),COUNTIF(Montageplatten[Gesamt spezial],$A$195)+1-ROW(A5))),"")</f>
        <v/>
      </c>
      <c r="G912" s="171" t="str">
        <f t="array" aca="1" ref="G912" ca="1">IFERROR(INDEX(Montageplatten[37/32],LARGE((Montageplatten[Gesamt spezial]=$A$195)*(ROW(Montageplatten[Gesamt spezial])-1),COUNTIF(Montageplatten[Gesamt spezial],$A$195)+1-ROW(A5))),"")</f>
        <v/>
      </c>
      <c r="H912" s="171" t="str">
        <f t="array" aca="1" ref="H912" ca="1">IFERROR(INDEX(Montageplatten[28/32],LARGE((Montageplatten[Gesamt spezial]=$A$195)*(ROW(Montageplatten[Gesamt spezial])-1),COUNTIF(Montageplatten[Gesamt spezial],$A$195)+1-ROW(A5))),"")</f>
        <v/>
      </c>
      <c r="I912" s="171" t="str">
        <f t="array" aca="1" ref="I912" ca="1">IFERROR(INDEX(Montageplatten[20/32],LARGE((Montageplatten[Gesamt spezial]=$A$195)*(ROW(Montageplatten[Gesamt spezial])-1),COUNTIF(Montageplatten[Gesamt spezial],$A$195)+1-ROW(A5))),"")</f>
        <v/>
      </c>
      <c r="J912" s="171" t="str">
        <f t="array" aca="1" ref="J912" ca="1">IFERROR(INDEX(Montageplatten[9,5/32],LARGE((Montageplatten[Gesamt spezial]=$A$195)*(ROW(Montageplatten[Gesamt spezial])-1),COUNTIF(Montageplatten[Gesamt spezial],$A$195)+1-ROW(A5))),"")</f>
        <v/>
      </c>
      <c r="K912" s="171" t="str">
        <f t="array" aca="1" ref="K912" ca="1">IFERROR(INDEX(Montageplatten[10/32],LARGE((Montageplatten[Gesamt spezial]=$A$195)*(ROW(Montageplatten[Gesamt spezial])-1),COUNTIF(Montageplatten[Gesamt spezial],$A$195)+1-ROW(A5))),"")</f>
        <v/>
      </c>
      <c r="L912" s="171" t="str">
        <f t="array" aca="1" ref="L912" ca="1">IFERROR(INDEX(Montageplatten[Höhe],LARGE((Montageplatten[Gesamt spezial]=$A$195)*(ROW(Montageplatten[Gesamt spezial])-1),COUNTIF(Montageplatten[Gesamt spezial],$A$195)+1-ROW(A5))),"")</f>
        <v/>
      </c>
      <c r="M912" s="3">
        <v>5</v>
      </c>
      <c r="N912" s="8"/>
      <c r="O912" s="8"/>
      <c r="P912" s="8"/>
      <c r="Q912" s="8"/>
    </row>
    <row r="913" spans="1:17" hidden="1" outlineLevel="1" x14ac:dyDescent="0.25">
      <c r="A913" s="168" t="str">
        <f t="array" aca="1" ref="A913" ca="1">IFERROR(INDEX(Montageplatten[Spalte1],LARGE((Montageplatten[Gesamt spezial]=$A$195)*(ROW(Montageplatten[Gesamt spezial])-1),COUNTIF(Montageplatten[Gesamt spezial],$A$195)+1-ROW(A6))),"")</f>
        <v/>
      </c>
      <c r="B913" s="168" t="str">
        <f t="array" aca="1" ref="B913" ca="1">IFERROR(INDEX(Montageplatten[Spalte2],LARGE((Montageplatten[Gesamt spezial]=$A$195)*(ROW(Montageplatten[Gesamt spezial])-1),COUNTIF(Montageplatten[Gesamt spezial],$A$195)+1-ROW(A6))),"")</f>
        <v/>
      </c>
      <c r="C913" s="168" t="str">
        <f t="array" aca="1" ref="C913" ca="1">IFERROR(INDEX(Montageplatten[Spalte3],LARGE((Montageplatten[Gesamt spezial]=$A$195)*(ROW(Montageplatten[Gesamt spezial])-1),COUNTIF(Montageplatten[Gesamt spezial],$A$195)+1-ROW(A6))),"")</f>
        <v/>
      </c>
      <c r="D913" s="168" t="str">
        <f t="array" aca="1" ref="D913" ca="1">IFERROR(INDEX(Montageplatten[Bezeichnung 1],LARGE((Montageplatten[Gesamt spezial]=$A$195)*(ROW(Montageplatten[Gesamt spezial])-1),COUNTIF(Montageplatten[Gesamt spezial],$A$195)+1-ROW(A6))),"")</f>
        <v/>
      </c>
      <c r="E913" s="168" t="str">
        <f t="array" aca="1" ref="E913" ca="1">IFERROR(INDEX(Montageplatten[Bezeichnung 2],LARGE((Montageplatten[Gesamt spezial]=$A$195)*(ROW(Montageplatten[Gesamt spezial])-1),COUNTIF(Montageplatten[Gesamt spezial],$A$195)+1-ROW(A6))),"")</f>
        <v/>
      </c>
      <c r="F913" s="168" t="str">
        <f t="array" aca="1" ref="F913" ca="1">IFERROR(INDEX(Montageplatten[Bezeichnung TGr],LARGE((Montageplatten[Gesamt spezial]=$A$195)*(ROW(Montageplatten[Gesamt spezial])-1),COUNTIF(Montageplatten[Gesamt spezial],$A$195)+1-ROW(A6))),"")</f>
        <v/>
      </c>
      <c r="G913" s="171" t="str">
        <f t="array" aca="1" ref="G913" ca="1">IFERROR(INDEX(Montageplatten[37/32],LARGE((Montageplatten[Gesamt spezial]=$A$195)*(ROW(Montageplatten[Gesamt spezial])-1),COUNTIF(Montageplatten[Gesamt spezial],$A$195)+1-ROW(A6))),"")</f>
        <v/>
      </c>
      <c r="H913" s="171" t="str">
        <f t="array" aca="1" ref="H913" ca="1">IFERROR(INDEX(Montageplatten[28/32],LARGE((Montageplatten[Gesamt spezial]=$A$195)*(ROW(Montageplatten[Gesamt spezial])-1),COUNTIF(Montageplatten[Gesamt spezial],$A$195)+1-ROW(A6))),"")</f>
        <v/>
      </c>
      <c r="I913" s="171" t="str">
        <f t="array" aca="1" ref="I913" ca="1">IFERROR(INDEX(Montageplatten[20/32],LARGE((Montageplatten[Gesamt spezial]=$A$195)*(ROW(Montageplatten[Gesamt spezial])-1),COUNTIF(Montageplatten[Gesamt spezial],$A$195)+1-ROW(A6))),"")</f>
        <v/>
      </c>
      <c r="J913" s="171" t="str">
        <f t="array" aca="1" ref="J913" ca="1">IFERROR(INDEX(Montageplatten[9,5/32],LARGE((Montageplatten[Gesamt spezial]=$A$195)*(ROW(Montageplatten[Gesamt spezial])-1),COUNTIF(Montageplatten[Gesamt spezial],$A$195)+1-ROW(A6))),"")</f>
        <v/>
      </c>
      <c r="K913" s="171" t="str">
        <f t="array" aca="1" ref="K913" ca="1">IFERROR(INDEX(Montageplatten[10/32],LARGE((Montageplatten[Gesamt spezial]=$A$195)*(ROW(Montageplatten[Gesamt spezial])-1),COUNTIF(Montageplatten[Gesamt spezial],$A$195)+1-ROW(A6))),"")</f>
        <v/>
      </c>
      <c r="L913" s="171" t="str">
        <f t="array" aca="1" ref="L913" ca="1">IFERROR(INDEX(Montageplatten[Höhe],LARGE((Montageplatten[Gesamt spezial]=$A$195)*(ROW(Montageplatten[Gesamt spezial])-1),COUNTIF(Montageplatten[Gesamt spezial],$A$195)+1-ROW(A6))),"")</f>
        <v/>
      </c>
      <c r="M913" s="8">
        <v>6</v>
      </c>
      <c r="N913" s="8"/>
      <c r="O913" s="8"/>
      <c r="P913" s="8"/>
      <c r="Q913" s="8"/>
    </row>
    <row r="914" spans="1:17" hidden="1" outlineLevel="1" x14ac:dyDescent="0.25">
      <c r="A914" s="168" t="str">
        <f t="array" aca="1" ref="A914" ca="1">IFERROR(INDEX(Montageplatten[Spalte1],LARGE((Montageplatten[Gesamt spezial]=$A$195)*(ROW(Montageplatten[Gesamt spezial])-1),COUNTIF(Montageplatten[Gesamt spezial],$A$195)+1-ROW(A7))),"")</f>
        <v/>
      </c>
      <c r="B914" s="168" t="str">
        <f t="array" aca="1" ref="B914" ca="1">IFERROR(INDEX(Montageplatten[Spalte2],LARGE((Montageplatten[Gesamt spezial]=$A$195)*(ROW(Montageplatten[Gesamt spezial])-1),COUNTIF(Montageplatten[Gesamt spezial],$A$195)+1-ROW(A7))),"")</f>
        <v/>
      </c>
      <c r="C914" s="168" t="str">
        <f t="array" aca="1" ref="C914" ca="1">IFERROR(INDEX(Montageplatten[Spalte3],LARGE((Montageplatten[Gesamt spezial]=$A$195)*(ROW(Montageplatten[Gesamt spezial])-1),COUNTIF(Montageplatten[Gesamt spezial],$A$195)+1-ROW(A7))),"")</f>
        <v/>
      </c>
      <c r="D914" s="168" t="str">
        <f t="array" aca="1" ref="D914" ca="1">IFERROR(INDEX(Montageplatten[Bezeichnung 1],LARGE((Montageplatten[Gesamt spezial]=$A$195)*(ROW(Montageplatten[Gesamt spezial])-1),COUNTIF(Montageplatten[Gesamt spezial],$A$195)+1-ROW(A7))),"")</f>
        <v/>
      </c>
      <c r="E914" s="168" t="str">
        <f t="array" aca="1" ref="E914" ca="1">IFERROR(INDEX(Montageplatten[Bezeichnung 2],LARGE((Montageplatten[Gesamt spezial]=$A$195)*(ROW(Montageplatten[Gesamt spezial])-1),COUNTIF(Montageplatten[Gesamt spezial],$A$195)+1-ROW(A7))),"")</f>
        <v/>
      </c>
      <c r="F914" s="168" t="str">
        <f t="array" aca="1" ref="F914" ca="1">IFERROR(INDEX(Montageplatten[Bezeichnung TGr],LARGE((Montageplatten[Gesamt spezial]=$A$195)*(ROW(Montageplatten[Gesamt spezial])-1),COUNTIF(Montageplatten[Gesamt spezial],$A$195)+1-ROW(A7))),"")</f>
        <v/>
      </c>
      <c r="G914" s="171" t="str">
        <f t="array" aca="1" ref="G914" ca="1">IFERROR(INDEX(Montageplatten[37/32],LARGE((Montageplatten[Gesamt spezial]=$A$195)*(ROW(Montageplatten[Gesamt spezial])-1),COUNTIF(Montageplatten[Gesamt spezial],$A$195)+1-ROW(A7))),"")</f>
        <v/>
      </c>
      <c r="H914" s="171" t="str">
        <f t="array" aca="1" ref="H914" ca="1">IFERROR(INDEX(Montageplatten[28/32],LARGE((Montageplatten[Gesamt spezial]=$A$195)*(ROW(Montageplatten[Gesamt spezial])-1),COUNTIF(Montageplatten[Gesamt spezial],$A$195)+1-ROW(A7))),"")</f>
        <v/>
      </c>
      <c r="I914" s="171" t="str">
        <f t="array" aca="1" ref="I914" ca="1">IFERROR(INDEX(Montageplatten[20/32],LARGE((Montageplatten[Gesamt spezial]=$A$195)*(ROW(Montageplatten[Gesamt spezial])-1),COUNTIF(Montageplatten[Gesamt spezial],$A$195)+1-ROW(A7))),"")</f>
        <v/>
      </c>
      <c r="J914" s="171" t="str">
        <f t="array" aca="1" ref="J914" ca="1">IFERROR(INDEX(Montageplatten[9,5/32],LARGE((Montageplatten[Gesamt spezial]=$A$195)*(ROW(Montageplatten[Gesamt spezial])-1),COUNTIF(Montageplatten[Gesamt spezial],$A$195)+1-ROW(A7))),"")</f>
        <v/>
      </c>
      <c r="K914" s="171" t="str">
        <f t="array" aca="1" ref="K914" ca="1">IFERROR(INDEX(Montageplatten[10/32],LARGE((Montageplatten[Gesamt spezial]=$A$195)*(ROW(Montageplatten[Gesamt spezial])-1),COUNTIF(Montageplatten[Gesamt spezial],$A$195)+1-ROW(A7))),"")</f>
        <v/>
      </c>
      <c r="L914" s="171" t="str">
        <f t="array" aca="1" ref="L914" ca="1">IFERROR(INDEX(Montageplatten[Höhe],LARGE((Montageplatten[Gesamt spezial]=$A$195)*(ROW(Montageplatten[Gesamt spezial])-1),COUNTIF(Montageplatten[Gesamt spezial],$A$195)+1-ROW(A7))),"")</f>
        <v/>
      </c>
      <c r="M914" s="3">
        <v>7</v>
      </c>
      <c r="N914" s="8"/>
      <c r="O914" s="8"/>
      <c r="P914" s="8"/>
      <c r="Q914" s="8"/>
    </row>
    <row r="915" spans="1:17" hidden="1" outlineLevel="1" x14ac:dyDescent="0.25">
      <c r="A915" s="168" t="str">
        <f t="array" aca="1" ref="A915" ca="1">IFERROR(INDEX(Montageplatten[Spalte1],LARGE((Montageplatten[Gesamt spezial]=$A$195)*(ROW(Montageplatten[Gesamt spezial])-1),COUNTIF(Montageplatten[Gesamt spezial],$A$195)+1-ROW(A8))),"")</f>
        <v/>
      </c>
      <c r="B915" s="168" t="str">
        <f t="array" aca="1" ref="B915" ca="1">IFERROR(INDEX(Montageplatten[Spalte2],LARGE((Montageplatten[Gesamt spezial]=$A$195)*(ROW(Montageplatten[Gesamt spezial])-1),COUNTIF(Montageplatten[Gesamt spezial],$A$195)+1-ROW(A8))),"")</f>
        <v/>
      </c>
      <c r="C915" s="168" t="str">
        <f t="array" aca="1" ref="C915" ca="1">IFERROR(INDEX(Montageplatten[Spalte3],LARGE((Montageplatten[Gesamt spezial]=$A$195)*(ROW(Montageplatten[Gesamt spezial])-1),COUNTIF(Montageplatten[Gesamt spezial],$A$195)+1-ROW(A8))),"")</f>
        <v/>
      </c>
      <c r="D915" s="168" t="str">
        <f t="array" aca="1" ref="D915" ca="1">IFERROR(INDEX(Montageplatten[Bezeichnung 1],LARGE((Montageplatten[Gesamt spezial]=$A$195)*(ROW(Montageplatten[Gesamt spezial])-1),COUNTIF(Montageplatten[Gesamt spezial],$A$195)+1-ROW(A8))),"")</f>
        <v/>
      </c>
      <c r="E915" s="168" t="str">
        <f t="array" aca="1" ref="E915" ca="1">IFERROR(INDEX(Montageplatten[Bezeichnung 2],LARGE((Montageplatten[Gesamt spezial]=$A$195)*(ROW(Montageplatten[Gesamt spezial])-1),COUNTIF(Montageplatten[Gesamt spezial],$A$195)+1-ROW(A8))),"")</f>
        <v/>
      </c>
      <c r="F915" s="168" t="str">
        <f t="array" aca="1" ref="F915" ca="1">IFERROR(INDEX(Montageplatten[Bezeichnung TGr],LARGE((Montageplatten[Gesamt spezial]=$A$195)*(ROW(Montageplatten[Gesamt spezial])-1),COUNTIF(Montageplatten[Gesamt spezial],$A$195)+1-ROW(A8))),"")</f>
        <v/>
      </c>
      <c r="G915" s="171" t="str">
        <f t="array" aca="1" ref="G915" ca="1">IFERROR(INDEX(Montageplatten[37/32],LARGE((Montageplatten[Gesamt spezial]=$A$195)*(ROW(Montageplatten[Gesamt spezial])-1),COUNTIF(Montageplatten[Gesamt spezial],$A$195)+1-ROW(A8))),"")</f>
        <v/>
      </c>
      <c r="H915" s="171" t="str">
        <f t="array" aca="1" ref="H915" ca="1">IFERROR(INDEX(Montageplatten[28/32],LARGE((Montageplatten[Gesamt spezial]=$A$195)*(ROW(Montageplatten[Gesamt spezial])-1),COUNTIF(Montageplatten[Gesamt spezial],$A$195)+1-ROW(A8))),"")</f>
        <v/>
      </c>
      <c r="I915" s="171" t="str">
        <f t="array" aca="1" ref="I915" ca="1">IFERROR(INDEX(Montageplatten[20/32],LARGE((Montageplatten[Gesamt spezial]=$A$195)*(ROW(Montageplatten[Gesamt spezial])-1),COUNTIF(Montageplatten[Gesamt spezial],$A$195)+1-ROW(A8))),"")</f>
        <v/>
      </c>
      <c r="J915" s="171" t="str">
        <f t="array" aca="1" ref="J915" ca="1">IFERROR(INDEX(Montageplatten[9,5/32],LARGE((Montageplatten[Gesamt spezial]=$A$195)*(ROW(Montageplatten[Gesamt spezial])-1),COUNTIF(Montageplatten[Gesamt spezial],$A$195)+1-ROW(A8))),"")</f>
        <v/>
      </c>
      <c r="K915" s="171" t="str">
        <f t="array" aca="1" ref="K915" ca="1">IFERROR(INDEX(Montageplatten[10/32],LARGE((Montageplatten[Gesamt spezial]=$A$195)*(ROW(Montageplatten[Gesamt spezial])-1),COUNTIF(Montageplatten[Gesamt spezial],$A$195)+1-ROW(A8))),"")</f>
        <v/>
      </c>
      <c r="L915" s="171" t="str">
        <f t="array" aca="1" ref="L915" ca="1">IFERROR(INDEX(Montageplatten[Höhe],LARGE((Montageplatten[Gesamt spezial]=$A$195)*(ROW(Montageplatten[Gesamt spezial])-1),COUNTIF(Montageplatten[Gesamt spezial],$A$195)+1-ROW(A8))),"")</f>
        <v/>
      </c>
      <c r="M915" s="8">
        <v>8</v>
      </c>
      <c r="N915" s="8"/>
      <c r="O915" s="8"/>
      <c r="P915" s="8"/>
      <c r="Q915" s="8"/>
    </row>
    <row r="916" spans="1:17" hidden="1" outlineLevel="1" x14ac:dyDescent="0.25">
      <c r="A916" s="168" t="str">
        <f t="array" aca="1" ref="A916" ca="1">IFERROR(INDEX(Montageplatten[Spalte1],LARGE((Montageplatten[Gesamt spezial]=$A$195)*(ROW(Montageplatten[Gesamt spezial])-1),COUNTIF(Montageplatten[Gesamt spezial],$A$195)+1-ROW(A9))),"")</f>
        <v/>
      </c>
      <c r="B916" s="168" t="str">
        <f t="array" aca="1" ref="B916" ca="1">IFERROR(INDEX(Montageplatten[Spalte2],LARGE((Montageplatten[Gesamt spezial]=$A$195)*(ROW(Montageplatten[Gesamt spezial])-1),COUNTIF(Montageplatten[Gesamt spezial],$A$195)+1-ROW(A9))),"")</f>
        <v/>
      </c>
      <c r="C916" s="168" t="str">
        <f t="array" aca="1" ref="C916" ca="1">IFERROR(INDEX(Montageplatten[Spalte3],LARGE((Montageplatten[Gesamt spezial]=$A$195)*(ROW(Montageplatten[Gesamt spezial])-1),COUNTIF(Montageplatten[Gesamt spezial],$A$195)+1-ROW(A9))),"")</f>
        <v/>
      </c>
      <c r="D916" s="168" t="str">
        <f t="array" aca="1" ref="D916" ca="1">IFERROR(INDEX(Montageplatten[Bezeichnung 1],LARGE((Montageplatten[Gesamt spezial]=$A$195)*(ROW(Montageplatten[Gesamt spezial])-1),COUNTIF(Montageplatten[Gesamt spezial],$A$195)+1-ROW(A9))),"")</f>
        <v/>
      </c>
      <c r="E916" s="168" t="str">
        <f t="array" aca="1" ref="E916" ca="1">IFERROR(INDEX(Montageplatten[Bezeichnung 2],LARGE((Montageplatten[Gesamt spezial]=$A$195)*(ROW(Montageplatten[Gesamt spezial])-1),COUNTIF(Montageplatten[Gesamt spezial],$A$195)+1-ROW(A9))),"")</f>
        <v/>
      </c>
      <c r="F916" s="168" t="str">
        <f t="array" aca="1" ref="F916" ca="1">IFERROR(INDEX(Montageplatten[Bezeichnung TGr],LARGE((Montageplatten[Gesamt spezial]=$A$195)*(ROW(Montageplatten[Gesamt spezial])-1),COUNTIF(Montageplatten[Gesamt spezial],$A$195)+1-ROW(A9))),"")</f>
        <v/>
      </c>
      <c r="G916" s="171" t="str">
        <f t="array" aca="1" ref="G916" ca="1">IFERROR(INDEX(Montageplatten[37/32],LARGE((Montageplatten[Gesamt spezial]=$A$195)*(ROW(Montageplatten[Gesamt spezial])-1),COUNTIF(Montageplatten[Gesamt spezial],$A$195)+1-ROW(A9))),"")</f>
        <v/>
      </c>
      <c r="H916" s="171" t="str">
        <f t="array" aca="1" ref="H916" ca="1">IFERROR(INDEX(Montageplatten[28/32],LARGE((Montageplatten[Gesamt spezial]=$A$195)*(ROW(Montageplatten[Gesamt spezial])-1),COUNTIF(Montageplatten[Gesamt spezial],$A$195)+1-ROW(A9))),"")</f>
        <v/>
      </c>
      <c r="I916" s="171" t="str">
        <f t="array" aca="1" ref="I916" ca="1">IFERROR(INDEX(Montageplatten[20/32],LARGE((Montageplatten[Gesamt spezial]=$A$195)*(ROW(Montageplatten[Gesamt spezial])-1),COUNTIF(Montageplatten[Gesamt spezial],$A$195)+1-ROW(A9))),"")</f>
        <v/>
      </c>
      <c r="J916" s="171" t="str">
        <f t="array" aca="1" ref="J916" ca="1">IFERROR(INDEX(Montageplatten[9,5/32],LARGE((Montageplatten[Gesamt spezial]=$A$195)*(ROW(Montageplatten[Gesamt spezial])-1),COUNTIF(Montageplatten[Gesamt spezial],$A$195)+1-ROW(A9))),"")</f>
        <v/>
      </c>
      <c r="K916" s="171" t="str">
        <f t="array" aca="1" ref="K916" ca="1">IFERROR(INDEX(Montageplatten[10/32],LARGE((Montageplatten[Gesamt spezial]=$A$195)*(ROW(Montageplatten[Gesamt spezial])-1),COUNTIF(Montageplatten[Gesamt spezial],$A$195)+1-ROW(A9))),"")</f>
        <v/>
      </c>
      <c r="L916" s="171" t="str">
        <f t="array" aca="1" ref="L916" ca="1">IFERROR(INDEX(Montageplatten[Höhe],LARGE((Montageplatten[Gesamt spezial]=$A$195)*(ROW(Montageplatten[Gesamt spezial])-1),COUNTIF(Montageplatten[Gesamt spezial],$A$195)+1-ROW(A9))),"")</f>
        <v/>
      </c>
      <c r="M916" s="3">
        <v>9</v>
      </c>
      <c r="N916" s="8"/>
      <c r="O916" s="8"/>
      <c r="P916" s="8"/>
      <c r="Q916" s="8"/>
    </row>
    <row r="917" spans="1:17" hidden="1" outlineLevel="1" x14ac:dyDescent="0.25">
      <c r="A917" s="168" t="str">
        <f t="array" aca="1" ref="A917" ca="1">IFERROR(INDEX(Montageplatten[Spalte1],LARGE((Montageplatten[Gesamt spezial]=$A$195)*(ROW(Montageplatten[Gesamt spezial])-1),COUNTIF(Montageplatten[Gesamt spezial],$A$195)+1-ROW(A10))),"")</f>
        <v/>
      </c>
      <c r="B917" s="168" t="str">
        <f t="array" aca="1" ref="B917" ca="1">IFERROR(INDEX(Montageplatten[Spalte2],LARGE((Montageplatten[Gesamt spezial]=$A$195)*(ROW(Montageplatten[Gesamt spezial])-1),COUNTIF(Montageplatten[Gesamt spezial],$A$195)+1-ROW(A10))),"")</f>
        <v/>
      </c>
      <c r="C917" s="168" t="str">
        <f t="array" aca="1" ref="C917" ca="1">IFERROR(INDEX(Montageplatten[Spalte3],LARGE((Montageplatten[Gesamt spezial]=$A$195)*(ROW(Montageplatten[Gesamt spezial])-1),COUNTIF(Montageplatten[Gesamt spezial],$A$195)+1-ROW(A10))),"")</f>
        <v/>
      </c>
      <c r="D917" s="168" t="str">
        <f t="array" aca="1" ref="D917" ca="1">IFERROR(INDEX(Montageplatten[Bezeichnung 1],LARGE((Montageplatten[Gesamt spezial]=$A$195)*(ROW(Montageplatten[Gesamt spezial])-1),COUNTIF(Montageplatten[Gesamt spezial],$A$195)+1-ROW(A10))),"")</f>
        <v/>
      </c>
      <c r="E917" s="168" t="str">
        <f t="array" aca="1" ref="E917" ca="1">IFERROR(INDEX(Montageplatten[Bezeichnung 2],LARGE((Montageplatten[Gesamt spezial]=$A$195)*(ROW(Montageplatten[Gesamt spezial])-1),COUNTIF(Montageplatten[Gesamt spezial],$A$195)+1-ROW(A10))),"")</f>
        <v/>
      </c>
      <c r="F917" s="168" t="str">
        <f t="array" aca="1" ref="F917" ca="1">IFERROR(INDEX(Montageplatten[Bezeichnung TGr],LARGE((Montageplatten[Gesamt spezial]=$A$195)*(ROW(Montageplatten[Gesamt spezial])-1),COUNTIF(Montageplatten[Gesamt spezial],$A$195)+1-ROW(A10))),"")</f>
        <v/>
      </c>
      <c r="G917" s="171" t="str">
        <f t="array" aca="1" ref="G917" ca="1">IFERROR(INDEX(Montageplatten[37/32],LARGE((Montageplatten[Gesamt spezial]=$A$195)*(ROW(Montageplatten[Gesamt spezial])-1),COUNTIF(Montageplatten[Gesamt spezial],$A$195)+1-ROW(A10))),"")</f>
        <v/>
      </c>
      <c r="H917" s="171" t="str">
        <f t="array" aca="1" ref="H917" ca="1">IFERROR(INDEX(Montageplatten[28/32],LARGE((Montageplatten[Gesamt spezial]=$A$195)*(ROW(Montageplatten[Gesamt spezial])-1),COUNTIF(Montageplatten[Gesamt spezial],$A$195)+1-ROW(A10))),"")</f>
        <v/>
      </c>
      <c r="I917" s="171" t="str">
        <f t="array" aca="1" ref="I917" ca="1">IFERROR(INDEX(Montageplatten[20/32],LARGE((Montageplatten[Gesamt spezial]=$A$195)*(ROW(Montageplatten[Gesamt spezial])-1),COUNTIF(Montageplatten[Gesamt spezial],$A$195)+1-ROW(A10))),"")</f>
        <v/>
      </c>
      <c r="J917" s="171" t="str">
        <f t="array" aca="1" ref="J917" ca="1">IFERROR(INDEX(Montageplatten[9,5/32],LARGE((Montageplatten[Gesamt spezial]=$A$195)*(ROW(Montageplatten[Gesamt spezial])-1),COUNTIF(Montageplatten[Gesamt spezial],$A$195)+1-ROW(A10))),"")</f>
        <v/>
      </c>
      <c r="K917" s="171" t="str">
        <f t="array" aca="1" ref="K917" ca="1">IFERROR(INDEX(Montageplatten[10/32],LARGE((Montageplatten[Gesamt spezial]=$A$195)*(ROW(Montageplatten[Gesamt spezial])-1),COUNTIF(Montageplatten[Gesamt spezial],$A$195)+1-ROW(A10))),"")</f>
        <v/>
      </c>
      <c r="L917" s="171" t="str">
        <f t="array" aca="1" ref="L917" ca="1">IFERROR(INDEX(Montageplatten[Höhe],LARGE((Montageplatten[Gesamt spezial]=$A$195)*(ROW(Montageplatten[Gesamt spezial])-1),COUNTIF(Montageplatten[Gesamt spezial],$A$195)+1-ROW(A10))),"")</f>
        <v/>
      </c>
      <c r="M917" s="8">
        <v>10</v>
      </c>
      <c r="N917" s="8"/>
      <c r="O917" s="8"/>
      <c r="P917" s="8"/>
      <c r="Q917" s="8"/>
    </row>
    <row r="918" spans="1:17" hidden="1" outlineLevel="1" x14ac:dyDescent="0.25">
      <c r="A918" s="168" t="str">
        <f t="array" aca="1" ref="A918" ca="1">IFERROR(INDEX(Montageplatten[Spalte1],LARGE((Montageplatten[Gesamt spezial]=$A$195)*(ROW(Montageplatten[Gesamt spezial])-1),COUNTIF(Montageplatten[Gesamt spezial],$A$195)+1-ROW(A11))),"")</f>
        <v/>
      </c>
      <c r="B918" s="168" t="str">
        <f t="array" aca="1" ref="B918" ca="1">IFERROR(INDEX(Montageplatten[Spalte2],LARGE((Montageplatten[Gesamt spezial]=$A$195)*(ROW(Montageplatten[Gesamt spezial])-1),COUNTIF(Montageplatten[Gesamt spezial],$A$195)+1-ROW(A11))),"")</f>
        <v/>
      </c>
      <c r="C918" s="168" t="str">
        <f t="array" aca="1" ref="C918" ca="1">IFERROR(INDEX(Montageplatten[Spalte3],LARGE((Montageplatten[Gesamt spezial]=$A$195)*(ROW(Montageplatten[Gesamt spezial])-1),COUNTIF(Montageplatten[Gesamt spezial],$A$195)+1-ROW(A11))),"")</f>
        <v/>
      </c>
      <c r="D918" s="168" t="str">
        <f t="array" aca="1" ref="D918" ca="1">IFERROR(INDEX(Montageplatten[Bezeichnung 1],LARGE((Montageplatten[Gesamt spezial]=$A$195)*(ROW(Montageplatten[Gesamt spezial])-1),COUNTIF(Montageplatten[Gesamt spezial],$A$195)+1-ROW(A11))),"")</f>
        <v/>
      </c>
      <c r="E918" s="168" t="str">
        <f t="array" aca="1" ref="E918" ca="1">IFERROR(INDEX(Montageplatten[Bezeichnung 2],LARGE((Montageplatten[Gesamt spezial]=$A$195)*(ROW(Montageplatten[Gesamt spezial])-1),COUNTIF(Montageplatten[Gesamt spezial],$A$195)+1-ROW(A11))),"")</f>
        <v/>
      </c>
      <c r="F918" s="168" t="str">
        <f t="array" aca="1" ref="F918" ca="1">IFERROR(INDEX(Montageplatten[Bezeichnung TGr],LARGE((Montageplatten[Gesamt spezial]=$A$195)*(ROW(Montageplatten[Gesamt spezial])-1),COUNTIF(Montageplatten[Gesamt spezial],$A$195)+1-ROW(A11))),"")</f>
        <v/>
      </c>
      <c r="G918" s="171" t="str">
        <f t="array" aca="1" ref="G918" ca="1">IFERROR(INDEX(Montageplatten[37/32],LARGE((Montageplatten[Gesamt spezial]=$A$195)*(ROW(Montageplatten[Gesamt spezial])-1),COUNTIF(Montageplatten[Gesamt spezial],$A$195)+1-ROW(A11))),"")</f>
        <v/>
      </c>
      <c r="H918" s="171" t="str">
        <f t="array" aca="1" ref="H918" ca="1">IFERROR(INDEX(Montageplatten[28/32],LARGE((Montageplatten[Gesamt spezial]=$A$195)*(ROW(Montageplatten[Gesamt spezial])-1),COUNTIF(Montageplatten[Gesamt spezial],$A$195)+1-ROW(A11))),"")</f>
        <v/>
      </c>
      <c r="I918" s="171" t="str">
        <f t="array" aca="1" ref="I918" ca="1">IFERROR(INDEX(Montageplatten[20/32],LARGE((Montageplatten[Gesamt spezial]=$A$195)*(ROW(Montageplatten[Gesamt spezial])-1),COUNTIF(Montageplatten[Gesamt spezial],$A$195)+1-ROW(A11))),"")</f>
        <v/>
      </c>
      <c r="J918" s="171" t="str">
        <f t="array" aca="1" ref="J918" ca="1">IFERROR(INDEX(Montageplatten[9,5/32],LARGE((Montageplatten[Gesamt spezial]=$A$195)*(ROW(Montageplatten[Gesamt spezial])-1),COUNTIF(Montageplatten[Gesamt spezial],$A$195)+1-ROW(A11))),"")</f>
        <v/>
      </c>
      <c r="K918" s="171" t="str">
        <f t="array" aca="1" ref="K918" ca="1">IFERROR(INDEX(Montageplatten[10/32],LARGE((Montageplatten[Gesamt spezial]=$A$195)*(ROW(Montageplatten[Gesamt spezial])-1),COUNTIF(Montageplatten[Gesamt spezial],$A$195)+1-ROW(A11))),"")</f>
        <v/>
      </c>
      <c r="L918" s="171" t="str">
        <f t="array" aca="1" ref="L918" ca="1">IFERROR(INDEX(Montageplatten[Höhe],LARGE((Montageplatten[Gesamt spezial]=$A$195)*(ROW(Montageplatten[Gesamt spezial])-1),COUNTIF(Montageplatten[Gesamt spezial],$A$195)+1-ROW(A11))),"")</f>
        <v/>
      </c>
      <c r="M918" s="3">
        <v>11</v>
      </c>
    </row>
    <row r="919" spans="1:17" hidden="1" outlineLevel="1" x14ac:dyDescent="0.25"/>
    <row r="920" spans="1:17" hidden="1" outlineLevel="1" x14ac:dyDescent="0.25">
      <c r="A920" t="s">
        <v>20</v>
      </c>
    </row>
    <row r="921" spans="1:17" ht="15.75" hidden="1" outlineLevel="1" thickBot="1" x14ac:dyDescent="0.3">
      <c r="A921" t="s">
        <v>40</v>
      </c>
      <c r="J921">
        <f ca="1">VLOOKUP(J922,J923:O927,6,FALSE)</f>
        <v>1</v>
      </c>
      <c r="K921" s="131" t="str">
        <f ca="1">IF(N921=0,Sprache!$A$56&amp;" "&amp;Sprache!$A$147,IF(J921=0,Sprache!$A$51,""))</f>
        <v/>
      </c>
      <c r="M921" t="s">
        <v>1853</v>
      </c>
      <c r="N921">
        <f ca="1">SUM(O923:O927)</f>
        <v>1</v>
      </c>
    </row>
    <row r="922" spans="1:17" ht="15.75" hidden="1" outlineLevel="1" thickBot="1" x14ac:dyDescent="0.3">
      <c r="A922" s="18" t="str">
        <f t="array" aca="1" ref="A922" ca="1">IFERROR(INDEX(select!$D$908:$D$918,LARGE(($G$908:$G$918=select!$L$178)*(ROW($G$908:$G$918)-$B$907),COUNTIF($G$908:$G$918,1)+1-ROW(A1))),Sprache!$A$56&amp;" "&amp;Sprache!$A$146)</f>
        <v>1D Kreuz Mtg-Platte</v>
      </c>
      <c r="B922" s="18" t="str">
        <f t="array" aca="1" ref="B922" ca="1">IFERROR(INDEX(F908:F918,LARGE(($G$908:$G$918=select!$L$178)*(ROW($G$908:$G$918)-$B$907),COUNTIF($G$908:$G$918,1)+1-ROW(A1))),Sprache!$A$38)</f>
        <v>Tiomos Montageplatten</v>
      </c>
      <c r="C922" s="18" t="str">
        <f t="array" aca="1" ref="C922" ca="1">IFERROR(INDEX(select!$E$908:$E$918,LARGE(($G$908:$G$918=select!$L$178)*(ROW($G$908:$G$918)-$B$907),COUNTIF($G$908:$G$918,1)+1-ROW(A1))),"")</f>
        <v>H 14, ni /37</v>
      </c>
      <c r="D922" s="18">
        <f t="array" aca="1" ref="D922" ca="1">IFERROR(INDEX(select!$L$908:$L$918,LARGE(($G$908:$G$918=select!$L$178)*(ROW($G$908:$G$918)-$B$907),COUNTIF($G$908:$G$918,1)+1-ROW(A1))),"")</f>
        <v>14</v>
      </c>
      <c r="E922" s="18" t="str">
        <f t="array" aca="1" ref="E922" ca="1">IFERROR(INDEX(select!$A$908:$A$918,LARGE(($G$908:$G$918=select!$L$178)*(ROW($G$908:$G$918)-$B$907),COUNTIF($G$908:$G$918,1)+1-ROW(A1))),"")</f>
        <v>F058</v>
      </c>
      <c r="F922" s="18" t="str">
        <f t="array" aca="1" ref="F922" ca="1">IFERROR(INDEX(select!$B$908:$B$918,LARGE(($G$908:$G$918=select!$L$178)*(ROW($G$908:$G$918)-$B$907),COUNTIF($G$908:$G$918,1)+1-ROW(A1))),"")</f>
        <v>139</v>
      </c>
      <c r="G922" s="18" t="str">
        <f t="array" aca="1" ref="G922" ca="1">IFERROR(INDEX(select!$C$908:$C$918,LARGE(($G$908:$G$918=select!$L$178)*(ROW($G$908:$G$918)-$B$907),COUNTIF($G$908:$G$918,1)+1-ROW(A1))),"")</f>
        <v>889</v>
      </c>
      <c r="H922" s="3"/>
      <c r="J922" s="288">
        <v>1</v>
      </c>
      <c r="K922" t="s">
        <v>894</v>
      </c>
      <c r="L922" t="str">
        <f>VLOOKUP(J922,J923:L927,3,FALSE)</f>
        <v>37/32</v>
      </c>
      <c r="M922" s="206">
        <f>VLOOKUP(J922,J923:M927,4,FALSE)</f>
        <v>0</v>
      </c>
    </row>
    <row r="923" spans="1:17" hidden="1" outlineLevel="1" x14ac:dyDescent="0.25">
      <c r="A923" s="18" t="str">
        <f t="array" aca="1" ref="A923" ca="1">IFERROR(INDEX(select!$D$908:$D$918,LARGE(($G$908:$G$918=select!$L$178)*(ROW($G$908:$G$918)-$B$907),COUNTIF($G$908:$G$918,1)+1-ROW(A2))),"")</f>
        <v/>
      </c>
      <c r="B923" s="18" t="str">
        <f t="array" aca="1" ref="B923" ca="1">IFERROR(INDEX($F$908:$F$918,LARGE(($G$908:$G$918=select!$L$178)*(ROW($G$908:$G$918)-$B$907),COUNTIF($G$908:$G$918,1)+1-ROW(A2))),"")</f>
        <v/>
      </c>
      <c r="C923" s="18" t="str">
        <f t="array" aca="1" ref="C923" ca="1">IFERROR(INDEX(select!$E$908:$E$918,LARGE(($G$908:$G$918=select!$L$178)*(ROW($G$908:$G$918)-$B$907),COUNTIF($G$908:$G$918,1)+1-ROW(A2))),"")</f>
        <v/>
      </c>
      <c r="D923" s="18" t="str">
        <f t="array" aca="1" ref="D923" ca="1">IFERROR(INDEX(select!$L$908:$L$918,LARGE(($G$908:$G$918=select!$L$178)*(ROW($G$908:$G$918)-$B$907),COUNTIF($G$908:$G$918,1)+1-ROW(A2))),"")</f>
        <v/>
      </c>
      <c r="E923" s="18" t="str">
        <f t="array" aca="1" ref="E923" ca="1">IFERROR(INDEX(select!$A$908:$A$918,LARGE(($G$908:$G$918=select!$L$178)*(ROW($G$908:$G$918)-$B$907),COUNTIF($G$908:$G$918,1)+1-ROW(A2))),"")</f>
        <v/>
      </c>
      <c r="F923" s="18" t="str">
        <f t="array" aca="1" ref="F923" ca="1">IFERROR(INDEX(select!$B$908:$B$918,LARGE(($G$908:$G$918=select!$L$178)*(ROW($G$908:$G$918)-$B$907),COUNTIF($G$908:$G$918,1)+1-ROW(A2))),"")</f>
        <v/>
      </c>
      <c r="G923" s="18" t="str">
        <f t="array" aca="1" ref="G923" ca="1">IFERROR(INDEX(select!$C$908:$C$918,LARGE(($G$908:$G$918=select!$L$178)*(ROW($G$908:$G$918)-$B$907),COUNTIF($G$908:$G$918,1)+1-ROW(A2))),"")</f>
        <v/>
      </c>
      <c r="J923">
        <v>1</v>
      </c>
      <c r="K923" s="296" t="str">
        <f ca="1">IF(O923&lt;&gt;0,$B$6&amp;" "&amp;L923,$B$5&amp;" "&amp;L923)</f>
        <v>✓ 37/32</v>
      </c>
      <c r="L923" t="s">
        <v>40</v>
      </c>
      <c r="M923">
        <v>0</v>
      </c>
      <c r="N923">
        <f ca="1">SUM(G908:G918)</f>
        <v>1</v>
      </c>
      <c r="O923">
        <f ca="1">AD813</f>
        <v>1</v>
      </c>
    </row>
    <row r="924" spans="1:17" hidden="1" outlineLevel="1" x14ac:dyDescent="0.25">
      <c r="A924" s="18" t="str">
        <f t="array" aca="1" ref="A924" ca="1">IFERROR(INDEX(select!$D$908:$D$918,LARGE(($G$908:$G$918=select!$L$178)*(ROW($G$908:$G$918)-$B$907),COUNTIF($G$908:$G$918,1)+1-ROW(A3))),"")</f>
        <v/>
      </c>
      <c r="B924" s="18" t="str">
        <f t="array" aca="1" ref="B924" ca="1">IFERROR(INDEX($F$908:$F$918,LARGE(($G$908:$G$918=select!$L$178)*(ROW($G$908:$G$918)-$B$907),COUNTIF($G$908:$G$918,1)+1-ROW(A3))),"")</f>
        <v/>
      </c>
      <c r="C924" s="18" t="str">
        <f t="array" aca="1" ref="C924" ca="1">IFERROR(INDEX(select!$E$908:$E$918,LARGE(($G$908:$G$918=select!$L$178)*(ROW($G$908:$G$918)-$B$907),COUNTIF($G$908:$G$918,1)+1-ROW(A3))),"")</f>
        <v/>
      </c>
      <c r="D924" s="18" t="str">
        <f t="array" aca="1" ref="D924" ca="1">IFERROR(INDEX(select!$L$908:$L$918,LARGE(($G$908:$G$918=select!$L$178)*(ROW($G$908:$G$918)-$B$907),COUNTIF($G$908:$G$918,1)+1-ROW(A3))),"")</f>
        <v/>
      </c>
      <c r="E924" s="18" t="str">
        <f t="array" aca="1" ref="E924" ca="1">IFERROR(INDEX(select!$A$908:$A$918,LARGE(($G$908:$G$918=select!$L$178)*(ROW($G$908:$G$918)-$B$907),COUNTIF($G$908:$G$918,1)+1-ROW(A3))),"")</f>
        <v/>
      </c>
      <c r="F924" s="18" t="str">
        <f t="array" aca="1" ref="F924" ca="1">IFERROR(INDEX(select!$B$908:$B$918,LARGE(($G$908:$G$918=select!$L$178)*(ROW($G$908:$G$918)-$B$907),COUNTIF($G$908:$G$918,1)+1-ROW(A3))),"")</f>
        <v/>
      </c>
      <c r="G924" s="18" t="str">
        <f t="array" aca="1" ref="G924" ca="1">IFERROR(INDEX(select!$C$908:$C$918,LARGE(($G$908:$G$918=select!$L$178)*(ROW($G$908:$G$918)-$B$907),COUNTIF($G$908:$G$918,1)+1-ROW(A3))),"")</f>
        <v/>
      </c>
      <c r="J924">
        <v>2</v>
      </c>
      <c r="K924" s="296" t="str">
        <f t="shared" ref="K924:K927" ca="1" si="222">IF(O924&lt;&gt;0,$B$6&amp;" "&amp;L924,$B$5&amp;" "&amp;L924)</f>
        <v xml:space="preserve">     28/32</v>
      </c>
      <c r="L924" t="s">
        <v>41</v>
      </c>
      <c r="M924">
        <v>9</v>
      </c>
      <c r="N924">
        <f ca="1">SUM(H908:H918)</f>
        <v>0</v>
      </c>
      <c r="O924">
        <f ca="1">AD815</f>
        <v>0</v>
      </c>
    </row>
    <row r="925" spans="1:17" hidden="1" outlineLevel="1" x14ac:dyDescent="0.25">
      <c r="A925" s="18" t="str">
        <f t="array" aca="1" ref="A925" ca="1">IFERROR(INDEX(select!$D$908:$D$918,LARGE(($G$908:$G$918=select!$L$178)*(ROW($G$908:$G$918)-$B$907),COUNTIF($G$908:$G$918,1)+1-ROW(A4))),"")</f>
        <v/>
      </c>
      <c r="B925" s="18" t="str">
        <f t="array" aca="1" ref="B925" ca="1">IFERROR(INDEX($F$908:$F$918,LARGE(($G$908:$G$918=select!$L$178)*(ROW($G$908:$G$918)-$B$907),COUNTIF($G$908:$G$918,1)+1-ROW(A4))),"")</f>
        <v/>
      </c>
      <c r="C925" s="18" t="str">
        <f t="array" aca="1" ref="C925" ca="1">IFERROR(INDEX(select!$E$908:$E$918,LARGE(($G$908:$G$918=select!$L$178)*(ROW($G$908:$G$918)-$B$907),COUNTIF($G$908:$G$918,1)+1-ROW(A4))),"")</f>
        <v/>
      </c>
      <c r="D925" s="18" t="str">
        <f t="array" aca="1" ref="D925" ca="1">IFERROR(INDEX(select!$L$908:$L$918,LARGE(($G$908:$G$918=select!$L$178)*(ROW($G$908:$G$918)-$B$907),COUNTIF($G$908:$G$918,1)+1-ROW(A4))),"")</f>
        <v/>
      </c>
      <c r="E925" s="18" t="str">
        <f t="array" aca="1" ref="E925" ca="1">IFERROR(INDEX(select!$A$908:$A$918,LARGE(($G$908:$G$918=select!$L$178)*(ROW($G$908:$G$918)-$B$907),COUNTIF($G$908:$G$918,1)+1-ROW(A4))),"")</f>
        <v/>
      </c>
      <c r="F925" s="18" t="str">
        <f t="array" aca="1" ref="F925" ca="1">IFERROR(INDEX(select!$B$908:$B$918,LARGE(($G$908:$G$918=select!$L$178)*(ROW($G$908:$G$918)-$B$907),COUNTIF($G$908:$G$918,1)+1-ROW(A4))),"")</f>
        <v/>
      </c>
      <c r="G925" s="18" t="str">
        <f t="array" aca="1" ref="G925" ca="1">IFERROR(INDEX(select!$C$908:$C$918,LARGE(($G$908:$G$918=select!$L$178)*(ROW($G$908:$G$918)-$B$907),COUNTIF($G$908:$G$918,1)+1-ROW(A4))),"")</f>
        <v/>
      </c>
      <c r="J925">
        <v>3</v>
      </c>
      <c r="K925" s="296" t="str">
        <f t="shared" ca="1" si="222"/>
        <v xml:space="preserve">     20/32</v>
      </c>
      <c r="L925" t="s">
        <v>1358</v>
      </c>
      <c r="M925">
        <v>0</v>
      </c>
      <c r="N925">
        <f ca="1">SUM(I908:I918)</f>
        <v>0</v>
      </c>
      <c r="O925">
        <f ca="1">AD817</f>
        <v>0</v>
      </c>
    </row>
    <row r="926" spans="1:17" hidden="1" outlineLevel="1" x14ac:dyDescent="0.25">
      <c r="A926" s="18" t="str">
        <f t="array" aca="1" ref="A926" ca="1">IFERROR(INDEX(select!$D$908:$D$918,LARGE(($G$908:$G$918=select!$L$178)*(ROW($G$908:$G$918)-$B$907),COUNTIF($G$908:$G$918,1)+1-ROW(A5))),"")</f>
        <v/>
      </c>
      <c r="B926" s="18" t="str">
        <f t="array" aca="1" ref="B926" ca="1">IFERROR(INDEX($F$908:$F$918,LARGE(($G$908:$G$918=select!$L$178)*(ROW($G$908:$G$918)-$B$907),COUNTIF($G$908:$G$918,1)+1-ROW(A5))),"")</f>
        <v/>
      </c>
      <c r="C926" s="18" t="str">
        <f t="array" aca="1" ref="C926" ca="1">IFERROR(INDEX(select!$E$908:$E$918,LARGE(($G$908:$G$918=select!$L$178)*(ROW($G$908:$G$918)-$B$907),COUNTIF($G$908:$G$918,1)+1-ROW(A5))),"")</f>
        <v/>
      </c>
      <c r="D926" s="18" t="str">
        <f t="array" aca="1" ref="D926" ca="1">IFERROR(INDEX(select!$L$908:$L$918,LARGE(($G$908:$G$918=select!$L$178)*(ROW($G$908:$G$918)-$B$907),COUNTIF($G$908:$G$918,1)+1-ROW(A5))),"")</f>
        <v/>
      </c>
      <c r="E926" s="18" t="str">
        <f t="array" aca="1" ref="E926" ca="1">IFERROR(INDEX(select!$A$908:$A$918,LARGE(($G$908:$G$918=select!$L$178)*(ROW($G$908:$G$918)-$B$907),COUNTIF($G$908:$G$918,1)+1-ROW(A5))),"")</f>
        <v/>
      </c>
      <c r="F926" s="18" t="str">
        <f t="array" aca="1" ref="F926" ca="1">IFERROR(INDEX(select!$B$908:$B$918,LARGE(($G$908:$G$918=select!$L$178)*(ROW($G$908:$G$918)-$B$907),COUNTIF($G$908:$G$918,1)+1-ROW(A5))),"")</f>
        <v/>
      </c>
      <c r="G926" s="18" t="str">
        <f t="array" aca="1" ref="G926" ca="1">IFERROR(INDEX(select!$C$908:$C$918,LARGE(($G$908:$G$918=select!$L$178)*(ROW($G$908:$G$918)-$B$907),COUNTIF($G$908:$G$918,1)+1-ROW(A5))),"")</f>
        <v/>
      </c>
      <c r="J926">
        <v>4</v>
      </c>
      <c r="K926" s="296" t="str">
        <f t="shared" ca="1" si="222"/>
        <v xml:space="preserve">     9,5/32</v>
      </c>
      <c r="L926" t="s">
        <v>1361</v>
      </c>
      <c r="M926">
        <v>0</v>
      </c>
      <c r="N926">
        <f ca="1">SUM(J908:J918)</f>
        <v>0</v>
      </c>
      <c r="O926">
        <f ca="1">AD819</f>
        <v>0</v>
      </c>
    </row>
    <row r="927" spans="1:17" hidden="1" outlineLevel="1" x14ac:dyDescent="0.25">
      <c r="A927" s="18" t="str">
        <f t="array" aca="1" ref="A927" ca="1">IFERROR(INDEX(select!$D$908:$D$918,LARGE(($G$908:$G$918=select!$L$178)*(ROW($G$908:$G$918)-$B$907),COUNTIF($G$908:$G$918,1)+1-ROW(A6))),"")</f>
        <v/>
      </c>
      <c r="B927" s="18" t="str">
        <f t="array" aca="1" ref="B927" ca="1">IFERROR(INDEX($F$908:$F$918,LARGE(($G$908:$G$918=select!$L$178)*(ROW($G$908:$G$918)-$B$907),COUNTIF($G$908:$G$918,1)+1-ROW(A6))),"")</f>
        <v/>
      </c>
      <c r="C927" s="18" t="str">
        <f t="array" aca="1" ref="C927" ca="1">IFERROR(INDEX(select!$E$908:$E$918,LARGE(($G$908:$G$918=select!$L$178)*(ROW($G$908:$G$918)-$B$907),COUNTIF($G$908:$G$918,1)+1-ROW(A6))),"")</f>
        <v/>
      </c>
      <c r="D927" s="18" t="str">
        <f t="array" aca="1" ref="D927" ca="1">IFERROR(INDEX(select!$L$908:$L$918,LARGE(($G$908:$G$918=select!$L$178)*(ROW($G$908:$G$918)-$B$907),COUNTIF($G$908:$G$918,1)+1-ROW(A6))),"")</f>
        <v/>
      </c>
      <c r="E927" s="18" t="str">
        <f t="array" aca="1" ref="E927" ca="1">IFERROR(INDEX(select!$A$908:$A$918,LARGE(($G$908:$G$918=select!$L$178)*(ROW($G$908:$G$918)-$B$907),COUNTIF($G$908:$G$918,1)+1-ROW(A6))),"")</f>
        <v/>
      </c>
      <c r="F927" s="18" t="str">
        <f t="array" aca="1" ref="F927" ca="1">IFERROR(INDEX(select!$B$908:$B$918,LARGE(($G$908:$G$918=select!$L$178)*(ROW($G$908:$G$918)-$B$907),COUNTIF($G$908:$G$918,1)+1-ROW(A6))),"")</f>
        <v/>
      </c>
      <c r="G927" s="18" t="str">
        <f t="array" aca="1" ref="G927" ca="1">IFERROR(INDEX(select!$C$908:$C$918,LARGE(($G$908:$G$918=select!$L$178)*(ROW($G$908:$G$918)-$B$907),COUNTIF($G$908:$G$918,1)+1-ROW(A6))),"")</f>
        <v/>
      </c>
      <c r="J927">
        <v>5</v>
      </c>
      <c r="K927" s="296" t="str">
        <f t="shared" ca="1" si="222"/>
        <v xml:space="preserve">     10/32</v>
      </c>
      <c r="L927" s="86" t="s">
        <v>1370</v>
      </c>
      <c r="M927">
        <v>0</v>
      </c>
      <c r="N927">
        <f ca="1">SUM(K908:K918)</f>
        <v>0</v>
      </c>
      <c r="O927">
        <f ca="1">AD821</f>
        <v>0</v>
      </c>
    </row>
    <row r="928" spans="1:17" hidden="1" outlineLevel="1" x14ac:dyDescent="0.25"/>
    <row r="929" spans="1:19" hidden="1" outlineLevel="1" x14ac:dyDescent="0.25">
      <c r="A929" t="str">
        <f>H907</f>
        <v>28/32</v>
      </c>
      <c r="R929" s="87" t="s">
        <v>2341</v>
      </c>
    </row>
    <row r="930" spans="1:19" hidden="1" outlineLevel="1" x14ac:dyDescent="0.25">
      <c r="A930" s="18" t="str">
        <f t="array" aca="1" ref="A930" ca="1">IFERROR(INDEX(select!$D$908:$D$918,LARGE(($H$908:$H$918=select!$L$178)*(ROW($H$908:$H$918)-$B$907),COUNTIF($H$908:$H$918,1)+1-ROW(A1))),Sprache!$A$56&amp;" "&amp;Sprache!$A$146)</f>
        <v>keine Lösungen</v>
      </c>
      <c r="B930" s="18" t="str">
        <f t="array" aca="1" ref="B930" ca="1">IFERROR(INDEX($F$908:$F$918,LARGE(($H$908:$H$918=select!$L$178)*(ROW($H$908:$H$918)-$B$907),COUNTIF($H$908:$H$918,1)+1-ROW(A1))),Sprache!$A$38)</f>
        <v>Bitte Auswahl ändern!</v>
      </c>
      <c r="C930" s="18" t="str">
        <f t="array" aca="1" ref="C930" ca="1">IFERROR(INDEX(select!$E$908:$E$918,LARGE(($H$908:$H$918=select!$L$178)*(ROW($H$908:$H$918)-$B$907),COUNTIF($H$908:$H$918,1)+1-ROW(A1))),"")</f>
        <v/>
      </c>
      <c r="D930" s="18" t="str">
        <f t="array" aca="1" ref="D930" ca="1">IFERROR(INDEX(select!$L$908:$L$918,LARGE(($H$908:$H$918=select!$L$178)*(ROW($H$908:$H$918)-$B$907),COUNTIF($H$908:$H$918,1)+1-ROW(A1))),"")</f>
        <v/>
      </c>
      <c r="E930" s="18" t="str">
        <f t="array" aca="1" ref="E930" ca="1">IFERROR(INDEX(select!$A$908:$A$918,LARGE(($H$908:$H$918=select!$L$178)*(ROW($H$908:$H$918)-$B$907),COUNTIF($H$908:$H$918,1)+1-ROW(A1))),"")</f>
        <v/>
      </c>
      <c r="F930" s="18" t="str">
        <f t="array" aca="1" ref="F930" ca="1">IFERROR(INDEX(select!$B$908:$B$918,LARGE(($H$908:$H$918=select!$L$178)*(ROW($H$908:$H$918)-$B$907),COUNTIF($H$908:$H$918,1)+1-ROW(A1))),"")</f>
        <v/>
      </c>
      <c r="G930" s="18" t="str">
        <f t="array" aca="1" ref="G930" ca="1">IFERROR(INDEX(select!$C$908:$C$918,LARGE(($H$908:$H$918=select!$L$178)*(ROW($H$908:$H$918)-$B$907),COUNTIF($H$908:$H$918,1)+1-ROW(A1))),"")</f>
        <v/>
      </c>
      <c r="H930" s="3"/>
      <c r="I930" t="str">
        <f>VLOOKUP(J922,J923:L927,3,FALSE)</f>
        <v>37/32</v>
      </c>
      <c r="R930">
        <f ca="1">SUM(R931:R936)</f>
        <v>0</v>
      </c>
      <c r="S930" s="131" t="str">
        <f ca="1">IF(R930&gt;0,Sprache!A188,"")</f>
        <v/>
      </c>
    </row>
    <row r="931" spans="1:19" hidden="1" outlineLevel="1" x14ac:dyDescent="0.25">
      <c r="A931" s="18" t="str">
        <f t="array" aca="1" ref="A931" ca="1">IFERROR(INDEX(select!$D$908:$D$918,LARGE(($H$908:$H$918=select!$L$178)*(ROW($H$908:$H$918)-$B$907),COUNTIF($H$908:$H$918,1)+1-ROW(A2))),"")</f>
        <v/>
      </c>
      <c r="B931" s="18" t="str">
        <f t="array" aca="1" ref="B931" ca="1">IFERROR(INDEX($F$908:$F$918,LARGE(($H$908:$H$918=select!$L$178)*(ROW($H$908:$H$918)-$B$907),COUNTIF($H$908:$H$918,1)+1-ROW(A2))),"")</f>
        <v/>
      </c>
      <c r="C931" s="18" t="str">
        <f t="array" aca="1" ref="C931" ca="1">IFERROR(INDEX(select!$E$908:$E$918,LARGE(($H$908:$H$918=select!$L$178)*(ROW($H$908:$H$918)-$B$907),COUNTIF($H$908:$H$918,1)+1-ROW(A2))),"")</f>
        <v/>
      </c>
      <c r="D931" s="18" t="str">
        <f t="array" aca="1" ref="D931" ca="1">IFERROR(INDEX(select!$L$908:$L$918,LARGE(($H$908:$H$918=select!$L$178)*(ROW($H$908:$H$918)-$B$907),COUNTIF($H$908:$H$918,1)+1-ROW(A2))),"")</f>
        <v/>
      </c>
      <c r="E931" s="18" t="str">
        <f t="array" aca="1" ref="E931" ca="1">IFERROR(INDEX(select!$A$908:$A$918,LARGE(($H$908:$H$918=select!$L$178)*(ROW($H$908:$H$918)-$B$907),COUNTIF($H$908:$H$918,1)+1-ROW(A2))),"")</f>
        <v/>
      </c>
      <c r="F931" s="18" t="str">
        <f t="array" aca="1" ref="F931" ca="1">IFERROR(INDEX(select!$B$908:$B$918,LARGE(($H$908:$H$918=select!$L$178)*(ROW($H$908:$H$918)-$B$907),COUNTIF($H$908:$H$918,1)+1-ROW(A2))),"")</f>
        <v/>
      </c>
      <c r="G931" s="18" t="str">
        <f t="array" aca="1" ref="G931" ca="1">IFERROR(INDEX(select!$C$908:$C$918,LARGE(($H$908:$H$918=select!$L$178)*(ROW($H$908:$H$918)-$B$907),COUNTIF($H$908:$H$918,1)+1-ROW(A2))),"")</f>
        <v/>
      </c>
      <c r="I931" s="4" t="str">
        <f t="shared" ref="I931:O931" ca="1" si="223">OFFSET(A922,$P$931,0)</f>
        <v>1D Kreuz Mtg-Platte</v>
      </c>
      <c r="J931" s="4" t="str">
        <f t="shared" ca="1" si="223"/>
        <v>Tiomos Montageplatten</v>
      </c>
      <c r="K931" s="4" t="str">
        <f t="shared" ca="1" si="223"/>
        <v>H 14, ni /37</v>
      </c>
      <c r="L931" s="4">
        <f t="shared" ca="1" si="223"/>
        <v>14</v>
      </c>
      <c r="M931" s="4" t="str">
        <f t="shared" ca="1" si="223"/>
        <v>F058</v>
      </c>
      <c r="N931" s="4" t="str">
        <f t="shared" ca="1" si="223"/>
        <v>139</v>
      </c>
      <c r="O931" s="4" t="str">
        <f t="shared" ca="1" si="223"/>
        <v>889</v>
      </c>
      <c r="P931">
        <f>J922*8-8</f>
        <v>0</v>
      </c>
      <c r="R931" s="864">
        <f ca="1">IF(L931=-2,1,0)</f>
        <v>0</v>
      </c>
    </row>
    <row r="932" spans="1:19" hidden="1" outlineLevel="1" x14ac:dyDescent="0.25">
      <c r="A932" s="18" t="str">
        <f t="array" aca="1" ref="A932" ca="1">IFERROR(INDEX(select!$D$908:$D$918,LARGE(($H$908:$H$918=select!$L$178)*(ROW($H$908:$H$918)-$B$907),COUNTIF($H$908:$H$918,1)+1-ROW(A3))),"")</f>
        <v/>
      </c>
      <c r="B932" s="18" t="str">
        <f t="array" aca="1" ref="B932" ca="1">IFERROR(INDEX($F$908:$F$918,LARGE(($H$908:$H$918=select!$L$178)*(ROW($H$908:$H$918)-$B$907),COUNTIF($H$908:$H$918,1)+1-ROW(A3))),"")</f>
        <v/>
      </c>
      <c r="C932" s="18" t="str">
        <f t="array" aca="1" ref="C932" ca="1">IFERROR(INDEX(select!$E$908:$E$918,LARGE(($H$908:$H$918=select!$L$178)*(ROW($H$908:$H$918)-$B$907),COUNTIF($H$908:$H$918,1)+1-ROW(A3))),"")</f>
        <v/>
      </c>
      <c r="D932" s="18" t="str">
        <f t="array" aca="1" ref="D932" ca="1">IFERROR(INDEX(select!$L$908:$L$918,LARGE(($H$908:$H$918=select!$L$178)*(ROW($H$908:$H$918)-$B$907),COUNTIF($H$908:$H$918,1)+1-ROW(A3))),"")</f>
        <v/>
      </c>
      <c r="E932" s="18" t="str">
        <f t="array" aca="1" ref="E932" ca="1">IFERROR(INDEX(select!$A$908:$A$918,LARGE(($H$908:$H$918=select!$L$178)*(ROW($H$908:$H$918)-$B$907),COUNTIF($H$908:$H$918,1)+1-ROW(A3))),"")</f>
        <v/>
      </c>
      <c r="F932" s="18" t="str">
        <f t="array" aca="1" ref="F932" ca="1">IFERROR(INDEX(select!$B$908:$B$918,LARGE(($H$908:$H$918=select!$L$178)*(ROW($H$908:$H$918)-$B$907),COUNTIF($H$908:$H$918,1)+1-ROW(A3))),"")</f>
        <v/>
      </c>
      <c r="G932" s="18" t="str">
        <f t="array" aca="1" ref="G932" ca="1">IFERROR(INDEX(select!$C$908:$C$918,LARGE(($H$908:$H$918=select!$L$178)*(ROW($H$908:$H$918)-$B$907),COUNTIF($H$908:$H$918,1)+1-ROW(A3))),"")</f>
        <v/>
      </c>
      <c r="I932" s="4" t="str">
        <f t="shared" ref="I932:O932" ca="1" si="224">OFFSET(A923,$P$931,0)</f>
        <v/>
      </c>
      <c r="J932" s="4" t="str">
        <f t="shared" ca="1" si="224"/>
        <v/>
      </c>
      <c r="K932" s="4" t="str">
        <f t="shared" ca="1" si="224"/>
        <v/>
      </c>
      <c r="L932" s="4" t="str">
        <f t="shared" ca="1" si="224"/>
        <v/>
      </c>
      <c r="M932" s="4" t="str">
        <f t="shared" ca="1" si="224"/>
        <v/>
      </c>
      <c r="N932" s="4" t="str">
        <f t="shared" ca="1" si="224"/>
        <v/>
      </c>
      <c r="O932" s="4" t="str">
        <f t="shared" ca="1" si="224"/>
        <v/>
      </c>
      <c r="R932" s="170">
        <f t="shared" ref="R932:R936" ca="1" si="225">IF(L932=-2,1,0)</f>
        <v>0</v>
      </c>
    </row>
    <row r="933" spans="1:19" hidden="1" outlineLevel="1" x14ac:dyDescent="0.25">
      <c r="A933" s="18" t="str">
        <f t="array" aca="1" ref="A933" ca="1">IFERROR(INDEX(select!$D$908:$D$918,LARGE(($H$908:$H$918=select!$L$178)*(ROW($H$908:$H$918)-$B$907),COUNTIF($H$908:$H$918,1)+1-ROW(A4))),"")</f>
        <v/>
      </c>
      <c r="B933" s="18" t="str">
        <f t="array" aca="1" ref="B933" ca="1">IFERROR(INDEX($F$908:$F$918,LARGE(($H$908:$H$918=select!$L$178)*(ROW($H$908:$H$918)-$B$907),COUNTIF($H$908:$H$918,1)+1-ROW(A4))),"")</f>
        <v/>
      </c>
      <c r="C933" s="18" t="str">
        <f t="array" aca="1" ref="C933" ca="1">IFERROR(INDEX(select!$E$908:$E$918,LARGE(($H$908:$H$918=select!$L$178)*(ROW($H$908:$H$918)-$B$907),COUNTIF($H$908:$H$918,1)+1-ROW(A4))),"")</f>
        <v/>
      </c>
      <c r="D933" s="18" t="str">
        <f t="array" aca="1" ref="D933" ca="1">IFERROR(INDEX(select!$L$908:$L$918,LARGE(($H$908:$H$918=select!$L$178)*(ROW($H$908:$H$918)-$B$907),COUNTIF($H$908:$H$918,1)+1-ROW(A4))),"")</f>
        <v/>
      </c>
      <c r="E933" s="18" t="str">
        <f t="array" aca="1" ref="E933" ca="1">IFERROR(INDEX(select!$A$908:$A$918,LARGE(($H$908:$H$918=select!$L$178)*(ROW($H$908:$H$918)-$B$907),COUNTIF($H$908:$H$918,1)+1-ROW(A4))),"")</f>
        <v/>
      </c>
      <c r="F933" s="18" t="str">
        <f t="array" aca="1" ref="F933" ca="1">IFERROR(INDEX(select!$B$908:$B$918,LARGE(($H$908:$H$918=select!$L$178)*(ROW($H$908:$H$918)-$B$907),COUNTIF($H$908:$H$918,1)+1-ROW(A4))),"")</f>
        <v/>
      </c>
      <c r="G933" s="18" t="str">
        <f t="array" aca="1" ref="G933" ca="1">IFERROR(INDEX(select!$C$908:$C$918,LARGE(($H$908:$H$918=select!$L$178)*(ROW($H$908:$H$918)-$B$907),COUNTIF($H$908:$H$918,1)+1-ROW(A4))),"")</f>
        <v/>
      </c>
      <c r="I933" s="4" t="str">
        <f t="shared" ref="I933:O933" ca="1" si="226">OFFSET(A924,$P$931,0)</f>
        <v/>
      </c>
      <c r="J933" s="4" t="str">
        <f t="shared" ca="1" si="226"/>
        <v/>
      </c>
      <c r="K933" s="4" t="str">
        <f t="shared" ca="1" si="226"/>
        <v/>
      </c>
      <c r="L933" s="4" t="str">
        <f t="shared" ca="1" si="226"/>
        <v/>
      </c>
      <c r="M933" s="4" t="str">
        <f t="shared" ca="1" si="226"/>
        <v/>
      </c>
      <c r="N933" s="4" t="str">
        <f t="shared" ca="1" si="226"/>
        <v/>
      </c>
      <c r="O933" s="4" t="str">
        <f t="shared" ca="1" si="226"/>
        <v/>
      </c>
      <c r="R933" s="170">
        <f t="shared" ca="1" si="225"/>
        <v>0</v>
      </c>
    </row>
    <row r="934" spans="1:19" hidden="1" outlineLevel="1" x14ac:dyDescent="0.25">
      <c r="A934" s="18" t="str">
        <f t="array" aca="1" ref="A934" ca="1">IFERROR(INDEX(select!$D$908:$D$918,LARGE(($H$908:$H$918=select!$L$178)*(ROW($H$908:$H$918)-$B$907),COUNTIF($H$908:$H$918,1)+1-ROW(A5))),"")</f>
        <v/>
      </c>
      <c r="B934" s="18" t="str">
        <f t="array" aca="1" ref="B934" ca="1">IFERROR(INDEX($F$908:$F$918,LARGE(($H$908:$H$918=select!$L$178)*(ROW($H$908:$H$918)-$B$907),COUNTIF($H$908:$H$918,1)+1-ROW(A5))),"")</f>
        <v/>
      </c>
      <c r="C934" s="18" t="str">
        <f t="array" aca="1" ref="C934" ca="1">IFERROR(INDEX(select!$E$908:$E$918,LARGE(($H$908:$H$918=select!$L$178)*(ROW($H$908:$H$918)-$B$907),COUNTIF($H$908:$H$918,1)+1-ROW(A5))),"")</f>
        <v/>
      </c>
      <c r="D934" s="18" t="str">
        <f t="array" aca="1" ref="D934" ca="1">IFERROR(INDEX(select!$L$908:$L$918,LARGE(($H$908:$H$918=select!$L$178)*(ROW($H$908:$H$918)-$B$907),COUNTIF($H$908:$H$918,1)+1-ROW(A5))),"")</f>
        <v/>
      </c>
      <c r="E934" s="18" t="str">
        <f t="array" aca="1" ref="E934" ca="1">IFERROR(INDEX(select!$A$908:$A$918,LARGE(($H$908:$H$918=select!$L$178)*(ROW($H$908:$H$918)-$B$907),COUNTIF($H$908:$H$918,1)+1-ROW(A5))),"")</f>
        <v/>
      </c>
      <c r="F934" s="18" t="str">
        <f t="array" aca="1" ref="F934" ca="1">IFERROR(INDEX(select!$B$908:$B$918,LARGE(($H$908:$H$918=select!$L$178)*(ROW($H$908:$H$918)-$B$907),COUNTIF($H$908:$H$918,1)+1-ROW(A5))),"")</f>
        <v/>
      </c>
      <c r="G934" s="18" t="str">
        <f t="array" aca="1" ref="G934" ca="1">IFERROR(INDEX(select!$C$908:$C$918,LARGE(($H$908:$H$918=select!$L$178)*(ROW($H$908:$H$918)-$B$907),COUNTIF($H$908:$H$918,1)+1-ROW(A5))),"")</f>
        <v/>
      </c>
      <c r="I934" s="4" t="str">
        <f t="shared" ref="I934:O934" ca="1" si="227">OFFSET(A925,$P$931,0)</f>
        <v/>
      </c>
      <c r="J934" s="4" t="str">
        <f t="shared" ca="1" si="227"/>
        <v/>
      </c>
      <c r="K934" s="4" t="str">
        <f t="shared" ca="1" si="227"/>
        <v/>
      </c>
      <c r="L934" s="4" t="str">
        <f t="shared" ca="1" si="227"/>
        <v/>
      </c>
      <c r="M934" s="4" t="str">
        <f t="shared" ca="1" si="227"/>
        <v/>
      </c>
      <c r="N934" s="4" t="str">
        <f t="shared" ca="1" si="227"/>
        <v/>
      </c>
      <c r="O934" s="4" t="str">
        <f t="shared" ca="1" si="227"/>
        <v/>
      </c>
      <c r="R934" s="170">
        <f t="shared" ca="1" si="225"/>
        <v>0</v>
      </c>
    </row>
    <row r="935" spans="1:19" hidden="1" outlineLevel="1" x14ac:dyDescent="0.25">
      <c r="A935" s="18" t="str">
        <f t="array" aca="1" ref="A935" ca="1">IFERROR(INDEX(select!$D$908:$D$918,LARGE(($H$908:$H$918=select!$L$178)*(ROW($H$908:$H$918)-$B$907),COUNTIF($H$908:$H$918,1)+1-ROW(A6))),"")</f>
        <v/>
      </c>
      <c r="B935" s="18" t="str">
        <f t="array" aca="1" ref="B935" ca="1">IFERROR(INDEX($F$908:$F$918,LARGE(($H$908:$H$918=select!$L$178)*(ROW($H$908:$H$918)-$B$907),COUNTIF($H$908:$H$918,1)+1-ROW(A6))),"")</f>
        <v/>
      </c>
      <c r="C935" s="18" t="str">
        <f t="array" aca="1" ref="C935" ca="1">IFERROR(INDEX(select!$E$908:$E$918,LARGE(($H$908:$H$918=select!$L$178)*(ROW($H$908:$H$918)-$B$907),COUNTIF($H$908:$H$918,1)+1-ROW(A6))),"")</f>
        <v/>
      </c>
      <c r="D935" s="18" t="str">
        <f t="array" aca="1" ref="D935" ca="1">IFERROR(INDEX(select!$L$908:$L$918,LARGE(($H$908:$H$918=select!$L$178)*(ROW($H$908:$H$918)-$B$907),COUNTIF($H$908:$H$918,1)+1-ROW(A6))),"")</f>
        <v/>
      </c>
      <c r="E935" s="18" t="str">
        <f t="array" aca="1" ref="E935" ca="1">IFERROR(INDEX(select!$A$908:$A$918,LARGE(($H$908:$H$918=select!$L$178)*(ROW($H$908:$H$918)-$B$907),COUNTIF($H$908:$H$918,1)+1-ROW(A6))),"")</f>
        <v/>
      </c>
      <c r="F935" s="18" t="str">
        <f t="array" aca="1" ref="F935" ca="1">IFERROR(INDEX(select!$B$908:$B$918,LARGE(($H$908:$H$918=select!$L$178)*(ROW($H$908:$H$918)-$B$907),COUNTIF($H$908:$H$918,1)+1-ROW(A6))),"")</f>
        <v/>
      </c>
      <c r="G935" s="18" t="str">
        <f t="array" aca="1" ref="G935" ca="1">IFERROR(INDEX(select!$C$908:$C$918,LARGE(($H$908:$H$918=select!$L$178)*(ROW($H$908:$H$918)-$B$907),COUNTIF($H$908:$H$918,1)+1-ROW(A6))),"")</f>
        <v/>
      </c>
      <c r="I935" s="4" t="str">
        <f t="shared" ref="I935:O935" ca="1" si="228">OFFSET(A926,$P$931,0)</f>
        <v/>
      </c>
      <c r="J935" s="4" t="str">
        <f t="shared" ca="1" si="228"/>
        <v/>
      </c>
      <c r="K935" s="4" t="str">
        <f t="shared" ca="1" si="228"/>
        <v/>
      </c>
      <c r="L935" s="4" t="str">
        <f t="shared" ca="1" si="228"/>
        <v/>
      </c>
      <c r="M935" s="4" t="str">
        <f t="shared" ca="1" si="228"/>
        <v/>
      </c>
      <c r="N935" s="4" t="str">
        <f t="shared" ca="1" si="228"/>
        <v/>
      </c>
      <c r="O935" s="4" t="str">
        <f t="shared" ca="1" si="228"/>
        <v/>
      </c>
      <c r="R935" s="170">
        <f t="shared" ca="1" si="225"/>
        <v>0</v>
      </c>
    </row>
    <row r="936" spans="1:19" hidden="1" outlineLevel="1" x14ac:dyDescent="0.25">
      <c r="I936" s="4" t="str">
        <f t="shared" ref="I936:O936" ca="1" si="229">OFFSET(A927,$P$931,0)</f>
        <v/>
      </c>
      <c r="J936" s="4" t="str">
        <f t="shared" ca="1" si="229"/>
        <v/>
      </c>
      <c r="K936" s="4" t="str">
        <f t="shared" ca="1" si="229"/>
        <v/>
      </c>
      <c r="L936" s="4" t="str">
        <f t="shared" ca="1" si="229"/>
        <v/>
      </c>
      <c r="M936" s="4" t="str">
        <f t="shared" ca="1" si="229"/>
        <v/>
      </c>
      <c r="N936" s="4" t="str">
        <f t="shared" ca="1" si="229"/>
        <v/>
      </c>
      <c r="O936" s="4" t="str">
        <f t="shared" ca="1" si="229"/>
        <v/>
      </c>
      <c r="R936" s="129">
        <f t="shared" ca="1" si="225"/>
        <v>0</v>
      </c>
    </row>
    <row r="937" spans="1:19" hidden="1" outlineLevel="1" x14ac:dyDescent="0.25">
      <c r="A937" t="str">
        <f>I907</f>
        <v>20/32</v>
      </c>
    </row>
    <row r="938" spans="1:19" hidden="1" outlineLevel="1" x14ac:dyDescent="0.25">
      <c r="A938" s="18" t="str">
        <f t="array" aca="1" ref="A938" ca="1">IFERROR(INDEX(select!$D$908:$D$918,LARGE(($I$908:$I$918=select!$L$178)*(ROW($I$908:$I$918)-$B$907),COUNTIF($I$908:$I$918,1)+1-ROW(A1))),Sprache!$A$56&amp;" "&amp;Sprache!$A$146)</f>
        <v>keine Lösungen</v>
      </c>
      <c r="B938" s="18" t="str">
        <f t="array" aca="1" ref="B938" ca="1">IFERROR(INDEX($F$908:$F$918,LARGE(($I$908:$I$918=select!$L$178)*(ROW($I$908:$I$918)-$B$907),COUNTIF($I$908:$I$918,1)+1-ROW(A1))),Sprache!$A$38)</f>
        <v>Bitte Auswahl ändern!</v>
      </c>
      <c r="C938" s="18" t="str">
        <f t="array" aca="1" ref="C938" ca="1">IFERROR(INDEX(select!$E$908:$E$918,LARGE(($I$908:$I$918=select!$L$178)*(ROW($I$908:$I$918)-$B$907),COUNTIF($I$908:$I$918,1)+1-ROW(A1))),"")</f>
        <v/>
      </c>
      <c r="D938" s="18" t="str">
        <f t="array" aca="1" ref="D938" ca="1">IFERROR(INDEX(select!$L$908:$L$918,LARGE(($I$908:$I$918=select!$L$178)*(ROW($I$908:$I$918)-$B$907),COUNTIF($I$908:$I$918,1)+1-ROW(A1))),"")</f>
        <v/>
      </c>
      <c r="E938" s="18" t="str">
        <f t="array" aca="1" ref="E938" ca="1">IFERROR(INDEX(select!$A$908:$A$918,LARGE(($I$908:$I$918=select!$L$178)*(ROW($I$908:$I$918)-$B$907),COUNTIF($I$908:$I$918,1)+1-ROW(A1))),"")</f>
        <v/>
      </c>
      <c r="F938" s="18" t="str">
        <f t="array" aca="1" ref="F938" ca="1">IFERROR(INDEX(select!$B$908:$B$918,LARGE(($I$908:$I$918=select!$L$178)*(ROW($I$908:$I$918)-$B$907),COUNTIF($I$908:$I$918,1)+1-ROW(A1))),"")</f>
        <v/>
      </c>
      <c r="G938" s="18" t="str">
        <f t="array" aca="1" ref="G938" ca="1">IFERROR(INDEX(select!$C$908:$C$918,LARGE(($I$908:$I$918=select!$L$178)*(ROW($I$908:$I$918)-$B$907),COUNTIF($I$908:$I$918,1)+1-ROW(A1))),"")</f>
        <v/>
      </c>
      <c r="H938" s="3"/>
      <c r="I938" s="269" t="str">
        <f ca="1">IF($J$746=0,I931,Sprache!$A$56&amp;" "&amp;Sprache!$A$146)</f>
        <v>1D Kreuz Mtg-Platte</v>
      </c>
      <c r="J938" s="270" t="str">
        <f ca="1">IF($J$746=0,J931,Sprache!$A$38)</f>
        <v>Tiomos Montageplatten</v>
      </c>
      <c r="K938" s="270" t="str">
        <f t="shared" ref="K938:O939" ca="1" si="230">IF($J$746=0,K931,"")</f>
        <v>H 14, ni /37</v>
      </c>
      <c r="L938" s="270">
        <f t="shared" ca="1" si="230"/>
        <v>14</v>
      </c>
      <c r="M938" s="270" t="str">
        <f t="shared" ca="1" si="230"/>
        <v>F058</v>
      </c>
      <c r="N938" s="270" t="str">
        <f t="shared" ca="1" si="230"/>
        <v>139</v>
      </c>
      <c r="O938" s="271" t="str">
        <f t="shared" ca="1" si="230"/>
        <v>889</v>
      </c>
    </row>
    <row r="939" spans="1:19" hidden="1" outlineLevel="1" x14ac:dyDescent="0.25">
      <c r="A939" s="18" t="str">
        <f t="array" aca="1" ref="A939" ca="1">IFERROR(INDEX(select!$D$908:$D$918,LARGE(($I$908:$I$918=select!$L$178)*(ROW($I$908:$I$918)-$B$907),COUNTIF($I$908:$I$918,1)+1-ROW(A2))),"")</f>
        <v/>
      </c>
      <c r="B939" s="18" t="str">
        <f t="array" aca="1" ref="B939" ca="1">IFERROR(INDEX($F$908:$F$918,LARGE(($I$908:$I$918=select!$L$178)*(ROW($I$908:$I$918)-$B$907),COUNTIF($I$908:$I$918,1)+1-ROW(A2))),"")</f>
        <v/>
      </c>
      <c r="C939" s="18" t="str">
        <f t="array" aca="1" ref="C939" ca="1">IFERROR(INDEX(select!$E$908:$E$918,LARGE(($I$908:$I$918=select!$L$178)*(ROW($I$908:$I$918)-$B$907),COUNTIF($I$908:$I$918,1)+1-ROW(A2))),"")</f>
        <v/>
      </c>
      <c r="D939" s="18" t="str">
        <f t="array" aca="1" ref="D939" ca="1">IFERROR(INDEX(select!$L$908:$L$918,LARGE(($I$908:$I$918=select!$L$178)*(ROW($I$908:$I$918)-$B$907),COUNTIF($I$908:$I$918,1)+1-ROW(A2))),"")</f>
        <v/>
      </c>
      <c r="E939" s="18" t="str">
        <f t="array" aca="1" ref="E939" ca="1">IFERROR(INDEX(select!$A$908:$A$918,LARGE(($I$908:$I$918=select!$L$178)*(ROW($I$908:$I$918)-$B$907),COUNTIF($I$908:$I$918,1)+1-ROW(A2))),"")</f>
        <v/>
      </c>
      <c r="F939" s="18" t="str">
        <f t="array" aca="1" ref="F939" ca="1">IFERROR(INDEX(select!$B$908:$B$918,LARGE(($I$908:$I$918=select!$L$178)*(ROW($I$908:$I$918)-$B$907),COUNTIF($I$908:$I$918,1)+1-ROW(A2))),"")</f>
        <v/>
      </c>
      <c r="G939" s="18" t="str">
        <f t="array" aca="1" ref="G939" ca="1">IFERROR(INDEX(select!$C$908:$C$918,LARGE(($I$908:$I$918=select!$L$178)*(ROW($I$908:$I$918)-$B$907),COUNTIF($I$908:$I$918,1)+1-ROW(A2))),"")</f>
        <v/>
      </c>
      <c r="I939" s="71" t="str">
        <f ca="1">IF($J$746=0,I932,"")</f>
        <v/>
      </c>
      <c r="J939" s="34" t="str">
        <f ca="1">IF($J$746=0,J932,"")</f>
        <v/>
      </c>
      <c r="K939" s="34" t="str">
        <f t="shared" ca="1" si="230"/>
        <v/>
      </c>
      <c r="L939" s="34" t="str">
        <f t="shared" ca="1" si="230"/>
        <v/>
      </c>
      <c r="M939" s="34" t="str">
        <f t="shared" ca="1" si="230"/>
        <v/>
      </c>
      <c r="N939" s="34" t="str">
        <f t="shared" ca="1" si="230"/>
        <v/>
      </c>
      <c r="O939" s="55" t="str">
        <f t="shared" ca="1" si="230"/>
        <v/>
      </c>
    </row>
    <row r="940" spans="1:19" hidden="1" outlineLevel="1" x14ac:dyDescent="0.25">
      <c r="A940" s="18" t="str">
        <f t="array" aca="1" ref="A940" ca="1">IFERROR(INDEX(select!$D$908:$D$918,LARGE(($I$908:$I$918=select!$L$178)*(ROW($I$908:$I$918)-$B$907),COUNTIF($I$908:$I$918,1)+1-ROW(A3))),"")</f>
        <v/>
      </c>
      <c r="B940" s="18" t="str">
        <f t="array" aca="1" ref="B940" ca="1">IFERROR(INDEX($F$908:$F$918,LARGE(($I$908:$I$918=select!$L$178)*(ROW($I$908:$I$918)-$B$907),COUNTIF($I$908:$I$918,1)+1-ROW(A3))),"")</f>
        <v/>
      </c>
      <c r="C940" s="18" t="str">
        <f t="array" aca="1" ref="C940" ca="1">IFERROR(INDEX(select!$E$908:$E$918,LARGE(($I$908:$I$918=select!$L$178)*(ROW($I$908:$I$918)-$B$907),COUNTIF($I$908:$I$918,1)+1-ROW(A3))),"")</f>
        <v/>
      </c>
      <c r="D940" s="18" t="str">
        <f t="array" aca="1" ref="D940" ca="1">IFERROR(INDEX(select!$L$908:$L$918,LARGE(($I$908:$I$918=select!$L$178)*(ROW($I$908:$I$918)-$B$907),COUNTIF($I$908:$I$918,1)+1-ROW(A3))),"")</f>
        <v/>
      </c>
      <c r="E940" s="18" t="str">
        <f t="array" aca="1" ref="E940" ca="1">IFERROR(INDEX(select!$A$908:$A$918,LARGE(($I$908:$I$918=select!$L$178)*(ROW($I$908:$I$918)-$B$907),COUNTIF($I$908:$I$918,1)+1-ROW(A3))),"")</f>
        <v/>
      </c>
      <c r="F940" s="18" t="str">
        <f t="array" aca="1" ref="F940" ca="1">IFERROR(INDEX(select!$B$908:$B$918,LARGE(($I$908:$I$918=select!$L$178)*(ROW($I$908:$I$918)-$B$907),COUNTIF($I$908:$I$918,1)+1-ROW(A3))),"")</f>
        <v/>
      </c>
      <c r="G940" s="18" t="str">
        <f t="array" aca="1" ref="G940" ca="1">IFERROR(INDEX(select!$C$908:$C$918,LARGE(($I$908:$I$918=select!$L$178)*(ROW($I$908:$I$918)-$B$907),COUNTIF($I$908:$I$918,1)+1-ROW(A3))),"")</f>
        <v/>
      </c>
      <c r="I940" s="71" t="str">
        <f t="shared" ref="I940:O940" ca="1" si="231">IF($J$746=0,I933,"")</f>
        <v/>
      </c>
      <c r="J940" s="34" t="str">
        <f t="shared" ca="1" si="231"/>
        <v/>
      </c>
      <c r="K940" s="34" t="str">
        <f t="shared" ca="1" si="231"/>
        <v/>
      </c>
      <c r="L940" s="34" t="str">
        <f t="shared" ca="1" si="231"/>
        <v/>
      </c>
      <c r="M940" s="34" t="str">
        <f t="shared" ca="1" si="231"/>
        <v/>
      </c>
      <c r="N940" s="34" t="str">
        <f t="shared" ca="1" si="231"/>
        <v/>
      </c>
      <c r="O940" s="55" t="str">
        <f t="shared" ca="1" si="231"/>
        <v/>
      </c>
    </row>
    <row r="941" spans="1:19" hidden="1" outlineLevel="1" x14ac:dyDescent="0.25">
      <c r="A941" s="18" t="str">
        <f t="array" aca="1" ref="A941" ca="1">IFERROR(INDEX(select!$D$908:$D$918,LARGE(($I$908:$I$918=select!$L$178)*(ROW($I$908:$I$918)-$B$907),COUNTIF($I$908:$I$918,1)+1-ROW(A4))),"")</f>
        <v/>
      </c>
      <c r="B941" s="18" t="str">
        <f t="array" aca="1" ref="B941" ca="1">IFERROR(INDEX($F$908:$F$918,LARGE(($I$908:$I$918=select!$L$178)*(ROW($I$908:$I$918)-$B$907),COUNTIF($I$908:$I$918,1)+1-ROW(A4))),"")</f>
        <v/>
      </c>
      <c r="C941" s="18" t="str">
        <f t="array" aca="1" ref="C941" ca="1">IFERROR(INDEX(select!$E$908:$E$918,LARGE(($I$908:$I$918=select!$L$178)*(ROW($I$908:$I$918)-$B$907),COUNTIF($I$908:$I$918,1)+1-ROW(A4))),"")</f>
        <v/>
      </c>
      <c r="D941" s="18" t="str">
        <f t="array" aca="1" ref="D941" ca="1">IFERROR(INDEX(select!$L$908:$L$918,LARGE(($I$908:$I$918=select!$L$178)*(ROW($I$908:$I$918)-$B$907),COUNTIF($I$908:$I$918,1)+1-ROW(A4))),"")</f>
        <v/>
      </c>
      <c r="E941" s="18" t="str">
        <f t="array" aca="1" ref="E941" ca="1">IFERROR(INDEX(select!$A$908:$A$918,LARGE(($I$908:$I$918=select!$L$178)*(ROW($I$908:$I$918)-$B$907),COUNTIF($I$908:$I$918,1)+1-ROW(A4))),"")</f>
        <v/>
      </c>
      <c r="F941" s="18" t="str">
        <f t="array" aca="1" ref="F941" ca="1">IFERROR(INDEX(select!$B$908:$B$918,LARGE(($I$908:$I$918=select!$L$178)*(ROW($I$908:$I$918)-$B$907),COUNTIF($I$908:$I$918,1)+1-ROW(A4))),"")</f>
        <v/>
      </c>
      <c r="G941" s="18" t="str">
        <f t="array" aca="1" ref="G941" ca="1">IFERROR(INDEX(select!$C$908:$C$918,LARGE(($I$908:$I$918=select!$L$178)*(ROW($I$908:$I$918)-$B$907),COUNTIF($I$908:$I$918,1)+1-ROW(A4))),"")</f>
        <v/>
      </c>
      <c r="I941" s="71" t="str">
        <f t="shared" ref="I941:O941" ca="1" si="232">IF($J$746=0,I934,"")</f>
        <v/>
      </c>
      <c r="J941" s="34" t="str">
        <f t="shared" ca="1" si="232"/>
        <v/>
      </c>
      <c r="K941" s="34" t="str">
        <f t="shared" ca="1" si="232"/>
        <v/>
      </c>
      <c r="L941" s="34" t="str">
        <f t="shared" ca="1" si="232"/>
        <v/>
      </c>
      <c r="M941" s="34" t="str">
        <f t="shared" ca="1" si="232"/>
        <v/>
      </c>
      <c r="N941" s="34" t="str">
        <f t="shared" ca="1" si="232"/>
        <v/>
      </c>
      <c r="O941" s="55" t="str">
        <f t="shared" ca="1" si="232"/>
        <v/>
      </c>
    </row>
    <row r="942" spans="1:19" hidden="1" outlineLevel="1" x14ac:dyDescent="0.25">
      <c r="A942" s="18" t="str">
        <f t="array" aca="1" ref="A942" ca="1">IFERROR(INDEX(select!$D$908:$D$918,LARGE(($I$908:$I$918=select!$L$178)*(ROW($I$908:$I$918)-$B$907),COUNTIF($I$908:$I$918,1)+1-ROW(A5))),"")</f>
        <v/>
      </c>
      <c r="B942" s="18" t="str">
        <f t="array" aca="1" ref="B942" ca="1">IFERROR(INDEX($F$908:$F$918,LARGE(($I$908:$I$918=select!$L$178)*(ROW($I$908:$I$918)-$B$907),COUNTIF($I$908:$I$918,1)+1-ROW(A5))),"")</f>
        <v/>
      </c>
      <c r="C942" s="18" t="str">
        <f t="array" aca="1" ref="C942" ca="1">IFERROR(INDEX(select!$E$908:$E$918,LARGE(($I$908:$I$918=select!$L$178)*(ROW($I$908:$I$918)-$B$907),COUNTIF($I$908:$I$918,1)+1-ROW(A5))),"")</f>
        <v/>
      </c>
      <c r="D942" s="18" t="str">
        <f t="array" aca="1" ref="D942" ca="1">IFERROR(INDEX(select!$L$908:$L$918,LARGE(($I$908:$I$918=select!$L$178)*(ROW($I$908:$I$918)-$B$907),COUNTIF($I$908:$I$918,1)+1-ROW(A5))),"")</f>
        <v/>
      </c>
      <c r="E942" s="18" t="str">
        <f t="array" aca="1" ref="E942" ca="1">IFERROR(INDEX(select!$A$908:$A$918,LARGE(($I$908:$I$918=select!$L$178)*(ROW($I$908:$I$918)-$B$907),COUNTIF($I$908:$I$918,1)+1-ROW(A5))),"")</f>
        <v/>
      </c>
      <c r="F942" s="18" t="str">
        <f t="array" aca="1" ref="F942" ca="1">IFERROR(INDEX(select!$B$908:$B$918,LARGE(($I$908:$I$918=select!$L$178)*(ROW($I$908:$I$918)-$B$907),COUNTIF($I$908:$I$918,1)+1-ROW(A5))),"")</f>
        <v/>
      </c>
      <c r="G942" s="18" t="str">
        <f t="array" aca="1" ref="G942" ca="1">IFERROR(INDEX(select!$C$908:$C$918,LARGE(($I$908:$I$918=select!$L$178)*(ROW($I$908:$I$918)-$B$907),COUNTIF($I$908:$I$918,1)+1-ROW(A5))),"")</f>
        <v/>
      </c>
      <c r="I942" s="71" t="str">
        <f t="shared" ref="I942:O942" ca="1" si="233">IF($J$746=0,I935,"")</f>
        <v/>
      </c>
      <c r="J942" s="34" t="str">
        <f t="shared" ca="1" si="233"/>
        <v/>
      </c>
      <c r="K942" s="34" t="str">
        <f t="shared" ca="1" si="233"/>
        <v/>
      </c>
      <c r="L942" s="34" t="str">
        <f t="shared" ca="1" si="233"/>
        <v/>
      </c>
      <c r="M942" s="34" t="str">
        <f t="shared" ca="1" si="233"/>
        <v/>
      </c>
      <c r="N942" s="34" t="str">
        <f t="shared" ca="1" si="233"/>
        <v/>
      </c>
      <c r="O942" s="55" t="str">
        <f t="shared" ca="1" si="233"/>
        <v/>
      </c>
    </row>
    <row r="943" spans="1:19" hidden="1" outlineLevel="1" x14ac:dyDescent="0.25">
      <c r="A943" s="18" t="str">
        <f t="array" aca="1" ref="A943" ca="1">IFERROR(INDEX(select!$D$908:$D$918,LARGE(($I$908:$I$918=select!$L$178)*(ROW($I$908:$I$918)-$B$907),COUNTIF($I$908:$I$918,1)+1-ROW(A6))),"")</f>
        <v/>
      </c>
      <c r="B943" s="18" t="str">
        <f t="array" aca="1" ref="B943" ca="1">IFERROR(INDEX($F$908:$F$918,LARGE(($I$908:$I$918=select!$L$178)*(ROW($I$908:$I$918)-$B$907),COUNTIF($I$908:$I$918,1)+1-ROW(A6))),"")</f>
        <v/>
      </c>
      <c r="C943" s="18" t="str">
        <f t="array" aca="1" ref="C943" ca="1">IFERROR(INDEX(select!$E$908:$E$918,LARGE(($I$908:$I$918=select!$L$178)*(ROW($I$908:$I$918)-$B$907),COUNTIF($I$908:$I$918,1)+1-ROW(A6))),"")</f>
        <v/>
      </c>
      <c r="D943" s="18" t="str">
        <f t="array" aca="1" ref="D943" ca="1">IFERROR(INDEX(select!$L$908:$L$918,LARGE(($I$908:$I$918=select!$L$178)*(ROW($I$908:$I$918)-$B$907),COUNTIF($I$908:$I$918,1)+1-ROW(A6))),"")</f>
        <v/>
      </c>
      <c r="E943" s="18" t="str">
        <f t="array" aca="1" ref="E943" ca="1">IFERROR(INDEX(select!$A$908:$A$918,LARGE(($I$908:$I$918=select!$L$178)*(ROW($I$908:$I$918)-$B$907),COUNTIF($I$908:$I$918,1)+1-ROW(A6))),"")</f>
        <v/>
      </c>
      <c r="F943" s="18" t="str">
        <f t="array" aca="1" ref="F943" ca="1">IFERROR(INDEX(select!$B$908:$B$918,LARGE(($I$908:$I$918=select!$L$178)*(ROW($I$908:$I$918)-$B$907),COUNTIF($I$908:$I$918,1)+1-ROW(A6))),"")</f>
        <v/>
      </c>
      <c r="G943" s="18" t="str">
        <f t="array" aca="1" ref="G943" ca="1">IFERROR(INDEX(select!$C$908:$C$918,LARGE(($I$908:$I$918=select!$L$178)*(ROW($I$908:$I$918)-$B$907),COUNTIF($I$908:$I$918,1)+1-ROW(A6))),"")</f>
        <v/>
      </c>
      <c r="I943" s="92" t="str">
        <f t="shared" ref="I943:O943" ca="1" si="234">IF($J$746=0,I936,"")</f>
        <v/>
      </c>
      <c r="J943" s="6" t="str">
        <f t="shared" ca="1" si="234"/>
        <v/>
      </c>
      <c r="K943" s="6" t="str">
        <f t="shared" ca="1" si="234"/>
        <v/>
      </c>
      <c r="L943" s="6" t="str">
        <f t="shared" ca="1" si="234"/>
        <v/>
      </c>
      <c r="M943" s="6" t="str">
        <f t="shared" ca="1" si="234"/>
        <v/>
      </c>
      <c r="N943" s="6" t="str">
        <f t="shared" ca="1" si="234"/>
        <v/>
      </c>
      <c r="O943" s="56" t="str">
        <f t="shared" ca="1" si="234"/>
        <v/>
      </c>
    </row>
    <row r="944" spans="1:19" hidden="1" outlineLevel="1" x14ac:dyDescent="0.25"/>
    <row r="945" spans="1:15" hidden="1" outlineLevel="1" x14ac:dyDescent="0.25">
      <c r="A945" t="str">
        <f>J907</f>
        <v>9,5/32</v>
      </c>
      <c r="O945">
        <f ca="1">COUNTBLANK(O938:O943)</f>
        <v>5</v>
      </c>
    </row>
    <row r="946" spans="1:15" hidden="1" outlineLevel="1" x14ac:dyDescent="0.25">
      <c r="A946" s="18" t="str">
        <f t="array" aca="1" ref="A946" ca="1">IFERROR(INDEX(select!$D$908:$D$918,LARGE(($J$908:$J$918=select!$L$178)*(ROW($J$908:$J$918)-$B$907),COUNTIF($J$908:$J$918,1)+1-ROW(A1))),Sprache!$A$56&amp;" "&amp;Sprache!$A$146)</f>
        <v>keine Lösungen</v>
      </c>
      <c r="B946" s="18" t="str">
        <f t="array" aca="1" ref="B946" ca="1">IFERROR(INDEX($F$908:$F$918,LARGE(($J$908:$J$918=select!$L$178)*(ROW($J$908:$J$918)-$B$907),COUNTIF($J$908:$J$918,1)+1-ROW(A1))),Sprache!$A$38)</f>
        <v>Bitte Auswahl ändern!</v>
      </c>
      <c r="C946" s="18" t="str">
        <f t="array" aca="1" ref="C946" ca="1">IFERROR(INDEX(select!$E$908:$E$918,LARGE(($J$908:$J$918=select!$L$178)*(ROW($J$908:$J$918)-$B$907),COUNTIF($J$908:$J$918,1)+1-ROW(A1))),"")</f>
        <v/>
      </c>
      <c r="D946" s="18" t="str">
        <f t="array" aca="1" ref="D946" ca="1">IFERROR(INDEX(select!$L$908:$L$918,LARGE(($J$908:$J$918=select!$L$178)*(ROW($J$908:$J$918)-$B$907),COUNTIF($J$908:$J$918,1)+1-ROW(A1))),"")</f>
        <v/>
      </c>
      <c r="E946" s="18" t="str">
        <f t="array" aca="1" ref="E946" ca="1">IFERROR(INDEX(select!$A$908:$A$918,LARGE(($J$908:$J$918=select!$L$178)*(ROW($J$908:$J$918)-$B$907),COUNTIF($J$908:$J$918,1)+1-ROW(A1))),"")</f>
        <v/>
      </c>
      <c r="F946" s="18" t="str">
        <f t="array" aca="1" ref="F946" ca="1">IFERROR(INDEX(select!$B$908:$B$918,LARGE(($J$908:$J$918=select!$L$178)*(ROW($J$908:$J$918)-$B$907),COUNTIF($J$908:$J$918,1)+1-ROW(A1))),"")</f>
        <v/>
      </c>
      <c r="G946" s="18" t="str">
        <f t="array" aca="1" ref="G946" ca="1">IFERROR(INDEX(select!$C$908:$C$918,LARGE(($J$908:$J$918=select!$L$178)*(ROW($J$908:$J$918)-$B$907),COUNTIF($J$908:$J$918,1)+1-ROW(A1))),"")</f>
        <v/>
      </c>
      <c r="H946" s="3"/>
    </row>
    <row r="947" spans="1:15" hidden="1" outlineLevel="1" x14ac:dyDescent="0.25">
      <c r="A947" s="18" t="str">
        <f t="array" aca="1" ref="A947" ca="1">IFERROR(INDEX(select!$D$908:$D$918,LARGE(($J$908:$J$918=select!$L$178)*(ROW($J$908:$J$918)-$B$907),COUNTIF($J$908:$J$918,1)+1-ROW(A2))),"")</f>
        <v/>
      </c>
      <c r="B947" s="18" t="str">
        <f t="array" aca="1" ref="B947" ca="1">IFERROR(INDEX($F$908:$F$918,LARGE(($J$908:$J$918=select!$L$178)*(ROW($J$908:$J$918)-$B$907),COUNTIF($J$908:$J$918,1)+1-ROW(A2))),"")</f>
        <v/>
      </c>
      <c r="C947" s="18" t="str">
        <f t="array" aca="1" ref="C947" ca="1">IFERROR(INDEX(select!$E$908:$E$918,LARGE(($J$908:$J$918=select!$L$178)*(ROW($J$908:$J$918)-$B$907),COUNTIF($J$908:$J$918,1)+1-ROW(A2))),"")</f>
        <v/>
      </c>
      <c r="D947" s="18" t="str">
        <f t="array" aca="1" ref="D947" ca="1">IFERROR(INDEX(select!$L$908:$L$918,LARGE(($J$908:$J$918=select!$L$178)*(ROW($J$908:$J$918)-$B$907),COUNTIF($J$908:$J$918,1)+1-ROW(A2))),"")</f>
        <v/>
      </c>
      <c r="E947" s="18" t="str">
        <f t="array" aca="1" ref="E947" ca="1">IFERROR(INDEX(select!$A$908:$A$918,LARGE(($J$908:$J$918=select!$L$178)*(ROW($J$908:$J$918)-$B$907),COUNTIF($J$908:$J$918,1)+1-ROW(A2))),"")</f>
        <v/>
      </c>
      <c r="F947" s="18" t="str">
        <f t="array" aca="1" ref="F947" ca="1">IFERROR(INDEX(select!$B$908:$B$918,LARGE(($J$908:$J$918=select!$L$178)*(ROW($J$908:$J$918)-$B$907),COUNTIF($J$908:$J$918,1)+1-ROW(A2))),"")</f>
        <v/>
      </c>
      <c r="G947" s="18" t="str">
        <f t="array" aca="1" ref="G947" ca="1">IFERROR(INDEX(select!$C$908:$C$918,LARGE(($J$908:$J$918=select!$L$178)*(ROW($J$908:$J$918)-$B$907),COUNTIF($J$908:$J$918,1)+1-ROW(A2))),"")</f>
        <v/>
      </c>
    </row>
    <row r="948" spans="1:15" hidden="1" outlineLevel="1" x14ac:dyDescent="0.25">
      <c r="A948" s="18" t="str">
        <f t="array" aca="1" ref="A948" ca="1">IFERROR(INDEX(select!$D$908:$D$918,LARGE(($J$908:$J$918=select!$L$178)*(ROW($J$908:$J$918)-$B$907),COUNTIF($J$908:$J$918,1)+1-ROW(A3))),"")</f>
        <v/>
      </c>
      <c r="B948" s="18" t="str">
        <f t="array" aca="1" ref="B948" ca="1">IFERROR(INDEX($F$908:$F$918,LARGE(($J$908:$J$918=select!$L$178)*(ROW($J$908:$J$918)-$B$907),COUNTIF($J$908:$J$918,1)+1-ROW(A3))),"")</f>
        <v/>
      </c>
      <c r="C948" s="18" t="str">
        <f t="array" aca="1" ref="C948" ca="1">IFERROR(INDEX(select!$E$908:$E$918,LARGE(($J$908:$J$918=select!$L$178)*(ROW($J$908:$J$918)-$B$907),COUNTIF($J$908:$J$918,1)+1-ROW(A3))),"")</f>
        <v/>
      </c>
      <c r="D948" s="18" t="str">
        <f t="array" aca="1" ref="D948" ca="1">IFERROR(INDEX(select!$L$908:$L$918,LARGE(($J$908:$J$918=select!$L$178)*(ROW($J$908:$J$918)-$B$907),COUNTIF($J$908:$J$918,1)+1-ROW(A3))),"")</f>
        <v/>
      </c>
      <c r="E948" s="18" t="str">
        <f t="array" aca="1" ref="E948" ca="1">IFERROR(INDEX(select!$A$908:$A$918,LARGE(($J$908:$J$918=select!$L$178)*(ROW($J$908:$J$918)-$B$907),COUNTIF($J$908:$J$918,1)+1-ROW(A3))),"")</f>
        <v/>
      </c>
      <c r="F948" s="18" t="str">
        <f t="array" aca="1" ref="F948" ca="1">IFERROR(INDEX(select!$B$908:$B$918,LARGE(($J$908:$J$918=select!$L$178)*(ROW($J$908:$J$918)-$B$907),COUNTIF($J$908:$J$918,1)+1-ROW(A3))),"")</f>
        <v/>
      </c>
      <c r="G948" s="18" t="str">
        <f t="array" aca="1" ref="G948" ca="1">IFERROR(INDEX(select!$C$908:$C$918,LARGE(($J$908:$J$918=select!$L$178)*(ROW($J$908:$J$918)-$B$907),COUNTIF($J$908:$J$918,1)+1-ROW(A3))),"")</f>
        <v/>
      </c>
    </row>
    <row r="949" spans="1:15" hidden="1" outlineLevel="1" x14ac:dyDescent="0.25">
      <c r="A949" s="18" t="str">
        <f t="array" aca="1" ref="A949" ca="1">IFERROR(INDEX(select!$D$908:$D$918,LARGE(($J$908:$J$918=select!$L$178)*(ROW($J$908:$J$918)-$B$907),COUNTIF($J$908:$J$918,1)+1-ROW(A4))),"")</f>
        <v/>
      </c>
      <c r="B949" s="18" t="str">
        <f t="array" aca="1" ref="B949" ca="1">IFERROR(INDEX($F$908:$F$918,LARGE(($J$908:$J$918=select!$L$178)*(ROW($J$908:$J$918)-$B$907),COUNTIF($J$908:$J$918,1)+1-ROW(A4))),"")</f>
        <v/>
      </c>
      <c r="C949" s="18" t="str">
        <f t="array" aca="1" ref="C949" ca="1">IFERROR(INDEX(select!$E$908:$E$918,LARGE(($J$908:$J$918=select!$L$178)*(ROW($J$908:$J$918)-$B$907),COUNTIF($J$908:$J$918,1)+1-ROW(A4))),"")</f>
        <v/>
      </c>
      <c r="D949" s="18" t="str">
        <f t="array" aca="1" ref="D949" ca="1">IFERROR(INDEX(select!$L$908:$L$918,LARGE(($J$908:$J$918=select!$L$178)*(ROW($J$908:$J$918)-$B$907),COUNTIF($J$908:$J$918,1)+1-ROW(A4))),"")</f>
        <v/>
      </c>
      <c r="E949" s="18" t="str">
        <f t="array" aca="1" ref="E949" ca="1">IFERROR(INDEX(select!$A$908:$A$918,LARGE(($J$908:$J$918=select!$L$178)*(ROW($J$908:$J$918)-$B$907),COUNTIF($J$908:$J$918,1)+1-ROW(A4))),"")</f>
        <v/>
      </c>
      <c r="F949" s="18" t="str">
        <f t="array" aca="1" ref="F949" ca="1">IFERROR(INDEX(select!$B$908:$B$918,LARGE(($J$908:$J$918=select!$L$178)*(ROW($J$908:$J$918)-$B$907),COUNTIF($J$908:$J$918,1)+1-ROW(A4))),"")</f>
        <v/>
      </c>
      <c r="G949" s="18" t="str">
        <f t="array" aca="1" ref="G949" ca="1">IFERROR(INDEX(select!$C$908:$C$918,LARGE(($J$908:$J$918=select!$L$178)*(ROW($J$908:$J$918)-$B$907),COUNTIF($J$908:$J$918,1)+1-ROW(A4))),"")</f>
        <v/>
      </c>
    </row>
    <row r="950" spans="1:15" hidden="1" outlineLevel="1" x14ac:dyDescent="0.25">
      <c r="A950" s="18" t="str">
        <f t="array" aca="1" ref="A950" ca="1">IFERROR(INDEX(select!$D$908:$D$918,LARGE(($J$908:$J$918=select!$L$178)*(ROW($J$908:$J$918)-$B$907),COUNTIF($J$908:$J$918,1)+1-ROW(A5))),"")</f>
        <v/>
      </c>
      <c r="B950" s="18" t="str">
        <f t="array" aca="1" ref="B950" ca="1">IFERROR(INDEX($F$908:$F$918,LARGE(($J$908:$J$918=select!$L$178)*(ROW($J$908:$J$918)-$B$907),COUNTIF($J$908:$J$918,1)+1-ROW(A5))),"")</f>
        <v/>
      </c>
      <c r="C950" s="18" t="str">
        <f t="array" aca="1" ref="C950" ca="1">IFERROR(INDEX(select!$E$908:$E$918,LARGE(($J$908:$J$918=select!$L$178)*(ROW($J$908:$J$918)-$B$907),COUNTIF($J$908:$J$918,1)+1-ROW(A5))),"")</f>
        <v/>
      </c>
      <c r="D950" s="18" t="str">
        <f t="array" aca="1" ref="D950" ca="1">IFERROR(INDEX(select!$L$908:$L$918,LARGE(($J$908:$J$918=select!$L$178)*(ROW($J$908:$J$918)-$B$907),COUNTIF($J$908:$J$918,1)+1-ROW(A5))),"")</f>
        <v/>
      </c>
      <c r="E950" s="18" t="str">
        <f t="array" aca="1" ref="E950" ca="1">IFERROR(INDEX(select!$A$908:$A$918,LARGE(($J$908:$J$918=select!$L$178)*(ROW($J$908:$J$918)-$B$907),COUNTIF($J$908:$J$918,1)+1-ROW(A5))),"")</f>
        <v/>
      </c>
      <c r="F950" s="18" t="str">
        <f t="array" aca="1" ref="F950" ca="1">IFERROR(INDEX(select!$B$908:$B$918,LARGE(($J$908:$J$918=select!$L$178)*(ROW($J$908:$J$918)-$B$907),COUNTIF($J$908:$J$918,1)+1-ROW(A5))),"")</f>
        <v/>
      </c>
      <c r="G950" s="18" t="str">
        <f t="array" aca="1" ref="G950" ca="1">IFERROR(INDEX(select!$C$908:$C$918,LARGE(($J$908:$J$918=select!$L$178)*(ROW($J$908:$J$918)-$B$907),COUNTIF($J$908:$J$918,1)+1-ROW(A5))),"")</f>
        <v/>
      </c>
    </row>
    <row r="951" spans="1:15" hidden="1" outlineLevel="1" x14ac:dyDescent="0.25">
      <c r="A951" s="18" t="str">
        <f t="array" aca="1" ref="A951" ca="1">IFERROR(INDEX(select!$D$908:$D$918,LARGE(($J$908:$J$918=select!$L$178)*(ROW($J$908:$J$918)-$B$907),COUNTIF($J$908:$J$918,1)+1-ROW(A6))),"")</f>
        <v/>
      </c>
      <c r="B951" s="18" t="str">
        <f t="array" aca="1" ref="B951" ca="1">IFERROR(INDEX($F$908:$F$918,LARGE(($J$908:$J$918=select!$L$178)*(ROW($J$908:$J$918)-$B$907),COUNTIF($J$908:$J$918,1)+1-ROW(A6))),"")</f>
        <v/>
      </c>
      <c r="C951" s="18" t="str">
        <f t="array" aca="1" ref="C951" ca="1">IFERROR(INDEX(select!$E$908:$E$918,LARGE(($J$908:$J$918=select!$L$178)*(ROW($J$908:$J$918)-$B$907),COUNTIF($J$908:$J$918,1)+1-ROW(A6))),"")</f>
        <v/>
      </c>
      <c r="D951" s="18" t="str">
        <f t="array" aca="1" ref="D951" ca="1">IFERROR(INDEX(select!$L$908:$L$918,LARGE(($J$908:$J$918=select!$L$178)*(ROW($J$908:$J$918)-$B$907),COUNTIF($J$908:$J$918,1)+1-ROW(A6))),"")</f>
        <v/>
      </c>
      <c r="E951" s="18" t="str">
        <f t="array" aca="1" ref="E951" ca="1">IFERROR(INDEX(select!$A$908:$A$918,LARGE(($J$908:$J$918=select!$L$178)*(ROW($J$908:$J$918)-$B$907),COUNTIF($J$908:$J$918,1)+1-ROW(A6))),"")</f>
        <v/>
      </c>
      <c r="F951" s="18" t="str">
        <f t="array" aca="1" ref="F951" ca="1">IFERROR(INDEX(select!$B$908:$B$918,LARGE(($J$908:$J$918=select!$L$178)*(ROW($J$908:$J$918)-$B$907),COUNTIF($J$908:$J$918,1)+1-ROW(A6))),"")</f>
        <v/>
      </c>
      <c r="G951" s="18" t="str">
        <f t="array" aca="1" ref="G951" ca="1">IFERROR(INDEX(select!$C$908:$C$918,LARGE(($J$908:$J$918=select!$L$178)*(ROW($J$908:$J$918)-$B$907),COUNTIF($J$908:$J$918,1)+1-ROW(A6))),"")</f>
        <v/>
      </c>
    </row>
    <row r="952" spans="1:15" hidden="1" outlineLevel="1" x14ac:dyDescent="0.25"/>
    <row r="953" spans="1:15" hidden="1" outlineLevel="1" x14ac:dyDescent="0.25">
      <c r="A953" t="str">
        <f>K907</f>
        <v>10/32</v>
      </c>
    </row>
    <row r="954" spans="1:15" hidden="1" outlineLevel="1" x14ac:dyDescent="0.25">
      <c r="A954" s="18" t="str">
        <f t="array" aca="1" ref="A954" ca="1">IFERROR(INDEX(select!$D$908:$D$918,LARGE(($K$908:$K$918=select!$L$178)*(ROW($K$908:$K$918)-$B$907),COUNTIF($K$908:$K$918,1)+1-ROW(A1))),Sprache!$A$56&amp;" "&amp;Sprache!$A$146)</f>
        <v>keine Lösungen</v>
      </c>
      <c r="B954" s="18" t="str">
        <f t="array" aca="1" ref="B954" ca="1">IFERROR(INDEX($F$908:$F$918,LARGE(($K$908:$K$918=select!$L$178)*(ROW($K$908:$K$918)-$B$907),COUNTIF($K$908:$K$918,1)+1-ROW(A1))),Sprache!$A$38)</f>
        <v>Bitte Auswahl ändern!</v>
      </c>
      <c r="C954" s="18" t="str">
        <f t="array" aca="1" ref="C954" ca="1">IFERROR(INDEX(select!$E$908:$E$918,LARGE(($K$908:$K$918=select!$L$178)*(ROW($K$908:$K$918)-$B$907),COUNTIF($K$908:$K$918,1)+1-ROW(A1))),"")</f>
        <v/>
      </c>
      <c r="D954" s="18" t="str">
        <f t="array" aca="1" ref="D954" ca="1">IFERROR(INDEX(select!$L$908:$L$918,LARGE(($K$908:$K$918=select!$L$178)*(ROW($K$908:$K$918)-$B$907),COUNTIF($K$908:$K$918,1)+1-ROW(A1))),"")</f>
        <v/>
      </c>
      <c r="E954" s="18" t="str">
        <f t="array" aca="1" ref="E954" ca="1">IFERROR(INDEX(select!$A$908:$A$918,LARGE(($K$908:$K$918=select!$L$178)*(ROW($K$908:$K$918)-$B$907),COUNTIF($K$908:$K$918,1)+1-ROW(A1))),"")</f>
        <v/>
      </c>
      <c r="F954" s="18" t="str">
        <f t="array" aca="1" ref="F954" ca="1">IFERROR(INDEX(select!$B$908:$B$918,LARGE(($K$908:$K$918=select!$L$178)*(ROW($K$908:$K$918)-$B$907),COUNTIF($K$908:$K$918,1)+1-ROW(A1))),"")</f>
        <v/>
      </c>
      <c r="G954" s="18" t="str">
        <f t="array" aca="1" ref="G954" ca="1">IFERROR(INDEX(select!$C$908:$C$918,LARGE(($K$908:$K$918=select!$L$178)*(ROW($K$908:$K$918)-$B$907),COUNTIF($K$908:$K$918,1)+1-ROW(A1))),"")</f>
        <v/>
      </c>
      <c r="H954" s="3"/>
    </row>
    <row r="955" spans="1:15" hidden="1" outlineLevel="1" x14ac:dyDescent="0.25">
      <c r="A955" s="18" t="str">
        <f t="array" aca="1" ref="A955" ca="1">IFERROR(INDEX(select!$D$908:$D$918,LARGE(($K$908:$K$918=select!$L$178)*(ROW($K$908:$K$918)-$B$907),COUNTIF($K$908:$K$918,1)+1-ROW(A2))),"")</f>
        <v/>
      </c>
      <c r="B955" s="18" t="str">
        <f t="array" aca="1" ref="B955" ca="1">IFERROR(INDEX($F$908:$F$918,LARGE(($K$908:$K$918=select!$L$178)*(ROW($K$908:$K$918)-$B$907),COUNTIF($K$908:$K$918,1)+1-ROW(A2))),"")</f>
        <v/>
      </c>
      <c r="C955" s="18" t="str">
        <f t="array" aca="1" ref="C955" ca="1">IFERROR(INDEX(select!$E$908:$E$918,LARGE(($K$908:$K$918=select!$L$178)*(ROW($K$908:$K$918)-$B$907),COUNTIF($K$908:$K$918,1)+1-ROW(A2))),"")</f>
        <v/>
      </c>
      <c r="D955" s="18" t="str">
        <f t="array" aca="1" ref="D955" ca="1">IFERROR(INDEX(select!$L$908:$L$918,LARGE(($K$908:$K$918=select!$L$178)*(ROW($K$908:$K$918)-$B$907),COUNTIF($K$908:$K$918,1)+1-ROW(A2))),"")</f>
        <v/>
      </c>
      <c r="E955" s="18" t="str">
        <f t="array" aca="1" ref="E955" ca="1">IFERROR(INDEX(select!$A$908:$A$918,LARGE(($K$908:$K$918=select!$L$178)*(ROW($K$908:$K$918)-$B$907),COUNTIF($K$908:$K$918,1)+1-ROW(A2))),"")</f>
        <v/>
      </c>
      <c r="F955" s="18" t="str">
        <f t="array" aca="1" ref="F955" ca="1">IFERROR(INDEX(select!$B$908:$B$918,LARGE(($K$908:$K$918=select!$L$178)*(ROW($K$908:$K$918)-$B$907),COUNTIF($K$908:$K$918,1)+1-ROW(A2))),"")</f>
        <v/>
      </c>
      <c r="G955" s="18" t="str">
        <f t="array" aca="1" ref="G955" ca="1">IFERROR(INDEX(select!$C$908:$C$918,LARGE(($K$908:$K$918=select!$L$178)*(ROW($K$908:$K$918)-$B$907),COUNTIF($K$908:$K$918,1)+1-ROW(A2))),"")</f>
        <v/>
      </c>
    </row>
    <row r="956" spans="1:15" hidden="1" outlineLevel="1" x14ac:dyDescent="0.25">
      <c r="A956" s="18" t="str">
        <f t="array" aca="1" ref="A956" ca="1">IFERROR(INDEX(select!$D$908:$D$918,LARGE(($K$908:$K$918=select!$L$178)*(ROW($K$908:$K$918)-$B$907),COUNTIF($K$908:$K$918,1)+1-ROW(A3))),"")</f>
        <v/>
      </c>
      <c r="B956" s="18" t="str">
        <f t="array" aca="1" ref="B956" ca="1">IFERROR(INDEX($F$908:$F$918,LARGE(($K$908:$K$918=select!$L$178)*(ROW($K$908:$K$918)-$B$907),COUNTIF($K$908:$K$918,1)+1-ROW(A3))),"")</f>
        <v/>
      </c>
      <c r="C956" s="18" t="str">
        <f t="array" aca="1" ref="C956" ca="1">IFERROR(INDEX(select!$E$908:$E$918,LARGE(($K$908:$K$918=select!$L$178)*(ROW($K$908:$K$918)-$B$907),COUNTIF($K$908:$K$918,1)+1-ROW(A3))),"")</f>
        <v/>
      </c>
      <c r="D956" s="18" t="str">
        <f t="array" aca="1" ref="D956" ca="1">IFERROR(INDEX(select!$L$908:$L$918,LARGE(($K$908:$K$918=select!$L$178)*(ROW($K$908:$K$918)-$B$907),COUNTIF($K$908:$K$918,1)+1-ROW(A3))),"")</f>
        <v/>
      </c>
      <c r="E956" s="18" t="str">
        <f t="array" aca="1" ref="E956" ca="1">IFERROR(INDEX(select!$A$908:$A$918,LARGE(($K$908:$K$918=select!$L$178)*(ROW($K$908:$K$918)-$B$907),COUNTIF($K$908:$K$918,1)+1-ROW(A3))),"")</f>
        <v/>
      </c>
      <c r="F956" s="18" t="str">
        <f t="array" aca="1" ref="F956" ca="1">IFERROR(INDEX(select!$B$908:$B$918,LARGE(($K$908:$K$918=select!$L$178)*(ROW($K$908:$K$918)-$B$907),COUNTIF($K$908:$K$918,1)+1-ROW(A3))),"")</f>
        <v/>
      </c>
      <c r="G956" s="18" t="str">
        <f t="array" aca="1" ref="G956" ca="1">IFERROR(INDEX(select!$C$908:$C$918,LARGE(($K$908:$K$918=select!$L$178)*(ROW($K$908:$K$918)-$B$907),COUNTIF($K$908:$K$918,1)+1-ROW(A3))),"")</f>
        <v/>
      </c>
    </row>
    <row r="957" spans="1:15" hidden="1" outlineLevel="1" x14ac:dyDescent="0.25">
      <c r="A957" s="18" t="str">
        <f t="array" aca="1" ref="A957" ca="1">IFERROR(INDEX(select!$D$908:$D$918,LARGE(($K$908:$K$918=select!$L$178)*(ROW($K$908:$K$918)-$B$907),COUNTIF($K$908:$K$918,1)+1-ROW(A4))),"")</f>
        <v/>
      </c>
      <c r="B957" s="18" t="str">
        <f t="array" aca="1" ref="B957" ca="1">IFERROR(INDEX($F$908:$F$918,LARGE(($K$908:$K$918=select!$L$178)*(ROW($K$908:$K$918)-$B$907),COUNTIF($K$908:$K$918,1)+1-ROW(A4))),"")</f>
        <v/>
      </c>
      <c r="C957" s="18" t="str">
        <f t="array" aca="1" ref="C957" ca="1">IFERROR(INDEX(select!$E$908:$E$918,LARGE(($K$908:$K$918=select!$L$178)*(ROW($K$908:$K$918)-$B$907),COUNTIF($K$908:$K$918,1)+1-ROW(A4))),"")</f>
        <v/>
      </c>
      <c r="D957" s="18" t="str">
        <f t="array" aca="1" ref="D957" ca="1">IFERROR(INDEX(select!$L$908:$L$918,LARGE(($K$908:$K$918=select!$L$178)*(ROW($K$908:$K$918)-$B$907),COUNTIF($K$908:$K$918,1)+1-ROW(A4))),"")</f>
        <v/>
      </c>
      <c r="E957" s="18" t="str">
        <f t="array" aca="1" ref="E957" ca="1">IFERROR(INDEX(select!$A$908:$A$918,LARGE(($K$908:$K$918=select!$L$178)*(ROW($K$908:$K$918)-$B$907),COUNTIF($K$908:$K$918,1)+1-ROW(A4))),"")</f>
        <v/>
      </c>
      <c r="F957" s="18" t="str">
        <f t="array" aca="1" ref="F957" ca="1">IFERROR(INDEX(select!$B$908:$B$918,LARGE(($K$908:$K$918=select!$L$178)*(ROW($K$908:$K$918)-$B$907),COUNTIF($K$908:$K$918,1)+1-ROW(A4))),"")</f>
        <v/>
      </c>
      <c r="G957" s="18" t="str">
        <f t="array" aca="1" ref="G957" ca="1">IFERROR(INDEX(select!$C$908:$C$918,LARGE(($K$908:$K$918=select!$L$178)*(ROW($K$908:$K$918)-$B$907),COUNTIF($K$908:$K$918,1)+1-ROW(A4))),"")</f>
        <v/>
      </c>
    </row>
    <row r="958" spans="1:15" hidden="1" outlineLevel="1" x14ac:dyDescent="0.25">
      <c r="A958" s="18" t="str">
        <f t="array" aca="1" ref="A958" ca="1">IFERROR(INDEX(select!$D$908:$D$918,LARGE(($K$908:$K$918=select!$L$178)*(ROW($K$908:$K$918)-$B$907),COUNTIF($K$908:$K$918,1)+1-ROW(A5))),"")</f>
        <v/>
      </c>
      <c r="B958" s="18" t="str">
        <f t="array" aca="1" ref="B958" ca="1">IFERROR(INDEX($F$908:$F$918,LARGE(($K$908:$K$918=select!$L$178)*(ROW($K$908:$K$918)-$B$907),COUNTIF($K$908:$K$918,1)+1-ROW(A5))),"")</f>
        <v/>
      </c>
      <c r="C958" s="18" t="str">
        <f t="array" aca="1" ref="C958" ca="1">IFERROR(INDEX(select!$E$908:$E$918,LARGE(($K$908:$K$918=select!$L$178)*(ROW($K$908:$K$918)-$B$907),COUNTIF($K$908:$K$918,1)+1-ROW(A5))),"")</f>
        <v/>
      </c>
      <c r="D958" s="18" t="str">
        <f t="array" aca="1" ref="D958" ca="1">IFERROR(INDEX(select!$L$908:$L$918,LARGE(($K$908:$K$918=select!$L$178)*(ROW($K$908:$K$918)-$B$907),COUNTIF($K$908:$K$918,1)+1-ROW(A5))),"")</f>
        <v/>
      </c>
      <c r="E958" s="18" t="str">
        <f t="array" aca="1" ref="E958" ca="1">IFERROR(INDEX(select!$A$908:$A$918,LARGE(($K$908:$K$918=select!$L$178)*(ROW($K$908:$K$918)-$B$907),COUNTIF($K$908:$K$918,1)+1-ROW(A5))),"")</f>
        <v/>
      </c>
      <c r="F958" s="18" t="str">
        <f t="array" aca="1" ref="F958" ca="1">IFERROR(INDEX(select!$B$908:$B$918,LARGE(($K$908:$K$918=select!$L$178)*(ROW($K$908:$K$918)-$B$907),COUNTIF($K$908:$K$918,1)+1-ROW(A5))),"")</f>
        <v/>
      </c>
      <c r="G958" s="18" t="str">
        <f t="array" aca="1" ref="G958" ca="1">IFERROR(INDEX(select!$C$908:$C$918,LARGE(($K$908:$K$918=select!$L$178)*(ROW($K$908:$K$918)-$B$907),COUNTIF($K$908:$K$918,1)+1-ROW(A5))),"")</f>
        <v/>
      </c>
    </row>
    <row r="959" spans="1:15" hidden="1" outlineLevel="1" x14ac:dyDescent="0.25">
      <c r="A959" s="18" t="str">
        <f t="array" aca="1" ref="A959" ca="1">IFERROR(INDEX(select!$D$908:$D$918,LARGE(($K$908:$K$918=select!$L$178)*(ROW($K$908:$K$918)-$B$907),COUNTIF($K$908:$K$918,1)+1-ROW(A6))),"")</f>
        <v/>
      </c>
      <c r="B959" s="18" t="str">
        <f t="array" aca="1" ref="B959" ca="1">IFERROR(INDEX($F$908:$F$918,LARGE(($K$908:$K$918=select!$L$178)*(ROW($K$908:$K$918)-$B$907),COUNTIF($K$908:$K$918,1)+1-ROW(A6))),"")</f>
        <v/>
      </c>
      <c r="C959" s="18" t="str">
        <f t="array" aca="1" ref="C959" ca="1">IFERROR(INDEX(select!$E$908:$E$918,LARGE(($K$908:$K$918=select!$L$178)*(ROW($K$908:$K$918)-$B$907),COUNTIF($K$908:$K$918,1)+1-ROW(A6))),"")</f>
        <v/>
      </c>
      <c r="D959" s="18" t="str">
        <f t="array" aca="1" ref="D959" ca="1">IFERROR(INDEX(select!$L$908:$L$918,LARGE(($K$908:$K$918=select!$L$178)*(ROW($K$908:$K$918)-$B$907),COUNTIF($K$908:$K$918,1)+1-ROW(A6))),"")</f>
        <v/>
      </c>
      <c r="E959" s="18" t="str">
        <f t="array" aca="1" ref="E959" ca="1">IFERROR(INDEX(select!$A$908:$A$918,LARGE(($K$908:$K$918=select!$L$178)*(ROW($K$908:$K$918)-$B$907),COUNTIF($K$908:$K$918,1)+1-ROW(A6))),"")</f>
        <v/>
      </c>
      <c r="F959" s="18" t="str">
        <f t="array" aca="1" ref="F959" ca="1">IFERROR(INDEX(select!$B$908:$B$918,LARGE(($K$908:$K$918=select!$L$178)*(ROW($K$908:$K$918)-$B$907),COUNTIF($K$908:$K$918,1)+1-ROW(A6))),"")</f>
        <v/>
      </c>
      <c r="G959" s="18" t="str">
        <f t="array" aca="1" ref="G959" ca="1">IFERROR(INDEX(select!$C$908:$C$918,LARGE(($K$908:$K$918=select!$L$178)*(ROW($K$908:$K$918)-$B$907),COUNTIF($K$908:$K$918,1)+1-ROW(A6))),"")</f>
        <v/>
      </c>
    </row>
    <row r="960" spans="1:15" hidden="1" outlineLevel="1" x14ac:dyDescent="0.25"/>
    <row r="961" spans="1:13" hidden="1" outlineLevel="1" x14ac:dyDescent="0.25"/>
    <row r="962" spans="1:13" hidden="1" outlineLevel="1" x14ac:dyDescent="0.25"/>
    <row r="963" spans="1:13" s="335" customFormat="1" hidden="1" outlineLevel="1" x14ac:dyDescent="0.25">
      <c r="B963" s="223" t="str">
        <f>B749</f>
        <v>Tiomos PCC</v>
      </c>
    </row>
    <row r="964" spans="1:13" hidden="1" outlineLevel="1" x14ac:dyDescent="0.25"/>
    <row r="965" spans="1:13" hidden="1" outlineLevel="1" x14ac:dyDescent="0.25">
      <c r="B965" t="s">
        <v>1855</v>
      </c>
      <c r="G965" s="1" t="s">
        <v>1445</v>
      </c>
      <c r="H965" s="1" t="s">
        <v>52</v>
      </c>
      <c r="I965" s="1" t="s">
        <v>51</v>
      </c>
      <c r="K965" s="179" t="s">
        <v>51</v>
      </c>
      <c r="L965" s="180" t="s">
        <v>42</v>
      </c>
      <c r="M965" s="181" t="s">
        <v>52</v>
      </c>
    </row>
    <row r="966" spans="1:13" hidden="1" outlineLevel="1" x14ac:dyDescent="0.25">
      <c r="B966" t="s">
        <v>1856</v>
      </c>
      <c r="G966" s="34">
        <f>DCOUNT(Montageplatten[[#Headers],[#Data],[MPH Winkel]:[Höhe]],Montageplatten[[#Headers],[Höhe]],select!L965:L966)</f>
        <v>21</v>
      </c>
      <c r="H966">
        <f>DCOUNT(Montageplatten[[#Headers],[#Data],[MPH Winkel]:[Höhe]],Montageplatten[[#Headers],[Höhe]],select!L965:M966)</f>
        <v>17</v>
      </c>
      <c r="I966">
        <f>DCOUNT(Montageplatten[[#Headers],[#Data],[MPH Winkel]:[Höhe]],Montageplatten[[#Headers],[Höhe]],select!K965:L966)</f>
        <v>3</v>
      </c>
      <c r="K966" s="182">
        <v>1</v>
      </c>
      <c r="L966" s="227">
        <v>0</v>
      </c>
      <c r="M966" s="118">
        <v>1</v>
      </c>
    </row>
    <row r="967" spans="1:13" hidden="1" outlineLevel="1" x14ac:dyDescent="0.25"/>
    <row r="968" spans="1:13" hidden="1" outlineLevel="1" x14ac:dyDescent="0.25"/>
    <row r="969" spans="1:13" s="223" customFormat="1" hidden="1" outlineLevel="1" x14ac:dyDescent="0.25">
      <c r="B969" s="223" t="s">
        <v>1392</v>
      </c>
      <c r="D969" s="223" t="s">
        <v>1396</v>
      </c>
      <c r="F969" s="223" t="s">
        <v>1394</v>
      </c>
    </row>
    <row r="970" spans="1:13" hidden="1" outlineLevel="1" x14ac:dyDescent="0.25"/>
    <row r="971" spans="1:13" hidden="1" outlineLevel="1" x14ac:dyDescent="0.25">
      <c r="B971" t="s">
        <v>1862</v>
      </c>
    </row>
    <row r="972" spans="1:13" hidden="1" outlineLevel="1" x14ac:dyDescent="0.25">
      <c r="B972" t="s">
        <v>1863</v>
      </c>
    </row>
    <row r="973" spans="1:13" hidden="1" outlineLevel="1" x14ac:dyDescent="0.25"/>
    <row r="974" spans="1:13" hidden="1" outlineLevel="1" x14ac:dyDescent="0.25"/>
    <row r="975" spans="1:13" s="78" customFormat="1" collapsed="1" x14ac:dyDescent="0.25">
      <c r="A975" s="78" t="s">
        <v>2253</v>
      </c>
    </row>
    <row r="976" spans="1:13" hidden="1" outlineLevel="1" x14ac:dyDescent="0.25"/>
    <row r="977" spans="1:18" hidden="1" outlineLevel="1" x14ac:dyDescent="0.25"/>
    <row r="978" spans="1:18" hidden="1" outlineLevel="1" x14ac:dyDescent="0.25">
      <c r="O978" s="131" t="str">
        <f ca="1">IF(F1318&lt;&gt;"","",IF(OR(P980=0,P980="")=TRUE,Sprache!A42,""))</f>
        <v/>
      </c>
    </row>
    <row r="979" spans="1:18" hidden="1" outlineLevel="1" x14ac:dyDescent="0.25">
      <c r="D979" s="6" t="s">
        <v>1409</v>
      </c>
      <c r="E979" s="6" t="s">
        <v>1410</v>
      </c>
      <c r="F979" s="6" t="s">
        <v>1411</v>
      </c>
      <c r="G979" s="6" t="s">
        <v>1412</v>
      </c>
      <c r="H979" s="6" t="s">
        <v>1419</v>
      </c>
      <c r="I979" s="6" t="s">
        <v>1420</v>
      </c>
      <c r="J979" s="6" t="s">
        <v>1835</v>
      </c>
      <c r="K979" s="6" t="s">
        <v>5</v>
      </c>
      <c r="L979" s="6" t="s">
        <v>1417</v>
      </c>
      <c r="M979" s="6" t="s">
        <v>1418</v>
      </c>
      <c r="N979" s="8" t="s">
        <v>1892</v>
      </c>
      <c r="O979" s="8" t="s">
        <v>1450</v>
      </c>
      <c r="P979" s="8" t="s">
        <v>1962</v>
      </c>
    </row>
    <row r="980" spans="1:18" ht="15.75" hidden="1" outlineLevel="1" thickBot="1" x14ac:dyDescent="0.3">
      <c r="A980" s="4" t="str">
        <f>VLOOKUP(A981,A982:B995,2,FALSE)</f>
        <v>Tiomos 95 GL  Mini</v>
      </c>
      <c r="D980" t="str">
        <f ca="1">VLOOKUP(A981,A982:D986,4,FALSE)</f>
        <v>Türauflage</v>
      </c>
      <c r="E980">
        <f>VLOOKUP(A981,A982:E986,5,FALSE)</f>
        <v>-24</v>
      </c>
      <c r="F980">
        <f>VLOOKUP(A981,A982:F986,6,FALSE)</f>
        <v>24</v>
      </c>
      <c r="G980">
        <f>VLOOKUP(A981,A982:G986,7,FALSE)</f>
        <v>0</v>
      </c>
      <c r="H980">
        <f ca="1">VLOOKUP(A981,A982:H986,8,FALSE)</f>
        <v>2.5</v>
      </c>
      <c r="I980">
        <f ca="1">VLOOKUP(A981,A982:I986,9,FALSE)</f>
        <v>-2</v>
      </c>
      <c r="J980">
        <f ca="1">VLOOKUP(A981,A982:J986,10,FALSE)</f>
        <v>0</v>
      </c>
      <c r="K980" s="116">
        <f>VLOOKUP(A981,A982:K986,11,FALSE)</f>
        <v>3</v>
      </c>
      <c r="L980" t="str">
        <f ca="1">VLOOKUP(A981,A982:L985,12,FALSE)</f>
        <v>Topfabstand</v>
      </c>
      <c r="M980">
        <f ca="1">VLOOKUP(A981,A982:M985,13,FALSE)</f>
        <v>6</v>
      </c>
      <c r="N980">
        <f>VLOOKUP(A981,A982:N985,14,FALSE)</f>
        <v>0</v>
      </c>
      <c r="O980">
        <f ca="1">VLOOKUP(A981,A982:O985,15,FALSE)</f>
        <v>2</v>
      </c>
      <c r="P980">
        <f ca="1">VLOOKUP(A981,A982:P986,16,FALSE)</f>
        <v>1</v>
      </c>
    </row>
    <row r="981" spans="1:18" ht="15.75" hidden="1" outlineLevel="1" thickBot="1" x14ac:dyDescent="0.3">
      <c r="A981" s="286">
        <v>1</v>
      </c>
      <c r="B981" s="3"/>
    </row>
    <row r="982" spans="1:18" hidden="1" outlineLevel="1" x14ac:dyDescent="0.25">
      <c r="A982">
        <v>1</v>
      </c>
      <c r="B982" t="s">
        <v>1816</v>
      </c>
      <c r="D982" s="290" t="str">
        <f ca="1">Sprache!A154</f>
        <v>Türauflage</v>
      </c>
      <c r="E982" s="290">
        <v>-24</v>
      </c>
      <c r="F982" s="290">
        <v>24</v>
      </c>
      <c r="G982" s="290">
        <v>0</v>
      </c>
      <c r="H982" s="290">
        <f ca="1">C1139</f>
        <v>2.5</v>
      </c>
      <c r="I982" s="290">
        <f ca="1">C1088</f>
        <v>-2</v>
      </c>
      <c r="J982" s="290">
        <f ca="1">IF(F1318&lt;&gt;"",1,0)</f>
        <v>0</v>
      </c>
      <c r="K982" s="290">
        <v>3</v>
      </c>
      <c r="L982" s="290" t="str">
        <f ca="1">Sprache!A176</f>
        <v>Topfabstand</v>
      </c>
      <c r="M982" s="290">
        <f ca="1">B1038</f>
        <v>6</v>
      </c>
      <c r="N982" s="291">
        <v>0</v>
      </c>
      <c r="O982">
        <f ca="1">OFFSET(I1041,0,E991)</f>
        <v>2</v>
      </c>
      <c r="P982">
        <f ca="1">C1038</f>
        <v>1</v>
      </c>
    </row>
    <row r="983" spans="1:18" hidden="1" outlineLevel="1" x14ac:dyDescent="0.25">
      <c r="A983">
        <v>2</v>
      </c>
      <c r="B983" t="s">
        <v>1864</v>
      </c>
      <c r="D983" s="290" t="str">
        <f ca="1">Sprache!A154</f>
        <v>Türauflage</v>
      </c>
      <c r="E983" s="290">
        <v>-24</v>
      </c>
      <c r="F983" s="290">
        <v>24</v>
      </c>
      <c r="G983" s="290">
        <v>0</v>
      </c>
      <c r="H983" s="290">
        <f ca="1">H985</f>
        <v>2.5</v>
      </c>
      <c r="I983" s="290">
        <f ca="1">I985</f>
        <v>-2</v>
      </c>
      <c r="J983" s="290">
        <f ca="1">J982</f>
        <v>0</v>
      </c>
      <c r="K983" s="290">
        <v>14</v>
      </c>
      <c r="L983" s="290" t="str">
        <f ca="1">Sprache!A166</f>
        <v>Klebemaß (Z)</v>
      </c>
      <c r="M983" s="290">
        <f ca="1">M985</f>
        <v>6</v>
      </c>
      <c r="N983" s="291">
        <v>-8</v>
      </c>
      <c r="O983">
        <f ca="1">O985</f>
        <v>2</v>
      </c>
      <c r="P983">
        <f ca="1">P982</f>
        <v>1</v>
      </c>
    </row>
    <row r="984" spans="1:18" hidden="1" outlineLevel="1" x14ac:dyDescent="0.25">
      <c r="A984">
        <v>3</v>
      </c>
      <c r="B984" t="s">
        <v>1393</v>
      </c>
      <c r="D984" s="290" t="str">
        <f ca="1">Sprache!A154</f>
        <v>Türauflage</v>
      </c>
      <c r="E984" s="290">
        <v>-24</v>
      </c>
      <c r="F984" s="290">
        <v>24</v>
      </c>
      <c r="G984" s="290">
        <v>0</v>
      </c>
      <c r="H984" s="290" t="str">
        <f ca="1">B1313</f>
        <v>-</v>
      </c>
      <c r="I984" s="290" t="str">
        <f ca="1">B1262</f>
        <v>-</v>
      </c>
      <c r="J984" s="290">
        <f ca="1">J983</f>
        <v>0</v>
      </c>
      <c r="K984" s="290" t="s">
        <v>1887</v>
      </c>
      <c r="L984" s="290" t="str">
        <f ca="1">Sprache!A176</f>
        <v>Topfabstand</v>
      </c>
      <c r="M984" s="290" t="e">
        <f ca="1">O1205</f>
        <v>#N/A</v>
      </c>
      <c r="N984" s="291">
        <v>0</v>
      </c>
      <c r="O984" s="3">
        <f ca="1">O982</f>
        <v>2</v>
      </c>
      <c r="P984">
        <f ca="1">IF(OR(D1212=1,F1212=1,H1212=1,J1212=1)=TRUE,1,0)</f>
        <v>0</v>
      </c>
    </row>
    <row r="985" spans="1:18" hidden="1" outlineLevel="1" x14ac:dyDescent="0.25">
      <c r="A985">
        <v>4</v>
      </c>
      <c r="B985" t="s">
        <v>1394</v>
      </c>
      <c r="D985" s="310" t="str">
        <f ca="1">Sprache!A154</f>
        <v>Türauflage</v>
      </c>
      <c r="E985" s="310">
        <v>-24</v>
      </c>
      <c r="F985" s="310">
        <v>25</v>
      </c>
      <c r="G985" s="310">
        <v>0</v>
      </c>
      <c r="H985" s="310">
        <f ca="1">H982</f>
        <v>2.5</v>
      </c>
      <c r="I985" s="310">
        <f ca="1">I982</f>
        <v>-2</v>
      </c>
      <c r="J985" s="310">
        <f ca="1">J984</f>
        <v>0</v>
      </c>
      <c r="K985" s="310">
        <v>14</v>
      </c>
      <c r="L985" s="310" t="str">
        <f ca="1">Sprache!A165</f>
        <v>Anschraubmaß (Z)</v>
      </c>
      <c r="M985" s="310">
        <f ca="1">B1038</f>
        <v>6</v>
      </c>
      <c r="N985" s="310">
        <v>-42</v>
      </c>
      <c r="O985">
        <f ca="1">O982</f>
        <v>2</v>
      </c>
      <c r="P985">
        <f ca="1">P982</f>
        <v>1</v>
      </c>
    </row>
    <row r="986" spans="1:18" hidden="1" outlineLevel="1" x14ac:dyDescent="0.25">
      <c r="A986" s="34"/>
      <c r="B986" s="34"/>
      <c r="C986" s="3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34"/>
      <c r="P986" s="34"/>
    </row>
    <row r="987" spans="1:18" hidden="1" outlineLevel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Q987" s="131" t="str">
        <f ca="1">IF(R988=0,Sprache!$A$56&amp;" "&amp;Sprache!$A$147,IF(Q988=0,Sprache!$A$40,""))</f>
        <v/>
      </c>
    </row>
    <row r="988" spans="1:18" ht="15.75" hidden="1" outlineLevel="1" thickBot="1" x14ac:dyDescent="0.3">
      <c r="A988" s="24" t="s">
        <v>2</v>
      </c>
      <c r="B988" s="8"/>
      <c r="C988" s="8"/>
      <c r="D988" s="8"/>
      <c r="E988" s="8"/>
      <c r="F988" s="8"/>
      <c r="G988" s="8"/>
      <c r="H988" s="8"/>
      <c r="I988" s="8"/>
      <c r="K988" s="18">
        <f ca="1">IFERROR(VLOOKUP(K989,K990:L1003,2,FALSE)+N980,"")</f>
        <v>3</v>
      </c>
      <c r="M988">
        <v>0</v>
      </c>
      <c r="N988" s="8">
        <v>8</v>
      </c>
      <c r="O988" s="8">
        <v>0</v>
      </c>
      <c r="P988" s="8">
        <v>42</v>
      </c>
      <c r="Q988">
        <f ca="1">VLOOKUP(K989,K990:Q1003,7,FALSE)</f>
        <v>1</v>
      </c>
      <c r="R988">
        <f ca="1">SUM(Q990:Q1003)</f>
        <v>3</v>
      </c>
    </row>
    <row r="989" spans="1:18" ht="15.75" hidden="1" outlineLevel="1" thickBot="1" x14ac:dyDescent="0.3">
      <c r="A989" s="130" t="str">
        <f>VLOOKUP(A990,A991:D997,2,FALSE)</f>
        <v>-</v>
      </c>
      <c r="C989" s="720" t="str">
        <f>IF(D989=0,Sprache!$A$56&amp; " " &amp;Sprache!$A$147,IF(D990=0,Sprache!$A$43,""))</f>
        <v/>
      </c>
      <c r="D989" s="381">
        <f>SUM(D991:D997)</f>
        <v>1</v>
      </c>
      <c r="K989" s="283">
        <v>1</v>
      </c>
      <c r="L989" s="24" t="s">
        <v>1</v>
      </c>
      <c r="M989" s="344" t="s">
        <v>1865</v>
      </c>
      <c r="N989" s="345" t="s">
        <v>1866</v>
      </c>
      <c r="O989" s="345" t="s">
        <v>1867</v>
      </c>
      <c r="P989" s="347" t="s">
        <v>1861</v>
      </c>
    </row>
    <row r="990" spans="1:18" ht="15.75" hidden="1" outlineLevel="1" thickBot="1" x14ac:dyDescent="0.3">
      <c r="A990" s="283">
        <v>1</v>
      </c>
      <c r="D990" s="381">
        <f>VLOOKUP(A990,A991:D997,4,FALSE)</f>
        <v>1</v>
      </c>
      <c r="E990" s="4" t="str">
        <f ca="1">VLOOKUP(E991,E992:F995,2,FALSE)</f>
        <v>Kreuzmontageplatte</v>
      </c>
      <c r="H990" s="720" t="str">
        <f ca="1">IF(I991=0,Sprache!$A$56&amp; " " &amp;Sprache!$A$147,IF(H991=0,Sprache!$A$50,""))</f>
        <v/>
      </c>
      <c r="K990">
        <v>1</v>
      </c>
      <c r="L990" s="724">
        <f ca="1">IF(OFFSET(L990,0,$A$981)=0,"",OFFSET(L990,0,$A$981))</f>
        <v>3</v>
      </c>
      <c r="M990" s="71">
        <v>3</v>
      </c>
      <c r="N990" s="34">
        <v>4</v>
      </c>
      <c r="O990" s="34" t="s">
        <v>1264</v>
      </c>
      <c r="P990" s="55">
        <v>38</v>
      </c>
      <c r="Q990">
        <f ca="1">M1054</f>
        <v>1</v>
      </c>
      <c r="R990" s="40" t="str">
        <f ca="1">IF(Q990=1,ja&amp;" "&amp;TEXT(L990,"0,0"),nein&amp;" "&amp;TEXT(L990,"0,0"))&amp;IF(L990&lt;&gt;""," mm","")</f>
        <v>✓ 3,0 mm</v>
      </c>
    </row>
    <row r="991" spans="1:18" ht="15.75" hidden="1" outlineLevel="1" thickBot="1" x14ac:dyDescent="0.3">
      <c r="A991">
        <v>1</v>
      </c>
      <c r="B991" t="s">
        <v>1264</v>
      </c>
      <c r="C991" t="str">
        <f t="shared" ref="C991:C997" si="235">IF(D991=1,ja&amp;" "&amp;B991,nein&amp; " "&amp;B991)</f>
        <v>✓ -</v>
      </c>
      <c r="D991" s="381">
        <f>AH996</f>
        <v>1</v>
      </c>
      <c r="E991" s="284">
        <v>1</v>
      </c>
      <c r="F991" s="24" t="s">
        <v>20</v>
      </c>
      <c r="H991">
        <f ca="1">VLOOKUP(E991,E992:H995,4,FALSE)</f>
        <v>1</v>
      </c>
      <c r="I991">
        <f ca="1">SUM(H992:H995)</f>
        <v>1</v>
      </c>
      <c r="K991">
        <v>2</v>
      </c>
      <c r="L991" s="724">
        <f t="shared" ref="L991:L1003" ca="1" si="236">IF(OFFSET(L991,0,$A$981)=0,"",OFFSET(L991,0,$A$981))</f>
        <v>4</v>
      </c>
      <c r="M991" s="71">
        <v>4</v>
      </c>
      <c r="N991" s="34">
        <v>5</v>
      </c>
      <c r="O991" s="34" t="s">
        <v>1264</v>
      </c>
      <c r="P991" s="55">
        <v>39</v>
      </c>
      <c r="Q991">
        <f t="shared" ref="Q991:Q1003" ca="1" si="237">M1055</f>
        <v>0</v>
      </c>
      <c r="R991" s="40" t="str">
        <f t="shared" ref="R991:R1003" ca="1" si="238">IF(Q991=1,ja&amp;" "&amp;TEXT(L991,"0,0"),nein&amp;" "&amp;TEXT(L991,"0,0"))&amp;IF(L991&lt;&gt;""," mm","")</f>
        <v xml:space="preserve">     4,0 mm</v>
      </c>
    </row>
    <row r="992" spans="1:18" hidden="1" outlineLevel="1" x14ac:dyDescent="0.25">
      <c r="A992">
        <v>2</v>
      </c>
      <c r="B992" t="s">
        <v>1693</v>
      </c>
      <c r="C992" t="str">
        <f t="shared" si="235"/>
        <v xml:space="preserve">     36/7,5</v>
      </c>
      <c r="D992" s="381">
        <f>AH998</f>
        <v>0</v>
      </c>
      <c r="E992" s="3">
        <v>1</v>
      </c>
      <c r="F992" t="str">
        <f ca="1">Sprache!$A$135</f>
        <v>Kreuzmontageplatte</v>
      </c>
      <c r="G992" t="str">
        <f ca="1">IF(H992=1,ja&amp;" "&amp;F992,nein&amp; " "&amp;F992)&amp;" ("&amp;J992&amp;")"</f>
        <v>✓ Kreuzmontageplatte (2)</v>
      </c>
      <c r="H992" s="381">
        <f ca="1">AD1062</f>
        <v>1</v>
      </c>
      <c r="I992" t="s">
        <v>52</v>
      </c>
      <c r="J992" s="381">
        <f ca="1">AC1062</f>
        <v>2</v>
      </c>
      <c r="K992">
        <v>3</v>
      </c>
      <c r="L992" s="724">
        <f t="shared" ca="1" si="236"/>
        <v>5</v>
      </c>
      <c r="M992" s="71">
        <v>5</v>
      </c>
      <c r="N992" s="34">
        <v>13</v>
      </c>
      <c r="O992" s="8" t="s">
        <v>1264</v>
      </c>
      <c r="P992" s="55">
        <v>47</v>
      </c>
      <c r="Q992">
        <f t="shared" ca="1" si="237"/>
        <v>1</v>
      </c>
      <c r="R992" s="40" t="str">
        <f t="shared" ca="1" si="238"/>
        <v>✓ 5,0 mm</v>
      </c>
    </row>
    <row r="993" spans="1:34" hidden="1" outlineLevel="1" x14ac:dyDescent="0.25">
      <c r="A993">
        <v>3</v>
      </c>
      <c r="B993" s="71" t="s">
        <v>9</v>
      </c>
      <c r="C993" t="str">
        <f t="shared" si="235"/>
        <v xml:space="preserve">     42/11</v>
      </c>
      <c r="D993" s="381">
        <f>AH1000</f>
        <v>0</v>
      </c>
      <c r="E993">
        <v>2</v>
      </c>
      <c r="F993" t="str">
        <f ca="1">Sprache!$A$138</f>
        <v>Linearmontageplatte</v>
      </c>
      <c r="G993" t="str">
        <f ca="1">IF(H993=1,ja&amp;" "&amp;F993,nein&amp; " "&amp;F993)&amp;" ("&amp;J993&amp;")"</f>
        <v xml:space="preserve">     Linearmontageplatte (0)</v>
      </c>
      <c r="H993" s="381">
        <f ca="1">AD1064</f>
        <v>0</v>
      </c>
      <c r="I993" t="s">
        <v>51</v>
      </c>
      <c r="J993" s="381">
        <f ca="1">AC1064</f>
        <v>0</v>
      </c>
      <c r="K993">
        <v>4</v>
      </c>
      <c r="L993" s="724">
        <f t="shared" ca="1" si="236"/>
        <v>6</v>
      </c>
      <c r="M993" s="71">
        <v>6</v>
      </c>
      <c r="N993" s="34">
        <v>15</v>
      </c>
      <c r="O993" s="8" t="s">
        <v>1264</v>
      </c>
      <c r="P993" s="55">
        <v>49</v>
      </c>
      <c r="Q993">
        <f t="shared" ca="1" si="237"/>
        <v>1</v>
      </c>
      <c r="R993" s="40" t="str">
        <f t="shared" ca="1" si="238"/>
        <v>✓ 6,0 mm</v>
      </c>
    </row>
    <row r="994" spans="1:34" hidden="1" outlineLevel="1" x14ac:dyDescent="0.25">
      <c r="A994">
        <v>4</v>
      </c>
      <c r="B994" s="92" t="s">
        <v>3</v>
      </c>
      <c r="C994" t="str">
        <f t="shared" si="235"/>
        <v xml:space="preserve">     45/9,5</v>
      </c>
      <c r="D994" s="381">
        <f>AH1002</f>
        <v>0</v>
      </c>
      <c r="E994">
        <v>3</v>
      </c>
      <c r="F994" t="str">
        <f ca="1">Sprache!$A$141</f>
        <v>Deltamontageplatte</v>
      </c>
      <c r="G994" t="str">
        <f ca="1">IF(H994=1,ja&amp;" "&amp;F994,nein&amp; " "&amp;F994)&amp;" ("&amp;J994&amp;")"</f>
        <v xml:space="preserve">     Deltamontageplatte (0)</v>
      </c>
      <c r="H994" s="381">
        <f ca="1">AD1066</f>
        <v>0</v>
      </c>
      <c r="I994" t="s">
        <v>1360</v>
      </c>
      <c r="J994" s="381">
        <f ca="1">AC1066</f>
        <v>0</v>
      </c>
      <c r="K994">
        <v>5</v>
      </c>
      <c r="L994" s="724">
        <f t="shared" ca="1" si="236"/>
        <v>7</v>
      </c>
      <c r="M994" s="71">
        <v>7</v>
      </c>
      <c r="N994" s="34">
        <v>17</v>
      </c>
      <c r="O994" s="34" t="s">
        <v>1264</v>
      </c>
      <c r="P994" s="55">
        <v>51</v>
      </c>
      <c r="Q994">
        <f t="shared" ca="1" si="237"/>
        <v>0</v>
      </c>
      <c r="R994" s="40" t="str">
        <f ca="1">IF(Q994=1,ja&amp;" "&amp;TEXT(L994,"0,0"),nein&amp;" "&amp;TEXT(L994,"0,0"))&amp;IF(L994&lt;&gt;""," mm","")</f>
        <v xml:space="preserve">     7,0 mm</v>
      </c>
    </row>
    <row r="995" spans="1:34" hidden="1" outlineLevel="1" x14ac:dyDescent="0.25">
      <c r="A995">
        <v>5</v>
      </c>
      <c r="B995" s="71" t="s">
        <v>11</v>
      </c>
      <c r="C995" t="str">
        <f t="shared" si="235"/>
        <v xml:space="preserve">     48/6</v>
      </c>
      <c r="D995" s="381">
        <f>AH1004</f>
        <v>0</v>
      </c>
      <c r="E995">
        <v>4</v>
      </c>
      <c r="F995" t="str">
        <f ca="1">Sprache!$A$143</f>
        <v>Inset Beaded (Rahmenkonstruktion)</v>
      </c>
      <c r="G995" t="str">
        <f ca="1">IF(H995=1,ja&amp;" "&amp;F995,nein&amp; " "&amp;F995)&amp;" ("&amp;J995&amp;")"</f>
        <v xml:space="preserve">     Inset Beaded (Rahmenkonstruktion) (0)</v>
      </c>
      <c r="H995" s="381">
        <f ca="1">AD1068</f>
        <v>0</v>
      </c>
      <c r="I995" t="s">
        <v>1373</v>
      </c>
      <c r="J995" s="381">
        <f ca="1">AC1068</f>
        <v>0</v>
      </c>
      <c r="K995">
        <v>6</v>
      </c>
      <c r="L995" s="724" t="str">
        <f t="shared" ca="1" si="236"/>
        <v/>
      </c>
      <c r="M995" s="71"/>
      <c r="N995" s="8">
        <v>19</v>
      </c>
      <c r="O995" s="8" t="s">
        <v>1264</v>
      </c>
      <c r="P995" s="350">
        <v>53</v>
      </c>
      <c r="Q995">
        <f t="shared" ca="1" si="237"/>
        <v>0</v>
      </c>
      <c r="R995" s="40" t="str">
        <f t="shared" ca="1" si="238"/>
        <v xml:space="preserve">     </v>
      </c>
    </row>
    <row r="996" spans="1:34" hidden="1" outlineLevel="1" x14ac:dyDescent="0.25">
      <c r="A996">
        <v>6</v>
      </c>
      <c r="B996" t="s">
        <v>8</v>
      </c>
      <c r="C996" t="str">
        <f t="shared" si="235"/>
        <v xml:space="preserve">     48/9</v>
      </c>
      <c r="D996" s="381">
        <f>AH1006</f>
        <v>0</v>
      </c>
      <c r="I996" t="str">
        <f>VLOOKUP(E991,E992:I995,5,FALSE)</f>
        <v>Kreuz</v>
      </c>
      <c r="K996">
        <v>7</v>
      </c>
      <c r="L996" s="724" t="str">
        <f t="shared" ca="1" si="236"/>
        <v/>
      </c>
      <c r="M996" s="71"/>
      <c r="N996" s="8">
        <v>21</v>
      </c>
      <c r="O996" s="8" t="s">
        <v>1264</v>
      </c>
      <c r="P996" s="350">
        <v>55</v>
      </c>
      <c r="Q996">
        <f t="shared" ca="1" si="237"/>
        <v>0</v>
      </c>
      <c r="R996" s="40" t="str">
        <f t="shared" ca="1" si="238"/>
        <v xml:space="preserve">     </v>
      </c>
      <c r="Z996" t="s">
        <v>29</v>
      </c>
      <c r="AA996" t="s">
        <v>30</v>
      </c>
      <c r="AB996" t="s">
        <v>1367</v>
      </c>
      <c r="AC996" t="s">
        <v>31</v>
      </c>
      <c r="AD996" s="8" t="s">
        <v>1885</v>
      </c>
      <c r="AE996" s="8" t="s">
        <v>2</v>
      </c>
      <c r="AG996">
        <f>DCOUNT(Scharniere[[#Headers],[#Data]],Scharniere[[#Headers],[Scharnierart]],Z996:AE997)</f>
        <v>1</v>
      </c>
      <c r="AH996">
        <f>IF(AG996&gt;0,1,0)</f>
        <v>1</v>
      </c>
    </row>
    <row r="997" spans="1:34" hidden="1" outlineLevel="1" x14ac:dyDescent="0.25">
      <c r="A997">
        <v>7</v>
      </c>
      <c r="B997" s="71" t="s">
        <v>10</v>
      </c>
      <c r="C997" t="str">
        <f t="shared" si="235"/>
        <v xml:space="preserve">     52/5,5</v>
      </c>
      <c r="D997" s="381">
        <f>AH1008</f>
        <v>0</v>
      </c>
      <c r="K997">
        <v>8</v>
      </c>
      <c r="L997" s="724" t="str">
        <f t="shared" ca="1" si="236"/>
        <v/>
      </c>
      <c r="M997" s="71"/>
      <c r="N997" s="8">
        <v>22</v>
      </c>
      <c r="O997" s="8" t="s">
        <v>1264</v>
      </c>
      <c r="P997" s="350">
        <v>56</v>
      </c>
      <c r="Q997">
        <f t="shared" ca="1" si="237"/>
        <v>0</v>
      </c>
      <c r="R997" s="40" t="str">
        <f t="shared" ca="1" si="238"/>
        <v xml:space="preserve">     </v>
      </c>
      <c r="Z997">
        <f>Z1001</f>
        <v>1</v>
      </c>
      <c r="AA997">
        <f>AA1001</f>
        <v>0</v>
      </c>
      <c r="AB997">
        <f>AB1001</f>
        <v>0</v>
      </c>
      <c r="AC997">
        <f>AC1001</f>
        <v>0</v>
      </c>
      <c r="AD997">
        <f>AD1001</f>
        <v>1</v>
      </c>
      <c r="AE997" t="s">
        <v>1264</v>
      </c>
    </row>
    <row r="998" spans="1:34" hidden="1" outlineLevel="1" x14ac:dyDescent="0.25">
      <c r="K998">
        <v>9</v>
      </c>
      <c r="L998" s="724" t="str">
        <f t="shared" ca="1" si="236"/>
        <v/>
      </c>
      <c r="M998" s="71"/>
      <c r="N998" s="8">
        <v>24</v>
      </c>
      <c r="O998" s="8" t="s">
        <v>1264</v>
      </c>
      <c r="P998" s="350">
        <v>58</v>
      </c>
      <c r="Q998">
        <f t="shared" ca="1" si="237"/>
        <v>0</v>
      </c>
      <c r="R998" s="40" t="str">
        <f t="shared" ca="1" si="238"/>
        <v xml:space="preserve">     </v>
      </c>
      <c r="Z998" t="s">
        <v>29</v>
      </c>
      <c r="AA998" t="s">
        <v>30</v>
      </c>
      <c r="AB998" t="s">
        <v>1367</v>
      </c>
      <c r="AC998" t="s">
        <v>31</v>
      </c>
      <c r="AD998" s="8" t="s">
        <v>1885</v>
      </c>
      <c r="AE998" s="8" t="s">
        <v>2</v>
      </c>
      <c r="AG998">
        <f>DCOUNT(Scharniere[[#Headers],[#Data]],Scharniere[[#Headers],[Scharnierart]],Z998:AE999)</f>
        <v>0</v>
      </c>
      <c r="AH998">
        <f>IF(AG998&gt;0,1,0)</f>
        <v>0</v>
      </c>
    </row>
    <row r="999" spans="1:34" hidden="1" outlineLevel="1" x14ac:dyDescent="0.25">
      <c r="K999">
        <v>10</v>
      </c>
      <c r="L999" s="724" t="str">
        <f t="shared" ca="1" si="236"/>
        <v/>
      </c>
      <c r="M999" s="71"/>
      <c r="N999" s="8">
        <v>26</v>
      </c>
      <c r="O999" s="8" t="s">
        <v>1264</v>
      </c>
      <c r="P999" s="350">
        <v>60</v>
      </c>
      <c r="Q999">
        <f t="shared" ca="1" si="237"/>
        <v>0</v>
      </c>
      <c r="R999" s="40" t="str">
        <f t="shared" ca="1" si="238"/>
        <v xml:space="preserve">     </v>
      </c>
      <c r="Z999">
        <f>Z1003</f>
        <v>1</v>
      </c>
      <c r="AA999">
        <f>AA1003</f>
        <v>0</v>
      </c>
      <c r="AB999">
        <f>AB1003</f>
        <v>0</v>
      </c>
      <c r="AC999">
        <f>AC1003</f>
        <v>0</v>
      </c>
      <c r="AD999">
        <f>AD1003</f>
        <v>1</v>
      </c>
      <c r="AE999" t="s">
        <v>1693</v>
      </c>
    </row>
    <row r="1000" spans="1:34" hidden="1" outlineLevel="1" x14ac:dyDescent="0.25">
      <c r="E1000">
        <v>1</v>
      </c>
      <c r="F1000">
        <v>3</v>
      </c>
      <c r="H1000">
        <v>1</v>
      </c>
      <c r="K1000">
        <v>11</v>
      </c>
      <c r="L1000" s="724" t="str">
        <f t="shared" ca="1" si="236"/>
        <v/>
      </c>
      <c r="M1000" s="71"/>
      <c r="N1000" s="34"/>
      <c r="O1000" s="8" t="s">
        <v>1264</v>
      </c>
      <c r="P1000" s="350">
        <v>61</v>
      </c>
      <c r="Q1000">
        <f t="shared" ca="1" si="237"/>
        <v>0</v>
      </c>
      <c r="R1000" s="40" t="str">
        <f t="shared" ca="1" si="238"/>
        <v xml:space="preserve">     </v>
      </c>
      <c r="Z1000" t="s">
        <v>29</v>
      </c>
      <c r="AA1000" t="s">
        <v>30</v>
      </c>
      <c r="AB1000" t="s">
        <v>1367</v>
      </c>
      <c r="AC1000" t="s">
        <v>31</v>
      </c>
      <c r="AD1000" s="8" t="s">
        <v>1885</v>
      </c>
      <c r="AE1000" s="8" t="s">
        <v>2</v>
      </c>
      <c r="AG1000">
        <f>DCOUNT(Scharniere[[#Headers],[#Data]],Scharniere[[#Headers],[Scharnierart]],Z1000:AE1001)</f>
        <v>0</v>
      </c>
      <c r="AH1000">
        <f>IF(AG1000&gt;0,1,0)</f>
        <v>0</v>
      </c>
    </row>
    <row r="1001" spans="1:34" hidden="1" outlineLevel="1" x14ac:dyDescent="0.25">
      <c r="K1001">
        <v>12</v>
      </c>
      <c r="L1001" s="724" t="str">
        <f t="shared" ca="1" si="236"/>
        <v/>
      </c>
      <c r="M1001" s="71"/>
      <c r="N1001" s="34"/>
      <c r="O1001" s="8" t="s">
        <v>1264</v>
      </c>
      <c r="P1001" s="350">
        <v>63</v>
      </c>
      <c r="Q1001">
        <f t="shared" ca="1" si="237"/>
        <v>0</v>
      </c>
      <c r="R1001" s="40" t="str">
        <f t="shared" ca="1" si="238"/>
        <v xml:space="preserve">     </v>
      </c>
      <c r="Z1001">
        <f>IF(A1003=1,1,0)</f>
        <v>1</v>
      </c>
      <c r="AA1001">
        <f>IF(A1003=2,1,0)</f>
        <v>0</v>
      </c>
      <c r="AB1001">
        <f>IF(A1003=3,1,0)</f>
        <v>0</v>
      </c>
      <c r="AC1001">
        <f>IF(A1003=4,1,0)</f>
        <v>0</v>
      </c>
      <c r="AD1001">
        <v>1</v>
      </c>
      <c r="AE1001" t="s">
        <v>8</v>
      </c>
    </row>
    <row r="1002" spans="1:34" ht="15.75" hidden="1" outlineLevel="1" thickBot="1" x14ac:dyDescent="0.3">
      <c r="A1002" s="4" t="str">
        <f ca="1">VLOOKUP(A1003,A1004:B1007,2,FALSE)</f>
        <v>Click-on Anschrauben</v>
      </c>
      <c r="B1002" s="3"/>
      <c r="C1002" s="720" t="str">
        <f>IF(D1002=0,Sprache!$A$56&amp; " " &amp;Sprache!$A$147,IF(D1003=0,Sprache!$A$44,""))</f>
        <v/>
      </c>
      <c r="D1002" s="381">
        <f>SUM(D1004:D1007)</f>
        <v>1</v>
      </c>
      <c r="K1002">
        <v>13</v>
      </c>
      <c r="L1002" s="724" t="str">
        <f t="shared" ca="1" si="236"/>
        <v/>
      </c>
      <c r="M1002" s="71"/>
      <c r="N1002" s="34"/>
      <c r="O1002" s="8" t="s">
        <v>1264</v>
      </c>
      <c r="P1002" s="350">
        <v>64</v>
      </c>
      <c r="Q1002">
        <f t="shared" ca="1" si="237"/>
        <v>0</v>
      </c>
      <c r="R1002" s="40" t="str">
        <f t="shared" ca="1" si="238"/>
        <v xml:space="preserve">     </v>
      </c>
      <c r="Z1002" t="s">
        <v>29</v>
      </c>
      <c r="AA1002" t="s">
        <v>30</v>
      </c>
      <c r="AB1002" t="s">
        <v>1367</v>
      </c>
      <c r="AC1002" t="s">
        <v>31</v>
      </c>
      <c r="AD1002" s="8" t="s">
        <v>1885</v>
      </c>
      <c r="AE1002" s="8" t="s">
        <v>2</v>
      </c>
      <c r="AG1002">
        <f>DCOUNT(Scharniere[[#Headers],[#Data]],Scharniere[[#Headers],[Scharnierart]],Z1002:AE1003)</f>
        <v>0</v>
      </c>
      <c r="AH1002">
        <f t="shared" ref="AH1002" si="239">IF(AG1002&gt;0,1,0)</f>
        <v>0</v>
      </c>
    </row>
    <row r="1003" spans="1:34" ht="15.75" hidden="1" outlineLevel="1" thickBot="1" x14ac:dyDescent="0.3">
      <c r="A1003" s="284">
        <v>1</v>
      </c>
      <c r="B1003" s="83" t="s">
        <v>891</v>
      </c>
      <c r="D1003" s="381">
        <f>VLOOKUP(A1003,A1004:D1007,4,FALSE)</f>
        <v>1</v>
      </c>
      <c r="K1003">
        <v>14</v>
      </c>
      <c r="L1003" s="724" t="str">
        <f t="shared" ca="1" si="236"/>
        <v/>
      </c>
      <c r="M1003" s="92"/>
      <c r="N1003" s="6"/>
      <c r="O1003" s="6" t="s">
        <v>1264</v>
      </c>
      <c r="P1003" s="125">
        <v>66</v>
      </c>
      <c r="Q1003">
        <f t="shared" ca="1" si="237"/>
        <v>0</v>
      </c>
      <c r="R1003" s="40" t="str">
        <f t="shared" ca="1" si="238"/>
        <v xml:space="preserve">     </v>
      </c>
      <c r="Z1003">
        <f>Z1001</f>
        <v>1</v>
      </c>
      <c r="AA1003">
        <f t="shared" ref="AA1003:AC1003" si="240">AA1001</f>
        <v>0</v>
      </c>
      <c r="AB1003">
        <f t="shared" si="240"/>
        <v>0</v>
      </c>
      <c r="AC1003">
        <f t="shared" si="240"/>
        <v>0</v>
      </c>
      <c r="AD1003">
        <v>1</v>
      </c>
      <c r="AE1003" t="s">
        <v>9</v>
      </c>
    </row>
    <row r="1004" spans="1:34" hidden="1" outlineLevel="1" x14ac:dyDescent="0.25">
      <c r="A1004" s="3">
        <v>1</v>
      </c>
      <c r="B1004" s="3" t="str">
        <f ca="1">Sprache!$A$184</f>
        <v>Click-on Anschrauben</v>
      </c>
      <c r="C1004" t="str">
        <f ca="1">IF(D1004=1,ja&amp;" "&amp;B1004,nein&amp; " "&amp;B1004)</f>
        <v>✓ Click-on Anschrauben</v>
      </c>
      <c r="D1004" s="381">
        <f>AD1021</f>
        <v>1</v>
      </c>
      <c r="Z1004" t="s">
        <v>29</v>
      </c>
      <c r="AA1004" t="s">
        <v>30</v>
      </c>
      <c r="AB1004" t="s">
        <v>1367</v>
      </c>
      <c r="AC1004" t="s">
        <v>31</v>
      </c>
      <c r="AD1004" s="8" t="s">
        <v>1885</v>
      </c>
      <c r="AE1004" s="8" t="s">
        <v>2</v>
      </c>
      <c r="AG1004">
        <f>DCOUNT(Scharniere[[#Headers],[#Data]],Scharniere[[#Headers],[Scharnierart]],Z1004:AE1005)</f>
        <v>0</v>
      </c>
      <c r="AH1004">
        <f t="shared" ref="AH1004" si="241">IF(AG1004&gt;0,1,0)</f>
        <v>0</v>
      </c>
    </row>
    <row r="1005" spans="1:34" hidden="1" outlineLevel="1" x14ac:dyDescent="0.25">
      <c r="A1005">
        <v>2</v>
      </c>
      <c r="B1005" s="3" t="str">
        <f ca="1">Sprache!$A$185</f>
        <v>Click-on Einpressen</v>
      </c>
      <c r="C1005" t="str">
        <f ca="1">IF(D1005=1,ja&amp;" "&amp;B1005,nein&amp; " "&amp;B1005)</f>
        <v xml:space="preserve">     Click-on Einpressen</v>
      </c>
      <c r="D1005" s="381">
        <f>AD1023</f>
        <v>0</v>
      </c>
      <c r="Z1005">
        <f>Z1003</f>
        <v>1</v>
      </c>
      <c r="AA1005">
        <f t="shared" ref="AA1005:AC1005" si="242">AA1003</f>
        <v>0</v>
      </c>
      <c r="AB1005">
        <f t="shared" si="242"/>
        <v>0</v>
      </c>
      <c r="AC1005">
        <f t="shared" si="242"/>
        <v>0</v>
      </c>
      <c r="AD1005">
        <v>1</v>
      </c>
      <c r="AE1005" t="s">
        <v>10</v>
      </c>
    </row>
    <row r="1006" spans="1:34" hidden="1" outlineLevel="1" x14ac:dyDescent="0.25">
      <c r="A1006">
        <v>3</v>
      </c>
      <c r="B1006" t="str">
        <f ca="1">Sprache!$A$186</f>
        <v>Click-on Quick</v>
      </c>
      <c r="C1006" t="str">
        <f ca="1">IF(D1006=1,ja&amp;" "&amp;B1006,nein&amp; " "&amp;B1006)</f>
        <v xml:space="preserve">     Click-on Quick</v>
      </c>
      <c r="D1006" s="381">
        <f>AD1025</f>
        <v>0</v>
      </c>
      <c r="I1006" s="24"/>
      <c r="M1006" s="34"/>
      <c r="Q1006">
        <f>F980-(O1008*((F980-E980)/96))</f>
        <v>9</v>
      </c>
      <c r="Z1006" t="s">
        <v>29</v>
      </c>
      <c r="AA1006" t="s">
        <v>30</v>
      </c>
      <c r="AB1006" t="s">
        <v>1367</v>
      </c>
      <c r="AC1006" t="s">
        <v>31</v>
      </c>
      <c r="AD1006" s="8" t="s">
        <v>1885</v>
      </c>
      <c r="AE1006" s="8" t="s">
        <v>2</v>
      </c>
      <c r="AG1006">
        <f>DCOUNT(Scharniere[[#Headers],[#Data]],Scharniere[[#Headers],[Scharnierart]],Z1006:AE1007)</f>
        <v>0</v>
      </c>
      <c r="AH1006">
        <f t="shared" ref="AH1006" si="243">IF(AG1006&gt;0,1,0)</f>
        <v>0</v>
      </c>
    </row>
    <row r="1007" spans="1:34" ht="15.75" hidden="1" outlineLevel="1" thickBot="1" x14ac:dyDescent="0.3">
      <c r="A1007">
        <v>4</v>
      </c>
      <c r="B1007" s="3" t="str">
        <f ca="1">Sprache!$A$189</f>
        <v>Impresso</v>
      </c>
      <c r="C1007" t="str">
        <f ca="1">IF(D1007=1,ja&amp;" "&amp;B1007,nein&amp; " "&amp;B1007)</f>
        <v xml:space="preserve">     Impresso</v>
      </c>
      <c r="D1007" s="381">
        <f>AD1027</f>
        <v>0</v>
      </c>
      <c r="M1007" s="34"/>
      <c r="N1007" t="s">
        <v>1408</v>
      </c>
      <c r="O1007" s="3" t="s">
        <v>1413</v>
      </c>
      <c r="P1007" s="3">
        <f>D976</f>
        <v>0</v>
      </c>
      <c r="Q1007">
        <f>ROUND(F980-(O1008*((F980-E980)/96)),0)</f>
        <v>9</v>
      </c>
      <c r="Z1007">
        <f>Z1005</f>
        <v>1</v>
      </c>
      <c r="AA1007">
        <f t="shared" ref="AA1007:AC1007" si="244">AA1005</f>
        <v>0</v>
      </c>
      <c r="AB1007">
        <f t="shared" si="244"/>
        <v>0</v>
      </c>
      <c r="AC1007">
        <f t="shared" si="244"/>
        <v>0</v>
      </c>
      <c r="AD1007">
        <v>1</v>
      </c>
      <c r="AE1007" t="s">
        <v>11</v>
      </c>
    </row>
    <row r="1008" spans="1:34" ht="15.75" hidden="1" outlineLevel="1" thickBot="1" x14ac:dyDescent="0.3">
      <c r="B1008" s="76"/>
      <c r="M1008" s="34"/>
      <c r="N1008">
        <f>96/(F980-E980)</f>
        <v>2</v>
      </c>
      <c r="O1008" s="285">
        <v>30</v>
      </c>
      <c r="P1008" s="357">
        <f>Q1008</f>
        <v>9</v>
      </c>
      <c r="Q1008">
        <f>IF(SIGN(Q1007)=1, Q1007-(IF(VALUE(RIGHT(TEXT(ROUNDDOWN(F980-(O1008*((F980-E980)/96)),1),"0,0"),1))&lt;5,0,0.5)),Q1007+(IF(VALUE(RIGHT(TEXT(ROUNDDOWN(F980-(O1008*((F980-E980)/96)),1),"0,0"),1))&lt;5,0,0.5)))</f>
        <v>9</v>
      </c>
      <c r="Z1008" t="s">
        <v>29</v>
      </c>
      <c r="AA1008" t="s">
        <v>30</v>
      </c>
      <c r="AB1008" t="s">
        <v>1367</v>
      </c>
      <c r="AC1008" t="s">
        <v>31</v>
      </c>
      <c r="AD1008" s="8" t="s">
        <v>1885</v>
      </c>
      <c r="AE1008" s="8" t="s">
        <v>2</v>
      </c>
      <c r="AG1008">
        <f>DCOUNT(Scharniere[[#Headers],[#Data]],Scharniere[[#Headers],[Scharnierart]],Z1008:AE1009)</f>
        <v>0</v>
      </c>
      <c r="AH1008">
        <f t="shared" ref="AH1008" si="245">IF(AG1008&gt;0,1,0)</f>
        <v>0</v>
      </c>
    </row>
    <row r="1009" spans="1:31" hidden="1" outlineLevel="1" x14ac:dyDescent="0.25">
      <c r="B1009" s="76"/>
      <c r="M1009" s="34"/>
      <c r="Z1009">
        <f>Z1007</f>
        <v>1</v>
      </c>
      <c r="AA1009">
        <f t="shared" ref="AA1009:AC1009" si="246">AA1007</f>
        <v>0</v>
      </c>
      <c r="AB1009">
        <f t="shared" si="246"/>
        <v>0</v>
      </c>
      <c r="AC1009">
        <f t="shared" si="246"/>
        <v>0</v>
      </c>
      <c r="AD1009">
        <v>1</v>
      </c>
      <c r="AE1009" t="s">
        <v>3</v>
      </c>
    </row>
    <row r="1010" spans="1:31" hidden="1" outlineLevel="1" x14ac:dyDescent="0.25"/>
    <row r="1011" spans="1:31" ht="15.75" hidden="1" outlineLevel="1" thickBot="1" x14ac:dyDescent="0.3">
      <c r="A1011" s="4" t="str">
        <f ca="1">VLOOKUP(A1012,A1013:B1015,2,FALSE)</f>
        <v>ohne Soft-close</v>
      </c>
      <c r="C1011" s="720" t="str">
        <f>IF(D1011=0,Sprache!$A$56&amp; " " &amp;Sprache!$A$147,IF(D1012=0,Sprache!$A$45,""))</f>
        <v/>
      </c>
      <c r="D1011" s="381">
        <f>SUM(D1013:D1015)</f>
        <v>1</v>
      </c>
      <c r="T1011" s="8"/>
      <c r="U1011" s="8"/>
    </row>
    <row r="1012" spans="1:31" ht="15.75" hidden="1" outlineLevel="1" thickBot="1" x14ac:dyDescent="0.3">
      <c r="A1012" s="284">
        <v>2</v>
      </c>
      <c r="B1012" s="24" t="s">
        <v>13</v>
      </c>
      <c r="D1012" s="381">
        <f>VLOOKUP(A1012,A1013:D1015,4,FALSE)</f>
        <v>1</v>
      </c>
      <c r="M1012" s="8"/>
      <c r="O1012" s="24" t="str">
        <f>J1014&amp;" II"</f>
        <v xml:space="preserve"> Scharnierbefestigung  II</v>
      </c>
      <c r="T1012" s="8"/>
      <c r="U1012" s="8"/>
      <c r="Z1012" s="8" t="s">
        <v>1885</v>
      </c>
      <c r="AA1012" s="8" t="s">
        <v>57</v>
      </c>
      <c r="AC1012">
        <f>DCOUNT(Scharniere[[#Headers],[#Data]],Scharniere[[#Headers],[Scharnierart]],Z1012:AA1013)</f>
        <v>0</v>
      </c>
      <c r="AD1012">
        <f t="shared" ref="AD1012" si="247">IF(AC1012&gt;0,1,0)</f>
        <v>0</v>
      </c>
    </row>
    <row r="1013" spans="1:31" ht="15.75" hidden="1" outlineLevel="1" thickBot="1" x14ac:dyDescent="0.3">
      <c r="A1013" s="3">
        <v>1</v>
      </c>
      <c r="B1013" t="str">
        <f ca="1">Sprache!$A$73</f>
        <v>mit Soft-close</v>
      </c>
      <c r="C1013" t="str">
        <f ca="1">IF(D1013=1,ja&amp;" "&amp;B1013,nein&amp; " "&amp;B1013)</f>
        <v xml:space="preserve">     mit Soft-close</v>
      </c>
      <c r="D1013" s="381">
        <f>AD1012</f>
        <v>0</v>
      </c>
      <c r="I1013" s="4" t="str">
        <f ca="1">VLOOKUP(I1014,I1015:J1017,2,FALSE)</f>
        <v>Zum Anschrauben</v>
      </c>
      <c r="M1013" s="8"/>
      <c r="N1013" s="130">
        <f>VLOOKUP(N1014,P1020:S1023,I1014+1,FALSE)</f>
        <v>2</v>
      </c>
      <c r="O1013" t="str">
        <f ca="1">VLOOKUP(N1014,O1015:S1018,I1014+2,FALSE)</f>
        <v>✓ Zum Anschrauben mit Holzschrauben</v>
      </c>
      <c r="T1013" s="8"/>
      <c r="U1013" s="8"/>
      <c r="Z1013">
        <v>1</v>
      </c>
      <c r="AA1013" s="8">
        <v>1</v>
      </c>
    </row>
    <row r="1014" spans="1:31" ht="15.75" hidden="1" outlineLevel="1" thickBot="1" x14ac:dyDescent="0.3">
      <c r="A1014">
        <v>2</v>
      </c>
      <c r="B1014" t="str">
        <f ca="1">Sprache!$A$74</f>
        <v>ohne Soft-close</v>
      </c>
      <c r="C1014" t="str">
        <f ca="1">IF(D1014=1,ja&amp;" "&amp;B1014,nein&amp; " "&amp;B1014)</f>
        <v>✓ ohne Soft-close</v>
      </c>
      <c r="D1014" s="381">
        <f>AD1014</f>
        <v>1</v>
      </c>
      <c r="I1014" s="288">
        <v>1</v>
      </c>
      <c r="J1014" s="24" t="s">
        <v>12</v>
      </c>
      <c r="M1014" s="8"/>
      <c r="N1014" s="285">
        <v>1</v>
      </c>
      <c r="O1014" t="s">
        <v>872</v>
      </c>
      <c r="T1014" s="8"/>
      <c r="U1014" s="8"/>
      <c r="Z1014" s="8" t="s">
        <v>1885</v>
      </c>
      <c r="AA1014" s="8" t="s">
        <v>58</v>
      </c>
      <c r="AC1014">
        <f>DCOUNT(Scharniere[[#Headers],[#Data]],Scharniere[[#Headers],[Scharnierart]],Z1014:AA1015)</f>
        <v>1</v>
      </c>
      <c r="AD1014">
        <f t="shared" ref="AD1014" si="248">IF(AC1014&gt;0,1,0)</f>
        <v>1</v>
      </c>
    </row>
    <row r="1015" spans="1:31" hidden="1" outlineLevel="1" x14ac:dyDescent="0.25">
      <c r="A1015">
        <v>3</v>
      </c>
      <c r="B1015" t="str">
        <f ca="1">Sprache!$A$190</f>
        <v>Tipmatic</v>
      </c>
      <c r="C1015" t="str">
        <f ca="1">IF(D1015=1,ja&amp;" "&amp;B1015,nein&amp; " "&amp;B1015)</f>
        <v xml:space="preserve">     Tipmatic</v>
      </c>
      <c r="D1015" s="381">
        <f>AD1016</f>
        <v>0</v>
      </c>
      <c r="I1015" s="3">
        <v>1</v>
      </c>
      <c r="J1015" t="str">
        <f ca="1">Sprache!$A$179</f>
        <v>Zum Anschrauben</v>
      </c>
      <c r="K1015" t="str">
        <f ca="1">IF(L1015=1,ja&amp;" "&amp;J1015,nein&amp; " "&amp;J1015)</f>
        <v>✓ Zum Anschrauben</v>
      </c>
      <c r="L1015" s="381">
        <f ca="1">AJ1035</f>
        <v>1</v>
      </c>
      <c r="M1015" s="8"/>
      <c r="N1015" s="351" t="str">
        <f ca="1">VLOOKUP(1,P1015:S1015,I1014+1,FALSE)</f>
        <v>✓ Zum Anschrauben mit Holzschrauben</v>
      </c>
      <c r="O1015">
        <v>1</v>
      </c>
      <c r="P1015">
        <v>1</v>
      </c>
      <c r="Q1015" t="str">
        <f ca="1">AF1035</f>
        <v>✓ Zum Anschrauben mit Holzschrauben</v>
      </c>
      <c r="R1015" t="str">
        <f ca="1">AF1033</f>
        <v xml:space="preserve">     Zum Einpressen</v>
      </c>
      <c r="S1015" t="str">
        <f ca="1">AF1039</f>
        <v>✓ vormontierte Euroschrauben [13,5]</v>
      </c>
      <c r="T1015" s="8"/>
      <c r="U1015" s="8"/>
      <c r="Z1015">
        <v>1</v>
      </c>
      <c r="AA1015" s="8">
        <v>1</v>
      </c>
    </row>
    <row r="1016" spans="1:31" hidden="1" outlineLevel="1" x14ac:dyDescent="0.25">
      <c r="I1016">
        <v>2</v>
      </c>
      <c r="J1016" t="str">
        <f ca="1">Sprache!$A$180</f>
        <v>Zum Einpressen</v>
      </c>
      <c r="K1016" t="str">
        <f ca="1">IF(L1016=1,ja&amp;" "&amp;J1016,nein&amp; " "&amp;J1016)</f>
        <v xml:space="preserve">     Zum Einpressen</v>
      </c>
      <c r="L1016" s="381">
        <f ca="1">AJ1033</f>
        <v>0</v>
      </c>
      <c r="M1016" s="8"/>
      <c r="N1016" s="351" t="str">
        <f ca="1">VLOOKUP(1,P1016:S1016,I1014+1,FALSE)</f>
        <v xml:space="preserve">     Zum Anschrauben mit Euroschrauben</v>
      </c>
      <c r="O1016">
        <v>2</v>
      </c>
      <c r="P1016">
        <v>1</v>
      </c>
      <c r="Q1016" t="str">
        <f ca="1">AF1037</f>
        <v xml:space="preserve">     Zum Anschrauben mit Euroschrauben</v>
      </c>
      <c r="R1016" t="str">
        <f ca="1">AF1033</f>
        <v xml:space="preserve">     Zum Einpressen</v>
      </c>
      <c r="S1016" t="str">
        <f ca="1">AF1041</f>
        <v xml:space="preserve">     vormontierte Euroschrauben [10,5]</v>
      </c>
      <c r="U1016" s="8"/>
      <c r="Z1016" s="8" t="s">
        <v>1885</v>
      </c>
      <c r="AA1016" s="8" t="s">
        <v>28</v>
      </c>
      <c r="AC1016">
        <f>DCOUNT(Scharniere[[#Headers],[#Data]],Scharniere[[#Headers],[Scharnierart]],Z1016:AA1017)</f>
        <v>0</v>
      </c>
      <c r="AD1016">
        <f t="shared" ref="AD1016" si="249">IF(AC1016&gt;0,1,0)</f>
        <v>0</v>
      </c>
    </row>
    <row r="1017" spans="1:31" hidden="1" outlineLevel="1" x14ac:dyDescent="0.25">
      <c r="I1017">
        <v>3</v>
      </c>
      <c r="J1017" t="str">
        <f ca="1">Sprache!$A$182</f>
        <v>Für 5 mm Lochreihe</v>
      </c>
      <c r="K1017" t="str">
        <f ca="1">IF(L1017=1,ja&amp;" "&amp;J1017,nein&amp; " "&amp;J1017)</f>
        <v>✓ Für 5 mm Lochreihe</v>
      </c>
      <c r="L1017" s="381">
        <f ca="1">AJ1039</f>
        <v>1</v>
      </c>
      <c r="M1017" s="8"/>
      <c r="N1017" s="351" t="str">
        <f>VLOOKUP(1,P1017:S1017,I1014+1,FALSE)</f>
        <v/>
      </c>
      <c r="O1017">
        <v>3</v>
      </c>
      <c r="P1017">
        <v>1</v>
      </c>
      <c r="Q1017" s="87" t="s">
        <v>1916</v>
      </c>
      <c r="R1017" t="str">
        <f ca="1">R1016</f>
        <v xml:space="preserve">     Zum Einpressen</v>
      </c>
      <c r="S1017" t="str">
        <f ca="1">AF1043</f>
        <v xml:space="preserve">     Spreizdübel 11 mm</v>
      </c>
      <c r="U1017" s="8"/>
      <c r="Z1017">
        <v>1</v>
      </c>
      <c r="AA1017" s="8">
        <v>1</v>
      </c>
    </row>
    <row r="1018" spans="1:31" hidden="1" outlineLevel="1" x14ac:dyDescent="0.25">
      <c r="A1018" s="100" t="s">
        <v>893</v>
      </c>
      <c r="B1018" s="100"/>
      <c r="C1018" s="100"/>
      <c r="D1018" s="100" t="str">
        <f>Scharniere[[#Headers],[Bezeichnung 1]]</f>
        <v>Bezeichnung 1</v>
      </c>
      <c r="E1018" s="100" t="str">
        <f>Scharniere[[#Headers],[Bezeichnung 2]]</f>
        <v>Bezeichnung 2</v>
      </c>
      <c r="F1018" s="100" t="str">
        <f>Scharniere[[#Headers],[Bezeichnung TGr]]</f>
        <v>Bezeichnung TGr</v>
      </c>
      <c r="M1018" s="8"/>
      <c r="N1018" s="351" t="str">
        <f>VLOOKUP(1,P1018:S1018,I1014+1,FALSE)</f>
        <v/>
      </c>
      <c r="O1018">
        <v>4</v>
      </c>
      <c r="P1018">
        <v>1</v>
      </c>
      <c r="Q1018" s="87" t="s">
        <v>1916</v>
      </c>
      <c r="R1018" t="str">
        <f ca="1">R1017</f>
        <v xml:space="preserve">     Zum Einpressen</v>
      </c>
      <c r="S1018" t="str">
        <f ca="1">AF1045</f>
        <v xml:space="preserve">     Zwillingsmontageplatte (Spreizdübel 7,5 mm)</v>
      </c>
      <c r="U1018" s="8"/>
    </row>
    <row r="1019" spans="1:31" ht="15" hidden="1" customHeight="1" outlineLevel="1" x14ac:dyDescent="0.25">
      <c r="A1019" s="4" t="str">
        <f t="array" aca="1" ref="A1019" ca="1">IFERROR(INDEX(Scharniere[Spalte3],LARGE((Scharniere[AG Gesamt]=$L$178)*(ROW(Scharniere[AG Gesamt])-1),COUNTIF(Scharniere[AG Gesamt],1)+1-ROW(A1))),"")</f>
        <v>F045</v>
      </c>
      <c r="B1019" s="4" t="str">
        <f t="array" aca="1" ref="B1019" ca="1">IFERROR(INDEX(Scharniere[Spalte2],LARGE((Scharniere[AG Gesamt]=$L$178)*(ROW(Scharniere[AG Gesamt])-1),COUNTIF(Scharniere[AG Gesamt],1)+1-ROW(A1))),"")</f>
        <v>138</v>
      </c>
      <c r="C1019" s="4" t="str">
        <f t="array" aca="1" ref="C1019" ca="1">IFERROR(INDEX(Scharniere[Spalte1],LARGE((Scharniere[AG Gesamt]=$L$178)*(ROW(Scharniere[AG Gesamt])-1),COUNTIF(Scharniere[AG Gesamt],1)+1-ROW(A1))),"")</f>
        <v>079</v>
      </c>
      <c r="D1019" s="4" t="str">
        <f t="array" aca="1" ref="D1019" ca="1">IFERROR(INDEX(Scharniere[Bezeichnung 1],LARGE((Scharniere[AG Gesamt]=$L$178)*(ROW(Scharniere[AG Gesamt])-1),COUNTIF(Scharniere[AG Gesamt],1)+1-ROW(A1))),Sprache!$A$38)</f>
        <v>Tiomos Scharnier T Click-on</v>
      </c>
      <c r="E1019" s="4" t="str">
        <f t="array" aca="1" ref="E1019" ca="1">IFERROR(INDEX(Scharniere[Bezeichnung 2],LARGE((Scharniere[AG Gesamt]=$L$178)*(ROW(Scharniere[AG Gesamt])-1),COUNTIF(Scharniere[AG Gesamt],1)+1-ROW(A1))),"")</f>
        <v>95°, GL, K03, ni</v>
      </c>
      <c r="F1019" s="4" t="str">
        <f t="array" aca="1" ref="F1019" ca="1">IFERROR(INDEX(Scharniere[Bezeichnung TGr],LARGE((Scharniere[AG Gesamt]=$L$178)*(ROW(Scharniere[AG Gesamt])-1),COUNTIF(Scharniere[AG Gesamt],1)+1-ROW(A1))),Sprache!$A$56&amp;" "&amp;Sprache!$A$146)</f>
        <v>Tiomos Click-On Scharniere</v>
      </c>
      <c r="H1019" s="8"/>
      <c r="I1019" s="8"/>
      <c r="J1019" s="8"/>
      <c r="K1019" s="8"/>
      <c r="L1019" s="8"/>
      <c r="M1019" s="8"/>
      <c r="N1019" s="8"/>
      <c r="O1019" s="34"/>
      <c r="U1019" s="8"/>
    </row>
    <row r="1020" spans="1:31" ht="15" hidden="1" customHeight="1" outlineLevel="1" x14ac:dyDescent="0.25">
      <c r="A1020" s="4" t="str">
        <f t="array" aca="1" ref="A1020" ca="1">IFERROR(INDEX(Scharniere[Spalte3],LARGE((Scharniere[AG Gesamt]=$L$178)*(ROW(Scharniere[AG Gesamt])-1),COUNTIF(Scharniere[AG Gesamt],1)+1-ROW(A2))),"")</f>
        <v/>
      </c>
      <c r="B1020" s="4" t="str">
        <f t="array" aca="1" ref="B1020" ca="1">IFERROR(INDEX(Scharniere[Spalte2],LARGE((Scharniere[AG Gesamt]=$L$178)*(ROW(Scharniere[AG Gesamt])-1),COUNTIF(Scharniere[AG Gesamt],1)+1-ROW(A2))),"")</f>
        <v/>
      </c>
      <c r="C1020" s="4" t="str">
        <f t="array" aca="1" ref="C1020" ca="1">IFERROR(INDEX(Scharniere[Spalte1],LARGE((Scharniere[AG Gesamt]=$L$178)*(ROW(Scharniere[AG Gesamt])-1),COUNTIF(Scharniere[AG Gesamt],1)+1-ROW(A2))),"")</f>
        <v/>
      </c>
      <c r="D1020" s="4" t="str">
        <f t="array" aca="1" ref="D1020" ca="1">IFERROR(INDEX(Scharniere[Bezeichnung 1],LARGE((Scharniere[AG Gesamt]=$L$178)*(ROW(Scharniere[AG Gesamt])-1),COUNTIF(Scharniere[AG Gesamt],1)+1-ROW(A2))),"")</f>
        <v/>
      </c>
      <c r="E1020" s="4" t="str">
        <f t="array" aca="1" ref="E1020" ca="1">IFERROR(INDEX(Scharniere[Bezeichnung 2],LARGE((Scharniere[AG Gesamt]=$L$178)*(ROW(Scharniere[AG Gesamt])-1),COUNTIF(Scharniere[AG Gesamt],1)+1-ROW(A2))),"")</f>
        <v/>
      </c>
      <c r="F1020" s="4" t="str">
        <f t="array" aca="1" ref="F1020" ca="1">IFERROR(INDEX(Scharniere[Bezeichnung TGr],LARGE((Scharniere[AG Gesamt]=$L$178)*(ROW(Scharniere[AG Gesamt])-1),COUNTIF(Scharniere[AG Gesamt],1)+1-ROW(A2))),"")</f>
        <v/>
      </c>
      <c r="G1020" s="100"/>
      <c r="I1020" s="34"/>
      <c r="J1020" s="34"/>
      <c r="K1020" s="34"/>
      <c r="L1020" s="34"/>
      <c r="M1020" s="34"/>
      <c r="N1020" s="34"/>
      <c r="O1020" s="34"/>
      <c r="P1020">
        <v>1</v>
      </c>
      <c r="Q1020">
        <v>2</v>
      </c>
      <c r="R1020">
        <v>1</v>
      </c>
      <c r="S1020">
        <v>4</v>
      </c>
    </row>
    <row r="1021" spans="1:31" hidden="1" outlineLevel="1" x14ac:dyDescent="0.25">
      <c r="A1021" s="4" t="str">
        <f t="array" aca="1" ref="A1021" ca="1">IFERROR(INDEX(Scharniere[Spalte3],LARGE((Scharniere[AG Gesamt]=$L$178)*(ROW(Scharniere[AG Gesamt])-1),COUNTIF(Scharniere[AG Gesamt],1)+1-ROW(A3))),"")</f>
        <v/>
      </c>
      <c r="B1021" s="4" t="str">
        <f t="array" aca="1" ref="B1021" ca="1">IFERROR(INDEX(Scharniere[Spalte2],LARGE((Scharniere[AG Gesamt]=$L$178)*(ROW(Scharniere[AG Gesamt])-1),COUNTIF(Scharniere[AG Gesamt],1)+1-ROW(A3))),"")</f>
        <v/>
      </c>
      <c r="C1021" s="4" t="str">
        <f t="array" aca="1" ref="C1021" ca="1">IFERROR(INDEX(Scharniere[Spalte1],LARGE((Scharniere[AG Gesamt]=$L$178)*(ROW(Scharniere[AG Gesamt])-1),COUNTIF(Scharniere[AG Gesamt],1)+1-ROW(A3))),"")</f>
        <v/>
      </c>
      <c r="D1021" s="4" t="str">
        <f t="array" aca="1" ref="D1021" ca="1">IFERROR(INDEX(Scharniere[Bezeichnung 1],LARGE((Scharniere[AG Gesamt]=$L$178)*(ROW(Scharniere[AG Gesamt])-1),COUNTIF(Scharniere[AG Gesamt],1)+1-ROW(A3))),"")</f>
        <v/>
      </c>
      <c r="E1021" s="4" t="str">
        <f t="array" aca="1" ref="E1021" ca="1">IFERROR(INDEX(Scharniere[Bezeichnung 2],LARGE((Scharniere[AG Gesamt]=$L$178)*(ROW(Scharniere[AG Gesamt])-1),COUNTIF(Scharniere[AG Gesamt],1)+1-ROW(A3))),"")</f>
        <v/>
      </c>
      <c r="F1021" s="4" t="str">
        <f t="array" aca="1" ref="F1021" ca="1">IFERROR(INDEX(Scharniere[Bezeichnung TGr],LARGE((Scharniere[AG Gesamt]=$L$178)*(ROW(Scharniere[AG Gesamt])-1),COUNTIF(Scharniere[AG Gesamt],1)+1-ROW(A3))),"")</f>
        <v/>
      </c>
      <c r="G1021" s="100"/>
      <c r="I1021" s="34"/>
      <c r="J1021" s="34"/>
      <c r="K1021" s="34"/>
      <c r="L1021" s="34"/>
      <c r="P1021">
        <v>2</v>
      </c>
      <c r="Q1021">
        <v>3</v>
      </c>
      <c r="R1021">
        <v>1</v>
      </c>
      <c r="S1021">
        <v>5</v>
      </c>
      <c r="Z1021" s="8" t="s">
        <v>1885</v>
      </c>
      <c r="AA1021" s="8" t="s">
        <v>29</v>
      </c>
      <c r="AC1021">
        <f>DCOUNT(Scharniere[[#Headers],[#Data]],Scharniere[[#Headers],[Scharnierart]],Z1021:AA1022)</f>
        <v>1</v>
      </c>
      <c r="AD1021">
        <f>IF(AC1021&gt;0,1,0)</f>
        <v>1</v>
      </c>
    </row>
    <row r="1022" spans="1:31" hidden="1" outlineLevel="1" x14ac:dyDescent="0.25">
      <c r="A1022" s="4" t="str">
        <f t="array" aca="1" ref="A1022" ca="1">IFERROR(INDEX(Scharniere[Spalte3],LARGE((Scharniere[AG Gesamt]=$L$178)*(ROW(Scharniere[AG Gesamt])-1),COUNTIF(Scharniere[AG Gesamt],1)+1-ROW(A4))),"")</f>
        <v/>
      </c>
      <c r="B1022" s="4" t="str">
        <f t="array" aca="1" ref="B1022" ca="1">IFERROR(INDEX(Scharniere[Spalte2],LARGE((Scharniere[AG Gesamt]=$L$178)*(ROW(Scharniere[AG Gesamt])-1),COUNTIF(Scharniere[AG Gesamt],1)+1-ROW(A4))),"")</f>
        <v/>
      </c>
      <c r="C1022" s="4" t="str">
        <f t="array" aca="1" ref="C1022" ca="1">IFERROR(INDEX(Scharniere[Spalte1],LARGE((Scharniere[AG Gesamt]=$L$178)*(ROW(Scharniere[AG Gesamt])-1),COUNTIF(Scharniere[AG Gesamt],1)+1-ROW(A4))),"")</f>
        <v/>
      </c>
      <c r="D1022" s="4" t="str">
        <f t="array" aca="1" ref="D1022" ca="1">IFERROR(INDEX(Scharniere[Bezeichnung 1],LARGE((Scharniere[AG Gesamt]=$L$178)*(ROW(Scharniere[AG Gesamt])-1),COUNTIF(Scharniere[AG Gesamt],1)+1-ROW(A4))),"")</f>
        <v/>
      </c>
      <c r="E1022" s="4" t="str">
        <f t="array" aca="1" ref="E1022" ca="1">IFERROR(INDEX(Scharniere[Bezeichnung 2],LARGE((Scharniere[AG Gesamt]=$L$178)*(ROW(Scharniere[AG Gesamt])-1),COUNTIF(Scharniere[AG Gesamt],1)+1-ROW(A4))),"")</f>
        <v/>
      </c>
      <c r="F1022" s="4" t="str">
        <f t="array" aca="1" ref="F1022" ca="1">IFERROR(INDEX(Scharniere[Bezeichnung TGr],LARGE((Scharniere[AG Gesamt]=$L$178)*(ROW(Scharniere[AG Gesamt])-1),COUNTIF(Scharniere[AG Gesamt],1)+1-ROW(A4))),"")</f>
        <v/>
      </c>
      <c r="G1022" s="100"/>
      <c r="J1022" s="34"/>
      <c r="K1022" s="34"/>
      <c r="L1022" s="34"/>
      <c r="P1022">
        <v>3</v>
      </c>
      <c r="Q1022">
        <v>0</v>
      </c>
      <c r="R1022">
        <v>1</v>
      </c>
      <c r="S1022">
        <v>6</v>
      </c>
      <c r="Z1022">
        <v>1</v>
      </c>
      <c r="AA1022" s="8">
        <v>1</v>
      </c>
    </row>
    <row r="1023" spans="1:31" hidden="1" outlineLevel="1" x14ac:dyDescent="0.25">
      <c r="A1023" s="4" t="str">
        <f t="array" aca="1" ref="A1023" ca="1">IFERROR(INDEX(Scharniere[Spalte3],LARGE((Scharniere[AG Gesamt]=$L$178)*(ROW(Scharniere[AG Gesamt])-1),COUNTIF(Scharniere[AG Gesamt],1)+1-ROW(A5))),"")</f>
        <v/>
      </c>
      <c r="B1023" s="4" t="str">
        <f t="array" aca="1" ref="B1023" ca="1">IFERROR(INDEX(Scharniere[Spalte2],LARGE((Scharniere[AG Gesamt]=$L$178)*(ROW(Scharniere[AG Gesamt])-1),COUNTIF(Scharniere[AG Gesamt],1)+1-ROW(A5))),"")</f>
        <v/>
      </c>
      <c r="C1023" s="4" t="str">
        <f t="array" aca="1" ref="C1023" ca="1">IFERROR(INDEX(Scharniere[Spalte1],LARGE((Scharniere[AG Gesamt]=$L$178)*(ROW(Scharniere[AG Gesamt])-1),COUNTIF(Scharniere[AG Gesamt],1)+1-ROW(A5))),"")</f>
        <v/>
      </c>
      <c r="D1023" s="4" t="str">
        <f t="array" aca="1" ref="D1023" ca="1">IFERROR(INDEX(Scharniere[Bezeichnung 1],LARGE((Scharniere[AG Gesamt]=$L$178)*(ROW(Scharniere[AG Gesamt])-1),COUNTIF(Scharniere[AG Gesamt],1)+1-ROW(A5))),"")</f>
        <v/>
      </c>
      <c r="E1023" s="4" t="str">
        <f t="array" aca="1" ref="E1023" ca="1">IFERROR(INDEX(Scharniere[Bezeichnung 2],LARGE((Scharniere[AG Gesamt]=$L$178)*(ROW(Scharniere[AG Gesamt])-1),COUNTIF(Scharniere[AG Gesamt],1)+1-ROW(A5))),"")</f>
        <v/>
      </c>
      <c r="F1023" s="4" t="str">
        <f t="array" aca="1" ref="F1023" ca="1">IFERROR(INDEX(Scharniere[Bezeichnung TGr],LARGE((Scharniere[AG Gesamt]=$L$178)*(ROW(Scharniere[AG Gesamt])-1),COUNTIF(Scharniere[AG Gesamt],1)+1-ROW(A5))),"")</f>
        <v/>
      </c>
      <c r="G1023" s="100"/>
      <c r="J1023" s="34"/>
      <c r="K1023" s="34"/>
      <c r="L1023" s="34"/>
      <c r="P1023">
        <v>4</v>
      </c>
      <c r="Q1023">
        <v>0</v>
      </c>
      <c r="R1023">
        <v>1</v>
      </c>
      <c r="S1023">
        <v>7</v>
      </c>
      <c r="Z1023" s="8" t="s">
        <v>1885</v>
      </c>
      <c r="AA1023" s="8" t="s">
        <v>30</v>
      </c>
      <c r="AC1023">
        <f>DCOUNT(Scharniere[[#Headers],[#Data]],Scharniere[[#Headers],[Scharnierart]],Z1023:AA1024)</f>
        <v>0</v>
      </c>
      <c r="AD1023">
        <f>IF(AC1023&gt;0,1,0)</f>
        <v>0</v>
      </c>
    </row>
    <row r="1024" spans="1:31" hidden="1" outlineLevel="1" x14ac:dyDescent="0.25">
      <c r="B1024" s="76"/>
      <c r="Z1024">
        <v>1</v>
      </c>
      <c r="AA1024" s="8">
        <v>1</v>
      </c>
    </row>
    <row r="1025" spans="1:36" ht="15.75" hidden="1" outlineLevel="1" thickBot="1" x14ac:dyDescent="0.3">
      <c r="B1025" s="76"/>
      <c r="M1025" s="4" t="str">
        <f ca="1">VLOOKUP(M1026,M1027:N1030,2,FALSE)</f>
        <v/>
      </c>
      <c r="N1025" s="34"/>
      <c r="Q1025" s="344" t="s">
        <v>1865</v>
      </c>
      <c r="R1025" s="345" t="s">
        <v>1866</v>
      </c>
      <c r="S1025" s="345" t="s">
        <v>1867</v>
      </c>
      <c r="T1025" s="347" t="s">
        <v>1861</v>
      </c>
      <c r="Z1025" s="8" t="s">
        <v>1885</v>
      </c>
      <c r="AA1025" s="8" t="s">
        <v>1367</v>
      </c>
      <c r="AC1025">
        <f>DCOUNT(Scharniere[[#Headers],[#Data]],Scharniere[[#Headers],[Scharnierart]],Z1025:AA1026)</f>
        <v>0</v>
      </c>
      <c r="AD1025">
        <f>IF(AC1025&gt;0,1,0)</f>
        <v>0</v>
      </c>
    </row>
    <row r="1026" spans="1:36" ht="15.75" hidden="1" outlineLevel="1" thickBot="1" x14ac:dyDescent="0.3">
      <c r="A1026" s="8"/>
      <c r="M1026" s="288">
        <v>4</v>
      </c>
      <c r="N1026" s="40" t="str">
        <f ca="1">IF(OFFSET(P1026,0,$A$981)=0,"",OFFSET(P1026,0,$A$981))</f>
        <v/>
      </c>
      <c r="Q1026" s="71"/>
      <c r="R1026" s="34"/>
      <c r="S1026" s="34" t="str">
        <f ca="1">Sprache!A192</f>
        <v>Aluprofil</v>
      </c>
      <c r="T1026" s="55"/>
      <c r="Z1026">
        <v>1</v>
      </c>
      <c r="AA1026" s="8">
        <v>1</v>
      </c>
    </row>
    <row r="1027" spans="1:36" hidden="1" outlineLevel="1" x14ac:dyDescent="0.25">
      <c r="A1027" s="8"/>
      <c r="M1027" s="34">
        <v>1</v>
      </c>
      <c r="N1027" s="349" t="str">
        <f ca="1">IF(OFFSET(P1027,0,$A$981)=0,"",OFFSET(P1027,0,$A$981))</f>
        <v/>
      </c>
      <c r="O1027" s="40" t="str">
        <f ca="1">IF(P1027=1,ja&amp;" "&amp;TEXT(N1027,"0,0"),nein&amp;" "&amp;TEXT(N1027,"0,0"))&amp;IF(N1027&lt;&gt;""," mm","")</f>
        <v xml:space="preserve">     </v>
      </c>
      <c r="P1027">
        <f>AA1211</f>
        <v>0</v>
      </c>
      <c r="Q1027" s="71"/>
      <c r="R1027" s="34"/>
      <c r="S1027" s="34">
        <v>19</v>
      </c>
      <c r="T1027" s="55"/>
      <c r="Z1027" s="8" t="s">
        <v>1885</v>
      </c>
      <c r="AA1027" t="s">
        <v>31</v>
      </c>
      <c r="AC1027">
        <f>DCOUNT(Scharniere[[#Headers],[#Data]],Scharniere[[#Headers],[Scharnierart]],Z1027:AA1028)</f>
        <v>0</v>
      </c>
      <c r="AD1027">
        <f>IF(AC1027&gt;0,1,0)</f>
        <v>0</v>
      </c>
    </row>
    <row r="1028" spans="1:36" hidden="1" outlineLevel="1" x14ac:dyDescent="0.25">
      <c r="A1028" s="8"/>
      <c r="M1028">
        <v>2</v>
      </c>
      <c r="N1028" s="349" t="str">
        <f ca="1">IF(OFFSET(P1028,0,$A$981)=0,"",OFFSET(P1028,0,$A$981))</f>
        <v/>
      </c>
      <c r="O1028" s="40" t="str">
        <f ca="1">IF(P1028=1,ja&amp;" "&amp;TEXT(N1028,"0,0"),nein&amp;" "&amp;TEXT(N1028,"0,0"))&amp;IF(N1028&lt;&gt;""," mm","")</f>
        <v xml:space="preserve">✓ </v>
      </c>
      <c r="P1028">
        <f>AA1212</f>
        <v>1</v>
      </c>
      <c r="Q1028" s="71"/>
      <c r="R1028" s="34"/>
      <c r="S1028" s="34">
        <v>20</v>
      </c>
      <c r="T1028" s="55"/>
      <c r="Z1028">
        <v>1</v>
      </c>
      <c r="AA1028" s="8">
        <v>1</v>
      </c>
    </row>
    <row r="1029" spans="1:36" hidden="1" outlineLevel="1" x14ac:dyDescent="0.25">
      <c r="A1029" s="8"/>
      <c r="M1029">
        <v>3</v>
      </c>
      <c r="N1029" s="349" t="str">
        <f ca="1">IF(OFFSET(P1029,0,$A$981)=0,"",OFFSET(P1029,0,$A$981))</f>
        <v/>
      </c>
      <c r="O1029" s="40" t="str">
        <f ca="1">IF(P1029=1,ja&amp;" "&amp;TEXT(N1029,"0,0"),nein&amp;" "&amp;TEXT(N1029,"0,0"))&amp;IF(N1029&lt;&gt;""," mm","")</f>
        <v xml:space="preserve">✓ </v>
      </c>
      <c r="P1029">
        <f>AA1213</f>
        <v>1</v>
      </c>
      <c r="Q1029" s="71"/>
      <c r="R1029" s="34"/>
      <c r="S1029" s="34">
        <v>21</v>
      </c>
      <c r="T1029" s="55"/>
      <c r="AA1029" s="8"/>
    </row>
    <row r="1030" spans="1:36" hidden="1" outlineLevel="1" x14ac:dyDescent="0.25">
      <c r="M1030">
        <v>4</v>
      </c>
      <c r="N1030" s="349" t="str">
        <f ca="1">IF(OFFSET(P1030,0,$A$981)=0,"",OFFSET(P1030,0,$A$981))</f>
        <v/>
      </c>
      <c r="O1030" s="40" t="str">
        <f ca="1">IF(P1030=1,ja&amp;" "&amp;TEXT(N1030,"0,0"),nein&amp;" "&amp;TEXT(N1030,"0,0"))&amp;IF(N1030&lt;&gt;""," mm","")</f>
        <v xml:space="preserve">✓ </v>
      </c>
      <c r="P1030">
        <f>AA1214</f>
        <v>1</v>
      </c>
      <c r="Q1030" s="92"/>
      <c r="R1030" s="6"/>
      <c r="S1030" s="6">
        <v>22</v>
      </c>
      <c r="T1030" s="56"/>
    </row>
    <row r="1031" spans="1:36" hidden="1" outlineLevel="1" x14ac:dyDescent="0.25">
      <c r="J1031" t="s">
        <v>1835</v>
      </c>
      <c r="N1031" s="329"/>
      <c r="O1031" s="34"/>
      <c r="P1031" s="34"/>
      <c r="Q1031" s="34"/>
      <c r="R1031" s="34"/>
      <c r="AA1031" s="8"/>
    </row>
    <row r="1032" spans="1:36" hidden="1" outlineLevel="1" x14ac:dyDescent="0.25">
      <c r="A1032" t="s">
        <v>1418</v>
      </c>
      <c r="B1032" s="76"/>
      <c r="N1032" s="329"/>
      <c r="O1032" s="34"/>
      <c r="P1032" s="34"/>
      <c r="Q1032" s="34"/>
      <c r="R1032" s="34"/>
      <c r="AJ1032" s="131" t="str">
        <f ca="1">IF(SUM(AJ1033:AJ1043)=0,Sprache!$A$56&amp;" "&amp;Sprache!$A$147,IF(select!AF1049=0,Sprache!$A$51,""))</f>
        <v/>
      </c>
    </row>
    <row r="1033" spans="1:36" hidden="1" outlineLevel="1" x14ac:dyDescent="0.25">
      <c r="A1033" t="s">
        <v>5</v>
      </c>
      <c r="H1033" t="s">
        <v>1264</v>
      </c>
      <c r="J1033" s="301" t="str">
        <f>IF(OR($A$747=1,$A$747=2)=TRUE,IF($A$778&lt;&gt;2,#REF!,""),"")</f>
        <v/>
      </c>
      <c r="K1033" t="str">
        <f ca="1">Sprache!A36</f>
        <v>Dieses Scharnier ist nur ohne Soft-close auswählbar</v>
      </c>
      <c r="O1033" s="3"/>
      <c r="P1033" s="3"/>
      <c r="Q1033" s="3"/>
      <c r="Y1033" t="str">
        <f>$I$996</f>
        <v>Kreuz</v>
      </c>
      <c r="Z1033" s="782" t="s">
        <v>1888</v>
      </c>
      <c r="AA1033" t="s">
        <v>727</v>
      </c>
      <c r="AB1033" t="str">
        <f>O1162</f>
        <v>37/32</v>
      </c>
      <c r="AC1033">
        <f ca="1">DCOUNT(Montageplatten[[#Headers],[#Data],[Typ]:[Höhe]],Montageplatten[[#Headers],[Höhe]],select!Y1033:AB1034)</f>
        <v>0</v>
      </c>
      <c r="AD1033">
        <f ca="1">IF(AC1033&gt;0,1,0)</f>
        <v>0</v>
      </c>
      <c r="AF1033" t="str">
        <f ca="1">IF(AD1033=1,ja&amp;" "&amp;AG1033,nein&amp;" "&amp;AG1033)</f>
        <v xml:space="preserve">     Zum Einpressen</v>
      </c>
      <c r="AG1033" t="str">
        <f ca="1">Sprache!$A$66</f>
        <v>Zum Einpressen</v>
      </c>
      <c r="AJ1033">
        <f ca="1">AD1033</f>
        <v>0</v>
      </c>
    </row>
    <row r="1034" spans="1:36" hidden="1" outlineLevel="1" x14ac:dyDescent="0.25">
      <c r="B1034" s="348">
        <f>K980</f>
        <v>3</v>
      </c>
      <c r="C1034" s="9"/>
      <c r="D1034" s="8"/>
      <c r="E1034" s="8"/>
      <c r="F1034" s="8"/>
      <c r="G1034" s="8"/>
      <c r="H1034" s="8" t="s">
        <v>1264</v>
      </c>
      <c r="J1034" s="301"/>
      <c r="K1034" t="str">
        <f ca="1">Sprache!A31</f>
        <v>Es sind Lösungen möglich! Bitte oben Auswahl ändern.</v>
      </c>
      <c r="O1034" s="3"/>
      <c r="P1034" s="587"/>
      <c r="Q1034" s="3"/>
      <c r="Y1034">
        <v>1</v>
      </c>
      <c r="Z1034">
        <v>1</v>
      </c>
      <c r="AA1034">
        <v>1</v>
      </c>
      <c r="AB1034">
        <v>1</v>
      </c>
    </row>
    <row r="1035" spans="1:36" ht="15.75" hidden="1" outlineLevel="1" thickBot="1" x14ac:dyDescent="0.3">
      <c r="D1035" s="8"/>
      <c r="E1035" s="8"/>
      <c r="F1035" s="8"/>
      <c r="G1035" s="8"/>
      <c r="H1035" s="8"/>
      <c r="O1035" s="3"/>
      <c r="P1035" s="3"/>
      <c r="Q1035" s="3"/>
      <c r="Y1035" t="str">
        <f>$I$996</f>
        <v>Kreuz</v>
      </c>
      <c r="Z1035" s="782" t="s">
        <v>1888</v>
      </c>
      <c r="AA1035" t="s">
        <v>728</v>
      </c>
      <c r="AB1035" t="str">
        <f>AB1033</f>
        <v>37/32</v>
      </c>
      <c r="AC1035">
        <f ca="1">DCOUNT(Montageplatten[[#Headers],[#Data],[Typ]:[Höhe]],Montageplatten[[#Headers],[Höhe]],select!Y1035:AB1036)</f>
        <v>1</v>
      </c>
      <c r="AD1035">
        <f t="shared" ref="AD1035" ca="1" si="250">IF(AC1035&gt;0,1,0)</f>
        <v>1</v>
      </c>
      <c r="AF1035" t="str">
        <f ca="1">IF(AD1035=1,ja&amp;" "&amp;AG1035,nein&amp;" "&amp;AG1035)</f>
        <v>✓ Zum Anschrauben mit Holzschrauben</v>
      </c>
      <c r="AG1035" t="str">
        <f ca="1">Sprache!$A$64</f>
        <v>Zum Anschrauben mit Holzschrauben</v>
      </c>
      <c r="AJ1035">
        <f ca="1">IF(SUM(AD1035:AD1037)&gt;0,1,0)</f>
        <v>1</v>
      </c>
    </row>
    <row r="1036" spans="1:36" hidden="1" outlineLevel="1" x14ac:dyDescent="0.25">
      <c r="A1036" t="s">
        <v>4</v>
      </c>
      <c r="D1036" s="8"/>
      <c r="E1036" s="8"/>
      <c r="F1036" s="8"/>
      <c r="G1036" s="1088">
        <v>1</v>
      </c>
      <c r="H1036" s="8"/>
      <c r="I1036" s="8"/>
      <c r="J1036">
        <f>COUNTBLANK(J1032:J1034)</f>
        <v>3</v>
      </c>
      <c r="K1036" s="343">
        <f>IF(J1036&lt;&gt;3,1,0)</f>
        <v>0</v>
      </c>
      <c r="N1036" s="3"/>
      <c r="O1036" s="3"/>
      <c r="P1036" s="3"/>
      <c r="Q1036" s="3"/>
      <c r="Y1036">
        <v>1</v>
      </c>
      <c r="Z1036">
        <v>1</v>
      </c>
      <c r="AA1036">
        <v>1</v>
      </c>
      <c r="AB1036">
        <v>1</v>
      </c>
    </row>
    <row r="1037" spans="1:36" ht="15.75" hidden="1" outlineLevel="1" thickBot="1" x14ac:dyDescent="0.3">
      <c r="B1037" s="1" t="s">
        <v>883</v>
      </c>
      <c r="C1037" s="1" t="s">
        <v>884</v>
      </c>
      <c r="D1037" s="1" t="s">
        <v>885</v>
      </c>
      <c r="E1037" s="289"/>
      <c r="F1037" s="289"/>
      <c r="G1037" s="1089"/>
      <c r="H1037" s="289"/>
      <c r="I1037" s="289"/>
      <c r="Y1037" t="str">
        <f>$I$996</f>
        <v>Kreuz</v>
      </c>
      <c r="Z1037" s="782" t="s">
        <v>1888</v>
      </c>
      <c r="AA1037" t="s">
        <v>729</v>
      </c>
      <c r="AB1037" t="str">
        <f>AB1033</f>
        <v>37/32</v>
      </c>
      <c r="AC1037">
        <f ca="1">DCOUNT(Montageplatten[[#Headers],[#Data],[Typ]:[Höhe]],Montageplatten[[#Headers],[Höhe]],select!Y1037:AB1038)</f>
        <v>0</v>
      </c>
      <c r="AD1037">
        <f t="shared" ref="AD1037" ca="1" si="251">IF(AC1037&gt;0,1,0)</f>
        <v>0</v>
      </c>
      <c r="AF1037" t="str">
        <f ca="1">IF(AD1037=1,ja&amp;" "&amp;AG1037,nein&amp;" "&amp;AG1037)</f>
        <v xml:space="preserve">     Zum Anschrauben mit Euroschrauben</v>
      </c>
      <c r="AG1037" t="str">
        <f ca="1">Sprache!$A$65</f>
        <v>Zum Anschrauben mit Euroschrauben</v>
      </c>
    </row>
    <row r="1038" spans="1:36" hidden="1" outlineLevel="1" x14ac:dyDescent="0.25">
      <c r="A1038" t="s">
        <v>1377</v>
      </c>
      <c r="B1038" s="88">
        <f ca="1">IF(($P$1008+D1038-15-$K$988)*-1-$B$1034&gt;=-2,($P$1008+D1038-15-$K$988)*-1-$B$1034,"-")</f>
        <v>6</v>
      </c>
      <c r="C1038" s="351">
        <f ca="1">IFERROR(VLOOKUP(B1038,$F$1040:$G$1083,2,FALSE),0)</f>
        <v>1</v>
      </c>
      <c r="D1038">
        <v>0</v>
      </c>
      <c r="E1038" s="8"/>
      <c r="F1038" s="8"/>
      <c r="G1038" s="8"/>
      <c r="H1038" s="8"/>
      <c r="I1038" s="8"/>
      <c r="Y1038">
        <v>1</v>
      </c>
      <c r="Z1038">
        <v>1</v>
      </c>
      <c r="AA1038">
        <v>1</v>
      </c>
      <c r="AB1038">
        <v>1</v>
      </c>
    </row>
    <row r="1039" spans="1:36" hidden="1" outlineLevel="1" x14ac:dyDescent="0.25">
      <c r="A1039" s="925" t="s">
        <v>1378</v>
      </c>
      <c r="B1039" s="266">
        <f t="shared" ref="B1039:B1069" ca="1" si="252">IF(($P$1008+D1039-15-$K$988)*-1-$B$1034&gt;=-2,($P$1008+D1039-15-$K$988)*-1-$B$1034,"-")</f>
        <v>6.5</v>
      </c>
      <c r="C1039" s="351">
        <f t="shared" ref="C1039:C1086" ca="1" si="253">IFERROR(VLOOKUP(B1039,$F$1040:$G$1083,2,FALSE),0)</f>
        <v>0</v>
      </c>
      <c r="D1039">
        <v>-0.5</v>
      </c>
      <c r="E1039" s="289"/>
      <c r="F1039">
        <v>1</v>
      </c>
      <c r="H1039" s="289"/>
      <c r="I1039" s="289"/>
      <c r="O1039" t="str">
        <f t="array" ref="O1039">IFERROR(INDEX(Montageplatten[Teil],LARGE((Montageplatten[Randbedingungen]=$L$70)*(ROW(Montageplatten[Randbedingungen])-1),COUNTIF(Montageplatten[Randbedingungen],$L$70)+1-ROW(A884))),"")</f>
        <v/>
      </c>
      <c r="Y1039" t="str">
        <f>$I$996</f>
        <v>Kreuz</v>
      </c>
      <c r="Z1039" s="782" t="s">
        <v>1888</v>
      </c>
      <c r="AA1039" t="s">
        <v>730</v>
      </c>
      <c r="AB1039" t="str">
        <f>AB1033</f>
        <v>37/32</v>
      </c>
      <c r="AC1039">
        <f ca="1">DCOUNT(Montageplatten[[#Headers],[#Data],[Typ]:[Höhe]],Montageplatten[[#Headers],[Höhe]],select!Y1039:AB1040)</f>
        <v>1</v>
      </c>
      <c r="AD1039">
        <f t="shared" ref="AD1039" ca="1" si="254">IF(AC1039&gt;0,1,0)</f>
        <v>1</v>
      </c>
      <c r="AF1039" t="str">
        <f ca="1">IF(AD1039=1,ja&amp;" "&amp;AG1039,nein&amp;" "&amp;AG1039)</f>
        <v>✓ vormontierte Euroschrauben [13,5]</v>
      </c>
      <c r="AG1039" t="str">
        <f ca="1">Sprache!$A$67</f>
        <v>vormontierte Euroschrauben [13,5]</v>
      </c>
      <c r="AJ1039">
        <f ca="1">IF(SUM(AD1039:AD1041)&gt;0,1,0)</f>
        <v>1</v>
      </c>
    </row>
    <row r="1040" spans="1:36" hidden="1" outlineLevel="1" x14ac:dyDescent="0.25">
      <c r="A1040" s="925"/>
      <c r="B1040" s="266">
        <f t="shared" ca="1" si="252"/>
        <v>7</v>
      </c>
      <c r="C1040" s="351">
        <f t="shared" ca="1" si="253"/>
        <v>0</v>
      </c>
      <c r="D1040">
        <v>-1</v>
      </c>
      <c r="E1040" s="289"/>
      <c r="F1040" s="21">
        <f t="array" ref="F1040">IFERROR(INDEX(Montageplatten[Höhe],LARGE((Montageplatten[AG Rand]=$L$70)*(ROW(Montageplatten[AG Rand])-1),COUNTIF(Montageplatten[AG Rand],$L$70)+1-ROW(A1))),"")</f>
        <v>-2</v>
      </c>
      <c r="G1040" s="21">
        <v>1</v>
      </c>
      <c r="H1040" s="1087" t="s">
        <v>1350</v>
      </c>
      <c r="I1040" s="1" t="s">
        <v>1445</v>
      </c>
      <c r="J1040" s="1" t="s">
        <v>52</v>
      </c>
      <c r="K1040" s="1" t="s">
        <v>51</v>
      </c>
      <c r="L1040" t="s">
        <v>1360</v>
      </c>
      <c r="M1040" t="s">
        <v>1373</v>
      </c>
      <c r="O1040" s="179" t="s">
        <v>51</v>
      </c>
      <c r="P1040" s="180" t="s">
        <v>42</v>
      </c>
      <c r="Q1040" s="181" t="s">
        <v>52</v>
      </c>
      <c r="Y1040">
        <v>1</v>
      </c>
      <c r="Z1040">
        <v>1</v>
      </c>
      <c r="AA1040">
        <v>1</v>
      </c>
      <c r="AB1040">
        <v>1</v>
      </c>
    </row>
    <row r="1041" spans="1:36" hidden="1" outlineLevel="1" x14ac:dyDescent="0.25">
      <c r="A1041" s="925"/>
      <c r="B1041" s="266">
        <f t="shared" ca="1" si="252"/>
        <v>7.5</v>
      </c>
      <c r="C1041" s="351">
        <f t="shared" ca="1" si="253"/>
        <v>0</v>
      </c>
      <c r="D1041">
        <v>-1.5</v>
      </c>
      <c r="E1041" s="289"/>
      <c r="F1041" s="21">
        <f t="array" ref="F1041">IFERROR(INDEX(Montageplatten[Höhe],LARGE((Montageplatten[AG Rand]=$L$70)*(ROW(Montageplatten[AG Rand])-1),COUNTIF(Montageplatten[AG Rand],$L$70)+1-ROW(A2))),"")</f>
        <v>0</v>
      </c>
      <c r="G1041" s="21">
        <v>1</v>
      </c>
      <c r="H1041" s="1087"/>
      <c r="I1041" s="34">
        <f ca="1">DCOUNT(Montageplatten[[#Headers],[#Data],[MPH Winkel]:[Höhe]],Montageplatten[[#Headers],[Höhe]],select!P1040:P1041)</f>
        <v>2</v>
      </c>
      <c r="J1041">
        <f ca="1">DCOUNT(Montageplatten[[#Headers],[#Data],[MPH Winkel]:[Höhe]],Montageplatten[[#Headers],[Höhe]],select!P1040:Q1041)</f>
        <v>2</v>
      </c>
      <c r="K1041">
        <f ca="1">DCOUNT(Montageplatten[[#Headers],[#Data],[MPH Winkel]:[Höhe]],Montageplatten[[#Headers],[Höhe]],select!O1040:P1041)</f>
        <v>0</v>
      </c>
      <c r="L1041">
        <f ca="1">DCOUNT(Montageplatten[[#Headers],[#Data],[MPH Winkel]:[Höhe]],Montageplatten[[#Headers],[Höhe]],select!O1043:P1044)</f>
        <v>0</v>
      </c>
      <c r="M1041">
        <f ca="1">DCOUNT(Montageplatten[[#Headers],[#Data],[MPH Winkel]:[Höhe]],Montageplatten[[#Headers],[Höhe]],select!P1043:Q1044)</f>
        <v>0</v>
      </c>
      <c r="O1041" s="182">
        <v>1</v>
      </c>
      <c r="P1041" s="227">
        <f ca="1">M980</f>
        <v>6</v>
      </c>
      <c r="Q1041" s="118">
        <v>1</v>
      </c>
      <c r="Y1041" t="str">
        <f>$I$996</f>
        <v>Kreuz</v>
      </c>
      <c r="Z1041" s="782" t="s">
        <v>1888</v>
      </c>
      <c r="AA1041" t="s">
        <v>731</v>
      </c>
      <c r="AB1041" t="str">
        <f>AB1033</f>
        <v>37/32</v>
      </c>
      <c r="AC1041">
        <f ca="1">DCOUNT(Montageplatten[[#Headers],[#Data],[Typ]:[Höhe]],Montageplatten[[#Headers],[Höhe]],select!Y1041:AB1042)</f>
        <v>0</v>
      </c>
      <c r="AD1041">
        <f t="shared" ref="AD1041" ca="1" si="255">IF(AC1041&gt;0,1,0)</f>
        <v>0</v>
      </c>
      <c r="AF1041" t="str">
        <f ca="1">IF(AD1041=1,ja&amp;" "&amp;AG1041,nein&amp;" "&amp;AG1041)</f>
        <v xml:space="preserve">     vormontierte Euroschrauben [10,5]</v>
      </c>
      <c r="AG1041" t="str">
        <f ca="1">Sprache!$A$68</f>
        <v>vormontierte Euroschrauben [10,5]</v>
      </c>
    </row>
    <row r="1042" spans="1:36" hidden="1" outlineLevel="1" x14ac:dyDescent="0.25">
      <c r="A1042" s="925"/>
      <c r="B1042" s="266">
        <f t="shared" ca="1" si="252"/>
        <v>8</v>
      </c>
      <c r="C1042" s="351">
        <f t="shared" ca="1" si="253"/>
        <v>1</v>
      </c>
      <c r="D1042">
        <v>-2</v>
      </c>
      <c r="E1042" s="289"/>
      <c r="F1042" s="21">
        <f t="array" ref="F1042">IFERROR(INDEX(Montageplatten[Höhe],LARGE((Montageplatten[AG Rand]=$L$70)*(ROW(Montageplatten[AG Rand])-1),COUNTIF(Montageplatten[AG Rand],$L$70)+1-ROW(A3))),"")</f>
        <v>0</v>
      </c>
      <c r="G1042" s="21">
        <v>1</v>
      </c>
      <c r="H1042" s="1087"/>
      <c r="I1042" s="289"/>
      <c r="Y1042">
        <v>1</v>
      </c>
      <c r="Z1042">
        <v>1</v>
      </c>
      <c r="AA1042">
        <v>1</v>
      </c>
      <c r="AB1042">
        <v>1</v>
      </c>
    </row>
    <row r="1043" spans="1:36" hidden="1" outlineLevel="1" x14ac:dyDescent="0.25">
      <c r="A1043" s="925"/>
      <c r="B1043" s="266">
        <f t="shared" ca="1" si="252"/>
        <v>8.5</v>
      </c>
      <c r="C1043" s="351">
        <f t="shared" ca="1" si="253"/>
        <v>0</v>
      </c>
      <c r="D1043">
        <v>-2.5</v>
      </c>
      <c r="E1043" s="289"/>
      <c r="F1043" s="21">
        <f t="array" ref="F1043">IFERROR(INDEX(Montageplatten[Höhe],LARGE((Montageplatten[AG Rand]=$L$70)*(ROW(Montageplatten[AG Rand])-1),COUNTIF(Montageplatten[AG Rand],$L$70)+1-ROW(A4))),"")</f>
        <v>0</v>
      </c>
      <c r="G1043" s="21">
        <v>1</v>
      </c>
      <c r="H1043" s="1087"/>
      <c r="I1043" s="289"/>
      <c r="O1043" t="s">
        <v>1360</v>
      </c>
      <c r="P1043" t="s">
        <v>42</v>
      </c>
      <c r="Q1043" t="s">
        <v>1373</v>
      </c>
      <c r="Y1043" t="str">
        <f>$I$996</f>
        <v>Kreuz</v>
      </c>
      <c r="Z1043" s="782" t="s">
        <v>1888</v>
      </c>
      <c r="AA1043" t="s">
        <v>2312</v>
      </c>
      <c r="AB1043" t="str">
        <f>AB1035</f>
        <v>37/32</v>
      </c>
      <c r="AC1043">
        <f ca="1">DCOUNT(Montageplatten[[#Headers],[#Data],[Typ]:[Höhe]],Montageplatten[[#Headers],[Höhe]],select!Y1043:AB1044)</f>
        <v>0</v>
      </c>
      <c r="AD1043">
        <f t="shared" ref="AD1043" ca="1" si="256">IF(AC1043&gt;0,1,0)</f>
        <v>0</v>
      </c>
      <c r="AF1043" t="str">
        <f ca="1">IF(AD1043=1,ja&amp;" "&amp;AG1043,nein&amp;" "&amp;AG1043)</f>
        <v xml:space="preserve">     Spreizdübel 11 mm</v>
      </c>
      <c r="AG1043" t="str">
        <f ca="1">Sprache!$A$69</f>
        <v>Spreizdübel 11 mm</v>
      </c>
      <c r="AJ1043">
        <f ca="1">IF(SUM(AD1043:AD1045)&gt;0,1,0)</f>
        <v>0</v>
      </c>
    </row>
    <row r="1044" spans="1:36" hidden="1" outlineLevel="1" x14ac:dyDescent="0.25">
      <c r="A1044" s="925"/>
      <c r="B1044" s="266">
        <f t="shared" ca="1" si="252"/>
        <v>9</v>
      </c>
      <c r="C1044" s="351">
        <f t="shared" ca="1" si="253"/>
        <v>1</v>
      </c>
      <c r="D1044">
        <v>-3</v>
      </c>
      <c r="E1044" s="289"/>
      <c r="F1044" s="21">
        <f t="array" ref="F1044">IFERROR(INDEX(Montageplatten[Höhe],LARGE((Montageplatten[AG Rand]=$L$70)*(ROW(Montageplatten[AG Rand])-1),COUNTIF(Montageplatten[AG Rand],$L$70)+1-ROW(A5))),"")</f>
        <v>2</v>
      </c>
      <c r="G1044" s="21">
        <v>1</v>
      </c>
      <c r="H1044" s="1087"/>
      <c r="I1044" s="289"/>
      <c r="O1044">
        <v>1</v>
      </c>
      <c r="P1044">
        <f ca="1">P1041</f>
        <v>6</v>
      </c>
      <c r="Q1044">
        <v>1</v>
      </c>
      <c r="Y1044">
        <v>1</v>
      </c>
      <c r="Z1044">
        <v>1</v>
      </c>
      <c r="AA1044">
        <v>1</v>
      </c>
      <c r="AB1044">
        <v>1</v>
      </c>
    </row>
    <row r="1045" spans="1:36" hidden="1" outlineLevel="1" x14ac:dyDescent="0.25">
      <c r="A1045" s="925"/>
      <c r="B1045" s="266">
        <f t="shared" ca="1" si="252"/>
        <v>9.5</v>
      </c>
      <c r="C1045" s="351">
        <f t="shared" ca="1" si="253"/>
        <v>1</v>
      </c>
      <c r="D1045">
        <v>-3.5</v>
      </c>
      <c r="E1045" s="289"/>
      <c r="F1045" s="21">
        <f t="array" ref="F1045">IFERROR(INDEX(Montageplatten[Höhe],LARGE((Montageplatten[AG Rand]=$L$70)*(ROW(Montageplatten[AG Rand])-1),COUNTIF(Montageplatten[AG Rand],$L$70)+1-ROW(A6))),"")</f>
        <v>2</v>
      </c>
      <c r="G1045" s="21">
        <v>1</v>
      </c>
      <c r="H1045" s="1087"/>
      <c r="I1045" s="289"/>
      <c r="Y1045" t="str">
        <f t="shared" ref="Y1045" si="257">$I$996</f>
        <v>Kreuz</v>
      </c>
      <c r="Z1045" s="782" t="s">
        <v>1888</v>
      </c>
      <c r="AA1045" t="s">
        <v>2313</v>
      </c>
      <c r="AB1045" t="str">
        <f>AB1037</f>
        <v>37/32</v>
      </c>
      <c r="AC1045">
        <f ca="1">DCOUNT(Montageplatten[[#Headers],[#Data],[Typ]:[Höhe]],Montageplatten[[#Headers],[Höhe]],select!Y1045:AB1046)</f>
        <v>0</v>
      </c>
      <c r="AD1045">
        <f t="shared" ref="AD1045" ca="1" si="258">IF(AC1045&gt;0,1,0)</f>
        <v>0</v>
      </c>
      <c r="AF1045" t="str">
        <f ca="1">IF(AD1045=1,ja&amp;" "&amp;AG1045,nein&amp;" "&amp;AG1045)</f>
        <v xml:space="preserve">     Zwillingsmontageplatte (Spreizdübel 7,5 mm)</v>
      </c>
      <c r="AG1045" t="str">
        <f ca="1">Sprache!$A$70</f>
        <v>Zwillingsmontageplatte (Spreizdübel 7,5 mm)</v>
      </c>
    </row>
    <row r="1046" spans="1:36" hidden="1" outlineLevel="1" x14ac:dyDescent="0.25">
      <c r="A1046" s="925"/>
      <c r="B1046" s="266">
        <f t="shared" ca="1" si="252"/>
        <v>10</v>
      </c>
      <c r="C1046" s="351">
        <f t="shared" ca="1" si="253"/>
        <v>0</v>
      </c>
      <c r="D1046">
        <v>-4</v>
      </c>
      <c r="E1046" s="289"/>
      <c r="F1046" s="21">
        <f t="array" ref="F1046">IFERROR(INDEX(Montageplatten[Höhe],LARGE((Montageplatten[AG Rand]=$L$70)*(ROW(Montageplatten[AG Rand])-1),COUNTIF(Montageplatten[AG Rand],$L$70)+1-ROW(A7))),"")</f>
        <v>2</v>
      </c>
      <c r="G1046" s="21">
        <v>1</v>
      </c>
      <c r="H1046" s="1087"/>
      <c r="I1046" s="289"/>
      <c r="Y1046">
        <v>1</v>
      </c>
      <c r="Z1046">
        <v>1</v>
      </c>
      <c r="AA1046">
        <v>1</v>
      </c>
      <c r="AB1046">
        <v>1</v>
      </c>
    </row>
    <row r="1047" spans="1:36" hidden="1" outlineLevel="1" x14ac:dyDescent="0.25">
      <c r="A1047" s="925"/>
      <c r="B1047" s="266">
        <f t="shared" ca="1" si="252"/>
        <v>10.5</v>
      </c>
      <c r="C1047" s="351">
        <f t="shared" ca="1" si="253"/>
        <v>0</v>
      </c>
      <c r="D1047">
        <v>-4.5</v>
      </c>
      <c r="E1047" s="289"/>
      <c r="F1047" s="21">
        <f t="array" ref="F1047">IFERROR(INDEX(Montageplatten[Höhe],LARGE((Montageplatten[AG Rand]=$L$70)*(ROW(Montageplatten[AG Rand])-1),COUNTIF(Montageplatten[AG Rand],$L$70)+1-ROW(A8))),"")</f>
        <v>3</v>
      </c>
      <c r="G1047" s="21">
        <v>1</v>
      </c>
      <c r="H1047" s="1087"/>
      <c r="I1047" s="289"/>
      <c r="K1047" s="8"/>
      <c r="L1047" s="8"/>
      <c r="M1047" s="8"/>
      <c r="N1047" s="8"/>
      <c r="O1047" s="8"/>
      <c r="P1047" s="8"/>
      <c r="Q1047" s="8"/>
      <c r="R1047" s="8"/>
      <c r="S1047" s="8"/>
    </row>
    <row r="1048" spans="1:36" hidden="1" outlineLevel="1" x14ac:dyDescent="0.25">
      <c r="A1048" s="925"/>
      <c r="B1048" s="266">
        <f t="shared" ca="1" si="252"/>
        <v>11</v>
      </c>
      <c r="C1048" s="351">
        <f t="shared" ca="1" si="253"/>
        <v>0</v>
      </c>
      <c r="D1048">
        <v>-5</v>
      </c>
      <c r="E1048" s="289"/>
      <c r="F1048" s="21">
        <f t="array" ref="F1048">IFERROR(INDEX(Montageplatten[Höhe],LARGE((Montageplatten[AG Rand]=$L$70)*(ROW(Montageplatten[AG Rand])-1),COUNTIF(Montageplatten[AG Rand],$L$70)+1-ROW(A9))),"")</f>
        <v>3</v>
      </c>
      <c r="G1048" s="21">
        <v>1</v>
      </c>
      <c r="H1048" s="1087"/>
      <c r="I1048" s="289"/>
      <c r="S1048" s="8"/>
    </row>
    <row r="1049" spans="1:36" hidden="1" outlineLevel="1" x14ac:dyDescent="0.25">
      <c r="A1049" s="925"/>
      <c r="B1049" s="266">
        <f t="shared" ca="1" si="252"/>
        <v>11.5</v>
      </c>
      <c r="C1049" s="351">
        <f t="shared" ca="1" si="253"/>
        <v>0</v>
      </c>
      <c r="D1049">
        <v>-5.5</v>
      </c>
      <c r="E1049" s="289"/>
      <c r="F1049" s="21">
        <f t="array" ref="F1049">IFERROR(INDEX(Montageplatten[Höhe],LARGE((Montageplatten[AG Rand]=$L$70)*(ROW(Montageplatten[AG Rand])-1),COUNTIF(Montageplatten[AG Rand],$L$70)+1-ROW(A10))),"")</f>
        <v>3</v>
      </c>
      <c r="G1049" s="21">
        <v>1</v>
      </c>
      <c r="H1049" s="1087"/>
      <c r="I1049" s="289"/>
      <c r="S1049" s="8"/>
      <c r="AF1049">
        <f ca="1">VLOOKUP(N1013,AF1050:AG1057,2,FALSE)</f>
        <v>1</v>
      </c>
    </row>
    <row r="1050" spans="1:36" hidden="1" outlineLevel="1" x14ac:dyDescent="0.25">
      <c r="A1050" s="925"/>
      <c r="B1050" s="266">
        <f t="shared" ca="1" si="252"/>
        <v>12</v>
      </c>
      <c r="C1050" s="351">
        <f t="shared" ca="1" si="253"/>
        <v>1</v>
      </c>
      <c r="D1050">
        <v>-6</v>
      </c>
      <c r="E1050" s="289"/>
      <c r="F1050" s="21">
        <f t="array" ref="F1050">IFERROR(INDEX(Montageplatten[Höhe],LARGE((Montageplatten[AG Rand]=$L$70)*(ROW(Montageplatten[AG Rand])-1),COUNTIF(Montageplatten[AG Rand],$L$70)+1-ROW(A11))),"")</f>
        <v>3.5</v>
      </c>
      <c r="G1050" s="21">
        <v>1</v>
      </c>
      <c r="H1050" s="1087"/>
      <c r="I1050" s="289"/>
      <c r="S1050" s="8"/>
      <c r="Y1050" t="str">
        <f>Y1041</f>
        <v>Kreuz</v>
      </c>
      <c r="Z1050" s="782" t="s">
        <v>1888</v>
      </c>
      <c r="AA1050" t="s">
        <v>40</v>
      </c>
      <c r="AC1050">
        <f ca="1">DCOUNT(Montageplatten[[#Headers],[#Data],[Typ]:[Höhe]],Montageplatten[[#Headers],[Höhe]],select!Y1050:AA1051)</f>
        <v>2</v>
      </c>
      <c r="AD1050">
        <f t="shared" ref="AD1050" ca="1" si="259">IF(AC1050&gt;0,1,0)</f>
        <v>1</v>
      </c>
      <c r="AF1050">
        <v>0</v>
      </c>
      <c r="AG1050">
        <v>0</v>
      </c>
    </row>
    <row r="1051" spans="1:36" hidden="1" outlineLevel="1" x14ac:dyDescent="0.25">
      <c r="A1051" s="925"/>
      <c r="B1051" s="266">
        <f t="shared" ca="1" si="252"/>
        <v>12.5</v>
      </c>
      <c r="C1051" s="351">
        <f t="shared" ca="1" si="253"/>
        <v>0</v>
      </c>
      <c r="D1051">
        <v>-6.5</v>
      </c>
      <c r="E1051" s="289"/>
      <c r="F1051" s="21">
        <f t="array" ref="F1051">IFERROR(INDEX(Montageplatten[Höhe],LARGE((Montageplatten[AG Rand]=$L$70)*(ROW(Montageplatten[AG Rand])-1),COUNTIF(Montageplatten[AG Rand],$L$70)+1-ROW(A12))),"")</f>
        <v>3.5</v>
      </c>
      <c r="G1051" s="21">
        <v>1</v>
      </c>
      <c r="H1051" s="1087"/>
      <c r="I1051" s="289"/>
      <c r="S1051" s="8"/>
      <c r="Y1051">
        <v>1</v>
      </c>
      <c r="Z1051">
        <v>1</v>
      </c>
      <c r="AA1051">
        <v>1</v>
      </c>
      <c r="AF1051">
        <v>1</v>
      </c>
      <c r="AG1051">
        <f ca="1">AD1033</f>
        <v>0</v>
      </c>
    </row>
    <row r="1052" spans="1:36" hidden="1" outlineLevel="1" x14ac:dyDescent="0.25">
      <c r="A1052" s="925"/>
      <c r="B1052" s="266">
        <f t="shared" ca="1" si="252"/>
        <v>13</v>
      </c>
      <c r="C1052" s="351">
        <f t="shared" ca="1" si="253"/>
        <v>0</v>
      </c>
      <c r="D1052">
        <v>-7</v>
      </c>
      <c r="E1052" s="289"/>
      <c r="F1052" s="21">
        <f t="array" ref="F1052">IFERROR(INDEX(Montageplatten[Höhe],LARGE((Montageplatten[AG Rand]=$L$70)*(ROW(Montageplatten[AG Rand])-1),COUNTIF(Montageplatten[AG Rand],$L$70)+1-ROW(A13))),"")</f>
        <v>3.5</v>
      </c>
      <c r="G1052" s="21">
        <v>1</v>
      </c>
      <c r="H1052" s="1087"/>
      <c r="I1052" s="289"/>
      <c r="K1052" t="s">
        <v>2209</v>
      </c>
      <c r="L1052" t="s">
        <v>2210</v>
      </c>
      <c r="S1052" s="8"/>
      <c r="Y1052" t="str">
        <f>Y1050</f>
        <v>Kreuz</v>
      </c>
      <c r="Z1052" s="782" t="s">
        <v>1888</v>
      </c>
      <c r="AA1052" t="s">
        <v>41</v>
      </c>
      <c r="AC1052">
        <f ca="1">DCOUNT(Montageplatten[[#Headers],[#Data],[Typ]:[Höhe]],Montageplatten[[#Headers],[Höhe]],select!Y1052:AA1053)</f>
        <v>0</v>
      </c>
      <c r="AD1052">
        <f t="shared" ref="AD1052" ca="1" si="260">IF(AC1052&gt;0,1,0)</f>
        <v>0</v>
      </c>
      <c r="AF1052">
        <v>2</v>
      </c>
      <c r="AG1052">
        <f ca="1">AD1035</f>
        <v>1</v>
      </c>
    </row>
    <row r="1053" spans="1:36" hidden="1" outlineLevel="1" x14ac:dyDescent="0.25">
      <c r="A1053" s="925"/>
      <c r="B1053" s="266">
        <f t="shared" ca="1" si="252"/>
        <v>13.5</v>
      </c>
      <c r="C1053" s="351">
        <f t="shared" ca="1" si="253"/>
        <v>0</v>
      </c>
      <c r="D1053">
        <v>-7.5</v>
      </c>
      <c r="E1053" s="289"/>
      <c r="F1053" s="21">
        <f t="array" ref="F1053">IFERROR(INDEX(Montageplatten[Höhe],LARGE((Montageplatten[AG Rand]=$L$70)*(ROW(Montageplatten[AG Rand])-1),COUNTIF(Montageplatten[AG Rand],$L$70)+1-ROW(A14))),"")</f>
        <v>6</v>
      </c>
      <c r="G1053" s="21">
        <v>1</v>
      </c>
      <c r="H1053" s="1087"/>
      <c r="I1053" s="289"/>
      <c r="S1053" s="8"/>
      <c r="Y1053">
        <v>1</v>
      </c>
      <c r="Z1053">
        <v>1</v>
      </c>
      <c r="AA1053">
        <v>1</v>
      </c>
      <c r="AF1053">
        <v>3</v>
      </c>
      <c r="AG1053">
        <f ca="1">AD1037</f>
        <v>0</v>
      </c>
    </row>
    <row r="1054" spans="1:36" hidden="1" outlineLevel="1" x14ac:dyDescent="0.25">
      <c r="A1054" s="925"/>
      <c r="B1054" s="266">
        <f t="shared" ca="1" si="252"/>
        <v>14</v>
      </c>
      <c r="C1054" s="351">
        <f t="shared" ca="1" si="253"/>
        <v>1</v>
      </c>
      <c r="D1054">
        <v>-8</v>
      </c>
      <c r="E1054" s="289"/>
      <c r="F1054" s="21">
        <f t="array" ref="F1054">IFERROR(INDEX(Montageplatten[Höhe],LARGE((Montageplatten[AG Rand]=$L$70)*(ROW(Montageplatten[AG Rand])-1),COUNTIF(Montageplatten[AG Rand],$L$70)+1-ROW(A15))),"")</f>
        <v>8</v>
      </c>
      <c r="G1054" s="21">
        <v>1</v>
      </c>
      <c r="H1054" s="1087"/>
      <c r="I1054" s="289"/>
      <c r="K1054" s="725">
        <f ca="1">IFERROR(L990+$N$980,"")</f>
        <v>3</v>
      </c>
      <c r="L1054" s="612">
        <f ca="1">IF($A$981&lt;&gt;3,($P$1008-15-K1054)*-1-$B$1034,0)</f>
        <v>6</v>
      </c>
      <c r="M1054" s="351">
        <f ca="1">IFERROR(VLOOKUP(L1054,$F$1040:$G$1083,2,FALSE),0)</f>
        <v>1</v>
      </c>
      <c r="O1054" s="87" t="s">
        <v>2336</v>
      </c>
      <c r="S1054" s="8"/>
      <c r="Y1054" t="str">
        <f>Y1050</f>
        <v>Kreuz</v>
      </c>
      <c r="Z1054" s="782" t="s">
        <v>1888</v>
      </c>
      <c r="AA1054" t="s">
        <v>1358</v>
      </c>
      <c r="AC1054">
        <f ca="1">DCOUNT(Montageplatten[[#Headers],[#Data],[Typ]:[Höhe]],Montageplatten[[#Headers],[Höhe]],select!Y1054:AA1055)</f>
        <v>0</v>
      </c>
      <c r="AD1054">
        <f t="shared" ref="AD1054" ca="1" si="261">IF(AC1054&gt;0,1,0)</f>
        <v>0</v>
      </c>
      <c r="AF1054">
        <v>4</v>
      </c>
      <c r="AG1054">
        <f ca="1">AD1039</f>
        <v>1</v>
      </c>
    </row>
    <row r="1055" spans="1:36" hidden="1" outlineLevel="1" x14ac:dyDescent="0.25">
      <c r="A1055" s="925"/>
      <c r="B1055" s="266">
        <f t="shared" ca="1" si="252"/>
        <v>14.5</v>
      </c>
      <c r="C1055" s="351">
        <f t="shared" ca="1" si="253"/>
        <v>0</v>
      </c>
      <c r="D1055">
        <v>-8.5</v>
      </c>
      <c r="E1055" s="289"/>
      <c r="F1055" s="21">
        <f t="array" ref="F1055">IFERROR(INDEX(Montageplatten[Höhe],LARGE((Montageplatten[AG Rand]=$L$70)*(ROW(Montageplatten[AG Rand])-1),COUNTIF(Montageplatten[AG Rand],$L$70)+1-ROW(A16))),"")</f>
        <v>9</v>
      </c>
      <c r="G1055" s="21">
        <v>1</v>
      </c>
      <c r="H1055" s="1087"/>
      <c r="I1055" s="289"/>
      <c r="K1055" s="726">
        <f t="shared" ref="K1055:K1067" ca="1" si="262">IFERROR(L991+$N$980,"")</f>
        <v>4</v>
      </c>
      <c r="L1055" s="55">
        <f ca="1">IF($A$981&lt;&gt;3,($P$1008-15-K1055)*-1-$B$1034,0)</f>
        <v>7</v>
      </c>
      <c r="M1055" s="351">
        <f t="shared" ref="M1055:M1067" ca="1" si="263">IFERROR(VLOOKUP(L1055,$F$1040:$G$1083,2,FALSE),0)</f>
        <v>0</v>
      </c>
      <c r="S1055" s="8"/>
      <c r="Y1055">
        <v>1</v>
      </c>
      <c r="Z1055">
        <v>1</v>
      </c>
      <c r="AA1055">
        <v>1</v>
      </c>
      <c r="AF1055">
        <v>5</v>
      </c>
      <c r="AG1055">
        <f ca="1">AD1041</f>
        <v>0</v>
      </c>
    </row>
    <row r="1056" spans="1:36" hidden="1" outlineLevel="1" x14ac:dyDescent="0.25">
      <c r="A1056" s="925"/>
      <c r="B1056" s="266">
        <f t="shared" ca="1" si="252"/>
        <v>15</v>
      </c>
      <c r="C1056" s="351">
        <f t="shared" ca="1" si="253"/>
        <v>1</v>
      </c>
      <c r="D1056">
        <v>-9</v>
      </c>
      <c r="E1056" s="289"/>
      <c r="F1056" s="21">
        <f t="array" ref="F1056">IFERROR(INDEX(Montageplatten[Höhe],LARGE((Montageplatten[AG Rand]=$L$70)*(ROW(Montageplatten[AG Rand])-1),COUNTIF(Montageplatten[AG Rand],$L$70)+1-ROW(A17))),"")</f>
        <v>9.5</v>
      </c>
      <c r="G1056" s="21">
        <v>1</v>
      </c>
      <c r="H1056" s="1087"/>
      <c r="I1056" s="289"/>
      <c r="K1056" s="726">
        <f t="shared" ca="1" si="262"/>
        <v>5</v>
      </c>
      <c r="L1056" s="55">
        <f t="shared" ref="L1056:L1067" ca="1" si="264">IF($A$981&lt;&gt;3,($P$1008-15-K1056)*-1-$B$1034,0)</f>
        <v>8</v>
      </c>
      <c r="M1056" s="351">
        <f t="shared" ca="1" si="263"/>
        <v>1</v>
      </c>
      <c r="R1056" s="3"/>
      <c r="S1056" s="8"/>
      <c r="Y1056" t="str">
        <f>Y1050</f>
        <v>Kreuz</v>
      </c>
      <c r="Z1056" s="782" t="s">
        <v>1888</v>
      </c>
      <c r="AA1056" t="s">
        <v>1361</v>
      </c>
      <c r="AC1056">
        <f ca="1">DCOUNT(Montageplatten[[#Headers],[#Data],[Typ]:[Höhe]],Montageplatten[[#Headers],[Höhe]],select!Y1056:AA1057)</f>
        <v>0</v>
      </c>
      <c r="AD1056">
        <f t="shared" ref="AD1056" ca="1" si="265">IF(AC1056&gt;0,1,0)</f>
        <v>0</v>
      </c>
      <c r="AF1056">
        <v>6</v>
      </c>
      <c r="AG1056">
        <f ca="1">AD1043</f>
        <v>0</v>
      </c>
    </row>
    <row r="1057" spans="1:33" hidden="1" outlineLevel="1" x14ac:dyDescent="0.25">
      <c r="A1057" s="925"/>
      <c r="B1057" s="266">
        <f t="shared" ca="1" si="252"/>
        <v>15.5</v>
      </c>
      <c r="C1057" s="351">
        <f t="shared" ca="1" si="253"/>
        <v>1</v>
      </c>
      <c r="D1057">
        <v>-9.5</v>
      </c>
      <c r="E1057" s="289"/>
      <c r="F1057" s="21">
        <f t="array" ref="F1057">IFERROR(INDEX(Montageplatten[Höhe],LARGE((Montageplatten[AG Rand]=$L$70)*(ROW(Montageplatten[AG Rand])-1),COUNTIF(Montageplatten[AG Rand],$L$70)+1-ROW(A18))),"")</f>
        <v>12</v>
      </c>
      <c r="G1057" s="21">
        <v>1</v>
      </c>
      <c r="H1057" s="1087"/>
      <c r="I1057" s="289"/>
      <c r="K1057" s="726">
        <f t="shared" ca="1" si="262"/>
        <v>6</v>
      </c>
      <c r="L1057" s="55">
        <f t="shared" ca="1" si="264"/>
        <v>9</v>
      </c>
      <c r="M1057" s="351">
        <f t="shared" ca="1" si="263"/>
        <v>1</v>
      </c>
      <c r="N1057" t="str">
        <f t="array" ref="N1057">IFERROR(INDEX(Montageplatten[Teil],LARGE((Montageplatten[Randbedingungen]=$L$70)*(ROW(Montageplatten[Randbedingungen])-1),COUNTIF(Montageplatten[Randbedingungen],$L$70)+1-ROW(A986))),"")</f>
        <v/>
      </c>
      <c r="S1057" s="8"/>
      <c r="Y1057">
        <v>1</v>
      </c>
      <c r="Z1057">
        <v>1</v>
      </c>
      <c r="AA1057">
        <v>1</v>
      </c>
      <c r="AF1057">
        <v>7</v>
      </c>
      <c r="AG1057">
        <f ca="1">AD1045</f>
        <v>0</v>
      </c>
    </row>
    <row r="1058" spans="1:33" hidden="1" outlineLevel="1" x14ac:dyDescent="0.25">
      <c r="A1058" s="925"/>
      <c r="B1058" s="266">
        <f t="shared" ca="1" si="252"/>
        <v>16</v>
      </c>
      <c r="C1058" s="351">
        <f t="shared" ca="1" si="253"/>
        <v>0</v>
      </c>
      <c r="D1058">
        <v>-10</v>
      </c>
      <c r="E1058" s="289"/>
      <c r="F1058" s="21">
        <f t="array" ref="F1058">IFERROR(INDEX(Montageplatten[Höhe],LARGE((Montageplatten[AG Rand]=$L$70)*(ROW(Montageplatten[AG Rand])-1),COUNTIF(Montageplatten[AG Rand],$L$70)+1-ROW(A19))),"")</f>
        <v>14</v>
      </c>
      <c r="G1058" s="21">
        <v>1</v>
      </c>
      <c r="H1058" s="1087"/>
      <c r="I1058" s="289"/>
      <c r="K1058" s="726">
        <f t="shared" ca="1" si="262"/>
        <v>7</v>
      </c>
      <c r="L1058" s="55">
        <f t="shared" ca="1" si="264"/>
        <v>10</v>
      </c>
      <c r="M1058" s="351">
        <f t="shared" ca="1" si="263"/>
        <v>0</v>
      </c>
      <c r="Y1058" t="str">
        <f>Y1050</f>
        <v>Kreuz</v>
      </c>
      <c r="Z1058" s="782" t="s">
        <v>1888</v>
      </c>
      <c r="AA1058" t="s">
        <v>1370</v>
      </c>
      <c r="AC1058">
        <f ca="1">DCOUNT(Montageplatten[[#Headers],[#Data],[Typ]:[Höhe]],Montageplatten[[#Headers],[Höhe]],select!Y1058:AA1059)</f>
        <v>0</v>
      </c>
      <c r="AD1058">
        <f t="shared" ref="AD1058" ca="1" si="266">IF(AC1058&gt;0,1,0)</f>
        <v>0</v>
      </c>
    </row>
    <row r="1059" spans="1:33" hidden="1" outlineLevel="1" x14ac:dyDescent="0.25">
      <c r="A1059" s="925"/>
      <c r="B1059" s="266">
        <f t="shared" ca="1" si="252"/>
        <v>16.5</v>
      </c>
      <c r="C1059" s="351">
        <f t="shared" ca="1" si="253"/>
        <v>0</v>
      </c>
      <c r="D1059">
        <v>-10.5</v>
      </c>
      <c r="E1059" s="289"/>
      <c r="F1059" s="21">
        <f t="array" ref="F1059">IFERROR(INDEX(Montageplatten[Höhe],LARGE((Montageplatten[AG Rand]=$L$70)*(ROW(Montageplatten[AG Rand])-1),COUNTIF(Montageplatten[AG Rand],$L$70)+1-ROW(A20))),"")</f>
        <v>15</v>
      </c>
      <c r="G1059" s="21">
        <v>1</v>
      </c>
      <c r="H1059" s="1087"/>
      <c r="I1059" s="289"/>
      <c r="K1059" s="726" t="str">
        <f t="shared" ca="1" si="262"/>
        <v/>
      </c>
      <c r="L1059" s="55" t="e">
        <f t="shared" ca="1" si="264"/>
        <v>#VALUE!</v>
      </c>
      <c r="M1059" s="351">
        <f t="shared" ca="1" si="263"/>
        <v>0</v>
      </c>
      <c r="Y1059">
        <v>1</v>
      </c>
      <c r="Z1059">
        <v>1</v>
      </c>
      <c r="AA1059">
        <v>1</v>
      </c>
    </row>
    <row r="1060" spans="1:33" hidden="1" outlineLevel="1" x14ac:dyDescent="0.25">
      <c r="A1060" s="925"/>
      <c r="B1060" s="266">
        <f t="shared" ca="1" si="252"/>
        <v>17</v>
      </c>
      <c r="C1060" s="351">
        <f t="shared" ca="1" si="253"/>
        <v>0</v>
      </c>
      <c r="D1060">
        <v>-11</v>
      </c>
      <c r="E1060" s="289"/>
      <c r="F1060" s="21">
        <f t="array" ref="F1060">IFERROR(INDEX(Montageplatten[Höhe],LARGE((Montageplatten[AG Rand]=$L$70)*(ROW(Montageplatten[AG Rand])-1),COUNTIF(Montageplatten[AG Rand],$L$70)+1-ROW(A21))),"")</f>
        <v>15.5</v>
      </c>
      <c r="G1060" s="21">
        <v>1</v>
      </c>
      <c r="H1060" s="1087"/>
      <c r="I1060" s="289"/>
      <c r="K1060" s="726" t="str">
        <f t="shared" ca="1" si="262"/>
        <v/>
      </c>
      <c r="L1060" s="55" t="e">
        <f t="shared" ca="1" si="264"/>
        <v>#VALUE!</v>
      </c>
      <c r="M1060" s="351">
        <f t="shared" ca="1" si="263"/>
        <v>0</v>
      </c>
    </row>
    <row r="1061" spans="1:33" hidden="1" outlineLevel="1" x14ac:dyDescent="0.25">
      <c r="A1061" s="925"/>
      <c r="B1061" s="266">
        <f t="shared" ca="1" si="252"/>
        <v>17.5</v>
      </c>
      <c r="C1061" s="351">
        <f t="shared" ca="1" si="253"/>
        <v>0</v>
      </c>
      <c r="D1061">
        <v>-11.5</v>
      </c>
      <c r="E1061" s="289"/>
      <c r="F1061" s="21">
        <f t="array" ref="F1061">IFERROR(INDEX(Montageplatten[Höhe],LARGE((Montageplatten[AG Rand]=$L$70)*(ROW(Montageplatten[AG Rand])-1),COUNTIF(Montageplatten[AG Rand],$L$70)+1-ROW(A22))),"")</f>
        <v>19</v>
      </c>
      <c r="G1061" s="21">
        <v>1</v>
      </c>
      <c r="H1061" s="1087"/>
      <c r="I1061" s="289"/>
      <c r="K1061" s="726" t="str">
        <f t="shared" ca="1" si="262"/>
        <v/>
      </c>
      <c r="L1061" s="55" t="e">
        <f t="shared" ca="1" si="264"/>
        <v>#VALUE!</v>
      </c>
      <c r="M1061" s="351">
        <f t="shared" ca="1" si="263"/>
        <v>0</v>
      </c>
    </row>
    <row r="1062" spans="1:33" hidden="1" outlineLevel="1" x14ac:dyDescent="0.25">
      <c r="A1062" s="925"/>
      <c r="B1062" s="266">
        <f t="shared" ca="1" si="252"/>
        <v>18</v>
      </c>
      <c r="C1062" s="351">
        <f t="shared" ca="1" si="253"/>
        <v>0</v>
      </c>
      <c r="D1062">
        <v>-12</v>
      </c>
      <c r="E1062" s="289"/>
      <c r="F1062" s="21">
        <f t="array" ref="F1062">IFERROR(INDEX(Montageplatten[Höhe],LARGE((Montageplatten[AG Rand]=$L$70)*(ROW(Montageplatten[AG Rand])-1),COUNTIF(Montageplatten[AG Rand],$L$70)+1-ROW(A23))),"")</f>
        <v>21</v>
      </c>
      <c r="G1062" s="21">
        <v>1</v>
      </c>
      <c r="H1062" s="1087"/>
      <c r="I1062" s="289"/>
      <c r="K1062" s="726" t="str">
        <f t="shared" ca="1" si="262"/>
        <v/>
      </c>
      <c r="L1062" s="55" t="e">
        <f t="shared" ca="1" si="264"/>
        <v>#VALUE!</v>
      </c>
      <c r="M1062" s="351">
        <f t="shared" ca="1" si="263"/>
        <v>0</v>
      </c>
      <c r="Z1062" s="782" t="s">
        <v>1888</v>
      </c>
      <c r="AA1062" t="s">
        <v>52</v>
      </c>
      <c r="AC1062">
        <f ca="1">DCOUNT(Montageplatten[[#Headers],[#Data],[Typ]:[Höhe]],Montageplatten[[#Headers],[Höhe]],select!Z1062:AA1063)</f>
        <v>2</v>
      </c>
      <c r="AD1062">
        <f t="shared" ref="AD1062" ca="1" si="267">IF(AC1062&gt;0,1,0)</f>
        <v>1</v>
      </c>
    </row>
    <row r="1063" spans="1:33" hidden="1" outlineLevel="1" x14ac:dyDescent="0.25">
      <c r="A1063" s="925"/>
      <c r="B1063" s="266">
        <f t="shared" ca="1" si="252"/>
        <v>18.5</v>
      </c>
      <c r="C1063" s="351">
        <f t="shared" ca="1" si="253"/>
        <v>0</v>
      </c>
      <c r="D1063">
        <v>-12.5</v>
      </c>
      <c r="E1063" s="289"/>
      <c r="F1063" s="21" t="str">
        <f t="array" ref="F1063">IFERROR(INDEX(Montageplatten[Höhe],LARGE((Montageplatten[AG Rand]=$L$70)*(ROW(Montageplatten[AG Rand])-1),COUNTIF(Montageplatten[AG Rand],$L$70)+1-ROW(A24))),"")</f>
        <v/>
      </c>
      <c r="G1063" s="21">
        <v>1</v>
      </c>
      <c r="H1063" s="1087"/>
      <c r="I1063" s="289"/>
      <c r="K1063" s="726" t="str">
        <f t="shared" ca="1" si="262"/>
        <v/>
      </c>
      <c r="L1063" s="55" t="e">
        <f t="shared" ca="1" si="264"/>
        <v>#VALUE!</v>
      </c>
      <c r="M1063" s="351">
        <f t="shared" ca="1" si="263"/>
        <v>0</v>
      </c>
      <c r="Z1063">
        <v>1</v>
      </c>
      <c r="AA1063">
        <v>1</v>
      </c>
    </row>
    <row r="1064" spans="1:33" hidden="1" outlineLevel="1" x14ac:dyDescent="0.25">
      <c r="A1064" s="925"/>
      <c r="B1064" s="266">
        <f t="shared" ca="1" si="252"/>
        <v>19</v>
      </c>
      <c r="C1064" s="351">
        <f t="shared" ca="1" si="253"/>
        <v>1</v>
      </c>
      <c r="D1064">
        <v>-13</v>
      </c>
      <c r="E1064" s="289"/>
      <c r="F1064" s="21" t="str">
        <f t="array" ref="F1064">IFERROR(INDEX(Montageplatten[Höhe],LARGE((Montageplatten[AG Rand]=$L$70)*(ROW(Montageplatten[AG Rand])-1),COUNTIF(Montageplatten[AG Rand],$L$70)+1-ROW(A25))),"")</f>
        <v/>
      </c>
      <c r="G1064" s="21">
        <v>1</v>
      </c>
      <c r="H1064" s="1087"/>
      <c r="I1064" s="289"/>
      <c r="K1064" s="726" t="str">
        <f t="shared" ca="1" si="262"/>
        <v/>
      </c>
      <c r="L1064" s="55" t="e">
        <f t="shared" ca="1" si="264"/>
        <v>#VALUE!</v>
      </c>
      <c r="M1064" s="351">
        <f t="shared" ca="1" si="263"/>
        <v>0</v>
      </c>
      <c r="Z1064" s="782" t="s">
        <v>1888</v>
      </c>
      <c r="AA1064" t="s">
        <v>51</v>
      </c>
      <c r="AC1064">
        <f ca="1">DCOUNT(Montageplatten[[#Headers],[#Data],[Typ]:[Höhe]],Montageplatten[[#Headers],[Höhe]],select!Z1064:AA1065)</f>
        <v>0</v>
      </c>
      <c r="AD1064">
        <f t="shared" ref="AD1064" ca="1" si="268">IF(AC1064&gt;0,1,0)</f>
        <v>0</v>
      </c>
    </row>
    <row r="1065" spans="1:33" hidden="1" outlineLevel="1" x14ac:dyDescent="0.25">
      <c r="A1065" s="925"/>
      <c r="B1065" s="266">
        <f t="shared" ca="1" si="252"/>
        <v>19.5</v>
      </c>
      <c r="C1065" s="351">
        <f t="shared" ca="1" si="253"/>
        <v>0</v>
      </c>
      <c r="D1065">
        <v>-13.5</v>
      </c>
      <c r="E1065" s="289"/>
      <c r="F1065" s="21" t="str">
        <f t="array" ref="F1065">IFERROR(INDEX(Montageplatten[Höhe],LARGE((Montageplatten[AG Rand]=$L$70)*(ROW(Montageplatten[AG Rand])-1),COUNTIF(Montageplatten[AG Rand],$L$70)+1-ROW(A26))),"")</f>
        <v/>
      </c>
      <c r="G1065" s="21">
        <v>1</v>
      </c>
      <c r="H1065" s="1087"/>
      <c r="I1065" s="289"/>
      <c r="K1065" s="726" t="str">
        <f t="shared" ca="1" si="262"/>
        <v/>
      </c>
      <c r="L1065" s="55" t="e">
        <f t="shared" ca="1" si="264"/>
        <v>#VALUE!</v>
      </c>
      <c r="M1065" s="351">
        <f t="shared" ca="1" si="263"/>
        <v>0</v>
      </c>
      <c r="Z1065">
        <v>1</v>
      </c>
      <c r="AA1065">
        <v>1</v>
      </c>
    </row>
    <row r="1066" spans="1:33" hidden="1" outlineLevel="1" x14ac:dyDescent="0.25">
      <c r="A1066" s="925"/>
      <c r="B1066" s="266">
        <f t="shared" ca="1" si="252"/>
        <v>20</v>
      </c>
      <c r="C1066" s="351">
        <f t="shared" ca="1" si="253"/>
        <v>0</v>
      </c>
      <c r="D1066">
        <v>-14</v>
      </c>
      <c r="E1066" s="289"/>
      <c r="F1066" s="21" t="str">
        <f t="array" ref="F1066">IFERROR(INDEX(Montageplatten[Höhe],LARGE((Montageplatten[AG Rand]=$L$70)*(ROW(Montageplatten[AG Rand])-1),COUNTIF(Montageplatten[AG Rand],$L$70)+1-ROW(A27))),"")</f>
        <v/>
      </c>
      <c r="G1066" s="21">
        <v>1</v>
      </c>
      <c r="H1066" s="1087"/>
      <c r="I1066" s="289"/>
      <c r="K1066" s="726" t="str">
        <f t="shared" ca="1" si="262"/>
        <v/>
      </c>
      <c r="L1066" s="55" t="e">
        <f t="shared" ca="1" si="264"/>
        <v>#VALUE!</v>
      </c>
      <c r="M1066" s="351">
        <f t="shared" ca="1" si="263"/>
        <v>0</v>
      </c>
      <c r="Z1066" s="782" t="s">
        <v>1888</v>
      </c>
      <c r="AA1066" t="s">
        <v>1360</v>
      </c>
      <c r="AC1066">
        <f ca="1">DCOUNT(Montageplatten[[#Headers],[#Data],[Typ]:[Höhe]],Montageplatten[[#Headers],[Höhe]],select!Z1066:AA1067)</f>
        <v>0</v>
      </c>
      <c r="AD1066">
        <f t="shared" ref="AD1066" ca="1" si="269">IF(AC1066&gt;0,1,0)</f>
        <v>0</v>
      </c>
    </row>
    <row r="1067" spans="1:33" hidden="1" outlineLevel="1" x14ac:dyDescent="0.25">
      <c r="A1067" s="925"/>
      <c r="B1067" s="266">
        <f t="shared" ca="1" si="252"/>
        <v>20.5</v>
      </c>
      <c r="C1067" s="351">
        <f t="shared" ca="1" si="253"/>
        <v>0</v>
      </c>
      <c r="D1067">
        <v>-14.5</v>
      </c>
      <c r="E1067" s="289"/>
      <c r="F1067" s="21" t="str">
        <f t="array" ref="F1067">IFERROR(INDEX(Montageplatten[Höhe],LARGE((Montageplatten[AG Rand]=$L$70)*(ROW(Montageplatten[AG Rand])-1),COUNTIF(Montageplatten[AG Rand],$L$70)+1-ROW(A28))),"")</f>
        <v/>
      </c>
      <c r="G1067" s="21">
        <v>1</v>
      </c>
      <c r="H1067" s="1087"/>
      <c r="I1067" s="289"/>
      <c r="K1067" s="537" t="str">
        <f t="shared" ca="1" si="262"/>
        <v/>
      </c>
      <c r="L1067" s="56" t="e">
        <f t="shared" ca="1" si="264"/>
        <v>#VALUE!</v>
      </c>
      <c r="M1067" s="351">
        <f t="shared" ca="1" si="263"/>
        <v>0</v>
      </c>
      <c r="Z1067">
        <v>1</v>
      </c>
      <c r="AA1067">
        <v>1</v>
      </c>
    </row>
    <row r="1068" spans="1:33" hidden="1" outlineLevel="1" x14ac:dyDescent="0.25">
      <c r="A1068" s="925"/>
      <c r="B1068" s="266">
        <f t="shared" ca="1" si="252"/>
        <v>21</v>
      </c>
      <c r="C1068" s="351">
        <f t="shared" ca="1" si="253"/>
        <v>1</v>
      </c>
      <c r="D1068">
        <v>-15</v>
      </c>
      <c r="E1068" s="289"/>
      <c r="F1068" s="21" t="str">
        <f t="array" ref="F1068">IFERROR(INDEX(Montageplatten[Höhe],LARGE((Montageplatten[AG Rand]=$L$70)*(ROW(Montageplatten[AG Rand])-1),COUNTIF(Montageplatten[AG Rand],$L$70)+1-ROW(A29))),"")</f>
        <v/>
      </c>
      <c r="G1068" s="21">
        <v>1</v>
      </c>
      <c r="H1068" s="1087"/>
      <c r="I1068" s="289"/>
      <c r="K1068" s="76"/>
      <c r="Z1068" s="782" t="s">
        <v>1888</v>
      </c>
      <c r="AA1068" t="s">
        <v>1373</v>
      </c>
      <c r="AC1068">
        <f ca="1">DCOUNT(Montageplatten[[#Headers],[#Data],[Typ]:[Höhe]],Montageplatten[[#Headers],[Höhe]],select!Z1068:AA1069)</f>
        <v>0</v>
      </c>
      <c r="AD1068">
        <f t="shared" ref="AD1068" ca="1" si="270">IF(AC1068&gt;0,1,0)</f>
        <v>0</v>
      </c>
    </row>
    <row r="1069" spans="1:33" hidden="1" outlineLevel="1" x14ac:dyDescent="0.25">
      <c r="A1069" s="925"/>
      <c r="B1069" s="266">
        <f t="shared" ca="1" si="252"/>
        <v>21.5</v>
      </c>
      <c r="C1069" s="351">
        <f t="shared" ca="1" si="253"/>
        <v>0</v>
      </c>
      <c r="D1069" s="3">
        <v>-15.5</v>
      </c>
      <c r="E1069" s="289"/>
      <c r="F1069" s="21" t="str">
        <f t="array" ref="F1069">IFERROR(INDEX(Montageplatten[Höhe],LARGE((Montageplatten[AG Rand]=$L$70)*(ROW(Montageplatten[AG Rand])-1),COUNTIF(Montageplatten[AG Rand],$L$70)+1-ROW(A30))),"")</f>
        <v/>
      </c>
      <c r="G1069" s="21">
        <v>1</v>
      </c>
      <c r="H1069" s="1087"/>
      <c r="I1069" s="289"/>
      <c r="J1069" s="3"/>
      <c r="K1069" s="76"/>
      <c r="T1069" s="3"/>
      <c r="U1069" s="3"/>
      <c r="Z1069">
        <v>1</v>
      </c>
      <c r="AA1069">
        <v>1</v>
      </c>
    </row>
    <row r="1070" spans="1:33" hidden="1" outlineLevel="1" x14ac:dyDescent="0.25">
      <c r="A1070" s="925"/>
      <c r="B1070" s="266">
        <f t="shared" ref="B1070:B1086" ca="1" si="271">IF(($P$1008+D1070-15-$K$988)*-1-$B$1034&gt;=-2,($P$1008+D1070-15-$K$988)*-1-$B$1034,"-")</f>
        <v>22</v>
      </c>
      <c r="C1070" s="351">
        <f t="shared" ca="1" si="253"/>
        <v>0</v>
      </c>
      <c r="D1070">
        <v>-16</v>
      </c>
      <c r="E1070" s="289"/>
      <c r="F1070" s="21" t="str">
        <f t="array" ref="F1070">IFERROR(INDEX(Montageplatten[Höhe],LARGE((Montageplatten[AG Rand]=$L$70)*(ROW(Montageplatten[AG Rand])-1),COUNTIF(Montageplatten[AG Rand],$L$70)+1-ROW(A31))),"")</f>
        <v/>
      </c>
      <c r="G1070" s="21">
        <v>1</v>
      </c>
      <c r="H1070" s="1087"/>
      <c r="I1070" s="289"/>
    </row>
    <row r="1071" spans="1:33" hidden="1" outlineLevel="1" x14ac:dyDescent="0.25">
      <c r="A1071" s="925"/>
      <c r="B1071" s="266">
        <f t="shared" ca="1" si="271"/>
        <v>22.5</v>
      </c>
      <c r="C1071" s="351">
        <f t="shared" ca="1" si="253"/>
        <v>0</v>
      </c>
      <c r="D1071">
        <v>-16.5</v>
      </c>
      <c r="E1071" s="289"/>
      <c r="F1071" s="21" t="str">
        <f t="array" ref="F1071">IFERROR(INDEX(Montageplatten[Höhe],LARGE((Montageplatten[AG Rand]=$L$70)*(ROW(Montageplatten[AG Rand])-1),COUNTIF(Montageplatten[AG Rand],$L$70)+1-ROW(A32))),"")</f>
        <v/>
      </c>
      <c r="G1071" s="21">
        <v>1</v>
      </c>
      <c r="H1071" s="1087"/>
      <c r="I1071" s="289"/>
    </row>
    <row r="1072" spans="1:33" hidden="1" outlineLevel="1" x14ac:dyDescent="0.25">
      <c r="A1072" s="925"/>
      <c r="B1072" s="266">
        <f t="shared" ca="1" si="271"/>
        <v>23</v>
      </c>
      <c r="C1072" s="351">
        <f t="shared" ca="1" si="253"/>
        <v>0</v>
      </c>
      <c r="D1072">
        <v>-17</v>
      </c>
      <c r="E1072" s="289"/>
      <c r="F1072" s="21" t="str">
        <f t="array" ref="F1072">IFERROR(INDEX(Montageplatten[Höhe],LARGE((Montageplatten[AG Rand]=$L$70)*(ROW(Montageplatten[AG Rand])-1),COUNTIF(Montageplatten[AG Rand],$L$70)+1-ROW(A33))),"")</f>
        <v/>
      </c>
      <c r="G1072" s="21">
        <v>1</v>
      </c>
      <c r="H1072" s="1087"/>
      <c r="I1072" s="289"/>
    </row>
    <row r="1073" spans="1:9" hidden="1" outlineLevel="1" x14ac:dyDescent="0.25">
      <c r="A1073" s="925"/>
      <c r="B1073" s="266">
        <f t="shared" ca="1" si="271"/>
        <v>23.5</v>
      </c>
      <c r="C1073" s="351">
        <f t="shared" ca="1" si="253"/>
        <v>0</v>
      </c>
      <c r="D1073">
        <v>-17.5</v>
      </c>
      <c r="E1073" s="289"/>
      <c r="F1073" s="21" t="str">
        <f t="array" ref="F1073">IFERROR(INDEX(Montageplatten[Höhe],LARGE((Montageplatten[AG Rand]=$L$70)*(ROW(Montageplatten[AG Rand])-1),COUNTIF(Montageplatten[AG Rand],$L$70)+1-ROW(A34))),"")</f>
        <v/>
      </c>
      <c r="G1073" s="21">
        <v>1</v>
      </c>
      <c r="H1073" s="1087"/>
      <c r="I1073" s="289"/>
    </row>
    <row r="1074" spans="1:9" hidden="1" outlineLevel="1" x14ac:dyDescent="0.25">
      <c r="A1074" s="925"/>
      <c r="B1074" s="266">
        <f t="shared" ca="1" si="271"/>
        <v>24</v>
      </c>
      <c r="C1074" s="351">
        <f t="shared" ca="1" si="253"/>
        <v>0</v>
      </c>
      <c r="D1074">
        <v>-18</v>
      </c>
      <c r="E1074" s="289"/>
      <c r="F1074" s="21" t="str">
        <f t="array" ref="F1074">IFERROR(INDEX(Montageplatten[Höhe],LARGE((Montageplatten[AG Rand]=$L$70)*(ROW(Montageplatten[AG Rand])-1),COUNTIF(Montageplatten[AG Rand],$L$70)+1-ROW(A35))),"")</f>
        <v/>
      </c>
      <c r="G1074" s="21">
        <v>1</v>
      </c>
      <c r="H1074" s="1087"/>
      <c r="I1074" s="289"/>
    </row>
    <row r="1075" spans="1:9" hidden="1" outlineLevel="1" x14ac:dyDescent="0.25">
      <c r="A1075" s="925"/>
      <c r="B1075" s="266">
        <f t="shared" ca="1" si="271"/>
        <v>24.5</v>
      </c>
      <c r="C1075" s="351">
        <f t="shared" ca="1" si="253"/>
        <v>0</v>
      </c>
      <c r="D1075">
        <v>-18.5</v>
      </c>
      <c r="E1075" s="289"/>
      <c r="F1075" s="21" t="str">
        <f t="array" ref="F1075">IFERROR(INDEX(Montageplatten[Höhe],LARGE((Montageplatten[AG Rand]=$L$70)*(ROW(Montageplatten[AG Rand])-1),COUNTIF(Montageplatten[AG Rand],$L$70)+1-ROW(A36))),"")</f>
        <v/>
      </c>
      <c r="G1075" s="21">
        <v>1</v>
      </c>
      <c r="H1075" s="1087"/>
      <c r="I1075" s="289"/>
    </row>
    <row r="1076" spans="1:9" hidden="1" outlineLevel="1" x14ac:dyDescent="0.25">
      <c r="A1076" s="925"/>
      <c r="B1076" s="266">
        <f t="shared" ca="1" si="271"/>
        <v>25</v>
      </c>
      <c r="C1076" s="351">
        <f t="shared" ca="1" si="253"/>
        <v>0</v>
      </c>
      <c r="D1076">
        <v>-19</v>
      </c>
      <c r="E1076" s="289"/>
      <c r="F1076" s="21" t="str">
        <f t="array" ref="F1076">IFERROR(INDEX(Montageplatten[Höhe],LARGE((Montageplatten[AG Rand]=$L$70)*(ROW(Montageplatten[AG Rand])-1),COUNTIF(Montageplatten[AG Rand],$L$70)+1-ROW(A37))),"")</f>
        <v/>
      </c>
      <c r="G1076" s="21">
        <v>1</v>
      </c>
      <c r="H1076" s="1087"/>
      <c r="I1076" s="289"/>
    </row>
    <row r="1077" spans="1:9" hidden="1" outlineLevel="1" x14ac:dyDescent="0.25">
      <c r="A1077" s="925"/>
      <c r="B1077" s="266">
        <f t="shared" ca="1" si="271"/>
        <v>25.5</v>
      </c>
      <c r="C1077" s="351">
        <f t="shared" ca="1" si="253"/>
        <v>0</v>
      </c>
      <c r="D1077">
        <v>-19.5</v>
      </c>
      <c r="E1077" s="289"/>
      <c r="F1077" s="21" t="str">
        <f t="array" ref="F1077">IFERROR(INDEX(Montageplatten[Höhe],LARGE((Montageplatten[AG Rand]=$L$70)*(ROW(Montageplatten[AG Rand])-1),COUNTIF(Montageplatten[AG Rand],$L$70)+1-ROW(A38))),"")</f>
        <v/>
      </c>
      <c r="G1077" s="21">
        <v>1</v>
      </c>
      <c r="H1077" s="1087"/>
      <c r="I1077" s="289"/>
    </row>
    <row r="1078" spans="1:9" hidden="1" outlineLevel="1" x14ac:dyDescent="0.25">
      <c r="A1078" s="925"/>
      <c r="B1078" s="266">
        <f t="shared" ca="1" si="271"/>
        <v>26</v>
      </c>
      <c r="C1078" s="351">
        <f t="shared" ca="1" si="253"/>
        <v>0</v>
      </c>
      <c r="D1078">
        <v>-20</v>
      </c>
      <c r="E1078" s="289"/>
      <c r="F1078" s="21" t="str">
        <f t="array" ref="F1078">IFERROR(INDEX(Montageplatten[Höhe],LARGE((Montageplatten[AG Rand]=$L$70)*(ROW(Montageplatten[AG Rand])-1),COUNTIF(Montageplatten[AG Rand],$L$70)+1-ROW(A39))),"")</f>
        <v/>
      </c>
      <c r="G1078" s="21">
        <v>1</v>
      </c>
      <c r="H1078" s="1087"/>
      <c r="I1078" s="289"/>
    </row>
    <row r="1079" spans="1:9" hidden="1" outlineLevel="1" x14ac:dyDescent="0.25">
      <c r="A1079" s="925"/>
      <c r="B1079" s="266">
        <f t="shared" ca="1" si="271"/>
        <v>26.5</v>
      </c>
      <c r="C1079" s="351">
        <f t="shared" ca="1" si="253"/>
        <v>0</v>
      </c>
      <c r="D1079">
        <v>-20.5</v>
      </c>
      <c r="E1079" s="289"/>
      <c r="F1079" s="21" t="str">
        <f t="array" ref="F1079">IFERROR(INDEX(Montageplatten[Höhe],LARGE((Montageplatten[AG Rand]=$L$70)*(ROW(Montageplatten[AG Rand])-1),COUNTIF(Montageplatten[AG Rand],$L$70)+1-ROW(A40))),"")</f>
        <v/>
      </c>
      <c r="G1079" s="21">
        <v>1</v>
      </c>
      <c r="H1079" s="1087"/>
      <c r="I1079" s="289"/>
    </row>
    <row r="1080" spans="1:9" hidden="1" outlineLevel="1" x14ac:dyDescent="0.25">
      <c r="A1080" s="925"/>
      <c r="B1080" s="266">
        <f t="shared" ca="1" si="271"/>
        <v>27</v>
      </c>
      <c r="C1080" s="351">
        <f t="shared" ca="1" si="253"/>
        <v>0</v>
      </c>
      <c r="D1080">
        <v>-21</v>
      </c>
      <c r="E1080" s="289"/>
      <c r="F1080" s="21" t="str">
        <f t="array" ref="F1080">IFERROR(INDEX(Montageplatten[Höhe],LARGE((Montageplatten[AG Rand]=$L$70)*(ROW(Montageplatten[AG Rand])-1),COUNTIF(Montageplatten[AG Rand],$L$70)+1-ROW(A41))),"")</f>
        <v/>
      </c>
      <c r="G1080" s="21">
        <v>1</v>
      </c>
      <c r="H1080" s="1087"/>
      <c r="I1080" s="289"/>
    </row>
    <row r="1081" spans="1:9" hidden="1" outlineLevel="1" x14ac:dyDescent="0.25">
      <c r="A1081" s="925"/>
      <c r="B1081" s="266">
        <f t="shared" ca="1" si="271"/>
        <v>27.5</v>
      </c>
      <c r="C1081" s="351">
        <f t="shared" ca="1" si="253"/>
        <v>0</v>
      </c>
      <c r="D1081">
        <v>-21.5</v>
      </c>
      <c r="E1081" s="289"/>
      <c r="F1081" s="21" t="str">
        <f t="array" ref="F1081">IFERROR(INDEX(Montageplatten[Höhe],LARGE((Montageplatten[AG Rand]=$L$70)*(ROW(Montageplatten[AG Rand])-1),COUNTIF(Montageplatten[AG Rand],$L$70)+1-ROW(A42))),"")</f>
        <v/>
      </c>
      <c r="G1081" s="21">
        <v>1</v>
      </c>
      <c r="H1081" s="1087"/>
      <c r="I1081" s="289"/>
    </row>
    <row r="1082" spans="1:9" hidden="1" outlineLevel="1" x14ac:dyDescent="0.25">
      <c r="A1082" s="925"/>
      <c r="B1082" s="266">
        <f t="shared" ca="1" si="271"/>
        <v>28</v>
      </c>
      <c r="C1082" s="351">
        <f t="shared" ca="1" si="253"/>
        <v>0</v>
      </c>
      <c r="D1082">
        <v>-22</v>
      </c>
      <c r="E1082" s="289"/>
      <c r="F1082" s="21" t="str">
        <f t="array" ref="F1082">IFERROR(INDEX(Montageplatten[Höhe],LARGE((Montageplatten[AG Rand]=$L$70)*(ROW(Montageplatten[AG Rand])-1),COUNTIF(Montageplatten[AG Rand],$L$70)+1-ROW(A43))),"")</f>
        <v/>
      </c>
      <c r="G1082" s="21">
        <v>1</v>
      </c>
      <c r="H1082" s="1087"/>
      <c r="I1082" s="289"/>
    </row>
    <row r="1083" spans="1:9" hidden="1" outlineLevel="1" x14ac:dyDescent="0.25">
      <c r="A1083" s="925"/>
      <c r="B1083" s="266">
        <f t="shared" ca="1" si="271"/>
        <v>28.5</v>
      </c>
      <c r="C1083" s="351">
        <f t="shared" ca="1" si="253"/>
        <v>0</v>
      </c>
      <c r="D1083">
        <v>-22.5</v>
      </c>
      <c r="E1083" s="289"/>
      <c r="F1083" s="21" t="str">
        <f t="array" ref="F1083">IFERROR(INDEX(Montageplatten[Höhe],LARGE((Montageplatten[AG Rand]=$L$70)*(ROW(Montageplatten[AG Rand])-1),COUNTIF(Montageplatten[AG Rand],$L$70)+1-ROW(A44))),"")</f>
        <v/>
      </c>
      <c r="G1083" s="21">
        <v>1</v>
      </c>
      <c r="H1083" s="1087"/>
      <c r="I1083" s="289"/>
    </row>
    <row r="1084" spans="1:9" hidden="1" outlineLevel="1" x14ac:dyDescent="0.25">
      <c r="A1084" s="925"/>
      <c r="B1084" s="266">
        <f t="shared" ca="1" si="271"/>
        <v>29</v>
      </c>
      <c r="C1084" s="351">
        <f t="shared" ca="1" si="253"/>
        <v>0</v>
      </c>
      <c r="D1084">
        <v>-23</v>
      </c>
      <c r="E1084" s="289"/>
      <c r="F1084" s="289"/>
      <c r="G1084" s="289"/>
      <c r="H1084" s="289"/>
      <c r="I1084" s="289"/>
    </row>
    <row r="1085" spans="1:9" hidden="1" outlineLevel="1" x14ac:dyDescent="0.25">
      <c r="A1085" s="925"/>
      <c r="B1085" s="266">
        <f t="shared" ca="1" si="271"/>
        <v>29.5</v>
      </c>
      <c r="C1085" s="351">
        <f t="shared" ca="1" si="253"/>
        <v>0</v>
      </c>
      <c r="D1085">
        <v>-23.5</v>
      </c>
      <c r="E1085" s="289"/>
      <c r="F1085" s="289"/>
      <c r="G1085" s="289"/>
      <c r="H1085" s="289"/>
      <c r="I1085" s="289"/>
    </row>
    <row r="1086" spans="1:9" hidden="1" outlineLevel="1" x14ac:dyDescent="0.25">
      <c r="A1086" s="925"/>
      <c r="B1086" s="266">
        <f t="shared" ca="1" si="271"/>
        <v>30</v>
      </c>
      <c r="C1086" s="351">
        <f t="shared" ca="1" si="253"/>
        <v>0</v>
      </c>
      <c r="D1086">
        <v>-24</v>
      </c>
      <c r="E1086" s="289"/>
      <c r="F1086" s="289"/>
      <c r="G1086" s="289"/>
      <c r="H1086" s="289"/>
      <c r="I1086" s="289"/>
    </row>
    <row r="1087" spans="1:9" hidden="1" outlineLevel="1" x14ac:dyDescent="0.25">
      <c r="A1087" s="8"/>
      <c r="B1087" s="8"/>
      <c r="C1087" s="8"/>
      <c r="D1087" s="8"/>
      <c r="E1087" s="8"/>
      <c r="F1087" s="8"/>
      <c r="G1087" s="8"/>
      <c r="H1087" s="8"/>
      <c r="I1087" s="8"/>
    </row>
    <row r="1088" spans="1:9" hidden="1" outlineLevel="1" x14ac:dyDescent="0.25">
      <c r="A1088" s="3"/>
      <c r="C1088" s="40">
        <f ca="1">IFERROR(VLOOKUP(F1039,C1039:D1086,2,FALSE),"")</f>
        <v>-2</v>
      </c>
      <c r="E1088" s="8"/>
      <c r="F1088" s="8"/>
      <c r="G1088" s="8"/>
      <c r="H1088" s="8"/>
      <c r="I1088" s="8"/>
    </row>
    <row r="1089" spans="1:9" hidden="1" outlineLevel="1" x14ac:dyDescent="0.25">
      <c r="E1089" s="8"/>
      <c r="F1089" s="8"/>
      <c r="G1089" s="8"/>
      <c r="H1089" s="8"/>
      <c r="I1089" s="8"/>
    </row>
    <row r="1090" spans="1:9" hidden="1" outlineLevel="1" x14ac:dyDescent="0.25">
      <c r="A1090" s="925" t="s">
        <v>1379</v>
      </c>
      <c r="B1090" s="266">
        <f t="shared" ref="B1090:B1137" ca="1" si="272">IF(($P$1008+D1090-15-$K$988)*-1-$B$1034&gt;=-2,($P$1008+D1090-15-$K$988)*-1-$B$1034,"-")</f>
        <v>5.5</v>
      </c>
      <c r="C1090" s="351">
        <f t="shared" ref="C1090:C1137" ca="1" si="273">IFERROR(VLOOKUP(B1090,$F$1040:$G$1083,2,FALSE),0)</f>
        <v>0</v>
      </c>
      <c r="D1090">
        <v>0.5</v>
      </c>
      <c r="E1090" s="289"/>
      <c r="F1090" s="289"/>
      <c r="G1090" s="8"/>
      <c r="H1090" s="289"/>
      <c r="I1090" s="8"/>
    </row>
    <row r="1091" spans="1:9" hidden="1" outlineLevel="1" x14ac:dyDescent="0.25">
      <c r="A1091" s="925"/>
      <c r="B1091" s="266">
        <f t="shared" ca="1" si="272"/>
        <v>5</v>
      </c>
      <c r="C1091" s="351">
        <f t="shared" ca="1" si="273"/>
        <v>0</v>
      </c>
      <c r="D1091">
        <v>1</v>
      </c>
      <c r="E1091" s="289"/>
      <c r="F1091" s="289"/>
      <c r="G1091" s="8"/>
      <c r="H1091" s="289"/>
      <c r="I1091" s="8"/>
    </row>
    <row r="1092" spans="1:9" hidden="1" outlineLevel="1" x14ac:dyDescent="0.25">
      <c r="A1092" s="925"/>
      <c r="B1092" s="266">
        <f t="shared" ca="1" si="272"/>
        <v>4.5</v>
      </c>
      <c r="C1092" s="351">
        <f t="shared" ca="1" si="273"/>
        <v>0</v>
      </c>
      <c r="D1092">
        <v>1.5</v>
      </c>
      <c r="E1092" s="289"/>
      <c r="F1092" s="289"/>
      <c r="G1092" s="8"/>
      <c r="H1092" s="289"/>
      <c r="I1092" s="8"/>
    </row>
    <row r="1093" spans="1:9" hidden="1" outlineLevel="1" x14ac:dyDescent="0.25">
      <c r="A1093" s="925"/>
      <c r="B1093" s="266">
        <f t="shared" ca="1" si="272"/>
        <v>4</v>
      </c>
      <c r="C1093" s="351">
        <f t="shared" ca="1" si="273"/>
        <v>0</v>
      </c>
      <c r="D1093">
        <v>2</v>
      </c>
      <c r="E1093" s="289"/>
      <c r="F1093" s="289"/>
      <c r="G1093" s="8"/>
      <c r="H1093" s="289"/>
      <c r="I1093" s="8"/>
    </row>
    <row r="1094" spans="1:9" hidden="1" outlineLevel="1" x14ac:dyDescent="0.25">
      <c r="A1094" s="925"/>
      <c r="B1094" s="266">
        <f t="shared" ca="1" si="272"/>
        <v>3.5</v>
      </c>
      <c r="C1094" s="351">
        <f t="shared" ca="1" si="273"/>
        <v>1</v>
      </c>
      <c r="D1094">
        <v>2.5</v>
      </c>
      <c r="E1094" s="289"/>
      <c r="F1094" s="289"/>
      <c r="G1094" s="8"/>
      <c r="H1094" s="289"/>
      <c r="I1094" s="8"/>
    </row>
    <row r="1095" spans="1:9" hidden="1" outlineLevel="1" x14ac:dyDescent="0.25">
      <c r="A1095" s="925"/>
      <c r="B1095" s="266">
        <f t="shared" ca="1" si="272"/>
        <v>3</v>
      </c>
      <c r="C1095" s="351">
        <f t="shared" ca="1" si="273"/>
        <v>1</v>
      </c>
      <c r="D1095">
        <v>3</v>
      </c>
      <c r="E1095" s="289"/>
      <c r="F1095" s="289"/>
      <c r="G1095" s="8"/>
      <c r="H1095" s="289"/>
      <c r="I1095" s="8"/>
    </row>
    <row r="1096" spans="1:9" hidden="1" outlineLevel="1" x14ac:dyDescent="0.25">
      <c r="A1096" s="925"/>
      <c r="B1096" s="266">
        <f t="shared" ca="1" si="272"/>
        <v>2.5</v>
      </c>
      <c r="C1096" s="351">
        <f t="shared" ca="1" si="273"/>
        <v>0</v>
      </c>
      <c r="D1096">
        <v>3.5</v>
      </c>
      <c r="E1096" s="289"/>
      <c r="F1096" s="289"/>
      <c r="G1096" s="8"/>
      <c r="H1096" s="289"/>
      <c r="I1096" s="8"/>
    </row>
    <row r="1097" spans="1:9" hidden="1" outlineLevel="1" x14ac:dyDescent="0.25">
      <c r="A1097" s="925"/>
      <c r="B1097" s="266">
        <f t="shared" ca="1" si="272"/>
        <v>2</v>
      </c>
      <c r="C1097" s="351">
        <f t="shared" ca="1" si="273"/>
        <v>1</v>
      </c>
      <c r="D1097">
        <v>4</v>
      </c>
      <c r="E1097" s="289"/>
      <c r="F1097" s="289"/>
      <c r="G1097" s="8"/>
      <c r="H1097" s="289"/>
      <c r="I1097" s="8"/>
    </row>
    <row r="1098" spans="1:9" hidden="1" outlineLevel="1" x14ac:dyDescent="0.25">
      <c r="A1098" s="925"/>
      <c r="B1098" s="266">
        <f t="shared" ca="1" si="272"/>
        <v>1.5</v>
      </c>
      <c r="C1098" s="351">
        <f t="shared" ca="1" si="273"/>
        <v>0</v>
      </c>
      <c r="D1098">
        <v>4.5</v>
      </c>
      <c r="E1098" s="289"/>
      <c r="F1098" s="289"/>
      <c r="G1098" s="8"/>
      <c r="H1098" s="289"/>
      <c r="I1098" s="8"/>
    </row>
    <row r="1099" spans="1:9" hidden="1" outlineLevel="1" x14ac:dyDescent="0.25">
      <c r="A1099" s="925"/>
      <c r="B1099" s="266">
        <f t="shared" ca="1" si="272"/>
        <v>1</v>
      </c>
      <c r="C1099" s="351">
        <f t="shared" ca="1" si="273"/>
        <v>0</v>
      </c>
      <c r="D1099">
        <v>5</v>
      </c>
      <c r="E1099" s="289"/>
      <c r="F1099" s="289"/>
      <c r="G1099" s="8"/>
      <c r="H1099" s="289"/>
      <c r="I1099" s="8"/>
    </row>
    <row r="1100" spans="1:9" hidden="1" outlineLevel="1" x14ac:dyDescent="0.25">
      <c r="A1100" s="925"/>
      <c r="B1100" s="266">
        <f t="shared" ca="1" si="272"/>
        <v>0.5</v>
      </c>
      <c r="C1100" s="351">
        <f t="shared" ca="1" si="273"/>
        <v>0</v>
      </c>
      <c r="D1100">
        <v>5.5</v>
      </c>
      <c r="E1100" s="289"/>
      <c r="F1100" s="289"/>
      <c r="G1100" s="8"/>
      <c r="H1100" s="289"/>
      <c r="I1100" s="8"/>
    </row>
    <row r="1101" spans="1:9" hidden="1" outlineLevel="1" x14ac:dyDescent="0.25">
      <c r="A1101" s="925"/>
      <c r="B1101" s="266">
        <f t="shared" ca="1" si="272"/>
        <v>0</v>
      </c>
      <c r="C1101" s="351">
        <f t="shared" ca="1" si="273"/>
        <v>1</v>
      </c>
      <c r="D1101">
        <v>6</v>
      </c>
      <c r="E1101" s="289"/>
      <c r="F1101" s="289"/>
      <c r="G1101" s="8"/>
      <c r="H1101" s="289"/>
      <c r="I1101" s="8"/>
    </row>
    <row r="1102" spans="1:9" hidden="1" outlineLevel="1" x14ac:dyDescent="0.25">
      <c r="A1102" s="925"/>
      <c r="B1102" s="266">
        <f t="shared" ca="1" si="272"/>
        <v>-0.5</v>
      </c>
      <c r="C1102" s="351">
        <f t="shared" ca="1" si="273"/>
        <v>0</v>
      </c>
      <c r="D1102">
        <v>6.5</v>
      </c>
      <c r="E1102" s="289"/>
      <c r="F1102" s="289"/>
      <c r="G1102" s="8"/>
      <c r="H1102" s="289"/>
      <c r="I1102" s="8"/>
    </row>
    <row r="1103" spans="1:9" hidden="1" outlineLevel="1" x14ac:dyDescent="0.25">
      <c r="A1103" s="925"/>
      <c r="B1103" s="266">
        <f t="shared" ca="1" si="272"/>
        <v>-1</v>
      </c>
      <c r="C1103" s="351">
        <f t="shared" ca="1" si="273"/>
        <v>0</v>
      </c>
      <c r="D1103">
        <v>7</v>
      </c>
      <c r="E1103" s="289"/>
      <c r="F1103" s="289"/>
      <c r="G1103" s="8"/>
      <c r="H1103" s="289"/>
      <c r="I1103" s="8"/>
    </row>
    <row r="1104" spans="1:9" hidden="1" outlineLevel="1" x14ac:dyDescent="0.25">
      <c r="A1104" s="925"/>
      <c r="B1104" s="266">
        <f t="shared" ca="1" si="272"/>
        <v>-1.5</v>
      </c>
      <c r="C1104" s="351">
        <f t="shared" ca="1" si="273"/>
        <v>0</v>
      </c>
      <c r="D1104">
        <v>7.5</v>
      </c>
      <c r="E1104" s="289"/>
      <c r="F1104" s="289"/>
      <c r="G1104" s="8"/>
      <c r="H1104" s="289"/>
      <c r="I1104" s="8"/>
    </row>
    <row r="1105" spans="1:9" hidden="1" outlineLevel="1" x14ac:dyDescent="0.25">
      <c r="A1105" s="925"/>
      <c r="B1105" s="266">
        <f t="shared" ca="1" si="272"/>
        <v>-2</v>
      </c>
      <c r="C1105" s="351">
        <f t="shared" ca="1" si="273"/>
        <v>1</v>
      </c>
      <c r="D1105">
        <v>8</v>
      </c>
      <c r="E1105" s="289"/>
      <c r="F1105" s="289"/>
      <c r="G1105" s="8"/>
      <c r="H1105" s="289"/>
      <c r="I1105" s="8"/>
    </row>
    <row r="1106" spans="1:9" hidden="1" outlineLevel="1" x14ac:dyDescent="0.25">
      <c r="A1106" s="925"/>
      <c r="B1106" s="266" t="str">
        <f t="shared" ca="1" si="272"/>
        <v>-</v>
      </c>
      <c r="C1106" s="351">
        <f t="shared" ca="1" si="273"/>
        <v>0</v>
      </c>
      <c r="D1106">
        <v>8.5</v>
      </c>
      <c r="E1106" s="289"/>
      <c r="F1106" s="289"/>
      <c r="G1106" s="8"/>
      <c r="H1106" s="289"/>
      <c r="I1106" s="8"/>
    </row>
    <row r="1107" spans="1:9" hidden="1" outlineLevel="1" x14ac:dyDescent="0.25">
      <c r="A1107" s="925"/>
      <c r="B1107" s="266" t="str">
        <f t="shared" ca="1" si="272"/>
        <v>-</v>
      </c>
      <c r="C1107" s="351">
        <f t="shared" ca="1" si="273"/>
        <v>0</v>
      </c>
      <c r="D1107">
        <v>9</v>
      </c>
      <c r="E1107" s="289"/>
      <c r="F1107" s="289"/>
      <c r="G1107" s="8"/>
      <c r="H1107" s="289"/>
      <c r="I1107" s="8"/>
    </row>
    <row r="1108" spans="1:9" hidden="1" outlineLevel="1" x14ac:dyDescent="0.25">
      <c r="A1108" s="925"/>
      <c r="B1108" s="266" t="str">
        <f t="shared" ca="1" si="272"/>
        <v>-</v>
      </c>
      <c r="C1108" s="351">
        <f t="shared" ca="1" si="273"/>
        <v>0</v>
      </c>
      <c r="D1108">
        <v>9.5</v>
      </c>
      <c r="E1108" s="289"/>
      <c r="F1108" s="289"/>
      <c r="G1108" s="8"/>
      <c r="H1108" s="289"/>
      <c r="I1108" s="8"/>
    </row>
    <row r="1109" spans="1:9" hidden="1" outlineLevel="1" x14ac:dyDescent="0.25">
      <c r="A1109" s="925"/>
      <c r="B1109" s="266" t="str">
        <f t="shared" ca="1" si="272"/>
        <v>-</v>
      </c>
      <c r="C1109" s="351">
        <f t="shared" ca="1" si="273"/>
        <v>0</v>
      </c>
      <c r="D1109">
        <v>10</v>
      </c>
      <c r="E1109" s="289"/>
      <c r="F1109" s="289"/>
      <c r="G1109" s="8"/>
      <c r="H1109" s="289"/>
      <c r="I1109" s="8"/>
    </row>
    <row r="1110" spans="1:9" hidden="1" outlineLevel="1" x14ac:dyDescent="0.25">
      <c r="A1110" s="925"/>
      <c r="B1110" s="266" t="str">
        <f t="shared" ca="1" si="272"/>
        <v>-</v>
      </c>
      <c r="C1110" s="351">
        <f t="shared" ca="1" si="273"/>
        <v>0</v>
      </c>
      <c r="D1110">
        <v>10.5</v>
      </c>
      <c r="E1110" s="289"/>
      <c r="F1110" s="289"/>
      <c r="G1110" s="8"/>
      <c r="H1110" s="289"/>
      <c r="I1110" s="8"/>
    </row>
    <row r="1111" spans="1:9" hidden="1" outlineLevel="1" x14ac:dyDescent="0.25">
      <c r="A1111" s="925"/>
      <c r="B1111" s="266" t="str">
        <f t="shared" ca="1" si="272"/>
        <v>-</v>
      </c>
      <c r="C1111" s="351">
        <f t="shared" ca="1" si="273"/>
        <v>0</v>
      </c>
      <c r="D1111">
        <v>11</v>
      </c>
      <c r="E1111" s="289"/>
      <c r="F1111" s="289"/>
      <c r="G1111" s="8"/>
      <c r="H1111" s="289"/>
      <c r="I1111" s="8"/>
    </row>
    <row r="1112" spans="1:9" hidden="1" outlineLevel="1" x14ac:dyDescent="0.25">
      <c r="A1112" s="925"/>
      <c r="B1112" s="266" t="str">
        <f t="shared" ca="1" si="272"/>
        <v>-</v>
      </c>
      <c r="C1112" s="351">
        <f t="shared" ca="1" si="273"/>
        <v>0</v>
      </c>
      <c r="D1112">
        <v>11.5</v>
      </c>
      <c r="E1112" s="289"/>
      <c r="F1112" s="289"/>
      <c r="G1112" s="8"/>
      <c r="H1112" s="289"/>
      <c r="I1112" s="8"/>
    </row>
    <row r="1113" spans="1:9" hidden="1" outlineLevel="1" x14ac:dyDescent="0.25">
      <c r="A1113" s="925"/>
      <c r="B1113" s="266" t="str">
        <f t="shared" ca="1" si="272"/>
        <v>-</v>
      </c>
      <c r="C1113" s="351">
        <f t="shared" ca="1" si="273"/>
        <v>0</v>
      </c>
      <c r="D1113">
        <v>12</v>
      </c>
      <c r="E1113" s="289"/>
      <c r="F1113" s="289"/>
      <c r="G1113" s="8"/>
      <c r="H1113" s="289"/>
      <c r="I1113" s="8"/>
    </row>
    <row r="1114" spans="1:9" hidden="1" outlineLevel="1" x14ac:dyDescent="0.25">
      <c r="A1114" s="925"/>
      <c r="B1114" s="266" t="str">
        <f t="shared" ca="1" si="272"/>
        <v>-</v>
      </c>
      <c r="C1114" s="351">
        <f t="shared" ca="1" si="273"/>
        <v>0</v>
      </c>
      <c r="D1114">
        <v>12.5</v>
      </c>
      <c r="E1114" s="289"/>
      <c r="F1114" s="289"/>
      <c r="G1114" s="8"/>
      <c r="H1114" s="289"/>
      <c r="I1114" s="8"/>
    </row>
    <row r="1115" spans="1:9" hidden="1" outlineLevel="1" x14ac:dyDescent="0.25">
      <c r="A1115" s="925"/>
      <c r="B1115" s="266" t="str">
        <f t="shared" ca="1" si="272"/>
        <v>-</v>
      </c>
      <c r="C1115" s="351">
        <f t="shared" ca="1" si="273"/>
        <v>0</v>
      </c>
      <c r="D1115">
        <v>13</v>
      </c>
      <c r="E1115" s="289"/>
      <c r="F1115" s="289"/>
      <c r="G1115" s="8"/>
      <c r="H1115" s="289"/>
      <c r="I1115" s="8"/>
    </row>
    <row r="1116" spans="1:9" hidden="1" outlineLevel="1" x14ac:dyDescent="0.25">
      <c r="A1116" s="925"/>
      <c r="B1116" s="266" t="str">
        <f t="shared" ca="1" si="272"/>
        <v>-</v>
      </c>
      <c r="C1116" s="351">
        <f t="shared" ca="1" si="273"/>
        <v>0</v>
      </c>
      <c r="D1116">
        <v>13.5</v>
      </c>
      <c r="E1116" s="289"/>
      <c r="F1116" s="289"/>
      <c r="G1116" s="8"/>
      <c r="H1116" s="289"/>
      <c r="I1116" s="8"/>
    </row>
    <row r="1117" spans="1:9" hidden="1" outlineLevel="1" x14ac:dyDescent="0.25">
      <c r="A1117" s="925"/>
      <c r="B1117" s="266" t="str">
        <f t="shared" ca="1" si="272"/>
        <v>-</v>
      </c>
      <c r="C1117" s="351">
        <f t="shared" ca="1" si="273"/>
        <v>0</v>
      </c>
      <c r="D1117">
        <v>14</v>
      </c>
      <c r="E1117" s="289"/>
      <c r="F1117" s="289"/>
      <c r="G1117" s="8"/>
      <c r="H1117" s="289"/>
      <c r="I1117" s="8"/>
    </row>
    <row r="1118" spans="1:9" hidden="1" outlineLevel="1" x14ac:dyDescent="0.25">
      <c r="A1118" s="925"/>
      <c r="B1118" s="266" t="str">
        <f t="shared" ca="1" si="272"/>
        <v>-</v>
      </c>
      <c r="C1118" s="351">
        <f t="shared" ca="1" si="273"/>
        <v>0</v>
      </c>
      <c r="D1118">
        <v>14.5</v>
      </c>
      <c r="E1118" s="289"/>
      <c r="F1118" s="289"/>
      <c r="G1118" s="8"/>
      <c r="H1118" s="289"/>
      <c r="I1118" s="8"/>
    </row>
    <row r="1119" spans="1:9" hidden="1" outlineLevel="1" x14ac:dyDescent="0.25">
      <c r="A1119" s="925"/>
      <c r="B1119" s="266" t="str">
        <f t="shared" ca="1" si="272"/>
        <v>-</v>
      </c>
      <c r="C1119" s="351">
        <f t="shared" ca="1" si="273"/>
        <v>0</v>
      </c>
      <c r="D1119">
        <v>15</v>
      </c>
      <c r="E1119" s="289"/>
      <c r="F1119" s="289"/>
      <c r="G1119" s="8"/>
      <c r="H1119" s="289"/>
      <c r="I1119" s="8"/>
    </row>
    <row r="1120" spans="1:9" hidden="1" outlineLevel="1" x14ac:dyDescent="0.25">
      <c r="A1120" s="925"/>
      <c r="B1120" s="266" t="str">
        <f t="shared" ca="1" si="272"/>
        <v>-</v>
      </c>
      <c r="C1120" s="351">
        <f t="shared" ca="1" si="273"/>
        <v>0</v>
      </c>
      <c r="D1120">
        <v>15.5</v>
      </c>
      <c r="E1120" s="289"/>
      <c r="F1120" s="289"/>
      <c r="G1120" s="8"/>
      <c r="H1120" s="289"/>
      <c r="I1120" s="8"/>
    </row>
    <row r="1121" spans="1:15" hidden="1" outlineLevel="1" x14ac:dyDescent="0.25">
      <c r="A1121" s="925"/>
      <c r="B1121" s="266" t="str">
        <f t="shared" ca="1" si="272"/>
        <v>-</v>
      </c>
      <c r="C1121" s="351">
        <f t="shared" ca="1" si="273"/>
        <v>0</v>
      </c>
      <c r="D1121">
        <v>16</v>
      </c>
      <c r="E1121" s="289"/>
      <c r="F1121" s="289"/>
      <c r="G1121" s="8"/>
      <c r="H1121" s="289"/>
      <c r="I1121" s="8"/>
    </row>
    <row r="1122" spans="1:15" hidden="1" outlineLevel="1" x14ac:dyDescent="0.25">
      <c r="A1122" s="925"/>
      <c r="B1122" s="266" t="str">
        <f t="shared" ca="1" si="272"/>
        <v>-</v>
      </c>
      <c r="C1122" s="351">
        <f t="shared" ca="1" si="273"/>
        <v>0</v>
      </c>
      <c r="D1122">
        <v>16.5</v>
      </c>
      <c r="E1122" s="289"/>
      <c r="F1122" s="289"/>
      <c r="G1122" s="8"/>
      <c r="H1122" s="289"/>
      <c r="I1122" s="8"/>
    </row>
    <row r="1123" spans="1:15" hidden="1" outlineLevel="1" x14ac:dyDescent="0.25">
      <c r="A1123" s="925"/>
      <c r="B1123" s="266" t="str">
        <f t="shared" ca="1" si="272"/>
        <v>-</v>
      </c>
      <c r="C1123" s="351">
        <f t="shared" ca="1" si="273"/>
        <v>0</v>
      </c>
      <c r="D1123">
        <v>17</v>
      </c>
      <c r="E1123" s="289"/>
      <c r="F1123" s="289"/>
      <c r="G1123" s="8"/>
      <c r="H1123" s="289"/>
      <c r="I1123" s="8"/>
    </row>
    <row r="1124" spans="1:15" hidden="1" outlineLevel="1" x14ac:dyDescent="0.25">
      <c r="A1124" s="925"/>
      <c r="B1124" s="266" t="str">
        <f t="shared" ca="1" si="272"/>
        <v>-</v>
      </c>
      <c r="C1124" s="351">
        <f t="shared" ca="1" si="273"/>
        <v>0</v>
      </c>
      <c r="D1124">
        <v>17.5</v>
      </c>
      <c r="E1124" s="289"/>
      <c r="F1124" s="289"/>
      <c r="G1124" s="8"/>
      <c r="H1124" s="289"/>
      <c r="I1124" s="8"/>
    </row>
    <row r="1125" spans="1:15" hidden="1" outlineLevel="1" x14ac:dyDescent="0.25">
      <c r="A1125" s="925"/>
      <c r="B1125" s="266" t="str">
        <f t="shared" ca="1" si="272"/>
        <v>-</v>
      </c>
      <c r="C1125" s="351">
        <f t="shared" ca="1" si="273"/>
        <v>0</v>
      </c>
      <c r="D1125">
        <v>18</v>
      </c>
      <c r="E1125" s="289"/>
      <c r="F1125" s="289"/>
      <c r="G1125" s="8"/>
      <c r="H1125" s="289"/>
      <c r="I1125" s="8"/>
    </row>
    <row r="1126" spans="1:15" hidden="1" outlineLevel="1" x14ac:dyDescent="0.25">
      <c r="A1126" s="925"/>
      <c r="B1126" s="266" t="str">
        <f t="shared" ca="1" si="272"/>
        <v>-</v>
      </c>
      <c r="C1126" s="351">
        <f t="shared" ca="1" si="273"/>
        <v>0</v>
      </c>
      <c r="D1126">
        <v>18.5</v>
      </c>
      <c r="E1126" s="289"/>
      <c r="F1126" s="289"/>
      <c r="G1126" s="8"/>
      <c r="H1126" s="289"/>
      <c r="I1126" s="8"/>
    </row>
    <row r="1127" spans="1:15" hidden="1" outlineLevel="1" x14ac:dyDescent="0.25">
      <c r="A1127" s="925"/>
      <c r="B1127" s="266" t="str">
        <f t="shared" ca="1" si="272"/>
        <v>-</v>
      </c>
      <c r="C1127" s="351">
        <f t="shared" ca="1" si="273"/>
        <v>0</v>
      </c>
      <c r="D1127">
        <v>19</v>
      </c>
      <c r="E1127" s="289"/>
      <c r="F1127" s="289"/>
      <c r="G1127" s="8"/>
      <c r="H1127" s="289"/>
      <c r="I1127" s="8"/>
    </row>
    <row r="1128" spans="1:15" hidden="1" outlineLevel="1" x14ac:dyDescent="0.25">
      <c r="A1128" s="925"/>
      <c r="B1128" s="266" t="str">
        <f t="shared" ca="1" si="272"/>
        <v>-</v>
      </c>
      <c r="C1128" s="351">
        <f t="shared" ca="1" si="273"/>
        <v>0</v>
      </c>
      <c r="D1128">
        <v>19.5</v>
      </c>
      <c r="E1128" s="289"/>
      <c r="F1128" s="289"/>
      <c r="G1128" s="8"/>
      <c r="H1128" s="289"/>
      <c r="I1128" s="8"/>
    </row>
    <row r="1129" spans="1:15" hidden="1" outlineLevel="1" x14ac:dyDescent="0.25">
      <c r="A1129" s="925"/>
      <c r="B1129" s="266" t="str">
        <f t="shared" ca="1" si="272"/>
        <v>-</v>
      </c>
      <c r="C1129" s="351">
        <f t="shared" ca="1" si="273"/>
        <v>0</v>
      </c>
      <c r="D1129">
        <v>20</v>
      </c>
      <c r="E1129" s="289"/>
      <c r="F1129" s="289"/>
      <c r="G1129" s="8"/>
      <c r="H1129" s="289"/>
      <c r="I1129" s="8"/>
    </row>
    <row r="1130" spans="1:15" hidden="1" outlineLevel="1" x14ac:dyDescent="0.25">
      <c r="A1130" s="925"/>
      <c r="B1130" s="266" t="str">
        <f t="shared" ca="1" si="272"/>
        <v>-</v>
      </c>
      <c r="C1130" s="351">
        <f t="shared" ca="1" si="273"/>
        <v>0</v>
      </c>
      <c r="D1130">
        <v>20.5</v>
      </c>
      <c r="E1130" s="289"/>
      <c r="F1130" s="289"/>
      <c r="G1130" s="8"/>
      <c r="H1130" s="289"/>
      <c r="I1130" s="8"/>
    </row>
    <row r="1131" spans="1:15" hidden="1" outlineLevel="1" x14ac:dyDescent="0.25">
      <c r="A1131" s="925"/>
      <c r="B1131" s="266" t="str">
        <f t="shared" ca="1" si="272"/>
        <v>-</v>
      </c>
      <c r="C1131" s="351">
        <f t="shared" ca="1" si="273"/>
        <v>0</v>
      </c>
      <c r="D1131">
        <v>21</v>
      </c>
      <c r="E1131" s="289"/>
      <c r="F1131" s="289"/>
      <c r="G1131" s="8"/>
      <c r="H1131" s="289"/>
      <c r="I1131" s="8"/>
    </row>
    <row r="1132" spans="1:15" hidden="1" outlineLevel="1" x14ac:dyDescent="0.25">
      <c r="A1132" s="925"/>
      <c r="B1132" s="266" t="str">
        <f t="shared" ca="1" si="272"/>
        <v>-</v>
      </c>
      <c r="C1132" s="351">
        <f t="shared" ca="1" si="273"/>
        <v>0</v>
      </c>
      <c r="D1132">
        <v>21.5</v>
      </c>
      <c r="E1132" s="289"/>
      <c r="F1132" s="289"/>
      <c r="G1132" s="8"/>
      <c r="H1132" s="289"/>
      <c r="I1132" s="8"/>
      <c r="O1132" t="str">
        <f t="array" ref="O1132">IFERROR(INDEX(Montageplatten[Teil],LARGE((Montageplatten[Randbedingungen]=$L$70)*(ROW(Montageplatten[Randbedingungen])-1),COUNTIF(Montageplatten[Randbedingungen],$L$70)+1-ROW(A1048))),"")</f>
        <v/>
      </c>
    </row>
    <row r="1133" spans="1:15" hidden="1" outlineLevel="1" x14ac:dyDescent="0.25">
      <c r="A1133" s="925"/>
      <c r="B1133" s="266" t="str">
        <f t="shared" ca="1" si="272"/>
        <v>-</v>
      </c>
      <c r="C1133" s="351">
        <f t="shared" ca="1" si="273"/>
        <v>0</v>
      </c>
      <c r="D1133">
        <v>22</v>
      </c>
      <c r="E1133" s="289"/>
      <c r="F1133" s="289"/>
      <c r="G1133" s="8"/>
      <c r="H1133" s="289"/>
      <c r="I1133" s="8"/>
      <c r="O1133" t="str">
        <f t="array" ref="O1133">IFERROR(INDEX(Montageplatten[Teil],LARGE((Montageplatten[Randbedingungen]=$L$70)*(ROW(Montageplatten[Randbedingungen])-1),COUNTIF(Montageplatten[Randbedingungen],$L$70)+1-ROW(A1049))),"")</f>
        <v/>
      </c>
    </row>
    <row r="1134" spans="1:15" hidden="1" outlineLevel="1" x14ac:dyDescent="0.25">
      <c r="A1134" s="925"/>
      <c r="B1134" s="266" t="str">
        <f t="shared" ca="1" si="272"/>
        <v>-</v>
      </c>
      <c r="C1134" s="351">
        <f t="shared" ca="1" si="273"/>
        <v>0</v>
      </c>
      <c r="D1134">
        <v>22.5</v>
      </c>
      <c r="E1134" s="289"/>
      <c r="F1134" s="289"/>
      <c r="G1134" s="8"/>
      <c r="H1134" s="289"/>
      <c r="I1134" s="8"/>
      <c r="O1134" t="str">
        <f t="array" ref="O1134">IFERROR(INDEX(Montageplatten[Teil],LARGE((Montageplatten[Randbedingungen]=$L$70)*(ROW(Montageplatten[Randbedingungen])-1),COUNTIF(Montageplatten[Randbedingungen],$L$70)+1-ROW(A1050))),"")</f>
        <v/>
      </c>
    </row>
    <row r="1135" spans="1:15" hidden="1" outlineLevel="1" x14ac:dyDescent="0.25">
      <c r="A1135" s="925"/>
      <c r="B1135" s="266" t="str">
        <f t="shared" ca="1" si="272"/>
        <v>-</v>
      </c>
      <c r="C1135" s="351">
        <f t="shared" ca="1" si="273"/>
        <v>0</v>
      </c>
      <c r="D1135">
        <v>23</v>
      </c>
      <c r="E1135" s="289"/>
      <c r="F1135" s="289"/>
      <c r="G1135" s="8"/>
      <c r="H1135" s="289"/>
      <c r="I1135" s="8"/>
      <c r="O1135" t="str">
        <f t="array" ref="O1135">IFERROR(INDEX(Montageplatten[Teil],LARGE((Montageplatten[Randbedingungen]=$L$70)*(ROW(Montageplatten[Randbedingungen])-1),COUNTIF(Montageplatten[Randbedingungen],$L$70)+1-ROW(A1051))),"")</f>
        <v/>
      </c>
    </row>
    <row r="1136" spans="1:15" hidden="1" outlineLevel="1" x14ac:dyDescent="0.25">
      <c r="A1136" s="925"/>
      <c r="B1136" s="266" t="str">
        <f t="shared" ca="1" si="272"/>
        <v>-</v>
      </c>
      <c r="C1136" s="351">
        <f t="shared" ca="1" si="273"/>
        <v>0</v>
      </c>
      <c r="D1136">
        <v>23.5</v>
      </c>
      <c r="E1136" s="289"/>
      <c r="F1136" s="289"/>
      <c r="G1136" s="8"/>
      <c r="H1136" s="289"/>
      <c r="I1136" s="8"/>
      <c r="O1136" t="str">
        <f t="array" ref="O1136">IFERROR(INDEX(Montageplatten[Teil],LARGE((Montageplatten[Randbedingungen]=$L$70)*(ROW(Montageplatten[Randbedingungen])-1),COUNTIF(Montageplatten[Randbedingungen],$L$70)+1-ROW(A1052))),"")</f>
        <v/>
      </c>
    </row>
    <row r="1137" spans="1:17" hidden="1" outlineLevel="1" x14ac:dyDescent="0.25">
      <c r="A1137" s="925"/>
      <c r="B1137" s="266" t="str">
        <f t="shared" ca="1" si="272"/>
        <v>-</v>
      </c>
      <c r="C1137" s="351">
        <f t="shared" ca="1" si="273"/>
        <v>0</v>
      </c>
      <c r="D1137">
        <v>24</v>
      </c>
      <c r="E1137" s="289"/>
      <c r="F1137" s="289"/>
      <c r="G1137" s="8"/>
      <c r="H1137" s="289"/>
      <c r="I1137" s="8"/>
      <c r="O1137" t="str">
        <f t="array" ref="O1137">IFERROR(INDEX(Montageplatten[Teil],LARGE((Montageplatten[Randbedingungen]=$L$70)*(ROW(Montageplatten[Randbedingungen])-1),COUNTIF(Montageplatten[Randbedingungen],$L$70)+1-ROW(A1053))),"")</f>
        <v/>
      </c>
    </row>
    <row r="1138" spans="1:17" hidden="1" outlineLevel="1" x14ac:dyDescent="0.25">
      <c r="A1138" s="100"/>
      <c r="D1138" s="8"/>
      <c r="E1138" s="8"/>
      <c r="F1138" s="8"/>
      <c r="G1138" s="8"/>
      <c r="H1138" s="8"/>
      <c r="I1138" s="8"/>
    </row>
    <row r="1139" spans="1:17" hidden="1" outlineLevel="1" x14ac:dyDescent="0.25">
      <c r="A1139" s="3"/>
      <c r="C1139" s="40">
        <f ca="1">IFERROR(VLOOKUP(F1039,C1090:D1137,2,FALSE),"")</f>
        <v>2.5</v>
      </c>
      <c r="D1139" s="8"/>
      <c r="E1139" s="8"/>
      <c r="F1139" s="8"/>
      <c r="G1139" s="8"/>
      <c r="H1139" s="8"/>
      <c r="I1139" s="8"/>
    </row>
    <row r="1140" spans="1:17" hidden="1" outlineLevel="1" x14ac:dyDescent="0.25">
      <c r="D1140" s="8"/>
      <c r="E1140" s="8"/>
      <c r="F1140" s="8"/>
      <c r="G1140" s="8"/>
      <c r="H1140" s="8"/>
      <c r="I1140" s="8"/>
    </row>
    <row r="1141" spans="1:17" hidden="1" outlineLevel="1" x14ac:dyDescent="0.25">
      <c r="D1141" s="8"/>
      <c r="E1141" s="8"/>
      <c r="F1141" s="8"/>
      <c r="G1141" s="8"/>
      <c r="H1141" s="8"/>
      <c r="I1141" s="8"/>
    </row>
    <row r="1142" spans="1:17" hidden="1" outlineLevel="1" x14ac:dyDescent="0.25"/>
    <row r="1143" spans="1:17" hidden="1" outlineLevel="1" x14ac:dyDescent="0.25"/>
    <row r="1144" spans="1:17" hidden="1" outlineLevel="1" x14ac:dyDescent="0.25"/>
    <row r="1145" spans="1:17" hidden="1" outlineLevel="1" x14ac:dyDescent="0.25"/>
    <row r="1146" spans="1:17" hidden="1" outlineLevel="1" x14ac:dyDescent="0.25"/>
    <row r="1147" spans="1:17" hidden="1" outlineLevel="1" x14ac:dyDescent="0.25">
      <c r="A1147" t="s">
        <v>1441</v>
      </c>
      <c r="B1147" s="8">
        <f>ROW()</f>
        <v>1147</v>
      </c>
      <c r="D1147" s="100" t="str">
        <f>Montageplatten[[#Headers],[Bezeichnung 1]]</f>
        <v>Bezeichnung 1</v>
      </c>
      <c r="E1147" s="100" t="str">
        <f>Montageplatten[[#Headers],[Bezeichnung 2]]</f>
        <v>Bezeichnung 2</v>
      </c>
      <c r="F1147" s="100" t="str">
        <f>Montageplatten[[#Headers],[Bezeichnung TGr]]</f>
        <v>Bezeichnung TGr</v>
      </c>
      <c r="G1147" s="342" t="str">
        <f>Montageplatten[[#Headers],[37/32]]</f>
        <v>37/32</v>
      </c>
      <c r="H1147" s="342" t="str">
        <f>Montageplatten[[#Headers],[28/32]]</f>
        <v>28/32</v>
      </c>
      <c r="I1147" s="342" t="s">
        <v>1358</v>
      </c>
      <c r="J1147" s="342" t="s">
        <v>1361</v>
      </c>
      <c r="K1147" s="342" t="s">
        <v>1370</v>
      </c>
      <c r="L1147" s="342" t="str">
        <f>Montageplatten[[#Headers],[Höhe]]</f>
        <v>Höhe</v>
      </c>
      <c r="M1147" s="100"/>
      <c r="N1147" s="8"/>
      <c r="O1147" s="8"/>
      <c r="P1147" s="8"/>
      <c r="Q1147" s="8"/>
    </row>
    <row r="1148" spans="1:17" hidden="1" outlineLevel="1" x14ac:dyDescent="0.25">
      <c r="A1148" s="168" t="str">
        <f t="array" aca="1" ref="A1148" ca="1">IFERROR(INDEX(Montageplatten[Spalte1],LARGE((Montageplatten[AG gesamt]=$A$195)*(ROW(Montageplatten[AG gesamt])-1),COUNTIF(Montageplatten[AG gesamt],$A$195)+1-ROW(A1))),"")</f>
        <v>F058</v>
      </c>
      <c r="B1148" s="168" t="str">
        <f t="array" aca="1" ref="B1148" ca="1">IFERROR(INDEX(Montageplatten[Spalte2],LARGE((Montageplatten[AG gesamt]=$A$195)*(ROW(Montageplatten[AG gesamt])-1),COUNTIF(Montageplatten[AG gesamt],$A$195)+1-ROW(A1))),"")</f>
        <v>139</v>
      </c>
      <c r="C1148" s="168" t="str">
        <f t="array" aca="1" ref="C1148" ca="1">IFERROR(INDEX(Montageplatten[Spalte3],LARGE((Montageplatten[AG gesamt]=$A$195)*(ROW(Montageplatten[AG gesamt])-1),COUNTIF(Montageplatten[AG gesamt],$A$195)+1-ROW(A1))),"")</f>
        <v>892</v>
      </c>
      <c r="D1148" s="168" t="str">
        <f t="array" aca="1" ref="D1148" ca="1">IFERROR(INDEX(Montageplatten[Bezeichnung 1],LARGE((Montageplatten[AG gesamt]=$A$195)*(ROW(Montageplatten[AG gesamt])-1),COUNTIF(Montageplatten[AG gesamt],$A$195)+1-ROW(A1))),"")</f>
        <v>1D Kreuz Mtg-Platte</v>
      </c>
      <c r="E1148" s="168" t="str">
        <f t="array" aca="1" ref="E1148" ca="1">IFERROR(INDEX(Montageplatten[Bezeichnung 2],LARGE((Montageplatten[AG gesamt]=$A$195)*(ROW(Montageplatten[AG gesamt])-1),COUNTIF(Montageplatten[AG gesamt],$A$195)+1-ROW(A1))),"")</f>
        <v>H 06, ni /37</v>
      </c>
      <c r="F1148" s="168" t="str">
        <f t="array" aca="1" ref="F1148" ca="1">IFERROR(INDEX(Montageplatten[Bezeichnung TGr],LARGE((Montageplatten[AG gesamt]=$A$195)*(ROW(Montageplatten[AG gesamt])-1),COUNTIF(Montageplatten[AG gesamt],$A$195)+1-ROW(A1))),"")</f>
        <v>Tiomos Montageplatten</v>
      </c>
      <c r="G1148" s="171">
        <f t="array" aca="1" ref="G1148" ca="1">IFERROR(INDEX(Montageplatten[37/32],LARGE((Montageplatten[AG gesamt]=$A$195)*(ROW(Montageplatten[AG gesamt])-1),COUNTIF(Montageplatten[AG gesamt],$A$195)+1-ROW(A1))),"")</f>
        <v>1</v>
      </c>
      <c r="H1148" s="171">
        <f t="array" aca="1" ref="H1148" ca="1">IFERROR(INDEX(Montageplatten[28/32],LARGE((Montageplatten[AG gesamt]=$A$195)*(ROW(Montageplatten[AG gesamt])-1),COUNTIF(Montageplatten[AG gesamt],$A$195)+1-ROW(A1))),"")</f>
        <v>0</v>
      </c>
      <c r="I1148" s="171">
        <f t="array" aca="1" ref="I1148" ca="1">IFERROR(INDEX(Montageplatten[20/32],LARGE((Montageplatten[AG gesamt]=$A$195)*(ROW(Montageplatten[AG gesamt])-1),COUNTIF(Montageplatten[AG gesamt],$A$195)+1-ROW(A1))),"")</f>
        <v>0</v>
      </c>
      <c r="J1148" s="171">
        <f t="array" aca="1" ref="J1148" ca="1">IFERROR(INDEX(Montageplatten[9,5/32],LARGE((Montageplatten[AG gesamt]=$A$195)*(ROW(Montageplatten[AG gesamt])-1),COUNTIF(Montageplatten[AG gesamt],$A$195)+1-ROW(A1))),"")</f>
        <v>0</v>
      </c>
      <c r="K1148" s="171">
        <f t="array" aca="1" ref="K1148" ca="1">IFERROR(INDEX(Montageplatten[10/32],LARGE((Montageplatten[AG gesamt]=$A$195)*(ROW(Montageplatten[AG gesamt])-1),COUNTIF(Montageplatten[AG gesamt],$A$195)+1-ROW(A1))),"")</f>
        <v>0</v>
      </c>
      <c r="L1148" s="171">
        <f t="array" aca="1" ref="L1148" ca="1">IFERROR(INDEX(Montageplatten[Höhe],LARGE((Montageplatten[AG gesamt]=$A$195)*(ROW(Montageplatten[AG gesamt])-1),COUNTIF(Montageplatten[AG gesamt],$A$195)+1-ROW(A1))),"")</f>
        <v>6</v>
      </c>
      <c r="M1148" s="3">
        <v>1</v>
      </c>
      <c r="N1148" s="8"/>
      <c r="O1148" s="8"/>
      <c r="P1148" s="8"/>
      <c r="Q1148" s="8"/>
    </row>
    <row r="1149" spans="1:17" hidden="1" outlineLevel="1" x14ac:dyDescent="0.25">
      <c r="A1149" s="168" t="str">
        <f t="array" aca="1" ref="A1149" ca="1">IFERROR(INDEX(Montageplatten[Spalte1],LARGE((Montageplatten[AG gesamt]=$A$195)*(ROW(Montageplatten[AG gesamt])-1),COUNTIF(Montageplatten[AG gesamt],$A$195)+1-ROW(A2))),"")</f>
        <v/>
      </c>
      <c r="B1149" s="168" t="str">
        <f t="array" aca="1" ref="B1149" ca="1">IFERROR(INDEX(Montageplatten[Spalte2],LARGE((Montageplatten[AG gesamt]=$A$195)*(ROW(Montageplatten[AG gesamt])-1),COUNTIF(Montageplatten[AG gesamt],$A$195)+1-ROW(A2))),"")</f>
        <v/>
      </c>
      <c r="C1149" s="168" t="str">
        <f t="array" aca="1" ref="C1149" ca="1">IFERROR(INDEX(Montageplatten[Spalte3],LARGE((Montageplatten[AG gesamt]=$A$195)*(ROW(Montageplatten[AG gesamt])-1),COUNTIF(Montageplatten[AG gesamt],$A$195)+1-ROW(A2))),"")</f>
        <v/>
      </c>
      <c r="D1149" s="168" t="str">
        <f t="array" aca="1" ref="D1149" ca="1">IFERROR(INDEX(Montageplatten[Bezeichnung 1],LARGE((Montageplatten[AG gesamt]=$A$195)*(ROW(Montageplatten[AG gesamt])-1),COUNTIF(Montageplatten[AG gesamt],$A$195)+1-ROW(A2))),"")</f>
        <v/>
      </c>
      <c r="E1149" s="168" t="str">
        <f t="array" aca="1" ref="E1149" ca="1">IFERROR(INDEX(Montageplatten[Bezeichnung 2],LARGE((Montageplatten[AG gesamt]=$A$195)*(ROW(Montageplatten[AG gesamt])-1),COUNTIF(Montageplatten[AG gesamt],$A$195)+1-ROW(A2))),"")</f>
        <v/>
      </c>
      <c r="F1149" s="168" t="str">
        <f t="array" aca="1" ref="F1149" ca="1">IFERROR(INDEX(Montageplatten[Bezeichnung TGr],LARGE((Montageplatten[AG gesamt]=$A$195)*(ROW(Montageplatten[AG gesamt])-1),COUNTIF(Montageplatten[AG gesamt],$A$195)+1-ROW(A2))),"")</f>
        <v/>
      </c>
      <c r="G1149" s="171" t="str">
        <f t="array" aca="1" ref="G1149" ca="1">IFERROR(INDEX(Montageplatten[37/32],LARGE((Montageplatten[AG gesamt]=$A$195)*(ROW(Montageplatten[AG gesamt])-1),COUNTIF(Montageplatten[AG gesamt],$A$195)+1-ROW(A2))),"")</f>
        <v/>
      </c>
      <c r="H1149" s="171" t="str">
        <f t="array" aca="1" ref="H1149" ca="1">IFERROR(INDEX(Montageplatten[28/32],LARGE((Montageplatten[AG gesamt]=$A$195)*(ROW(Montageplatten[AG gesamt])-1),COUNTIF(Montageplatten[AG gesamt],$A$195)+1-ROW(A2))),"")</f>
        <v/>
      </c>
      <c r="I1149" s="171" t="str">
        <f t="array" aca="1" ref="I1149" ca="1">IFERROR(INDEX(Montageplatten[20/32],LARGE((Montageplatten[AG gesamt]=$A$195)*(ROW(Montageplatten[AG gesamt])-1),COUNTIF(Montageplatten[AG gesamt],$A$195)+1-ROW(A2))),"")</f>
        <v/>
      </c>
      <c r="J1149" s="171" t="str">
        <f t="array" aca="1" ref="J1149" ca="1">IFERROR(INDEX(Montageplatten[9,5/32],LARGE((Montageplatten[AG gesamt]=$A$195)*(ROW(Montageplatten[AG gesamt])-1),COUNTIF(Montageplatten[AG gesamt],$A$195)+1-ROW(A2))),"")</f>
        <v/>
      </c>
      <c r="K1149" s="171" t="str">
        <f t="array" aca="1" ref="K1149" ca="1">IFERROR(INDEX(Montageplatten[10/32],LARGE((Montageplatten[AG gesamt]=$A$195)*(ROW(Montageplatten[AG gesamt])-1),COUNTIF(Montageplatten[AG gesamt],$A$195)+1-ROW(A2))),"")</f>
        <v/>
      </c>
      <c r="L1149" s="171" t="str">
        <f t="array" aca="1" ref="L1149" ca="1">IFERROR(INDEX(Montageplatten[Höhe],LARGE((Montageplatten[AG gesamt]=$A$195)*(ROW(Montageplatten[AG gesamt])-1),COUNTIF(Montageplatten[AG gesamt],$A$195)+1-ROW(A2))),"")</f>
        <v/>
      </c>
      <c r="M1149" s="8">
        <v>2</v>
      </c>
      <c r="N1149" s="8"/>
      <c r="O1149" s="8"/>
      <c r="P1149" s="151"/>
      <c r="Q1149" s="151"/>
    </row>
    <row r="1150" spans="1:17" hidden="1" outlineLevel="1" x14ac:dyDescent="0.25">
      <c r="A1150" s="168" t="str">
        <f t="array" aca="1" ref="A1150" ca="1">IFERROR(INDEX(Montageplatten[Spalte1],LARGE((Montageplatten[AG gesamt]=$A$195)*(ROW(Montageplatten[AG gesamt])-1),COUNTIF(Montageplatten[AG gesamt],$A$195)+1-ROW(A3))),"")</f>
        <v/>
      </c>
      <c r="B1150" s="168" t="str">
        <f t="array" aca="1" ref="B1150" ca="1">IFERROR(INDEX(Montageplatten[Spalte2],LARGE((Montageplatten[AG gesamt]=$A$195)*(ROW(Montageplatten[AG gesamt])-1),COUNTIF(Montageplatten[AG gesamt],$A$195)+1-ROW(A3))),"")</f>
        <v/>
      </c>
      <c r="C1150" s="168" t="str">
        <f t="array" aca="1" ref="C1150" ca="1">IFERROR(INDEX(Montageplatten[Spalte3],LARGE((Montageplatten[AG gesamt]=$A$195)*(ROW(Montageplatten[AG gesamt])-1),COUNTIF(Montageplatten[AG gesamt],$A$195)+1-ROW(A3))),"")</f>
        <v/>
      </c>
      <c r="D1150" s="168" t="str">
        <f t="array" aca="1" ref="D1150" ca="1">IFERROR(INDEX(Montageplatten[Bezeichnung 1],LARGE((Montageplatten[AG gesamt]=$A$195)*(ROW(Montageplatten[AG gesamt])-1),COUNTIF(Montageplatten[AG gesamt],$A$195)+1-ROW(A3))),"")</f>
        <v/>
      </c>
      <c r="E1150" s="168" t="str">
        <f t="array" aca="1" ref="E1150" ca="1">IFERROR(INDEX(Montageplatten[Bezeichnung 2],LARGE((Montageplatten[AG gesamt]=$A$195)*(ROW(Montageplatten[AG gesamt])-1),COUNTIF(Montageplatten[AG gesamt],$A$195)+1-ROW(A3))),"")</f>
        <v/>
      </c>
      <c r="F1150" s="168" t="str">
        <f t="array" aca="1" ref="F1150" ca="1">IFERROR(INDEX(Montageplatten[Bezeichnung TGr],LARGE((Montageplatten[AG gesamt]=$A$195)*(ROW(Montageplatten[AG gesamt])-1),COUNTIF(Montageplatten[AG gesamt],$A$195)+1-ROW(A3))),"")</f>
        <v/>
      </c>
      <c r="G1150" s="171" t="str">
        <f t="array" aca="1" ref="G1150" ca="1">IFERROR(INDEX(Montageplatten[37/32],LARGE((Montageplatten[AG gesamt]=$A$195)*(ROW(Montageplatten[AG gesamt])-1),COUNTIF(Montageplatten[AG gesamt],$A$195)+1-ROW(A3))),"")</f>
        <v/>
      </c>
      <c r="H1150" s="171" t="str">
        <f t="array" aca="1" ref="H1150" ca="1">IFERROR(INDEX(Montageplatten[28/32],LARGE((Montageplatten[AG gesamt]=$A$195)*(ROW(Montageplatten[AG gesamt])-1),COUNTIF(Montageplatten[AG gesamt],$A$195)+1-ROW(A3))),"")</f>
        <v/>
      </c>
      <c r="I1150" s="171" t="str">
        <f t="array" aca="1" ref="I1150" ca="1">IFERROR(INDEX(Montageplatten[20/32],LARGE((Montageplatten[AG gesamt]=$A$195)*(ROW(Montageplatten[AG gesamt])-1),COUNTIF(Montageplatten[AG gesamt],$A$195)+1-ROW(A3))),"")</f>
        <v/>
      </c>
      <c r="J1150" s="171" t="str">
        <f t="array" aca="1" ref="J1150" ca="1">IFERROR(INDEX(Montageplatten[9,5/32],LARGE((Montageplatten[AG gesamt]=$A$195)*(ROW(Montageplatten[AG gesamt])-1),COUNTIF(Montageplatten[AG gesamt],$A$195)+1-ROW(A3))),"")</f>
        <v/>
      </c>
      <c r="K1150" s="171" t="str">
        <f t="array" aca="1" ref="K1150" ca="1">IFERROR(INDEX(Montageplatten[10/32],LARGE((Montageplatten[AG gesamt]=$A$195)*(ROW(Montageplatten[AG gesamt])-1),COUNTIF(Montageplatten[AG gesamt],$A$195)+1-ROW(A3))),"")</f>
        <v/>
      </c>
      <c r="L1150" s="171" t="str">
        <f t="array" aca="1" ref="L1150" ca="1">IFERROR(INDEX(Montageplatten[Höhe],LARGE((Montageplatten[AG gesamt]=$A$195)*(ROW(Montageplatten[AG gesamt])-1),COUNTIF(Montageplatten[AG gesamt],$A$195)+1-ROW(A3))),"")</f>
        <v/>
      </c>
      <c r="M1150" s="3">
        <v>3</v>
      </c>
      <c r="N1150" s="8"/>
      <c r="O1150" s="8"/>
      <c r="P1150" s="8"/>
      <c r="Q1150" s="8"/>
    </row>
    <row r="1151" spans="1:17" hidden="1" outlineLevel="1" x14ac:dyDescent="0.25">
      <c r="A1151" s="168" t="str">
        <f t="array" aca="1" ref="A1151" ca="1">IFERROR(INDEX(Montageplatten[Spalte1],LARGE((Montageplatten[AG gesamt]=$A$195)*(ROW(Montageplatten[AG gesamt])-1),COUNTIF(Montageplatten[AG gesamt],$A$195)+1-ROW(A4))),"")</f>
        <v/>
      </c>
      <c r="B1151" s="168" t="str">
        <f t="array" aca="1" ref="B1151" ca="1">IFERROR(INDEX(Montageplatten[Spalte2],LARGE((Montageplatten[AG gesamt]=$A$195)*(ROW(Montageplatten[AG gesamt])-1),COUNTIF(Montageplatten[AG gesamt],$A$195)+1-ROW(A4))),"")</f>
        <v/>
      </c>
      <c r="C1151" s="168" t="str">
        <f t="array" aca="1" ref="C1151" ca="1">IFERROR(INDEX(Montageplatten[Spalte3],LARGE((Montageplatten[AG gesamt]=$A$195)*(ROW(Montageplatten[AG gesamt])-1),COUNTIF(Montageplatten[AG gesamt],$A$195)+1-ROW(A4))),"")</f>
        <v/>
      </c>
      <c r="D1151" s="168" t="str">
        <f t="array" aca="1" ref="D1151" ca="1">IFERROR(INDEX(Montageplatten[Bezeichnung 1],LARGE((Montageplatten[AG gesamt]=$A$195)*(ROW(Montageplatten[AG gesamt])-1),COUNTIF(Montageplatten[AG gesamt],$A$195)+1-ROW(A4))),"")</f>
        <v/>
      </c>
      <c r="E1151" s="168" t="str">
        <f t="array" aca="1" ref="E1151" ca="1">IFERROR(INDEX(Montageplatten[Bezeichnung 2],LARGE((Montageplatten[AG gesamt]=$A$195)*(ROW(Montageplatten[AG gesamt])-1),COUNTIF(Montageplatten[AG gesamt],$A$195)+1-ROW(A4))),"")</f>
        <v/>
      </c>
      <c r="F1151" s="168" t="str">
        <f t="array" aca="1" ref="F1151" ca="1">IFERROR(INDEX(Montageplatten[Bezeichnung TGr],LARGE((Montageplatten[AG gesamt]=$A$195)*(ROW(Montageplatten[AG gesamt])-1),COUNTIF(Montageplatten[AG gesamt],$A$195)+1-ROW(A4))),"")</f>
        <v/>
      </c>
      <c r="G1151" s="171" t="str">
        <f t="array" aca="1" ref="G1151" ca="1">IFERROR(INDEX(Montageplatten[37/32],LARGE((Montageplatten[AG gesamt]=$A$195)*(ROW(Montageplatten[AG gesamt])-1),COUNTIF(Montageplatten[AG gesamt],$A$195)+1-ROW(A4))),"")</f>
        <v/>
      </c>
      <c r="H1151" s="171" t="str">
        <f t="array" aca="1" ref="H1151" ca="1">IFERROR(INDEX(Montageplatten[28/32],LARGE((Montageplatten[AG gesamt]=$A$195)*(ROW(Montageplatten[AG gesamt])-1),COUNTIF(Montageplatten[AG gesamt],$A$195)+1-ROW(A4))),"")</f>
        <v/>
      </c>
      <c r="I1151" s="171" t="str">
        <f t="array" aca="1" ref="I1151" ca="1">IFERROR(INDEX(Montageplatten[20/32],LARGE((Montageplatten[AG gesamt]=$A$195)*(ROW(Montageplatten[AG gesamt])-1),COUNTIF(Montageplatten[AG gesamt],$A$195)+1-ROW(A4))),"")</f>
        <v/>
      </c>
      <c r="J1151" s="171" t="str">
        <f t="array" aca="1" ref="J1151" ca="1">IFERROR(INDEX(Montageplatten[9,5/32],LARGE((Montageplatten[AG gesamt]=$A$195)*(ROW(Montageplatten[AG gesamt])-1),COUNTIF(Montageplatten[AG gesamt],$A$195)+1-ROW(A4))),"")</f>
        <v/>
      </c>
      <c r="K1151" s="171" t="str">
        <f t="array" aca="1" ref="K1151" ca="1">IFERROR(INDEX(Montageplatten[10/32],LARGE((Montageplatten[AG gesamt]=$A$195)*(ROW(Montageplatten[AG gesamt])-1),COUNTIF(Montageplatten[AG gesamt],$A$195)+1-ROW(A4))),"")</f>
        <v/>
      </c>
      <c r="L1151" s="171" t="str">
        <f t="array" aca="1" ref="L1151" ca="1">IFERROR(INDEX(Montageplatten[Höhe],LARGE((Montageplatten[AG gesamt]=$A$195)*(ROW(Montageplatten[AG gesamt])-1),COUNTIF(Montageplatten[AG gesamt],$A$195)+1-ROW(A4))),"")</f>
        <v/>
      </c>
      <c r="M1151" s="8">
        <v>4</v>
      </c>
      <c r="N1151" s="8"/>
      <c r="O1151" s="8"/>
      <c r="P1151" s="8"/>
      <c r="Q1151" s="8"/>
    </row>
    <row r="1152" spans="1:17" hidden="1" outlineLevel="1" x14ac:dyDescent="0.25">
      <c r="A1152" s="168" t="str">
        <f t="array" aca="1" ref="A1152" ca="1">IFERROR(INDEX(Montageplatten[Spalte1],LARGE((Montageplatten[AG gesamt]=$A$195)*(ROW(Montageplatten[AG gesamt])-1),COUNTIF(Montageplatten[AG gesamt],$A$195)+1-ROW(A5))),"")</f>
        <v/>
      </c>
      <c r="B1152" s="168" t="str">
        <f t="array" aca="1" ref="B1152" ca="1">IFERROR(INDEX(Montageplatten[Spalte2],LARGE((Montageplatten[AG gesamt]=$A$195)*(ROW(Montageplatten[AG gesamt])-1),COUNTIF(Montageplatten[AG gesamt],$A$195)+1-ROW(A5))),"")</f>
        <v/>
      </c>
      <c r="C1152" s="168" t="str">
        <f t="array" aca="1" ref="C1152" ca="1">IFERROR(INDEX(Montageplatten[Spalte3],LARGE((Montageplatten[AG gesamt]=$A$195)*(ROW(Montageplatten[AG gesamt])-1),COUNTIF(Montageplatten[AG gesamt],$A$195)+1-ROW(A5))),"")</f>
        <v/>
      </c>
      <c r="D1152" s="168" t="str">
        <f t="array" aca="1" ref="D1152" ca="1">IFERROR(INDEX(Montageplatten[Bezeichnung 1],LARGE((Montageplatten[AG gesamt]=$A$195)*(ROW(Montageplatten[AG gesamt])-1),COUNTIF(Montageplatten[AG gesamt],$A$195)+1-ROW(A5))),"")</f>
        <v/>
      </c>
      <c r="E1152" s="168" t="str">
        <f t="array" aca="1" ref="E1152" ca="1">IFERROR(INDEX(Montageplatten[Bezeichnung 2],LARGE((Montageplatten[AG gesamt]=$A$195)*(ROW(Montageplatten[AG gesamt])-1),COUNTIF(Montageplatten[AG gesamt],$A$195)+1-ROW(A5))),"")</f>
        <v/>
      </c>
      <c r="F1152" s="168" t="str">
        <f t="array" aca="1" ref="F1152" ca="1">IFERROR(INDEX(Montageplatten[Bezeichnung TGr],LARGE((Montageplatten[AG gesamt]=$A$195)*(ROW(Montageplatten[AG gesamt])-1),COUNTIF(Montageplatten[AG gesamt],$A$195)+1-ROW(A5))),"")</f>
        <v/>
      </c>
      <c r="G1152" s="171" t="str">
        <f t="array" aca="1" ref="G1152" ca="1">IFERROR(INDEX(Montageplatten[37/32],LARGE((Montageplatten[AG gesamt]=$A$195)*(ROW(Montageplatten[AG gesamt])-1),COUNTIF(Montageplatten[AG gesamt],$A$195)+1-ROW(A5))),"")</f>
        <v/>
      </c>
      <c r="H1152" s="171" t="str">
        <f t="array" aca="1" ref="H1152" ca="1">IFERROR(INDEX(Montageplatten[28/32],LARGE((Montageplatten[AG gesamt]=$A$195)*(ROW(Montageplatten[AG gesamt])-1),COUNTIF(Montageplatten[AG gesamt],$A$195)+1-ROW(A5))),"")</f>
        <v/>
      </c>
      <c r="I1152" s="171" t="str">
        <f t="array" aca="1" ref="I1152" ca="1">IFERROR(INDEX(Montageplatten[20/32],LARGE((Montageplatten[AG gesamt]=$A$195)*(ROW(Montageplatten[AG gesamt])-1),COUNTIF(Montageplatten[AG gesamt],$A$195)+1-ROW(A5))),"")</f>
        <v/>
      </c>
      <c r="J1152" s="171" t="str">
        <f t="array" aca="1" ref="J1152" ca="1">IFERROR(INDEX(Montageplatten[9,5/32],LARGE((Montageplatten[AG gesamt]=$A$195)*(ROW(Montageplatten[AG gesamt])-1),COUNTIF(Montageplatten[AG gesamt],$A$195)+1-ROW(A5))),"")</f>
        <v/>
      </c>
      <c r="K1152" s="171" t="str">
        <f t="array" aca="1" ref="K1152" ca="1">IFERROR(INDEX(Montageplatten[10/32],LARGE((Montageplatten[AG gesamt]=$A$195)*(ROW(Montageplatten[AG gesamt])-1),COUNTIF(Montageplatten[AG gesamt],$A$195)+1-ROW(A5))),"")</f>
        <v/>
      </c>
      <c r="L1152" s="171" t="str">
        <f t="array" aca="1" ref="L1152" ca="1">IFERROR(INDEX(Montageplatten[Höhe],LARGE((Montageplatten[AG gesamt]=$A$195)*(ROW(Montageplatten[AG gesamt])-1),COUNTIF(Montageplatten[AG gesamt],$A$195)+1-ROW(A5))),"")</f>
        <v/>
      </c>
      <c r="M1152" s="3">
        <v>5</v>
      </c>
      <c r="N1152" s="8"/>
      <c r="O1152" s="8"/>
      <c r="P1152" s="8"/>
      <c r="Q1152" s="8"/>
    </row>
    <row r="1153" spans="1:17" hidden="1" outlineLevel="1" x14ac:dyDescent="0.25">
      <c r="A1153" s="168" t="str">
        <f t="array" aca="1" ref="A1153" ca="1">IFERROR(INDEX(Montageplatten[Spalte1],LARGE((Montageplatten[AG gesamt]=$A$195)*(ROW(Montageplatten[AG gesamt])-1),COUNTIF(Montageplatten[AG gesamt],$A$195)+1-ROW(A6))),"")</f>
        <v/>
      </c>
      <c r="B1153" s="168" t="str">
        <f t="array" aca="1" ref="B1153" ca="1">IFERROR(INDEX(Montageplatten[Spalte2],LARGE((Montageplatten[AG gesamt]=$A$195)*(ROW(Montageplatten[AG gesamt])-1),COUNTIF(Montageplatten[AG gesamt],$A$195)+1-ROW(A6))),"")</f>
        <v/>
      </c>
      <c r="C1153" s="168" t="str">
        <f t="array" aca="1" ref="C1153" ca="1">IFERROR(INDEX(Montageplatten[Spalte3],LARGE((Montageplatten[AG gesamt]=$A$195)*(ROW(Montageplatten[AG gesamt])-1),COUNTIF(Montageplatten[AG gesamt],$A$195)+1-ROW(A6))),"")</f>
        <v/>
      </c>
      <c r="D1153" s="168" t="str">
        <f t="array" aca="1" ref="D1153" ca="1">IFERROR(INDEX(Montageplatten[Bezeichnung 1],LARGE((Montageplatten[AG gesamt]=$A$195)*(ROW(Montageplatten[AG gesamt])-1),COUNTIF(Montageplatten[AG gesamt],$A$195)+1-ROW(A6))),"")</f>
        <v/>
      </c>
      <c r="E1153" s="168" t="str">
        <f t="array" aca="1" ref="E1153" ca="1">IFERROR(INDEX(Montageplatten[Bezeichnung 2],LARGE((Montageplatten[AG gesamt]=$A$195)*(ROW(Montageplatten[AG gesamt])-1),COUNTIF(Montageplatten[AG gesamt],$A$195)+1-ROW(A6))),"")</f>
        <v/>
      </c>
      <c r="F1153" s="168" t="str">
        <f t="array" aca="1" ref="F1153" ca="1">IFERROR(INDEX(Montageplatten[Bezeichnung TGr],LARGE((Montageplatten[AG gesamt]=$A$195)*(ROW(Montageplatten[AG gesamt])-1),COUNTIF(Montageplatten[AG gesamt],$A$195)+1-ROW(A6))),"")</f>
        <v/>
      </c>
      <c r="G1153" s="171" t="str">
        <f t="array" aca="1" ref="G1153" ca="1">IFERROR(INDEX(Montageplatten[37/32],LARGE((Montageplatten[AG gesamt]=$A$195)*(ROW(Montageplatten[AG gesamt])-1),COUNTIF(Montageplatten[AG gesamt],$A$195)+1-ROW(A6))),"")</f>
        <v/>
      </c>
      <c r="H1153" s="171" t="str">
        <f t="array" aca="1" ref="H1153" ca="1">IFERROR(INDEX(Montageplatten[28/32],LARGE((Montageplatten[AG gesamt]=$A$195)*(ROW(Montageplatten[AG gesamt])-1),COUNTIF(Montageplatten[AG gesamt],$A$195)+1-ROW(A6))),"")</f>
        <v/>
      </c>
      <c r="I1153" s="171" t="str">
        <f t="array" aca="1" ref="I1153" ca="1">IFERROR(INDEX(Montageplatten[20/32],LARGE((Montageplatten[AG gesamt]=$A$195)*(ROW(Montageplatten[AG gesamt])-1),COUNTIF(Montageplatten[AG gesamt],$A$195)+1-ROW(A6))),"")</f>
        <v/>
      </c>
      <c r="J1153" s="171" t="str">
        <f t="array" aca="1" ref="J1153" ca="1">IFERROR(INDEX(Montageplatten[9,5/32],LARGE((Montageplatten[AG gesamt]=$A$195)*(ROW(Montageplatten[AG gesamt])-1),COUNTIF(Montageplatten[AG gesamt],$A$195)+1-ROW(A6))),"")</f>
        <v/>
      </c>
      <c r="K1153" s="171" t="str">
        <f t="array" aca="1" ref="K1153" ca="1">IFERROR(INDEX(Montageplatten[10/32],LARGE((Montageplatten[AG gesamt]=$A$195)*(ROW(Montageplatten[AG gesamt])-1),COUNTIF(Montageplatten[AG gesamt],$A$195)+1-ROW(A6))),"")</f>
        <v/>
      </c>
      <c r="L1153" s="171" t="str">
        <f t="array" aca="1" ref="L1153" ca="1">IFERROR(INDEX(Montageplatten[Höhe],LARGE((Montageplatten[AG gesamt]=$A$195)*(ROW(Montageplatten[AG gesamt])-1),COUNTIF(Montageplatten[AG gesamt],$A$195)+1-ROW(A6))),"")</f>
        <v/>
      </c>
      <c r="M1153" s="8">
        <v>6</v>
      </c>
      <c r="N1153" s="8"/>
      <c r="O1153" s="8"/>
      <c r="P1153" s="8"/>
      <c r="Q1153" s="8"/>
    </row>
    <row r="1154" spans="1:17" hidden="1" outlineLevel="1" x14ac:dyDescent="0.25">
      <c r="A1154" s="168" t="str">
        <f t="array" aca="1" ref="A1154" ca="1">IFERROR(INDEX(Montageplatten[Spalte1],LARGE((Montageplatten[AG gesamt]=$A$195)*(ROW(Montageplatten[AG gesamt])-1),COUNTIF(Montageplatten[AG gesamt],$A$195)+1-ROW(A7))),"")</f>
        <v/>
      </c>
      <c r="B1154" s="168" t="str">
        <f t="array" aca="1" ref="B1154" ca="1">IFERROR(INDEX(Montageplatten[Spalte2],LARGE((Montageplatten[AG gesamt]=$A$195)*(ROW(Montageplatten[AG gesamt])-1),COUNTIF(Montageplatten[AG gesamt],$A$195)+1-ROW(A7))),"")</f>
        <v/>
      </c>
      <c r="C1154" s="168" t="str">
        <f t="array" aca="1" ref="C1154" ca="1">IFERROR(INDEX(Montageplatten[Spalte3],LARGE((Montageplatten[AG gesamt]=$A$195)*(ROW(Montageplatten[AG gesamt])-1),COUNTIF(Montageplatten[AG gesamt],$A$195)+1-ROW(A7))),"")</f>
        <v/>
      </c>
      <c r="D1154" s="168" t="str">
        <f t="array" aca="1" ref="D1154" ca="1">IFERROR(INDEX(Montageplatten[Bezeichnung 1],LARGE((Montageplatten[AG gesamt]=$A$195)*(ROW(Montageplatten[AG gesamt])-1),COUNTIF(Montageplatten[AG gesamt],$A$195)+1-ROW(A7))),"")</f>
        <v/>
      </c>
      <c r="E1154" s="168" t="str">
        <f t="array" aca="1" ref="E1154" ca="1">IFERROR(INDEX(Montageplatten[Bezeichnung 2],LARGE((Montageplatten[AG gesamt]=$A$195)*(ROW(Montageplatten[AG gesamt])-1),COUNTIF(Montageplatten[AG gesamt],$A$195)+1-ROW(A7))),"")</f>
        <v/>
      </c>
      <c r="F1154" s="168" t="str">
        <f t="array" aca="1" ref="F1154" ca="1">IFERROR(INDEX(Montageplatten[Bezeichnung TGr],LARGE((Montageplatten[AG gesamt]=$A$195)*(ROW(Montageplatten[AG gesamt])-1),COUNTIF(Montageplatten[AG gesamt],$A$195)+1-ROW(A7))),"")</f>
        <v/>
      </c>
      <c r="G1154" s="171" t="str">
        <f t="array" aca="1" ref="G1154" ca="1">IFERROR(INDEX(Montageplatten[37/32],LARGE((Montageplatten[AG gesamt]=$A$195)*(ROW(Montageplatten[AG gesamt])-1),COUNTIF(Montageplatten[AG gesamt],$A$195)+1-ROW(A7))),"")</f>
        <v/>
      </c>
      <c r="H1154" s="171" t="str">
        <f t="array" aca="1" ref="H1154" ca="1">IFERROR(INDEX(Montageplatten[28/32],LARGE((Montageplatten[AG gesamt]=$A$195)*(ROW(Montageplatten[AG gesamt])-1),COUNTIF(Montageplatten[AG gesamt],$A$195)+1-ROW(A7))),"")</f>
        <v/>
      </c>
      <c r="I1154" s="171" t="str">
        <f t="array" aca="1" ref="I1154" ca="1">IFERROR(INDEX(Montageplatten[20/32],LARGE((Montageplatten[AG gesamt]=$A$195)*(ROW(Montageplatten[AG gesamt])-1),COUNTIF(Montageplatten[AG gesamt],$A$195)+1-ROW(A7))),"")</f>
        <v/>
      </c>
      <c r="J1154" s="171" t="str">
        <f t="array" aca="1" ref="J1154" ca="1">IFERROR(INDEX(Montageplatten[9,5/32],LARGE((Montageplatten[AG gesamt]=$A$195)*(ROW(Montageplatten[AG gesamt])-1),COUNTIF(Montageplatten[AG gesamt],$A$195)+1-ROW(A7))),"")</f>
        <v/>
      </c>
      <c r="K1154" s="171" t="str">
        <f t="array" aca="1" ref="K1154" ca="1">IFERROR(INDEX(Montageplatten[10/32],LARGE((Montageplatten[AG gesamt]=$A$195)*(ROW(Montageplatten[AG gesamt])-1),COUNTIF(Montageplatten[AG gesamt],$A$195)+1-ROW(A7))),"")</f>
        <v/>
      </c>
      <c r="L1154" s="171" t="str">
        <f t="array" aca="1" ref="L1154" ca="1">IFERROR(INDEX(Montageplatten[Höhe],LARGE((Montageplatten[AG gesamt]=$A$195)*(ROW(Montageplatten[AG gesamt])-1),COUNTIF(Montageplatten[AG gesamt],$A$195)+1-ROW(A7))),"")</f>
        <v/>
      </c>
      <c r="M1154" s="3">
        <v>7</v>
      </c>
      <c r="N1154" s="8"/>
      <c r="O1154" s="8"/>
      <c r="P1154" s="8"/>
      <c r="Q1154" s="8"/>
    </row>
    <row r="1155" spans="1:17" hidden="1" outlineLevel="1" x14ac:dyDescent="0.25">
      <c r="A1155" s="168" t="str">
        <f t="array" aca="1" ref="A1155" ca="1">IFERROR(INDEX(Montageplatten[Spalte1],LARGE((Montageplatten[AG gesamt]=$A$195)*(ROW(Montageplatten[AG gesamt])-1),COUNTIF(Montageplatten[AG gesamt],$A$195)+1-ROW(A8))),"")</f>
        <v/>
      </c>
      <c r="B1155" s="168" t="str">
        <f t="array" aca="1" ref="B1155" ca="1">IFERROR(INDEX(Montageplatten[Spalte2],LARGE((Montageplatten[AG gesamt]=$A$195)*(ROW(Montageplatten[AG gesamt])-1),COUNTIF(Montageplatten[AG gesamt],$A$195)+1-ROW(A8))),"")</f>
        <v/>
      </c>
      <c r="C1155" s="168" t="str">
        <f t="array" aca="1" ref="C1155" ca="1">IFERROR(INDEX(Montageplatten[Spalte3],LARGE((Montageplatten[AG gesamt]=$A$195)*(ROW(Montageplatten[AG gesamt])-1),COUNTIF(Montageplatten[AG gesamt],$A$195)+1-ROW(A8))),"")</f>
        <v/>
      </c>
      <c r="D1155" s="168" t="str">
        <f t="array" aca="1" ref="D1155" ca="1">IFERROR(INDEX(Montageplatten[Bezeichnung 1],LARGE((Montageplatten[AG gesamt]=$A$195)*(ROW(Montageplatten[AG gesamt])-1),COUNTIF(Montageplatten[AG gesamt],$A$195)+1-ROW(A8))),"")</f>
        <v/>
      </c>
      <c r="E1155" s="168" t="str">
        <f t="array" aca="1" ref="E1155" ca="1">IFERROR(INDEX(Montageplatten[Bezeichnung 2],LARGE((Montageplatten[AG gesamt]=$A$195)*(ROW(Montageplatten[AG gesamt])-1),COUNTIF(Montageplatten[AG gesamt],$A$195)+1-ROW(A8))),"")</f>
        <v/>
      </c>
      <c r="F1155" s="168" t="str">
        <f t="array" aca="1" ref="F1155" ca="1">IFERROR(INDEX(Montageplatten[Bezeichnung TGr],LARGE((Montageplatten[AG gesamt]=$A$195)*(ROW(Montageplatten[AG gesamt])-1),COUNTIF(Montageplatten[AG gesamt],$A$195)+1-ROW(A8))),"")</f>
        <v/>
      </c>
      <c r="G1155" s="171" t="str">
        <f t="array" aca="1" ref="G1155" ca="1">IFERROR(INDEX(Montageplatten[37/32],LARGE((Montageplatten[AG gesamt]=$A$195)*(ROW(Montageplatten[AG gesamt])-1),COUNTIF(Montageplatten[AG gesamt],$A$195)+1-ROW(A8))),"")</f>
        <v/>
      </c>
      <c r="H1155" s="171" t="str">
        <f t="array" aca="1" ref="H1155" ca="1">IFERROR(INDEX(Montageplatten[28/32],LARGE((Montageplatten[AG gesamt]=$A$195)*(ROW(Montageplatten[AG gesamt])-1),COUNTIF(Montageplatten[AG gesamt],$A$195)+1-ROW(A8))),"")</f>
        <v/>
      </c>
      <c r="I1155" s="171" t="str">
        <f t="array" aca="1" ref="I1155" ca="1">IFERROR(INDEX(Montageplatten[20/32],LARGE((Montageplatten[AG gesamt]=$A$195)*(ROW(Montageplatten[AG gesamt])-1),COUNTIF(Montageplatten[AG gesamt],$A$195)+1-ROW(A8))),"")</f>
        <v/>
      </c>
      <c r="J1155" s="171" t="str">
        <f t="array" aca="1" ref="J1155" ca="1">IFERROR(INDEX(Montageplatten[9,5/32],LARGE((Montageplatten[AG gesamt]=$A$195)*(ROW(Montageplatten[AG gesamt])-1),COUNTIF(Montageplatten[AG gesamt],$A$195)+1-ROW(A8))),"")</f>
        <v/>
      </c>
      <c r="K1155" s="171" t="str">
        <f t="array" aca="1" ref="K1155" ca="1">IFERROR(INDEX(Montageplatten[10/32],LARGE((Montageplatten[AG gesamt]=$A$195)*(ROW(Montageplatten[AG gesamt])-1),COUNTIF(Montageplatten[AG gesamt],$A$195)+1-ROW(A8))),"")</f>
        <v/>
      </c>
      <c r="L1155" s="171" t="str">
        <f t="array" aca="1" ref="L1155" ca="1">IFERROR(INDEX(Montageplatten[Höhe],LARGE((Montageplatten[AG gesamt]=$A$195)*(ROW(Montageplatten[AG gesamt])-1),COUNTIF(Montageplatten[AG gesamt],$A$195)+1-ROW(A8))),"")</f>
        <v/>
      </c>
      <c r="M1155" s="8">
        <v>8</v>
      </c>
      <c r="N1155" s="8"/>
      <c r="O1155" s="8"/>
      <c r="P1155" s="8"/>
      <c r="Q1155" s="8"/>
    </row>
    <row r="1156" spans="1:17" hidden="1" outlineLevel="1" x14ac:dyDescent="0.25">
      <c r="A1156" s="168" t="str">
        <f t="array" aca="1" ref="A1156" ca="1">IFERROR(INDEX(Montageplatten[Spalte1],LARGE((Montageplatten[AG gesamt]=$A$195)*(ROW(Montageplatten[AG gesamt])-1),COUNTIF(Montageplatten[AG gesamt],$A$195)+1-ROW(A9))),"")</f>
        <v/>
      </c>
      <c r="B1156" s="168" t="str">
        <f t="array" aca="1" ref="B1156" ca="1">IFERROR(INDEX(Montageplatten[Spalte2],LARGE((Montageplatten[AG gesamt]=$A$195)*(ROW(Montageplatten[AG gesamt])-1),COUNTIF(Montageplatten[AG gesamt],$A$195)+1-ROW(A9))),"")</f>
        <v/>
      </c>
      <c r="C1156" s="168" t="str">
        <f t="array" aca="1" ref="C1156" ca="1">IFERROR(INDEX(Montageplatten[Spalte3],LARGE((Montageplatten[AG gesamt]=$A$195)*(ROW(Montageplatten[AG gesamt])-1),COUNTIF(Montageplatten[AG gesamt],$A$195)+1-ROW(A9))),"")</f>
        <v/>
      </c>
      <c r="D1156" s="168" t="str">
        <f t="array" aca="1" ref="D1156" ca="1">IFERROR(INDEX(Montageplatten[Bezeichnung 1],LARGE((Montageplatten[AG gesamt]=$A$195)*(ROW(Montageplatten[AG gesamt])-1),COUNTIF(Montageplatten[AG gesamt],$A$195)+1-ROW(A9))),"")</f>
        <v/>
      </c>
      <c r="E1156" s="168" t="str">
        <f t="array" aca="1" ref="E1156" ca="1">IFERROR(INDEX(Montageplatten[Bezeichnung 2],LARGE((Montageplatten[AG gesamt]=$A$195)*(ROW(Montageplatten[AG gesamt])-1),COUNTIF(Montageplatten[AG gesamt],$A$195)+1-ROW(A9))),"")</f>
        <v/>
      </c>
      <c r="F1156" s="168" t="str">
        <f t="array" aca="1" ref="F1156" ca="1">IFERROR(INDEX(Montageplatten[Bezeichnung TGr],LARGE((Montageplatten[AG gesamt]=$A$195)*(ROW(Montageplatten[AG gesamt])-1),COUNTIF(Montageplatten[AG gesamt],$A$195)+1-ROW(A9))),"")</f>
        <v/>
      </c>
      <c r="G1156" s="171" t="str">
        <f t="array" aca="1" ref="G1156" ca="1">IFERROR(INDEX(Montageplatten[37/32],LARGE((Montageplatten[AG gesamt]=$A$195)*(ROW(Montageplatten[AG gesamt])-1),COUNTIF(Montageplatten[AG gesamt],$A$195)+1-ROW(A9))),"")</f>
        <v/>
      </c>
      <c r="H1156" s="171" t="str">
        <f t="array" aca="1" ref="H1156" ca="1">IFERROR(INDEX(Montageplatten[28/32],LARGE((Montageplatten[AG gesamt]=$A$195)*(ROW(Montageplatten[AG gesamt])-1),COUNTIF(Montageplatten[AG gesamt],$A$195)+1-ROW(A9))),"")</f>
        <v/>
      </c>
      <c r="I1156" s="171" t="str">
        <f t="array" aca="1" ref="I1156" ca="1">IFERROR(INDEX(Montageplatten[20/32],LARGE((Montageplatten[AG gesamt]=$A$195)*(ROW(Montageplatten[AG gesamt])-1),COUNTIF(Montageplatten[AG gesamt],$A$195)+1-ROW(A9))),"")</f>
        <v/>
      </c>
      <c r="J1156" s="171" t="str">
        <f t="array" aca="1" ref="J1156" ca="1">IFERROR(INDEX(Montageplatten[9,5/32],LARGE((Montageplatten[AG gesamt]=$A$195)*(ROW(Montageplatten[AG gesamt])-1),COUNTIF(Montageplatten[AG gesamt],$A$195)+1-ROW(A9))),"")</f>
        <v/>
      </c>
      <c r="K1156" s="171" t="str">
        <f t="array" aca="1" ref="K1156" ca="1">IFERROR(INDEX(Montageplatten[10/32],LARGE((Montageplatten[AG gesamt]=$A$195)*(ROW(Montageplatten[AG gesamt])-1),COUNTIF(Montageplatten[AG gesamt],$A$195)+1-ROW(A9))),"")</f>
        <v/>
      </c>
      <c r="L1156" s="171" t="str">
        <f t="array" aca="1" ref="L1156" ca="1">IFERROR(INDEX(Montageplatten[Höhe],LARGE((Montageplatten[AG gesamt]=$A$195)*(ROW(Montageplatten[AG gesamt])-1),COUNTIF(Montageplatten[AG gesamt],$A$195)+1-ROW(A9))),"")</f>
        <v/>
      </c>
      <c r="M1156" s="3">
        <v>9</v>
      </c>
      <c r="N1156" s="8"/>
      <c r="O1156" s="8"/>
      <c r="P1156" s="8"/>
      <c r="Q1156" s="8"/>
    </row>
    <row r="1157" spans="1:17" hidden="1" outlineLevel="1" x14ac:dyDescent="0.25">
      <c r="A1157" s="168" t="str">
        <f t="array" aca="1" ref="A1157" ca="1">IFERROR(INDEX(Montageplatten[Spalte1],LARGE((Montageplatten[AG gesamt]=$A$195)*(ROW(Montageplatten[AG gesamt])-1),COUNTIF(Montageplatten[AG gesamt],$A$195)+1-ROW(A10))),"")</f>
        <v/>
      </c>
      <c r="B1157" s="168" t="str">
        <f t="array" aca="1" ref="B1157" ca="1">IFERROR(INDEX(Montageplatten[Spalte2],LARGE((Montageplatten[AG gesamt]=$A$195)*(ROW(Montageplatten[AG gesamt])-1),COUNTIF(Montageplatten[AG gesamt],$A$195)+1-ROW(A10))),"")</f>
        <v/>
      </c>
      <c r="C1157" s="168" t="str">
        <f t="array" aca="1" ref="C1157" ca="1">IFERROR(INDEX(Montageplatten[Spalte3],LARGE((Montageplatten[AG gesamt]=$A$195)*(ROW(Montageplatten[AG gesamt])-1),COUNTIF(Montageplatten[AG gesamt],$A$195)+1-ROW(A10))),"")</f>
        <v/>
      </c>
      <c r="D1157" s="168" t="str">
        <f t="array" aca="1" ref="D1157" ca="1">IFERROR(INDEX(Montageplatten[Bezeichnung 1],LARGE((Montageplatten[AG gesamt]=$A$195)*(ROW(Montageplatten[AG gesamt])-1),COUNTIF(Montageplatten[AG gesamt],$A$195)+1-ROW(A10))),"")</f>
        <v/>
      </c>
      <c r="E1157" s="168" t="str">
        <f t="array" aca="1" ref="E1157" ca="1">IFERROR(INDEX(Montageplatten[Bezeichnung 2],LARGE((Montageplatten[AG gesamt]=$A$195)*(ROW(Montageplatten[AG gesamt])-1),COUNTIF(Montageplatten[AG gesamt],$A$195)+1-ROW(A10))),"")</f>
        <v/>
      </c>
      <c r="F1157" s="168" t="str">
        <f t="array" aca="1" ref="F1157" ca="1">IFERROR(INDEX(Montageplatten[Bezeichnung TGr],LARGE((Montageplatten[AG gesamt]=$A$195)*(ROW(Montageplatten[AG gesamt])-1),COUNTIF(Montageplatten[AG gesamt],$A$195)+1-ROW(A10))),"")</f>
        <v/>
      </c>
      <c r="G1157" s="171" t="str">
        <f t="array" aca="1" ref="G1157" ca="1">IFERROR(INDEX(Montageplatten[37/32],LARGE((Montageplatten[AG gesamt]=$A$195)*(ROW(Montageplatten[AG gesamt])-1),COUNTIF(Montageplatten[AG gesamt],$A$195)+1-ROW(A10))),"")</f>
        <v/>
      </c>
      <c r="H1157" s="171" t="str">
        <f t="array" aca="1" ref="H1157" ca="1">IFERROR(INDEX(Montageplatten[28/32],LARGE((Montageplatten[AG gesamt]=$A$195)*(ROW(Montageplatten[AG gesamt])-1),COUNTIF(Montageplatten[AG gesamt],$A$195)+1-ROW(A10))),"")</f>
        <v/>
      </c>
      <c r="I1157" s="171" t="str">
        <f t="array" aca="1" ref="I1157" ca="1">IFERROR(INDEX(Montageplatten[20/32],LARGE((Montageplatten[AG gesamt]=$A$195)*(ROW(Montageplatten[AG gesamt])-1),COUNTIF(Montageplatten[AG gesamt],$A$195)+1-ROW(A10))),"")</f>
        <v/>
      </c>
      <c r="J1157" s="171" t="str">
        <f t="array" aca="1" ref="J1157" ca="1">IFERROR(INDEX(Montageplatten[9,5/32],LARGE((Montageplatten[AG gesamt]=$A$195)*(ROW(Montageplatten[AG gesamt])-1),COUNTIF(Montageplatten[AG gesamt],$A$195)+1-ROW(A10))),"")</f>
        <v/>
      </c>
      <c r="K1157" s="171" t="str">
        <f t="array" aca="1" ref="K1157" ca="1">IFERROR(INDEX(Montageplatten[10/32],LARGE((Montageplatten[AG gesamt]=$A$195)*(ROW(Montageplatten[AG gesamt])-1),COUNTIF(Montageplatten[AG gesamt],$A$195)+1-ROW(A10))),"")</f>
        <v/>
      </c>
      <c r="L1157" s="171" t="str">
        <f t="array" aca="1" ref="L1157" ca="1">IFERROR(INDEX(Montageplatten[Höhe],LARGE((Montageplatten[AG gesamt]=$A$195)*(ROW(Montageplatten[AG gesamt])-1),COUNTIF(Montageplatten[AG gesamt],$A$195)+1-ROW(A10))),"")</f>
        <v/>
      </c>
      <c r="M1157" s="8">
        <v>10</v>
      </c>
      <c r="N1157" s="8"/>
      <c r="O1157" s="8"/>
      <c r="P1157" s="8"/>
      <c r="Q1157" s="8"/>
    </row>
    <row r="1158" spans="1:17" hidden="1" outlineLevel="1" x14ac:dyDescent="0.25">
      <c r="A1158" s="168" t="str">
        <f t="array" aca="1" ref="A1158" ca="1">IFERROR(INDEX(Montageplatten[Spalte1],LARGE((Montageplatten[AG gesamt]=$A$195)*(ROW(Montageplatten[AG gesamt])-1),COUNTIF(Montageplatten[AG gesamt],$A$195)+1-ROW(A11))),"")</f>
        <v/>
      </c>
      <c r="B1158" s="168" t="str">
        <f t="array" aca="1" ref="B1158" ca="1">IFERROR(INDEX(Montageplatten[Spalte2],LARGE((Montageplatten[AG gesamt]=$A$195)*(ROW(Montageplatten[AG gesamt])-1),COUNTIF(Montageplatten[AG gesamt],$A$195)+1-ROW(A11))),"")</f>
        <v/>
      </c>
      <c r="C1158" s="168" t="str">
        <f t="array" aca="1" ref="C1158" ca="1">IFERROR(INDEX(Montageplatten[Spalte3],LARGE((Montageplatten[AG gesamt]=$A$195)*(ROW(Montageplatten[AG gesamt])-1),COUNTIF(Montageplatten[AG gesamt],$A$195)+1-ROW(A11))),"")</f>
        <v/>
      </c>
      <c r="D1158" s="168" t="str">
        <f t="array" aca="1" ref="D1158" ca="1">IFERROR(INDEX(Montageplatten[Bezeichnung 1],LARGE((Montageplatten[AG gesamt]=$A$195)*(ROW(Montageplatten[AG gesamt])-1),COUNTIF(Montageplatten[AG gesamt],$A$195)+1-ROW(A11))),"")</f>
        <v/>
      </c>
      <c r="E1158" s="168" t="str">
        <f t="array" aca="1" ref="E1158" ca="1">IFERROR(INDEX(Montageplatten[Bezeichnung 2],LARGE((Montageplatten[AG gesamt]=$A$195)*(ROW(Montageplatten[AG gesamt])-1),COUNTIF(Montageplatten[AG gesamt],$A$195)+1-ROW(A11))),"")</f>
        <v/>
      </c>
      <c r="F1158" s="168" t="str">
        <f t="array" aca="1" ref="F1158" ca="1">IFERROR(INDEX(Montageplatten[Bezeichnung TGr],LARGE((Montageplatten[AG gesamt]=$A$195)*(ROW(Montageplatten[AG gesamt])-1),COUNTIF(Montageplatten[AG gesamt],$A$195)+1-ROW(A11))),"")</f>
        <v/>
      </c>
      <c r="G1158" s="171" t="str">
        <f t="array" aca="1" ref="G1158" ca="1">IFERROR(INDEX(Montageplatten[37/32],LARGE((Montageplatten[AG gesamt]=$A$195)*(ROW(Montageplatten[AG gesamt])-1),COUNTIF(Montageplatten[AG gesamt],$A$195)+1-ROW(A11))),"")</f>
        <v/>
      </c>
      <c r="H1158" s="171" t="str">
        <f t="array" aca="1" ref="H1158" ca="1">IFERROR(INDEX(Montageplatten[28/32],LARGE((Montageplatten[AG gesamt]=$A$195)*(ROW(Montageplatten[AG gesamt])-1),COUNTIF(Montageplatten[AG gesamt],$A$195)+1-ROW(A11))),"")</f>
        <v/>
      </c>
      <c r="I1158" s="171" t="str">
        <f t="array" aca="1" ref="I1158" ca="1">IFERROR(INDEX(Montageplatten[20/32],LARGE((Montageplatten[AG gesamt]=$A$195)*(ROW(Montageplatten[AG gesamt])-1),COUNTIF(Montageplatten[AG gesamt],$A$195)+1-ROW(A11))),"")</f>
        <v/>
      </c>
      <c r="J1158" s="171" t="str">
        <f t="array" aca="1" ref="J1158" ca="1">IFERROR(INDEX(Montageplatten[9,5/32],LARGE((Montageplatten[AG gesamt]=$A$195)*(ROW(Montageplatten[AG gesamt])-1),COUNTIF(Montageplatten[AG gesamt],$A$195)+1-ROW(A11))),"")</f>
        <v/>
      </c>
      <c r="K1158" s="171" t="str">
        <f t="array" aca="1" ref="K1158" ca="1">IFERROR(INDEX(Montageplatten[10/32],LARGE((Montageplatten[AG gesamt]=$A$195)*(ROW(Montageplatten[AG gesamt])-1),COUNTIF(Montageplatten[AG gesamt],$A$195)+1-ROW(A11))),"")</f>
        <v/>
      </c>
      <c r="L1158" s="171" t="str">
        <f t="array" aca="1" ref="L1158" ca="1">IFERROR(INDEX(Montageplatten[Höhe],LARGE((Montageplatten[AG gesamt]=$A$195)*(ROW(Montageplatten[AG gesamt])-1),COUNTIF(Montageplatten[AG gesamt],$A$195)+1-ROW(A11))),"")</f>
        <v/>
      </c>
      <c r="M1158" s="3">
        <v>11</v>
      </c>
    </row>
    <row r="1159" spans="1:17" hidden="1" outlineLevel="1" x14ac:dyDescent="0.25"/>
    <row r="1160" spans="1:17" hidden="1" outlineLevel="1" x14ac:dyDescent="0.25">
      <c r="A1160" t="s">
        <v>20</v>
      </c>
    </row>
    <row r="1161" spans="1:17" ht="15.75" hidden="1" outlineLevel="1" thickBot="1" x14ac:dyDescent="0.3">
      <c r="A1161" t="s">
        <v>40</v>
      </c>
      <c r="J1161">
        <f ca="1">VLOOKUP(J1162,J1163:O1167,6,FALSE)</f>
        <v>1</v>
      </c>
      <c r="K1161" s="131" t="str">
        <f ca="1">IF(N1161=0,Sprache!$A$56&amp;" "&amp;Sprache!$A$147,IF(J1161=0,Sprache!$A$51,""))</f>
        <v/>
      </c>
      <c r="M1161" t="s">
        <v>1853</v>
      </c>
      <c r="N1161">
        <f ca="1">SUM(O1163:O1167)</f>
        <v>1</v>
      </c>
    </row>
    <row r="1162" spans="1:17" ht="15.75" hidden="1" outlineLevel="1" thickBot="1" x14ac:dyDescent="0.3">
      <c r="A1162" s="18" t="str">
        <f t="array" aca="1" ref="A1162" ca="1">IFERROR(INDEX(select!$D$1148:$D$1158,LARGE(($G$1148:$G$1158=select!$L$178)*(ROW($G$1148:$G$1158)-$B$1147),COUNTIF($G$1148:$G$1158,1)+1-ROW(A1))),Sprache!$A$56&amp;" "&amp;Sprache!$A$146)</f>
        <v>1D Kreuz Mtg-Platte</v>
      </c>
      <c r="B1162" s="18" t="str">
        <f t="array" aca="1" ref="B1162" ca="1">IFERROR(INDEX($F$1148:$F$1158,LARGE(($G$1148:$G$1158=select!$L$178)*(ROW($G$1148:$G$1158)-$B$1147),COUNTIF($G$1148:$G$1158,1)+1-ROW(A1))),Sprache!$A$38)</f>
        <v>Tiomos Montageplatten</v>
      </c>
      <c r="C1162" s="18" t="str">
        <f t="array" aca="1" ref="C1162" ca="1">IFERROR(INDEX(select!$E$1148:$E$1158,LARGE(($G$1148:$G$1158=1)*(ROW($G$1148:$G$1158)-$B$1147),COUNTIF($G$1148:$G$1158,1)+1-ROW(A1))),"")</f>
        <v>H 06, ni /37</v>
      </c>
      <c r="D1162" s="18">
        <f t="array" aca="1" ref="D1162" ca="1">IFERROR(INDEX(select!$L$1148:$L$1158,LARGE(($G$1148:$G$1158=select!$L$178)*(ROW($G$1148:$G$1158)-$B$1147),COUNTIF($G$1148:$G$1158,1)+1-ROW(A1))),"")</f>
        <v>6</v>
      </c>
      <c r="E1162" s="18" t="str">
        <f t="array" aca="1" ref="E1162" ca="1">IFERROR(INDEX(select!$A$1148:$A$1158,LARGE(($G$1148:$G$1158=select!$L$178)*(ROW($G$1148:$G$1158)-$B$1147),COUNTIF($G$1148:$G$1158,1)+1-ROW(A1))),"")</f>
        <v>F058</v>
      </c>
      <c r="F1162" s="18" t="str">
        <f t="array" aca="1" ref="F1162" ca="1">IFERROR(INDEX(select!$B$1148:$B$1158,LARGE(($G$1148:$G$1158=select!$L$178)*(ROW($G$1148:$G$1158)-$B$1147),COUNTIF($G$1148:$G$1158,1)+1-ROW(A1))),"")</f>
        <v>139</v>
      </c>
      <c r="G1162" s="18" t="str">
        <f t="array" aca="1" ref="G1162" ca="1">IFERROR(INDEX(select!$C$1148:$C$1158,LARGE(($G$1148:$G$1158=select!$L$178)*(ROW($G$1148:$G$1158)-$B$1147),COUNTIF($G$1148:$G$1158,1)+1-ROW(A1))),"")</f>
        <v>892</v>
      </c>
      <c r="H1162" s="3"/>
      <c r="J1162" s="288">
        <v>1</v>
      </c>
      <c r="K1162" t="s">
        <v>894</v>
      </c>
      <c r="M1162" s="206">
        <f>VLOOKUP(J1162,J1163:M1167,4,FALSE)</f>
        <v>0</v>
      </c>
      <c r="O1162" t="str">
        <f>VLOOKUP(J1162,J1163:L1167,3,FALSE)</f>
        <v>37/32</v>
      </c>
    </row>
    <row r="1163" spans="1:17" hidden="1" outlineLevel="1" x14ac:dyDescent="0.25">
      <c r="A1163" s="18" t="str">
        <f t="array" aca="1" ref="A1163" ca="1">IFERROR(INDEX(select!$D$1148:$D$1158,LARGE(($G$1148:$G$1158=select!$L$178)*(ROW($G$1148:$G$1158)-$B$1147),COUNTIF($G$1148:$G$1158,1)+1-ROW(A2))),"")</f>
        <v/>
      </c>
      <c r="B1163" s="18" t="str">
        <f t="array" aca="1" ref="B1163" ca="1">IFERROR(INDEX($F$1148:$F$1158,LARGE(($G$1148:$G$1158=select!$L$178)*(ROW($G$1148:$G$1158)-$B$1147),COUNTIF($G$1148:$G$1158,1)+1-ROW(A2))),"")</f>
        <v/>
      </c>
      <c r="C1163" s="18" t="str">
        <f t="array" aca="1" ref="C1163" ca="1">IFERROR(INDEX(select!$E$1148:$E$1158,LARGE(($G$1148:$G$1158=1)*(ROW($G$1148:$G$1158)-$B$1147),COUNTIF($G$1148:$G$1158,1)+1-ROW(A2))),"")</f>
        <v/>
      </c>
      <c r="D1163" s="18" t="str">
        <f t="array" aca="1" ref="D1163" ca="1">IFERROR(INDEX(select!$L$1148:$L$1158,LARGE(($G$1148:$G$1158=select!$L$178)*(ROW($G$1148:$G$1158)-$B$1147),COUNTIF($G$1148:$G$1158,1)+1-ROW(A2))),"")</f>
        <v/>
      </c>
      <c r="E1163" s="18" t="str">
        <f t="array" aca="1" ref="E1163" ca="1">IFERROR(INDEX(select!$A$1148:$A$1158,LARGE(($G$1148:$G$1158=select!$L$178)*(ROW($G$1148:$G$1158)-$B$1147),COUNTIF($G$1148:$G$1158,1)+1-ROW(A2))),"")</f>
        <v/>
      </c>
      <c r="F1163" s="18" t="str">
        <f t="array" aca="1" ref="F1163" ca="1">IFERROR(INDEX(select!$B$1148:$B$1158,LARGE(($G$1148:$G$1158=select!$L$178)*(ROW($G$1148:$G$1158)-$B$1147),COUNTIF($G$1148:$G$1158,1)+1-ROW(A2))),"")</f>
        <v/>
      </c>
      <c r="G1163" s="18" t="str">
        <f t="array" aca="1" ref="G1163" ca="1">IFERROR(INDEX(select!$C$1148:$C$1158,LARGE(($G$1148:$G$1158=select!$L$178)*(ROW($G$1148:$G$1158)-$B$1147),COUNTIF($G$1148:$G$1158,1)+1-ROW(A2))),"")</f>
        <v/>
      </c>
      <c r="J1163">
        <v>1</v>
      </c>
      <c r="K1163" s="296" t="str">
        <f ca="1">IF(O1163&lt;&gt;0,$B$6&amp;" "&amp;L1163,$B$5&amp;" "&amp;L1163)</f>
        <v>✓ 37/32</v>
      </c>
      <c r="L1163" t="s">
        <v>40</v>
      </c>
      <c r="M1163">
        <v>0</v>
      </c>
      <c r="N1163">
        <f ca="1">SUM(G1148:G1158)</f>
        <v>1</v>
      </c>
      <c r="O1163">
        <f ca="1">AD1050</f>
        <v>1</v>
      </c>
    </row>
    <row r="1164" spans="1:17" hidden="1" outlineLevel="1" x14ac:dyDescent="0.25">
      <c r="A1164" s="18" t="str">
        <f t="array" aca="1" ref="A1164" ca="1">IFERROR(INDEX(select!$D$1148:$D$1158,LARGE(($G$1148:$G$1158=select!$L$178)*(ROW($G$1148:$G$1158)-$B$1147),COUNTIF($G$1148:$G$1158,1)+1-ROW(A3))),"")</f>
        <v/>
      </c>
      <c r="B1164" s="18" t="str">
        <f t="array" aca="1" ref="B1164" ca="1">IFERROR(INDEX($F$1148:$F$1158,LARGE(($G$1148:$G$1158=select!$L$178)*(ROW($G$1148:$G$1158)-$B$1147),COUNTIF($G$1148:$G$1158,1)+1-ROW(A3))),"")</f>
        <v/>
      </c>
      <c r="C1164" s="18" t="str">
        <f t="array" aca="1" ref="C1164" ca="1">IFERROR(INDEX(select!$E$1148:$E$1158,LARGE(($G$1148:$G$1158=1)*(ROW($G$1148:$G$1158)-$B$1147),COUNTIF($G$1148:$G$1158,1)+1-ROW(A3))),"")</f>
        <v/>
      </c>
      <c r="D1164" s="18" t="str">
        <f t="array" aca="1" ref="D1164" ca="1">IFERROR(INDEX(select!$L$1148:$L$1158,LARGE(($G$1148:$G$1158=select!$L$178)*(ROW($G$1148:$G$1158)-$B$1147),COUNTIF($G$1148:$G$1158,1)+1-ROW(A3))),"")</f>
        <v/>
      </c>
      <c r="E1164" s="18" t="str">
        <f t="array" aca="1" ref="E1164" ca="1">IFERROR(INDEX(select!$A$1148:$A$1158,LARGE(($G$1148:$G$1158=select!$L$178)*(ROW($G$1148:$G$1158)-$B$1147),COUNTIF($G$1148:$G$1158,1)+1-ROW(A3))),"")</f>
        <v/>
      </c>
      <c r="F1164" s="18" t="str">
        <f t="array" aca="1" ref="F1164" ca="1">IFERROR(INDEX(select!$B$1148:$B$1158,LARGE(($G$1148:$G$1158=select!$L$178)*(ROW($G$1148:$G$1158)-$B$1147),COUNTIF($G$1148:$G$1158,1)+1-ROW(A3))),"")</f>
        <v/>
      </c>
      <c r="G1164" s="18" t="str">
        <f t="array" aca="1" ref="G1164" ca="1">IFERROR(INDEX(select!$C$1148:$C$1158,LARGE(($G$1148:$G$1158=select!$L$178)*(ROW($G$1148:$G$1158)-$B$1147),COUNTIF($G$1148:$G$1158,1)+1-ROW(A3))),"")</f>
        <v/>
      </c>
      <c r="J1164">
        <v>2</v>
      </c>
      <c r="K1164" s="296" t="str">
        <f t="shared" ref="K1164:K1167" ca="1" si="274">IF(O1164&lt;&gt;0,$B$6&amp;" "&amp;L1164,$B$5&amp;" "&amp;L1164)</f>
        <v xml:space="preserve">     28/32</v>
      </c>
      <c r="L1164" t="s">
        <v>41</v>
      </c>
      <c r="M1164">
        <v>9</v>
      </c>
      <c r="N1164">
        <f ca="1">SUM(H1148:H1158)</f>
        <v>0</v>
      </c>
      <c r="O1164">
        <f ca="1">AD1052</f>
        <v>0</v>
      </c>
    </row>
    <row r="1165" spans="1:17" hidden="1" outlineLevel="1" x14ac:dyDescent="0.25">
      <c r="A1165" s="18" t="str">
        <f t="array" aca="1" ref="A1165" ca="1">IFERROR(INDEX(select!$D$1148:$D$1158,LARGE(($G$1148:$G$1158=select!$L$178)*(ROW($G$1148:$G$1158)-$B$1147),COUNTIF($G$1148:$G$1158,1)+1-ROW(A4))),"")</f>
        <v/>
      </c>
      <c r="B1165" s="18" t="str">
        <f t="array" aca="1" ref="B1165" ca="1">IFERROR(INDEX($F$1148:$F$1158,LARGE(($G$1148:$G$1158=select!$L$178)*(ROW($G$1148:$G$1158)-$B$1147),COUNTIF($G$1148:$G$1158,1)+1-ROW(A4))),"")</f>
        <v/>
      </c>
      <c r="C1165" s="18" t="str">
        <f t="array" aca="1" ref="C1165" ca="1">IFERROR(INDEX(select!$E$1148:$E$1158,LARGE(($G$1148:$G$1158=1)*(ROW($G$1148:$G$1158)-$B$1147),COUNTIF($G$1148:$G$1158,1)+1-ROW(A4))),"")</f>
        <v/>
      </c>
      <c r="D1165" s="18" t="str">
        <f t="array" aca="1" ref="D1165" ca="1">IFERROR(INDEX(select!$L$1148:$L$1158,LARGE(($G$1148:$G$1158=select!$L$178)*(ROW($G$1148:$G$1158)-$B$1147),COUNTIF($G$1148:$G$1158,1)+1-ROW(A4))),"")</f>
        <v/>
      </c>
      <c r="E1165" s="18" t="str">
        <f t="array" aca="1" ref="E1165" ca="1">IFERROR(INDEX(select!$A$1148:$A$1158,LARGE(($G$1148:$G$1158=select!$L$178)*(ROW($G$1148:$G$1158)-$B$1147),COUNTIF($G$1148:$G$1158,1)+1-ROW(A4))),"")</f>
        <v/>
      </c>
      <c r="F1165" s="18" t="str">
        <f t="array" aca="1" ref="F1165" ca="1">IFERROR(INDEX(select!$B$1148:$B$1158,LARGE(($G$1148:$G$1158=select!$L$178)*(ROW($G$1148:$G$1158)-$B$1147),COUNTIF($G$1148:$G$1158,1)+1-ROW(A4))),"")</f>
        <v/>
      </c>
      <c r="G1165" s="18" t="str">
        <f t="array" aca="1" ref="G1165" ca="1">IFERROR(INDEX(select!$C$1148:$C$1158,LARGE(($G$1148:$G$1158=select!$L$178)*(ROW($G$1148:$G$1158)-$B$1147),COUNTIF($G$1148:$G$1158,1)+1-ROW(A4))),"")</f>
        <v/>
      </c>
      <c r="J1165">
        <v>3</v>
      </c>
      <c r="K1165" s="296" t="str">
        <f t="shared" ca="1" si="274"/>
        <v xml:space="preserve">     20/32</v>
      </c>
      <c r="L1165" t="s">
        <v>1358</v>
      </c>
      <c r="M1165">
        <v>0</v>
      </c>
      <c r="N1165">
        <f ca="1">SUM(I1148:I1158)</f>
        <v>0</v>
      </c>
      <c r="O1165">
        <f ca="1">AD1054</f>
        <v>0</v>
      </c>
    </row>
    <row r="1166" spans="1:17" hidden="1" outlineLevel="1" x14ac:dyDescent="0.25">
      <c r="A1166" s="18" t="str">
        <f t="array" aca="1" ref="A1166" ca="1">IFERROR(INDEX(select!$D$1148:$D$1158,LARGE(($G$1148:$G$1158=select!$L$178)*(ROW($G$1148:$G$1158)-$B$1147),COUNTIF($G$1148:$G$1158,1)+1-ROW(A5))),"")</f>
        <v/>
      </c>
      <c r="B1166" s="18" t="str">
        <f t="array" aca="1" ref="B1166" ca="1">IFERROR(INDEX($F$1148:$F$1158,LARGE(($G$1148:$G$1158=select!$L$178)*(ROW($G$1148:$G$1158)-$B$1147),COUNTIF($G$1148:$G$1158,1)+1-ROW(A5))),"")</f>
        <v/>
      </c>
      <c r="C1166" s="18" t="str">
        <f t="array" aca="1" ref="C1166" ca="1">IFERROR(INDEX(select!$E$1148:$E$1158,LARGE(($G$1148:$G$1158=1)*(ROW($G$1148:$G$1158)-$B$1147),COUNTIF($G$1148:$G$1158,1)+1-ROW(A5))),"")</f>
        <v/>
      </c>
      <c r="D1166" s="18" t="str">
        <f t="array" aca="1" ref="D1166" ca="1">IFERROR(INDEX(select!$L$1148:$L$1158,LARGE(($G$1148:$G$1158=select!$L$178)*(ROW($G$1148:$G$1158)-$B$1147),COUNTIF($G$1148:$G$1158,1)+1-ROW(A5))),"")</f>
        <v/>
      </c>
      <c r="E1166" s="18" t="str">
        <f t="array" aca="1" ref="E1166" ca="1">IFERROR(INDEX(select!$A$1148:$A$1158,LARGE(($G$1148:$G$1158=select!$L$178)*(ROW($G$1148:$G$1158)-$B$1147),COUNTIF($G$1148:$G$1158,1)+1-ROW(A5))),"")</f>
        <v/>
      </c>
      <c r="F1166" s="18" t="str">
        <f t="array" aca="1" ref="F1166" ca="1">IFERROR(INDEX(select!$B$1148:$B$1158,LARGE(($G$1148:$G$1158=select!$L$178)*(ROW($G$1148:$G$1158)-$B$1147),COUNTIF($G$1148:$G$1158,1)+1-ROW(A5))),"")</f>
        <v/>
      </c>
      <c r="G1166" s="18" t="str">
        <f t="array" aca="1" ref="G1166" ca="1">IFERROR(INDEX(select!$C$1148:$C$1158,LARGE(($G$1148:$G$1158=select!$L$178)*(ROW($G$1148:$G$1158)-$B$1147),COUNTIF($G$1148:$G$1158,1)+1-ROW(A5))),"")</f>
        <v/>
      </c>
      <c r="J1166">
        <v>4</v>
      </c>
      <c r="K1166" s="296" t="str">
        <f t="shared" ca="1" si="274"/>
        <v xml:space="preserve">     9,5/32</v>
      </c>
      <c r="L1166" t="s">
        <v>1361</v>
      </c>
      <c r="M1166">
        <v>0</v>
      </c>
      <c r="N1166">
        <f ca="1">SUM(J1148:J1158)</f>
        <v>0</v>
      </c>
      <c r="O1166">
        <f ca="1">AD1056</f>
        <v>0</v>
      </c>
    </row>
    <row r="1167" spans="1:17" hidden="1" outlineLevel="1" x14ac:dyDescent="0.25">
      <c r="A1167" s="18" t="str">
        <f t="array" aca="1" ref="A1167" ca="1">IFERROR(INDEX(select!$D$1148:$D$1158,LARGE(($G$1148:$G$1158=select!$L$178)*(ROW($G$1148:$G$1158)-$B$1147),COUNTIF($G$1148:$G$1158,1)+1-ROW(A6))),"")</f>
        <v/>
      </c>
      <c r="B1167" s="18" t="str">
        <f t="array" aca="1" ref="B1167" ca="1">IFERROR(INDEX($F$1148:$F$1158,LARGE(($G$1148:$G$1158=select!$L$178)*(ROW($G$1148:$G$1158)-$B$1147),COUNTIF($G$1148:$G$1158,1)+1-ROW(A6))),"")</f>
        <v/>
      </c>
      <c r="C1167" s="18" t="str">
        <f t="array" aca="1" ref="C1167" ca="1">IFERROR(INDEX(select!$E$1148:$E$1158,LARGE(($G$1148:$G$1158=1)*(ROW($G$1148:$G$1158)-$B$1147),COUNTIF($G$1148:$G$1158,1)+1-ROW(A6))),"")</f>
        <v/>
      </c>
      <c r="D1167" s="18" t="str">
        <f t="array" aca="1" ref="D1167" ca="1">IFERROR(INDEX(select!$L$1148:$L$1158,LARGE(($G$1148:$G$1158=select!$L$178)*(ROW($G$1148:$G$1158)-$B$1147),COUNTIF($G$1148:$G$1158,1)+1-ROW(A6))),"")</f>
        <v/>
      </c>
      <c r="E1167" s="18" t="str">
        <f t="array" aca="1" ref="E1167" ca="1">IFERROR(INDEX(select!$A$1148:$A$1158,LARGE(($G$1148:$G$1158=select!$L$178)*(ROW($G$1148:$G$1158)-$B$1147),COUNTIF($G$1148:$G$1158,1)+1-ROW(A6))),"")</f>
        <v/>
      </c>
      <c r="F1167" s="18" t="str">
        <f t="array" aca="1" ref="F1167" ca="1">IFERROR(INDEX(select!$B$1148:$B$1158,LARGE(($G$1148:$G$1158=select!$L$178)*(ROW($G$1148:$G$1158)-$B$1147),COUNTIF($G$1148:$G$1158,1)+1-ROW(A6))),"")</f>
        <v/>
      </c>
      <c r="G1167" s="18" t="str">
        <f t="array" aca="1" ref="G1167" ca="1">IFERROR(INDEX(select!$C$1148:$C$1158,LARGE(($G$1148:$G$1158=select!$L$178)*(ROW($G$1148:$G$1158)-$B$1147),COUNTIF($G$1148:$G$1158,1)+1-ROW(A6))),"")</f>
        <v/>
      </c>
      <c r="J1167">
        <v>5</v>
      </c>
      <c r="K1167" s="296" t="str">
        <f t="shared" ca="1" si="274"/>
        <v xml:space="preserve">     10/32</v>
      </c>
      <c r="L1167" s="86" t="s">
        <v>1370</v>
      </c>
      <c r="M1167">
        <v>0</v>
      </c>
      <c r="N1167">
        <f ca="1">SUM(K1148:K1158)</f>
        <v>0</v>
      </c>
      <c r="O1167">
        <f ca="1">AD1058</f>
        <v>0</v>
      </c>
    </row>
    <row r="1168" spans="1:17" hidden="1" outlineLevel="1" x14ac:dyDescent="0.25"/>
    <row r="1169" spans="1:18" hidden="1" outlineLevel="1" x14ac:dyDescent="0.25">
      <c r="A1169" t="str">
        <f>H1147</f>
        <v>28/32</v>
      </c>
    </row>
    <row r="1170" spans="1:18" hidden="1" outlineLevel="1" x14ac:dyDescent="0.25">
      <c r="A1170" s="18" t="str">
        <f t="array" aca="1" ref="A1170" ca="1">IFERROR(INDEX(select!$D$1148:$D$1158,LARGE(($H$1148:$H$1158=select!$L$178)*(ROW($H$1148:$H$1158)-$B$1147),COUNTIF($H$1148:$H$1158,1)+1-ROW(A1))),Sprache!$A$56&amp;" "&amp;Sprache!$A$146)</f>
        <v>keine Lösungen</v>
      </c>
      <c r="B1170" s="18" t="str">
        <f t="array" aca="1" ref="B1170" ca="1">IFERROR(INDEX($F$1148:$F$1158,LARGE(($H$1148:$H$1158=select!$L$178)*(ROW($H$1148:$H$1158)-$B$1147),COUNTIF($H$1148:$H$1158,1)+1-ROW(A1))),Sprache!$A$38)</f>
        <v>Bitte Auswahl ändern!</v>
      </c>
      <c r="C1170" s="18" t="str">
        <f t="array" aca="1" ref="C1170" ca="1">IFERROR(INDEX(select!$E$1148:$E$1158,LARGE(($H$1148:$H$1158=1)*(ROW($H$1148:$H$1158)-$B$1147),COUNTIF($H$1148:$H$1158,1)+1-ROW(A1))),"")</f>
        <v/>
      </c>
      <c r="D1170" s="18" t="str">
        <f t="array" aca="1" ref="D1170" ca="1">IFERROR(INDEX(select!$L$1148:$L$1158,LARGE(($H$1148:$H$1158=select!$L$178)*(ROW($H$1148:$H$1158)-$B$1147),COUNTIF($H$1148:$H$1158,1)+1-ROW(A1))),"")</f>
        <v/>
      </c>
      <c r="E1170" s="18" t="str">
        <f t="array" aca="1" ref="E1170" ca="1">IFERROR(INDEX(select!$A$1148:$A$1158,LARGE(($H$1148:$H$1158=select!$L$178)*(ROW($H$1148:$H$1158)-$B$1147),COUNTIF($H$1148:$H$1158,1)+1-ROW(A1))),"")</f>
        <v/>
      </c>
      <c r="F1170" s="18" t="str">
        <f t="array" aca="1" ref="F1170" ca="1">IFERROR(INDEX(select!$B$1148:$B$1158,LARGE(($H$1148:$H$1158=select!$L$178)*(ROW($H$1148:$H$1158)-$B$1147),COUNTIF($H$1148:$H$1158,1)+1-ROW(A1))),"")</f>
        <v/>
      </c>
      <c r="G1170" s="18" t="str">
        <f t="array" aca="1" ref="G1170" ca="1">IFERROR(INDEX(select!$C$1148:$C$1158,LARGE(($H$1148:$H$1158=select!$L$178)*(ROW($H$1148:$H$1158)-$B$1147),COUNTIF($H$1148:$H$1158,1)+1-ROW(A1))),"")</f>
        <v/>
      </c>
      <c r="H1170" s="3"/>
      <c r="I1170" t="str">
        <f>VLOOKUP(J1162,J1163:L1167,3,FALSE)</f>
        <v>37/32</v>
      </c>
      <c r="Q1170" s="2">
        <f ca="1">SUM(Q1171:Q1176)</f>
        <v>0</v>
      </c>
      <c r="R1170" s="131" t="str">
        <f ca="1">IF(Q1170&gt;0,Sprache!A188,"")</f>
        <v/>
      </c>
    </row>
    <row r="1171" spans="1:18" hidden="1" outlineLevel="1" x14ac:dyDescent="0.25">
      <c r="A1171" s="18" t="str">
        <f t="array" aca="1" ref="A1171" ca="1">IFERROR(INDEX(select!$D$1148:$D$1158,LARGE(($H$1148:$H$1158=select!$L$178)*(ROW($H$1148:$H$1158)-$B$1147),COUNTIF($H$1148:$H$1158,1)+1-ROW(A2))),"")</f>
        <v/>
      </c>
      <c r="B1171" s="18" t="str">
        <f t="array" aca="1" ref="B1171" ca="1">IFERROR(INDEX($F$1148:$F$1158,LARGE(($H$1148:$H$1158=select!$L$178)*(ROW($H$1148:$H$1158)-$B$1147),COUNTIF($H$1148:$H$1158,1)+1-ROW(A2))),"")</f>
        <v/>
      </c>
      <c r="C1171" s="18" t="str">
        <f t="array" aca="1" ref="C1171" ca="1">IFERROR(INDEX(select!$E$1148:$E$1158,LARGE(($H$1148:$H$1158=1)*(ROW($H$1148:$H$1158)-$B$1147),COUNTIF($H$1148:$H$1158,1)+1-ROW(A2))),"")</f>
        <v/>
      </c>
      <c r="D1171" s="18" t="str">
        <f t="array" aca="1" ref="D1171" ca="1">IFERROR(INDEX(select!$L$1148:$L$1158,LARGE(($H$1148:$H$1158=select!$L$178)*(ROW($H$1148:$H$1158)-$B$1147),COUNTIF($H$1148:$H$1158,1)+1-ROW(A2))),"")</f>
        <v/>
      </c>
      <c r="E1171" s="18" t="str">
        <f t="array" aca="1" ref="E1171" ca="1">IFERROR(INDEX(select!$A$1148:$A$1158,LARGE(($H$1148:$H$1158=select!$L$178)*(ROW($H$1148:$H$1158)-$B$1147),COUNTIF($H$1148:$H$1158,1)+1-ROW(A2))),"")</f>
        <v/>
      </c>
      <c r="F1171" s="18" t="str">
        <f t="array" aca="1" ref="F1171" ca="1">IFERROR(INDEX(select!$B$1148:$B$1158,LARGE(($H$1148:$H$1158=select!$L$178)*(ROW($H$1148:$H$1158)-$B$1147),COUNTIF($H$1148:$H$1158,1)+1-ROW(A2))),"")</f>
        <v/>
      </c>
      <c r="G1171" s="18" t="str">
        <f t="array" aca="1" ref="G1171" ca="1">IFERROR(INDEX(select!$C$1148:$C$1158,LARGE(($H$1148:$H$1158=select!$L$178)*(ROW($H$1148:$H$1158)-$B$1147),COUNTIF($H$1148:$H$1158,1)+1-ROW(A2))),"")</f>
        <v/>
      </c>
      <c r="I1171" s="4" t="str">
        <f t="shared" ref="I1171:I1176" ca="1" si="275">OFFSET(A1162,$P$1171,0)</f>
        <v>1D Kreuz Mtg-Platte</v>
      </c>
      <c r="J1171" s="4" t="str">
        <f t="shared" ref="J1171:O1171" ca="1" si="276">OFFSET(B1162,$P$1171,0)</f>
        <v>Tiomos Montageplatten</v>
      </c>
      <c r="K1171" s="4" t="str">
        <f t="shared" ca="1" si="276"/>
        <v>H 06, ni /37</v>
      </c>
      <c r="L1171" s="4">
        <f t="shared" ca="1" si="276"/>
        <v>6</v>
      </c>
      <c r="M1171" s="4" t="str">
        <f t="shared" ca="1" si="276"/>
        <v>F058</v>
      </c>
      <c r="N1171" s="4" t="str">
        <f t="shared" ca="1" si="276"/>
        <v>139</v>
      </c>
      <c r="O1171" s="4" t="str">
        <f t="shared" ca="1" si="276"/>
        <v>892</v>
      </c>
      <c r="P1171">
        <f>J1162*8-8</f>
        <v>0</v>
      </c>
      <c r="Q1171" s="4">
        <f ca="1">IF(L1171=-2,1,0)</f>
        <v>0</v>
      </c>
    </row>
    <row r="1172" spans="1:18" hidden="1" outlineLevel="1" x14ac:dyDescent="0.25">
      <c r="A1172" s="18" t="str">
        <f t="array" aca="1" ref="A1172" ca="1">IFERROR(INDEX(select!$D$1148:$D$1158,LARGE(($H$1148:$H$1158=select!$L$178)*(ROW($H$1148:$H$1158)-$B$1147),COUNTIF($H$1148:$H$1158,1)+1-ROW(A3))),"")</f>
        <v/>
      </c>
      <c r="B1172" s="18" t="str">
        <f t="array" aca="1" ref="B1172" ca="1">IFERROR(INDEX($F$1148:$F$1158,LARGE(($H$1148:$H$1158=select!$L$178)*(ROW($H$1148:$H$1158)-$B$1147),COUNTIF($H$1148:$H$1158,1)+1-ROW(A3))),"")</f>
        <v/>
      </c>
      <c r="C1172" s="18" t="str">
        <f t="array" aca="1" ref="C1172" ca="1">IFERROR(INDEX(select!$E$1148:$E$1158,LARGE(($H$1148:$H$1158=1)*(ROW($H$1148:$H$1158)-$B$1147),COUNTIF($H$1148:$H$1158,1)+1-ROW(A3))),"")</f>
        <v/>
      </c>
      <c r="D1172" s="18" t="str">
        <f t="array" aca="1" ref="D1172" ca="1">IFERROR(INDEX(select!$L$1148:$L$1158,LARGE(($H$1148:$H$1158=select!$L$178)*(ROW($H$1148:$H$1158)-$B$1147),COUNTIF($H$1148:$H$1158,1)+1-ROW(A3))),"")</f>
        <v/>
      </c>
      <c r="E1172" s="18" t="str">
        <f t="array" aca="1" ref="E1172" ca="1">IFERROR(INDEX(select!$A$1148:$A$1158,LARGE(($H$1148:$H$1158=select!$L$178)*(ROW($H$1148:$H$1158)-$B$1147),COUNTIF($H$1148:$H$1158,1)+1-ROW(A3))),"")</f>
        <v/>
      </c>
      <c r="F1172" s="18" t="str">
        <f t="array" aca="1" ref="F1172" ca="1">IFERROR(INDEX(select!$B$1148:$B$1158,LARGE(($H$1148:$H$1158=select!$L$178)*(ROW($H$1148:$H$1158)-$B$1147),COUNTIF($H$1148:$H$1158,1)+1-ROW(A3))),"")</f>
        <v/>
      </c>
      <c r="G1172" s="18" t="str">
        <f t="array" aca="1" ref="G1172" ca="1">IFERROR(INDEX(select!$C$1148:$C$1158,LARGE(($H$1148:$H$1158=select!$L$178)*(ROW($H$1148:$H$1158)-$B$1147),COUNTIF($H$1148:$H$1158,1)+1-ROW(A3))),"")</f>
        <v/>
      </c>
      <c r="I1172" s="4" t="str">
        <f t="shared" ca="1" si="275"/>
        <v/>
      </c>
      <c r="J1172" s="4" t="str">
        <f t="shared" ref="J1172:O1176" ca="1" si="277">OFFSET(B1163,$P$1171,0)</f>
        <v/>
      </c>
      <c r="K1172" s="4" t="str">
        <f t="shared" ca="1" si="277"/>
        <v/>
      </c>
      <c r="L1172" s="4" t="str">
        <f t="shared" ca="1" si="277"/>
        <v/>
      </c>
      <c r="M1172" s="4" t="str">
        <f t="shared" ca="1" si="277"/>
        <v/>
      </c>
      <c r="N1172" s="4" t="str">
        <f t="shared" ca="1" si="277"/>
        <v/>
      </c>
      <c r="O1172" s="4" t="str">
        <f t="shared" ca="1" si="277"/>
        <v/>
      </c>
      <c r="Q1172" s="4">
        <f ca="1">IF(L1172=-2,1,0)</f>
        <v>0</v>
      </c>
    </row>
    <row r="1173" spans="1:18" hidden="1" outlineLevel="1" x14ac:dyDescent="0.25">
      <c r="A1173" s="18" t="str">
        <f t="array" aca="1" ref="A1173" ca="1">IFERROR(INDEX(select!$D$1148:$D$1158,LARGE(($H$1148:$H$1158=select!$L$178)*(ROW($H$1148:$H$1158)-$B$1147),COUNTIF($H$1148:$H$1158,1)+1-ROW(A4))),"")</f>
        <v/>
      </c>
      <c r="B1173" s="18" t="str">
        <f t="array" aca="1" ref="B1173" ca="1">IFERROR(INDEX($F$1148:$F$1158,LARGE(($H$1148:$H$1158=select!$L$178)*(ROW($H$1148:$H$1158)-$B$1147),COUNTIF($H$1148:$H$1158,1)+1-ROW(A4))),"")</f>
        <v/>
      </c>
      <c r="C1173" s="18" t="str">
        <f t="array" aca="1" ref="C1173" ca="1">IFERROR(INDEX(select!$E$1148:$E$1158,LARGE(($H$1148:$H$1158=1)*(ROW($H$1148:$H$1158)-$B$1147),COUNTIF($H$1148:$H$1158,1)+1-ROW(A4))),"")</f>
        <v/>
      </c>
      <c r="D1173" s="18" t="str">
        <f t="array" aca="1" ref="D1173" ca="1">IFERROR(INDEX(select!$L$1148:$L$1158,LARGE(($H$1148:$H$1158=select!$L$178)*(ROW($H$1148:$H$1158)-$B$1147),COUNTIF($H$1148:$H$1158,1)+1-ROW(A4))),"")</f>
        <v/>
      </c>
      <c r="E1173" s="18" t="str">
        <f t="array" aca="1" ref="E1173" ca="1">IFERROR(INDEX(select!$A$1148:$A$1158,LARGE(($H$1148:$H$1158=select!$L$178)*(ROW($H$1148:$H$1158)-$B$1147),COUNTIF($H$1148:$H$1158,1)+1-ROW(A4))),"")</f>
        <v/>
      </c>
      <c r="F1173" s="18" t="str">
        <f t="array" aca="1" ref="F1173" ca="1">IFERROR(INDEX(select!$B$1148:$B$1158,LARGE(($H$1148:$H$1158=select!$L$178)*(ROW($H$1148:$H$1158)-$B$1147),COUNTIF($H$1148:$H$1158,1)+1-ROW(A4))),"")</f>
        <v/>
      </c>
      <c r="G1173" s="18" t="str">
        <f t="array" aca="1" ref="G1173" ca="1">IFERROR(INDEX(select!$C$1148:$C$1158,LARGE(($H$1148:$H$1158=select!$L$178)*(ROW($H$1148:$H$1158)-$B$1147),COUNTIF($H$1148:$H$1158,1)+1-ROW(A4))),"")</f>
        <v/>
      </c>
      <c r="I1173" s="4" t="str">
        <f t="shared" ca="1" si="275"/>
        <v/>
      </c>
      <c r="J1173" s="4" t="str">
        <f t="shared" ca="1" si="277"/>
        <v/>
      </c>
      <c r="K1173" s="4" t="str">
        <f t="shared" ca="1" si="277"/>
        <v/>
      </c>
      <c r="L1173" s="4" t="str">
        <f t="shared" ca="1" si="277"/>
        <v/>
      </c>
      <c r="M1173" s="4" t="str">
        <f t="shared" ca="1" si="277"/>
        <v/>
      </c>
      <c r="N1173" s="4" t="str">
        <f t="shared" ca="1" si="277"/>
        <v/>
      </c>
      <c r="O1173" s="4" t="str">
        <f t="shared" ca="1" si="277"/>
        <v/>
      </c>
      <c r="Q1173" s="4">
        <f t="shared" ref="Q1173:Q1176" ca="1" si="278">IF(L1173=-2,1,0)</f>
        <v>0</v>
      </c>
    </row>
    <row r="1174" spans="1:18" hidden="1" outlineLevel="1" x14ac:dyDescent="0.25">
      <c r="A1174" s="18" t="str">
        <f t="array" aca="1" ref="A1174" ca="1">IFERROR(INDEX(select!$D$1148:$D$1158,LARGE(($H$1148:$H$1158=select!$L$178)*(ROW($H$1148:$H$1158)-$B$1147),COUNTIF($H$1148:$H$1158,1)+1-ROW(A5))),"")</f>
        <v/>
      </c>
      <c r="B1174" s="18" t="str">
        <f t="array" aca="1" ref="B1174" ca="1">IFERROR(INDEX($F$1148:$F$1158,LARGE(($H$1148:$H$1158=select!$L$178)*(ROW($H$1148:$H$1158)-$B$1147),COUNTIF($H$1148:$H$1158,1)+1-ROW(A5))),"")</f>
        <v/>
      </c>
      <c r="C1174" s="18" t="str">
        <f t="array" aca="1" ref="C1174" ca="1">IFERROR(INDEX(select!$E$1148:$E$1158,LARGE(($H$1148:$H$1158=1)*(ROW($H$1148:$H$1158)-$B$1147),COUNTIF($H$1148:$H$1158,1)+1-ROW(A5))),"")</f>
        <v/>
      </c>
      <c r="D1174" s="18" t="str">
        <f t="array" aca="1" ref="D1174" ca="1">IFERROR(INDEX(select!$L$1148:$L$1158,LARGE(($H$1148:$H$1158=select!$L$178)*(ROW($H$1148:$H$1158)-$B$1147),COUNTIF($H$1148:$H$1158,1)+1-ROW(A5))),"")</f>
        <v/>
      </c>
      <c r="E1174" s="18" t="str">
        <f t="array" aca="1" ref="E1174" ca="1">IFERROR(INDEX(select!$A$1148:$A$1158,LARGE(($H$1148:$H$1158=select!$L$178)*(ROW($H$1148:$H$1158)-$B$1147),COUNTIF($H$1148:$H$1158,1)+1-ROW(A5))),"")</f>
        <v/>
      </c>
      <c r="F1174" s="18" t="str">
        <f t="array" aca="1" ref="F1174" ca="1">IFERROR(INDEX(select!$B$1148:$B$1158,LARGE(($H$1148:$H$1158=select!$L$178)*(ROW($H$1148:$H$1158)-$B$1147),COUNTIF($H$1148:$H$1158,1)+1-ROW(A5))),"")</f>
        <v/>
      </c>
      <c r="G1174" s="18" t="str">
        <f t="array" aca="1" ref="G1174" ca="1">IFERROR(INDEX(select!$C$1148:$C$1158,LARGE(($H$1148:$H$1158=select!$L$178)*(ROW($H$1148:$H$1158)-$B$1147),COUNTIF($H$1148:$H$1158,1)+1-ROW(A5))),"")</f>
        <v/>
      </c>
      <c r="I1174" s="4" t="str">
        <f t="shared" ca="1" si="275"/>
        <v/>
      </c>
      <c r="J1174" s="4" t="str">
        <f t="shared" ca="1" si="277"/>
        <v/>
      </c>
      <c r="K1174" s="4" t="str">
        <f t="shared" ca="1" si="277"/>
        <v/>
      </c>
      <c r="L1174" s="4" t="str">
        <f t="shared" ca="1" si="277"/>
        <v/>
      </c>
      <c r="M1174" s="4" t="str">
        <f t="shared" ca="1" si="277"/>
        <v/>
      </c>
      <c r="N1174" s="4" t="str">
        <f t="shared" ca="1" si="277"/>
        <v/>
      </c>
      <c r="O1174" s="4" t="str">
        <f t="shared" ca="1" si="277"/>
        <v/>
      </c>
      <c r="Q1174" s="4">
        <f t="shared" ca="1" si="278"/>
        <v>0</v>
      </c>
    </row>
    <row r="1175" spans="1:18" hidden="1" outlineLevel="1" x14ac:dyDescent="0.25">
      <c r="A1175" s="18" t="str">
        <f t="array" aca="1" ref="A1175" ca="1">IFERROR(INDEX(select!$D$1148:$D$1158,LARGE(($H$1148:$H$1158=select!$L$178)*(ROW($H$1148:$H$1158)-$B$1147),COUNTIF($H$1148:$H$1158,1)+1-ROW(A6))),"")</f>
        <v/>
      </c>
      <c r="B1175" s="18" t="str">
        <f t="array" aca="1" ref="B1175" ca="1">IFERROR(INDEX($F$1148:$F$1158,LARGE(($H$1148:$H$1158=select!$L$178)*(ROW($H$1148:$H$1158)-$B$1147),COUNTIF($H$1148:$H$1158,1)+1-ROW(A6))),"")</f>
        <v/>
      </c>
      <c r="C1175" s="18" t="str">
        <f t="array" aca="1" ref="C1175" ca="1">IFERROR(INDEX(select!$E$1148:$E$1158,LARGE(($H$1148:$H$1158=1)*(ROW($H$1148:$H$1158)-$B$1147),COUNTIF($H$1148:$H$1158,1)+1-ROW(A6))),"")</f>
        <v/>
      </c>
      <c r="D1175" s="18" t="str">
        <f t="array" aca="1" ref="D1175" ca="1">IFERROR(INDEX(select!$L$1148:$L$1158,LARGE(($H$1148:$H$1158=select!$L$178)*(ROW($H$1148:$H$1158)-$B$1147),COUNTIF($H$1148:$H$1158,1)+1-ROW(A6))),"")</f>
        <v/>
      </c>
      <c r="E1175" s="18" t="str">
        <f t="array" aca="1" ref="E1175" ca="1">IFERROR(INDEX(select!$A$1148:$A$1158,LARGE(($H$1148:$H$1158=select!$L$178)*(ROW($H$1148:$H$1158)-$B$1147),COUNTIF($H$1148:$H$1158,1)+1-ROW(A6))),"")</f>
        <v/>
      </c>
      <c r="F1175" s="18" t="str">
        <f t="array" aca="1" ref="F1175" ca="1">IFERROR(INDEX(select!$B$1148:$B$1158,LARGE(($H$1148:$H$1158=select!$L$178)*(ROW($H$1148:$H$1158)-$B$1147),COUNTIF($H$1148:$H$1158,1)+1-ROW(A6))),"")</f>
        <v/>
      </c>
      <c r="G1175" s="18" t="str">
        <f t="array" aca="1" ref="G1175" ca="1">IFERROR(INDEX(select!$C$1148:$C$1158,LARGE(($H$1148:$H$1158=select!$L$178)*(ROW($H$1148:$H$1158)-$B$1147),COUNTIF($H$1148:$H$1158,1)+1-ROW(A6))),"")</f>
        <v/>
      </c>
      <c r="I1175" s="4" t="str">
        <f t="shared" ca="1" si="275"/>
        <v/>
      </c>
      <c r="J1175" s="4" t="str">
        <f t="shared" ca="1" si="277"/>
        <v/>
      </c>
      <c r="K1175" s="4" t="str">
        <f t="shared" ca="1" si="277"/>
        <v/>
      </c>
      <c r="L1175" s="4" t="str">
        <f t="shared" ca="1" si="277"/>
        <v/>
      </c>
      <c r="M1175" s="4" t="str">
        <f t="shared" ca="1" si="277"/>
        <v/>
      </c>
      <c r="N1175" s="4" t="str">
        <f t="shared" ca="1" si="277"/>
        <v/>
      </c>
      <c r="O1175" s="4" t="str">
        <f t="shared" ca="1" si="277"/>
        <v/>
      </c>
      <c r="Q1175" s="4">
        <f t="shared" ca="1" si="278"/>
        <v>0</v>
      </c>
    </row>
    <row r="1176" spans="1:18" hidden="1" outlineLevel="1" x14ac:dyDescent="0.25">
      <c r="I1176" s="4" t="str">
        <f t="shared" ca="1" si="275"/>
        <v/>
      </c>
      <c r="J1176" s="4" t="str">
        <f t="shared" ca="1" si="277"/>
        <v/>
      </c>
      <c r="K1176" s="4" t="str">
        <f t="shared" ca="1" si="277"/>
        <v/>
      </c>
      <c r="L1176" s="4" t="str">
        <f t="shared" ca="1" si="277"/>
        <v/>
      </c>
      <c r="M1176" s="4" t="str">
        <f t="shared" ca="1" si="277"/>
        <v/>
      </c>
      <c r="N1176" s="4" t="str">
        <f t="shared" ca="1" si="277"/>
        <v/>
      </c>
      <c r="O1176" s="4" t="str">
        <f t="shared" ca="1" si="277"/>
        <v/>
      </c>
      <c r="Q1176" s="4">
        <f t="shared" ca="1" si="278"/>
        <v>0</v>
      </c>
    </row>
    <row r="1177" spans="1:18" hidden="1" outlineLevel="1" x14ac:dyDescent="0.25">
      <c r="A1177" t="str">
        <f>I1147</f>
        <v>20/32</v>
      </c>
    </row>
    <row r="1178" spans="1:18" hidden="1" outlineLevel="1" x14ac:dyDescent="0.25">
      <c r="A1178" s="18" t="str">
        <f t="array" aca="1" ref="A1178" ca="1">IFERROR(INDEX(select!$D$1148:$D$1158,LARGE(($I$1148:$I$1158=select!$L$178)*(ROW($I$1148:$I$1158)-$B$1147),COUNTIF($I$1148:$I$1158,1)+1-ROW(A1))),Sprache!$A$56&amp;" "&amp;Sprache!$A$146)</f>
        <v>keine Lösungen</v>
      </c>
      <c r="B1178" s="18" t="str">
        <f t="array" aca="1" ref="B1178" ca="1">IFERROR(INDEX($F$1148:$F$1158,LARGE(($I$1148:$I$1158=select!$L$178)*(ROW($I$1148:$I$1158)-$B$1147),COUNTIF($I$1148:$I$1158,1)+1-ROW(A1))),Sprache!$A$38)</f>
        <v>Bitte Auswahl ändern!</v>
      </c>
      <c r="C1178" s="18" t="str">
        <f t="array" aca="1" ref="C1178" ca="1">IFERROR(INDEX(select!$E$1148:$E$1158,LARGE(($I$1148:$I$1158=1)*(ROW($I$1148:$I$1158)-$B$1147),COUNTIF($I$1148:$I$1158,1)+1-ROW(A1))),"")</f>
        <v/>
      </c>
      <c r="D1178" s="18" t="str">
        <f t="array" aca="1" ref="D1178" ca="1">IFERROR(INDEX(select!$L$1148:$L$1158,LARGE(($I$1148:$I$1158=select!$L$178)*(ROW($I$1148:$I$1158)-$B$1147),COUNTIF($I$1148:$I$1158,1)+1-ROW(A1))),"")</f>
        <v/>
      </c>
      <c r="E1178" s="18" t="str">
        <f t="array" aca="1" ref="E1178" ca="1">IFERROR(INDEX(select!$A$1148:$A$1158,LARGE(($I$1148:$I$1158=select!$L$178)*(ROW($I$1148:$I$1158)-$B$1147),COUNTIF($I$1148:$I$1158,1)+1-ROW(A1))),"")</f>
        <v/>
      </c>
      <c r="F1178" s="18" t="str">
        <f t="array" aca="1" ref="F1178" ca="1">IFERROR(INDEX(select!$B$1148:$B$1158,LARGE(($I$1148:$I$1158=select!$L$178)*(ROW($I$1148:$I$1158)-$B$1147),COUNTIF($I$1148:$I$1158,1)+1-ROW(A1))),"")</f>
        <v/>
      </c>
      <c r="G1178" s="18" t="str">
        <f t="array" aca="1" ref="G1178" ca="1">IFERROR(INDEX(select!$C$1148:$C$1158,LARGE(($I$1148:$I$1158=select!$L$178)*(ROW($I$1148:$I$1158)-$B$1147),COUNTIF($I$1148:$I$1158,1)+1-ROW(A1))),"")</f>
        <v/>
      </c>
      <c r="H1178" s="3"/>
      <c r="I1178" s="269" t="str">
        <f ca="1">IF($J$980=0,I1171,Sprache!$A$56&amp;" "&amp;Sprache!$A$146)</f>
        <v>1D Kreuz Mtg-Platte</v>
      </c>
      <c r="J1178" s="270" t="str">
        <f ca="1">IF($J$980=0,J1171,Sprache!$A$38)</f>
        <v>Tiomos Montageplatten</v>
      </c>
      <c r="K1178" s="270" t="str">
        <f ca="1">IF($J$980=0,K1171,"")</f>
        <v>H 06, ni /37</v>
      </c>
      <c r="L1178" s="270">
        <f ca="1">IF($J$980=0,L1171,"")</f>
        <v>6</v>
      </c>
      <c r="M1178" s="270" t="str">
        <f t="shared" ref="M1178:O1178" ca="1" si="279">IF($J$980=0,M1171,"")</f>
        <v>F058</v>
      </c>
      <c r="N1178" s="270" t="str">
        <f t="shared" ca="1" si="279"/>
        <v>139</v>
      </c>
      <c r="O1178" s="271" t="str">
        <f t="shared" ca="1" si="279"/>
        <v>892</v>
      </c>
    </row>
    <row r="1179" spans="1:18" hidden="1" outlineLevel="1" x14ac:dyDescent="0.25">
      <c r="A1179" s="18" t="str">
        <f t="array" aca="1" ref="A1179" ca="1">IFERROR(INDEX(select!$D$1148:$D$1158,LARGE(($I$1148:$I$1158=select!$L$178)*(ROW($I$1148:$I$1158)-$B$1147),COUNTIF($I$1148:$I$1158,1)+1-ROW(A2))),"")</f>
        <v/>
      </c>
      <c r="B1179" s="18" t="str">
        <f t="array" aca="1" ref="B1179" ca="1">IFERROR(INDEX($F$1148:$F$1158,LARGE(($I$1148:$I$1158=select!$L$178)*(ROW($I$1148:$I$1158)-$B$1147),COUNTIF($I$1148:$I$1158,1)+1-ROW(A2))),"")</f>
        <v/>
      </c>
      <c r="C1179" s="18" t="str">
        <f t="array" aca="1" ref="C1179" ca="1">IFERROR(INDEX(select!$E$1148:$E$1158,LARGE(($I$1148:$I$1158=1)*(ROW($I$1148:$I$1158)-$B$1147),COUNTIF($I$1148:$I$1158,1)+1-ROW(A2))),"")</f>
        <v/>
      </c>
      <c r="D1179" s="18" t="str">
        <f t="array" aca="1" ref="D1179" ca="1">IFERROR(INDEX(select!$L$1148:$L$1158,LARGE(($I$1148:$I$1158=select!$L$178)*(ROW($I$1148:$I$1158)-$B$1147),COUNTIF($I$1148:$I$1158,1)+1-ROW(A2))),"")</f>
        <v/>
      </c>
      <c r="E1179" s="18" t="str">
        <f t="array" aca="1" ref="E1179" ca="1">IFERROR(INDEX(select!$A$1148:$A$1158,LARGE(($I$1148:$I$1158=select!$L$178)*(ROW($I$1148:$I$1158)-$B$1147),COUNTIF($I$1148:$I$1158,1)+1-ROW(A2))),"")</f>
        <v/>
      </c>
      <c r="F1179" s="18" t="str">
        <f t="array" aca="1" ref="F1179" ca="1">IFERROR(INDEX(select!$B$1148:$B$1158,LARGE(($I$1148:$I$1158=select!$L$178)*(ROW($I$1148:$I$1158)-$B$1147),COUNTIF($I$1148:$I$1158,1)+1-ROW(A2))),"")</f>
        <v/>
      </c>
      <c r="G1179" s="18" t="str">
        <f t="array" aca="1" ref="G1179" ca="1">IFERROR(INDEX(select!$C$1148:$C$1158,LARGE(($I$1148:$I$1158=select!$L$178)*(ROW($I$1148:$I$1158)-$B$1147),COUNTIF($I$1148:$I$1158,1)+1-ROW(A2))),"")</f>
        <v/>
      </c>
      <c r="I1179" s="71" t="str">
        <f ca="1">IF($J$980=0,I1172,"")</f>
        <v/>
      </c>
      <c r="J1179" s="34" t="str">
        <f ca="1">IF($J$980=0,J1172,"")</f>
        <v/>
      </c>
      <c r="K1179" s="34" t="str">
        <f t="shared" ref="K1179:O1179" ca="1" si="280">IF($J$980=0,K1172,"")</f>
        <v/>
      </c>
      <c r="L1179" s="34" t="str">
        <f t="shared" ca="1" si="280"/>
        <v/>
      </c>
      <c r="M1179" s="34" t="str">
        <f t="shared" ca="1" si="280"/>
        <v/>
      </c>
      <c r="N1179" s="34" t="str">
        <f t="shared" ca="1" si="280"/>
        <v/>
      </c>
      <c r="O1179" s="55" t="str">
        <f t="shared" ca="1" si="280"/>
        <v/>
      </c>
    </row>
    <row r="1180" spans="1:18" hidden="1" outlineLevel="1" x14ac:dyDescent="0.25">
      <c r="A1180" s="18" t="str">
        <f t="array" aca="1" ref="A1180" ca="1">IFERROR(INDEX(select!$D$1148:$D$1158,LARGE(($I$1148:$I$1158=select!$L$178)*(ROW($I$1148:$I$1158)-$B$1147),COUNTIF($I$1148:$I$1158,1)+1-ROW(A3))),"")</f>
        <v/>
      </c>
      <c r="B1180" s="18" t="str">
        <f t="array" aca="1" ref="B1180" ca="1">IFERROR(INDEX($F$1148:$F$1158,LARGE(($I$1148:$I$1158=select!$L$178)*(ROW($I$1148:$I$1158)-$B$1147),COUNTIF($I$1148:$I$1158,1)+1-ROW(A3))),"")</f>
        <v/>
      </c>
      <c r="C1180" s="18" t="str">
        <f t="array" aca="1" ref="C1180" ca="1">IFERROR(INDEX(select!$E$1148:$E$1158,LARGE(($I$1148:$I$1158=1)*(ROW($I$1148:$I$1158)-$B$1147),COUNTIF($I$1148:$I$1158,1)+1-ROW(A3))),"")</f>
        <v/>
      </c>
      <c r="D1180" s="18" t="str">
        <f t="array" aca="1" ref="D1180" ca="1">IFERROR(INDEX(select!$L$1148:$L$1158,LARGE(($I$1148:$I$1158=select!$L$178)*(ROW($I$1148:$I$1158)-$B$1147),COUNTIF($I$1148:$I$1158,1)+1-ROW(A3))),"")</f>
        <v/>
      </c>
      <c r="E1180" s="18" t="str">
        <f t="array" aca="1" ref="E1180" ca="1">IFERROR(INDEX(select!$A$1148:$A$1158,LARGE(($I$1148:$I$1158=select!$L$178)*(ROW($I$1148:$I$1158)-$B$1147),COUNTIF($I$1148:$I$1158,1)+1-ROW(A3))),"")</f>
        <v/>
      </c>
      <c r="F1180" s="18" t="str">
        <f t="array" aca="1" ref="F1180" ca="1">IFERROR(INDEX(select!$B$1148:$B$1158,LARGE(($I$1148:$I$1158=select!$L$178)*(ROW($I$1148:$I$1158)-$B$1147),COUNTIF($I$1148:$I$1158,1)+1-ROW(A3))),"")</f>
        <v/>
      </c>
      <c r="G1180" s="18" t="str">
        <f t="array" aca="1" ref="G1180" ca="1">IFERROR(INDEX(select!$C$1148:$C$1158,LARGE(($I$1148:$I$1158=select!$L$178)*(ROW($I$1148:$I$1158)-$B$1147),COUNTIF($I$1148:$I$1158,1)+1-ROW(A3))),"")</f>
        <v/>
      </c>
      <c r="I1180" s="71" t="str">
        <f t="shared" ref="I1180:O1182" ca="1" si="281">IF($J$980=0,I1173,"")</f>
        <v/>
      </c>
      <c r="J1180" s="34" t="str">
        <f t="shared" ca="1" si="281"/>
        <v/>
      </c>
      <c r="K1180" s="34" t="str">
        <f t="shared" ca="1" si="281"/>
        <v/>
      </c>
      <c r="L1180" s="34" t="str">
        <f t="shared" ca="1" si="281"/>
        <v/>
      </c>
      <c r="M1180" s="34" t="str">
        <f t="shared" ca="1" si="281"/>
        <v/>
      </c>
      <c r="N1180" s="34" t="str">
        <f t="shared" ca="1" si="281"/>
        <v/>
      </c>
      <c r="O1180" s="55" t="str">
        <f t="shared" ca="1" si="281"/>
        <v/>
      </c>
    </row>
    <row r="1181" spans="1:18" hidden="1" outlineLevel="1" x14ac:dyDescent="0.25">
      <c r="A1181" s="18" t="str">
        <f t="array" aca="1" ref="A1181" ca="1">IFERROR(INDEX(select!$D$1148:$D$1158,LARGE(($I$1148:$I$1158=select!$L$178)*(ROW($I$1148:$I$1158)-$B$1147),COUNTIF($I$1148:$I$1158,1)+1-ROW(A4))),"")</f>
        <v/>
      </c>
      <c r="B1181" s="18" t="str">
        <f t="array" aca="1" ref="B1181" ca="1">IFERROR(INDEX($F$1148:$F$1158,LARGE(($I$1148:$I$1158=select!$L$178)*(ROW($I$1148:$I$1158)-$B$1147),COUNTIF($I$1148:$I$1158,1)+1-ROW(A4))),"")</f>
        <v/>
      </c>
      <c r="C1181" s="18" t="str">
        <f t="array" aca="1" ref="C1181" ca="1">IFERROR(INDEX(select!$E$1148:$E$1158,LARGE(($I$1148:$I$1158=1)*(ROW($I$1148:$I$1158)-$B$1147),COUNTIF($I$1148:$I$1158,1)+1-ROW(A4))),"")</f>
        <v/>
      </c>
      <c r="D1181" s="18" t="str">
        <f t="array" aca="1" ref="D1181" ca="1">IFERROR(INDEX(select!$L$1148:$L$1158,LARGE(($I$1148:$I$1158=select!$L$178)*(ROW($I$1148:$I$1158)-$B$1147),COUNTIF($I$1148:$I$1158,1)+1-ROW(A4))),"")</f>
        <v/>
      </c>
      <c r="E1181" s="18" t="str">
        <f t="array" aca="1" ref="E1181" ca="1">IFERROR(INDEX(select!$A$1148:$A$1158,LARGE(($I$1148:$I$1158=select!$L$178)*(ROW($I$1148:$I$1158)-$B$1147),COUNTIF($I$1148:$I$1158,1)+1-ROW(A4))),"")</f>
        <v/>
      </c>
      <c r="F1181" s="18" t="str">
        <f t="array" aca="1" ref="F1181" ca="1">IFERROR(INDEX(select!$B$1148:$B$1158,LARGE(($I$1148:$I$1158=select!$L$178)*(ROW($I$1148:$I$1158)-$B$1147),COUNTIF($I$1148:$I$1158,1)+1-ROW(A4))),"")</f>
        <v/>
      </c>
      <c r="G1181" s="18" t="str">
        <f t="array" aca="1" ref="G1181" ca="1">IFERROR(INDEX(select!$C$1148:$C$1158,LARGE(($I$1148:$I$1158=select!$L$178)*(ROW($I$1148:$I$1158)-$B$1147),COUNTIF($I$1148:$I$1158,1)+1-ROW(A4))),"")</f>
        <v/>
      </c>
      <c r="I1181" s="71" t="str">
        <f t="shared" ca="1" si="281"/>
        <v/>
      </c>
      <c r="J1181" s="34" t="str">
        <f t="shared" ca="1" si="281"/>
        <v/>
      </c>
      <c r="K1181" s="34" t="str">
        <f t="shared" ca="1" si="281"/>
        <v/>
      </c>
      <c r="L1181" s="34" t="str">
        <f t="shared" ca="1" si="281"/>
        <v/>
      </c>
      <c r="M1181" s="34" t="str">
        <f t="shared" ca="1" si="281"/>
        <v/>
      </c>
      <c r="N1181" s="34" t="str">
        <f t="shared" ca="1" si="281"/>
        <v/>
      </c>
      <c r="O1181" s="55" t="str">
        <f t="shared" ca="1" si="281"/>
        <v/>
      </c>
    </row>
    <row r="1182" spans="1:18" hidden="1" outlineLevel="1" x14ac:dyDescent="0.25">
      <c r="A1182" s="18" t="str">
        <f t="array" aca="1" ref="A1182" ca="1">IFERROR(INDEX(select!$D$1148:$D$1158,LARGE(($I$1148:$I$1158=select!$L$178)*(ROW($I$1148:$I$1158)-$B$1147),COUNTIF($I$1148:$I$1158,1)+1-ROW(A5))),"")</f>
        <v/>
      </c>
      <c r="B1182" s="18" t="str">
        <f t="array" aca="1" ref="B1182" ca="1">IFERROR(INDEX($F$1148:$F$1158,LARGE(($I$1148:$I$1158=select!$L$178)*(ROW($I$1148:$I$1158)-$B$1147),COUNTIF($I$1148:$I$1158,1)+1-ROW(A5))),"")</f>
        <v/>
      </c>
      <c r="C1182" s="18" t="str">
        <f t="array" aca="1" ref="C1182" ca="1">IFERROR(INDEX(select!$E$1148:$E$1158,LARGE(($I$1148:$I$1158=1)*(ROW($I$1148:$I$1158)-$B$1147),COUNTIF($I$1148:$I$1158,1)+1-ROW(A5))),"")</f>
        <v/>
      </c>
      <c r="D1182" s="18" t="str">
        <f t="array" aca="1" ref="D1182" ca="1">IFERROR(INDEX(select!$L$1148:$L$1158,LARGE(($I$1148:$I$1158=select!$L$178)*(ROW($I$1148:$I$1158)-$B$1147),COUNTIF($I$1148:$I$1158,1)+1-ROW(A5))),"")</f>
        <v/>
      </c>
      <c r="E1182" s="18" t="str">
        <f t="array" aca="1" ref="E1182" ca="1">IFERROR(INDEX(select!$A$1148:$A$1158,LARGE(($I$1148:$I$1158=select!$L$178)*(ROW($I$1148:$I$1158)-$B$1147),COUNTIF($I$1148:$I$1158,1)+1-ROW(A5))),"")</f>
        <v/>
      </c>
      <c r="F1182" s="18" t="str">
        <f t="array" aca="1" ref="F1182" ca="1">IFERROR(INDEX(select!$B$1148:$B$1158,LARGE(($I$1148:$I$1158=select!$L$178)*(ROW($I$1148:$I$1158)-$B$1147),COUNTIF($I$1148:$I$1158,1)+1-ROW(A5))),"")</f>
        <v/>
      </c>
      <c r="G1182" s="18" t="str">
        <f t="array" aca="1" ref="G1182" ca="1">IFERROR(INDEX(select!$C$1148:$C$1158,LARGE(($I$1148:$I$1158=select!$L$178)*(ROW($I$1148:$I$1158)-$B$1147),COUNTIF($I$1148:$I$1158,1)+1-ROW(A5))),"")</f>
        <v/>
      </c>
      <c r="I1182" s="71" t="str">
        <f t="shared" ca="1" si="281"/>
        <v/>
      </c>
      <c r="J1182" s="34" t="str">
        <f t="shared" ca="1" si="281"/>
        <v/>
      </c>
      <c r="K1182" s="34" t="str">
        <f t="shared" ca="1" si="281"/>
        <v/>
      </c>
      <c r="L1182" s="34" t="str">
        <f t="shared" ca="1" si="281"/>
        <v/>
      </c>
      <c r="M1182" s="34" t="str">
        <f t="shared" ca="1" si="281"/>
        <v/>
      </c>
      <c r="N1182" s="34" t="str">
        <f t="shared" ca="1" si="281"/>
        <v/>
      </c>
      <c r="O1182" s="55" t="str">
        <f t="shared" ca="1" si="281"/>
        <v/>
      </c>
    </row>
    <row r="1183" spans="1:18" hidden="1" outlineLevel="1" x14ac:dyDescent="0.25">
      <c r="A1183" s="18" t="str">
        <f t="array" aca="1" ref="A1183" ca="1">IFERROR(INDEX(select!$D$1148:$D$1158,LARGE(($I$1148:$I$1158=select!$L$178)*(ROW($I$1148:$I$1158)-$B$1147),COUNTIF($I$1148:$I$1158,1)+1-ROW(A6))),"")</f>
        <v/>
      </c>
      <c r="B1183" s="18" t="str">
        <f t="array" aca="1" ref="B1183" ca="1">IFERROR(INDEX($F$1148:$F$1158,LARGE(($I$1148:$I$1158=select!$L$178)*(ROW($I$1148:$I$1158)-$B$1147),COUNTIF($I$1148:$I$1158,1)+1-ROW(A6))),"")</f>
        <v/>
      </c>
      <c r="C1183" s="18" t="str">
        <f t="array" aca="1" ref="C1183" ca="1">IFERROR(INDEX(select!$E$1148:$E$1158,LARGE(($I$1148:$I$1158=1)*(ROW($I$1148:$I$1158)-$B$1147),COUNTIF($I$1148:$I$1158,1)+1-ROW(A6))),"")</f>
        <v/>
      </c>
      <c r="D1183" s="18" t="str">
        <f t="array" aca="1" ref="D1183" ca="1">IFERROR(INDEX(select!$L$1148:$L$1158,LARGE(($I$1148:$I$1158=select!$L$178)*(ROW($I$1148:$I$1158)-$B$1147),COUNTIF($I$1148:$I$1158,1)+1-ROW(A6))),"")</f>
        <v/>
      </c>
      <c r="E1183" s="18" t="str">
        <f t="array" aca="1" ref="E1183" ca="1">IFERROR(INDEX(select!$A$1148:$A$1158,LARGE(($I$1148:$I$1158=select!$L$178)*(ROW($I$1148:$I$1158)-$B$1147),COUNTIF($I$1148:$I$1158,1)+1-ROW(A6))),"")</f>
        <v/>
      </c>
      <c r="F1183" s="18" t="str">
        <f t="array" aca="1" ref="F1183" ca="1">IFERROR(INDEX(select!$B$1148:$B$1158,LARGE(($I$1148:$I$1158=select!$L$178)*(ROW($I$1148:$I$1158)-$B$1147),COUNTIF($I$1148:$I$1158,1)+1-ROW(A6))),"")</f>
        <v/>
      </c>
      <c r="G1183" s="18" t="str">
        <f t="array" aca="1" ref="G1183" ca="1">IFERROR(INDEX(select!$C$1148:$C$1158,LARGE(($I$1148:$I$1158=select!$L$178)*(ROW($I$1148:$I$1158)-$B$1147),COUNTIF($I$1148:$I$1158,1)+1-ROW(A6))),"")</f>
        <v/>
      </c>
      <c r="I1183" s="92" t="str">
        <f ca="1">IF($J$980=0,I1176,"")</f>
        <v/>
      </c>
      <c r="J1183" s="6" t="str">
        <f t="shared" ref="J1183:N1183" ca="1" si="282">IF($J$980=0,J1176,"")</f>
        <v/>
      </c>
      <c r="K1183" s="6" t="str">
        <f t="shared" ca="1" si="282"/>
        <v/>
      </c>
      <c r="L1183" s="6" t="str">
        <f t="shared" ca="1" si="282"/>
        <v/>
      </c>
      <c r="M1183" s="6" t="str">
        <f t="shared" ca="1" si="282"/>
        <v/>
      </c>
      <c r="N1183" s="6" t="str">
        <f t="shared" ca="1" si="282"/>
        <v/>
      </c>
      <c r="O1183" s="56" t="str">
        <f ca="1">IF($J$980=0,O1176,"")</f>
        <v/>
      </c>
    </row>
    <row r="1184" spans="1:18" hidden="1" outlineLevel="1" x14ac:dyDescent="0.25"/>
    <row r="1185" spans="1:15" hidden="1" outlineLevel="1" x14ac:dyDescent="0.25">
      <c r="A1185" t="str">
        <f>J1147</f>
        <v>9,5/32</v>
      </c>
      <c r="O1185">
        <f ca="1">COUNTBLANK(O1178:O1183)</f>
        <v>5</v>
      </c>
    </row>
    <row r="1186" spans="1:15" hidden="1" outlineLevel="1" x14ac:dyDescent="0.25">
      <c r="A1186" s="18" t="str">
        <f t="array" aca="1" ref="A1186" ca="1">IFERROR(INDEX(select!$D$1148:$D$1158,LARGE(($J$1148:$J$1158=select!$L$178)*(ROW($J$1148:$J$1158)-$B$1147),COUNTIF($J$1148:$J$1158,1)+1-ROW(A1))),Sprache!$A$56&amp;" "&amp;Sprache!$A$146)</f>
        <v>keine Lösungen</v>
      </c>
      <c r="B1186" s="18" t="str">
        <f t="array" aca="1" ref="B1186" ca="1">IFERROR(INDEX($F$1148:$F$1158,LARGE(($J$1148:$J$1158=select!$L$178)*(ROW($J$1148:$J$1158)-$B$1147),COUNTIF($J$1148:$J$1158,1)+1-ROW(A1))),Sprache!$A$38)</f>
        <v>Bitte Auswahl ändern!</v>
      </c>
      <c r="C1186" s="18" t="str">
        <f t="array" aca="1" ref="C1186" ca="1">IFERROR(INDEX(select!$E$1148:$E$1158,LARGE(($J$1148:$J$1158=1)*(ROW($J$1148:$J$1158)-$B$1147),COUNTIF($J$1148:$J$1158,1)+1-ROW(A1))),"")</f>
        <v/>
      </c>
      <c r="D1186" s="18" t="str">
        <f t="array" aca="1" ref="D1186" ca="1">IFERROR(INDEX(select!$L$1148:$L$1158,LARGE(($J$1148:$J$1158=select!$L$178)*(ROW($J$1148:$J$1158)-$B$1147),COUNTIF($J$1148:$J$1158,1)+1-ROW(A1))),"")</f>
        <v/>
      </c>
      <c r="E1186" s="18" t="str">
        <f t="array" aca="1" ref="E1186" ca="1">IFERROR(INDEX(select!$A$1148:$A$1158,LARGE(($J$1148:$J$1158=select!$L$178)*(ROW($J$1148:$J$1158)-$B$1147),COUNTIF($J$1148:$J$1158,1)+1-ROW(A1))),"")</f>
        <v/>
      </c>
      <c r="F1186" s="18" t="str">
        <f t="array" aca="1" ref="F1186" ca="1">IFERROR(INDEX(select!$B$1148:$B$1158,LARGE(($J$1148:$J$1158=select!$L$178)*(ROW($J$1148:$J$1158)-$B$1147),COUNTIF($J$1148:$J$1158,1)+1-ROW(A1))),"")</f>
        <v/>
      </c>
      <c r="G1186" s="18" t="str">
        <f t="array" aca="1" ref="G1186" ca="1">IFERROR(INDEX(select!$C$1148:$C$1158,LARGE(($J$1148:$J$1158=select!$L$178)*(ROW($J$1148:$J$1158)-$B$1147),COUNTIF($J$1148:$J$1158,1)+1-ROW(A1))),"")</f>
        <v/>
      </c>
      <c r="H1186" s="3"/>
    </row>
    <row r="1187" spans="1:15" hidden="1" outlineLevel="1" x14ac:dyDescent="0.25">
      <c r="A1187" s="18" t="str">
        <f t="array" aca="1" ref="A1187" ca="1">IFERROR(INDEX(select!$D$1148:$D$1158,LARGE(($J$1148:$J$1158=select!$L$178)*(ROW($J$1148:$J$1158)-$B$1147),COUNTIF($J$1148:$J$1158,1)+1-ROW(A2))),"")</f>
        <v/>
      </c>
      <c r="B1187" s="18" t="str">
        <f t="array" aca="1" ref="B1187" ca="1">IFERROR(INDEX($F$1148:$F$1158,LARGE(($J$1148:$J$1158=select!$L$178)*(ROW($J$1148:$J$1158)-$B$1147),COUNTIF($J$1148:$J$1158,1)+1-ROW(A2))),"")</f>
        <v/>
      </c>
      <c r="C1187" s="18" t="str">
        <f t="array" aca="1" ref="C1187" ca="1">IFERROR(INDEX(select!$E$1148:$E$1158,LARGE(($J$1148:$J$1158=1)*(ROW($J$1148:$J$1158)-$B$1147),COUNTIF($J$1148:$J$1158,1)+1-ROW(A2))),"")</f>
        <v/>
      </c>
      <c r="D1187" s="18" t="str">
        <f t="array" aca="1" ref="D1187" ca="1">IFERROR(INDEX(select!$L$1148:$L$1158,LARGE(($J$1148:$J$1158=select!$L$178)*(ROW($J$1148:$J$1158)-$B$1147),COUNTIF($J$1148:$J$1158,1)+1-ROW(A2))),"")</f>
        <v/>
      </c>
      <c r="E1187" s="18" t="str">
        <f t="array" aca="1" ref="E1187" ca="1">IFERROR(INDEX(select!$A$1148:$A$1158,LARGE(($J$1148:$J$1158=select!$L$178)*(ROW($J$1148:$J$1158)-$B$1147),COUNTIF($J$1148:$J$1158,1)+1-ROW(A2))),"")</f>
        <v/>
      </c>
      <c r="F1187" s="18" t="str">
        <f t="array" aca="1" ref="F1187" ca="1">IFERROR(INDEX(select!$B$1148:$B$1158,LARGE(($J$1148:$J$1158=select!$L$178)*(ROW($J$1148:$J$1158)-$B$1147),COUNTIF($J$1148:$J$1158,1)+1-ROW(A2))),"")</f>
        <v/>
      </c>
      <c r="G1187" s="18" t="str">
        <f t="array" aca="1" ref="G1187" ca="1">IFERROR(INDEX(select!$C$1148:$C$1158,LARGE(($J$1148:$J$1158=select!$L$178)*(ROW($J$1148:$J$1158)-$B$1147),COUNTIF($J$1148:$J$1158,1)+1-ROW(A2))),"")</f>
        <v/>
      </c>
    </row>
    <row r="1188" spans="1:15" hidden="1" outlineLevel="1" x14ac:dyDescent="0.25">
      <c r="A1188" s="18" t="str">
        <f t="array" aca="1" ref="A1188" ca="1">IFERROR(INDEX(select!$D$1148:$D$1158,LARGE(($J$1148:$J$1158=select!$L$178)*(ROW($J$1148:$J$1158)-$B$1147),COUNTIF($J$1148:$J$1158,1)+1-ROW(A3))),"")</f>
        <v/>
      </c>
      <c r="B1188" s="18" t="str">
        <f t="array" aca="1" ref="B1188" ca="1">IFERROR(INDEX($F$1148:$F$1158,LARGE(($J$1148:$J$1158=select!$L$178)*(ROW($J$1148:$J$1158)-$B$1147),COUNTIF($J$1148:$J$1158,1)+1-ROW(A3))),"")</f>
        <v/>
      </c>
      <c r="C1188" s="18" t="str">
        <f t="array" aca="1" ref="C1188" ca="1">IFERROR(INDEX(select!$E$1148:$E$1158,LARGE(($J$1148:$J$1158=1)*(ROW($J$1148:$J$1158)-$B$1147),COUNTIF($J$1148:$J$1158,1)+1-ROW(A3))),"")</f>
        <v/>
      </c>
      <c r="D1188" s="18" t="str">
        <f t="array" aca="1" ref="D1188" ca="1">IFERROR(INDEX(select!$L$1148:$L$1158,LARGE(($J$1148:$J$1158=select!$L$178)*(ROW($J$1148:$J$1158)-$B$1147),COUNTIF($J$1148:$J$1158,1)+1-ROW(A3))),"")</f>
        <v/>
      </c>
      <c r="E1188" s="18" t="str">
        <f t="array" aca="1" ref="E1188" ca="1">IFERROR(INDEX(select!$A$1148:$A$1158,LARGE(($J$1148:$J$1158=select!$L$178)*(ROW($J$1148:$J$1158)-$B$1147),COUNTIF($J$1148:$J$1158,1)+1-ROW(A3))),"")</f>
        <v/>
      </c>
      <c r="F1188" s="18" t="str">
        <f t="array" aca="1" ref="F1188" ca="1">IFERROR(INDEX(select!$B$1148:$B$1158,LARGE(($J$1148:$J$1158=select!$L$178)*(ROW($J$1148:$J$1158)-$B$1147),COUNTIF($J$1148:$J$1158,1)+1-ROW(A3))),"")</f>
        <v/>
      </c>
      <c r="G1188" s="18" t="str">
        <f t="array" aca="1" ref="G1188" ca="1">IFERROR(INDEX(select!$C$1148:$C$1158,LARGE(($J$1148:$J$1158=select!$L$178)*(ROW($J$1148:$J$1158)-$B$1147),COUNTIF($J$1148:$J$1158,1)+1-ROW(A3))),"")</f>
        <v/>
      </c>
    </row>
    <row r="1189" spans="1:15" hidden="1" outlineLevel="1" x14ac:dyDescent="0.25">
      <c r="A1189" s="18" t="str">
        <f t="array" aca="1" ref="A1189" ca="1">IFERROR(INDEX(select!$D$1148:$D$1158,LARGE(($J$1148:$J$1158=select!$L$178)*(ROW($J$1148:$J$1158)-$B$1147),COUNTIF($J$1148:$J$1158,1)+1-ROW(A4))),"")</f>
        <v/>
      </c>
      <c r="B1189" s="18" t="str">
        <f t="array" aca="1" ref="B1189" ca="1">IFERROR(INDEX($F$1148:$F$1158,LARGE(($J$1148:$J$1158=select!$L$178)*(ROW($J$1148:$J$1158)-$B$1147),COUNTIF($J$1148:$J$1158,1)+1-ROW(A4))),"")</f>
        <v/>
      </c>
      <c r="C1189" s="18" t="str">
        <f t="array" aca="1" ref="C1189" ca="1">IFERROR(INDEX(select!$E$1148:$E$1158,LARGE(($J$1148:$J$1158=1)*(ROW($J$1148:$J$1158)-$B$1147),COUNTIF($J$1148:$J$1158,1)+1-ROW(A4))),"")</f>
        <v/>
      </c>
      <c r="D1189" s="18" t="str">
        <f t="array" aca="1" ref="D1189" ca="1">IFERROR(INDEX(select!$L$1148:$L$1158,LARGE(($J$1148:$J$1158=select!$L$178)*(ROW($J$1148:$J$1158)-$B$1147),COUNTIF($J$1148:$J$1158,1)+1-ROW(A4))),"")</f>
        <v/>
      </c>
      <c r="E1189" s="18" t="str">
        <f t="array" aca="1" ref="E1189" ca="1">IFERROR(INDEX(select!$A$1148:$A$1158,LARGE(($J$1148:$J$1158=select!$L$178)*(ROW($J$1148:$J$1158)-$B$1147),COUNTIF($J$1148:$J$1158,1)+1-ROW(A4))),"")</f>
        <v/>
      </c>
      <c r="F1189" s="18" t="str">
        <f t="array" aca="1" ref="F1189" ca="1">IFERROR(INDEX(select!$B$1148:$B$1158,LARGE(($J$1148:$J$1158=select!$L$178)*(ROW($J$1148:$J$1158)-$B$1147),COUNTIF($J$1148:$J$1158,1)+1-ROW(A4))),"")</f>
        <v/>
      </c>
      <c r="G1189" s="18" t="str">
        <f t="array" aca="1" ref="G1189" ca="1">IFERROR(INDEX(select!$C$1148:$C$1158,LARGE(($J$1148:$J$1158=select!$L$178)*(ROW($J$1148:$J$1158)-$B$1147),COUNTIF($J$1148:$J$1158,1)+1-ROW(A4))),"")</f>
        <v/>
      </c>
    </row>
    <row r="1190" spans="1:15" hidden="1" outlineLevel="1" x14ac:dyDescent="0.25">
      <c r="A1190" s="18" t="str">
        <f t="array" aca="1" ref="A1190" ca="1">IFERROR(INDEX(select!$D$1148:$D$1158,LARGE(($J$1148:$J$1158=select!$L$178)*(ROW($J$1148:$J$1158)-$B$1147),COUNTIF($J$1148:$J$1158,1)+1-ROW(A5))),"")</f>
        <v/>
      </c>
      <c r="B1190" s="18" t="str">
        <f t="array" aca="1" ref="B1190" ca="1">IFERROR(INDEX($F$1148:$F$1158,LARGE(($J$1148:$J$1158=select!$L$178)*(ROW($J$1148:$J$1158)-$B$1147),COUNTIF($J$1148:$J$1158,1)+1-ROW(A5))),"")</f>
        <v/>
      </c>
      <c r="C1190" s="18" t="str">
        <f t="array" aca="1" ref="C1190" ca="1">IFERROR(INDEX(select!$E$1148:$E$1158,LARGE(($J$1148:$J$1158=1)*(ROW($J$1148:$J$1158)-$B$1147),COUNTIF($J$1148:$J$1158,1)+1-ROW(A5))),"")</f>
        <v/>
      </c>
      <c r="D1190" s="18" t="str">
        <f t="array" aca="1" ref="D1190" ca="1">IFERROR(INDEX(select!$L$1148:$L$1158,LARGE(($J$1148:$J$1158=select!$L$178)*(ROW($J$1148:$J$1158)-$B$1147),COUNTIF($J$1148:$J$1158,1)+1-ROW(A5))),"")</f>
        <v/>
      </c>
      <c r="E1190" s="18" t="str">
        <f t="array" aca="1" ref="E1190" ca="1">IFERROR(INDEX(select!$A$1148:$A$1158,LARGE(($J$1148:$J$1158=select!$L$178)*(ROW($J$1148:$J$1158)-$B$1147),COUNTIF($J$1148:$J$1158,1)+1-ROW(A5))),"")</f>
        <v/>
      </c>
      <c r="F1190" s="18" t="str">
        <f t="array" aca="1" ref="F1190" ca="1">IFERROR(INDEX(select!$B$1148:$B$1158,LARGE(($J$1148:$J$1158=select!$L$178)*(ROW($J$1148:$J$1158)-$B$1147),COUNTIF($J$1148:$J$1158,1)+1-ROW(A5))),"")</f>
        <v/>
      </c>
      <c r="G1190" s="18" t="str">
        <f t="array" aca="1" ref="G1190" ca="1">IFERROR(INDEX(select!$C$1148:$C$1158,LARGE(($J$1148:$J$1158=select!$L$178)*(ROW($J$1148:$J$1158)-$B$1147),COUNTIF($J$1148:$J$1158,1)+1-ROW(A5))),"")</f>
        <v/>
      </c>
    </row>
    <row r="1191" spans="1:15" hidden="1" outlineLevel="1" x14ac:dyDescent="0.25">
      <c r="A1191" s="18" t="str">
        <f t="array" aca="1" ref="A1191" ca="1">IFERROR(INDEX(select!$D$1148:$D$1158,LARGE(($J$1148:$J$1158=select!$L$178)*(ROW($J$1148:$J$1158)-$B$1147),COUNTIF($J$1148:$J$1158,1)+1-ROW(A6))),"")</f>
        <v/>
      </c>
      <c r="B1191" s="18" t="str">
        <f t="array" aca="1" ref="B1191" ca="1">IFERROR(INDEX($F$1148:$F$1158,LARGE(($J$1148:$J$1158=select!$L$178)*(ROW($J$1148:$J$1158)-$B$1147),COUNTIF($J$1148:$J$1158,1)+1-ROW(A6))),"")</f>
        <v/>
      </c>
      <c r="C1191" s="18" t="str">
        <f t="array" aca="1" ref="C1191" ca="1">IFERROR(INDEX(select!$E$1148:$E$1158,LARGE(($J$1148:$J$1158=1)*(ROW($J$1148:$J$1158)-$B$1147),COUNTIF($J$1148:$J$1158,1)+1-ROW(A6))),"")</f>
        <v/>
      </c>
      <c r="D1191" s="18" t="str">
        <f t="array" aca="1" ref="D1191" ca="1">IFERROR(INDEX(select!$L$1148:$L$1158,LARGE(($J$1148:$J$1158=select!$L$178)*(ROW($J$1148:$J$1158)-$B$1147),COUNTIF($J$1148:$J$1158,1)+1-ROW(A6))),"")</f>
        <v/>
      </c>
      <c r="E1191" s="18" t="str">
        <f t="array" aca="1" ref="E1191" ca="1">IFERROR(INDEX(select!$A$1148:$A$1158,LARGE(($J$1148:$J$1158=select!$L$178)*(ROW($J$1148:$J$1158)-$B$1147),COUNTIF($J$1148:$J$1158,1)+1-ROW(A6))),"")</f>
        <v/>
      </c>
      <c r="F1191" s="18" t="str">
        <f t="array" aca="1" ref="F1191" ca="1">IFERROR(INDEX(select!$B$1148:$B$1158,LARGE(($J$1148:$J$1158=select!$L$178)*(ROW($J$1148:$J$1158)-$B$1147),COUNTIF($J$1148:$J$1158,1)+1-ROW(A6))),"")</f>
        <v/>
      </c>
      <c r="G1191" s="18" t="str">
        <f t="array" aca="1" ref="G1191" ca="1">IFERROR(INDEX(select!$C$1148:$C$1158,LARGE(($J$1148:$J$1158=select!$L$178)*(ROW($J$1148:$J$1158)-$B$1147),COUNTIF($J$1148:$J$1158,1)+1-ROW(A6))),"")</f>
        <v/>
      </c>
    </row>
    <row r="1192" spans="1:15" hidden="1" outlineLevel="1" x14ac:dyDescent="0.25"/>
    <row r="1193" spans="1:15" hidden="1" outlineLevel="1" x14ac:dyDescent="0.25">
      <c r="A1193" t="str">
        <f>K1147</f>
        <v>10/32</v>
      </c>
    </row>
    <row r="1194" spans="1:15" hidden="1" outlineLevel="1" x14ac:dyDescent="0.25">
      <c r="A1194" s="18" t="str">
        <f t="array" aca="1" ref="A1194" ca="1">IFERROR(INDEX(select!$D$1148:$D$1158,LARGE(($K$1148:$K$1158=select!$L$178)*(ROW($K$1148:$K$1158)-$B$1147),COUNTIF($K$1148:$K$1158,1)+1-ROW(A1))),Sprache!$A$56&amp;" "&amp;Sprache!$A$146)</f>
        <v>keine Lösungen</v>
      </c>
      <c r="B1194" s="18" t="str">
        <f t="array" aca="1" ref="B1194" ca="1">IFERROR(INDEX($F$1148:$F$1158,LARGE(($K$1148:$K$1158=select!$L$178)*(ROW($K$1148:$K$1158)-$B$1147),COUNTIF($K$1148:$K$1158,1)+1-ROW(A1))),Sprache!$A$38)</f>
        <v>Bitte Auswahl ändern!</v>
      </c>
      <c r="C1194" s="18" t="str">
        <f t="array" aca="1" ref="C1194" ca="1">IFERROR(INDEX(select!$E$1148:$E$1158,LARGE(($K$1148:$K$1158=1)*(ROW($K$1148:$K$1158)-$B$1147),COUNTIF($K$1148:$K$1158,1)+1-ROW(A1))),"")</f>
        <v/>
      </c>
      <c r="D1194" s="18" t="str">
        <f t="array" aca="1" ref="D1194" ca="1">IFERROR(INDEX(select!$L$1148:$L$1158,LARGE(($K$1148:$K$1158=select!$L$178)*(ROW($K$1148:$K$1158)-$B$1147),COUNTIF($K$1148:$K$1158,1)+1-ROW(A1))),"")</f>
        <v/>
      </c>
      <c r="E1194" s="18" t="str">
        <f t="array" aca="1" ref="E1194" ca="1">IFERROR(INDEX(select!$A$1148:$A$1158,LARGE(($K$1148:$K$1158=select!$L$178)*(ROW($K$1148:$K$1158)-$B$1147),COUNTIF($K$1148:$K$1158,1)+1-ROW(A1))),"")</f>
        <v/>
      </c>
      <c r="F1194" s="18" t="str">
        <f t="array" aca="1" ref="F1194" ca="1">IFERROR(INDEX(select!$B$1148:$B$1158,LARGE(($K$1148:$K$1158=select!$L$178)*(ROW($K$1148:$K$1158)-$B$1147),COUNTIF($K$1148:$K$1158,1)+1-ROW(A1))),"")</f>
        <v/>
      </c>
      <c r="G1194" s="18" t="str">
        <f t="array" aca="1" ref="G1194" ca="1">IFERROR(INDEX(select!$C$1148:$C$1158,LARGE(($K$1148:$K$1158=select!$L$178)*(ROW($K$1148:$K$1158)-$B$1147),COUNTIF($K$1148:$K$1158,1)+1-ROW(A1))),"")</f>
        <v/>
      </c>
      <c r="H1194" s="3"/>
    </row>
    <row r="1195" spans="1:15" hidden="1" outlineLevel="1" x14ac:dyDescent="0.25">
      <c r="A1195" s="18" t="str">
        <f t="array" aca="1" ref="A1195" ca="1">IFERROR(INDEX(select!$D$1148:$D$1158,LARGE(($K$1148:$K$1158=select!$L$178)*(ROW($K$1148:$K$1158)-$B$1147),COUNTIF($K$1148:$K$1158,1)+1-ROW(A2))),"")</f>
        <v/>
      </c>
      <c r="B1195" s="18" t="str">
        <f t="array" aca="1" ref="B1195" ca="1">IFERROR(INDEX($F$1148:$F$1158,LARGE(($K$1148:$K$1158=select!$L$178)*(ROW($K$1148:$K$1158)-$B$1147),COUNTIF($K$1148:$K$1158,1)+1-ROW(A2))),"")</f>
        <v/>
      </c>
      <c r="C1195" s="18" t="str">
        <f t="array" aca="1" ref="C1195" ca="1">IFERROR(INDEX(select!$E$1148:$E$1158,LARGE(($K$1148:$K$1158=1)*(ROW($K$1148:$K$1158)-$B$1147),COUNTIF($K$1148:$K$1158,1)+1-ROW(A2))),"")</f>
        <v/>
      </c>
      <c r="D1195" s="18" t="str">
        <f t="array" aca="1" ref="D1195" ca="1">IFERROR(INDEX(select!$L$1148:$L$1158,LARGE(($K$1148:$K$1158=select!$L$178)*(ROW($K$1148:$K$1158)-$B$1147),COUNTIF($K$1148:$K$1158,1)+1-ROW(A2))),"")</f>
        <v/>
      </c>
      <c r="E1195" s="18" t="str">
        <f t="array" aca="1" ref="E1195" ca="1">IFERROR(INDEX(select!$A$1148:$A$1158,LARGE(($K$1148:$K$1158=select!$L$178)*(ROW($K$1148:$K$1158)-$B$1147),COUNTIF($K$1148:$K$1158,1)+1-ROW(A2))),"")</f>
        <v/>
      </c>
      <c r="F1195" s="18" t="str">
        <f t="array" aca="1" ref="F1195" ca="1">IFERROR(INDEX(select!$B$1148:$B$1158,LARGE(($K$1148:$K$1158=select!$L$178)*(ROW($K$1148:$K$1158)-$B$1147),COUNTIF($K$1148:$K$1158,1)+1-ROW(A2))),"")</f>
        <v/>
      </c>
      <c r="G1195" s="18" t="str">
        <f t="array" aca="1" ref="G1195" ca="1">IFERROR(INDEX(select!$C$1148:$C$1158,LARGE(($K$1148:$K$1158=select!$L$178)*(ROW($K$1148:$K$1158)-$B$1147),COUNTIF($K$1148:$K$1158,1)+1-ROW(A2))),"")</f>
        <v/>
      </c>
    </row>
    <row r="1196" spans="1:15" hidden="1" outlineLevel="1" x14ac:dyDescent="0.25">
      <c r="A1196" s="18" t="str">
        <f t="array" aca="1" ref="A1196" ca="1">IFERROR(INDEX(select!$D$1148:$D$1158,LARGE(($K$1148:$K$1158=select!$L$178)*(ROW($K$1148:$K$1158)-$B$1147),COUNTIF($K$1148:$K$1158,1)+1-ROW(A3))),"")</f>
        <v/>
      </c>
      <c r="B1196" s="18" t="str">
        <f t="array" aca="1" ref="B1196" ca="1">IFERROR(INDEX($F$1148:$F$1158,LARGE(($K$1148:$K$1158=select!$L$178)*(ROW($K$1148:$K$1158)-$B$1147),COUNTIF($K$1148:$K$1158,1)+1-ROW(A3))),"")</f>
        <v/>
      </c>
      <c r="C1196" s="18" t="str">
        <f t="array" aca="1" ref="C1196" ca="1">IFERROR(INDEX(select!$E$1148:$E$1158,LARGE(($K$1148:$K$1158=1)*(ROW($K$1148:$K$1158)-$B$1147),COUNTIF($K$1148:$K$1158,1)+1-ROW(A3))),"")</f>
        <v/>
      </c>
      <c r="D1196" s="18" t="str">
        <f t="array" aca="1" ref="D1196" ca="1">IFERROR(INDEX(select!$L$1148:$L$1158,LARGE(($K$1148:$K$1158=select!$L$178)*(ROW($K$1148:$K$1158)-$B$1147),COUNTIF($K$1148:$K$1158,1)+1-ROW(A3))),"")</f>
        <v/>
      </c>
      <c r="E1196" s="18" t="str">
        <f t="array" aca="1" ref="E1196" ca="1">IFERROR(INDEX(select!$A$1148:$A$1158,LARGE(($K$1148:$K$1158=select!$L$178)*(ROW($K$1148:$K$1158)-$B$1147),COUNTIF($K$1148:$K$1158,1)+1-ROW(A3))),"")</f>
        <v/>
      </c>
      <c r="F1196" s="18" t="str">
        <f t="array" aca="1" ref="F1196" ca="1">IFERROR(INDEX(select!$B$1148:$B$1158,LARGE(($K$1148:$K$1158=select!$L$178)*(ROW($K$1148:$K$1158)-$B$1147),COUNTIF($K$1148:$K$1158,1)+1-ROW(A3))),"")</f>
        <v/>
      </c>
      <c r="G1196" s="18" t="str">
        <f t="array" aca="1" ref="G1196" ca="1">IFERROR(INDEX(select!$C$1148:$C$1158,LARGE(($K$1148:$K$1158=select!$L$178)*(ROW($K$1148:$K$1158)-$B$1147),COUNTIF($K$1148:$K$1158,1)+1-ROW(A3))),"")</f>
        <v/>
      </c>
    </row>
    <row r="1197" spans="1:15" hidden="1" outlineLevel="1" x14ac:dyDescent="0.25">
      <c r="A1197" s="18" t="str">
        <f t="array" aca="1" ref="A1197" ca="1">IFERROR(INDEX(select!$D$1148:$D$1158,LARGE(($K$1148:$K$1158=select!$L$178)*(ROW($K$1148:$K$1158)-$B$1147),COUNTIF($K$1148:$K$1158,1)+1-ROW(A4))),"")</f>
        <v/>
      </c>
      <c r="B1197" s="18" t="str">
        <f t="array" aca="1" ref="B1197" ca="1">IFERROR(INDEX($F$1148:$F$1158,LARGE(($K$1148:$K$1158=select!$L$178)*(ROW($K$1148:$K$1158)-$B$1147),COUNTIF($K$1148:$K$1158,1)+1-ROW(A4))),"")</f>
        <v/>
      </c>
      <c r="C1197" s="18" t="str">
        <f t="array" aca="1" ref="C1197" ca="1">IFERROR(INDEX(select!$E$1148:$E$1158,LARGE(($K$1148:$K$1158=1)*(ROW($K$1148:$K$1158)-$B$1147),COUNTIF($K$1148:$K$1158,1)+1-ROW(A4))),"")</f>
        <v/>
      </c>
      <c r="D1197" s="18" t="str">
        <f t="array" aca="1" ref="D1197" ca="1">IFERROR(INDEX(select!$L$1148:$L$1158,LARGE(($K$1148:$K$1158=select!$L$178)*(ROW($K$1148:$K$1158)-$B$1147),COUNTIF($K$1148:$K$1158,1)+1-ROW(A4))),"")</f>
        <v/>
      </c>
      <c r="E1197" s="18" t="str">
        <f t="array" aca="1" ref="E1197" ca="1">IFERROR(INDEX(select!$A$1148:$A$1158,LARGE(($K$1148:$K$1158=select!$L$178)*(ROW($K$1148:$K$1158)-$B$1147),COUNTIF($K$1148:$K$1158,1)+1-ROW(A4))),"")</f>
        <v/>
      </c>
      <c r="F1197" s="18" t="str">
        <f t="array" aca="1" ref="F1197" ca="1">IFERROR(INDEX(select!$B$1148:$B$1158,LARGE(($K$1148:$K$1158=select!$L$178)*(ROW($K$1148:$K$1158)-$B$1147),COUNTIF($K$1148:$K$1158,1)+1-ROW(A4))),"")</f>
        <v/>
      </c>
      <c r="G1197" s="18" t="str">
        <f t="array" aca="1" ref="G1197" ca="1">IFERROR(INDEX(select!$C$1148:$C$1158,LARGE(($K$1148:$K$1158=select!$L$178)*(ROW($K$1148:$K$1158)-$B$1147),COUNTIF($K$1148:$K$1158,1)+1-ROW(A4))),"")</f>
        <v/>
      </c>
    </row>
    <row r="1198" spans="1:15" hidden="1" outlineLevel="1" x14ac:dyDescent="0.25">
      <c r="A1198" s="18" t="str">
        <f t="array" aca="1" ref="A1198" ca="1">IFERROR(INDEX(select!$D$1148:$D$1158,LARGE(($K$1148:$K$1158=select!$L$178)*(ROW($K$1148:$K$1158)-$B$1147),COUNTIF($K$1148:$K$1158,1)+1-ROW(A5))),"")</f>
        <v/>
      </c>
      <c r="B1198" s="18" t="str">
        <f t="array" aca="1" ref="B1198" ca="1">IFERROR(INDEX($F$1148:$F$1158,LARGE(($K$1148:$K$1158=select!$L$178)*(ROW($K$1148:$K$1158)-$B$1147),COUNTIF($K$1148:$K$1158,1)+1-ROW(A5))),"")</f>
        <v/>
      </c>
      <c r="C1198" s="18" t="str">
        <f t="array" aca="1" ref="C1198" ca="1">IFERROR(INDEX(select!$E$1148:$E$1158,LARGE(($K$1148:$K$1158=1)*(ROW($K$1148:$K$1158)-$B$1147),COUNTIF($K$1148:$K$1158,1)+1-ROW(A5))),"")</f>
        <v/>
      </c>
      <c r="D1198" s="18" t="str">
        <f t="array" aca="1" ref="D1198" ca="1">IFERROR(INDEX(select!$L$1148:$L$1158,LARGE(($K$1148:$K$1158=select!$L$178)*(ROW($K$1148:$K$1158)-$B$1147),COUNTIF($K$1148:$K$1158,1)+1-ROW(A5))),"")</f>
        <v/>
      </c>
      <c r="E1198" s="18" t="str">
        <f t="array" aca="1" ref="E1198" ca="1">IFERROR(INDEX(select!$A$1148:$A$1158,LARGE(($K$1148:$K$1158=select!$L$178)*(ROW($K$1148:$K$1158)-$B$1147),COUNTIF($K$1148:$K$1158,1)+1-ROW(A5))),"")</f>
        <v/>
      </c>
      <c r="F1198" s="18" t="str">
        <f t="array" aca="1" ref="F1198" ca="1">IFERROR(INDEX(select!$B$1148:$B$1158,LARGE(($K$1148:$K$1158=select!$L$178)*(ROW($K$1148:$K$1158)-$B$1147),COUNTIF($K$1148:$K$1158,1)+1-ROW(A5))),"")</f>
        <v/>
      </c>
      <c r="G1198" s="18" t="str">
        <f t="array" aca="1" ref="G1198" ca="1">IFERROR(INDEX(select!$C$1148:$C$1158,LARGE(($K$1148:$K$1158=select!$L$178)*(ROW($K$1148:$K$1158)-$B$1147),COUNTIF($K$1148:$K$1158,1)+1-ROW(A5))),"")</f>
        <v/>
      </c>
    </row>
    <row r="1199" spans="1:15" hidden="1" outlineLevel="1" x14ac:dyDescent="0.25">
      <c r="A1199" s="18" t="str">
        <f t="array" aca="1" ref="A1199" ca="1">IFERROR(INDEX(select!$D$1148:$D$1158,LARGE(($K$1148:$K$1158=select!$L$178)*(ROW($K$1148:$K$1158)-$B$1147),COUNTIF($K$1148:$K$1158,1)+1-ROW(A6))),"")</f>
        <v/>
      </c>
      <c r="B1199" s="18" t="str">
        <f t="array" aca="1" ref="B1199" ca="1">IFERROR(INDEX($F$1148:$F$1158,LARGE(($K$1148:$K$1158=select!$L$178)*(ROW($K$1148:$K$1158)-$B$1147),COUNTIF($K$1148:$K$1158,1)+1-ROW(A6))),"")</f>
        <v/>
      </c>
      <c r="C1199" s="18" t="str">
        <f t="array" aca="1" ref="C1199" ca="1">IFERROR(INDEX(select!$E$1148:$E$1158,LARGE(($K$1148:$K$1158=1)*(ROW($K$1148:$K$1158)-$B$1147),COUNTIF($K$1148:$K$1158,1)+1-ROW(A6))),"")</f>
        <v/>
      </c>
      <c r="D1199" s="18" t="str">
        <f t="array" aca="1" ref="D1199" ca="1">IFERROR(INDEX(select!$L$1148:$L$1158,LARGE(($K$1148:$K$1158=select!$L$178)*(ROW($K$1148:$K$1158)-$B$1147),COUNTIF($K$1148:$K$1158,1)+1-ROW(A6))),"")</f>
        <v/>
      </c>
      <c r="E1199" s="18" t="str">
        <f t="array" aca="1" ref="E1199" ca="1">IFERROR(INDEX(select!$A$1148:$A$1158,LARGE(($K$1148:$K$1158=select!$L$178)*(ROW($K$1148:$K$1158)-$B$1147),COUNTIF($K$1148:$K$1158,1)+1-ROW(A6))),"")</f>
        <v/>
      </c>
      <c r="F1199" s="18" t="str">
        <f t="array" aca="1" ref="F1199" ca="1">IFERROR(INDEX(select!$B$1148:$B$1158,LARGE(($K$1148:$K$1158=select!$L$178)*(ROW($K$1148:$K$1158)-$B$1147),COUNTIF($K$1148:$K$1158,1)+1-ROW(A6))),"")</f>
        <v/>
      </c>
      <c r="G1199" s="18" t="str">
        <f t="array" aca="1" ref="G1199" ca="1">IFERROR(INDEX(select!$C$1148:$C$1158,LARGE(($K$1148:$K$1158=select!$L$178)*(ROW($K$1148:$K$1158)-$B$1147),COUNTIF($K$1148:$K$1158,1)+1-ROW(A6))),"")</f>
        <v/>
      </c>
    </row>
    <row r="1200" spans="1:15" hidden="1" outlineLevel="1" x14ac:dyDescent="0.25"/>
    <row r="1201" spans="1:27" hidden="1" outlineLevel="1" x14ac:dyDescent="0.25"/>
    <row r="1202" spans="1:27" s="335" customFormat="1" hidden="1" outlineLevel="1" x14ac:dyDescent="0.25">
      <c r="B1202" s="223" t="str">
        <f>B984</f>
        <v>Tiomos 110 AL</v>
      </c>
    </row>
    <row r="1203" spans="1:27" hidden="1" outlineLevel="1" x14ac:dyDescent="0.25"/>
    <row r="1204" spans="1:27" hidden="1" outlineLevel="1" x14ac:dyDescent="0.25">
      <c r="B1204" t="str">
        <f ca="1">M1025</f>
        <v/>
      </c>
      <c r="C1204" t="s">
        <v>1868</v>
      </c>
    </row>
    <row r="1205" spans="1:27" hidden="1" outlineLevel="1" x14ac:dyDescent="0.25">
      <c r="B1205">
        <f>P1008</f>
        <v>9</v>
      </c>
      <c r="C1205" t="s">
        <v>1463</v>
      </c>
      <c r="M1205" t="s">
        <v>1891</v>
      </c>
      <c r="O1205" s="40" t="e">
        <f ca="1">HLOOKUP($F$1326,M1206:Q1207,2,FALSE)</f>
        <v>#N/A</v>
      </c>
    </row>
    <row r="1206" spans="1:27" ht="15.75" hidden="1" outlineLevel="1" thickBot="1" x14ac:dyDescent="0.3">
      <c r="B1206" t="e">
        <f ca="1">B1204-B1205</f>
        <v>#VALUE!</v>
      </c>
      <c r="M1206">
        <v>0</v>
      </c>
      <c r="N1206">
        <v>3</v>
      </c>
      <c r="O1206">
        <v>9.5</v>
      </c>
      <c r="P1206">
        <v>19</v>
      </c>
      <c r="Q1206">
        <v>-1000</v>
      </c>
    </row>
    <row r="1207" spans="1:27" hidden="1" outlineLevel="1" x14ac:dyDescent="0.25">
      <c r="K1207" s="1080">
        <v>2</v>
      </c>
      <c r="M1207" t="e">
        <f ca="1">C1212</f>
        <v>#VALUE!</v>
      </c>
      <c r="N1207" t="e">
        <f ca="1">E1212</f>
        <v>#VALUE!</v>
      </c>
      <c r="O1207" t="e">
        <f ca="1">G1212</f>
        <v>#VALUE!</v>
      </c>
      <c r="P1207" t="e">
        <f ca="1">I1212</f>
        <v>#VALUE!</v>
      </c>
      <c r="Q1207" s="845" t="s">
        <v>2302</v>
      </c>
    </row>
    <row r="1208" spans="1:27" ht="15.75" hidden="1" outlineLevel="1" thickBot="1" x14ac:dyDescent="0.3">
      <c r="K1208" s="1081"/>
    </row>
    <row r="1209" spans="1:27" hidden="1" outlineLevel="1" x14ac:dyDescent="0.25"/>
    <row r="1210" spans="1:27" hidden="1" outlineLevel="1" x14ac:dyDescent="0.25">
      <c r="C1210" s="1" t="s">
        <v>1418</v>
      </c>
      <c r="D1210" s="1" t="s">
        <v>1879</v>
      </c>
      <c r="Q1210" t="s">
        <v>2301</v>
      </c>
      <c r="R1210" s="629">
        <v>0</v>
      </c>
      <c r="S1210" s="630"/>
      <c r="T1210" s="629">
        <v>3</v>
      </c>
      <c r="U1210" s="630"/>
      <c r="V1210" s="629">
        <v>9.5</v>
      </c>
      <c r="W1210" s="630"/>
      <c r="X1210" s="629">
        <v>19</v>
      </c>
      <c r="Y1210" s="630"/>
      <c r="AA1210" t="s">
        <v>2285</v>
      </c>
    </row>
    <row r="1211" spans="1:27" hidden="1" outlineLevel="1" x14ac:dyDescent="0.25">
      <c r="B1211" t="s">
        <v>5</v>
      </c>
      <c r="C1211" s="1094">
        <v>0</v>
      </c>
      <c r="D1211" s="1094"/>
      <c r="E1211" s="1094">
        <v>3</v>
      </c>
      <c r="F1211" s="1094"/>
      <c r="G1211" s="1094">
        <v>9.5</v>
      </c>
      <c r="H1211" s="1094"/>
      <c r="I1211" s="1094">
        <v>19</v>
      </c>
      <c r="J1211" s="1094"/>
      <c r="K1211" s="356" t="s">
        <v>1869</v>
      </c>
      <c r="Q1211">
        <f>S1027</f>
        <v>19</v>
      </c>
      <c r="R1211">
        <f>(Q1211-$B$1205)-$C$1211</f>
        <v>10</v>
      </c>
      <c r="S1211" s="351">
        <f>IFERROR(VLOOKUP(R1211,$M$1216:$N$1259,2,FALSE),0)</f>
        <v>0</v>
      </c>
      <c r="T1211">
        <f>(Q1211-$B$1205)-$E$1211</f>
        <v>7</v>
      </c>
      <c r="U1211" s="351">
        <f>IFERROR(VLOOKUP(T1211,$M$1216:$N$1259,2,FALSE),0)</f>
        <v>0</v>
      </c>
      <c r="V1211">
        <f>(Q1211-$B$1205)-$G$1211</f>
        <v>0.5</v>
      </c>
      <c r="W1211" s="351">
        <f>IFERROR(VLOOKUP(V1211,$M$1216:$N$1259,2,FALSE),0)</f>
        <v>0</v>
      </c>
      <c r="X1211">
        <f>(Q1211-$B$1205)-$I$1211</f>
        <v>-9</v>
      </c>
      <c r="Y1211" s="351">
        <f>IFERROR(VLOOKUP(X1211,$M$1216:$N$1259,2,FALSE),0)</f>
        <v>0</v>
      </c>
      <c r="AA1211" s="351">
        <f>IF((S1211+U1211+W1211+Y1211)&gt;0,1,0)</f>
        <v>0</v>
      </c>
    </row>
    <row r="1212" spans="1:27" hidden="1" outlineLevel="1" x14ac:dyDescent="0.25">
      <c r="C1212" s="3" t="e">
        <f ca="1">($B$1204-($B$1205+K1212))-$C$1211</f>
        <v>#VALUE!</v>
      </c>
      <c r="D1212" s="351">
        <f ca="1">IFERROR(VLOOKUP(C1212,$M$1216:$N$1259,2,FALSE),0)</f>
        <v>0</v>
      </c>
      <c r="E1212" s="2" t="e">
        <f ca="1">($B$1204-($B$1205+K1212))-$E$1211</f>
        <v>#VALUE!</v>
      </c>
      <c r="F1212" s="351">
        <f ca="1">IFERROR(VLOOKUP(E1212,$M$1216:$N$1259,2,FALSE),0)</f>
        <v>0</v>
      </c>
      <c r="G1212" s="2" t="e">
        <f ca="1">($B$1204-($B$1205+K1212))-$G$1211</f>
        <v>#VALUE!</v>
      </c>
      <c r="H1212" s="351">
        <f ca="1">IFERROR(VLOOKUP(G1212,$M$1216:$N$1259,2,FALSE),0)</f>
        <v>0</v>
      </c>
      <c r="I1212" s="2" t="e">
        <f ca="1">($B$1204-($B$1205+K1212))-$I$1211</f>
        <v>#VALUE!</v>
      </c>
      <c r="J1212" s="351">
        <f ca="1">IFERROR(VLOOKUP(I1212,$M$1216:$N$1259,2,FALSE),0)</f>
        <v>0</v>
      </c>
      <c r="K1212" s="2">
        <v>0</v>
      </c>
      <c r="Q1212">
        <f>S1028</f>
        <v>20</v>
      </c>
      <c r="R1212">
        <f t="shared" ref="R1212:R1213" si="283">(Q1212-$B$1205)-$C$1211</f>
        <v>11</v>
      </c>
      <c r="S1212" s="351">
        <f t="shared" ref="S1212:U1214" si="284">IFERROR(VLOOKUP(R1212,$M$1216:$N$1259,2,FALSE),0)</f>
        <v>0</v>
      </c>
      <c r="T1212">
        <f t="shared" ref="T1212:T1214" si="285">(Q1212-$B$1205)-$E$1211</f>
        <v>8</v>
      </c>
      <c r="U1212" s="351">
        <f t="shared" si="284"/>
        <v>1</v>
      </c>
      <c r="V1212">
        <f t="shared" ref="V1212:V1214" si="286">(Q1212-$B$1205)-$G$1211</f>
        <v>1.5</v>
      </c>
      <c r="W1212" s="351">
        <f t="shared" ref="W1212:Y1212" si="287">IFERROR(VLOOKUP(V1212,$M$1216:$N$1259,2,FALSE),0)</f>
        <v>0</v>
      </c>
      <c r="X1212">
        <f t="shared" ref="X1212:X1214" si="288">(Q1212-$B$1205)-$I$1211</f>
        <v>-8</v>
      </c>
      <c r="Y1212" s="351">
        <f t="shared" si="287"/>
        <v>0</v>
      </c>
      <c r="AA1212" s="351">
        <f t="shared" ref="AA1212:AA1214" si="289">IF((S1212+U1212+W1212+Y1212)&gt;0,1,0)</f>
        <v>1</v>
      </c>
    </row>
    <row r="1213" spans="1:27" hidden="1" outlineLevel="1" x14ac:dyDescent="0.25">
      <c r="C1213" t="e">
        <f ca="1">($B$1204-($B$1205+K1213))-$C$1211</f>
        <v>#VALUE!</v>
      </c>
      <c r="D1213" s="351">
        <f ca="1">IFERROR(VLOOKUP(C1213,$M$1216:$N$1259,2,FALSE),0)</f>
        <v>0</v>
      </c>
      <c r="E1213" s="71" t="e">
        <f t="shared" ref="E1213:E1260" ca="1" si="290">($B$1204-($B$1205+K1213))-$E$1211</f>
        <v>#VALUE!</v>
      </c>
      <c r="F1213" s="351">
        <f t="shared" ref="F1213:F1260" ca="1" si="291">IFERROR(VLOOKUP(E1213,$M$1216:$N$1259,2,FALSE),0)</f>
        <v>0</v>
      </c>
      <c r="G1213" s="71" t="e">
        <f t="shared" ref="G1213:G1260" ca="1" si="292">($B$1204-($B$1205+K1213))-$G$1211</f>
        <v>#VALUE!</v>
      </c>
      <c r="H1213" s="351">
        <f t="shared" ref="H1213:H1260" ca="1" si="293">IFERROR(VLOOKUP(G1213,$M$1216:$N$1259,2,FALSE),0)</f>
        <v>0</v>
      </c>
      <c r="I1213" s="71" t="e">
        <f t="shared" ref="I1213:I1260" ca="1" si="294">($B$1204-($B$1205+K1213))-$I$1211</f>
        <v>#VALUE!</v>
      </c>
      <c r="J1213" s="351">
        <f t="shared" ref="J1213:J1260" ca="1" si="295">IFERROR(VLOOKUP(I1213,$M$1216:$N$1259,2,FALSE),0)</f>
        <v>0</v>
      </c>
      <c r="K1213">
        <v>-0.5</v>
      </c>
      <c r="Q1213">
        <f>S1029</f>
        <v>21</v>
      </c>
      <c r="R1213">
        <f t="shared" si="283"/>
        <v>12</v>
      </c>
      <c r="S1213" s="351">
        <f t="shared" si="284"/>
        <v>1</v>
      </c>
      <c r="T1213">
        <f t="shared" si="285"/>
        <v>9</v>
      </c>
      <c r="U1213" s="351">
        <f t="shared" si="284"/>
        <v>1</v>
      </c>
      <c r="V1213">
        <f t="shared" si="286"/>
        <v>2.5</v>
      </c>
      <c r="W1213" s="351">
        <f t="shared" ref="W1213:Y1213" si="296">IFERROR(VLOOKUP(V1213,$M$1216:$N$1259,2,FALSE),0)</f>
        <v>0</v>
      </c>
      <c r="X1213">
        <f t="shared" si="288"/>
        <v>-7</v>
      </c>
      <c r="Y1213" s="351">
        <f t="shared" si="296"/>
        <v>0</v>
      </c>
      <c r="AA1213" s="351">
        <f t="shared" si="289"/>
        <v>1</v>
      </c>
    </row>
    <row r="1214" spans="1:27" hidden="1" outlineLevel="1" x14ac:dyDescent="0.25">
      <c r="B1214" s="8"/>
      <c r="C1214" t="e">
        <f t="shared" ref="C1214:C1260" ca="1" si="297">($B$1204-($B$1205+K1214))-$C$1211</f>
        <v>#VALUE!</v>
      </c>
      <c r="D1214" s="351">
        <f t="shared" ref="D1214:D1260" ca="1" si="298">IFERROR(VLOOKUP(C1214,$M$1216:$N$1259,2,FALSE),0)</f>
        <v>0</v>
      </c>
      <c r="E1214" s="71" t="e">
        <f t="shared" ca="1" si="290"/>
        <v>#VALUE!</v>
      </c>
      <c r="F1214" s="351">
        <f t="shared" ca="1" si="291"/>
        <v>0</v>
      </c>
      <c r="G1214" s="71" t="e">
        <f t="shared" ca="1" si="292"/>
        <v>#VALUE!</v>
      </c>
      <c r="H1214" s="351">
        <f t="shared" ca="1" si="293"/>
        <v>0</v>
      </c>
      <c r="I1214" s="71" t="e">
        <f t="shared" ca="1" si="294"/>
        <v>#VALUE!</v>
      </c>
      <c r="J1214" s="351">
        <f t="shared" ca="1" si="295"/>
        <v>0</v>
      </c>
      <c r="K1214">
        <v>-1</v>
      </c>
      <c r="Q1214">
        <f>S1030</f>
        <v>22</v>
      </c>
      <c r="R1214">
        <f>(Q1214-$B$1205)-$C$1211</f>
        <v>13</v>
      </c>
      <c r="S1214" s="351">
        <f t="shared" si="284"/>
        <v>0</v>
      </c>
      <c r="T1214">
        <f t="shared" si="285"/>
        <v>10</v>
      </c>
      <c r="U1214" s="351">
        <f t="shared" si="284"/>
        <v>0</v>
      </c>
      <c r="V1214">
        <f t="shared" si="286"/>
        <v>3.5</v>
      </c>
      <c r="W1214" s="351">
        <f t="shared" ref="W1214:Y1214" si="299">IFERROR(VLOOKUP(V1214,$M$1216:$N$1259,2,FALSE),0)</f>
        <v>1</v>
      </c>
      <c r="X1214">
        <f t="shared" si="288"/>
        <v>-6</v>
      </c>
      <c r="Y1214" s="351">
        <f t="shared" si="299"/>
        <v>0</v>
      </c>
      <c r="AA1214" s="351">
        <f t="shared" si="289"/>
        <v>1</v>
      </c>
    </row>
    <row r="1215" spans="1:27" hidden="1" outlineLevel="1" x14ac:dyDescent="0.25">
      <c r="A1215" s="8"/>
      <c r="B1215" s="8"/>
      <c r="C1215" t="e">
        <f t="shared" ca="1" si="297"/>
        <v>#VALUE!</v>
      </c>
      <c r="D1215" s="351">
        <f t="shared" ca="1" si="298"/>
        <v>0</v>
      </c>
      <c r="E1215" s="71" t="e">
        <f t="shared" ca="1" si="290"/>
        <v>#VALUE!</v>
      </c>
      <c r="F1215" s="351">
        <f t="shared" ca="1" si="291"/>
        <v>0</v>
      </c>
      <c r="G1215" s="71" t="e">
        <f t="shared" ca="1" si="292"/>
        <v>#VALUE!</v>
      </c>
      <c r="H1215" s="351">
        <f t="shared" ca="1" si="293"/>
        <v>0</v>
      </c>
      <c r="I1215" s="71" t="e">
        <f t="shared" ca="1" si="294"/>
        <v>#VALUE!</v>
      </c>
      <c r="J1215" s="351">
        <f t="shared" ca="1" si="295"/>
        <v>0</v>
      </c>
      <c r="K1215">
        <v>-1.5</v>
      </c>
      <c r="M1215">
        <v>1</v>
      </c>
      <c r="O1215" s="289"/>
    </row>
    <row r="1216" spans="1:27" hidden="1" outlineLevel="1" x14ac:dyDescent="0.25">
      <c r="A1216" s="8"/>
      <c r="B1216" s="8"/>
      <c r="C1216" t="e">
        <f t="shared" ca="1" si="297"/>
        <v>#VALUE!</v>
      </c>
      <c r="D1216" s="351">
        <f t="shared" ca="1" si="298"/>
        <v>0</v>
      </c>
      <c r="E1216" s="71" t="e">
        <f t="shared" ca="1" si="290"/>
        <v>#VALUE!</v>
      </c>
      <c r="F1216" s="351">
        <f t="shared" ca="1" si="291"/>
        <v>0</v>
      </c>
      <c r="G1216" s="71" t="e">
        <f t="shared" ca="1" si="292"/>
        <v>#VALUE!</v>
      </c>
      <c r="H1216" s="351">
        <f t="shared" ca="1" si="293"/>
        <v>0</v>
      </c>
      <c r="I1216" s="71" t="e">
        <f t="shared" ca="1" si="294"/>
        <v>#VALUE!</v>
      </c>
      <c r="J1216" s="351">
        <f t="shared" ca="1" si="295"/>
        <v>0</v>
      </c>
      <c r="K1216">
        <v>-2</v>
      </c>
      <c r="M1216" s="21">
        <f t="array" ref="M1216">IFERROR(INDEX(Montageplatten[Höhe],LARGE((Montageplatten[AG Rand]=$L$70)*(ROW(Montageplatten[AG Rand])-1),COUNTIF(Montageplatten[AG Rand],$L$70)+1-ROW(A1))),"")</f>
        <v>-2</v>
      </c>
      <c r="N1216" s="21">
        <v>1</v>
      </c>
      <c r="O1216" s="1087" t="s">
        <v>1350</v>
      </c>
    </row>
    <row r="1217" spans="1:15" hidden="1" outlineLevel="1" x14ac:dyDescent="0.25">
      <c r="A1217" s="8"/>
      <c r="B1217" s="8"/>
      <c r="C1217" t="e">
        <f t="shared" ca="1" si="297"/>
        <v>#VALUE!</v>
      </c>
      <c r="D1217" s="351">
        <f t="shared" ca="1" si="298"/>
        <v>0</v>
      </c>
      <c r="E1217" s="71" t="e">
        <f t="shared" ca="1" si="290"/>
        <v>#VALUE!</v>
      </c>
      <c r="F1217" s="351">
        <f t="shared" ca="1" si="291"/>
        <v>0</v>
      </c>
      <c r="G1217" s="71" t="e">
        <f t="shared" ca="1" si="292"/>
        <v>#VALUE!</v>
      </c>
      <c r="H1217" s="351">
        <f t="shared" ca="1" si="293"/>
        <v>0</v>
      </c>
      <c r="I1217" s="71" t="e">
        <f t="shared" ca="1" si="294"/>
        <v>#VALUE!</v>
      </c>
      <c r="J1217" s="351">
        <f t="shared" ca="1" si="295"/>
        <v>0</v>
      </c>
      <c r="K1217">
        <v>-2.5</v>
      </c>
      <c r="M1217" s="21">
        <f t="array" ref="M1217">IFERROR(INDEX(Montageplatten[Höhe],LARGE((Montageplatten[AG Rand]=$L$70)*(ROW(Montageplatten[AG Rand])-1),COUNTIF(Montageplatten[AG Rand],$L$70)+1-ROW(A2))),"")</f>
        <v>0</v>
      </c>
      <c r="N1217" s="21">
        <v>1</v>
      </c>
      <c r="O1217" s="1087"/>
    </row>
    <row r="1218" spans="1:15" hidden="1" outlineLevel="1" x14ac:dyDescent="0.25">
      <c r="A1218" s="8"/>
      <c r="B1218" s="8"/>
      <c r="C1218" t="e">
        <f t="shared" ca="1" si="297"/>
        <v>#VALUE!</v>
      </c>
      <c r="D1218" s="351">
        <f t="shared" ca="1" si="298"/>
        <v>0</v>
      </c>
      <c r="E1218" s="71" t="e">
        <f t="shared" ca="1" si="290"/>
        <v>#VALUE!</v>
      </c>
      <c r="F1218" s="351">
        <f t="shared" ca="1" si="291"/>
        <v>0</v>
      </c>
      <c r="G1218" s="71" t="e">
        <f t="shared" ca="1" si="292"/>
        <v>#VALUE!</v>
      </c>
      <c r="H1218" s="351">
        <f t="shared" ca="1" si="293"/>
        <v>0</v>
      </c>
      <c r="I1218" s="71" t="e">
        <f t="shared" ca="1" si="294"/>
        <v>#VALUE!</v>
      </c>
      <c r="J1218" s="351">
        <f t="shared" ca="1" si="295"/>
        <v>0</v>
      </c>
      <c r="K1218">
        <v>-3</v>
      </c>
      <c r="M1218" s="21">
        <f t="array" ref="M1218">IFERROR(INDEX(Montageplatten[Höhe],LARGE((Montageplatten[AG Rand]=$L$70)*(ROW(Montageplatten[AG Rand])-1),COUNTIF(Montageplatten[AG Rand],$L$70)+1-ROW(A3))),"")</f>
        <v>0</v>
      </c>
      <c r="N1218" s="21">
        <v>1</v>
      </c>
      <c r="O1218" s="1087"/>
    </row>
    <row r="1219" spans="1:15" hidden="1" outlineLevel="1" x14ac:dyDescent="0.25">
      <c r="A1219" s="8"/>
      <c r="B1219" s="8"/>
      <c r="C1219" t="e">
        <f t="shared" ca="1" si="297"/>
        <v>#VALUE!</v>
      </c>
      <c r="D1219" s="351">
        <f t="shared" ca="1" si="298"/>
        <v>0</v>
      </c>
      <c r="E1219" s="71" t="e">
        <f t="shared" ca="1" si="290"/>
        <v>#VALUE!</v>
      </c>
      <c r="F1219" s="351">
        <f t="shared" ca="1" si="291"/>
        <v>0</v>
      </c>
      <c r="G1219" s="71" t="e">
        <f t="shared" ca="1" si="292"/>
        <v>#VALUE!</v>
      </c>
      <c r="H1219" s="351">
        <f t="shared" ca="1" si="293"/>
        <v>0</v>
      </c>
      <c r="I1219" s="71" t="e">
        <f t="shared" ca="1" si="294"/>
        <v>#VALUE!</v>
      </c>
      <c r="J1219" s="351">
        <f t="shared" ca="1" si="295"/>
        <v>0</v>
      </c>
      <c r="K1219">
        <v>-3.5</v>
      </c>
      <c r="M1219" s="21">
        <f t="array" ref="M1219">IFERROR(INDEX(Montageplatten[Höhe],LARGE((Montageplatten[AG Rand]=$L$70)*(ROW(Montageplatten[AG Rand])-1),COUNTIF(Montageplatten[AG Rand],$L$70)+1-ROW(A4))),"")</f>
        <v>0</v>
      </c>
      <c r="N1219" s="21">
        <v>1</v>
      </c>
      <c r="O1219" s="1087"/>
    </row>
    <row r="1220" spans="1:15" hidden="1" outlineLevel="1" x14ac:dyDescent="0.25">
      <c r="A1220" s="8"/>
      <c r="B1220" s="8"/>
      <c r="C1220" t="e">
        <f t="shared" ca="1" si="297"/>
        <v>#VALUE!</v>
      </c>
      <c r="D1220" s="351">
        <f t="shared" ca="1" si="298"/>
        <v>0</v>
      </c>
      <c r="E1220" s="71" t="e">
        <f t="shared" ca="1" si="290"/>
        <v>#VALUE!</v>
      </c>
      <c r="F1220" s="351">
        <f t="shared" ca="1" si="291"/>
        <v>0</v>
      </c>
      <c r="G1220" s="71" t="e">
        <f t="shared" ca="1" si="292"/>
        <v>#VALUE!</v>
      </c>
      <c r="H1220" s="351">
        <f t="shared" ca="1" si="293"/>
        <v>0</v>
      </c>
      <c r="I1220" s="71" t="e">
        <f t="shared" ca="1" si="294"/>
        <v>#VALUE!</v>
      </c>
      <c r="J1220" s="351">
        <f t="shared" ca="1" si="295"/>
        <v>0</v>
      </c>
      <c r="K1220">
        <v>-4</v>
      </c>
      <c r="M1220" s="21">
        <f t="array" ref="M1220">IFERROR(INDEX(Montageplatten[Höhe],LARGE((Montageplatten[AG Rand]=$L$70)*(ROW(Montageplatten[AG Rand])-1),COUNTIF(Montageplatten[AG Rand],$L$70)+1-ROW(A5))),"")</f>
        <v>2</v>
      </c>
      <c r="N1220" s="21">
        <v>1</v>
      </c>
      <c r="O1220" s="1087"/>
    </row>
    <row r="1221" spans="1:15" hidden="1" outlineLevel="1" x14ac:dyDescent="0.25">
      <c r="A1221" s="8"/>
      <c r="B1221" s="8"/>
      <c r="C1221" t="e">
        <f t="shared" ca="1" si="297"/>
        <v>#VALUE!</v>
      </c>
      <c r="D1221" s="351">
        <f t="shared" ca="1" si="298"/>
        <v>0</v>
      </c>
      <c r="E1221" s="71" t="e">
        <f t="shared" ca="1" si="290"/>
        <v>#VALUE!</v>
      </c>
      <c r="F1221" s="351">
        <f t="shared" ca="1" si="291"/>
        <v>0</v>
      </c>
      <c r="G1221" s="71" t="e">
        <f t="shared" ca="1" si="292"/>
        <v>#VALUE!</v>
      </c>
      <c r="H1221" s="351">
        <f t="shared" ca="1" si="293"/>
        <v>0</v>
      </c>
      <c r="I1221" s="71" t="e">
        <f t="shared" ca="1" si="294"/>
        <v>#VALUE!</v>
      </c>
      <c r="J1221" s="351">
        <f t="shared" ca="1" si="295"/>
        <v>0</v>
      </c>
      <c r="K1221">
        <v>-4.5</v>
      </c>
      <c r="M1221" s="21">
        <f t="array" ref="M1221">IFERROR(INDEX(Montageplatten[Höhe],LARGE((Montageplatten[AG Rand]=$L$70)*(ROW(Montageplatten[AG Rand])-1),COUNTIF(Montageplatten[AG Rand],$L$70)+1-ROW(A6))),"")</f>
        <v>2</v>
      </c>
      <c r="N1221" s="21">
        <v>1</v>
      </c>
      <c r="O1221" s="1087"/>
    </row>
    <row r="1222" spans="1:15" hidden="1" outlineLevel="1" x14ac:dyDescent="0.25">
      <c r="A1222" s="8"/>
      <c r="B1222" s="8"/>
      <c r="C1222" t="e">
        <f t="shared" ca="1" si="297"/>
        <v>#VALUE!</v>
      </c>
      <c r="D1222" s="351">
        <f t="shared" ca="1" si="298"/>
        <v>0</v>
      </c>
      <c r="E1222" s="71" t="e">
        <f t="shared" ca="1" si="290"/>
        <v>#VALUE!</v>
      </c>
      <c r="F1222" s="351">
        <f t="shared" ca="1" si="291"/>
        <v>0</v>
      </c>
      <c r="G1222" s="71" t="e">
        <f t="shared" ca="1" si="292"/>
        <v>#VALUE!</v>
      </c>
      <c r="H1222" s="351">
        <f t="shared" ca="1" si="293"/>
        <v>0</v>
      </c>
      <c r="I1222" s="71" t="e">
        <f t="shared" ca="1" si="294"/>
        <v>#VALUE!</v>
      </c>
      <c r="J1222" s="351">
        <f t="shared" ca="1" si="295"/>
        <v>0</v>
      </c>
      <c r="K1222">
        <v>-5</v>
      </c>
      <c r="M1222" s="21">
        <f t="array" ref="M1222">IFERROR(INDEX(Montageplatten[Höhe],LARGE((Montageplatten[AG Rand]=$L$70)*(ROW(Montageplatten[AG Rand])-1),COUNTIF(Montageplatten[AG Rand],$L$70)+1-ROW(A7))),"")</f>
        <v>2</v>
      </c>
      <c r="N1222" s="21">
        <v>1</v>
      </c>
      <c r="O1222" s="1087"/>
    </row>
    <row r="1223" spans="1:15" hidden="1" outlineLevel="1" x14ac:dyDescent="0.25">
      <c r="A1223" s="8"/>
      <c r="B1223" s="8"/>
      <c r="C1223" t="e">
        <f t="shared" ca="1" si="297"/>
        <v>#VALUE!</v>
      </c>
      <c r="D1223" s="351">
        <f t="shared" ca="1" si="298"/>
        <v>0</v>
      </c>
      <c r="E1223" s="71" t="e">
        <f t="shared" ca="1" si="290"/>
        <v>#VALUE!</v>
      </c>
      <c r="F1223" s="351">
        <f t="shared" ca="1" si="291"/>
        <v>0</v>
      </c>
      <c r="G1223" s="71" t="e">
        <f t="shared" ca="1" si="292"/>
        <v>#VALUE!</v>
      </c>
      <c r="H1223" s="351">
        <f t="shared" ca="1" si="293"/>
        <v>0</v>
      </c>
      <c r="I1223" s="71" t="e">
        <f t="shared" ca="1" si="294"/>
        <v>#VALUE!</v>
      </c>
      <c r="J1223" s="351">
        <f t="shared" ca="1" si="295"/>
        <v>0</v>
      </c>
      <c r="K1223">
        <v>-5.5</v>
      </c>
      <c r="M1223" s="21">
        <f t="array" ref="M1223">IFERROR(INDEX(Montageplatten[Höhe],LARGE((Montageplatten[AG Rand]=$L$70)*(ROW(Montageplatten[AG Rand])-1),COUNTIF(Montageplatten[AG Rand],$L$70)+1-ROW(A8))),"")</f>
        <v>3</v>
      </c>
      <c r="N1223" s="21">
        <v>1</v>
      </c>
      <c r="O1223" s="1087"/>
    </row>
    <row r="1224" spans="1:15" hidden="1" outlineLevel="1" x14ac:dyDescent="0.25">
      <c r="A1224" s="8"/>
      <c r="B1224" s="8"/>
      <c r="C1224" t="e">
        <f t="shared" ca="1" si="297"/>
        <v>#VALUE!</v>
      </c>
      <c r="D1224" s="351">
        <f t="shared" ca="1" si="298"/>
        <v>0</v>
      </c>
      <c r="E1224" s="71" t="e">
        <f t="shared" ca="1" si="290"/>
        <v>#VALUE!</v>
      </c>
      <c r="F1224" s="351">
        <f t="shared" ca="1" si="291"/>
        <v>0</v>
      </c>
      <c r="G1224" s="71" t="e">
        <f t="shared" ca="1" si="292"/>
        <v>#VALUE!</v>
      </c>
      <c r="H1224" s="351">
        <f t="shared" ca="1" si="293"/>
        <v>0</v>
      </c>
      <c r="I1224" s="71" t="e">
        <f t="shared" ca="1" si="294"/>
        <v>#VALUE!</v>
      </c>
      <c r="J1224" s="351">
        <f t="shared" ca="1" si="295"/>
        <v>0</v>
      </c>
      <c r="K1224">
        <v>-6</v>
      </c>
      <c r="M1224" s="21">
        <f t="array" ref="M1224">IFERROR(INDEX(Montageplatten[Höhe],LARGE((Montageplatten[AG Rand]=$L$70)*(ROW(Montageplatten[AG Rand])-1),COUNTIF(Montageplatten[AG Rand],$L$70)+1-ROW(A9))),"")</f>
        <v>3</v>
      </c>
      <c r="N1224" s="21">
        <v>1</v>
      </c>
      <c r="O1224" s="1087"/>
    </row>
    <row r="1225" spans="1:15" hidden="1" outlineLevel="1" x14ac:dyDescent="0.25">
      <c r="A1225" s="8"/>
      <c r="B1225" s="8"/>
      <c r="C1225" t="e">
        <f t="shared" ca="1" si="297"/>
        <v>#VALUE!</v>
      </c>
      <c r="D1225" s="351">
        <f t="shared" ca="1" si="298"/>
        <v>0</v>
      </c>
      <c r="E1225" s="71" t="e">
        <f t="shared" ca="1" si="290"/>
        <v>#VALUE!</v>
      </c>
      <c r="F1225" s="351">
        <f t="shared" ca="1" si="291"/>
        <v>0</v>
      </c>
      <c r="G1225" s="71" t="e">
        <f t="shared" ca="1" si="292"/>
        <v>#VALUE!</v>
      </c>
      <c r="H1225" s="351">
        <f t="shared" ca="1" si="293"/>
        <v>0</v>
      </c>
      <c r="I1225" s="71" t="e">
        <f t="shared" ca="1" si="294"/>
        <v>#VALUE!</v>
      </c>
      <c r="J1225" s="351">
        <f t="shared" ca="1" si="295"/>
        <v>0</v>
      </c>
      <c r="K1225">
        <v>-6.5</v>
      </c>
      <c r="M1225" s="21">
        <f t="array" ref="M1225">IFERROR(INDEX(Montageplatten[Höhe],LARGE((Montageplatten[AG Rand]=$L$70)*(ROW(Montageplatten[AG Rand])-1),COUNTIF(Montageplatten[AG Rand],$L$70)+1-ROW(A10))),"")</f>
        <v>3</v>
      </c>
      <c r="N1225" s="21">
        <v>1</v>
      </c>
      <c r="O1225" s="1087"/>
    </row>
    <row r="1226" spans="1:15" hidden="1" outlineLevel="1" x14ac:dyDescent="0.25">
      <c r="A1226" s="8"/>
      <c r="B1226" s="8"/>
      <c r="C1226" t="e">
        <f t="shared" ca="1" si="297"/>
        <v>#VALUE!</v>
      </c>
      <c r="D1226" s="351">
        <f t="shared" ca="1" si="298"/>
        <v>0</v>
      </c>
      <c r="E1226" s="71" t="e">
        <f t="shared" ca="1" si="290"/>
        <v>#VALUE!</v>
      </c>
      <c r="F1226" s="351">
        <f t="shared" ca="1" si="291"/>
        <v>0</v>
      </c>
      <c r="G1226" s="71" t="e">
        <f t="shared" ca="1" si="292"/>
        <v>#VALUE!</v>
      </c>
      <c r="H1226" s="351">
        <f t="shared" ca="1" si="293"/>
        <v>0</v>
      </c>
      <c r="I1226" s="71" t="e">
        <f t="shared" ca="1" si="294"/>
        <v>#VALUE!</v>
      </c>
      <c r="J1226" s="351">
        <f t="shared" ca="1" si="295"/>
        <v>0</v>
      </c>
      <c r="K1226">
        <v>-7</v>
      </c>
      <c r="M1226" s="21">
        <f t="array" ref="M1226">IFERROR(INDEX(Montageplatten[Höhe],LARGE((Montageplatten[AG Rand]=$L$70)*(ROW(Montageplatten[AG Rand])-1),COUNTIF(Montageplatten[AG Rand],$L$70)+1-ROW(A11))),"")</f>
        <v>3.5</v>
      </c>
      <c r="N1226" s="21">
        <v>1</v>
      </c>
      <c r="O1226" s="1087"/>
    </row>
    <row r="1227" spans="1:15" hidden="1" outlineLevel="1" x14ac:dyDescent="0.25">
      <c r="A1227" s="8"/>
      <c r="B1227" s="8"/>
      <c r="C1227" t="e">
        <f t="shared" ca="1" si="297"/>
        <v>#VALUE!</v>
      </c>
      <c r="D1227" s="351">
        <f t="shared" ca="1" si="298"/>
        <v>0</v>
      </c>
      <c r="E1227" s="71" t="e">
        <f t="shared" ca="1" si="290"/>
        <v>#VALUE!</v>
      </c>
      <c r="F1227" s="351">
        <f t="shared" ca="1" si="291"/>
        <v>0</v>
      </c>
      <c r="G1227" s="71" t="e">
        <f t="shared" ca="1" si="292"/>
        <v>#VALUE!</v>
      </c>
      <c r="H1227" s="351">
        <f t="shared" ca="1" si="293"/>
        <v>0</v>
      </c>
      <c r="I1227" s="71" t="e">
        <f t="shared" ca="1" si="294"/>
        <v>#VALUE!</v>
      </c>
      <c r="J1227" s="351">
        <f t="shared" ca="1" si="295"/>
        <v>0</v>
      </c>
      <c r="K1227">
        <v>-7.5</v>
      </c>
      <c r="M1227" s="21">
        <f t="array" ref="M1227">IFERROR(INDEX(Montageplatten[Höhe],LARGE((Montageplatten[AG Rand]=$L$70)*(ROW(Montageplatten[AG Rand])-1),COUNTIF(Montageplatten[AG Rand],$L$70)+1-ROW(A12))),"")</f>
        <v>3.5</v>
      </c>
      <c r="N1227" s="21">
        <v>1</v>
      </c>
      <c r="O1227" s="1087"/>
    </row>
    <row r="1228" spans="1:15" hidden="1" outlineLevel="1" x14ac:dyDescent="0.25">
      <c r="A1228" s="8"/>
      <c r="B1228" s="8"/>
      <c r="C1228" t="e">
        <f t="shared" ca="1" si="297"/>
        <v>#VALUE!</v>
      </c>
      <c r="D1228" s="351">
        <f t="shared" ca="1" si="298"/>
        <v>0</v>
      </c>
      <c r="E1228" s="71" t="e">
        <f t="shared" ca="1" si="290"/>
        <v>#VALUE!</v>
      </c>
      <c r="F1228" s="351">
        <f t="shared" ca="1" si="291"/>
        <v>0</v>
      </c>
      <c r="G1228" s="71" t="e">
        <f t="shared" ca="1" si="292"/>
        <v>#VALUE!</v>
      </c>
      <c r="H1228" s="351">
        <f t="shared" ca="1" si="293"/>
        <v>0</v>
      </c>
      <c r="I1228" s="71" t="e">
        <f t="shared" ca="1" si="294"/>
        <v>#VALUE!</v>
      </c>
      <c r="J1228" s="351">
        <f t="shared" ca="1" si="295"/>
        <v>0</v>
      </c>
      <c r="K1228">
        <v>-8</v>
      </c>
      <c r="M1228" s="21">
        <f t="array" ref="M1228">IFERROR(INDEX(Montageplatten[Höhe],LARGE((Montageplatten[AG Rand]=$L$70)*(ROW(Montageplatten[AG Rand])-1),COUNTIF(Montageplatten[AG Rand],$L$70)+1-ROW(A13))),"")</f>
        <v>3.5</v>
      </c>
      <c r="N1228" s="21">
        <v>1</v>
      </c>
      <c r="O1228" s="1087"/>
    </row>
    <row r="1229" spans="1:15" hidden="1" outlineLevel="1" x14ac:dyDescent="0.25">
      <c r="A1229" s="8"/>
      <c r="B1229" s="8"/>
      <c r="C1229" t="e">
        <f t="shared" ca="1" si="297"/>
        <v>#VALUE!</v>
      </c>
      <c r="D1229" s="351">
        <f t="shared" ca="1" si="298"/>
        <v>0</v>
      </c>
      <c r="E1229" s="71" t="e">
        <f t="shared" ca="1" si="290"/>
        <v>#VALUE!</v>
      </c>
      <c r="F1229" s="351">
        <f t="shared" ca="1" si="291"/>
        <v>0</v>
      </c>
      <c r="G1229" s="71" t="e">
        <f t="shared" ca="1" si="292"/>
        <v>#VALUE!</v>
      </c>
      <c r="H1229" s="351">
        <f t="shared" ca="1" si="293"/>
        <v>0</v>
      </c>
      <c r="I1229" s="71" t="e">
        <f t="shared" ca="1" si="294"/>
        <v>#VALUE!</v>
      </c>
      <c r="J1229" s="351">
        <f t="shared" ca="1" si="295"/>
        <v>0</v>
      </c>
      <c r="K1229">
        <v>-8.5</v>
      </c>
      <c r="M1229" s="21">
        <f t="array" ref="M1229">IFERROR(INDEX(Montageplatten[Höhe],LARGE((Montageplatten[AG Rand]=$L$70)*(ROW(Montageplatten[AG Rand])-1),COUNTIF(Montageplatten[AG Rand],$L$70)+1-ROW(A14))),"")</f>
        <v>6</v>
      </c>
      <c r="N1229" s="21">
        <v>1</v>
      </c>
      <c r="O1229" s="1087"/>
    </row>
    <row r="1230" spans="1:15" hidden="1" outlineLevel="1" x14ac:dyDescent="0.25">
      <c r="A1230" s="8"/>
      <c r="B1230" s="8"/>
      <c r="C1230" t="e">
        <f t="shared" ca="1" si="297"/>
        <v>#VALUE!</v>
      </c>
      <c r="D1230" s="351">
        <f t="shared" ca="1" si="298"/>
        <v>0</v>
      </c>
      <c r="E1230" s="71" t="e">
        <f t="shared" ca="1" si="290"/>
        <v>#VALUE!</v>
      </c>
      <c r="F1230" s="351">
        <f t="shared" ca="1" si="291"/>
        <v>0</v>
      </c>
      <c r="G1230" s="71" t="e">
        <f t="shared" ca="1" si="292"/>
        <v>#VALUE!</v>
      </c>
      <c r="H1230" s="351">
        <f t="shared" ca="1" si="293"/>
        <v>0</v>
      </c>
      <c r="I1230" s="71" t="e">
        <f t="shared" ca="1" si="294"/>
        <v>#VALUE!</v>
      </c>
      <c r="J1230" s="351">
        <f t="shared" ca="1" si="295"/>
        <v>0</v>
      </c>
      <c r="K1230">
        <v>-9</v>
      </c>
      <c r="M1230" s="21">
        <f t="array" ref="M1230">IFERROR(INDEX(Montageplatten[Höhe],LARGE((Montageplatten[AG Rand]=$L$70)*(ROW(Montageplatten[AG Rand])-1),COUNTIF(Montageplatten[AG Rand],$L$70)+1-ROW(A15))),"")</f>
        <v>8</v>
      </c>
      <c r="N1230" s="21">
        <v>1</v>
      </c>
      <c r="O1230" s="1087"/>
    </row>
    <row r="1231" spans="1:15" hidden="1" outlineLevel="1" x14ac:dyDescent="0.25">
      <c r="A1231" s="8"/>
      <c r="B1231" s="8"/>
      <c r="C1231" t="e">
        <f t="shared" ca="1" si="297"/>
        <v>#VALUE!</v>
      </c>
      <c r="D1231" s="351">
        <f t="shared" ca="1" si="298"/>
        <v>0</v>
      </c>
      <c r="E1231" s="71" t="e">
        <f t="shared" ca="1" si="290"/>
        <v>#VALUE!</v>
      </c>
      <c r="F1231" s="351">
        <f t="shared" ca="1" si="291"/>
        <v>0</v>
      </c>
      <c r="G1231" s="71" t="e">
        <f t="shared" ca="1" si="292"/>
        <v>#VALUE!</v>
      </c>
      <c r="H1231" s="351">
        <f t="shared" ca="1" si="293"/>
        <v>0</v>
      </c>
      <c r="I1231" s="71" t="e">
        <f t="shared" ca="1" si="294"/>
        <v>#VALUE!</v>
      </c>
      <c r="J1231" s="351">
        <f t="shared" ca="1" si="295"/>
        <v>0</v>
      </c>
      <c r="K1231">
        <v>-9.5</v>
      </c>
      <c r="M1231" s="21">
        <f t="array" ref="M1231">IFERROR(INDEX(Montageplatten[Höhe],LARGE((Montageplatten[AG Rand]=$L$70)*(ROW(Montageplatten[AG Rand])-1),COUNTIF(Montageplatten[AG Rand],$L$70)+1-ROW(A16))),"")</f>
        <v>9</v>
      </c>
      <c r="N1231" s="21">
        <v>1</v>
      </c>
      <c r="O1231" s="1087"/>
    </row>
    <row r="1232" spans="1:15" hidden="1" outlineLevel="1" x14ac:dyDescent="0.25">
      <c r="A1232" s="8"/>
      <c r="B1232" s="8"/>
      <c r="C1232" t="e">
        <f t="shared" ca="1" si="297"/>
        <v>#VALUE!</v>
      </c>
      <c r="D1232" s="351">
        <f t="shared" ca="1" si="298"/>
        <v>0</v>
      </c>
      <c r="E1232" s="71" t="e">
        <f t="shared" ca="1" si="290"/>
        <v>#VALUE!</v>
      </c>
      <c r="F1232" s="351">
        <f t="shared" ca="1" si="291"/>
        <v>0</v>
      </c>
      <c r="G1232" s="71" t="e">
        <f t="shared" ca="1" si="292"/>
        <v>#VALUE!</v>
      </c>
      <c r="H1232" s="351">
        <f t="shared" ca="1" si="293"/>
        <v>0</v>
      </c>
      <c r="I1232" s="71" t="e">
        <f t="shared" ca="1" si="294"/>
        <v>#VALUE!</v>
      </c>
      <c r="J1232" s="351">
        <f t="shared" ca="1" si="295"/>
        <v>0</v>
      </c>
      <c r="K1232">
        <v>-10</v>
      </c>
      <c r="M1232" s="21">
        <f t="array" ref="M1232">IFERROR(INDEX(Montageplatten[Höhe],LARGE((Montageplatten[AG Rand]=$L$70)*(ROW(Montageplatten[AG Rand])-1),COUNTIF(Montageplatten[AG Rand],$L$70)+1-ROW(A17))),"")</f>
        <v>9.5</v>
      </c>
      <c r="N1232" s="21">
        <v>1</v>
      </c>
      <c r="O1232" s="1087"/>
    </row>
    <row r="1233" spans="1:15" hidden="1" outlineLevel="1" x14ac:dyDescent="0.25">
      <c r="A1233" s="8"/>
      <c r="B1233" s="8"/>
      <c r="C1233" t="e">
        <f t="shared" ca="1" si="297"/>
        <v>#VALUE!</v>
      </c>
      <c r="D1233" s="351">
        <f t="shared" ca="1" si="298"/>
        <v>0</v>
      </c>
      <c r="E1233" s="71" t="e">
        <f t="shared" ca="1" si="290"/>
        <v>#VALUE!</v>
      </c>
      <c r="F1233" s="351">
        <f t="shared" ca="1" si="291"/>
        <v>0</v>
      </c>
      <c r="G1233" s="71" t="e">
        <f t="shared" ca="1" si="292"/>
        <v>#VALUE!</v>
      </c>
      <c r="H1233" s="351">
        <f t="shared" ca="1" si="293"/>
        <v>0</v>
      </c>
      <c r="I1233" s="71" t="e">
        <f t="shared" ca="1" si="294"/>
        <v>#VALUE!</v>
      </c>
      <c r="J1233" s="351">
        <f t="shared" ca="1" si="295"/>
        <v>0</v>
      </c>
      <c r="K1233">
        <v>-10.5</v>
      </c>
      <c r="M1233" s="21">
        <f t="array" ref="M1233">IFERROR(INDEX(Montageplatten[Höhe],LARGE((Montageplatten[AG Rand]=$L$70)*(ROW(Montageplatten[AG Rand])-1),COUNTIF(Montageplatten[AG Rand],$L$70)+1-ROW(A18))),"")</f>
        <v>12</v>
      </c>
      <c r="N1233" s="21">
        <v>1</v>
      </c>
      <c r="O1233" s="1087"/>
    </row>
    <row r="1234" spans="1:15" hidden="1" outlineLevel="1" x14ac:dyDescent="0.25">
      <c r="A1234" s="8"/>
      <c r="B1234" s="8"/>
      <c r="C1234" t="e">
        <f t="shared" ca="1" si="297"/>
        <v>#VALUE!</v>
      </c>
      <c r="D1234" s="351">
        <f t="shared" ca="1" si="298"/>
        <v>0</v>
      </c>
      <c r="E1234" s="71" t="e">
        <f t="shared" ca="1" si="290"/>
        <v>#VALUE!</v>
      </c>
      <c r="F1234" s="351">
        <f t="shared" ca="1" si="291"/>
        <v>0</v>
      </c>
      <c r="G1234" s="71" t="e">
        <f t="shared" ca="1" si="292"/>
        <v>#VALUE!</v>
      </c>
      <c r="H1234" s="351">
        <f t="shared" ca="1" si="293"/>
        <v>0</v>
      </c>
      <c r="I1234" s="71" t="e">
        <f t="shared" ca="1" si="294"/>
        <v>#VALUE!</v>
      </c>
      <c r="J1234" s="351">
        <f t="shared" ca="1" si="295"/>
        <v>0</v>
      </c>
      <c r="K1234">
        <v>-11</v>
      </c>
      <c r="M1234" s="21">
        <f t="array" ref="M1234">IFERROR(INDEX(Montageplatten[Höhe],LARGE((Montageplatten[AG Rand]=$L$70)*(ROW(Montageplatten[AG Rand])-1),COUNTIF(Montageplatten[AG Rand],$L$70)+1-ROW(A19))),"")</f>
        <v>14</v>
      </c>
      <c r="N1234" s="21">
        <v>1</v>
      </c>
      <c r="O1234" s="1087"/>
    </row>
    <row r="1235" spans="1:15" hidden="1" outlineLevel="1" x14ac:dyDescent="0.25">
      <c r="A1235" s="8"/>
      <c r="B1235" s="8"/>
      <c r="C1235" t="e">
        <f t="shared" ca="1" si="297"/>
        <v>#VALUE!</v>
      </c>
      <c r="D1235" s="351">
        <f t="shared" ca="1" si="298"/>
        <v>0</v>
      </c>
      <c r="E1235" s="71" t="e">
        <f t="shared" ca="1" si="290"/>
        <v>#VALUE!</v>
      </c>
      <c r="F1235" s="351">
        <f t="shared" ca="1" si="291"/>
        <v>0</v>
      </c>
      <c r="G1235" s="71" t="e">
        <f t="shared" ca="1" si="292"/>
        <v>#VALUE!</v>
      </c>
      <c r="H1235" s="351">
        <f t="shared" ca="1" si="293"/>
        <v>0</v>
      </c>
      <c r="I1235" s="71" t="e">
        <f t="shared" ca="1" si="294"/>
        <v>#VALUE!</v>
      </c>
      <c r="J1235" s="351">
        <f t="shared" ca="1" si="295"/>
        <v>0</v>
      </c>
      <c r="K1235">
        <v>-11.5</v>
      </c>
      <c r="M1235" s="21">
        <f t="array" ref="M1235">IFERROR(INDEX(Montageplatten[Höhe],LARGE((Montageplatten[AG Rand]=$L$70)*(ROW(Montageplatten[AG Rand])-1),COUNTIF(Montageplatten[AG Rand],$L$70)+1-ROW(A20))),"")</f>
        <v>15</v>
      </c>
      <c r="N1235" s="21">
        <v>1</v>
      </c>
      <c r="O1235" s="1087"/>
    </row>
    <row r="1236" spans="1:15" hidden="1" outlineLevel="1" x14ac:dyDescent="0.25">
      <c r="A1236" s="8"/>
      <c r="B1236" s="8"/>
      <c r="C1236" t="e">
        <f t="shared" ca="1" si="297"/>
        <v>#VALUE!</v>
      </c>
      <c r="D1236" s="351">
        <f t="shared" ca="1" si="298"/>
        <v>0</v>
      </c>
      <c r="E1236" s="71" t="e">
        <f t="shared" ca="1" si="290"/>
        <v>#VALUE!</v>
      </c>
      <c r="F1236" s="351">
        <f t="shared" ca="1" si="291"/>
        <v>0</v>
      </c>
      <c r="G1236" s="71" t="e">
        <f t="shared" ca="1" si="292"/>
        <v>#VALUE!</v>
      </c>
      <c r="H1236" s="351">
        <f t="shared" ca="1" si="293"/>
        <v>0</v>
      </c>
      <c r="I1236" s="71" t="e">
        <f t="shared" ca="1" si="294"/>
        <v>#VALUE!</v>
      </c>
      <c r="J1236" s="351">
        <f t="shared" ca="1" si="295"/>
        <v>0</v>
      </c>
      <c r="K1236">
        <v>-12</v>
      </c>
      <c r="M1236" s="21">
        <f t="array" ref="M1236">IFERROR(INDEX(Montageplatten[Höhe],LARGE((Montageplatten[AG Rand]=$L$70)*(ROW(Montageplatten[AG Rand])-1),COUNTIF(Montageplatten[AG Rand],$L$70)+1-ROW(A21))),"")</f>
        <v>15.5</v>
      </c>
      <c r="N1236" s="21">
        <v>1</v>
      </c>
      <c r="O1236" s="1087"/>
    </row>
    <row r="1237" spans="1:15" hidden="1" outlineLevel="1" x14ac:dyDescent="0.25">
      <c r="A1237" s="8"/>
      <c r="B1237" s="8"/>
      <c r="C1237" t="e">
        <f t="shared" ca="1" si="297"/>
        <v>#VALUE!</v>
      </c>
      <c r="D1237" s="351">
        <f t="shared" ca="1" si="298"/>
        <v>0</v>
      </c>
      <c r="E1237" s="71" t="e">
        <f t="shared" ca="1" si="290"/>
        <v>#VALUE!</v>
      </c>
      <c r="F1237" s="351">
        <f t="shared" ca="1" si="291"/>
        <v>0</v>
      </c>
      <c r="G1237" s="71" t="e">
        <f t="shared" ca="1" si="292"/>
        <v>#VALUE!</v>
      </c>
      <c r="H1237" s="351">
        <f t="shared" ca="1" si="293"/>
        <v>0</v>
      </c>
      <c r="I1237" s="71" t="e">
        <f t="shared" ca="1" si="294"/>
        <v>#VALUE!</v>
      </c>
      <c r="J1237" s="351">
        <f t="shared" ca="1" si="295"/>
        <v>0</v>
      </c>
      <c r="K1237">
        <v>-12.5</v>
      </c>
      <c r="M1237" s="21">
        <f t="array" ref="M1237">IFERROR(INDEX(Montageplatten[Höhe],LARGE((Montageplatten[AG Rand]=$L$70)*(ROW(Montageplatten[AG Rand])-1),COUNTIF(Montageplatten[AG Rand],$L$70)+1-ROW(A22))),"")</f>
        <v>19</v>
      </c>
      <c r="N1237" s="21">
        <v>1</v>
      </c>
      <c r="O1237" s="1087"/>
    </row>
    <row r="1238" spans="1:15" hidden="1" outlineLevel="1" x14ac:dyDescent="0.25">
      <c r="A1238" s="8"/>
      <c r="B1238" s="8"/>
      <c r="C1238" t="e">
        <f t="shared" ca="1" si="297"/>
        <v>#VALUE!</v>
      </c>
      <c r="D1238" s="351">
        <f t="shared" ca="1" si="298"/>
        <v>0</v>
      </c>
      <c r="E1238" s="71" t="e">
        <f t="shared" ca="1" si="290"/>
        <v>#VALUE!</v>
      </c>
      <c r="F1238" s="351">
        <f t="shared" ca="1" si="291"/>
        <v>0</v>
      </c>
      <c r="G1238" s="71" t="e">
        <f t="shared" ca="1" si="292"/>
        <v>#VALUE!</v>
      </c>
      <c r="H1238" s="351">
        <f t="shared" ca="1" si="293"/>
        <v>0</v>
      </c>
      <c r="I1238" s="71" t="e">
        <f t="shared" ca="1" si="294"/>
        <v>#VALUE!</v>
      </c>
      <c r="J1238" s="351">
        <f t="shared" ca="1" si="295"/>
        <v>0</v>
      </c>
      <c r="K1238">
        <v>-13</v>
      </c>
      <c r="M1238" s="21">
        <f t="array" ref="M1238">IFERROR(INDEX(Montageplatten[Höhe],LARGE((Montageplatten[AG Rand]=$L$70)*(ROW(Montageplatten[AG Rand])-1),COUNTIF(Montageplatten[AG Rand],$L$70)+1-ROW(A23))),"")</f>
        <v>21</v>
      </c>
      <c r="N1238" s="21">
        <v>1</v>
      </c>
      <c r="O1238" s="1087"/>
    </row>
    <row r="1239" spans="1:15" hidden="1" outlineLevel="1" x14ac:dyDescent="0.25">
      <c r="A1239" s="8"/>
      <c r="B1239" s="8"/>
      <c r="C1239" t="e">
        <f t="shared" ca="1" si="297"/>
        <v>#VALUE!</v>
      </c>
      <c r="D1239" s="351">
        <f t="shared" ca="1" si="298"/>
        <v>0</v>
      </c>
      <c r="E1239" s="71" t="e">
        <f t="shared" ca="1" si="290"/>
        <v>#VALUE!</v>
      </c>
      <c r="F1239" s="351">
        <f t="shared" ca="1" si="291"/>
        <v>0</v>
      </c>
      <c r="G1239" s="71" t="e">
        <f t="shared" ca="1" si="292"/>
        <v>#VALUE!</v>
      </c>
      <c r="H1239" s="351">
        <f t="shared" ca="1" si="293"/>
        <v>0</v>
      </c>
      <c r="I1239" s="71" t="e">
        <f t="shared" ca="1" si="294"/>
        <v>#VALUE!</v>
      </c>
      <c r="J1239" s="351">
        <f t="shared" ca="1" si="295"/>
        <v>0</v>
      </c>
      <c r="K1239">
        <v>-13.5</v>
      </c>
      <c r="M1239" s="21" t="str">
        <f t="array" ref="M1239">IFERROR(INDEX(Montageplatten[Höhe],LARGE((Montageplatten[AG Rand]=$L$70)*(ROW(Montageplatten[AG Rand])-1),COUNTIF(Montageplatten[AG Rand],$L$70)+1-ROW(A24))),"")</f>
        <v/>
      </c>
      <c r="N1239" s="21">
        <v>1</v>
      </c>
      <c r="O1239" s="1087"/>
    </row>
    <row r="1240" spans="1:15" hidden="1" outlineLevel="1" x14ac:dyDescent="0.25">
      <c r="A1240" s="8"/>
      <c r="B1240" s="8"/>
      <c r="C1240" t="e">
        <f t="shared" ca="1" si="297"/>
        <v>#VALUE!</v>
      </c>
      <c r="D1240" s="351">
        <f t="shared" ca="1" si="298"/>
        <v>0</v>
      </c>
      <c r="E1240" s="71" t="e">
        <f t="shared" ca="1" si="290"/>
        <v>#VALUE!</v>
      </c>
      <c r="F1240" s="351">
        <f t="shared" ca="1" si="291"/>
        <v>0</v>
      </c>
      <c r="G1240" s="71" t="e">
        <f t="shared" ca="1" si="292"/>
        <v>#VALUE!</v>
      </c>
      <c r="H1240" s="351">
        <f t="shared" ca="1" si="293"/>
        <v>0</v>
      </c>
      <c r="I1240" s="71" t="e">
        <f t="shared" ca="1" si="294"/>
        <v>#VALUE!</v>
      </c>
      <c r="J1240" s="351">
        <f t="shared" ca="1" si="295"/>
        <v>0</v>
      </c>
      <c r="K1240">
        <v>-14</v>
      </c>
      <c r="M1240" s="21" t="str">
        <f t="array" ref="M1240">IFERROR(INDEX(Montageplatten[Höhe],LARGE((Montageplatten[AG Rand]=$L$70)*(ROW(Montageplatten[AG Rand])-1),COUNTIF(Montageplatten[AG Rand],$L$70)+1-ROW(A25))),"")</f>
        <v/>
      </c>
      <c r="N1240" s="21">
        <v>1</v>
      </c>
      <c r="O1240" s="1087"/>
    </row>
    <row r="1241" spans="1:15" hidden="1" outlineLevel="1" x14ac:dyDescent="0.25">
      <c r="A1241" s="8"/>
      <c r="B1241" s="8"/>
      <c r="C1241" t="e">
        <f t="shared" ca="1" si="297"/>
        <v>#VALUE!</v>
      </c>
      <c r="D1241" s="351">
        <f t="shared" ca="1" si="298"/>
        <v>0</v>
      </c>
      <c r="E1241" s="71" t="e">
        <f t="shared" ca="1" si="290"/>
        <v>#VALUE!</v>
      </c>
      <c r="F1241" s="351">
        <f t="shared" ca="1" si="291"/>
        <v>0</v>
      </c>
      <c r="G1241" s="71" t="e">
        <f t="shared" ca="1" si="292"/>
        <v>#VALUE!</v>
      </c>
      <c r="H1241" s="351">
        <f t="shared" ca="1" si="293"/>
        <v>0</v>
      </c>
      <c r="I1241" s="71" t="e">
        <f t="shared" ca="1" si="294"/>
        <v>#VALUE!</v>
      </c>
      <c r="J1241" s="351">
        <f t="shared" ca="1" si="295"/>
        <v>0</v>
      </c>
      <c r="K1241">
        <v>-14.5</v>
      </c>
      <c r="M1241" s="21" t="str">
        <f t="array" ref="M1241">IFERROR(INDEX(Montageplatten[Höhe],LARGE((Montageplatten[AG Rand]=$L$70)*(ROW(Montageplatten[AG Rand])-1),COUNTIF(Montageplatten[AG Rand],$L$70)+1-ROW(A26))),"")</f>
        <v/>
      </c>
      <c r="N1241" s="21">
        <v>1</v>
      </c>
      <c r="O1241" s="1087"/>
    </row>
    <row r="1242" spans="1:15" hidden="1" outlineLevel="1" x14ac:dyDescent="0.25">
      <c r="A1242" s="8"/>
      <c r="B1242" s="8"/>
      <c r="C1242" t="e">
        <f t="shared" ca="1" si="297"/>
        <v>#VALUE!</v>
      </c>
      <c r="D1242" s="351">
        <f t="shared" ca="1" si="298"/>
        <v>0</v>
      </c>
      <c r="E1242" s="71" t="e">
        <f t="shared" ca="1" si="290"/>
        <v>#VALUE!</v>
      </c>
      <c r="F1242" s="351">
        <f t="shared" ca="1" si="291"/>
        <v>0</v>
      </c>
      <c r="G1242" s="71" t="e">
        <f t="shared" ca="1" si="292"/>
        <v>#VALUE!</v>
      </c>
      <c r="H1242" s="351">
        <f t="shared" ca="1" si="293"/>
        <v>0</v>
      </c>
      <c r="I1242" s="71" t="e">
        <f t="shared" ca="1" si="294"/>
        <v>#VALUE!</v>
      </c>
      <c r="J1242" s="351">
        <f t="shared" ca="1" si="295"/>
        <v>0</v>
      </c>
      <c r="K1242">
        <v>-15</v>
      </c>
      <c r="M1242" s="21" t="str">
        <f t="array" ref="M1242">IFERROR(INDEX(Montageplatten[Höhe],LARGE((Montageplatten[AG Rand]=$L$70)*(ROW(Montageplatten[AG Rand])-1),COUNTIF(Montageplatten[AG Rand],$L$70)+1-ROW(A27))),"")</f>
        <v/>
      </c>
      <c r="N1242" s="21">
        <v>1</v>
      </c>
      <c r="O1242" s="1087"/>
    </row>
    <row r="1243" spans="1:15" hidden="1" outlineLevel="1" x14ac:dyDescent="0.25">
      <c r="A1243" s="8"/>
      <c r="B1243" s="8"/>
      <c r="C1243" t="e">
        <f t="shared" ca="1" si="297"/>
        <v>#VALUE!</v>
      </c>
      <c r="D1243" s="351">
        <f t="shared" ca="1" si="298"/>
        <v>0</v>
      </c>
      <c r="E1243" s="71" t="e">
        <f t="shared" ca="1" si="290"/>
        <v>#VALUE!</v>
      </c>
      <c r="F1243" s="351">
        <f t="shared" ca="1" si="291"/>
        <v>0</v>
      </c>
      <c r="G1243" s="71" t="e">
        <f t="shared" ca="1" si="292"/>
        <v>#VALUE!</v>
      </c>
      <c r="H1243" s="351">
        <f t="shared" ca="1" si="293"/>
        <v>0</v>
      </c>
      <c r="I1243" s="71" t="e">
        <f t="shared" ca="1" si="294"/>
        <v>#VALUE!</v>
      </c>
      <c r="J1243" s="351">
        <f t="shared" ca="1" si="295"/>
        <v>0</v>
      </c>
      <c r="K1243" s="3">
        <v>-15.5</v>
      </c>
      <c r="M1243" s="21" t="str">
        <f t="array" ref="M1243">IFERROR(INDEX(Montageplatten[Höhe],LARGE((Montageplatten[AG Rand]=$L$70)*(ROW(Montageplatten[AG Rand])-1),COUNTIF(Montageplatten[AG Rand],$L$70)+1-ROW(A28))),"")</f>
        <v/>
      </c>
      <c r="N1243" s="21">
        <v>1</v>
      </c>
      <c r="O1243" s="1087"/>
    </row>
    <row r="1244" spans="1:15" hidden="1" outlineLevel="1" x14ac:dyDescent="0.25">
      <c r="A1244" s="8"/>
      <c r="B1244" s="8"/>
      <c r="C1244" t="e">
        <f t="shared" ca="1" si="297"/>
        <v>#VALUE!</v>
      </c>
      <c r="D1244" s="351">
        <f t="shared" ca="1" si="298"/>
        <v>0</v>
      </c>
      <c r="E1244" s="71" t="e">
        <f t="shared" ca="1" si="290"/>
        <v>#VALUE!</v>
      </c>
      <c r="F1244" s="351">
        <f t="shared" ca="1" si="291"/>
        <v>0</v>
      </c>
      <c r="G1244" s="71" t="e">
        <f t="shared" ca="1" si="292"/>
        <v>#VALUE!</v>
      </c>
      <c r="H1244" s="351">
        <f t="shared" ca="1" si="293"/>
        <v>0</v>
      </c>
      <c r="I1244" s="71" t="e">
        <f t="shared" ca="1" si="294"/>
        <v>#VALUE!</v>
      </c>
      <c r="J1244" s="351">
        <f t="shared" ca="1" si="295"/>
        <v>0</v>
      </c>
      <c r="K1244">
        <v>-16</v>
      </c>
      <c r="M1244" s="21" t="str">
        <f t="array" ref="M1244">IFERROR(INDEX(Montageplatten[Höhe],LARGE((Montageplatten[AG Rand]=$L$70)*(ROW(Montageplatten[AG Rand])-1),COUNTIF(Montageplatten[AG Rand],$L$70)+1-ROW(A29))),"")</f>
        <v/>
      </c>
      <c r="N1244" s="21">
        <v>1</v>
      </c>
      <c r="O1244" s="1087"/>
    </row>
    <row r="1245" spans="1:15" hidden="1" outlineLevel="1" x14ac:dyDescent="0.25">
      <c r="A1245" s="8"/>
      <c r="B1245" s="8"/>
      <c r="C1245" t="e">
        <f t="shared" ca="1" si="297"/>
        <v>#VALUE!</v>
      </c>
      <c r="D1245" s="351">
        <f t="shared" ca="1" si="298"/>
        <v>0</v>
      </c>
      <c r="E1245" s="71" t="e">
        <f t="shared" ca="1" si="290"/>
        <v>#VALUE!</v>
      </c>
      <c r="F1245" s="351">
        <f t="shared" ca="1" si="291"/>
        <v>0</v>
      </c>
      <c r="G1245" s="71" t="e">
        <f t="shared" ca="1" si="292"/>
        <v>#VALUE!</v>
      </c>
      <c r="H1245" s="351">
        <f t="shared" ca="1" si="293"/>
        <v>0</v>
      </c>
      <c r="I1245" s="71" t="e">
        <f t="shared" ca="1" si="294"/>
        <v>#VALUE!</v>
      </c>
      <c r="J1245" s="351">
        <f t="shared" ca="1" si="295"/>
        <v>0</v>
      </c>
      <c r="K1245">
        <v>-16.5</v>
      </c>
      <c r="M1245" s="21" t="str">
        <f t="array" ref="M1245">IFERROR(INDEX(Montageplatten[Höhe],LARGE((Montageplatten[AG Rand]=$L$70)*(ROW(Montageplatten[AG Rand])-1),COUNTIF(Montageplatten[AG Rand],$L$70)+1-ROW(A30))),"")</f>
        <v/>
      </c>
      <c r="N1245" s="21">
        <v>1</v>
      </c>
      <c r="O1245" s="1087"/>
    </row>
    <row r="1246" spans="1:15" hidden="1" outlineLevel="1" x14ac:dyDescent="0.25">
      <c r="A1246" s="8"/>
      <c r="B1246" s="8"/>
      <c r="C1246" t="e">
        <f t="shared" ca="1" si="297"/>
        <v>#VALUE!</v>
      </c>
      <c r="D1246" s="351">
        <f t="shared" ca="1" si="298"/>
        <v>0</v>
      </c>
      <c r="E1246" s="71" t="e">
        <f t="shared" ca="1" si="290"/>
        <v>#VALUE!</v>
      </c>
      <c r="F1246" s="351">
        <f t="shared" ca="1" si="291"/>
        <v>0</v>
      </c>
      <c r="G1246" s="71" t="e">
        <f t="shared" ca="1" si="292"/>
        <v>#VALUE!</v>
      </c>
      <c r="H1246" s="351">
        <f t="shared" ca="1" si="293"/>
        <v>0</v>
      </c>
      <c r="I1246" s="71" t="e">
        <f t="shared" ca="1" si="294"/>
        <v>#VALUE!</v>
      </c>
      <c r="J1246" s="351">
        <f t="shared" ca="1" si="295"/>
        <v>0</v>
      </c>
      <c r="K1246">
        <v>-17</v>
      </c>
      <c r="M1246" s="21" t="str">
        <f t="array" ref="M1246">IFERROR(INDEX(Montageplatten[Höhe],LARGE((Montageplatten[AG Rand]=$L$70)*(ROW(Montageplatten[AG Rand])-1),COUNTIF(Montageplatten[AG Rand],$L$70)+1-ROW(A31))),"")</f>
        <v/>
      </c>
      <c r="N1246" s="21">
        <v>1</v>
      </c>
      <c r="O1246" s="1087"/>
    </row>
    <row r="1247" spans="1:15" hidden="1" outlineLevel="1" x14ac:dyDescent="0.25">
      <c r="A1247" s="8"/>
      <c r="B1247" s="8"/>
      <c r="C1247" t="e">
        <f t="shared" ca="1" si="297"/>
        <v>#VALUE!</v>
      </c>
      <c r="D1247" s="351">
        <f t="shared" ca="1" si="298"/>
        <v>0</v>
      </c>
      <c r="E1247" s="71" t="e">
        <f t="shared" ca="1" si="290"/>
        <v>#VALUE!</v>
      </c>
      <c r="F1247" s="351">
        <f t="shared" ca="1" si="291"/>
        <v>0</v>
      </c>
      <c r="G1247" s="71" t="e">
        <f t="shared" ca="1" si="292"/>
        <v>#VALUE!</v>
      </c>
      <c r="H1247" s="351">
        <f t="shared" ca="1" si="293"/>
        <v>0</v>
      </c>
      <c r="I1247" s="71" t="e">
        <f t="shared" ca="1" si="294"/>
        <v>#VALUE!</v>
      </c>
      <c r="J1247" s="351">
        <f t="shared" ca="1" si="295"/>
        <v>0</v>
      </c>
      <c r="K1247">
        <v>-17.5</v>
      </c>
      <c r="M1247" s="21" t="str">
        <f t="array" ref="M1247">IFERROR(INDEX(Montageplatten[Höhe],LARGE((Montageplatten[AG Rand]=$L$70)*(ROW(Montageplatten[AG Rand])-1),COUNTIF(Montageplatten[AG Rand],$L$70)+1-ROW(A32))),"")</f>
        <v/>
      </c>
      <c r="N1247" s="21">
        <v>1</v>
      </c>
      <c r="O1247" s="1087"/>
    </row>
    <row r="1248" spans="1:15" hidden="1" outlineLevel="1" x14ac:dyDescent="0.25">
      <c r="A1248" s="8"/>
      <c r="B1248" s="8"/>
      <c r="C1248" t="e">
        <f t="shared" ca="1" si="297"/>
        <v>#VALUE!</v>
      </c>
      <c r="D1248" s="351">
        <f t="shared" ca="1" si="298"/>
        <v>0</v>
      </c>
      <c r="E1248" s="71" t="e">
        <f t="shared" ca="1" si="290"/>
        <v>#VALUE!</v>
      </c>
      <c r="F1248" s="351">
        <f t="shared" ca="1" si="291"/>
        <v>0</v>
      </c>
      <c r="G1248" s="71" t="e">
        <f t="shared" ca="1" si="292"/>
        <v>#VALUE!</v>
      </c>
      <c r="H1248" s="351">
        <f t="shared" ca="1" si="293"/>
        <v>0</v>
      </c>
      <c r="I1248" s="71" t="e">
        <f t="shared" ca="1" si="294"/>
        <v>#VALUE!</v>
      </c>
      <c r="J1248" s="351">
        <f t="shared" ca="1" si="295"/>
        <v>0</v>
      </c>
      <c r="K1248">
        <v>-18</v>
      </c>
      <c r="M1248" s="21" t="str">
        <f t="array" ref="M1248">IFERROR(INDEX(Montageplatten[Höhe],LARGE((Montageplatten[AG Rand]=$L$70)*(ROW(Montageplatten[AG Rand])-1),COUNTIF(Montageplatten[AG Rand],$L$70)+1-ROW(A33))),"")</f>
        <v/>
      </c>
      <c r="N1248" s="21">
        <v>1</v>
      </c>
      <c r="O1248" s="1087"/>
    </row>
    <row r="1249" spans="1:15" hidden="1" outlineLevel="1" x14ac:dyDescent="0.25">
      <c r="A1249" s="8"/>
      <c r="B1249" s="8"/>
      <c r="C1249" t="e">
        <f t="shared" ca="1" si="297"/>
        <v>#VALUE!</v>
      </c>
      <c r="D1249" s="351">
        <f t="shared" ca="1" si="298"/>
        <v>0</v>
      </c>
      <c r="E1249" s="71" t="e">
        <f t="shared" ca="1" si="290"/>
        <v>#VALUE!</v>
      </c>
      <c r="F1249" s="351">
        <f t="shared" ca="1" si="291"/>
        <v>0</v>
      </c>
      <c r="G1249" s="71" t="e">
        <f t="shared" ca="1" si="292"/>
        <v>#VALUE!</v>
      </c>
      <c r="H1249" s="351">
        <f t="shared" ca="1" si="293"/>
        <v>0</v>
      </c>
      <c r="I1249" s="71" t="e">
        <f t="shared" ca="1" si="294"/>
        <v>#VALUE!</v>
      </c>
      <c r="J1249" s="351">
        <f t="shared" ca="1" si="295"/>
        <v>0</v>
      </c>
      <c r="K1249">
        <v>-18.5</v>
      </c>
      <c r="M1249" s="21" t="str">
        <f t="array" ref="M1249">IFERROR(INDEX(Montageplatten[Höhe],LARGE((Montageplatten[AG Rand]=$L$70)*(ROW(Montageplatten[AG Rand])-1),COUNTIF(Montageplatten[AG Rand],$L$70)+1-ROW(A34))),"")</f>
        <v/>
      </c>
      <c r="N1249" s="21">
        <v>1</v>
      </c>
      <c r="O1249" s="1087"/>
    </row>
    <row r="1250" spans="1:15" hidden="1" outlineLevel="1" x14ac:dyDescent="0.25">
      <c r="A1250" s="8"/>
      <c r="B1250" s="8"/>
      <c r="C1250" t="e">
        <f t="shared" ca="1" si="297"/>
        <v>#VALUE!</v>
      </c>
      <c r="D1250" s="351">
        <f t="shared" ca="1" si="298"/>
        <v>0</v>
      </c>
      <c r="E1250" s="71" t="e">
        <f t="shared" ca="1" si="290"/>
        <v>#VALUE!</v>
      </c>
      <c r="F1250" s="351">
        <f t="shared" ca="1" si="291"/>
        <v>0</v>
      </c>
      <c r="G1250" s="71" t="e">
        <f t="shared" ca="1" si="292"/>
        <v>#VALUE!</v>
      </c>
      <c r="H1250" s="351">
        <f t="shared" ca="1" si="293"/>
        <v>0</v>
      </c>
      <c r="I1250" s="71" t="e">
        <f t="shared" ca="1" si="294"/>
        <v>#VALUE!</v>
      </c>
      <c r="J1250" s="351">
        <f t="shared" ca="1" si="295"/>
        <v>0</v>
      </c>
      <c r="K1250">
        <v>-19</v>
      </c>
      <c r="M1250" s="21" t="str">
        <f t="array" ref="M1250">IFERROR(INDEX(Montageplatten[Höhe],LARGE((Montageplatten[AG Rand]=$L$70)*(ROW(Montageplatten[AG Rand])-1),COUNTIF(Montageplatten[AG Rand],$L$70)+1-ROW(A35))),"")</f>
        <v/>
      </c>
      <c r="N1250" s="21">
        <v>1</v>
      </c>
      <c r="O1250" s="1087"/>
    </row>
    <row r="1251" spans="1:15" hidden="1" outlineLevel="1" x14ac:dyDescent="0.25">
      <c r="A1251" s="8"/>
      <c r="B1251" s="8"/>
      <c r="C1251" t="e">
        <f t="shared" ca="1" si="297"/>
        <v>#VALUE!</v>
      </c>
      <c r="D1251" s="351">
        <f t="shared" ca="1" si="298"/>
        <v>0</v>
      </c>
      <c r="E1251" s="71" t="e">
        <f t="shared" ca="1" si="290"/>
        <v>#VALUE!</v>
      </c>
      <c r="F1251" s="351">
        <f t="shared" ca="1" si="291"/>
        <v>0</v>
      </c>
      <c r="G1251" s="71" t="e">
        <f t="shared" ca="1" si="292"/>
        <v>#VALUE!</v>
      </c>
      <c r="H1251" s="351">
        <f t="shared" ca="1" si="293"/>
        <v>0</v>
      </c>
      <c r="I1251" s="71" t="e">
        <f t="shared" ca="1" si="294"/>
        <v>#VALUE!</v>
      </c>
      <c r="J1251" s="351">
        <f t="shared" ca="1" si="295"/>
        <v>0</v>
      </c>
      <c r="K1251">
        <v>-19.5</v>
      </c>
      <c r="M1251" s="21" t="str">
        <f t="array" ref="M1251">IFERROR(INDEX(Montageplatten[Höhe],LARGE((Montageplatten[AG Rand]=$L$70)*(ROW(Montageplatten[AG Rand])-1),COUNTIF(Montageplatten[AG Rand],$L$70)+1-ROW(A36))),"")</f>
        <v/>
      </c>
      <c r="N1251" s="21">
        <v>1</v>
      </c>
      <c r="O1251" s="1087"/>
    </row>
    <row r="1252" spans="1:15" hidden="1" outlineLevel="1" x14ac:dyDescent="0.25">
      <c r="A1252" s="8"/>
      <c r="B1252" s="8"/>
      <c r="C1252" t="e">
        <f t="shared" ca="1" si="297"/>
        <v>#VALUE!</v>
      </c>
      <c r="D1252" s="351">
        <f t="shared" ca="1" si="298"/>
        <v>0</v>
      </c>
      <c r="E1252" s="71" t="e">
        <f t="shared" ca="1" si="290"/>
        <v>#VALUE!</v>
      </c>
      <c r="F1252" s="351">
        <f t="shared" ca="1" si="291"/>
        <v>0</v>
      </c>
      <c r="G1252" s="71" t="e">
        <f t="shared" ca="1" si="292"/>
        <v>#VALUE!</v>
      </c>
      <c r="H1252" s="351">
        <f t="shared" ca="1" si="293"/>
        <v>0</v>
      </c>
      <c r="I1252" s="71" t="e">
        <f t="shared" ca="1" si="294"/>
        <v>#VALUE!</v>
      </c>
      <c r="J1252" s="351">
        <f t="shared" ca="1" si="295"/>
        <v>0</v>
      </c>
      <c r="K1252">
        <v>-20</v>
      </c>
      <c r="M1252" s="21" t="str">
        <f t="array" ref="M1252">IFERROR(INDEX(Montageplatten[Höhe],LARGE((Montageplatten[AG Rand]=$L$70)*(ROW(Montageplatten[AG Rand])-1),COUNTIF(Montageplatten[AG Rand],$L$70)+1-ROW(A37))),"")</f>
        <v/>
      </c>
      <c r="N1252" s="21">
        <v>1</v>
      </c>
      <c r="O1252" s="1087"/>
    </row>
    <row r="1253" spans="1:15" hidden="1" outlineLevel="1" x14ac:dyDescent="0.25">
      <c r="A1253" s="8"/>
      <c r="B1253" s="8"/>
      <c r="C1253" t="e">
        <f t="shared" ca="1" si="297"/>
        <v>#VALUE!</v>
      </c>
      <c r="D1253" s="351">
        <f t="shared" ca="1" si="298"/>
        <v>0</v>
      </c>
      <c r="E1253" s="71" t="e">
        <f t="shared" ca="1" si="290"/>
        <v>#VALUE!</v>
      </c>
      <c r="F1253" s="351">
        <f t="shared" ca="1" si="291"/>
        <v>0</v>
      </c>
      <c r="G1253" s="71" t="e">
        <f t="shared" ca="1" si="292"/>
        <v>#VALUE!</v>
      </c>
      <c r="H1253" s="351">
        <f t="shared" ca="1" si="293"/>
        <v>0</v>
      </c>
      <c r="I1253" s="71" t="e">
        <f t="shared" ca="1" si="294"/>
        <v>#VALUE!</v>
      </c>
      <c r="J1253" s="351">
        <f t="shared" ca="1" si="295"/>
        <v>0</v>
      </c>
      <c r="K1253">
        <v>-20.5</v>
      </c>
      <c r="M1253" s="21" t="str">
        <f t="array" ref="M1253">IFERROR(INDEX(Montageplatten[Höhe],LARGE((Montageplatten[AG Rand]=$L$70)*(ROW(Montageplatten[AG Rand])-1),COUNTIF(Montageplatten[AG Rand],$L$70)+1-ROW(A38))),"")</f>
        <v/>
      </c>
      <c r="N1253" s="21">
        <v>1</v>
      </c>
      <c r="O1253" s="1087"/>
    </row>
    <row r="1254" spans="1:15" hidden="1" outlineLevel="1" x14ac:dyDescent="0.25">
      <c r="A1254" s="8"/>
      <c r="B1254" s="8"/>
      <c r="C1254" t="e">
        <f t="shared" ca="1" si="297"/>
        <v>#VALUE!</v>
      </c>
      <c r="D1254" s="351">
        <f t="shared" ca="1" si="298"/>
        <v>0</v>
      </c>
      <c r="E1254" s="71" t="e">
        <f t="shared" ca="1" si="290"/>
        <v>#VALUE!</v>
      </c>
      <c r="F1254" s="351">
        <f t="shared" ca="1" si="291"/>
        <v>0</v>
      </c>
      <c r="G1254" s="71" t="e">
        <f t="shared" ca="1" si="292"/>
        <v>#VALUE!</v>
      </c>
      <c r="H1254" s="351">
        <f t="shared" ca="1" si="293"/>
        <v>0</v>
      </c>
      <c r="I1254" s="71" t="e">
        <f t="shared" ca="1" si="294"/>
        <v>#VALUE!</v>
      </c>
      <c r="J1254" s="351">
        <f t="shared" ca="1" si="295"/>
        <v>0</v>
      </c>
      <c r="K1254">
        <v>-21</v>
      </c>
      <c r="M1254" s="21" t="str">
        <f t="array" ref="M1254">IFERROR(INDEX(Montageplatten[Höhe],LARGE((Montageplatten[AG Rand]=$L$70)*(ROW(Montageplatten[AG Rand])-1),COUNTIF(Montageplatten[AG Rand],$L$70)+1-ROW(A39))),"")</f>
        <v/>
      </c>
      <c r="N1254" s="21">
        <v>1</v>
      </c>
      <c r="O1254" s="1087"/>
    </row>
    <row r="1255" spans="1:15" hidden="1" outlineLevel="1" x14ac:dyDescent="0.25">
      <c r="A1255" s="8"/>
      <c r="B1255" s="8"/>
      <c r="C1255" t="e">
        <f t="shared" ca="1" si="297"/>
        <v>#VALUE!</v>
      </c>
      <c r="D1255" s="351">
        <f t="shared" ca="1" si="298"/>
        <v>0</v>
      </c>
      <c r="E1255" s="71" t="e">
        <f t="shared" ca="1" si="290"/>
        <v>#VALUE!</v>
      </c>
      <c r="F1255" s="351">
        <f t="shared" ca="1" si="291"/>
        <v>0</v>
      </c>
      <c r="G1255" s="71" t="e">
        <f t="shared" ca="1" si="292"/>
        <v>#VALUE!</v>
      </c>
      <c r="H1255" s="351">
        <f t="shared" ca="1" si="293"/>
        <v>0</v>
      </c>
      <c r="I1255" s="71" t="e">
        <f t="shared" ca="1" si="294"/>
        <v>#VALUE!</v>
      </c>
      <c r="J1255" s="351">
        <f t="shared" ca="1" si="295"/>
        <v>0</v>
      </c>
      <c r="K1255">
        <v>-21.5</v>
      </c>
      <c r="M1255" s="21" t="str">
        <f t="array" ref="M1255">IFERROR(INDEX(Montageplatten[Höhe],LARGE((Montageplatten[AG Rand]=$L$70)*(ROW(Montageplatten[AG Rand])-1),COUNTIF(Montageplatten[AG Rand],$L$70)+1-ROW(A40))),"")</f>
        <v/>
      </c>
      <c r="N1255" s="21">
        <v>1</v>
      </c>
      <c r="O1255" s="1087"/>
    </row>
    <row r="1256" spans="1:15" hidden="1" outlineLevel="1" x14ac:dyDescent="0.25">
      <c r="A1256" s="8"/>
      <c r="B1256" s="8"/>
      <c r="C1256" t="e">
        <f t="shared" ca="1" si="297"/>
        <v>#VALUE!</v>
      </c>
      <c r="D1256" s="351">
        <f t="shared" ca="1" si="298"/>
        <v>0</v>
      </c>
      <c r="E1256" s="71" t="e">
        <f t="shared" ca="1" si="290"/>
        <v>#VALUE!</v>
      </c>
      <c r="F1256" s="351">
        <f t="shared" ca="1" si="291"/>
        <v>0</v>
      </c>
      <c r="G1256" s="71" t="e">
        <f t="shared" ca="1" si="292"/>
        <v>#VALUE!</v>
      </c>
      <c r="H1256" s="351">
        <f t="shared" ca="1" si="293"/>
        <v>0</v>
      </c>
      <c r="I1256" s="71" t="e">
        <f t="shared" ca="1" si="294"/>
        <v>#VALUE!</v>
      </c>
      <c r="J1256" s="351">
        <f t="shared" ca="1" si="295"/>
        <v>0</v>
      </c>
      <c r="K1256">
        <v>-22</v>
      </c>
      <c r="M1256" s="21" t="str">
        <f t="array" ref="M1256">IFERROR(INDEX(Montageplatten[Höhe],LARGE((Montageplatten[AG Rand]=$L$70)*(ROW(Montageplatten[AG Rand])-1),COUNTIF(Montageplatten[AG Rand],$L$70)+1-ROW(A41))),"")</f>
        <v/>
      </c>
      <c r="N1256" s="21">
        <v>1</v>
      </c>
      <c r="O1256" s="1087"/>
    </row>
    <row r="1257" spans="1:15" hidden="1" outlineLevel="1" x14ac:dyDescent="0.25">
      <c r="A1257" s="8"/>
      <c r="B1257" s="8"/>
      <c r="C1257" t="e">
        <f t="shared" ca="1" si="297"/>
        <v>#VALUE!</v>
      </c>
      <c r="D1257" s="351">
        <f t="shared" ca="1" si="298"/>
        <v>0</v>
      </c>
      <c r="E1257" s="71" t="e">
        <f t="shared" ca="1" si="290"/>
        <v>#VALUE!</v>
      </c>
      <c r="F1257" s="351">
        <f t="shared" ca="1" si="291"/>
        <v>0</v>
      </c>
      <c r="G1257" s="71" t="e">
        <f t="shared" ca="1" si="292"/>
        <v>#VALUE!</v>
      </c>
      <c r="H1257" s="351">
        <f t="shared" ca="1" si="293"/>
        <v>0</v>
      </c>
      <c r="I1257" s="71" t="e">
        <f t="shared" ca="1" si="294"/>
        <v>#VALUE!</v>
      </c>
      <c r="J1257" s="351">
        <f t="shared" ca="1" si="295"/>
        <v>0</v>
      </c>
      <c r="K1257">
        <v>-22.5</v>
      </c>
      <c r="M1257" s="21" t="str">
        <f t="array" ref="M1257">IFERROR(INDEX(Montageplatten[Höhe],LARGE((Montageplatten[AG Rand]=$L$70)*(ROW(Montageplatten[AG Rand])-1),COUNTIF(Montageplatten[AG Rand],$L$70)+1-ROW(A42))),"")</f>
        <v/>
      </c>
      <c r="N1257" s="21">
        <v>1</v>
      </c>
      <c r="O1257" s="1087"/>
    </row>
    <row r="1258" spans="1:15" hidden="1" outlineLevel="1" x14ac:dyDescent="0.25">
      <c r="A1258" s="8"/>
      <c r="B1258" s="8"/>
      <c r="C1258" t="e">
        <f t="shared" ca="1" si="297"/>
        <v>#VALUE!</v>
      </c>
      <c r="D1258" s="351">
        <f t="shared" ca="1" si="298"/>
        <v>0</v>
      </c>
      <c r="E1258" s="71" t="e">
        <f t="shared" ca="1" si="290"/>
        <v>#VALUE!</v>
      </c>
      <c r="F1258" s="351">
        <f t="shared" ca="1" si="291"/>
        <v>0</v>
      </c>
      <c r="G1258" s="71" t="e">
        <f t="shared" ca="1" si="292"/>
        <v>#VALUE!</v>
      </c>
      <c r="H1258" s="351">
        <f t="shared" ca="1" si="293"/>
        <v>0</v>
      </c>
      <c r="I1258" s="71" t="e">
        <f t="shared" ca="1" si="294"/>
        <v>#VALUE!</v>
      </c>
      <c r="J1258" s="351">
        <f t="shared" ca="1" si="295"/>
        <v>0</v>
      </c>
      <c r="K1258">
        <v>-23</v>
      </c>
      <c r="M1258" s="21" t="str">
        <f t="array" ref="M1258">IFERROR(INDEX(Montageplatten[Höhe],LARGE((Montageplatten[AG Rand]=$L$70)*(ROW(Montageplatten[AG Rand])-1),COUNTIF(Montageplatten[AG Rand],$L$70)+1-ROW(A43))),"")</f>
        <v/>
      </c>
      <c r="N1258" s="21">
        <v>1</v>
      </c>
      <c r="O1258" s="1087"/>
    </row>
    <row r="1259" spans="1:15" hidden="1" outlineLevel="1" x14ac:dyDescent="0.25">
      <c r="A1259" s="8"/>
      <c r="B1259" s="8"/>
      <c r="C1259" t="e">
        <f t="shared" ca="1" si="297"/>
        <v>#VALUE!</v>
      </c>
      <c r="D1259" s="351">
        <f t="shared" ca="1" si="298"/>
        <v>0</v>
      </c>
      <c r="E1259" s="71" t="e">
        <f t="shared" ca="1" si="290"/>
        <v>#VALUE!</v>
      </c>
      <c r="F1259" s="351">
        <f t="shared" ca="1" si="291"/>
        <v>0</v>
      </c>
      <c r="G1259" s="71" t="e">
        <f t="shared" ca="1" si="292"/>
        <v>#VALUE!</v>
      </c>
      <c r="H1259" s="351">
        <f t="shared" ca="1" si="293"/>
        <v>0</v>
      </c>
      <c r="I1259" s="71" t="e">
        <f t="shared" ca="1" si="294"/>
        <v>#VALUE!</v>
      </c>
      <c r="J1259" s="351">
        <f t="shared" ca="1" si="295"/>
        <v>0</v>
      </c>
      <c r="K1259">
        <v>-23.5</v>
      </c>
      <c r="M1259" s="21" t="str">
        <f t="array" ref="M1259">IFERROR(INDEX(Montageplatten[Höhe],LARGE((Montageplatten[AG Rand]=$L$70)*(ROW(Montageplatten[AG Rand])-1),COUNTIF(Montageplatten[AG Rand],$L$70)+1-ROW(A44))),"")</f>
        <v/>
      </c>
      <c r="N1259" s="21">
        <v>1</v>
      </c>
      <c r="O1259" s="1087"/>
    </row>
    <row r="1260" spans="1:15" hidden="1" outlineLevel="1" x14ac:dyDescent="0.25">
      <c r="A1260" s="8"/>
      <c r="B1260" s="8"/>
      <c r="C1260" t="e">
        <f t="shared" ca="1" si="297"/>
        <v>#VALUE!</v>
      </c>
      <c r="D1260" s="351">
        <f t="shared" ca="1" si="298"/>
        <v>0</v>
      </c>
      <c r="E1260" s="71" t="e">
        <f t="shared" ca="1" si="290"/>
        <v>#VALUE!</v>
      </c>
      <c r="F1260" s="351">
        <f t="shared" ca="1" si="291"/>
        <v>0</v>
      </c>
      <c r="G1260" s="71" t="e">
        <f t="shared" ca="1" si="292"/>
        <v>#VALUE!</v>
      </c>
      <c r="H1260" s="351">
        <f t="shared" ca="1" si="293"/>
        <v>0</v>
      </c>
      <c r="I1260" s="71" t="e">
        <f t="shared" ca="1" si="294"/>
        <v>#VALUE!</v>
      </c>
      <c r="J1260" s="351">
        <f t="shared" ca="1" si="295"/>
        <v>0</v>
      </c>
      <c r="K1260">
        <v>-24</v>
      </c>
    </row>
    <row r="1261" spans="1:15" hidden="1" outlineLevel="1" x14ac:dyDescent="0.25"/>
    <row r="1262" spans="1:15" hidden="1" outlineLevel="1" x14ac:dyDescent="0.25">
      <c r="B1262" t="str">
        <f ca="1">IFERROR(LARGE(D1262:J1262,1),"-")</f>
        <v>-</v>
      </c>
      <c r="D1262" s="53" t="str">
        <f ca="1">IFERROR(VLOOKUP(M1215,D1213:K1260,8,FALSE),"")</f>
        <v/>
      </c>
      <c r="F1262" s="353" t="str">
        <f ca="1">IFERROR(VLOOKUP(M1215,F1213:K1260,6,FALSE),"")</f>
        <v/>
      </c>
      <c r="H1262" s="353" t="str">
        <f ca="1">IFERROR(VLOOKUP(M1215,H1213:K1260,4,FALSE),"")</f>
        <v/>
      </c>
      <c r="J1262" s="53" t="str">
        <f ca="1">IFERROR(VLOOKUP(M1215,J1213:K1260,2,FALSE),"")</f>
        <v/>
      </c>
    </row>
    <row r="1263" spans="1:15" hidden="1" outlineLevel="1" x14ac:dyDescent="0.25"/>
    <row r="1264" spans="1:15" hidden="1" outlineLevel="1" x14ac:dyDescent="0.25">
      <c r="C1264" s="3" t="e">
        <f ca="1">($B$1204-($B$1205+K1264))-$C$1211</f>
        <v>#VALUE!</v>
      </c>
      <c r="D1264" s="351">
        <f ca="1">IFERROR(VLOOKUP(C1264,$M$1216:$N$1259,2,FALSE),0)</f>
        <v>0</v>
      </c>
      <c r="E1264" s="71" t="e">
        <f ca="1">($B$1204-($B$1205+K1264))-$E$1211</f>
        <v>#VALUE!</v>
      </c>
      <c r="F1264" s="351">
        <f ca="1">IFERROR(VLOOKUP(E1264,$M$1216:$N$1259,2,FALSE),0)</f>
        <v>0</v>
      </c>
      <c r="G1264" s="71" t="e">
        <f t="shared" ref="G1264:G1311" ca="1" si="300">($B$1204-($B$1205+K1264))-$G$1211</f>
        <v>#VALUE!</v>
      </c>
      <c r="H1264" s="351">
        <f ca="1">IFERROR(VLOOKUP(G1264,$M$1216:$N$1259,2,FALSE),0)</f>
        <v>0</v>
      </c>
      <c r="I1264" s="71" t="e">
        <f t="shared" ref="I1264:I1311" ca="1" si="301">($B$1204-($B$1205+K1264))-$I$1211</f>
        <v>#VALUE!</v>
      </c>
      <c r="J1264" s="351">
        <f ca="1">IFERROR(VLOOKUP(I1264,$M$1216:$N$1259,2,FALSE),0)</f>
        <v>0</v>
      </c>
      <c r="K1264">
        <v>0.5</v>
      </c>
    </row>
    <row r="1265" spans="1:11" hidden="1" outlineLevel="1" x14ac:dyDescent="0.25">
      <c r="A1265">
        <f>AG!$C$21</f>
        <v>9</v>
      </c>
      <c r="C1265" s="3" t="e">
        <f ca="1">($B$1204-($B$1205+K1265))-$C$1211</f>
        <v>#VALUE!</v>
      </c>
      <c r="D1265" s="351">
        <f t="shared" ref="D1265:D1311" ca="1" si="302">IFERROR(VLOOKUP(C1265,$M$1216:$N$1259,2,FALSE),0)</f>
        <v>0</v>
      </c>
      <c r="E1265" s="71" t="e">
        <f t="shared" ref="E1265:E1311" ca="1" si="303">($B$1204-($B$1205+K1265))-$E$1211</f>
        <v>#VALUE!</v>
      </c>
      <c r="F1265" s="351">
        <f t="shared" ref="F1265:F1311" ca="1" si="304">IFERROR(VLOOKUP(E1265,$M$1216:$N$1259,2,FALSE),0)</f>
        <v>0</v>
      </c>
      <c r="G1265" s="71" t="e">
        <f t="shared" ca="1" si="300"/>
        <v>#VALUE!</v>
      </c>
      <c r="H1265" s="351">
        <f t="shared" ref="H1265:H1311" ca="1" si="305">IFERROR(VLOOKUP(G1265,$M$1216:$N$1259,2,FALSE),0)</f>
        <v>0</v>
      </c>
      <c r="I1265" s="71" t="e">
        <f t="shared" ca="1" si="301"/>
        <v>#VALUE!</v>
      </c>
      <c r="J1265" s="351">
        <f t="shared" ref="J1265:J1311" ca="1" si="306">IFERROR(VLOOKUP(I1265,$M$1216:$N$1259,2,FALSE),0)</f>
        <v>0</v>
      </c>
      <c r="K1265">
        <v>1</v>
      </c>
    </row>
    <row r="1266" spans="1:11" hidden="1" outlineLevel="1" x14ac:dyDescent="0.25">
      <c r="C1266" s="3" t="e">
        <f t="shared" ref="C1266:C1311" ca="1" si="307">($B$1204-($B$1205+K1266))-$C$1211</f>
        <v>#VALUE!</v>
      </c>
      <c r="D1266" s="351">
        <f t="shared" ca="1" si="302"/>
        <v>0</v>
      </c>
      <c r="E1266" s="71" t="e">
        <f t="shared" ca="1" si="303"/>
        <v>#VALUE!</v>
      </c>
      <c r="F1266" s="351">
        <f t="shared" ca="1" si="304"/>
        <v>0</v>
      </c>
      <c r="G1266" s="71" t="e">
        <f t="shared" ca="1" si="300"/>
        <v>#VALUE!</v>
      </c>
      <c r="H1266" s="351">
        <f t="shared" ca="1" si="305"/>
        <v>0</v>
      </c>
      <c r="I1266" s="71" t="e">
        <f t="shared" ca="1" si="301"/>
        <v>#VALUE!</v>
      </c>
      <c r="J1266" s="351">
        <f t="shared" ca="1" si="306"/>
        <v>0</v>
      </c>
      <c r="K1266">
        <v>1.5</v>
      </c>
    </row>
    <row r="1267" spans="1:11" hidden="1" outlineLevel="1" x14ac:dyDescent="0.25">
      <c r="C1267" s="3" t="e">
        <f t="shared" ca="1" si="307"/>
        <v>#VALUE!</v>
      </c>
      <c r="D1267" s="351">
        <f t="shared" ca="1" si="302"/>
        <v>0</v>
      </c>
      <c r="E1267" s="71" t="e">
        <f t="shared" ca="1" si="303"/>
        <v>#VALUE!</v>
      </c>
      <c r="F1267" s="351">
        <f t="shared" ca="1" si="304"/>
        <v>0</v>
      </c>
      <c r="G1267" s="71" t="e">
        <f t="shared" ca="1" si="300"/>
        <v>#VALUE!</v>
      </c>
      <c r="H1267" s="351">
        <f t="shared" ca="1" si="305"/>
        <v>0</v>
      </c>
      <c r="I1267" s="71" t="e">
        <f t="shared" ca="1" si="301"/>
        <v>#VALUE!</v>
      </c>
      <c r="J1267" s="351">
        <f t="shared" ca="1" si="306"/>
        <v>0</v>
      </c>
      <c r="K1267">
        <v>2</v>
      </c>
    </row>
    <row r="1268" spans="1:11" hidden="1" outlineLevel="1" x14ac:dyDescent="0.25">
      <c r="A1268" t="e">
        <f ca="1">A1265+B1313</f>
        <v>#VALUE!</v>
      </c>
      <c r="C1268" s="3" t="e">
        <f t="shared" ca="1" si="307"/>
        <v>#VALUE!</v>
      </c>
      <c r="D1268" s="351">
        <f t="shared" ca="1" si="302"/>
        <v>0</v>
      </c>
      <c r="E1268" s="71" t="e">
        <f t="shared" ca="1" si="303"/>
        <v>#VALUE!</v>
      </c>
      <c r="F1268" s="351">
        <f t="shared" ca="1" si="304"/>
        <v>0</v>
      </c>
      <c r="G1268" s="71" t="e">
        <f t="shared" ca="1" si="300"/>
        <v>#VALUE!</v>
      </c>
      <c r="H1268" s="351">
        <f t="shared" ca="1" si="305"/>
        <v>0</v>
      </c>
      <c r="I1268" s="71" t="e">
        <f t="shared" ca="1" si="301"/>
        <v>#VALUE!</v>
      </c>
      <c r="J1268" s="351">
        <f t="shared" ca="1" si="306"/>
        <v>0</v>
      </c>
      <c r="K1268">
        <v>2.5</v>
      </c>
    </row>
    <row r="1269" spans="1:11" hidden="1" outlineLevel="1" x14ac:dyDescent="0.25">
      <c r="C1269" s="3" t="e">
        <f t="shared" ca="1" si="307"/>
        <v>#VALUE!</v>
      </c>
      <c r="D1269" s="351">
        <f t="shared" ca="1" si="302"/>
        <v>0</v>
      </c>
      <c r="E1269" s="71" t="e">
        <f t="shared" ca="1" si="303"/>
        <v>#VALUE!</v>
      </c>
      <c r="F1269" s="351">
        <f t="shared" ca="1" si="304"/>
        <v>0</v>
      </c>
      <c r="G1269" s="71" t="e">
        <f t="shared" ca="1" si="300"/>
        <v>#VALUE!</v>
      </c>
      <c r="H1269" s="351">
        <f t="shared" ca="1" si="305"/>
        <v>0</v>
      </c>
      <c r="I1269" s="71" t="e">
        <f t="shared" ca="1" si="301"/>
        <v>#VALUE!</v>
      </c>
      <c r="J1269" s="351">
        <f t="shared" ca="1" si="306"/>
        <v>0</v>
      </c>
      <c r="K1269">
        <v>3</v>
      </c>
    </row>
    <row r="1270" spans="1:11" hidden="1" outlineLevel="1" x14ac:dyDescent="0.25">
      <c r="C1270" s="3" t="e">
        <f t="shared" ca="1" si="307"/>
        <v>#VALUE!</v>
      </c>
      <c r="D1270" s="351">
        <f t="shared" ca="1" si="302"/>
        <v>0</v>
      </c>
      <c r="E1270" s="71" t="e">
        <f t="shared" ca="1" si="303"/>
        <v>#VALUE!</v>
      </c>
      <c r="F1270" s="351">
        <f t="shared" ca="1" si="304"/>
        <v>0</v>
      </c>
      <c r="G1270" s="71" t="e">
        <f t="shared" ca="1" si="300"/>
        <v>#VALUE!</v>
      </c>
      <c r="H1270" s="351">
        <f t="shared" ca="1" si="305"/>
        <v>0</v>
      </c>
      <c r="I1270" s="71" t="e">
        <f t="shared" ca="1" si="301"/>
        <v>#VALUE!</v>
      </c>
      <c r="J1270" s="351">
        <f t="shared" ca="1" si="306"/>
        <v>0</v>
      </c>
      <c r="K1270">
        <v>3.5</v>
      </c>
    </row>
    <row r="1271" spans="1:11" hidden="1" outlineLevel="1" x14ac:dyDescent="0.25">
      <c r="C1271" s="3" t="e">
        <f t="shared" ca="1" si="307"/>
        <v>#VALUE!</v>
      </c>
      <c r="D1271" s="351">
        <f t="shared" ca="1" si="302"/>
        <v>0</v>
      </c>
      <c r="E1271" s="71" t="e">
        <f t="shared" ca="1" si="303"/>
        <v>#VALUE!</v>
      </c>
      <c r="F1271" s="351">
        <f t="shared" ca="1" si="304"/>
        <v>0</v>
      </c>
      <c r="G1271" s="71" t="e">
        <f t="shared" ca="1" si="300"/>
        <v>#VALUE!</v>
      </c>
      <c r="H1271" s="351">
        <f t="shared" ca="1" si="305"/>
        <v>0</v>
      </c>
      <c r="I1271" s="71" t="e">
        <f t="shared" ca="1" si="301"/>
        <v>#VALUE!</v>
      </c>
      <c r="J1271" s="351">
        <f t="shared" ca="1" si="306"/>
        <v>0</v>
      </c>
      <c r="K1271">
        <v>4</v>
      </c>
    </row>
    <row r="1272" spans="1:11" hidden="1" outlineLevel="1" x14ac:dyDescent="0.25">
      <c r="C1272" s="3" t="e">
        <f t="shared" ca="1" si="307"/>
        <v>#VALUE!</v>
      </c>
      <c r="D1272" s="351">
        <f t="shared" ca="1" si="302"/>
        <v>0</v>
      </c>
      <c r="E1272" s="71" t="e">
        <f t="shared" ca="1" si="303"/>
        <v>#VALUE!</v>
      </c>
      <c r="F1272" s="351">
        <f t="shared" ca="1" si="304"/>
        <v>0</v>
      </c>
      <c r="G1272" s="71" t="e">
        <f t="shared" ca="1" si="300"/>
        <v>#VALUE!</v>
      </c>
      <c r="H1272" s="351">
        <f t="shared" ca="1" si="305"/>
        <v>0</v>
      </c>
      <c r="I1272" s="71" t="e">
        <f t="shared" ca="1" si="301"/>
        <v>#VALUE!</v>
      </c>
      <c r="J1272" s="351">
        <f t="shared" ca="1" si="306"/>
        <v>0</v>
      </c>
      <c r="K1272">
        <v>4.5</v>
      </c>
    </row>
    <row r="1273" spans="1:11" hidden="1" outlineLevel="1" x14ac:dyDescent="0.25">
      <c r="C1273" s="3" t="e">
        <f t="shared" ca="1" si="307"/>
        <v>#VALUE!</v>
      </c>
      <c r="D1273" s="351">
        <f t="shared" ca="1" si="302"/>
        <v>0</v>
      </c>
      <c r="E1273" s="71" t="e">
        <f t="shared" ca="1" si="303"/>
        <v>#VALUE!</v>
      </c>
      <c r="F1273" s="351">
        <f t="shared" ca="1" si="304"/>
        <v>0</v>
      </c>
      <c r="G1273" s="71" t="e">
        <f t="shared" ca="1" si="300"/>
        <v>#VALUE!</v>
      </c>
      <c r="H1273" s="351">
        <f t="shared" ca="1" si="305"/>
        <v>0</v>
      </c>
      <c r="I1273" s="71" t="e">
        <f t="shared" ca="1" si="301"/>
        <v>#VALUE!</v>
      </c>
      <c r="J1273" s="351">
        <f t="shared" ca="1" si="306"/>
        <v>0</v>
      </c>
      <c r="K1273">
        <v>5</v>
      </c>
    </row>
    <row r="1274" spans="1:11" hidden="1" outlineLevel="1" x14ac:dyDescent="0.25">
      <c r="C1274" s="3" t="e">
        <f t="shared" ca="1" si="307"/>
        <v>#VALUE!</v>
      </c>
      <c r="D1274" s="351">
        <f t="shared" ca="1" si="302"/>
        <v>0</v>
      </c>
      <c r="E1274" s="71" t="e">
        <f t="shared" ca="1" si="303"/>
        <v>#VALUE!</v>
      </c>
      <c r="F1274" s="351">
        <f t="shared" ca="1" si="304"/>
        <v>0</v>
      </c>
      <c r="G1274" s="71" t="e">
        <f t="shared" ca="1" si="300"/>
        <v>#VALUE!</v>
      </c>
      <c r="H1274" s="351">
        <f t="shared" ca="1" si="305"/>
        <v>0</v>
      </c>
      <c r="I1274" s="71" t="e">
        <f t="shared" ca="1" si="301"/>
        <v>#VALUE!</v>
      </c>
      <c r="J1274" s="351">
        <f t="shared" ca="1" si="306"/>
        <v>0</v>
      </c>
      <c r="K1274">
        <v>5.5</v>
      </c>
    </row>
    <row r="1275" spans="1:11" hidden="1" outlineLevel="1" x14ac:dyDescent="0.25">
      <c r="C1275" s="3" t="e">
        <f t="shared" ca="1" si="307"/>
        <v>#VALUE!</v>
      </c>
      <c r="D1275" s="351">
        <f t="shared" ca="1" si="302"/>
        <v>0</v>
      </c>
      <c r="E1275" s="71" t="e">
        <f t="shared" ca="1" si="303"/>
        <v>#VALUE!</v>
      </c>
      <c r="F1275" s="351">
        <f t="shared" ca="1" si="304"/>
        <v>0</v>
      </c>
      <c r="G1275" s="71" t="e">
        <f t="shared" ca="1" si="300"/>
        <v>#VALUE!</v>
      </c>
      <c r="H1275" s="351">
        <f t="shared" ca="1" si="305"/>
        <v>0</v>
      </c>
      <c r="I1275" s="71" t="e">
        <f t="shared" ca="1" si="301"/>
        <v>#VALUE!</v>
      </c>
      <c r="J1275" s="351">
        <f t="shared" ca="1" si="306"/>
        <v>0</v>
      </c>
      <c r="K1275">
        <v>6</v>
      </c>
    </row>
    <row r="1276" spans="1:11" hidden="1" outlineLevel="1" x14ac:dyDescent="0.25">
      <c r="C1276" s="3" t="e">
        <f t="shared" ca="1" si="307"/>
        <v>#VALUE!</v>
      </c>
      <c r="D1276" s="351">
        <f t="shared" ca="1" si="302"/>
        <v>0</v>
      </c>
      <c r="E1276" s="71" t="e">
        <f t="shared" ca="1" si="303"/>
        <v>#VALUE!</v>
      </c>
      <c r="F1276" s="351">
        <f t="shared" ca="1" si="304"/>
        <v>0</v>
      </c>
      <c r="G1276" s="71" t="e">
        <f t="shared" ca="1" si="300"/>
        <v>#VALUE!</v>
      </c>
      <c r="H1276" s="351">
        <f t="shared" ca="1" si="305"/>
        <v>0</v>
      </c>
      <c r="I1276" s="71" t="e">
        <f t="shared" ca="1" si="301"/>
        <v>#VALUE!</v>
      </c>
      <c r="J1276" s="351">
        <f t="shared" ca="1" si="306"/>
        <v>0</v>
      </c>
      <c r="K1276">
        <v>6.5</v>
      </c>
    </row>
    <row r="1277" spans="1:11" hidden="1" outlineLevel="1" x14ac:dyDescent="0.25">
      <c r="C1277" s="3" t="e">
        <f t="shared" ca="1" si="307"/>
        <v>#VALUE!</v>
      </c>
      <c r="D1277" s="351">
        <f t="shared" ca="1" si="302"/>
        <v>0</v>
      </c>
      <c r="E1277" s="71" t="e">
        <f t="shared" ca="1" si="303"/>
        <v>#VALUE!</v>
      </c>
      <c r="F1277" s="351">
        <f t="shared" ca="1" si="304"/>
        <v>0</v>
      </c>
      <c r="G1277" s="71" t="e">
        <f t="shared" ca="1" si="300"/>
        <v>#VALUE!</v>
      </c>
      <c r="H1277" s="351">
        <f t="shared" ca="1" si="305"/>
        <v>0</v>
      </c>
      <c r="I1277" s="71" t="e">
        <f t="shared" ca="1" si="301"/>
        <v>#VALUE!</v>
      </c>
      <c r="J1277" s="351">
        <f t="shared" ca="1" si="306"/>
        <v>0</v>
      </c>
      <c r="K1277">
        <v>7</v>
      </c>
    </row>
    <row r="1278" spans="1:11" hidden="1" outlineLevel="1" x14ac:dyDescent="0.25">
      <c r="C1278" s="3" t="e">
        <f t="shared" ca="1" si="307"/>
        <v>#VALUE!</v>
      </c>
      <c r="D1278" s="351">
        <f t="shared" ca="1" si="302"/>
        <v>0</v>
      </c>
      <c r="E1278" s="71" t="e">
        <f t="shared" ca="1" si="303"/>
        <v>#VALUE!</v>
      </c>
      <c r="F1278" s="351">
        <f t="shared" ca="1" si="304"/>
        <v>0</v>
      </c>
      <c r="G1278" s="71" t="e">
        <f t="shared" ca="1" si="300"/>
        <v>#VALUE!</v>
      </c>
      <c r="H1278" s="351">
        <f t="shared" ca="1" si="305"/>
        <v>0</v>
      </c>
      <c r="I1278" s="71" t="e">
        <f t="shared" ca="1" si="301"/>
        <v>#VALUE!</v>
      </c>
      <c r="J1278" s="351">
        <f t="shared" ca="1" si="306"/>
        <v>0</v>
      </c>
      <c r="K1278">
        <v>7.5</v>
      </c>
    </row>
    <row r="1279" spans="1:11" hidden="1" outlineLevel="1" x14ac:dyDescent="0.25">
      <c r="C1279" s="3" t="e">
        <f t="shared" ca="1" si="307"/>
        <v>#VALUE!</v>
      </c>
      <c r="D1279" s="351">
        <f t="shared" ca="1" si="302"/>
        <v>0</v>
      </c>
      <c r="E1279" s="71" t="e">
        <f t="shared" ca="1" si="303"/>
        <v>#VALUE!</v>
      </c>
      <c r="F1279" s="351">
        <f t="shared" ca="1" si="304"/>
        <v>0</v>
      </c>
      <c r="G1279" s="71" t="e">
        <f t="shared" ca="1" si="300"/>
        <v>#VALUE!</v>
      </c>
      <c r="H1279" s="351">
        <f t="shared" ca="1" si="305"/>
        <v>0</v>
      </c>
      <c r="I1279" s="71" t="e">
        <f t="shared" ca="1" si="301"/>
        <v>#VALUE!</v>
      </c>
      <c r="J1279" s="351">
        <f t="shared" ca="1" si="306"/>
        <v>0</v>
      </c>
      <c r="K1279">
        <v>8</v>
      </c>
    </row>
    <row r="1280" spans="1:11" hidden="1" outlineLevel="1" x14ac:dyDescent="0.25">
      <c r="C1280" s="3" t="e">
        <f t="shared" ca="1" si="307"/>
        <v>#VALUE!</v>
      </c>
      <c r="D1280" s="351">
        <f t="shared" ca="1" si="302"/>
        <v>0</v>
      </c>
      <c r="E1280" s="71" t="e">
        <f t="shared" ca="1" si="303"/>
        <v>#VALUE!</v>
      </c>
      <c r="F1280" s="351">
        <f t="shared" ca="1" si="304"/>
        <v>0</v>
      </c>
      <c r="G1280" s="71" t="e">
        <f t="shared" ca="1" si="300"/>
        <v>#VALUE!</v>
      </c>
      <c r="H1280" s="351">
        <f t="shared" ca="1" si="305"/>
        <v>0</v>
      </c>
      <c r="I1280" s="71" t="e">
        <f t="shared" ca="1" si="301"/>
        <v>#VALUE!</v>
      </c>
      <c r="J1280" s="351">
        <f t="shared" ca="1" si="306"/>
        <v>0</v>
      </c>
      <c r="K1280">
        <v>8.5</v>
      </c>
    </row>
    <row r="1281" spans="3:11" hidden="1" outlineLevel="1" x14ac:dyDescent="0.25">
      <c r="C1281" s="3" t="e">
        <f t="shared" ca="1" si="307"/>
        <v>#VALUE!</v>
      </c>
      <c r="D1281" s="351">
        <f t="shared" ca="1" si="302"/>
        <v>0</v>
      </c>
      <c r="E1281" s="71" t="e">
        <f t="shared" ca="1" si="303"/>
        <v>#VALUE!</v>
      </c>
      <c r="F1281" s="351">
        <f t="shared" ca="1" si="304"/>
        <v>0</v>
      </c>
      <c r="G1281" s="71" t="e">
        <f t="shared" ca="1" si="300"/>
        <v>#VALUE!</v>
      </c>
      <c r="H1281" s="351">
        <f t="shared" ca="1" si="305"/>
        <v>0</v>
      </c>
      <c r="I1281" s="71" t="e">
        <f t="shared" ca="1" si="301"/>
        <v>#VALUE!</v>
      </c>
      <c r="J1281" s="351">
        <f t="shared" ca="1" si="306"/>
        <v>0</v>
      </c>
      <c r="K1281">
        <v>9</v>
      </c>
    </row>
    <row r="1282" spans="3:11" hidden="1" outlineLevel="1" x14ac:dyDescent="0.25">
      <c r="C1282" s="3" t="e">
        <f t="shared" ca="1" si="307"/>
        <v>#VALUE!</v>
      </c>
      <c r="D1282" s="351">
        <f t="shared" ca="1" si="302"/>
        <v>0</v>
      </c>
      <c r="E1282" s="71" t="e">
        <f t="shared" ca="1" si="303"/>
        <v>#VALUE!</v>
      </c>
      <c r="F1282" s="351">
        <f t="shared" ca="1" si="304"/>
        <v>0</v>
      </c>
      <c r="G1282" s="71" t="e">
        <f t="shared" ca="1" si="300"/>
        <v>#VALUE!</v>
      </c>
      <c r="H1282" s="351">
        <f t="shared" ca="1" si="305"/>
        <v>0</v>
      </c>
      <c r="I1282" s="71" t="e">
        <f t="shared" ca="1" si="301"/>
        <v>#VALUE!</v>
      </c>
      <c r="J1282" s="351">
        <f t="shared" ca="1" si="306"/>
        <v>0</v>
      </c>
      <c r="K1282">
        <v>9.5</v>
      </c>
    </row>
    <row r="1283" spans="3:11" hidden="1" outlineLevel="1" x14ac:dyDescent="0.25">
      <c r="C1283" s="3" t="e">
        <f t="shared" ca="1" si="307"/>
        <v>#VALUE!</v>
      </c>
      <c r="D1283" s="351">
        <f t="shared" ca="1" si="302"/>
        <v>0</v>
      </c>
      <c r="E1283" s="71" t="e">
        <f t="shared" ca="1" si="303"/>
        <v>#VALUE!</v>
      </c>
      <c r="F1283" s="351">
        <f t="shared" ca="1" si="304"/>
        <v>0</v>
      </c>
      <c r="G1283" s="71" t="e">
        <f t="shared" ca="1" si="300"/>
        <v>#VALUE!</v>
      </c>
      <c r="H1283" s="351">
        <f t="shared" ca="1" si="305"/>
        <v>0</v>
      </c>
      <c r="I1283" s="71" t="e">
        <f t="shared" ca="1" si="301"/>
        <v>#VALUE!</v>
      </c>
      <c r="J1283" s="351">
        <f t="shared" ca="1" si="306"/>
        <v>0</v>
      </c>
      <c r="K1283">
        <v>10</v>
      </c>
    </row>
    <row r="1284" spans="3:11" hidden="1" outlineLevel="1" x14ac:dyDescent="0.25">
      <c r="C1284" s="3" t="e">
        <f t="shared" ca="1" si="307"/>
        <v>#VALUE!</v>
      </c>
      <c r="D1284" s="351">
        <f t="shared" ca="1" si="302"/>
        <v>0</v>
      </c>
      <c r="E1284" s="71" t="e">
        <f t="shared" ca="1" si="303"/>
        <v>#VALUE!</v>
      </c>
      <c r="F1284" s="351">
        <f t="shared" ca="1" si="304"/>
        <v>0</v>
      </c>
      <c r="G1284" s="71" t="e">
        <f t="shared" ca="1" si="300"/>
        <v>#VALUE!</v>
      </c>
      <c r="H1284" s="351">
        <f t="shared" ca="1" si="305"/>
        <v>0</v>
      </c>
      <c r="I1284" s="71" t="e">
        <f t="shared" ca="1" si="301"/>
        <v>#VALUE!</v>
      </c>
      <c r="J1284" s="351">
        <f t="shared" ca="1" si="306"/>
        <v>0</v>
      </c>
      <c r="K1284">
        <v>10.5</v>
      </c>
    </row>
    <row r="1285" spans="3:11" hidden="1" outlineLevel="1" x14ac:dyDescent="0.25">
      <c r="C1285" s="3" t="e">
        <f t="shared" ca="1" si="307"/>
        <v>#VALUE!</v>
      </c>
      <c r="D1285" s="351">
        <f t="shared" ca="1" si="302"/>
        <v>0</v>
      </c>
      <c r="E1285" s="71" t="e">
        <f t="shared" ca="1" si="303"/>
        <v>#VALUE!</v>
      </c>
      <c r="F1285" s="351">
        <f t="shared" ca="1" si="304"/>
        <v>0</v>
      </c>
      <c r="G1285" s="71" t="e">
        <f t="shared" ca="1" si="300"/>
        <v>#VALUE!</v>
      </c>
      <c r="H1285" s="351">
        <f t="shared" ca="1" si="305"/>
        <v>0</v>
      </c>
      <c r="I1285" s="71" t="e">
        <f t="shared" ca="1" si="301"/>
        <v>#VALUE!</v>
      </c>
      <c r="J1285" s="351">
        <f t="shared" ca="1" si="306"/>
        <v>0</v>
      </c>
      <c r="K1285">
        <v>11</v>
      </c>
    </row>
    <row r="1286" spans="3:11" hidden="1" outlineLevel="1" x14ac:dyDescent="0.25">
      <c r="C1286" s="3" t="e">
        <f t="shared" ca="1" si="307"/>
        <v>#VALUE!</v>
      </c>
      <c r="D1286" s="351">
        <f t="shared" ca="1" si="302"/>
        <v>0</v>
      </c>
      <c r="E1286" s="71" t="e">
        <f t="shared" ca="1" si="303"/>
        <v>#VALUE!</v>
      </c>
      <c r="F1286" s="351">
        <f t="shared" ca="1" si="304"/>
        <v>0</v>
      </c>
      <c r="G1286" s="71" t="e">
        <f t="shared" ca="1" si="300"/>
        <v>#VALUE!</v>
      </c>
      <c r="H1286" s="351">
        <f t="shared" ca="1" si="305"/>
        <v>0</v>
      </c>
      <c r="I1286" s="71" t="e">
        <f t="shared" ca="1" si="301"/>
        <v>#VALUE!</v>
      </c>
      <c r="J1286" s="351">
        <f t="shared" ca="1" si="306"/>
        <v>0</v>
      </c>
      <c r="K1286">
        <v>11.5</v>
      </c>
    </row>
    <row r="1287" spans="3:11" hidden="1" outlineLevel="1" x14ac:dyDescent="0.25">
      <c r="C1287" s="3" t="e">
        <f t="shared" ca="1" si="307"/>
        <v>#VALUE!</v>
      </c>
      <c r="D1287" s="351">
        <f t="shared" ca="1" si="302"/>
        <v>0</v>
      </c>
      <c r="E1287" s="71" t="e">
        <f t="shared" ca="1" si="303"/>
        <v>#VALUE!</v>
      </c>
      <c r="F1287" s="351">
        <f t="shared" ca="1" si="304"/>
        <v>0</v>
      </c>
      <c r="G1287" s="71" t="e">
        <f t="shared" ca="1" si="300"/>
        <v>#VALUE!</v>
      </c>
      <c r="H1287" s="351">
        <f t="shared" ca="1" si="305"/>
        <v>0</v>
      </c>
      <c r="I1287" s="71" t="e">
        <f t="shared" ca="1" si="301"/>
        <v>#VALUE!</v>
      </c>
      <c r="J1287" s="351">
        <f t="shared" ca="1" si="306"/>
        <v>0</v>
      </c>
      <c r="K1287">
        <v>12</v>
      </c>
    </row>
    <row r="1288" spans="3:11" hidden="1" outlineLevel="1" x14ac:dyDescent="0.25">
      <c r="C1288" s="3" t="e">
        <f t="shared" ca="1" si="307"/>
        <v>#VALUE!</v>
      </c>
      <c r="D1288" s="351">
        <f t="shared" ca="1" si="302"/>
        <v>0</v>
      </c>
      <c r="E1288" s="71" t="e">
        <f t="shared" ca="1" si="303"/>
        <v>#VALUE!</v>
      </c>
      <c r="F1288" s="351">
        <f t="shared" ca="1" si="304"/>
        <v>0</v>
      </c>
      <c r="G1288" s="71" t="e">
        <f t="shared" ca="1" si="300"/>
        <v>#VALUE!</v>
      </c>
      <c r="H1288" s="351">
        <f t="shared" ca="1" si="305"/>
        <v>0</v>
      </c>
      <c r="I1288" s="71" t="e">
        <f t="shared" ca="1" si="301"/>
        <v>#VALUE!</v>
      </c>
      <c r="J1288" s="351">
        <f t="shared" ca="1" si="306"/>
        <v>0</v>
      </c>
      <c r="K1288">
        <v>12.5</v>
      </c>
    </row>
    <row r="1289" spans="3:11" hidden="1" outlineLevel="1" x14ac:dyDescent="0.25">
      <c r="C1289" s="3" t="e">
        <f t="shared" ca="1" si="307"/>
        <v>#VALUE!</v>
      </c>
      <c r="D1289" s="351">
        <f t="shared" ca="1" si="302"/>
        <v>0</v>
      </c>
      <c r="E1289" s="71" t="e">
        <f t="shared" ca="1" si="303"/>
        <v>#VALUE!</v>
      </c>
      <c r="F1289" s="351">
        <f t="shared" ca="1" si="304"/>
        <v>0</v>
      </c>
      <c r="G1289" s="71" t="e">
        <f t="shared" ca="1" si="300"/>
        <v>#VALUE!</v>
      </c>
      <c r="H1289" s="351">
        <f t="shared" ca="1" si="305"/>
        <v>0</v>
      </c>
      <c r="I1289" s="71" t="e">
        <f t="shared" ca="1" si="301"/>
        <v>#VALUE!</v>
      </c>
      <c r="J1289" s="351">
        <f t="shared" ca="1" si="306"/>
        <v>0</v>
      </c>
      <c r="K1289">
        <v>13</v>
      </c>
    </row>
    <row r="1290" spans="3:11" hidden="1" outlineLevel="1" x14ac:dyDescent="0.25">
      <c r="C1290" s="3" t="e">
        <f t="shared" ca="1" si="307"/>
        <v>#VALUE!</v>
      </c>
      <c r="D1290" s="351">
        <f t="shared" ca="1" si="302"/>
        <v>0</v>
      </c>
      <c r="E1290" s="71" t="e">
        <f t="shared" ca="1" si="303"/>
        <v>#VALUE!</v>
      </c>
      <c r="F1290" s="351">
        <f t="shared" ca="1" si="304"/>
        <v>0</v>
      </c>
      <c r="G1290" s="71" t="e">
        <f t="shared" ca="1" si="300"/>
        <v>#VALUE!</v>
      </c>
      <c r="H1290" s="351">
        <f t="shared" ca="1" si="305"/>
        <v>0</v>
      </c>
      <c r="I1290" s="71" t="e">
        <f t="shared" ca="1" si="301"/>
        <v>#VALUE!</v>
      </c>
      <c r="J1290" s="351">
        <f t="shared" ca="1" si="306"/>
        <v>0</v>
      </c>
      <c r="K1290">
        <v>13.5</v>
      </c>
    </row>
    <row r="1291" spans="3:11" hidden="1" outlineLevel="1" x14ac:dyDescent="0.25">
      <c r="C1291" s="3" t="e">
        <f t="shared" ca="1" si="307"/>
        <v>#VALUE!</v>
      </c>
      <c r="D1291" s="351">
        <f t="shared" ca="1" si="302"/>
        <v>0</v>
      </c>
      <c r="E1291" s="71" t="e">
        <f t="shared" ca="1" si="303"/>
        <v>#VALUE!</v>
      </c>
      <c r="F1291" s="351">
        <f t="shared" ca="1" si="304"/>
        <v>0</v>
      </c>
      <c r="G1291" s="71" t="e">
        <f t="shared" ca="1" si="300"/>
        <v>#VALUE!</v>
      </c>
      <c r="H1291" s="351">
        <f t="shared" ca="1" si="305"/>
        <v>0</v>
      </c>
      <c r="I1291" s="71" t="e">
        <f t="shared" ca="1" si="301"/>
        <v>#VALUE!</v>
      </c>
      <c r="J1291" s="351">
        <f t="shared" ca="1" si="306"/>
        <v>0</v>
      </c>
      <c r="K1291">
        <v>14</v>
      </c>
    </row>
    <row r="1292" spans="3:11" hidden="1" outlineLevel="1" x14ac:dyDescent="0.25">
      <c r="C1292" s="3" t="e">
        <f t="shared" ca="1" si="307"/>
        <v>#VALUE!</v>
      </c>
      <c r="D1292" s="351">
        <f t="shared" ca="1" si="302"/>
        <v>0</v>
      </c>
      <c r="E1292" s="71" t="e">
        <f t="shared" ca="1" si="303"/>
        <v>#VALUE!</v>
      </c>
      <c r="F1292" s="351">
        <f t="shared" ca="1" si="304"/>
        <v>0</v>
      </c>
      <c r="G1292" s="71" t="e">
        <f t="shared" ca="1" si="300"/>
        <v>#VALUE!</v>
      </c>
      <c r="H1292" s="351">
        <f t="shared" ca="1" si="305"/>
        <v>0</v>
      </c>
      <c r="I1292" s="71" t="e">
        <f t="shared" ca="1" si="301"/>
        <v>#VALUE!</v>
      </c>
      <c r="J1292" s="351">
        <f t="shared" ca="1" si="306"/>
        <v>0</v>
      </c>
      <c r="K1292">
        <v>14.5</v>
      </c>
    </row>
    <row r="1293" spans="3:11" hidden="1" outlineLevel="1" x14ac:dyDescent="0.25">
      <c r="C1293" s="3" t="e">
        <f t="shared" ca="1" si="307"/>
        <v>#VALUE!</v>
      </c>
      <c r="D1293" s="351">
        <f t="shared" ca="1" si="302"/>
        <v>0</v>
      </c>
      <c r="E1293" s="71" t="e">
        <f t="shared" ca="1" si="303"/>
        <v>#VALUE!</v>
      </c>
      <c r="F1293" s="351">
        <f t="shared" ca="1" si="304"/>
        <v>0</v>
      </c>
      <c r="G1293" s="71" t="e">
        <f t="shared" ca="1" si="300"/>
        <v>#VALUE!</v>
      </c>
      <c r="H1293" s="351">
        <f t="shared" ca="1" si="305"/>
        <v>0</v>
      </c>
      <c r="I1293" s="71" t="e">
        <f t="shared" ca="1" si="301"/>
        <v>#VALUE!</v>
      </c>
      <c r="J1293" s="351">
        <f t="shared" ca="1" si="306"/>
        <v>0</v>
      </c>
      <c r="K1293">
        <v>15</v>
      </c>
    </row>
    <row r="1294" spans="3:11" hidden="1" outlineLevel="1" x14ac:dyDescent="0.25">
      <c r="C1294" s="3" t="e">
        <f t="shared" ca="1" si="307"/>
        <v>#VALUE!</v>
      </c>
      <c r="D1294" s="351">
        <f t="shared" ca="1" si="302"/>
        <v>0</v>
      </c>
      <c r="E1294" s="71" t="e">
        <f t="shared" ca="1" si="303"/>
        <v>#VALUE!</v>
      </c>
      <c r="F1294" s="351">
        <f t="shared" ca="1" si="304"/>
        <v>0</v>
      </c>
      <c r="G1294" s="71" t="e">
        <f t="shared" ca="1" si="300"/>
        <v>#VALUE!</v>
      </c>
      <c r="H1294" s="351">
        <f t="shared" ca="1" si="305"/>
        <v>0</v>
      </c>
      <c r="I1294" s="71" t="e">
        <f t="shared" ca="1" si="301"/>
        <v>#VALUE!</v>
      </c>
      <c r="J1294" s="351">
        <f t="shared" ca="1" si="306"/>
        <v>0</v>
      </c>
      <c r="K1294">
        <v>15.5</v>
      </c>
    </row>
    <row r="1295" spans="3:11" hidden="1" outlineLevel="1" x14ac:dyDescent="0.25">
      <c r="C1295" s="3" t="e">
        <f t="shared" ca="1" si="307"/>
        <v>#VALUE!</v>
      </c>
      <c r="D1295" s="351">
        <f t="shared" ca="1" si="302"/>
        <v>0</v>
      </c>
      <c r="E1295" s="71" t="e">
        <f t="shared" ca="1" si="303"/>
        <v>#VALUE!</v>
      </c>
      <c r="F1295" s="351">
        <f t="shared" ca="1" si="304"/>
        <v>0</v>
      </c>
      <c r="G1295" s="71" t="e">
        <f t="shared" ca="1" si="300"/>
        <v>#VALUE!</v>
      </c>
      <c r="H1295" s="351">
        <f t="shared" ca="1" si="305"/>
        <v>0</v>
      </c>
      <c r="I1295" s="71" t="e">
        <f t="shared" ca="1" si="301"/>
        <v>#VALUE!</v>
      </c>
      <c r="J1295" s="351">
        <f t="shared" ca="1" si="306"/>
        <v>0</v>
      </c>
      <c r="K1295">
        <v>16</v>
      </c>
    </row>
    <row r="1296" spans="3:11" hidden="1" outlineLevel="1" x14ac:dyDescent="0.25">
      <c r="C1296" s="3" t="e">
        <f t="shared" ca="1" si="307"/>
        <v>#VALUE!</v>
      </c>
      <c r="D1296" s="351">
        <f t="shared" ca="1" si="302"/>
        <v>0</v>
      </c>
      <c r="E1296" s="71" t="e">
        <f t="shared" ca="1" si="303"/>
        <v>#VALUE!</v>
      </c>
      <c r="F1296" s="351">
        <f t="shared" ca="1" si="304"/>
        <v>0</v>
      </c>
      <c r="G1296" s="71" t="e">
        <f t="shared" ca="1" si="300"/>
        <v>#VALUE!</v>
      </c>
      <c r="H1296" s="351">
        <f t="shared" ca="1" si="305"/>
        <v>0</v>
      </c>
      <c r="I1296" s="71" t="e">
        <f t="shared" ca="1" si="301"/>
        <v>#VALUE!</v>
      </c>
      <c r="J1296" s="351">
        <f t="shared" ca="1" si="306"/>
        <v>0</v>
      </c>
      <c r="K1296">
        <v>16.5</v>
      </c>
    </row>
    <row r="1297" spans="3:11" hidden="1" outlineLevel="1" x14ac:dyDescent="0.25">
      <c r="C1297" s="3" t="e">
        <f t="shared" ca="1" si="307"/>
        <v>#VALUE!</v>
      </c>
      <c r="D1297" s="351">
        <f t="shared" ca="1" si="302"/>
        <v>0</v>
      </c>
      <c r="E1297" s="71" t="e">
        <f t="shared" ca="1" si="303"/>
        <v>#VALUE!</v>
      </c>
      <c r="F1297" s="351">
        <f t="shared" ca="1" si="304"/>
        <v>0</v>
      </c>
      <c r="G1297" s="71" t="e">
        <f t="shared" ca="1" si="300"/>
        <v>#VALUE!</v>
      </c>
      <c r="H1297" s="351">
        <f t="shared" ca="1" si="305"/>
        <v>0</v>
      </c>
      <c r="I1297" s="71" t="e">
        <f t="shared" ca="1" si="301"/>
        <v>#VALUE!</v>
      </c>
      <c r="J1297" s="351">
        <f t="shared" ca="1" si="306"/>
        <v>0</v>
      </c>
      <c r="K1297">
        <v>17</v>
      </c>
    </row>
    <row r="1298" spans="3:11" hidden="1" outlineLevel="1" x14ac:dyDescent="0.25">
      <c r="C1298" s="3" t="e">
        <f t="shared" ca="1" si="307"/>
        <v>#VALUE!</v>
      </c>
      <c r="D1298" s="351">
        <f t="shared" ca="1" si="302"/>
        <v>0</v>
      </c>
      <c r="E1298" s="71" t="e">
        <f t="shared" ca="1" si="303"/>
        <v>#VALUE!</v>
      </c>
      <c r="F1298" s="351">
        <f t="shared" ca="1" si="304"/>
        <v>0</v>
      </c>
      <c r="G1298" s="71" t="e">
        <f t="shared" ca="1" si="300"/>
        <v>#VALUE!</v>
      </c>
      <c r="H1298" s="351">
        <f t="shared" ca="1" si="305"/>
        <v>0</v>
      </c>
      <c r="I1298" s="71" t="e">
        <f t="shared" ca="1" si="301"/>
        <v>#VALUE!</v>
      </c>
      <c r="J1298" s="351">
        <f t="shared" ca="1" si="306"/>
        <v>0</v>
      </c>
      <c r="K1298">
        <v>17.5</v>
      </c>
    </row>
    <row r="1299" spans="3:11" hidden="1" outlineLevel="1" x14ac:dyDescent="0.25">
      <c r="C1299" s="3" t="e">
        <f t="shared" ca="1" si="307"/>
        <v>#VALUE!</v>
      </c>
      <c r="D1299" s="351">
        <f t="shared" ca="1" si="302"/>
        <v>0</v>
      </c>
      <c r="E1299" s="71" t="e">
        <f t="shared" ca="1" si="303"/>
        <v>#VALUE!</v>
      </c>
      <c r="F1299" s="351">
        <f t="shared" ca="1" si="304"/>
        <v>0</v>
      </c>
      <c r="G1299" s="71" t="e">
        <f t="shared" ca="1" si="300"/>
        <v>#VALUE!</v>
      </c>
      <c r="H1299" s="351">
        <f t="shared" ca="1" si="305"/>
        <v>0</v>
      </c>
      <c r="I1299" s="71" t="e">
        <f t="shared" ca="1" si="301"/>
        <v>#VALUE!</v>
      </c>
      <c r="J1299" s="351">
        <f t="shared" ca="1" si="306"/>
        <v>0</v>
      </c>
      <c r="K1299">
        <v>18</v>
      </c>
    </row>
    <row r="1300" spans="3:11" hidden="1" outlineLevel="1" x14ac:dyDescent="0.25">
      <c r="C1300" s="3" t="e">
        <f t="shared" ca="1" si="307"/>
        <v>#VALUE!</v>
      </c>
      <c r="D1300" s="351">
        <f t="shared" ca="1" si="302"/>
        <v>0</v>
      </c>
      <c r="E1300" s="71" t="e">
        <f t="shared" ca="1" si="303"/>
        <v>#VALUE!</v>
      </c>
      <c r="F1300" s="351">
        <f t="shared" ca="1" si="304"/>
        <v>0</v>
      </c>
      <c r="G1300" s="71" t="e">
        <f t="shared" ca="1" si="300"/>
        <v>#VALUE!</v>
      </c>
      <c r="H1300" s="351">
        <f t="shared" ca="1" si="305"/>
        <v>0</v>
      </c>
      <c r="I1300" s="71" t="e">
        <f t="shared" ca="1" si="301"/>
        <v>#VALUE!</v>
      </c>
      <c r="J1300" s="351">
        <f t="shared" ca="1" si="306"/>
        <v>0</v>
      </c>
      <c r="K1300">
        <v>18.5</v>
      </c>
    </row>
    <row r="1301" spans="3:11" hidden="1" outlineLevel="1" x14ac:dyDescent="0.25">
      <c r="C1301" s="3" t="e">
        <f t="shared" ca="1" si="307"/>
        <v>#VALUE!</v>
      </c>
      <c r="D1301" s="351">
        <f t="shared" ca="1" si="302"/>
        <v>0</v>
      </c>
      <c r="E1301" s="71" t="e">
        <f t="shared" ca="1" si="303"/>
        <v>#VALUE!</v>
      </c>
      <c r="F1301" s="351">
        <f t="shared" ca="1" si="304"/>
        <v>0</v>
      </c>
      <c r="G1301" s="71" t="e">
        <f t="shared" ca="1" si="300"/>
        <v>#VALUE!</v>
      </c>
      <c r="H1301" s="351">
        <f t="shared" ca="1" si="305"/>
        <v>0</v>
      </c>
      <c r="I1301" s="71" t="e">
        <f t="shared" ca="1" si="301"/>
        <v>#VALUE!</v>
      </c>
      <c r="J1301" s="351">
        <f t="shared" ca="1" si="306"/>
        <v>0</v>
      </c>
      <c r="K1301">
        <v>19</v>
      </c>
    </row>
    <row r="1302" spans="3:11" hidden="1" outlineLevel="1" x14ac:dyDescent="0.25">
      <c r="C1302" s="3" t="e">
        <f t="shared" ca="1" si="307"/>
        <v>#VALUE!</v>
      </c>
      <c r="D1302" s="351">
        <f t="shared" ca="1" si="302"/>
        <v>0</v>
      </c>
      <c r="E1302" s="71" t="e">
        <f t="shared" ca="1" si="303"/>
        <v>#VALUE!</v>
      </c>
      <c r="F1302" s="351">
        <f t="shared" ca="1" si="304"/>
        <v>0</v>
      </c>
      <c r="G1302" s="71" t="e">
        <f t="shared" ca="1" si="300"/>
        <v>#VALUE!</v>
      </c>
      <c r="H1302" s="351">
        <f t="shared" ca="1" si="305"/>
        <v>0</v>
      </c>
      <c r="I1302" s="71" t="e">
        <f t="shared" ca="1" si="301"/>
        <v>#VALUE!</v>
      </c>
      <c r="J1302" s="351">
        <f t="shared" ca="1" si="306"/>
        <v>0</v>
      </c>
      <c r="K1302">
        <v>19.5</v>
      </c>
    </row>
    <row r="1303" spans="3:11" hidden="1" outlineLevel="1" x14ac:dyDescent="0.25">
      <c r="C1303" s="3" t="e">
        <f t="shared" ca="1" si="307"/>
        <v>#VALUE!</v>
      </c>
      <c r="D1303" s="351">
        <f t="shared" ca="1" si="302"/>
        <v>0</v>
      </c>
      <c r="E1303" s="71" t="e">
        <f t="shared" ca="1" si="303"/>
        <v>#VALUE!</v>
      </c>
      <c r="F1303" s="351">
        <f t="shared" ca="1" si="304"/>
        <v>0</v>
      </c>
      <c r="G1303" s="71" t="e">
        <f t="shared" ca="1" si="300"/>
        <v>#VALUE!</v>
      </c>
      <c r="H1303" s="351">
        <f t="shared" ca="1" si="305"/>
        <v>0</v>
      </c>
      <c r="I1303" s="71" t="e">
        <f t="shared" ca="1" si="301"/>
        <v>#VALUE!</v>
      </c>
      <c r="J1303" s="351">
        <f t="shared" ca="1" si="306"/>
        <v>0</v>
      </c>
      <c r="K1303">
        <v>20</v>
      </c>
    </row>
    <row r="1304" spans="3:11" hidden="1" outlineLevel="1" x14ac:dyDescent="0.25">
      <c r="C1304" s="3" t="e">
        <f t="shared" ca="1" si="307"/>
        <v>#VALUE!</v>
      </c>
      <c r="D1304" s="351">
        <f t="shared" ca="1" si="302"/>
        <v>0</v>
      </c>
      <c r="E1304" s="71" t="e">
        <f t="shared" ca="1" si="303"/>
        <v>#VALUE!</v>
      </c>
      <c r="F1304" s="351">
        <f t="shared" ca="1" si="304"/>
        <v>0</v>
      </c>
      <c r="G1304" s="71" t="e">
        <f t="shared" ca="1" si="300"/>
        <v>#VALUE!</v>
      </c>
      <c r="H1304" s="351">
        <f t="shared" ca="1" si="305"/>
        <v>0</v>
      </c>
      <c r="I1304" s="71" t="e">
        <f t="shared" ca="1" si="301"/>
        <v>#VALUE!</v>
      </c>
      <c r="J1304" s="351">
        <f t="shared" ca="1" si="306"/>
        <v>0</v>
      </c>
      <c r="K1304">
        <v>20.5</v>
      </c>
    </row>
    <row r="1305" spans="3:11" hidden="1" outlineLevel="1" x14ac:dyDescent="0.25">
      <c r="C1305" s="3" t="e">
        <f t="shared" ca="1" si="307"/>
        <v>#VALUE!</v>
      </c>
      <c r="D1305" s="351">
        <f t="shared" ca="1" si="302"/>
        <v>0</v>
      </c>
      <c r="E1305" s="71" t="e">
        <f t="shared" ca="1" si="303"/>
        <v>#VALUE!</v>
      </c>
      <c r="F1305" s="351">
        <f t="shared" ca="1" si="304"/>
        <v>0</v>
      </c>
      <c r="G1305" s="71" t="e">
        <f t="shared" ca="1" si="300"/>
        <v>#VALUE!</v>
      </c>
      <c r="H1305" s="351">
        <f t="shared" ca="1" si="305"/>
        <v>0</v>
      </c>
      <c r="I1305" s="71" t="e">
        <f t="shared" ca="1" si="301"/>
        <v>#VALUE!</v>
      </c>
      <c r="J1305" s="351">
        <f t="shared" ca="1" si="306"/>
        <v>0</v>
      </c>
      <c r="K1305">
        <v>21</v>
      </c>
    </row>
    <row r="1306" spans="3:11" hidden="1" outlineLevel="1" x14ac:dyDescent="0.25">
      <c r="C1306" s="3" t="e">
        <f t="shared" ca="1" si="307"/>
        <v>#VALUE!</v>
      </c>
      <c r="D1306" s="351">
        <f t="shared" ca="1" si="302"/>
        <v>0</v>
      </c>
      <c r="E1306" s="71" t="e">
        <f t="shared" ca="1" si="303"/>
        <v>#VALUE!</v>
      </c>
      <c r="F1306" s="351">
        <f t="shared" ca="1" si="304"/>
        <v>0</v>
      </c>
      <c r="G1306" s="71" t="e">
        <f t="shared" ca="1" si="300"/>
        <v>#VALUE!</v>
      </c>
      <c r="H1306" s="351">
        <f t="shared" ca="1" si="305"/>
        <v>0</v>
      </c>
      <c r="I1306" s="71" t="e">
        <f t="shared" ca="1" si="301"/>
        <v>#VALUE!</v>
      </c>
      <c r="J1306" s="351">
        <f t="shared" ca="1" si="306"/>
        <v>0</v>
      </c>
      <c r="K1306">
        <v>21.5</v>
      </c>
    </row>
    <row r="1307" spans="3:11" hidden="1" outlineLevel="1" x14ac:dyDescent="0.25">
      <c r="C1307" s="3" t="e">
        <f t="shared" ca="1" si="307"/>
        <v>#VALUE!</v>
      </c>
      <c r="D1307" s="351">
        <f t="shared" ca="1" si="302"/>
        <v>0</v>
      </c>
      <c r="E1307" s="71" t="e">
        <f t="shared" ca="1" si="303"/>
        <v>#VALUE!</v>
      </c>
      <c r="F1307" s="351">
        <f t="shared" ca="1" si="304"/>
        <v>0</v>
      </c>
      <c r="G1307" s="71" t="e">
        <f t="shared" ca="1" si="300"/>
        <v>#VALUE!</v>
      </c>
      <c r="H1307" s="351">
        <f t="shared" ca="1" si="305"/>
        <v>0</v>
      </c>
      <c r="I1307" s="71" t="e">
        <f t="shared" ca="1" si="301"/>
        <v>#VALUE!</v>
      </c>
      <c r="J1307" s="351">
        <f t="shared" ca="1" si="306"/>
        <v>0</v>
      </c>
      <c r="K1307">
        <v>22</v>
      </c>
    </row>
    <row r="1308" spans="3:11" hidden="1" outlineLevel="1" x14ac:dyDescent="0.25">
      <c r="C1308" s="3" t="e">
        <f t="shared" ca="1" si="307"/>
        <v>#VALUE!</v>
      </c>
      <c r="D1308" s="351">
        <f t="shared" ca="1" si="302"/>
        <v>0</v>
      </c>
      <c r="E1308" s="71" t="e">
        <f t="shared" ca="1" si="303"/>
        <v>#VALUE!</v>
      </c>
      <c r="F1308" s="351">
        <f t="shared" ca="1" si="304"/>
        <v>0</v>
      </c>
      <c r="G1308" s="71" t="e">
        <f t="shared" ca="1" si="300"/>
        <v>#VALUE!</v>
      </c>
      <c r="H1308" s="351">
        <f t="shared" ca="1" si="305"/>
        <v>0</v>
      </c>
      <c r="I1308" s="71" t="e">
        <f t="shared" ca="1" si="301"/>
        <v>#VALUE!</v>
      </c>
      <c r="J1308" s="351">
        <f t="shared" ca="1" si="306"/>
        <v>0</v>
      </c>
      <c r="K1308">
        <v>22.5</v>
      </c>
    </row>
    <row r="1309" spans="3:11" hidden="1" outlineLevel="1" x14ac:dyDescent="0.25">
      <c r="C1309" s="3" t="e">
        <f t="shared" ca="1" si="307"/>
        <v>#VALUE!</v>
      </c>
      <c r="D1309" s="351">
        <f t="shared" ca="1" si="302"/>
        <v>0</v>
      </c>
      <c r="E1309" s="71" t="e">
        <f t="shared" ca="1" si="303"/>
        <v>#VALUE!</v>
      </c>
      <c r="F1309" s="351">
        <f t="shared" ca="1" si="304"/>
        <v>0</v>
      </c>
      <c r="G1309" s="71" t="e">
        <f t="shared" ca="1" si="300"/>
        <v>#VALUE!</v>
      </c>
      <c r="H1309" s="351">
        <f t="shared" ca="1" si="305"/>
        <v>0</v>
      </c>
      <c r="I1309" s="71" t="e">
        <f t="shared" ca="1" si="301"/>
        <v>#VALUE!</v>
      </c>
      <c r="J1309" s="351">
        <f t="shared" ca="1" si="306"/>
        <v>0</v>
      </c>
      <c r="K1309">
        <v>23</v>
      </c>
    </row>
    <row r="1310" spans="3:11" hidden="1" outlineLevel="1" x14ac:dyDescent="0.25">
      <c r="C1310" s="3" t="e">
        <f t="shared" ca="1" si="307"/>
        <v>#VALUE!</v>
      </c>
      <c r="D1310" s="351">
        <f t="shared" ca="1" si="302"/>
        <v>0</v>
      </c>
      <c r="E1310" s="71" t="e">
        <f t="shared" ca="1" si="303"/>
        <v>#VALUE!</v>
      </c>
      <c r="F1310" s="351">
        <f t="shared" ca="1" si="304"/>
        <v>0</v>
      </c>
      <c r="G1310" s="71" t="e">
        <f t="shared" ca="1" si="300"/>
        <v>#VALUE!</v>
      </c>
      <c r="H1310" s="351">
        <f t="shared" ca="1" si="305"/>
        <v>0</v>
      </c>
      <c r="I1310" s="71" t="e">
        <f t="shared" ca="1" si="301"/>
        <v>#VALUE!</v>
      </c>
      <c r="J1310" s="351">
        <f t="shared" ca="1" si="306"/>
        <v>0</v>
      </c>
      <c r="K1310">
        <v>23.5</v>
      </c>
    </row>
    <row r="1311" spans="3:11" hidden="1" outlineLevel="1" x14ac:dyDescent="0.25">
      <c r="C1311" s="3" t="e">
        <f t="shared" ca="1" si="307"/>
        <v>#VALUE!</v>
      </c>
      <c r="D1311" s="351">
        <f t="shared" ca="1" si="302"/>
        <v>0</v>
      </c>
      <c r="E1311" s="71" t="e">
        <f t="shared" ca="1" si="303"/>
        <v>#VALUE!</v>
      </c>
      <c r="F1311" s="351">
        <f t="shared" ca="1" si="304"/>
        <v>0</v>
      </c>
      <c r="G1311" s="71" t="e">
        <f t="shared" ca="1" si="300"/>
        <v>#VALUE!</v>
      </c>
      <c r="H1311" s="351">
        <f t="shared" ca="1" si="305"/>
        <v>0</v>
      </c>
      <c r="I1311" s="71" t="e">
        <f t="shared" ca="1" si="301"/>
        <v>#VALUE!</v>
      </c>
      <c r="J1311" s="351">
        <f t="shared" ca="1" si="306"/>
        <v>0</v>
      </c>
      <c r="K1311">
        <v>24</v>
      </c>
    </row>
    <row r="1312" spans="3:11" hidden="1" outlineLevel="1" x14ac:dyDescent="0.25"/>
    <row r="1313" spans="1:15" hidden="1" outlineLevel="1" x14ac:dyDescent="0.25">
      <c r="B1313" t="str">
        <f ca="1">IFERROR(SMALL(D1313:J1313,1),"-")</f>
        <v>-</v>
      </c>
      <c r="D1313" s="53" t="str">
        <f ca="1">IFERROR(VLOOKUP(1,D1264:K1311,8,FALSE),"")</f>
        <v/>
      </c>
      <c r="F1313" s="353" t="str">
        <f ca="1">IFERROR(VLOOKUP(1,F1263:K1311,6,FALSE),"")</f>
        <v/>
      </c>
      <c r="H1313" s="353" t="str">
        <f ca="1">IFERROR(VLOOKUP(1,H1263:K1311,4,FALSE),"")</f>
        <v/>
      </c>
      <c r="J1313" s="53" t="str">
        <f ca="1">IFERROR(VLOOKUP(1,J1263:K1311,2,FALSE),"")</f>
        <v/>
      </c>
    </row>
    <row r="1314" spans="1:15" hidden="1" outlineLevel="1" x14ac:dyDescent="0.25"/>
    <row r="1315" spans="1:15" hidden="1" outlineLevel="1" x14ac:dyDescent="0.25"/>
    <row r="1316" spans="1:15" hidden="1" outlineLevel="1" x14ac:dyDescent="0.25"/>
    <row r="1317" spans="1:15" hidden="1" outlineLevel="1" x14ac:dyDescent="0.25"/>
    <row r="1318" spans="1:15" ht="15.75" hidden="1" outlineLevel="1" thickBot="1" x14ac:dyDescent="0.3">
      <c r="A1318" t="s">
        <v>882</v>
      </c>
      <c r="F1318" s="131" t="str">
        <f ca="1">IF(F1326="",Sprache!$A$52,"")</f>
        <v/>
      </c>
    </row>
    <row r="1319" spans="1:15" ht="15.75" hidden="1" outlineLevel="1" thickBot="1" x14ac:dyDescent="0.3">
      <c r="A1319" s="75">
        <v>1</v>
      </c>
      <c r="B1319">
        <f>ROW()</f>
        <v>1319</v>
      </c>
      <c r="E1319" s="354">
        <v>1</v>
      </c>
      <c r="F1319" t="s">
        <v>886</v>
      </c>
      <c r="J1319" t="s">
        <v>1816</v>
      </c>
      <c r="K1319" t="s">
        <v>1864</v>
      </c>
      <c r="L1319" t="s">
        <v>1393</v>
      </c>
      <c r="M1319" t="s">
        <v>1394</v>
      </c>
      <c r="O1319" t="s">
        <v>2208</v>
      </c>
    </row>
    <row r="1320" spans="1:15" hidden="1" outlineLevel="1" x14ac:dyDescent="0.25">
      <c r="A1320" s="91">
        <f ca="1">IF(B1320&lt;&gt;"",1,0)</f>
        <v>0</v>
      </c>
      <c r="B1320" s="41" t="str">
        <f ca="1">IF(SUM(A1321:A1324)&gt;1,D1320,"")</f>
        <v/>
      </c>
      <c r="C1320" s="54">
        <v>-1000</v>
      </c>
      <c r="D1320" t="str">
        <f ca="1">Sprache!$A$57</f>
        <v>alle</v>
      </c>
      <c r="E1320">
        <v>1</v>
      </c>
      <c r="F1320" s="22" t="str">
        <f t="array" aca="1" ref="F1320" ca="1">IFERROR(INDEX($B$1320:$B$1324,LARGE(($A$1320:$A$1324=1)*(ROW($A$1320:$A$1324)-$B$1319),COUNTIF($A$1320:$A$1324,1)+1-ROW(A1))),Sprache!$A$56&amp;" "&amp;Sprache!$A$146)</f>
        <v>keine Lösungen</v>
      </c>
      <c r="G1320" s="22" t="str">
        <f t="array" aca="1" ref="G1320" ca="1">IFERROR(INDEX($C$1320:$C$1324,LARGE(($A$1320:$A$1324=1)*(ROW($A$1320:$A$1324)-$B$1319),COUNTIF($A$1320:$A$1324,1)+1-ROW(A1))),Sprache!$A$56&amp;" "&amp;Sprache!$A$146)</f>
        <v>keine Lösungen</v>
      </c>
      <c r="H1320">
        <f ca="1">IF(G1320&lt;&gt;"",1,0)</f>
        <v>1</v>
      </c>
      <c r="J1320" s="609" t="str">
        <f ca="1">Sprache!A168&amp;" (K3)"</f>
        <v>Kröpfung (K3)</v>
      </c>
      <c r="K1320" s="610" t="str">
        <f ca="1">Sprache!A168&amp;" (K14)"</f>
        <v>Kröpfung (K14)</v>
      </c>
      <c r="L1320" s="610" t="str">
        <f ca="1">F1320</f>
        <v>keine Lösungen</v>
      </c>
      <c r="M1320" s="612" t="str">
        <f ca="1">K1320</f>
        <v>Kröpfung (K14)</v>
      </c>
      <c r="O1320" s="303" t="str">
        <f ca="1">OFFSET(I1320,0,$A$981)</f>
        <v>Kröpfung (K3)</v>
      </c>
    </row>
    <row r="1321" spans="1:15" hidden="1" outlineLevel="1" x14ac:dyDescent="0.25">
      <c r="A1321" s="10">
        <f ca="1">IF(B1321&lt;&gt;"",1,0)</f>
        <v>0</v>
      </c>
      <c r="B1321" s="34" t="str">
        <f ca="1">IF(F1212&gt;0,D1321,"")</f>
        <v/>
      </c>
      <c r="C1321" s="55">
        <v>3</v>
      </c>
      <c r="D1321" t="str">
        <f ca="1">Sprache!$A$60</f>
        <v>aufliegend (K3)</v>
      </c>
      <c r="E1321">
        <v>2</v>
      </c>
      <c r="F1321" s="22" t="str">
        <f t="array" aca="1" ref="F1321" ca="1">IFERROR(INDEX($B$1320:$B$1324,LARGE(($A$1320:$A$1324=1)*(ROW($A$1320:$A$1324)-$B$1319),COUNTIF($A$1320:$A$1324,1)+1-ROW(A2))),"")</f>
        <v/>
      </c>
      <c r="G1321" s="22" t="str">
        <f t="array" aca="1" ref="G1321" ca="1">IFERROR(INDEX($C$1320:$C$1324,LARGE(($A$1320:$A$1324=1)*(ROW($A$1320:$A$1324)-$B$1319),COUNTIF($A$1320:$A$1324,1)+1-ROW(A2))),"")</f>
        <v/>
      </c>
      <c r="H1321">
        <f ca="1">IF(G1321&lt;&gt;"",1,0)</f>
        <v>0</v>
      </c>
      <c r="J1321" s="711" t="s">
        <v>1916</v>
      </c>
      <c r="K1321" s="373" t="s">
        <v>1916</v>
      </c>
      <c r="L1321" s="34" t="str">
        <f t="shared" ref="L1321:L1324" ca="1" si="308">F1321</f>
        <v/>
      </c>
      <c r="M1321" s="624" t="s">
        <v>1916</v>
      </c>
      <c r="O1321" s="303" t="str">
        <f t="shared" ref="O1321:O1324" ca="1" si="309">OFFSET(I1321,0,$A$981)</f>
        <v/>
      </c>
    </row>
    <row r="1322" spans="1:15" hidden="1" outlineLevel="1" x14ac:dyDescent="0.25">
      <c r="A1322" s="10">
        <f ca="1">IF(B1322&lt;&gt;"",1,0)</f>
        <v>0</v>
      </c>
      <c r="B1322" s="34" t="str">
        <f ca="1">IF(D1212&gt;0,D1322,"")</f>
        <v/>
      </c>
      <c r="C1322" s="55">
        <v>0</v>
      </c>
      <c r="D1322" t="str">
        <f ca="1">Sprache!$A$59</f>
        <v>voll aufliegend (K0)</v>
      </c>
      <c r="E1322">
        <v>3</v>
      </c>
      <c r="F1322" s="22" t="str">
        <f t="array" aca="1" ref="F1322" ca="1">IFERROR(INDEX($B$1320:$B$1324,LARGE(($A$1320:$A$1324=1)*(ROW($A$1320:$A$1324)-$B$1319),COUNTIF($A$1320:$A$1324,1)+1-ROW(A3))),"")</f>
        <v/>
      </c>
      <c r="G1322" s="22" t="str">
        <f t="array" aca="1" ref="G1322" ca="1">IFERROR(INDEX($C$1320:$C$1324,LARGE(($A$1320:$A$1324=1)*(ROW($A$1320:$A$1324)-$B$1319),COUNTIF($A$1320:$A$1324,1)+1-ROW(A3))),"")</f>
        <v/>
      </c>
      <c r="H1322">
        <f ca="1">IF(G1322&lt;&gt;"",1,0)</f>
        <v>0</v>
      </c>
      <c r="J1322" s="711" t="s">
        <v>1916</v>
      </c>
      <c r="K1322" s="373" t="s">
        <v>1916</v>
      </c>
      <c r="L1322" s="34" t="str">
        <f t="shared" ca="1" si="308"/>
        <v/>
      </c>
      <c r="M1322" s="624" t="s">
        <v>1916</v>
      </c>
      <c r="O1322" s="303" t="str">
        <f t="shared" ca="1" si="309"/>
        <v/>
      </c>
    </row>
    <row r="1323" spans="1:15" hidden="1" outlineLevel="1" x14ac:dyDescent="0.25">
      <c r="A1323" s="10">
        <f ca="1">IF(B1323&lt;&gt;"",1,0)</f>
        <v>0</v>
      </c>
      <c r="B1323" s="34" t="str">
        <f ca="1">IF(H1212&gt;0,D1323,"")</f>
        <v/>
      </c>
      <c r="C1323" s="55">
        <v>9.5</v>
      </c>
      <c r="D1323" t="str">
        <f ca="1">Sprache!$A$61</f>
        <v>halb aufliegend (K9.5)</v>
      </c>
      <c r="E1323">
        <v>4</v>
      </c>
      <c r="F1323" s="22" t="str">
        <f t="array" aca="1" ref="F1323" ca="1">IFERROR(INDEX($B$1320:$B$1324,LARGE(($A$1320:$A$1324=1)*(ROW($A$1320:$A$1324)-$B$1319),COUNTIF($A$1320:$A$1324,1)+1-ROW(A4))),"")</f>
        <v/>
      </c>
      <c r="G1323" s="22" t="str">
        <f t="array" aca="1" ref="G1323" ca="1">IFERROR(INDEX($C$1320:$C$1324,LARGE(($A$1320:$A$1324=1)*(ROW($A$1320:$A$1324)-$B$1319),COUNTIF($A$1320:$A$1324,1)+1-ROW(A4))),"")</f>
        <v/>
      </c>
      <c r="H1323">
        <f ca="1">IF(G1323&lt;&gt;"",1,0)</f>
        <v>0</v>
      </c>
      <c r="J1323" s="711" t="s">
        <v>1916</v>
      </c>
      <c r="K1323" s="373" t="s">
        <v>1916</v>
      </c>
      <c r="L1323" s="34" t="str">
        <f t="shared" ca="1" si="308"/>
        <v/>
      </c>
      <c r="M1323" s="624" t="s">
        <v>1916</v>
      </c>
      <c r="O1323" s="303" t="str">
        <f t="shared" ca="1" si="309"/>
        <v/>
      </c>
    </row>
    <row r="1324" spans="1:15" hidden="1" outlineLevel="1" x14ac:dyDescent="0.25">
      <c r="A1324" s="92">
        <f ca="1">IF(B1324&lt;&gt;"",1,0)</f>
        <v>0</v>
      </c>
      <c r="B1324" s="6" t="str">
        <f ca="1">IF(J1212&gt;0,D1324,"")</f>
        <v/>
      </c>
      <c r="C1324" s="56">
        <v>19</v>
      </c>
      <c r="D1324" t="str">
        <f ca="1">Sprache!$A$63</f>
        <v>einliegend (K19)</v>
      </c>
      <c r="E1324">
        <v>5</v>
      </c>
      <c r="F1324" s="22" t="str">
        <f t="array" aca="1" ref="F1324" ca="1">IFERROR(INDEX($B$1320:$B$1324,LARGE(($A$1320:$A$1324=1)*(ROW($A$1320:$A$1324)-$B$1319),COUNTIF($A$1320:$A$1324,1)+1-ROW(A5))),"")</f>
        <v/>
      </c>
      <c r="G1324" s="22" t="str">
        <f t="array" aca="1" ref="G1324" ca="1">IFERROR(INDEX($C$1320:$C$1324,LARGE(($A$1320:$A$1324=1)*(ROW($A$1320:$A$1324)-$B$1319),COUNTIF($A$1320:$A$1324,1)+1-ROW(A5))),"")</f>
        <v/>
      </c>
      <c r="H1324">
        <f ca="1">IF(G1324&lt;&gt;"",1,0)</f>
        <v>0</v>
      </c>
      <c r="J1324" s="712" t="s">
        <v>1916</v>
      </c>
      <c r="K1324" s="713" t="s">
        <v>1916</v>
      </c>
      <c r="L1324" s="6" t="str">
        <f t="shared" ca="1" si="308"/>
        <v/>
      </c>
      <c r="M1324" s="625" t="s">
        <v>1916</v>
      </c>
      <c r="O1324" s="303" t="str">
        <f t="shared" ca="1" si="309"/>
        <v/>
      </c>
    </row>
    <row r="1325" spans="1:15" hidden="1" outlineLevel="1" x14ac:dyDescent="0.25"/>
    <row r="1326" spans="1:15" hidden="1" outlineLevel="1" x14ac:dyDescent="0.25">
      <c r="E1326" t="s">
        <v>5</v>
      </c>
      <c r="F1326" s="355" t="str">
        <f ca="1">VLOOKUP(E1319,E1320:G1324,3,FALSE)</f>
        <v>keine Lösungen</v>
      </c>
      <c r="H1326" s="22">
        <f ca="1">SUM(H1320:H1324)</f>
        <v>1</v>
      </c>
    </row>
    <row r="1327" spans="1:15" hidden="1" outlineLevel="1" x14ac:dyDescent="0.25"/>
    <row r="1328" spans="1:15" hidden="1" outlineLevel="1" x14ac:dyDescent="0.25"/>
    <row r="1329" spans="1:43" hidden="1" outlineLevel="1" x14ac:dyDescent="0.25"/>
    <row r="1330" spans="1:43" s="78" customFormat="1" collapsed="1" x14ac:dyDescent="0.25">
      <c r="A1330" s="78" t="s">
        <v>1353</v>
      </c>
    </row>
    <row r="1331" spans="1:43" s="3" customFormat="1" ht="15.75" hidden="1" outlineLevel="1" thickBot="1" x14ac:dyDescent="0.3"/>
    <row r="1332" spans="1:43" s="3" customFormat="1" ht="15.75" hidden="1" outlineLevel="1" thickBot="1" x14ac:dyDescent="0.3">
      <c r="A1332" t="s">
        <v>1333</v>
      </c>
      <c r="B1332" s="288">
        <v>47</v>
      </c>
      <c r="D1332" s="379" t="str">
        <f ca="1">VLOOKUP(B1332,A1336:D1382,2,FALSE)</f>
        <v>Zypresse</v>
      </c>
      <c r="E1332" s="379">
        <f ca="1">VLOOKUP(B1332,A1336:D1382,3,FALSE)</f>
        <v>0.51</v>
      </c>
      <c r="F1332" s="380" t="str">
        <f>VLOOKUP(B1332,A1336:D1382,4,FALSE)</f>
        <v>*</v>
      </c>
      <c r="G1332" s="586"/>
      <c r="H1332" s="164"/>
      <c r="I1332" s="587"/>
      <c r="J1332" s="587"/>
    </row>
    <row r="1333" spans="1:43" hidden="1" outlineLevel="1" x14ac:dyDescent="0.25">
      <c r="D1333" s="131" t="str">
        <f>IF(B1332=7,Sprache!A47,"")</f>
        <v/>
      </c>
      <c r="AO1333" s="391" t="s">
        <v>1963</v>
      </c>
      <c r="AP1333" s="391" t="s">
        <v>1964</v>
      </c>
      <c r="AQ1333" s="391" t="s">
        <v>1965</v>
      </c>
    </row>
    <row r="1334" spans="1:43" hidden="1" outlineLevel="1" x14ac:dyDescent="0.25">
      <c r="X1334" s="394"/>
      <c r="AO1334" s="389">
        <v>26</v>
      </c>
      <c r="AP1334" s="389">
        <v>22</v>
      </c>
      <c r="AQ1334" s="389">
        <v>24</v>
      </c>
    </row>
    <row r="1335" spans="1:43" hidden="1" outlineLevel="1" x14ac:dyDescent="0.25">
      <c r="A1335" s="582"/>
      <c r="B1335" s="583" t="s">
        <v>1900</v>
      </c>
      <c r="C1335" s="583" t="s">
        <v>1901</v>
      </c>
      <c r="D1335" s="600" t="s">
        <v>1902</v>
      </c>
      <c r="L1335" s="131" t="str">
        <f ca="1">IF(AND(L1336="",D1333="")=TRUE,Sprache!A46,"")</f>
        <v/>
      </c>
      <c r="AO1335" s="389">
        <v>24</v>
      </c>
      <c r="AP1335" s="389">
        <v>21</v>
      </c>
      <c r="AQ1335" s="389">
        <v>22</v>
      </c>
    </row>
    <row r="1336" spans="1:43" ht="15.75" hidden="1" outlineLevel="1" thickBot="1" x14ac:dyDescent="0.3">
      <c r="A1336" s="71">
        <v>1</v>
      </c>
      <c r="B1336" s="34" t="str">
        <f t="shared" ref="B1336:C1338" ca="1" si="310">G264</f>
        <v>MDF-Werkstoff</v>
      </c>
      <c r="C1336" s="34">
        <f t="shared" si="310"/>
        <v>0.85</v>
      </c>
      <c r="D1336" s="118" t="s">
        <v>1887</v>
      </c>
      <c r="E1336" s="34"/>
      <c r="F1336" s="34"/>
      <c r="L1336" s="78" t="str">
        <f ca="1">VLOOKUP(L1337,J1339:L1345,3,FALSE)</f>
        <v>Standard 90°</v>
      </c>
      <c r="AO1336" s="389">
        <v>23.5</v>
      </c>
      <c r="AP1336" s="389">
        <v>20</v>
      </c>
      <c r="AQ1336" s="389">
        <v>21</v>
      </c>
    </row>
    <row r="1337" spans="1:43" ht="15.75" hidden="1" outlineLevel="1" thickBot="1" x14ac:dyDescent="0.3">
      <c r="A1337" s="71">
        <v>2</v>
      </c>
      <c r="B1337" s="34" t="str">
        <f t="shared" ca="1" si="310"/>
        <v>Spanplatte</v>
      </c>
      <c r="C1337" s="34">
        <f t="shared" si="310"/>
        <v>0.65</v>
      </c>
      <c r="D1337" s="118" t="s">
        <v>1887</v>
      </c>
      <c r="E1337" s="34"/>
      <c r="F1337" s="34"/>
      <c r="K1337" t="s">
        <v>1902</v>
      </c>
      <c r="L1337" s="288">
        <v>1</v>
      </c>
      <c r="N1337" s="374">
        <f ca="1">IFERROR(VLOOKUP(L1337,M1339:N1345,2,FALSE),"")</f>
        <v>90</v>
      </c>
      <c r="O1337" s="374" t="str">
        <f ca="1">VLOOKUP(L1337,M1339:O1345,3,FALSE)</f>
        <v>*</v>
      </c>
      <c r="P1337" s="375" t="str">
        <f ca="1">VLOOKUP(L1337,M1339:P1345,4,FALSE)</f>
        <v/>
      </c>
      <c r="Q1337" s="376" t="str">
        <f ca="1">VLOOKUP(L1337,M1339:Q1345,5,FALSE)</f>
        <v/>
      </c>
      <c r="R1337" s="383" t="str">
        <f ca="1">VLOOKUP(L1337,M1339:R1345,6,FALSE)</f>
        <v/>
      </c>
      <c r="S1337" s="383" t="str">
        <f ca="1">VLOOKUP(L1337,M1339:S1345,7,FALSE)</f>
        <v/>
      </c>
      <c r="U1337">
        <f ca="1">SUM(P1337:S1337)</f>
        <v>0</v>
      </c>
      <c r="AO1337" s="389">
        <v>22</v>
      </c>
      <c r="AP1337" s="389">
        <v>19</v>
      </c>
      <c r="AQ1337" s="389">
        <v>20</v>
      </c>
    </row>
    <row r="1338" spans="1:43" hidden="1" outlineLevel="1" x14ac:dyDescent="0.25">
      <c r="A1338" s="71">
        <v>3</v>
      </c>
      <c r="B1338" s="34" t="str">
        <f t="shared" ca="1" si="310"/>
        <v>Fichte / Kiefer</v>
      </c>
      <c r="C1338" s="34">
        <f t="shared" si="310"/>
        <v>0.45</v>
      </c>
      <c r="D1338" s="118" t="s">
        <v>1887</v>
      </c>
      <c r="E1338" s="373"/>
      <c r="F1338" s="373"/>
      <c r="N1338" s="370"/>
      <c r="O1338" s="370" t="s">
        <v>1911</v>
      </c>
      <c r="P1338" s="381" t="s">
        <v>2163</v>
      </c>
      <c r="Q1338" s="370"/>
      <c r="AO1338" s="389">
        <v>21.5</v>
      </c>
      <c r="AP1338" s="389">
        <v>18</v>
      </c>
      <c r="AQ1338" s="389">
        <v>19</v>
      </c>
    </row>
    <row r="1339" spans="1:43" hidden="1" outlineLevel="1" x14ac:dyDescent="0.25">
      <c r="A1339" s="71">
        <v>4</v>
      </c>
      <c r="B1339" s="47" t="str">
        <f ca="1">Sprache!A193</f>
        <v>Glas / Spiegel</v>
      </c>
      <c r="C1339" s="34">
        <f>H267</f>
        <v>2.5</v>
      </c>
      <c r="D1339" s="118">
        <v>90</v>
      </c>
      <c r="E1339" s="575"/>
      <c r="F1339" s="575"/>
      <c r="J1339">
        <v>1</v>
      </c>
      <c r="K1339" s="341" t="str">
        <f ca="1">Sprache!A148&amp;" 90°"</f>
        <v>Standard 90°</v>
      </c>
      <c r="L1339" s="40" t="str">
        <f ca="1">IF($F$1332="-","",K1339)</f>
        <v>Standard 90°</v>
      </c>
      <c r="M1339">
        <f t="shared" ref="M1339:M1345" ca="1" si="311">IF(L1339&lt;&gt;"",U1339,"")</f>
        <v>1</v>
      </c>
      <c r="N1339" s="370">
        <v>90</v>
      </c>
      <c r="O1339" s="370" t="s">
        <v>1887</v>
      </c>
      <c r="P1339" s="681" t="s">
        <v>1916</v>
      </c>
      <c r="Q1339" s="682" t="s">
        <v>1916</v>
      </c>
      <c r="R1339" s="682" t="s">
        <v>1916</v>
      </c>
      <c r="S1339" s="683" t="s">
        <v>1916</v>
      </c>
      <c r="U1339">
        <v>1</v>
      </c>
      <c r="AO1339" s="389">
        <v>21</v>
      </c>
      <c r="AQ1339" s="389">
        <v>18</v>
      </c>
    </row>
    <row r="1340" spans="1:43" hidden="1" outlineLevel="1" x14ac:dyDescent="0.25">
      <c r="A1340" s="71">
        <v>5</v>
      </c>
      <c r="B1340" s="47" t="str">
        <f ca="1">Sprache!A194</f>
        <v>Aluminium</v>
      </c>
      <c r="C1340" s="34">
        <v>2.5</v>
      </c>
      <c r="D1340" s="118">
        <v>90</v>
      </c>
      <c r="E1340" s="575"/>
      <c r="F1340" s="575"/>
      <c r="J1340">
        <v>2</v>
      </c>
      <c r="K1340" s="371" t="s">
        <v>1903</v>
      </c>
      <c r="L1340" s="40" t="str">
        <f t="shared" ref="L1340:L1345" si="312">IF($F$1332="*",K1340,"")</f>
        <v xml:space="preserve"> + 30°</v>
      </c>
      <c r="M1340">
        <f t="shared" si="311"/>
        <v>2</v>
      </c>
      <c r="N1340" s="370">
        <v>30</v>
      </c>
      <c r="O1340" s="370">
        <v>110</v>
      </c>
      <c r="P1340" s="504">
        <v>7</v>
      </c>
      <c r="Q1340" s="498">
        <v>8</v>
      </c>
      <c r="R1340" s="498" t="s">
        <v>1916</v>
      </c>
      <c r="S1340" s="499" t="s">
        <v>1916</v>
      </c>
      <c r="U1340">
        <v>2</v>
      </c>
      <c r="AO1340" s="389">
        <v>19.5</v>
      </c>
      <c r="AQ1340" s="389">
        <v>17</v>
      </c>
    </row>
    <row r="1341" spans="1:43" hidden="1" outlineLevel="1" x14ac:dyDescent="0.25">
      <c r="A1341" s="71">
        <v>6</v>
      </c>
      <c r="B1341" s="47" t="str">
        <f ca="1">Sprache!A195</f>
        <v>Mineralwerkstoff</v>
      </c>
      <c r="C1341" s="34"/>
      <c r="D1341" s="118">
        <v>90</v>
      </c>
      <c r="E1341" s="575"/>
      <c r="F1341" s="585"/>
      <c r="J1341">
        <v>3</v>
      </c>
      <c r="K1341" s="371" t="s">
        <v>1904</v>
      </c>
      <c r="L1341" s="40" t="str">
        <f t="shared" si="312"/>
        <v xml:space="preserve"> + 37°</v>
      </c>
      <c r="M1341">
        <f t="shared" si="311"/>
        <v>3</v>
      </c>
      <c r="N1341" s="370">
        <v>37</v>
      </c>
      <c r="O1341" s="370">
        <v>110</v>
      </c>
      <c r="P1341" s="504">
        <v>9</v>
      </c>
      <c r="Q1341" s="498">
        <v>10</v>
      </c>
      <c r="R1341" s="498" t="s">
        <v>1916</v>
      </c>
      <c r="S1341" s="499" t="s">
        <v>1916</v>
      </c>
      <c r="U1341">
        <v>3</v>
      </c>
      <c r="AO1341" s="389">
        <v>19</v>
      </c>
      <c r="AQ1341" s="389">
        <v>16</v>
      </c>
    </row>
    <row r="1342" spans="1:43" hidden="1" outlineLevel="1" x14ac:dyDescent="0.25">
      <c r="A1342" s="71">
        <v>7</v>
      </c>
      <c r="B1342" s="34" t="str">
        <f t="shared" ref="B1342:B1382" ca="1" si="313">G270</f>
        <v>-----------------</v>
      </c>
      <c r="C1342" s="34">
        <f t="shared" ref="C1342:C1382" si="314">H270</f>
        <v>0</v>
      </c>
      <c r="D1342" s="118" t="s">
        <v>1264</v>
      </c>
      <c r="E1342" s="575"/>
      <c r="F1342" s="575"/>
      <c r="J1342">
        <v>4</v>
      </c>
      <c r="K1342" s="371" t="s">
        <v>1905</v>
      </c>
      <c r="L1342" s="40" t="str">
        <f t="shared" si="312"/>
        <v xml:space="preserve"> + 45°</v>
      </c>
      <c r="M1342">
        <f t="shared" si="311"/>
        <v>4</v>
      </c>
      <c r="N1342" s="370">
        <v>45</v>
      </c>
      <c r="O1342" s="370">
        <v>110</v>
      </c>
      <c r="P1342" s="504">
        <v>11</v>
      </c>
      <c r="Q1342" s="498">
        <v>12</v>
      </c>
      <c r="R1342" s="498" t="s">
        <v>1916</v>
      </c>
      <c r="S1342" s="499" t="s">
        <v>1916</v>
      </c>
      <c r="U1342">
        <v>4</v>
      </c>
      <c r="AO1342" s="389">
        <v>18.5</v>
      </c>
    </row>
    <row r="1343" spans="1:43" hidden="1" outlineLevel="1" x14ac:dyDescent="0.25">
      <c r="A1343" s="71">
        <v>8</v>
      </c>
      <c r="B1343" s="34" t="str">
        <f t="shared" ca="1" si="313"/>
        <v>Afrormosia</v>
      </c>
      <c r="C1343" s="34">
        <f t="shared" ca="1" si="314"/>
        <v>0.71</v>
      </c>
      <c r="D1343" s="118" t="s">
        <v>1887</v>
      </c>
      <c r="E1343" s="34"/>
      <c r="F1343" s="34"/>
      <c r="G1343" s="370"/>
      <c r="J1343">
        <v>5</v>
      </c>
      <c r="K1343" s="371" t="s">
        <v>1906</v>
      </c>
      <c r="L1343" s="40" t="str">
        <f t="shared" si="312"/>
        <v xml:space="preserve"> - 15°</v>
      </c>
      <c r="M1343">
        <f t="shared" si="311"/>
        <v>5</v>
      </c>
      <c r="N1343" s="370">
        <v>-15</v>
      </c>
      <c r="O1343" s="370">
        <v>120</v>
      </c>
      <c r="P1343" s="504">
        <v>13</v>
      </c>
      <c r="Q1343" s="684" t="s">
        <v>1916</v>
      </c>
      <c r="R1343" s="498" t="s">
        <v>1916</v>
      </c>
      <c r="S1343" s="499" t="s">
        <v>1916</v>
      </c>
      <c r="U1343">
        <v>5</v>
      </c>
      <c r="Y1343" s="389"/>
      <c r="AO1343" s="389">
        <v>17</v>
      </c>
    </row>
    <row r="1344" spans="1:43" hidden="1" outlineLevel="1" x14ac:dyDescent="0.25">
      <c r="A1344" s="71">
        <v>9</v>
      </c>
      <c r="B1344" s="34" t="str">
        <f t="shared" ca="1" si="313"/>
        <v>Ahorn</v>
      </c>
      <c r="C1344" s="34">
        <f t="shared" ca="1" si="314"/>
        <v>0.75</v>
      </c>
      <c r="D1344" s="118" t="s">
        <v>1887</v>
      </c>
      <c r="E1344" s="34"/>
      <c r="F1344" s="34"/>
      <c r="J1344">
        <v>6</v>
      </c>
      <c r="K1344" s="371" t="s">
        <v>1907</v>
      </c>
      <c r="L1344" s="40" t="str">
        <f t="shared" si="312"/>
        <v xml:space="preserve"> - 30°</v>
      </c>
      <c r="M1344">
        <f t="shared" si="311"/>
        <v>6</v>
      </c>
      <c r="N1344" s="370">
        <v>-30</v>
      </c>
      <c r="O1344" s="370">
        <v>120</v>
      </c>
      <c r="P1344" s="504">
        <v>14</v>
      </c>
      <c r="Q1344" s="684" t="s">
        <v>1916</v>
      </c>
      <c r="R1344" s="498" t="s">
        <v>1916</v>
      </c>
      <c r="S1344" s="499" t="s">
        <v>1916</v>
      </c>
      <c r="U1344">
        <v>6</v>
      </c>
      <c r="Y1344" s="389"/>
      <c r="AO1344" s="389">
        <v>16.5</v>
      </c>
    </row>
    <row r="1345" spans="1:41" hidden="1" outlineLevel="1" x14ac:dyDescent="0.25">
      <c r="A1345" s="71">
        <v>10</v>
      </c>
      <c r="B1345" s="34" t="str">
        <f t="shared" ca="1" si="313"/>
        <v>Amerikanische Linde</v>
      </c>
      <c r="C1345" s="34">
        <f t="shared" ca="1" si="314"/>
        <v>0.6</v>
      </c>
      <c r="D1345" s="118" t="s">
        <v>1887</v>
      </c>
      <c r="E1345" s="34"/>
      <c r="F1345" s="34"/>
      <c r="G1345" s="370"/>
      <c r="J1345">
        <v>7</v>
      </c>
      <c r="K1345" s="372" t="s">
        <v>1908</v>
      </c>
      <c r="L1345" s="40" t="str">
        <f t="shared" si="312"/>
        <v xml:space="preserve"> - 45°</v>
      </c>
      <c r="M1345">
        <f t="shared" si="311"/>
        <v>7</v>
      </c>
      <c r="N1345" s="370">
        <v>-45</v>
      </c>
      <c r="O1345" s="370">
        <v>120</v>
      </c>
      <c r="P1345" s="513">
        <v>15</v>
      </c>
      <c r="Q1345" s="685" t="s">
        <v>1916</v>
      </c>
      <c r="R1345" s="496" t="s">
        <v>1916</v>
      </c>
      <c r="S1345" s="502" t="s">
        <v>1916</v>
      </c>
      <c r="U1345">
        <v>7</v>
      </c>
      <c r="Y1345" s="389"/>
      <c r="AO1345" s="389">
        <v>15</v>
      </c>
    </row>
    <row r="1346" spans="1:41" hidden="1" outlineLevel="1" x14ac:dyDescent="0.25">
      <c r="A1346" s="71">
        <v>11</v>
      </c>
      <c r="B1346" s="34" t="str">
        <f t="shared" ca="1" si="313"/>
        <v>Apfel</v>
      </c>
      <c r="C1346" s="34">
        <f t="shared" ca="1" si="314"/>
        <v>0.8</v>
      </c>
      <c r="D1346" s="118" t="s">
        <v>1887</v>
      </c>
      <c r="E1346" s="34"/>
      <c r="F1346" s="34"/>
      <c r="Y1346" s="389"/>
      <c r="AO1346" s="389">
        <v>14.5</v>
      </c>
    </row>
    <row r="1347" spans="1:41" ht="15.75" hidden="1" outlineLevel="1" thickBot="1" x14ac:dyDescent="0.3">
      <c r="A1347" s="71">
        <v>12</v>
      </c>
      <c r="B1347" s="34" t="str">
        <f t="shared" ca="1" si="313"/>
        <v>Balsa</v>
      </c>
      <c r="C1347" s="34">
        <f t="shared" ca="1" si="314"/>
        <v>0.16</v>
      </c>
      <c r="D1347" s="118" t="s">
        <v>1887</v>
      </c>
      <c r="E1347" s="34"/>
      <c r="F1347" s="34"/>
      <c r="K1347" s="131" t="str">
        <f ca="1">IF(AND(L1347="",D1333="",L1335="")=TRUE,Sprache!A48,"")</f>
        <v/>
      </c>
      <c r="L1347" s="78">
        <f ca="1">IFERROR(VLOOKUP(L1348,M1350:N1358,2,FALSE),"")</f>
        <v>110</v>
      </c>
      <c r="Y1347" s="389"/>
      <c r="AO1347" s="389">
        <v>13</v>
      </c>
    </row>
    <row r="1348" spans="1:41" ht="15.75" hidden="1" outlineLevel="1" thickBot="1" x14ac:dyDescent="0.3">
      <c r="A1348" s="71">
        <v>13</v>
      </c>
      <c r="B1348" s="34" t="str">
        <f t="shared" ca="1" si="313"/>
        <v>Bambus</v>
      </c>
      <c r="C1348" s="34">
        <f t="shared" ca="1" si="314"/>
        <v>0.4</v>
      </c>
      <c r="D1348" s="118" t="s">
        <v>1887</v>
      </c>
      <c r="E1348" s="34" t="s">
        <v>1916</v>
      </c>
      <c r="F1348" s="34" t="s">
        <v>1916</v>
      </c>
      <c r="G1348" s="461">
        <v>4</v>
      </c>
      <c r="H1348" s="461">
        <v>5</v>
      </c>
      <c r="I1348" s="461">
        <v>6</v>
      </c>
      <c r="K1348" t="s">
        <v>1909</v>
      </c>
      <c r="L1348" s="288">
        <v>4</v>
      </c>
      <c r="N1348" s="40">
        <f ca="1">VLOOKUP(L1348,M1350:N1358,2,FALSE)</f>
        <v>110</v>
      </c>
      <c r="O1348" s="375">
        <f ca="1">VLOOKUP(L1348,M1350:R1358,3,FALSE)</f>
        <v>1</v>
      </c>
      <c r="P1348" s="376">
        <f ca="1">VLOOKUP(L1348,M1350:R1358,4,FALSE)</f>
        <v>5</v>
      </c>
      <c r="Q1348" s="376">
        <f ca="1">VLOOKUP(L1348,M1350:R1358,5,FALSE)</f>
        <v>6</v>
      </c>
      <c r="R1348" s="376">
        <f ca="1">VLOOKUP(L1348,M1350:R1358,6,FALSE)</f>
        <v>19</v>
      </c>
      <c r="Y1348" s="389"/>
      <c r="AO1348" s="389">
        <v>12.5</v>
      </c>
    </row>
    <row r="1349" spans="1:41" hidden="1" outlineLevel="1" x14ac:dyDescent="0.25">
      <c r="A1349" s="71">
        <v>14</v>
      </c>
      <c r="B1349" s="34" t="str">
        <f t="shared" ca="1" si="313"/>
        <v>Birke</v>
      </c>
      <c r="C1349" s="34">
        <f t="shared" ca="1" si="314"/>
        <v>0.67</v>
      </c>
      <c r="D1349" s="118" t="s">
        <v>1887</v>
      </c>
      <c r="E1349" s="34" t="s">
        <v>1916</v>
      </c>
      <c r="F1349" s="34" t="s">
        <v>1916</v>
      </c>
      <c r="G1349" s="461" t="s">
        <v>1027</v>
      </c>
      <c r="H1349" s="461" t="s">
        <v>1913</v>
      </c>
      <c r="I1349" s="461" t="s">
        <v>1914</v>
      </c>
      <c r="J1349" s="381" t="s">
        <v>1915</v>
      </c>
      <c r="O1349" t="s">
        <v>1910</v>
      </c>
      <c r="S1349" t="s">
        <v>2159</v>
      </c>
      <c r="W1349" t="s">
        <v>2160</v>
      </c>
      <c r="AA1349" t="s">
        <v>2161</v>
      </c>
      <c r="AC1349" s="389"/>
      <c r="AE1349" t="s">
        <v>2162</v>
      </c>
      <c r="AO1349" s="389">
        <v>10.5</v>
      </c>
    </row>
    <row r="1350" spans="1:41" hidden="1" outlineLevel="1" x14ac:dyDescent="0.25">
      <c r="A1350" s="71">
        <v>15</v>
      </c>
      <c r="B1350" s="34" t="str">
        <f t="shared" ca="1" si="313"/>
        <v>Birne</v>
      </c>
      <c r="C1350" s="34">
        <f t="shared" ca="1" si="314"/>
        <v>0.7</v>
      </c>
      <c r="D1350" s="118" t="s">
        <v>1887</v>
      </c>
      <c r="E1350" s="34" t="s">
        <v>1916</v>
      </c>
      <c r="F1350" s="34" t="s">
        <v>1916</v>
      </c>
      <c r="G1350" s="584">
        <v>90</v>
      </c>
      <c r="H1350" s="541">
        <v>85</v>
      </c>
      <c r="I1350" s="542">
        <v>90</v>
      </c>
      <c r="J1350" s="382" t="str">
        <f ca="1">IF(AND($B$1332&gt;=4,$B$1332&lt;=6)=TRUE,OFFSET(F1350,0,$B$1332-3),"")</f>
        <v/>
      </c>
      <c r="K1350" s="774">
        <v>85</v>
      </c>
      <c r="L1350" s="377">
        <f ca="1">IFERROR(IF($J$1350&lt;&gt;"",J1350,IF($O$1337="*",K1350,$O$1337)),"")</f>
        <v>85</v>
      </c>
      <c r="M1350">
        <v>1</v>
      </c>
      <c r="N1350" s="378">
        <f t="shared" ref="N1350:N1358" ca="1" si="315">L1350</f>
        <v>85</v>
      </c>
      <c r="O1350" s="588" t="str">
        <f ca="1">IF($J$1350&lt;&gt;"",OFFSET(S1350,0,4*($B$1332-3)),S1350)</f>
        <v>*1</v>
      </c>
      <c r="P1350" s="589" t="str">
        <f ca="1">IF($J$1350&lt;&gt;"",OFFSET(T1350,0,4*($B$1332-3)),T1350)</f>
        <v>*2</v>
      </c>
      <c r="Q1350" s="590" t="str">
        <f ca="1">IF($J$1350&lt;&gt;"",OFFSET(U1350,0,4*($B$1332-3)),U1350)</f>
        <v/>
      </c>
      <c r="R1350" s="591" t="str">
        <f ca="1">IF($J$1350&lt;&gt;"",OFFSET(V1350,0,4*($B$1332-3)),V1350)</f>
        <v/>
      </c>
      <c r="S1350" s="686" t="s">
        <v>1971</v>
      </c>
      <c r="T1350" s="682" t="s">
        <v>1919</v>
      </c>
      <c r="U1350" s="682" t="s">
        <v>1916</v>
      </c>
      <c r="V1350" s="683" t="s">
        <v>1916</v>
      </c>
      <c r="W1350" s="686" t="s">
        <v>2164</v>
      </c>
      <c r="X1350" s="687"/>
      <c r="Y1350" s="682" t="s">
        <v>1916</v>
      </c>
      <c r="Z1350" s="683" t="s">
        <v>1916</v>
      </c>
      <c r="AA1350" s="686" t="s">
        <v>2309</v>
      </c>
      <c r="AB1350" s="682" t="s">
        <v>1916</v>
      </c>
      <c r="AC1350" s="688" t="s">
        <v>1916</v>
      </c>
      <c r="AD1350" s="683" t="s">
        <v>1916</v>
      </c>
      <c r="AE1350" s="686" t="s">
        <v>1918</v>
      </c>
      <c r="AF1350" s="682" t="s">
        <v>1916</v>
      </c>
      <c r="AG1350" s="682" t="s">
        <v>1916</v>
      </c>
      <c r="AH1350" s="683" t="s">
        <v>1916</v>
      </c>
      <c r="AO1350" s="389">
        <v>5</v>
      </c>
    </row>
    <row r="1351" spans="1:41" hidden="1" outlineLevel="1" x14ac:dyDescent="0.25">
      <c r="A1351" s="71">
        <v>16</v>
      </c>
      <c r="B1351" s="34" t="str">
        <f t="shared" ca="1" si="313"/>
        <v>Buche</v>
      </c>
      <c r="C1351" s="34">
        <f t="shared" ca="1" si="314"/>
        <v>0.9</v>
      </c>
      <c r="D1351" s="118" t="s">
        <v>1887</v>
      </c>
      <c r="E1351" s="34" t="s">
        <v>1916</v>
      </c>
      <c r="F1351" s="34" t="s">
        <v>1916</v>
      </c>
      <c r="G1351" s="575">
        <v>95</v>
      </c>
      <c r="H1351" s="465">
        <v>90</v>
      </c>
      <c r="I1351" s="118">
        <v>125</v>
      </c>
      <c r="J1351" s="382" t="str">
        <f ca="1">IF(AND($B$1332&gt;=4,$B$1332&lt;=6)=TRUE,OFFSET(F1351,0,$B$1332-3),"")</f>
        <v/>
      </c>
      <c r="K1351" s="775">
        <v>90</v>
      </c>
      <c r="L1351" s="377">
        <f ca="1">IFERROR(IF($J$1350&lt;&gt;"",J1351,IF($O$1337="*",K1351,"")),"")</f>
        <v>90</v>
      </c>
      <c r="M1351">
        <v>2</v>
      </c>
      <c r="N1351" s="378">
        <f t="shared" ca="1" si="315"/>
        <v>90</v>
      </c>
      <c r="O1351" s="592" t="str">
        <f t="shared" ref="O1351:O1358" ca="1" si="316">IF($J$1350&lt;&gt;"",OFFSET(S1351,0,4*($B$1332-3)),S1351)</f>
        <v>*19</v>
      </c>
      <c r="P1351" s="593" t="str">
        <f t="shared" ref="P1351:P1358" ca="1" si="317">IF($J$1350&lt;&gt;"",OFFSET(T1351,0,4*($B$1332-3)),T1351)</f>
        <v>*20</v>
      </c>
      <c r="Q1351" s="594" t="str">
        <f t="shared" ref="Q1351:Q1358" ca="1" si="318">IF($J$1350&lt;&gt;"",OFFSET(U1351,0,4*($B$1332-3)),U1351)</f>
        <v/>
      </c>
      <c r="R1351" s="595" t="str">
        <f t="shared" ref="R1351:R1358" ca="1" si="319">IF($J$1350&lt;&gt;"",OFFSET(V1351,0,4*($B$1332-3)),V1351)</f>
        <v/>
      </c>
      <c r="S1351" s="504" t="s">
        <v>2246</v>
      </c>
      <c r="T1351" s="498" t="s">
        <v>1918</v>
      </c>
      <c r="U1351" s="684" t="s">
        <v>1916</v>
      </c>
      <c r="V1351" s="689" t="s">
        <v>1916</v>
      </c>
      <c r="W1351" s="504">
        <v>21</v>
      </c>
      <c r="X1351" s="684" t="s">
        <v>1916</v>
      </c>
      <c r="Y1351" s="684" t="s">
        <v>1916</v>
      </c>
      <c r="Z1351" s="689" t="s">
        <v>1916</v>
      </c>
      <c r="AA1351" s="504" t="s">
        <v>1918</v>
      </c>
      <c r="AB1351" s="684" t="s">
        <v>1916</v>
      </c>
      <c r="AC1351" s="690" t="s">
        <v>1916</v>
      </c>
      <c r="AD1351" s="689" t="s">
        <v>1916</v>
      </c>
      <c r="AE1351" s="504">
        <v>20</v>
      </c>
      <c r="AF1351" s="684" t="s">
        <v>1916</v>
      </c>
      <c r="AG1351" s="684" t="s">
        <v>1916</v>
      </c>
      <c r="AH1351" s="689" t="s">
        <v>1916</v>
      </c>
      <c r="AO1351" s="389">
        <v>4</v>
      </c>
    </row>
    <row r="1352" spans="1:41" hidden="1" outlineLevel="1" x14ac:dyDescent="0.25">
      <c r="A1352" s="71">
        <v>17</v>
      </c>
      <c r="B1352" s="34" t="str">
        <f t="shared" ca="1" si="313"/>
        <v>Douglasie</v>
      </c>
      <c r="C1352" s="34">
        <f t="shared" ca="1" si="314"/>
        <v>0.53</v>
      </c>
      <c r="D1352" s="118" t="s">
        <v>1887</v>
      </c>
      <c r="E1352" s="34" t="s">
        <v>1916</v>
      </c>
      <c r="F1352" s="34" t="s">
        <v>1916</v>
      </c>
      <c r="G1352" s="847">
        <v>125</v>
      </c>
      <c r="H1352" s="847">
        <v>110</v>
      </c>
      <c r="I1352" s="850" t="s">
        <v>1916</v>
      </c>
      <c r="J1352" s="382" t="str">
        <f ca="1">IF(AND($B$1332&gt;=4,$B$1332&lt;=6)=TRUE,OFFSET(F1352,0,$B$1332-3),"")</f>
        <v/>
      </c>
      <c r="K1352" s="775">
        <v>95</v>
      </c>
      <c r="L1352" s="377">
        <f t="shared" ref="L1352:L1358" ca="1" si="320">IFERROR(IF($J$1350&lt;&gt;"",J1352,IF($O$1337="*",K1352,"")),"")</f>
        <v>95</v>
      </c>
      <c r="M1352">
        <v>3</v>
      </c>
      <c r="N1352" s="378">
        <f t="shared" ca="1" si="315"/>
        <v>95</v>
      </c>
      <c r="O1352" s="592">
        <f t="shared" ca="1" si="316"/>
        <v>4</v>
      </c>
      <c r="P1352" s="593">
        <f t="shared" ca="1" si="317"/>
        <v>18</v>
      </c>
      <c r="Q1352" s="594" t="str">
        <f t="shared" ca="1" si="318"/>
        <v/>
      </c>
      <c r="R1352" s="596" t="str">
        <f t="shared" ca="1" si="319"/>
        <v/>
      </c>
      <c r="S1352" s="504">
        <v>4</v>
      </c>
      <c r="T1352" s="498">
        <v>18</v>
      </c>
      <c r="U1352" s="684" t="s">
        <v>1916</v>
      </c>
      <c r="V1352" s="689" t="s">
        <v>1916</v>
      </c>
      <c r="W1352" s="504">
        <v>22</v>
      </c>
      <c r="X1352" s="684" t="s">
        <v>1916</v>
      </c>
      <c r="Y1352" s="684" t="s">
        <v>1916</v>
      </c>
      <c r="Z1352" s="689" t="s">
        <v>1916</v>
      </c>
      <c r="AA1352" s="504">
        <v>23</v>
      </c>
      <c r="AB1352" s="684" t="s">
        <v>1916</v>
      </c>
      <c r="AC1352" s="690" t="s">
        <v>1916</v>
      </c>
      <c r="AD1352" s="689" t="s">
        <v>1916</v>
      </c>
      <c r="AE1352" s="504"/>
      <c r="AF1352" s="684" t="s">
        <v>1916</v>
      </c>
      <c r="AG1352" s="684" t="s">
        <v>1916</v>
      </c>
      <c r="AH1352" s="689" t="s">
        <v>1916</v>
      </c>
      <c r="AO1352" s="389">
        <v>2.5</v>
      </c>
    </row>
    <row r="1353" spans="1:41" hidden="1" outlineLevel="1" x14ac:dyDescent="0.25">
      <c r="A1353" s="71">
        <v>18</v>
      </c>
      <c r="B1353" s="34" t="str">
        <f t="shared" ca="1" si="313"/>
        <v>Ebenholz</v>
      </c>
      <c r="C1353" s="34">
        <f t="shared" ca="1" si="314"/>
        <v>1.3</v>
      </c>
      <c r="D1353" s="118" t="s">
        <v>1887</v>
      </c>
      <c r="E1353" s="34" t="s">
        <v>1916</v>
      </c>
      <c r="F1353" s="34" t="s">
        <v>1916</v>
      </c>
      <c r="G1353" s="712" t="s">
        <v>1916</v>
      </c>
      <c r="H1353" s="851">
        <v>125</v>
      </c>
      <c r="I1353" s="625" t="s">
        <v>1916</v>
      </c>
      <c r="J1353" s="382" t="str">
        <f ca="1">IF(AND($B$1332&gt;=4,$B$1332&lt;=6)=TRUE,OFFSET(F1353,0,$B$1332-3),"")</f>
        <v/>
      </c>
      <c r="K1353" s="776">
        <v>110</v>
      </c>
      <c r="L1353" s="377">
        <f t="shared" ca="1" si="320"/>
        <v>110</v>
      </c>
      <c r="M1353">
        <v>4</v>
      </c>
      <c r="N1353" s="378">
        <f t="shared" ca="1" si="315"/>
        <v>110</v>
      </c>
      <c r="O1353" s="592">
        <f t="shared" ca="1" si="316"/>
        <v>1</v>
      </c>
      <c r="P1353" s="593">
        <f t="shared" ca="1" si="317"/>
        <v>5</v>
      </c>
      <c r="Q1353" s="593">
        <f t="shared" ca="1" si="318"/>
        <v>6</v>
      </c>
      <c r="R1353" s="596">
        <f t="shared" ca="1" si="319"/>
        <v>19</v>
      </c>
      <c r="S1353" s="504">
        <v>1</v>
      </c>
      <c r="T1353" s="498">
        <v>5</v>
      </c>
      <c r="U1353" s="684">
        <v>6</v>
      </c>
      <c r="V1353" s="689">
        <v>19</v>
      </c>
      <c r="W1353" s="691" t="s">
        <v>1916</v>
      </c>
      <c r="X1353" s="684" t="s">
        <v>1916</v>
      </c>
      <c r="Y1353" s="684" t="s">
        <v>1916</v>
      </c>
      <c r="Z1353" s="689" t="s">
        <v>1916</v>
      </c>
      <c r="AA1353" s="691">
        <v>20</v>
      </c>
      <c r="AB1353" s="684" t="s">
        <v>1916</v>
      </c>
      <c r="AC1353" s="690" t="s">
        <v>1916</v>
      </c>
      <c r="AD1353" s="689" t="s">
        <v>1916</v>
      </c>
      <c r="AE1353" s="691" t="s">
        <v>1916</v>
      </c>
      <c r="AF1353" s="684" t="s">
        <v>1916</v>
      </c>
      <c r="AG1353" s="684" t="s">
        <v>1916</v>
      </c>
      <c r="AH1353" s="689" t="s">
        <v>1916</v>
      </c>
      <c r="AO1353" s="389">
        <v>1.5</v>
      </c>
    </row>
    <row r="1354" spans="1:41" hidden="1" outlineLevel="1" x14ac:dyDescent="0.25">
      <c r="A1354" s="71">
        <v>19</v>
      </c>
      <c r="B1354" s="34" t="str">
        <f t="shared" ca="1" si="313"/>
        <v>Eiche</v>
      </c>
      <c r="C1354" s="34">
        <f t="shared" ca="1" si="314"/>
        <v>0.7</v>
      </c>
      <c r="D1354" s="118" t="s">
        <v>1887</v>
      </c>
      <c r="E1354" s="34" t="s">
        <v>1916</v>
      </c>
      <c r="F1354" s="34" t="s">
        <v>1916</v>
      </c>
      <c r="H1354" s="848"/>
      <c r="J1354" s="383" t="s">
        <v>1916</v>
      </c>
      <c r="K1354" s="775">
        <v>120</v>
      </c>
      <c r="L1354" s="377">
        <f ca="1">IFERROR(IF($J$1350&lt;&gt;"",J1354,IF($O$1337="*",K1354,"")),"")</f>
        <v>120</v>
      </c>
      <c r="M1354">
        <v>5</v>
      </c>
      <c r="N1354" s="378">
        <f ca="1">L1354</f>
        <v>120</v>
      </c>
      <c r="O1354" s="592">
        <f t="shared" ca="1" si="316"/>
        <v>2</v>
      </c>
      <c r="P1354" s="594" t="str">
        <f t="shared" ca="1" si="317"/>
        <v>*3</v>
      </c>
      <c r="Q1354" s="593" t="str">
        <f t="shared" ca="1" si="318"/>
        <v/>
      </c>
      <c r="R1354" s="596" t="str">
        <f t="shared" ca="1" si="319"/>
        <v/>
      </c>
      <c r="S1354" s="504">
        <v>2</v>
      </c>
      <c r="T1354" s="684" t="s">
        <v>1920</v>
      </c>
      <c r="U1354" s="684" t="s">
        <v>1916</v>
      </c>
      <c r="V1354" s="689" t="s">
        <v>1916</v>
      </c>
      <c r="W1354" s="691" t="s">
        <v>1916</v>
      </c>
      <c r="X1354" s="684" t="s">
        <v>1916</v>
      </c>
      <c r="Y1354" s="684" t="s">
        <v>1916</v>
      </c>
      <c r="Z1354" s="689" t="s">
        <v>1916</v>
      </c>
      <c r="AA1354" s="691" t="s">
        <v>1916</v>
      </c>
      <c r="AB1354" s="684" t="s">
        <v>1916</v>
      </c>
      <c r="AC1354" s="690" t="s">
        <v>1916</v>
      </c>
      <c r="AD1354" s="689" t="s">
        <v>1916</v>
      </c>
      <c r="AE1354" s="691" t="s">
        <v>1916</v>
      </c>
      <c r="AF1354" s="684" t="s">
        <v>1916</v>
      </c>
      <c r="AG1354" s="684" t="s">
        <v>1916</v>
      </c>
      <c r="AH1354" s="689" t="s">
        <v>1916</v>
      </c>
      <c r="AO1354" s="389"/>
    </row>
    <row r="1355" spans="1:41" hidden="1" outlineLevel="1" x14ac:dyDescent="0.25">
      <c r="A1355" s="71">
        <v>20</v>
      </c>
      <c r="B1355" s="34" t="str">
        <f t="shared" ca="1" si="313"/>
        <v>Erle</v>
      </c>
      <c r="C1355" s="34">
        <f t="shared" ca="1" si="314"/>
        <v>0.7</v>
      </c>
      <c r="D1355" s="118" t="s">
        <v>1887</v>
      </c>
      <c r="E1355" s="34" t="s">
        <v>1916</v>
      </c>
      <c r="F1355" s="34" t="s">
        <v>1916</v>
      </c>
      <c r="J1355" s="383" t="s">
        <v>1916</v>
      </c>
      <c r="K1355" s="775">
        <v>125</v>
      </c>
      <c r="L1355" s="377">
        <f t="shared" ca="1" si="320"/>
        <v>125</v>
      </c>
      <c r="M1355">
        <v>6</v>
      </c>
      <c r="N1355" s="378">
        <f t="shared" ca="1" si="315"/>
        <v>125</v>
      </c>
      <c r="O1355" s="592">
        <f t="shared" ca="1" si="316"/>
        <v>20</v>
      </c>
      <c r="P1355" s="593" t="str">
        <f t="shared" ca="1" si="317"/>
        <v/>
      </c>
      <c r="Q1355" s="593" t="str">
        <f t="shared" ca="1" si="318"/>
        <v/>
      </c>
      <c r="R1355" s="596" t="str">
        <f t="shared" ca="1" si="319"/>
        <v/>
      </c>
      <c r="S1355" s="504">
        <v>20</v>
      </c>
      <c r="T1355" s="684" t="s">
        <v>1916</v>
      </c>
      <c r="U1355" s="684" t="s">
        <v>1916</v>
      </c>
      <c r="V1355" s="689" t="s">
        <v>1916</v>
      </c>
      <c r="W1355" s="691" t="s">
        <v>1916</v>
      </c>
      <c r="X1355" s="684" t="s">
        <v>1916</v>
      </c>
      <c r="Y1355" s="684" t="s">
        <v>1916</v>
      </c>
      <c r="Z1355" s="689" t="s">
        <v>1916</v>
      </c>
      <c r="AA1355" s="691" t="s">
        <v>1916</v>
      </c>
      <c r="AB1355" s="684" t="s">
        <v>1916</v>
      </c>
      <c r="AC1355" s="690" t="s">
        <v>1916</v>
      </c>
      <c r="AD1355" s="689" t="s">
        <v>1916</v>
      </c>
      <c r="AE1355" s="691" t="s">
        <v>1916</v>
      </c>
      <c r="AF1355" s="684" t="s">
        <v>1916</v>
      </c>
      <c r="AG1355" s="684" t="s">
        <v>1916</v>
      </c>
      <c r="AH1355" s="689" t="s">
        <v>1916</v>
      </c>
    </row>
    <row r="1356" spans="1:41" hidden="1" outlineLevel="1" x14ac:dyDescent="0.25">
      <c r="A1356" s="71">
        <v>21</v>
      </c>
      <c r="B1356" s="34" t="str">
        <f t="shared" ca="1" si="313"/>
        <v>Esche</v>
      </c>
      <c r="C1356" s="34">
        <f t="shared" ca="1" si="314"/>
        <v>0.71</v>
      </c>
      <c r="D1356" s="118" t="s">
        <v>1887</v>
      </c>
      <c r="E1356" s="34" t="s">
        <v>1916</v>
      </c>
      <c r="F1356" s="34" t="s">
        <v>1916</v>
      </c>
      <c r="J1356" s="383" t="s">
        <v>1916</v>
      </c>
      <c r="K1356" s="775">
        <v>160</v>
      </c>
      <c r="L1356" s="377">
        <f t="shared" ca="1" si="320"/>
        <v>160</v>
      </c>
      <c r="M1356">
        <v>7</v>
      </c>
      <c r="N1356" s="378">
        <f t="shared" ca="1" si="315"/>
        <v>160</v>
      </c>
      <c r="O1356" s="592">
        <f t="shared" ca="1" si="316"/>
        <v>3</v>
      </c>
      <c r="P1356" s="593" t="str">
        <f t="shared" ca="1" si="317"/>
        <v/>
      </c>
      <c r="Q1356" s="594" t="str">
        <f t="shared" ca="1" si="318"/>
        <v/>
      </c>
      <c r="R1356" s="595" t="str">
        <f t="shared" ca="1" si="319"/>
        <v/>
      </c>
      <c r="S1356" s="504">
        <v>3</v>
      </c>
      <c r="T1356" s="684" t="s">
        <v>1916</v>
      </c>
      <c r="U1356" s="684" t="s">
        <v>1916</v>
      </c>
      <c r="V1356" s="689" t="s">
        <v>1916</v>
      </c>
      <c r="W1356" s="691" t="s">
        <v>1916</v>
      </c>
      <c r="X1356" s="684" t="s">
        <v>1916</v>
      </c>
      <c r="Y1356" s="684" t="s">
        <v>1916</v>
      </c>
      <c r="Z1356" s="689" t="s">
        <v>1916</v>
      </c>
      <c r="AA1356" s="691" t="s">
        <v>1916</v>
      </c>
      <c r="AB1356" s="684" t="s">
        <v>1916</v>
      </c>
      <c r="AC1356" s="690" t="s">
        <v>1916</v>
      </c>
      <c r="AD1356" s="689" t="s">
        <v>1916</v>
      </c>
      <c r="AE1356" s="692" t="s">
        <v>1916</v>
      </c>
      <c r="AF1356" s="684" t="s">
        <v>1916</v>
      </c>
      <c r="AG1356" s="684" t="s">
        <v>1916</v>
      </c>
      <c r="AH1356" s="689" t="s">
        <v>1916</v>
      </c>
    </row>
    <row r="1357" spans="1:41" hidden="1" outlineLevel="1" x14ac:dyDescent="0.25">
      <c r="A1357" s="71">
        <v>22</v>
      </c>
      <c r="B1357" s="34" t="str">
        <f t="shared" ca="1" si="313"/>
        <v>Espe</v>
      </c>
      <c r="C1357" s="34">
        <f t="shared" ca="1" si="314"/>
        <v>0.42</v>
      </c>
      <c r="D1357" s="118" t="s">
        <v>1887</v>
      </c>
      <c r="E1357" s="34" t="s">
        <v>1916</v>
      </c>
      <c r="F1357" s="34" t="s">
        <v>1916</v>
      </c>
      <c r="J1357" s="383" t="s">
        <v>1916</v>
      </c>
      <c r="K1357" s="776" t="s">
        <v>1916</v>
      </c>
      <c r="L1357" s="377" t="str">
        <f ca="1">IFERROR(IF($J$1350&lt;&gt;"",J1357,IF($O$1337="*",K1357,"")),"")</f>
        <v/>
      </c>
      <c r="M1357">
        <v>8</v>
      </c>
      <c r="N1357" s="378" t="str">
        <f t="shared" ca="1" si="315"/>
        <v/>
      </c>
      <c r="O1357" s="592" t="str">
        <f t="shared" ca="1" si="316"/>
        <v/>
      </c>
      <c r="P1357" s="594" t="str">
        <f t="shared" ca="1" si="317"/>
        <v/>
      </c>
      <c r="Q1357" s="594" t="str">
        <f t="shared" ca="1" si="318"/>
        <v/>
      </c>
      <c r="R1357" s="595" t="str">
        <f t="shared" ca="1" si="319"/>
        <v/>
      </c>
      <c r="S1357" s="691" t="s">
        <v>1916</v>
      </c>
      <c r="T1357" s="684" t="s">
        <v>1916</v>
      </c>
      <c r="U1357" s="684" t="s">
        <v>1916</v>
      </c>
      <c r="V1357" s="689" t="s">
        <v>1916</v>
      </c>
      <c r="W1357" s="691" t="s">
        <v>1916</v>
      </c>
      <c r="X1357" s="684" t="s">
        <v>1916</v>
      </c>
      <c r="Y1357" s="684" t="s">
        <v>1916</v>
      </c>
      <c r="Z1357" s="689" t="s">
        <v>1916</v>
      </c>
      <c r="AA1357" s="691" t="s">
        <v>1916</v>
      </c>
      <c r="AB1357" s="684" t="s">
        <v>1916</v>
      </c>
      <c r="AC1357" s="690" t="s">
        <v>1916</v>
      </c>
      <c r="AD1357" s="693" t="s">
        <v>1916</v>
      </c>
      <c r="AE1357" s="692" t="s">
        <v>1916</v>
      </c>
      <c r="AF1357" s="684" t="s">
        <v>1916</v>
      </c>
      <c r="AG1357" s="684" t="s">
        <v>1916</v>
      </c>
      <c r="AH1357" s="689" t="s">
        <v>1916</v>
      </c>
    </row>
    <row r="1358" spans="1:41" hidden="1" outlineLevel="1" x14ac:dyDescent="0.25">
      <c r="A1358" s="71">
        <v>23</v>
      </c>
      <c r="B1358" s="34" t="str">
        <f t="shared" ca="1" si="313"/>
        <v>Fichte</v>
      </c>
      <c r="C1358" s="34">
        <f t="shared" ca="1" si="314"/>
        <v>0.45</v>
      </c>
      <c r="D1358" s="118" t="s">
        <v>1887</v>
      </c>
      <c r="E1358" s="34" t="s">
        <v>1916</v>
      </c>
      <c r="F1358" s="34" t="s">
        <v>1916</v>
      </c>
      <c r="J1358" s="383" t="s">
        <v>1916</v>
      </c>
      <c r="K1358" s="777" t="s">
        <v>1916</v>
      </c>
      <c r="L1358" s="377" t="str">
        <f t="shared" ca="1" si="320"/>
        <v/>
      </c>
      <c r="M1358">
        <v>9</v>
      </c>
      <c r="N1358" s="378" t="str">
        <f t="shared" ca="1" si="315"/>
        <v/>
      </c>
      <c r="O1358" s="597" t="str">
        <f t="shared" ca="1" si="316"/>
        <v/>
      </c>
      <c r="P1358" s="598" t="str">
        <f t="shared" ca="1" si="317"/>
        <v/>
      </c>
      <c r="Q1358" s="598" t="str">
        <f t="shared" ca="1" si="318"/>
        <v/>
      </c>
      <c r="R1358" s="599" t="str">
        <f t="shared" ca="1" si="319"/>
        <v/>
      </c>
      <c r="S1358" s="695" t="s">
        <v>1916</v>
      </c>
      <c r="T1358" s="685" t="s">
        <v>1916</v>
      </c>
      <c r="U1358" s="685" t="s">
        <v>1916</v>
      </c>
      <c r="V1358" s="694" t="s">
        <v>1916</v>
      </c>
      <c r="W1358" s="695" t="s">
        <v>1916</v>
      </c>
      <c r="X1358" s="685" t="s">
        <v>1916</v>
      </c>
      <c r="Y1358" s="685" t="s">
        <v>1916</v>
      </c>
      <c r="Z1358" s="694" t="s">
        <v>1916</v>
      </c>
      <c r="AA1358" s="695" t="s">
        <v>1916</v>
      </c>
      <c r="AB1358" s="685" t="s">
        <v>1916</v>
      </c>
      <c r="AC1358" s="696" t="s">
        <v>1916</v>
      </c>
      <c r="AD1358" s="697" t="s">
        <v>1916</v>
      </c>
      <c r="AE1358" s="698" t="s">
        <v>1916</v>
      </c>
      <c r="AF1358" s="685" t="s">
        <v>1916</v>
      </c>
      <c r="AG1358" s="685" t="s">
        <v>1916</v>
      </c>
      <c r="AH1358" s="694" t="s">
        <v>1916</v>
      </c>
    </row>
    <row r="1359" spans="1:41" hidden="1" outlineLevel="1" x14ac:dyDescent="0.25">
      <c r="A1359" s="71">
        <v>24</v>
      </c>
      <c r="B1359" s="34" t="str">
        <f t="shared" ca="1" si="313"/>
        <v>Gabun</v>
      </c>
      <c r="C1359" s="34">
        <f t="shared" ca="1" si="314"/>
        <v>0.43</v>
      </c>
      <c r="D1359" s="118" t="s">
        <v>1887</v>
      </c>
      <c r="E1359" s="34" t="s">
        <v>1916</v>
      </c>
      <c r="F1359" s="34" t="s">
        <v>1916</v>
      </c>
      <c r="Y1359" s="389"/>
      <c r="Z1359" s="389"/>
      <c r="AA1359" s="389"/>
    </row>
    <row r="1360" spans="1:41" hidden="1" outlineLevel="1" x14ac:dyDescent="0.25">
      <c r="A1360" s="71">
        <v>25</v>
      </c>
      <c r="B1360" s="34" t="str">
        <f t="shared" ca="1" si="313"/>
        <v>Hemlock</v>
      </c>
      <c r="C1360" s="34">
        <f t="shared" ca="1" si="314"/>
        <v>0.5</v>
      </c>
      <c r="D1360" s="118" t="s">
        <v>1887</v>
      </c>
      <c r="E1360" s="34" t="s">
        <v>1916</v>
      </c>
      <c r="F1360" s="34" t="s">
        <v>1916</v>
      </c>
      <c r="H1360" t="s">
        <v>1910</v>
      </c>
      <c r="I1360" t="s">
        <v>1798</v>
      </c>
      <c r="J1360" t="s">
        <v>1917</v>
      </c>
      <c r="K1360" t="s">
        <v>1922</v>
      </c>
      <c r="L1360" t="s">
        <v>26</v>
      </c>
      <c r="M1360" t="s">
        <v>1977</v>
      </c>
      <c r="P1360" s="614" t="s">
        <v>2168</v>
      </c>
      <c r="Q1360" s="614" t="str">
        <f ca="1">Sprache!A176</f>
        <v>Topfabstand</v>
      </c>
      <c r="R1360" s="617" t="s">
        <v>2167</v>
      </c>
      <c r="Y1360" s="389"/>
      <c r="Z1360" s="389"/>
      <c r="AA1360" s="389"/>
    </row>
    <row r="1361" spans="1:40" hidden="1" outlineLevel="1" x14ac:dyDescent="0.25">
      <c r="A1361" s="71">
        <v>26</v>
      </c>
      <c r="B1361" s="34" t="str">
        <f t="shared" ca="1" si="313"/>
        <v>Iroko</v>
      </c>
      <c r="C1361" s="34">
        <f t="shared" ca="1" si="314"/>
        <v>0.66</v>
      </c>
      <c r="D1361" s="118" t="s">
        <v>1887</v>
      </c>
      <c r="E1361" s="34" t="s">
        <v>1916</v>
      </c>
      <c r="F1361" s="34" t="s">
        <v>1916</v>
      </c>
      <c r="G1361" t="b">
        <f ca="1">IF(H1361&lt;&gt;"",ISNONTEXT(H1361),"")</f>
        <v>1</v>
      </c>
      <c r="H1361" s="40">
        <f ca="1">IF(U1337&lt;&gt;0,P1337,O1348)</f>
        <v>1</v>
      </c>
      <c r="I1361" s="305">
        <f ca="1">IFERROR(IF(G1361=TRUE,VLOOKUP(H1361,$G$10:$J$33,2,FALSE),VLOOKUP(VALUE(MID(H1361,2,5)),$G$10:$J$33,2,FALSE)),"")</f>
        <v>1</v>
      </c>
      <c r="J1361" s="367">
        <f ca="1">IFERROR(IF(G1361=TRUE,VLOOKUP(H1361,$G$10:$J$33,3,FALSE),VLOOKUP(VALUE(MID(H1361,2,5)),$G$10:$J$33,3,FALSE)),"")</f>
        <v>1</v>
      </c>
      <c r="K1361" s="367">
        <f ca="1">IFERROR(IF(G1361=TRUE,VLOOKUP(H1361,$G$10:$L$33,6,FALSE),VLOOKUP(VALUE(MID(H1361,2,5)),$G$10:$L$33,6,FALSE)),"")</f>
        <v>1</v>
      </c>
      <c r="L1361" s="369" t="str">
        <f ca="1">IFERROR(IF(G1361=TRUE,VLOOKUP(H1361,$G$10:$J$33,4,FALSE),VLOOKUP(VALUE(MID(H1361,2,5)),$G$10:$J$33,4,FALSE)),"")</f>
        <v>Tiomos 110°</v>
      </c>
      <c r="M1361" s="400">
        <f ca="1">IFERROR(IF(G1361=TRUE,VLOOKUP(H1361,$G$10:$J$33,1,FALSE),VLOOKUP(VALUE(MID(H1361,2,5)),$G$10:$J$33,1,FALSE)),"")</f>
        <v>1</v>
      </c>
      <c r="N1361" t="str">
        <f ca="1">IF(G1361=FALSE,L1361&amp;" "&amp;Sprache!$A$75,L1361)</f>
        <v>Tiomos 110°</v>
      </c>
      <c r="O1361" s="87"/>
      <c r="P1361" s="604" t="str">
        <f ca="1">IF(Q1361&lt;&gt;$Q$1360,Q1361,"")</f>
        <v/>
      </c>
      <c r="Q1361" s="604" t="str">
        <f ca="1">IFERROR(OFFSET(rand!$P$96,0,Q1368),"")</f>
        <v>Topfabstand</v>
      </c>
      <c r="R1361" s="170" t="str">
        <f ca="1">IFERROR(OFFSET(rand!$P$97,0,Q1368),"")</f>
        <v/>
      </c>
      <c r="S1361" t="str">
        <f ca="1">IF(R1361&lt;&gt;"",IF(R1362&lt;&gt;"",$U$1367,""),"")</f>
        <v/>
      </c>
      <c r="Y1361" s="389"/>
      <c r="Z1361" s="389"/>
      <c r="AA1361" s="389"/>
    </row>
    <row r="1362" spans="1:40" hidden="1" outlineLevel="1" x14ac:dyDescent="0.25">
      <c r="A1362" s="71">
        <v>27</v>
      </c>
      <c r="B1362" s="34" t="str">
        <f t="shared" ca="1" si="313"/>
        <v>Kastanie</v>
      </c>
      <c r="C1362" s="34">
        <f t="shared" ca="1" si="314"/>
        <v>0.56000000000000005</v>
      </c>
      <c r="D1362" s="118" t="s">
        <v>1887</v>
      </c>
      <c r="E1362" s="34" t="s">
        <v>1916</v>
      </c>
      <c r="F1362" s="34" t="s">
        <v>1916</v>
      </c>
      <c r="G1362" t="b">
        <f ca="1">IF(H1362&lt;&gt;"",ISNONTEXT(H1362),"")</f>
        <v>1</v>
      </c>
      <c r="H1362" s="40">
        <f ca="1">IF(U1337&lt;&gt;0,Q1337,P1348)</f>
        <v>5</v>
      </c>
      <c r="I1362" s="71">
        <f ca="1">IFERROR(IF(G1362=TRUE,VLOOKUP(H1362,$G$10:$J$33,2,FALSE),VLOOKUP(VALUE(MID(H1362,2,5)),$G$10:$J$33,2,FALSE)),"")</f>
        <v>2</v>
      </c>
      <c r="J1362" s="34">
        <f ca="1">IFERROR(IF(G1362=TRUE,VLOOKUP(H1362,$G$10:$J$33,3,FALSE),VLOOKUP(VALUE(MID(H1362,2,5)),$G$10:$J$33,3,FALSE)),"")</f>
        <v>1</v>
      </c>
      <c r="K1362" s="34">
        <f ca="1">IFERROR(IF(G1362=TRUE,VLOOKUP(H1362,$G$10:$L$33,6,FALSE),VLOOKUP(VALUE(MID(H1362,2,5)),$G$10:$L$33,6,FALSE)),"")</f>
        <v>5</v>
      </c>
      <c r="L1362" s="55" t="str">
        <f ca="1">IFERROR(IF(G1362=TRUE,VLOOKUP(H1362,$G$10:$J$33,4,FALSE),VLOOKUP(VALUE(MID(H1362,2,5)),$G$10:$J$33,4,FALSE)),"")</f>
        <v>Tiomos 110/90A</v>
      </c>
      <c r="M1362" s="401">
        <f ca="1">IFERROR(IF(G1362=TRUE,VLOOKUP(H1362,$G$10:$J$33,1,FALSE),VLOOKUP(VALUE(MID(H1362,2,5)),$G$10:$J$33,1,FALSE)),"")</f>
        <v>5</v>
      </c>
      <c r="N1362" t="str">
        <f ca="1">IF(G1362=FALSE,L1362&amp;" "&amp;Sprache!$A$75,L1362)</f>
        <v>Tiomos 110/90A</v>
      </c>
      <c r="P1362" s="604" t="str">
        <f ca="1">IF(IF(Q1362&lt;&gt;$Q$1360,Q1362,"")=P1361,"",IF(Q1362&lt;&gt;$Q$1360,Q1362,""))</f>
        <v/>
      </c>
      <c r="Q1362" s="604" t="str">
        <f ca="1">IFERROR(OFFSET(rand!$P$96,0,Q1369),"")</f>
        <v/>
      </c>
      <c r="R1362" s="170" t="str">
        <f ca="1">IFERROR(OFFSET(rand!$P$97,0,Q1369),"")</f>
        <v/>
      </c>
      <c r="S1362" t="str">
        <f t="shared" ref="S1362:S1364" ca="1" si="321">IF(R1362&lt;&gt;"",IF(R1363&lt;&gt;"",$U$1367,""),"")</f>
        <v/>
      </c>
      <c r="Y1362" s="389"/>
      <c r="Z1362" s="389"/>
      <c r="AA1362" s="389"/>
    </row>
    <row r="1363" spans="1:40" hidden="1" outlineLevel="1" x14ac:dyDescent="0.25">
      <c r="A1363" s="71">
        <v>28</v>
      </c>
      <c r="B1363" s="34" t="str">
        <f t="shared" ca="1" si="313"/>
        <v>Kiefer</v>
      </c>
      <c r="C1363" s="34">
        <f t="shared" ca="1" si="314"/>
        <v>0.45</v>
      </c>
      <c r="D1363" s="118" t="s">
        <v>1887</v>
      </c>
      <c r="E1363" s="34" t="s">
        <v>1916</v>
      </c>
      <c r="F1363" s="34" t="s">
        <v>1916</v>
      </c>
      <c r="G1363" t="b">
        <f ca="1">IF(H1363&lt;&gt;"",ISNONTEXT(H1363),"")</f>
        <v>1</v>
      </c>
      <c r="H1363" s="40">
        <f ca="1">IF(U1337&lt;&gt;0,R1337,Q1348)</f>
        <v>6</v>
      </c>
      <c r="I1363" s="71">
        <f ca="1">IFERROR(IF(G1363=TRUE,VLOOKUP(H1363,$G$10:$J$33,2,FALSE),VLOOKUP(VALUE(MID(H1363,2,5)),$G$10:$J$33,2,FALSE)),"")</f>
        <v>2</v>
      </c>
      <c r="J1363" s="34">
        <f ca="1">IFERROR(IF(G1363=TRUE,VLOOKUP(H1363,$G$10:$J$33,3,FALSE),VLOOKUP(VALUE(MID(H1363,2,5)),$G$10:$J$33,3,FALSE)),"")</f>
        <v>2</v>
      </c>
      <c r="K1363" s="34">
        <f ca="1">IFERROR(IF(G1363=TRUE,VLOOKUP(H1363,$G$10:$L$33,6,FALSE),VLOOKUP(VALUE(MID(H1363,2,5)),$G$10:$L$33,6,FALSE)),"")</f>
        <v>5</v>
      </c>
      <c r="L1363" s="55" t="str">
        <f ca="1">IFERROR(IF(G1363=TRUE,VLOOKUP(H1363,$G$10:$J$33,4,FALSE),VLOOKUP(VALUE(MID(H1363,2,5)),$G$10:$J$33,4,FALSE)),"")</f>
        <v>Tiomos 110/90E</v>
      </c>
      <c r="M1363" s="401">
        <f ca="1">IFERROR(IF(G1363=TRUE,VLOOKUP(H1363,$G$10:$J$33,1,FALSE),VLOOKUP(VALUE(MID(H1363,2,5)),$G$10:$J$33,1,FALSE)),"")</f>
        <v>6</v>
      </c>
      <c r="N1363" t="str">
        <f ca="1">IF(G1363=FALSE,L1363&amp;" "&amp;Sprache!$A$75,L1363)</f>
        <v>Tiomos 110/90E</v>
      </c>
      <c r="P1363" s="604" t="str">
        <f ca="1">IF(IF(Q1363&lt;&gt;$Q$1360,Q1363,"")=P1362,"",IF(Q1363&lt;&gt;$Q$1360,Q1363,""))</f>
        <v/>
      </c>
      <c r="Q1363" s="604" t="str">
        <f ca="1">IFERROR(OFFSET(rand!$P$96,0,Q1370),"")</f>
        <v/>
      </c>
      <c r="R1363" s="170" t="str">
        <f ca="1">IFERROR(OFFSET(rand!$P$97,0,Q1370),"")</f>
        <v/>
      </c>
      <c r="S1363" t="str">
        <f t="shared" ca="1" si="321"/>
        <v/>
      </c>
      <c r="Y1363" s="389"/>
      <c r="Z1363" s="389"/>
      <c r="AA1363" s="389"/>
    </row>
    <row r="1364" spans="1:40" hidden="1" outlineLevel="1" x14ac:dyDescent="0.25">
      <c r="A1364" s="71">
        <v>29</v>
      </c>
      <c r="B1364" s="34" t="str">
        <f t="shared" ca="1" si="313"/>
        <v>Kirsche</v>
      </c>
      <c r="C1364" s="34">
        <f t="shared" ca="1" si="314"/>
        <v>0.63</v>
      </c>
      <c r="D1364" s="118" t="s">
        <v>1887</v>
      </c>
      <c r="E1364" s="34" t="s">
        <v>1916</v>
      </c>
      <c r="F1364" s="34" t="s">
        <v>1916</v>
      </c>
      <c r="G1364" t="b">
        <f ca="1">IF(H1364&lt;&gt;"",ISNONTEXT(H1364),"")</f>
        <v>1</v>
      </c>
      <c r="H1364" s="40">
        <f ca="1">IF(U1337&lt;&gt;0,S1337,R1348)</f>
        <v>19</v>
      </c>
      <c r="I1364" s="92">
        <f ca="1">IFERROR(IF(G1364=TRUE,VLOOKUP(H1364,$G$10:$J$33,2,FALSE),VLOOKUP(VALUE(MID(H1364,2,5)),$G$10:$J$33,2,FALSE)),"")</f>
        <v>3</v>
      </c>
      <c r="J1364" s="6">
        <f ca="1">IFERROR(IF(G1364=TRUE,VLOOKUP(H1364,$G$10:$J$33,3,FALSE),VLOOKUP(VALUE(MID(H1364,2,5)),$G$10:$J$33,3,FALSE)),"")</f>
        <v>4</v>
      </c>
      <c r="K1364" s="6">
        <f ca="1">IFERROR(IF(G1364=TRUE,VLOOKUP(H1364,$G$10:$L$33,6,FALSE),VLOOKUP(VALUE(MID(H1364,2,5)),$G$10:$L$33,6,FALSE)),"")</f>
        <v>1</v>
      </c>
      <c r="L1364" s="56" t="str">
        <f ca="1">IFERROR(IF(G1364=TRUE,VLOOKUP(H1364,$G$10:$J$33,4,FALSE),VLOOKUP(VALUE(MID(H1364,2,5)),$G$10:$J$33,4,FALSE)),"")</f>
        <v>Tiomos M9</v>
      </c>
      <c r="M1364" s="402">
        <f ca="1">IFERROR(IF(G1364=TRUE,VLOOKUP(H1364,$G$10:$J$33,1,FALSE),VLOOKUP(VALUE(MID(H1364,2,5)),$G$10:$J$33,1,FALSE)),"")</f>
        <v>19</v>
      </c>
      <c r="N1364" t="str">
        <f ca="1">IF(G1364=FALSE,L1364&amp;" "&amp;Sprache!$A$75,L1364)</f>
        <v>Tiomos M9</v>
      </c>
      <c r="P1364" s="604" t="str">
        <f ca="1">IF(Q1364&lt;&gt;$Q$1360,Q1364,"")</f>
        <v/>
      </c>
      <c r="Q1364" s="606" t="str">
        <f ca="1">IFERROR(OFFSET(rand!$P$96,0,Q1371),"")</f>
        <v>Topfabstand</v>
      </c>
      <c r="R1364" s="129" t="str">
        <f ca="1">IFERROR(OFFSET(rand!$P$97,0,Q1371),"")</f>
        <v/>
      </c>
      <c r="S1364" t="str">
        <f t="shared" ca="1" si="321"/>
        <v/>
      </c>
      <c r="Y1364" s="389"/>
      <c r="Z1364" s="389"/>
      <c r="AA1364" s="389"/>
    </row>
    <row r="1365" spans="1:40" hidden="1" outlineLevel="1" x14ac:dyDescent="0.25">
      <c r="A1365" s="71">
        <v>30</v>
      </c>
      <c r="B1365" s="34" t="str">
        <f t="shared" ca="1" si="313"/>
        <v>Lärche</v>
      </c>
      <c r="C1365" s="34">
        <f t="shared" ca="1" si="314"/>
        <v>0.55000000000000004</v>
      </c>
      <c r="D1365" s="118" t="s">
        <v>1887</v>
      </c>
      <c r="E1365" s="34" t="s">
        <v>1916</v>
      </c>
      <c r="F1365" s="34" t="s">
        <v>1916</v>
      </c>
      <c r="P1365" s="606" t="str">
        <f ca="1">P1364&amp;P1363&amp;P1362&amp;P1361</f>
        <v/>
      </c>
      <c r="Q1365" s="607" t="str">
        <f ca="1">IF(P1365="",Q1360,P1365)</f>
        <v>Topfabstand</v>
      </c>
      <c r="R1365" s="618"/>
      <c r="W1365" s="1057" t="str">
        <f ca="1">X1368</f>
        <v>Tiomos Click-On Scharniere</v>
      </c>
      <c r="X1365" s="1057"/>
      <c r="Y1365" s="1057"/>
      <c r="Z1365" s="1057"/>
      <c r="AA1365" s="1057"/>
      <c r="AB1365" s="1057"/>
      <c r="AC1365" s="1057"/>
      <c r="AD1365" s="1057"/>
      <c r="AE1365" s="1057"/>
      <c r="AF1365" s="1057"/>
    </row>
    <row r="1366" spans="1:40" hidden="1" outlineLevel="1" x14ac:dyDescent="0.25">
      <c r="A1366" s="71">
        <v>31</v>
      </c>
      <c r="B1366" s="34" t="str">
        <f t="shared" ca="1" si="313"/>
        <v>Mahagonie</v>
      </c>
      <c r="C1366" s="34">
        <f t="shared" ca="1" si="314"/>
        <v>0.85</v>
      </c>
      <c r="D1366" s="118" t="s">
        <v>1887</v>
      </c>
      <c r="E1366" s="34" t="s">
        <v>1916</v>
      </c>
      <c r="F1366" s="34" t="s">
        <v>1916</v>
      </c>
      <c r="H1366" t="s">
        <v>2024</v>
      </c>
      <c r="U1366" t="s">
        <v>2165</v>
      </c>
      <c r="X1366" s="389"/>
      <c r="Y1366" s="389"/>
      <c r="Z1366" s="389"/>
      <c r="AA1366" s="389"/>
      <c r="AF1366" t="s">
        <v>5</v>
      </c>
    </row>
    <row r="1367" spans="1:40" hidden="1" outlineLevel="1" x14ac:dyDescent="0.25">
      <c r="A1367" s="71">
        <v>32</v>
      </c>
      <c r="B1367" s="34" t="str">
        <f t="shared" ca="1" si="313"/>
        <v>Mammutbaum</v>
      </c>
      <c r="C1367" s="34">
        <f t="shared" ca="1" si="314"/>
        <v>0.51</v>
      </c>
      <c r="D1367" s="118" t="s">
        <v>1887</v>
      </c>
      <c r="E1367" s="34" t="s">
        <v>1916</v>
      </c>
      <c r="F1367" s="34" t="s">
        <v>1916</v>
      </c>
      <c r="H1367" s="406" t="s">
        <v>1400</v>
      </c>
      <c r="I1367" s="406" t="str">
        <f>rand!A38</f>
        <v>Türauflage</v>
      </c>
      <c r="J1367" s="534" t="str">
        <f>rand!A99</f>
        <v>Topfabst</v>
      </c>
      <c r="K1367" s="534" t="s">
        <v>2</v>
      </c>
      <c r="L1367" s="534" t="str">
        <f>U1399</f>
        <v>Scharnier befestigung</v>
      </c>
      <c r="M1367" s="534" t="str">
        <f>U1407</f>
        <v>Scharniertyp</v>
      </c>
      <c r="N1367" s="534" t="s">
        <v>2117</v>
      </c>
      <c r="O1367" s="525" t="str">
        <f>I1360</f>
        <v>Gruppe</v>
      </c>
      <c r="P1367" s="428" t="str">
        <f>J1360</f>
        <v>GSchlüssel</v>
      </c>
      <c r="Q1367" s="406" t="s">
        <v>1977</v>
      </c>
      <c r="R1367" s="534" t="s">
        <v>1409</v>
      </c>
      <c r="S1367" s="525" t="s">
        <v>1418</v>
      </c>
      <c r="T1367" s="526" t="s">
        <v>2116</v>
      </c>
      <c r="U1367" s="18" t="str">
        <f>" | "</f>
        <v xml:space="preserve"> | </v>
      </c>
      <c r="Y1367" s="389"/>
      <c r="Z1367" s="389"/>
      <c r="AA1367" s="389"/>
      <c r="AD1367">
        <f ca="1">SUM(AD1368:AD1371)</f>
        <v>0</v>
      </c>
      <c r="AF1367" s="131">
        <f ca="1">IFERROR(IF(AD1367&gt;0,1,0),0)</f>
        <v>0</v>
      </c>
    </row>
    <row r="1368" spans="1:40" hidden="1" outlineLevel="1" x14ac:dyDescent="0.25">
      <c r="A1368" s="71">
        <v>33</v>
      </c>
      <c r="B1368" s="34" t="str">
        <f t="shared" ca="1" si="313"/>
        <v>Pappel</v>
      </c>
      <c r="C1368" s="34">
        <f t="shared" ca="1" si="314"/>
        <v>0.5</v>
      </c>
      <c r="D1368" s="118" t="s">
        <v>1887</v>
      </c>
      <c r="E1368" s="34" t="s">
        <v>1916</v>
      </c>
      <c r="F1368" s="34" t="s">
        <v>1916</v>
      </c>
      <c r="H1368" s="532">
        <f ca="1">rand!D3</f>
        <v>1</v>
      </c>
      <c r="I1368" s="532">
        <f ca="1">rand!D37</f>
        <v>1</v>
      </c>
      <c r="J1368" s="532">
        <f ca="1">rand!D96</f>
        <v>1</v>
      </c>
      <c r="K1368" s="532">
        <f ca="1">W1387</f>
        <v>1</v>
      </c>
      <c r="L1368" s="532">
        <f ca="1">W1399</f>
        <v>1</v>
      </c>
      <c r="M1368" s="532">
        <f ca="1">W1407</f>
        <v>1</v>
      </c>
      <c r="N1368" s="530">
        <f ca="1">IF(SUM(H1368:M1368)=6,1,"")</f>
        <v>1</v>
      </c>
      <c r="O1368" s="34">
        <f ca="1">IFERROR(IF(SUM(H1368:J1368)=3,I1361,""),"")</f>
        <v>1</v>
      </c>
      <c r="P1368" s="55">
        <f ca="1">IFERROR(IF(SUM(H1368:J1368)=3,J1361,""),"")</f>
        <v>1</v>
      </c>
      <c r="Q1368" s="170">
        <f ca="1">IF(P1368="","",M1361)</f>
        <v>1</v>
      </c>
      <c r="R1368" s="545" t="str">
        <f ca="1">IF(N1368="","",N1361)</f>
        <v>Tiomos 110°</v>
      </c>
      <c r="S1368" s="545">
        <f ca="1">IF(R1368="","",IFERROR(OFFSET(K1381,0,G1374),""))</f>
        <v>14</v>
      </c>
      <c r="T1368" s="545">
        <f ca="1">IF(S1368="","",IF((OFFSET(G1374,0,IF(H1381=S1368,1,IF(I1381=S1368,2,IF(J1381=S1368,3,IF(K1381=S1368,4,0))))))=G1374,"-",(OFFSET(G1374,0,IF(H1381=S1368,1,IF(I1381=S1368,2,IF(J1381=S1368,3,IF(K1381=S1368,4,0))))))))</f>
        <v>0</v>
      </c>
      <c r="U1368" t="str">
        <f ca="1">IF(T1368&lt;&gt;"",IF(T1369&lt;&gt;"",$U$1367,IF(T1370&lt;&gt;"",$U$1367,IF(T1371&lt;&gt;"",$U$1367,""))),"")</f>
        <v/>
      </c>
      <c r="V1368" s="524" t="str">
        <f ca="1">IF($S$1368&lt;&gt;"",V1374&amp;IF(G1361=FALSE," "&amp;Sprache!$A$75,""),"")</f>
        <v>Tiomos Scharnier TS Click-on</v>
      </c>
      <c r="W1368" s="525" t="str">
        <f ca="1">IF($S$1368&lt;&gt;"",W1374,"")</f>
        <v>110°, G-BB, K00, ni</v>
      </c>
      <c r="X1368" s="525" t="str">
        <f t="shared" ref="X1368:AA1368" ca="1" si="322">IF($S$1368&lt;&gt;"",X1374,"")</f>
        <v>Tiomos Click-On Scharniere</v>
      </c>
      <c r="Y1368" s="525" t="str">
        <f t="shared" ca="1" si="322"/>
        <v>F028138337</v>
      </c>
      <c r="Z1368" s="525" t="str">
        <f t="shared" ca="1" si="322"/>
        <v>F028</v>
      </c>
      <c r="AA1368" s="525" t="str">
        <f t="shared" ca="1" si="322"/>
        <v>138</v>
      </c>
      <c r="AB1368" s="526" t="str">
        <f ca="1">IF($S$1368&lt;&gt;"",AB1374,"")</f>
        <v>337</v>
      </c>
      <c r="AD1368" t="str">
        <f ca="1">IFERROR(V1368,1)</f>
        <v>Tiomos Scharnier TS Click-on</v>
      </c>
    </row>
    <row r="1369" spans="1:40" hidden="1" outlineLevel="1" x14ac:dyDescent="0.25">
      <c r="A1369" s="71">
        <v>34</v>
      </c>
      <c r="B1369" s="34" t="str">
        <f t="shared" ca="1" si="313"/>
        <v>Pappel, kanadisch</v>
      </c>
      <c r="C1369" s="34">
        <f t="shared" ca="1" si="314"/>
        <v>0.41</v>
      </c>
      <c r="D1369" s="118" t="s">
        <v>1887</v>
      </c>
      <c r="E1369" s="34" t="s">
        <v>1916</v>
      </c>
      <c r="F1369" s="34" t="s">
        <v>1916</v>
      </c>
      <c r="H1369" s="532">
        <f ca="1">rand!E3</f>
        <v>1</v>
      </c>
      <c r="I1369" s="532" t="str">
        <f ca="1">rand!E37</f>
        <v/>
      </c>
      <c r="J1369" s="532">
        <f ca="1">rand!E96</f>
        <v>1</v>
      </c>
      <c r="K1369" s="532" t="str">
        <f ca="1">X1387</f>
        <v/>
      </c>
      <c r="L1369" s="532" t="str">
        <f ca="1">X1399</f>
        <v/>
      </c>
      <c r="M1369" s="532" t="str">
        <f ca="1">X1407</f>
        <v/>
      </c>
      <c r="N1369" s="530" t="str">
        <f ca="1">IF(SUM(H1369:M1369)=6,1,"")</f>
        <v/>
      </c>
      <c r="O1369" s="34" t="str">
        <f ca="1">IFERROR(IF(SUM(H1369:J1369)=3,I1362,""),"")</f>
        <v/>
      </c>
      <c r="P1369" s="55" t="str">
        <f ca="1">IFERROR(IF(SUM(H1369:J1369)=3,J1362,""),"")</f>
        <v/>
      </c>
      <c r="Q1369" s="170" t="str">
        <f ca="1">IF(P1369="","",M1362)</f>
        <v/>
      </c>
      <c r="R1369" s="545" t="str">
        <f ca="1">IF(N1369="","",N1362)</f>
        <v/>
      </c>
      <c r="S1369" s="545" t="str">
        <f ca="1">IF(R1369="","",IFERROR(OFFSET(K1382,0,G1375),""))</f>
        <v/>
      </c>
      <c r="T1369" s="545" t="str">
        <f ca="1">IF(S1369="","",IF((OFFSET(G1375,0,IF(H1382=S1369,1,IF(I1382=S1369,2,IF(J1382=S1369,3,IF(K1382=S1369,4,0))))))=G1375,"-",(OFFSET(G1375,0,IF(H1382=S1369,1,IF(I1382=S1369,2,IF(J1382=S1369,3,IF(K1382=S1369,4,0))))))))</f>
        <v/>
      </c>
      <c r="U1369" t="str">
        <f ca="1">IF(T1369&lt;&gt;"",IF(T1370&lt;&gt;"",$U$1367,IF(T1371&lt;&gt;"",$U$1367,"")),"")</f>
        <v/>
      </c>
      <c r="V1369" s="10" t="str">
        <f ca="1">IF($S$1369&lt;&gt;"",V1376&amp;IF(G1362=FALSE," "&amp;Sprache!$A$75,""),"")</f>
        <v/>
      </c>
      <c r="W1369" s="34" t="str">
        <f t="shared" ref="W1369:AB1369" ca="1" si="323">IF($S$1369&lt;&gt;"",W1376,"")</f>
        <v/>
      </c>
      <c r="X1369" s="34" t="str">
        <f t="shared" ca="1" si="323"/>
        <v/>
      </c>
      <c r="Y1369" s="34" t="str">
        <f t="shared" ca="1" si="323"/>
        <v/>
      </c>
      <c r="Z1369" s="34" t="str">
        <f t="shared" ca="1" si="323"/>
        <v/>
      </c>
      <c r="AA1369" s="34" t="str">
        <f t="shared" ca="1" si="323"/>
        <v/>
      </c>
      <c r="AB1369" s="55" t="str">
        <f t="shared" ca="1" si="323"/>
        <v/>
      </c>
      <c r="AD1369" t="str">
        <f t="shared" ref="AD1369:AD1371" ca="1" si="324">IFERROR(V1369,1)</f>
        <v/>
      </c>
    </row>
    <row r="1370" spans="1:40" hidden="1" outlineLevel="1" x14ac:dyDescent="0.25">
      <c r="A1370" s="71">
        <v>35</v>
      </c>
      <c r="B1370" s="34" t="str">
        <f t="shared" ca="1" si="313"/>
        <v>Pekannussbaum</v>
      </c>
      <c r="C1370" s="34">
        <f t="shared" ca="1" si="314"/>
        <v>0.77</v>
      </c>
      <c r="D1370" s="118" t="s">
        <v>1887</v>
      </c>
      <c r="E1370" s="34" t="s">
        <v>1916</v>
      </c>
      <c r="F1370" s="34" t="s">
        <v>1916</v>
      </c>
      <c r="H1370" s="532">
        <f ca="1">rand!F3</f>
        <v>1</v>
      </c>
      <c r="I1370" s="532" t="str">
        <f ca="1">rand!F37</f>
        <v/>
      </c>
      <c r="J1370" s="532">
        <f ca="1">rand!F96</f>
        <v>1</v>
      </c>
      <c r="K1370" s="532" t="str">
        <f ca="1">Y1387</f>
        <v/>
      </c>
      <c r="L1370" s="532" t="str">
        <f ca="1">Y1399</f>
        <v/>
      </c>
      <c r="M1370" s="532" t="str">
        <f ca="1">Y1407</f>
        <v/>
      </c>
      <c r="N1370" s="530" t="str">
        <f ca="1">IF(SUM(H1370:M1370)=6,1,"")</f>
        <v/>
      </c>
      <c r="O1370" s="34" t="str">
        <f ca="1">IFERROR(IF(SUM(H1370:J1370)=3,I1363,""),"")</f>
        <v/>
      </c>
      <c r="P1370" s="55" t="str">
        <f ca="1">IFERROR(IF(SUM(H1370:J1370)=3,J1363,""),"")</f>
        <v/>
      </c>
      <c r="Q1370" s="170" t="str">
        <f ca="1">IF(P1370="","",M1363)</f>
        <v/>
      </c>
      <c r="R1370" s="545" t="str">
        <f ca="1">IF(N1370="","",N1363)</f>
        <v/>
      </c>
      <c r="S1370" s="545" t="str">
        <f ca="1">IF(R1370="","",IFERROR(OFFSET(K1383,0,G1376),""))</f>
        <v/>
      </c>
      <c r="T1370" s="545" t="str">
        <f ca="1">IF(S1370="","",IF((OFFSET(G1376,0,IF(H1383=S1370,1,IF(I1383=S1370,2,IF(J1383=S1370,3,IF(K1383=S1370,4,0))))))=G1376,"-",(OFFSET(G1376,0,IF(H1383=S1370,1,IF(I1383=S1370,2,IF(J1383=S1370,3,IF(K1383=S1370,4,0))))))))</f>
        <v/>
      </c>
      <c r="U1370" t="str">
        <f ca="1">IF(T1370&lt;&gt;"",IF(T1371&lt;&gt;"",$U$1367,""),"")</f>
        <v/>
      </c>
      <c r="V1370" s="10" t="str">
        <f ca="1">IF($S$1370&lt;&gt;"",V1378&amp;IF(G1363=FALSE," "&amp;Sprache!$A$75,""),"")</f>
        <v/>
      </c>
      <c r="W1370" s="34" t="str">
        <f t="shared" ref="W1370:AB1370" ca="1" si="325">IF($S$1370&lt;&gt;"",W1378,"")</f>
        <v/>
      </c>
      <c r="X1370" s="34" t="str">
        <f t="shared" ca="1" si="325"/>
        <v/>
      </c>
      <c r="Y1370" s="34" t="str">
        <f t="shared" ca="1" si="325"/>
        <v/>
      </c>
      <c r="Z1370" s="34" t="str">
        <f t="shared" ca="1" si="325"/>
        <v/>
      </c>
      <c r="AA1370" s="34" t="str">
        <f t="shared" ca="1" si="325"/>
        <v/>
      </c>
      <c r="AB1370" s="55" t="str">
        <f t="shared" ca="1" si="325"/>
        <v/>
      </c>
      <c r="AD1370" t="str">
        <f t="shared" ca="1" si="324"/>
        <v/>
      </c>
    </row>
    <row r="1371" spans="1:40" hidden="1" outlineLevel="1" x14ac:dyDescent="0.25">
      <c r="A1371" s="71">
        <v>36</v>
      </c>
      <c r="B1371" s="34" t="str">
        <f t="shared" ca="1" si="313"/>
        <v>Platane</v>
      </c>
      <c r="C1371" s="34">
        <f t="shared" ca="1" si="314"/>
        <v>0.6</v>
      </c>
      <c r="D1371" s="118" t="s">
        <v>1887</v>
      </c>
      <c r="E1371" s="34" t="s">
        <v>1916</v>
      </c>
      <c r="F1371" s="34" t="s">
        <v>1916</v>
      </c>
      <c r="H1371" s="533">
        <f ca="1">rand!G3</f>
        <v>1</v>
      </c>
      <c r="I1371" s="533">
        <f ca="1">rand!G37</f>
        <v>1</v>
      </c>
      <c r="J1371" s="533">
        <f ca="1">rand!G96</f>
        <v>1</v>
      </c>
      <c r="K1371" s="533" t="str">
        <f ca="1">Z1387</f>
        <v/>
      </c>
      <c r="L1371" s="533">
        <f ca="1">Z1399</f>
        <v>1</v>
      </c>
      <c r="M1371" s="533">
        <f ca="1">Z1407</f>
        <v>1</v>
      </c>
      <c r="N1371" s="531" t="str">
        <f ca="1">IF(SUM(H1371:M1371)=6,1,"")</f>
        <v/>
      </c>
      <c r="O1371" s="6">
        <f ca="1">IFERROR(IF(SUM(H1371:J1371)=3,I1364,""),"")</f>
        <v>3</v>
      </c>
      <c r="P1371" s="56">
        <f ca="1">IFERROR(IF(SUM(H1371:J1371)=3,J1364,""),"")</f>
        <v>4</v>
      </c>
      <c r="Q1371" s="129">
        <f ca="1">IF(P1371="","",M1364)</f>
        <v>19</v>
      </c>
      <c r="R1371" s="546" t="str">
        <f ca="1">IF(N1371="","",N1364)</f>
        <v/>
      </c>
      <c r="S1371" s="546" t="str">
        <f ca="1">IF(R1371="","",IFERROR(OFFSET(K1384,0,G1377),""))</f>
        <v/>
      </c>
      <c r="T1371" s="546" t="str">
        <f ca="1">IF(S1371="","",IF((OFFSET(G1377,0,IF(H1384=S1371,1,IF(I1384=S1371,2,IF(J1384=S1371,3,IF(K1384=S1371,4,0))))))=G1377,"-",(OFFSET(G1377,0,IF(H1384=S1371,1,IF(I1384=S1371,2,IF(J1384=S1371,3,IF(K1384=S1371,4,0))))))))</f>
        <v/>
      </c>
      <c r="V1371" s="92" t="str">
        <f ca="1">IF($S$1371&lt;&gt;"",V1380&amp;IF(G1364=FALSE," "&amp;Sprache!$A$75,""),"")</f>
        <v/>
      </c>
      <c r="W1371" s="6" t="str">
        <f t="shared" ref="W1371:AB1371" ca="1" si="326">IF($S$1371&lt;&gt;"",W1380,"")</f>
        <v/>
      </c>
      <c r="X1371" s="6" t="str">
        <f t="shared" ca="1" si="326"/>
        <v/>
      </c>
      <c r="Y1371" s="6" t="str">
        <f t="shared" ca="1" si="326"/>
        <v/>
      </c>
      <c r="Z1371" s="6" t="str">
        <f t="shared" ca="1" si="326"/>
        <v/>
      </c>
      <c r="AA1371" s="6" t="str">
        <f t="shared" ca="1" si="326"/>
        <v/>
      </c>
      <c r="AB1371" s="56" t="str">
        <f t="shared" ca="1" si="326"/>
        <v/>
      </c>
      <c r="AD1371" t="str">
        <f t="shared" ca="1" si="324"/>
        <v/>
      </c>
    </row>
    <row r="1372" spans="1:40" hidden="1" outlineLevel="1" x14ac:dyDescent="0.25">
      <c r="A1372" s="71">
        <v>37</v>
      </c>
      <c r="B1372" s="34" t="str">
        <f t="shared" ca="1" si="313"/>
        <v>Pockholz</v>
      </c>
      <c r="C1372" s="34">
        <f t="shared" ca="1" si="314"/>
        <v>1.33</v>
      </c>
      <c r="D1372" s="118" t="s">
        <v>1887</v>
      </c>
      <c r="E1372" s="34" t="s">
        <v>1916</v>
      </c>
      <c r="F1372" s="34" t="s">
        <v>1916</v>
      </c>
    </row>
    <row r="1373" spans="1:40" hidden="1" outlineLevel="1" x14ac:dyDescent="0.25">
      <c r="A1373" s="71">
        <v>38</v>
      </c>
      <c r="B1373" s="34" t="str">
        <f t="shared" ca="1" si="313"/>
        <v>Ramin</v>
      </c>
      <c r="C1373" s="34">
        <f t="shared" ca="1" si="314"/>
        <v>0.67</v>
      </c>
      <c r="D1373" s="118" t="s">
        <v>1887</v>
      </c>
      <c r="E1373" s="34" t="s">
        <v>1916</v>
      </c>
      <c r="F1373" s="34" t="s">
        <v>1916</v>
      </c>
      <c r="G1373" s="406" t="s">
        <v>2025</v>
      </c>
      <c r="H1373" s="438" t="s">
        <v>2037</v>
      </c>
      <c r="I1373" s="453" t="s">
        <v>2038</v>
      </c>
      <c r="J1373" s="453" t="s">
        <v>2039</v>
      </c>
      <c r="K1373" s="616" t="s">
        <v>2040</v>
      </c>
      <c r="M1373" s="609"/>
      <c r="N1373" s="615" t="str">
        <f ca="1">Sprache!A160</f>
        <v>Türstärke</v>
      </c>
      <c r="P1373" s="609"/>
      <c r="Q1373" s="615" t="str">
        <f ca="1">Sprache!A154</f>
        <v>Türauflage</v>
      </c>
      <c r="S1373" s="629" t="str">
        <f ca="1">IFERROR(IF(TEXT(S1368,"0,0")&amp;U1368&amp;TEXT(S1369,"0,0")&amp;U1369&amp;TEXT(S1370,"0,0")&amp;U1370&amp;TEXT(S1371,"0,0")&amp;U1371="",Sprache!A56&amp;" "&amp;Sprache!A146,TEXT(S1368,"0,0")&amp;U1368&amp;TEXT(S1369,"0,0")&amp;U1369&amp;TEXT(S1370,"0,0")&amp;U1370&amp;TEXT(S1371,"0,0")&amp;U1371),Sprache!A56&amp;" "&amp;Sprache!A146)</f>
        <v>14,0</v>
      </c>
      <c r="T1373" s="630" t="str">
        <f ca="1">IFERROR(T1368&amp;U1368&amp;T1369&amp;U1369&amp;T1370&amp;U1370&amp;T1371&amp;U1371,Sprache!A56&amp;" "&amp;Sprache!A146)</f>
        <v>0</v>
      </c>
      <c r="X1373" s="389"/>
      <c r="AD1373" s="389" t="s">
        <v>1432</v>
      </c>
      <c r="AE1373" s="389" t="s">
        <v>1439</v>
      </c>
      <c r="AF1373" t="s">
        <v>5</v>
      </c>
      <c r="AG1373" t="s">
        <v>2</v>
      </c>
      <c r="AH1373" t="s">
        <v>57</v>
      </c>
      <c r="AI1373" t="s">
        <v>58</v>
      </c>
      <c r="AJ1373" t="s">
        <v>28</v>
      </c>
      <c r="AK1373" t="s">
        <v>29</v>
      </c>
      <c r="AL1373" t="s">
        <v>30</v>
      </c>
      <c r="AM1373" t="s">
        <v>1367</v>
      </c>
      <c r="AN1373" t="s">
        <v>31</v>
      </c>
    </row>
    <row r="1374" spans="1:40" hidden="1" outlineLevel="1" x14ac:dyDescent="0.25">
      <c r="A1374" s="71">
        <v>39</v>
      </c>
      <c r="B1374" s="34" t="str">
        <f t="shared" ca="1" si="313"/>
        <v>Robinie</v>
      </c>
      <c r="C1374" s="34">
        <f t="shared" ca="1" si="314"/>
        <v>0.7</v>
      </c>
      <c r="D1374" s="118" t="s">
        <v>1887</v>
      </c>
      <c r="E1374" s="34" t="s">
        <v>1916</v>
      </c>
      <c r="F1374" s="34" t="s">
        <v>1916</v>
      </c>
      <c r="G1374" s="170">
        <f ca="1">IF(Q1368="","",K1361)</f>
        <v>1</v>
      </c>
      <c r="H1374" s="182">
        <f ca="1">IFERROR(VLOOKUP(Q1368,$G$10:$P$33,7,FALSE),"")</f>
        <v>0</v>
      </c>
      <c r="I1374" s="227">
        <f ca="1">IFERROR(VLOOKUP(Q1368,$G$10:$P$33,8,FALSE),"")</f>
        <v>3</v>
      </c>
      <c r="J1374" s="227">
        <f ca="1">IFERROR(VLOOKUP(Q1368,$G$10:$P$33,9,FALSE),"")</f>
        <v>9.5</v>
      </c>
      <c r="K1374" s="118">
        <f ca="1">IFERROR(VLOOKUP(Q1368,$G$10:$P$33,10,FALSE),"")</f>
        <v>19</v>
      </c>
      <c r="M1374" s="604" t="str">
        <f ca="1">IF(N1374&lt;&gt;$N$1373,N1374,"")</f>
        <v/>
      </c>
      <c r="N1374" s="605" t="str">
        <f ca="1">IFERROR(OFFSET(rand!$P$3,0,Q1368),"")</f>
        <v>Türstärke</v>
      </c>
      <c r="P1374" s="604" t="str">
        <f ca="1">IF(Q1374&lt;&gt;$Q$1373,Q1374,"")</f>
        <v/>
      </c>
      <c r="Q1374" s="605" t="str">
        <f ca="1">IFERROR(OFFSET(rand!$P$37,0,Q1368),"")</f>
        <v>Türauflage</v>
      </c>
      <c r="S1374" s="8"/>
      <c r="T1374" s="8"/>
      <c r="V1374" s="555" t="str">
        <f ca="1">DGET(Scharniere[[#Headers],[#Data],[Scharnierart]:[ArtikelNR]],Scharniere[[#Headers],[Bezeichnung 1]],select!AD1373:AN1374)</f>
        <v>Tiomos Scharnier TS Click-on</v>
      </c>
      <c r="W1374" s="555" t="str">
        <f ca="1">DGET(Scharniere[[#Headers],[#Data],[Scharnierart]:[ArtikelNR]],Scharniere[[#Headers],[Bezeichnung 2]],select!AD1373:AN1374)</f>
        <v>110°, G-BB, K00, ni</v>
      </c>
      <c r="X1374" s="555" t="str">
        <f ca="1">DGET(Scharniere[[#Headers],[#Data],[Scharnierart]:[ArtikelNR]],Scharniere[[#Headers],[Bezeichnung TGr]],select!AD1373:AN1374)</f>
        <v>Tiomos Click-On Scharniere</v>
      </c>
      <c r="Y1374" s="555" t="str">
        <f ca="1">DGET(Scharniere[[#Headers],[#Data],[Scharnierart]:[ArtikelNR]],Scharniere[[#Headers],[ArtikelNR]],select!AD1373:AN1374)</f>
        <v>F028138337</v>
      </c>
      <c r="Z1374" s="389" t="str">
        <f ca="1">LEFT(Y1374,4)</f>
        <v>F028</v>
      </c>
      <c r="AA1374" s="389" t="str">
        <f ca="1">MID(Y1374,5,3)</f>
        <v>138</v>
      </c>
      <c r="AB1374" s="389" t="str">
        <f ca="1">RIGHT(Y1374,3)</f>
        <v>337</v>
      </c>
      <c r="AD1374" s="556">
        <f ca="1">O1368</f>
        <v>1</v>
      </c>
      <c r="AE1374" s="556">
        <f ca="1">P1368</f>
        <v>1</v>
      </c>
      <c r="AF1374" s="557">
        <f ca="1">T1368</f>
        <v>0</v>
      </c>
      <c r="AG1374" t="str">
        <f ca="1">V1387</f>
        <v>42/11</v>
      </c>
      <c r="AH1374">
        <f>IF(U1400=1,1,0)</f>
        <v>1</v>
      </c>
      <c r="AI1374">
        <f>IF(U1400=2,1,0)</f>
        <v>0</v>
      </c>
      <c r="AJ1374">
        <f>IF(U1400=3,1,0)</f>
        <v>0</v>
      </c>
      <c r="AK1374">
        <f>IF(U1408=1,1,0)</f>
        <v>1</v>
      </c>
      <c r="AL1374">
        <f>IF(U1408=2,1,0)</f>
        <v>0</v>
      </c>
      <c r="AM1374">
        <f>IF(U1408=3,1,0)</f>
        <v>0</v>
      </c>
      <c r="AN1374">
        <f>IF(U1408=4,1,0)</f>
        <v>0</v>
      </c>
    </row>
    <row r="1375" spans="1:40" hidden="1" outlineLevel="1" x14ac:dyDescent="0.25">
      <c r="A1375" s="71">
        <v>40</v>
      </c>
      <c r="B1375" s="34" t="str">
        <f t="shared" ca="1" si="313"/>
        <v>Spanplatte</v>
      </c>
      <c r="C1375" s="34">
        <f t="shared" ca="1" si="314"/>
        <v>0.65</v>
      </c>
      <c r="D1375" s="118" t="s">
        <v>1887</v>
      </c>
      <c r="E1375" s="34" t="s">
        <v>1916</v>
      </c>
      <c r="F1375" s="34" t="s">
        <v>1916</v>
      </c>
      <c r="G1375" s="170" t="str">
        <f ca="1">IF(Q1369="","",K1362)</f>
        <v/>
      </c>
      <c r="H1375" s="182" t="str">
        <f ca="1">IFERROR(VLOOKUP(Q1369,$G$10:$P$33,7,FALSE),"")</f>
        <v/>
      </c>
      <c r="I1375" s="227" t="str">
        <f ca="1">IFERROR(VLOOKUP(Q1369,$G$10:$P$33,8,FALSE),"")</f>
        <v/>
      </c>
      <c r="J1375" s="227" t="str">
        <f ca="1">IFERROR(VLOOKUP(Q1369,$G$10:$P$33,9,FALSE),"")</f>
        <v/>
      </c>
      <c r="K1375" s="118" t="str">
        <f ca="1">IFERROR(VLOOKUP(Q1369,$G$10:$P$33,10,FALSE),"")</f>
        <v/>
      </c>
      <c r="M1375" s="604" t="str">
        <f ca="1">IF(N1375&lt;&gt;$N$1373,N1375,"")</f>
        <v/>
      </c>
      <c r="N1375" s="605" t="str">
        <f ca="1">IFERROR(OFFSET(rand!$P$3,0,Q1369),"")</f>
        <v/>
      </c>
      <c r="P1375" s="604" t="str">
        <f ca="1">IF(Q1375&lt;&gt;$Q$1373,Q1375,"")</f>
        <v/>
      </c>
      <c r="Q1375" s="605" t="str">
        <f ca="1">IFERROR(OFFSET(rand!$P$37,0,Q1369),"")</f>
        <v/>
      </c>
      <c r="S1375" s="8"/>
      <c r="T1375" s="8"/>
      <c r="X1375" s="389"/>
      <c r="Y1375" s="389"/>
      <c r="Z1375" s="389"/>
      <c r="AA1375" s="389"/>
      <c r="AD1375" s="459" t="s">
        <v>1432</v>
      </c>
      <c r="AE1375" s="459" t="s">
        <v>1439</v>
      </c>
      <c r="AF1375" t="s">
        <v>5</v>
      </c>
      <c r="AG1375" t="s">
        <v>2</v>
      </c>
      <c r="AH1375" t="s">
        <v>57</v>
      </c>
      <c r="AI1375" t="s">
        <v>58</v>
      </c>
      <c r="AJ1375" t="s">
        <v>28</v>
      </c>
      <c r="AK1375" t="s">
        <v>29</v>
      </c>
      <c r="AL1375" t="s">
        <v>30</v>
      </c>
      <c r="AM1375" t="s">
        <v>1367</v>
      </c>
      <c r="AN1375" t="s">
        <v>31</v>
      </c>
    </row>
    <row r="1376" spans="1:40" hidden="1" outlineLevel="1" x14ac:dyDescent="0.25">
      <c r="A1376" s="71">
        <v>41</v>
      </c>
      <c r="B1376" s="34" t="str">
        <f t="shared" ca="1" si="313"/>
        <v>Tanne</v>
      </c>
      <c r="C1376" s="34">
        <f t="shared" ca="1" si="314"/>
        <v>0.41</v>
      </c>
      <c r="D1376" s="118" t="s">
        <v>1887</v>
      </c>
      <c r="E1376" s="34" t="s">
        <v>1916</v>
      </c>
      <c r="F1376" s="34" t="s">
        <v>1916</v>
      </c>
      <c r="G1376" s="170" t="str">
        <f ca="1">IF(Q1370="","",K1363)</f>
        <v/>
      </c>
      <c r="H1376" s="182" t="str">
        <f ca="1">IFERROR(VLOOKUP(Q1370,$G$10:$P$33,7,FALSE),"")</f>
        <v/>
      </c>
      <c r="I1376" s="227" t="str">
        <f ca="1">IFERROR(VLOOKUP(Q1370,$G$10:$P$33,8,FALSE),"")</f>
        <v/>
      </c>
      <c r="J1376" s="227" t="str">
        <f ca="1">IFERROR(VLOOKUP(Q1370,$G$10:$P$33,9,FALSE),"")</f>
        <v/>
      </c>
      <c r="K1376" s="118" t="str">
        <f ca="1">IFERROR(VLOOKUP(Q1370,$G$10:$P$33,10,FALSE),"")</f>
        <v/>
      </c>
      <c r="M1376" s="604" t="str">
        <f ca="1">IF(N1376&lt;&gt;$N$1373,N1376,"")</f>
        <v/>
      </c>
      <c r="N1376" s="605" t="str">
        <f ca="1">IFERROR(OFFSET(rand!$P$3,0,Q1370),"")</f>
        <v/>
      </c>
      <c r="P1376" s="604" t="str">
        <f ca="1">IF(Q1376&lt;&gt;$Q$1373,Q1376,"")</f>
        <v/>
      </c>
      <c r="Q1376" s="605" t="str">
        <f ca="1">IFERROR(OFFSET(rand!$P$37,0,Q1370),"")</f>
        <v/>
      </c>
      <c r="V1376" s="555" t="e">
        <f ca="1">DGET(Scharniere[[#Headers],[#Data],[Scharnierart]:[ArtikelNR]],Scharniere[[#Headers],[Bezeichnung 1]],select!AD1375:AN1376)</f>
        <v>#VALUE!</v>
      </c>
      <c r="W1376" s="555" t="e">
        <f ca="1">DGET(Scharniere[[#Headers],[#Data],[Scharnierart]:[ArtikelNR]],Scharniere[[#Headers],[Bezeichnung 2]],select!AD1375:AN1376)</f>
        <v>#VALUE!</v>
      </c>
      <c r="X1376" s="555" t="e">
        <f ca="1">DGET(Scharniere[[#Headers],[#Data],[Scharnierart]:[ArtikelNR]],Scharniere[[#Headers],[Bezeichnung TGr]],select!AD1375:AN1376)</f>
        <v>#VALUE!</v>
      </c>
      <c r="Y1376" s="555" t="e">
        <f ca="1">DGET(Scharniere[[#Headers],[#Data],[Scharnierart]:[ArtikelNR]],Scharniere[[#Headers],[ArtikelNR]],select!AD1375:AN1376)</f>
        <v>#VALUE!</v>
      </c>
      <c r="Z1376" s="459" t="e">
        <f ca="1">LEFT(Y1376,4)</f>
        <v>#VALUE!</v>
      </c>
      <c r="AA1376" s="459" t="e">
        <f ca="1">MID(Y1376,5,3)</f>
        <v>#VALUE!</v>
      </c>
      <c r="AB1376" s="459" t="e">
        <f ca="1">RIGHT(Y1376,3)</f>
        <v>#VALUE!</v>
      </c>
      <c r="AD1376" s="556" t="str">
        <f ca="1">O1369</f>
        <v/>
      </c>
      <c r="AE1376" s="556" t="str">
        <f ca="1">P1369</f>
        <v/>
      </c>
      <c r="AF1376" s="557" t="str">
        <f ca="1">T1369</f>
        <v/>
      </c>
      <c r="AG1376" t="str">
        <f ca="1">AG1374</f>
        <v>42/11</v>
      </c>
      <c r="AH1376">
        <f t="shared" ref="AH1376:AN1376" si="327">AH1374</f>
        <v>1</v>
      </c>
      <c r="AI1376">
        <f t="shared" si="327"/>
        <v>0</v>
      </c>
      <c r="AJ1376">
        <f t="shared" si="327"/>
        <v>0</v>
      </c>
      <c r="AK1376">
        <f t="shared" si="327"/>
        <v>1</v>
      </c>
      <c r="AL1376">
        <f t="shared" si="327"/>
        <v>0</v>
      </c>
      <c r="AM1376">
        <f t="shared" si="327"/>
        <v>0</v>
      </c>
      <c r="AN1376">
        <f t="shared" si="327"/>
        <v>0</v>
      </c>
    </row>
    <row r="1377" spans="1:40" hidden="1" outlineLevel="1" x14ac:dyDescent="0.25">
      <c r="A1377" s="71">
        <v>42</v>
      </c>
      <c r="B1377" s="34" t="str">
        <f t="shared" ca="1" si="313"/>
        <v>Teak</v>
      </c>
      <c r="C1377" s="34">
        <f t="shared" ca="1" si="314"/>
        <v>0.98</v>
      </c>
      <c r="D1377" s="118" t="s">
        <v>1887</v>
      </c>
      <c r="E1377" s="34" t="s">
        <v>1916</v>
      </c>
      <c r="F1377" s="34" t="s">
        <v>1916</v>
      </c>
      <c r="G1377" s="129">
        <f ca="1">IF(Q1371="","",K1364)</f>
        <v>1</v>
      </c>
      <c r="H1377" s="184">
        <f ca="1">IFERROR(VLOOKUP(Q1371,$G$10:$P$33,7,FALSE),"")</f>
        <v>14</v>
      </c>
      <c r="I1377" s="174" t="str">
        <f ca="1">IFERROR(VLOOKUP(Q1371,$G$10:$P$33,8,FALSE),"")</f>
        <v>-</v>
      </c>
      <c r="J1377" s="174" t="str">
        <f ca="1">IFERROR(VLOOKUP(Q1371,$G$10:$P$33,9,FALSE),"")</f>
        <v>-</v>
      </c>
      <c r="K1377" s="185" t="str">
        <f ca="1">IFERROR(VLOOKUP(Q1371,$G$10:$P$33,10,FALSE),"")</f>
        <v>-</v>
      </c>
      <c r="M1377" s="604" t="str">
        <f ca="1">IF(N1377&lt;&gt;$N$1373,N1377,"")</f>
        <v/>
      </c>
      <c r="N1377" s="608" t="str">
        <f ca="1">IFERROR(OFFSET(rand!$P$3,0,Q1371),"")</f>
        <v>Türstärke</v>
      </c>
      <c r="P1377" s="604" t="str">
        <f ca="1">IF(Q1377&lt;&gt;$Q$1373,Q1377,"")</f>
        <v/>
      </c>
      <c r="Q1377" s="608" t="str">
        <f ca="1">IFERROR(OFFSET(rand!$P$37,0,Q1371),"")</f>
        <v>Türauflage</v>
      </c>
      <c r="Y1377" s="389"/>
      <c r="Z1377" s="389"/>
      <c r="AA1377" s="389"/>
      <c r="AD1377" s="459" t="s">
        <v>1432</v>
      </c>
      <c r="AE1377" s="459" t="s">
        <v>1439</v>
      </c>
      <c r="AF1377" t="s">
        <v>5</v>
      </c>
      <c r="AG1377" t="s">
        <v>2</v>
      </c>
      <c r="AH1377" t="s">
        <v>57</v>
      </c>
      <c r="AI1377" t="s">
        <v>58</v>
      </c>
      <c r="AJ1377" t="s">
        <v>28</v>
      </c>
      <c r="AK1377" t="s">
        <v>29</v>
      </c>
      <c r="AL1377" t="s">
        <v>30</v>
      </c>
      <c r="AM1377" t="s">
        <v>1367</v>
      </c>
      <c r="AN1377" t="s">
        <v>31</v>
      </c>
    </row>
    <row r="1378" spans="1:40" hidden="1" outlineLevel="1" x14ac:dyDescent="0.25">
      <c r="A1378" s="71">
        <v>43</v>
      </c>
      <c r="B1378" s="34" t="str">
        <f t="shared" ca="1" si="313"/>
        <v>Ulme</v>
      </c>
      <c r="C1378" s="34">
        <f t="shared" ca="1" si="314"/>
        <v>0.82</v>
      </c>
      <c r="D1378" s="118" t="s">
        <v>1887</v>
      </c>
      <c r="E1378" s="34" t="s">
        <v>1916</v>
      </c>
      <c r="F1378" s="34" t="s">
        <v>1916</v>
      </c>
      <c r="M1378" s="606" t="str">
        <f ca="1">M1377&amp;M1376&amp;M1375&amp;M1374</f>
        <v/>
      </c>
      <c r="N1378" s="608" t="str">
        <f ca="1">IF(M1378="",N1373,M1378)</f>
        <v>Türstärke</v>
      </c>
      <c r="P1378" s="606" t="str">
        <f ca="1">P1377&amp;P1376&amp;P1375&amp;P1374</f>
        <v/>
      </c>
      <c r="Q1378" s="608" t="str">
        <f ca="1">IF(P1378="",Q1373,P1378)</f>
        <v>Türauflage</v>
      </c>
      <c r="V1378" s="555" t="e">
        <f ca="1">DGET(Scharniere[[#Headers],[#Data],[Scharnierart]:[ArtikelNR]],Scharniere[[#Headers],[Bezeichnung 1]],select!AD1377:AN1378)</f>
        <v>#VALUE!</v>
      </c>
      <c r="W1378" s="555" t="e">
        <f ca="1">DGET(Scharniere[[#Headers],[#Data],[Scharnierart]:[ArtikelNR]],Scharniere[[#Headers],[Bezeichnung 2]],select!AD1377:AN1378)</f>
        <v>#VALUE!</v>
      </c>
      <c r="X1378" s="555" t="e">
        <f ca="1">DGET(Scharniere[[#Headers],[#Data],[Scharnierart]:[ArtikelNR]],Scharniere[[#Headers],[Bezeichnung TGr]],select!AD1377:AN1378)</f>
        <v>#VALUE!</v>
      </c>
      <c r="Y1378" s="555" t="e">
        <f ca="1">DGET(Scharniere[[#Headers],[#Data],[Scharnierart]:[ArtikelNR]],Scharniere[[#Headers],[ArtikelNR]],select!AD1377:AN1378)</f>
        <v>#VALUE!</v>
      </c>
      <c r="Z1378" s="459" t="e">
        <f ca="1">LEFT(Y1378,4)</f>
        <v>#VALUE!</v>
      </c>
      <c r="AA1378" s="459" t="e">
        <f ca="1">MID(Y1378,5,3)</f>
        <v>#VALUE!</v>
      </c>
      <c r="AB1378" s="459" t="e">
        <f ca="1">RIGHT(Y1378,3)</f>
        <v>#VALUE!</v>
      </c>
      <c r="AD1378" s="556" t="str">
        <f ca="1">O1370</f>
        <v/>
      </c>
      <c r="AE1378" s="556" t="str">
        <f ca="1">P1370</f>
        <v/>
      </c>
      <c r="AF1378" s="557" t="str">
        <f ca="1">T1370</f>
        <v/>
      </c>
      <c r="AG1378" t="str">
        <f ca="1">AG1376</f>
        <v>42/11</v>
      </c>
      <c r="AH1378">
        <f t="shared" ref="AH1378:AN1378" si="328">AH1376</f>
        <v>1</v>
      </c>
      <c r="AI1378">
        <f t="shared" si="328"/>
        <v>0</v>
      </c>
      <c r="AJ1378">
        <f t="shared" si="328"/>
        <v>0</v>
      </c>
      <c r="AK1378">
        <f t="shared" si="328"/>
        <v>1</v>
      </c>
      <c r="AL1378">
        <f t="shared" si="328"/>
        <v>0</v>
      </c>
      <c r="AM1378">
        <f t="shared" si="328"/>
        <v>0</v>
      </c>
      <c r="AN1378">
        <f t="shared" si="328"/>
        <v>0</v>
      </c>
    </row>
    <row r="1379" spans="1:40" hidden="1" outlineLevel="1" x14ac:dyDescent="0.25">
      <c r="A1379" s="71">
        <v>44</v>
      </c>
      <c r="B1379" s="34" t="str">
        <f t="shared" ca="1" si="313"/>
        <v>Walnuss</v>
      </c>
      <c r="C1379" s="34">
        <f t="shared" ca="1" si="314"/>
        <v>0.83</v>
      </c>
      <c r="D1379" s="118" t="s">
        <v>1887</v>
      </c>
      <c r="E1379" s="34" t="s">
        <v>1916</v>
      </c>
      <c r="F1379" s="34" t="s">
        <v>1916</v>
      </c>
      <c r="K1379" t="s">
        <v>2144</v>
      </c>
      <c r="Y1379" s="389"/>
      <c r="Z1379" s="389"/>
      <c r="AA1379" s="389"/>
      <c r="AD1379" s="459" t="s">
        <v>1432</v>
      </c>
      <c r="AE1379" s="459" t="s">
        <v>1439</v>
      </c>
      <c r="AF1379" t="s">
        <v>5</v>
      </c>
      <c r="AG1379" t="s">
        <v>2</v>
      </c>
      <c r="AH1379" t="s">
        <v>57</v>
      </c>
      <c r="AI1379" t="s">
        <v>58</v>
      </c>
      <c r="AJ1379" t="s">
        <v>28</v>
      </c>
      <c r="AK1379" t="s">
        <v>29</v>
      </c>
      <c r="AL1379" t="s">
        <v>30</v>
      </c>
      <c r="AM1379" t="s">
        <v>1367</v>
      </c>
      <c r="AN1379" t="s">
        <v>31</v>
      </c>
    </row>
    <row r="1380" spans="1:40" hidden="1" outlineLevel="1" x14ac:dyDescent="0.25">
      <c r="A1380" s="71">
        <v>45</v>
      </c>
      <c r="B1380" s="34" t="str">
        <f t="shared" ca="1" si="313"/>
        <v>Weide</v>
      </c>
      <c r="C1380" s="34">
        <f t="shared" ca="1" si="314"/>
        <v>0.6</v>
      </c>
      <c r="D1380" s="118" t="s">
        <v>1887</v>
      </c>
      <c r="E1380" s="34" t="s">
        <v>1916</v>
      </c>
      <c r="F1380" s="34" t="s">
        <v>1916</v>
      </c>
      <c r="H1380" t="s">
        <v>2139</v>
      </c>
      <c r="I1380" t="s">
        <v>2140</v>
      </c>
      <c r="J1380" t="s">
        <v>2141</v>
      </c>
      <c r="K1380" t="s">
        <v>2142</v>
      </c>
      <c r="L1380" t="s">
        <v>2143</v>
      </c>
      <c r="M1380" t="s">
        <v>2111</v>
      </c>
      <c r="N1380" t="s">
        <v>2112</v>
      </c>
      <c r="O1380" t="s">
        <v>2113</v>
      </c>
      <c r="P1380" t="s">
        <v>2114</v>
      </c>
      <c r="Q1380" t="s">
        <v>2115</v>
      </c>
      <c r="R1380" t="s">
        <v>2137</v>
      </c>
      <c r="V1380" s="555" t="e">
        <f ca="1">DGET(Scharniere[[#Headers],[#Data],[Scharnierart]:[ArtikelNR]],Scharniere[[#Headers],[Bezeichnung 1]],select!AD1379:AN1380)</f>
        <v>#VALUE!</v>
      </c>
      <c r="W1380" s="555" t="e">
        <f ca="1">DGET(Scharniere[[#Headers],[#Data],[Scharnierart]:[ArtikelNR]],Scharniere[[#Headers],[Bezeichnung 2]],select!AD1379:AN1380)</f>
        <v>#VALUE!</v>
      </c>
      <c r="X1380" s="555" t="e">
        <f ca="1">DGET(Scharniere[[#Headers],[#Data],[Scharnierart]:[ArtikelNR]],Scharniere[[#Headers],[Bezeichnung TGr]],select!AD1379:AN1380)</f>
        <v>#VALUE!</v>
      </c>
      <c r="Y1380" s="555" t="e">
        <f ca="1">DGET(Scharniere[[#Headers],[#Data],[Scharnierart]:[ArtikelNR]],Scharniere[[#Headers],[ArtikelNR]],select!AD1379:AN1380)</f>
        <v>#VALUE!</v>
      </c>
      <c r="Z1380" s="459" t="e">
        <f ca="1">LEFT(Y1380,4)</f>
        <v>#VALUE!</v>
      </c>
      <c r="AA1380" s="459" t="e">
        <f ca="1">MID(Y1380,5,3)</f>
        <v>#VALUE!</v>
      </c>
      <c r="AB1380" s="459" t="e">
        <f ca="1">RIGHT(Y1380,3)</f>
        <v>#VALUE!</v>
      </c>
      <c r="AD1380" s="556">
        <f ca="1">O1371</f>
        <v>3</v>
      </c>
      <c r="AE1380" s="556">
        <f ca="1">P1371</f>
        <v>4</v>
      </c>
      <c r="AF1380" s="557" t="str">
        <f ca="1">T1371</f>
        <v/>
      </c>
      <c r="AG1380" t="str">
        <f ca="1">AG1378</f>
        <v>42/11</v>
      </c>
      <c r="AH1380">
        <f t="shared" ref="AH1380:AN1380" si="329">AH1378</f>
        <v>1</v>
      </c>
      <c r="AI1380">
        <f t="shared" si="329"/>
        <v>0</v>
      </c>
      <c r="AJ1380">
        <f t="shared" si="329"/>
        <v>0</v>
      </c>
      <c r="AK1380">
        <f t="shared" si="329"/>
        <v>1</v>
      </c>
      <c r="AL1380">
        <f t="shared" si="329"/>
        <v>0</v>
      </c>
      <c r="AM1380">
        <f t="shared" si="329"/>
        <v>0</v>
      </c>
      <c r="AN1380">
        <f t="shared" si="329"/>
        <v>0</v>
      </c>
    </row>
    <row r="1381" spans="1:40" hidden="1" outlineLevel="1" x14ac:dyDescent="0.25">
      <c r="A1381" s="71">
        <v>46</v>
      </c>
      <c r="B1381" s="34" t="str">
        <f t="shared" ca="1" si="313"/>
        <v>Zeder</v>
      </c>
      <c r="C1381" s="34">
        <f t="shared" ca="1" si="314"/>
        <v>0.57999999999999996</v>
      </c>
      <c r="D1381" s="118" t="s">
        <v>1887</v>
      </c>
      <c r="E1381" s="373" t="s">
        <v>1916</v>
      </c>
      <c r="F1381" s="34" t="s">
        <v>1916</v>
      </c>
      <c r="G1381" s="1" t="s">
        <v>2106</v>
      </c>
      <c r="H1381" s="523">
        <f ca="1">IF(G1374=7,IF(CC1505=1,BL1505,""),IF(G1374=1,IF(U1505=1,C1505,""),""))</f>
        <v>14</v>
      </c>
      <c r="I1381" s="523" t="str">
        <f ca="1">IF(G1374=7,IF(CD1505=1,BM1505,""),IF(G1374=1,IF(V1505=1,D1505,""),""))</f>
        <v/>
      </c>
      <c r="J1381" s="523" t="str">
        <f ca="1">IF(G1374=7,IF(CE1505=1,BN1505,""),IF(G1374=1,IF(W1505=1,E1505,""),""))</f>
        <v/>
      </c>
      <c r="K1381" s="577" t="str">
        <f ca="1">IF(G1374=7,IF(CF1505=1,BO1505,""),IF(G1374=1,IF(X1505=1,F1505,""),""))</f>
        <v/>
      </c>
      <c r="L1381" s="578">
        <f ca="1">IF(K1381&lt;&gt;"",K1381,IF(J1381&lt;&gt;"",J1381,IF(I1381&lt;&gt;"",I1381,IF(H1381&lt;&gt;"",H1381,""))))</f>
        <v>14</v>
      </c>
      <c r="M1381" s="543" t="str">
        <f ca="1">IF(AT1505=1,AL1505,"")</f>
        <v/>
      </c>
      <c r="N1381" s="543" t="str">
        <f ca="1">C1572</f>
        <v/>
      </c>
      <c r="O1381" s="523" t="str">
        <f ca="1">IF(BG1505=1,AZ1505,"")</f>
        <v/>
      </c>
      <c r="P1381" s="523" t="str">
        <f ca="1">IF(C1618=1,C1619,"")</f>
        <v/>
      </c>
      <c r="Q1381" s="523" t="str">
        <f ca="1">IF($Q$1368=17,0,"")</f>
        <v/>
      </c>
      <c r="R1381" s="523">
        <f ca="1">L1381</f>
        <v>14</v>
      </c>
      <c r="AA1381" s="389"/>
    </row>
    <row r="1382" spans="1:40" hidden="1" outlineLevel="1" x14ac:dyDescent="0.25">
      <c r="A1382" s="92">
        <v>47</v>
      </c>
      <c r="B1382" s="6" t="str">
        <f t="shared" ca="1" si="313"/>
        <v>Zypresse</v>
      </c>
      <c r="C1382" s="6">
        <f t="shared" ca="1" si="314"/>
        <v>0.51</v>
      </c>
      <c r="D1382" s="185" t="s">
        <v>1887</v>
      </c>
      <c r="G1382" s="1" t="s">
        <v>2107</v>
      </c>
      <c r="H1382" s="523" t="str">
        <f ca="1">IF(G1375=7,IF(CG1505=1,BP1505,""),IF(G1375=1,IF(Y1505=1,G1505,""),""))</f>
        <v/>
      </c>
      <c r="I1382" s="523" t="str">
        <f ca="1">IF($G$1375=7,IF(CH1505=1,BQ1505,""),IF($G$1375=1,IF(Z1505=1,H1505,""),""))</f>
        <v/>
      </c>
      <c r="J1382" s="523" t="str">
        <f ca="1">IF($G$1375=7,IF(CI1505=1,BR1505,""),IF($G$1375=1,IF(AA1505=1,I1505,""),""))</f>
        <v/>
      </c>
      <c r="K1382" s="577" t="str">
        <f ca="1">IF($G$1375=7,IF(CJ1505=1,BS1505,""),IF($G$1375=1,IF(AB1505=1,J1505,""),""))</f>
        <v/>
      </c>
      <c r="L1382" s="578" t="str">
        <f ca="1">IF(K1382&lt;&gt;"",K1382,IF(J1382&lt;&gt;"",J1382,IF(I1382&lt;&gt;"",I1382,IF(H1382&lt;&gt;"",H1382,""))))</f>
        <v/>
      </c>
      <c r="M1382" s="543" t="str">
        <f ca="1">IF(AU1505=1,AN1505,"")</f>
        <v/>
      </c>
      <c r="N1382" s="543" t="str">
        <f ca="1">D1572</f>
        <v/>
      </c>
      <c r="O1382" s="523" t="str">
        <f ca="1">IF(BH1505=1,BB1505,"")</f>
        <v/>
      </c>
      <c r="P1382" s="523" t="str">
        <f ca="1">IF(D1618=1,D1619,"")</f>
        <v/>
      </c>
      <c r="Q1382" s="523" t="str">
        <f ca="1">IF(Q1369=17,0,"")</f>
        <v/>
      </c>
      <c r="R1382" s="523" t="str">
        <f ca="1">L1382</f>
        <v/>
      </c>
      <c r="X1382" s="389"/>
      <c r="Y1382" s="389"/>
      <c r="Z1382" s="389"/>
      <c r="AA1382" s="389"/>
    </row>
    <row r="1383" spans="1:40" hidden="1" outlineLevel="1" x14ac:dyDescent="0.25">
      <c r="G1383" s="1" t="s">
        <v>2108</v>
      </c>
      <c r="H1383" s="523" t="str">
        <f ca="1">IF(G1376=7,IF(CK1505=1,BT1505,""),IF(G1376=1,IF(AC1505=1,K1505,""),""))</f>
        <v/>
      </c>
      <c r="I1383" s="523" t="str">
        <f ca="1">IF(H1376=7,IF(CL1505=1,BU1505,""),IF(H1376=1,IF(AD1505=1,L1505,""),""))</f>
        <v/>
      </c>
      <c r="J1383" s="523" t="str">
        <f ca="1">IF(I1376=7,IF(CM1505=1,BV1505,""),IF(I1376=1,IF(AE1505=1,M1505,""),""))</f>
        <v/>
      </c>
      <c r="K1383" s="577" t="str">
        <f ca="1">IF(J1376=7,IF(CN1505=1,BW1505,""),IF(J1376=1,IF(AF1505=1,N1505,""),""))</f>
        <v/>
      </c>
      <c r="L1383" s="578" t="str">
        <f ca="1">IF(K1383&lt;&gt;"",K1383,IF(J1383&lt;&gt;"",J1383,IF(I1383&lt;&gt;"",I1383,IF(H1383&lt;&gt;"",H1383,""))))</f>
        <v/>
      </c>
      <c r="M1383" s="543" t="str">
        <f ca="1">IF(AV1505=1,AP1505,"")</f>
        <v/>
      </c>
      <c r="N1383" s="543" t="str">
        <f ca="1">E1572</f>
        <v/>
      </c>
      <c r="O1383" s="523" t="str">
        <f ca="1">IF(BI1505=1,BD1505,"")</f>
        <v/>
      </c>
      <c r="P1383" s="523" t="str">
        <f ca="1">IF(E1618=1,E1619,"")</f>
        <v/>
      </c>
      <c r="Q1383" s="523" t="str">
        <f ca="1">IF(Q1370=17,0,"")</f>
        <v/>
      </c>
      <c r="R1383" s="523" t="str">
        <f ca="1">L1383</f>
        <v/>
      </c>
      <c r="X1383" s="389"/>
      <c r="Y1383" s="389"/>
      <c r="Z1383" s="389"/>
      <c r="AA1383" s="389"/>
    </row>
    <row r="1384" spans="1:40" hidden="1" outlineLevel="1" x14ac:dyDescent="0.25">
      <c r="G1384" s="1" t="s">
        <v>2109</v>
      </c>
      <c r="H1384" s="523">
        <f ca="1">IF(G1377=7,IF(CO1505=1,BX1505,""),IF(G1377=1,IF(AG1505=1,O1505,""),""))</f>
        <v>0</v>
      </c>
      <c r="I1384" s="523" t="str">
        <f ca="1">IF(H1377=7,IF(CP1505=1,BY1505,""),IF(H1377=1,IF(AH1505=1,P1505,""),""))</f>
        <v/>
      </c>
      <c r="J1384" s="523" t="str">
        <f ca="1">IF(I1377=7,IF(CQ1505=1,BZ1505,""),IF(I1377=1,IF(AI1505=1,Q1505,""),""))</f>
        <v/>
      </c>
      <c r="K1384" s="577" t="str">
        <f ca="1">IF(J1377=7,IF(CR1505=1,CA1505,""),IF(J1377=1,IF(AJ1505=1,R1505,""),""))</f>
        <v/>
      </c>
      <c r="L1384" s="578">
        <f ca="1">IF(K1384&lt;&gt;"",K1384,IF(J1384&lt;&gt;"",J1384,IF(I1384&lt;&gt;"",I1384,IF(H1384&lt;&gt;"",H1384,""))))</f>
        <v>0</v>
      </c>
      <c r="M1384" s="543" t="str">
        <f ca="1">IF(AW1505=1,AR1505,"")</f>
        <v/>
      </c>
      <c r="N1384" s="543" t="str">
        <f ca="1">F1572</f>
        <v/>
      </c>
      <c r="O1384" s="523" t="str">
        <f ca="1">IF(BJ1505=1,BF1505,"")</f>
        <v/>
      </c>
      <c r="P1384" s="523" t="str">
        <f ca="1">IF(F1618=1,F1619,"")</f>
        <v/>
      </c>
      <c r="Q1384" s="523" t="str">
        <f ca="1">IF(Q1371=17,0,"")</f>
        <v/>
      </c>
      <c r="R1384" s="523">
        <f ca="1">L1384</f>
        <v>0</v>
      </c>
      <c r="X1384" s="389"/>
      <c r="Y1384" s="389"/>
      <c r="Z1384" s="389"/>
      <c r="AA1384" s="389"/>
    </row>
    <row r="1385" spans="1:40" hidden="1" outlineLevel="1" x14ac:dyDescent="0.25">
      <c r="G1385" s="289" t="s">
        <v>5</v>
      </c>
      <c r="H1385">
        <v>0</v>
      </c>
      <c r="I1385">
        <v>3</v>
      </c>
      <c r="J1385">
        <v>9.5</v>
      </c>
      <c r="K1385">
        <v>19</v>
      </c>
      <c r="X1385" s="389"/>
      <c r="Y1385" s="389"/>
      <c r="Z1385" s="389"/>
      <c r="AA1385" s="389"/>
    </row>
    <row r="1386" spans="1:40" hidden="1" outlineLevel="1" x14ac:dyDescent="0.25">
      <c r="G1386" s="289"/>
      <c r="V1386" s="131" t="str">
        <f ca="1">IF(AND(AA1388&lt;&gt;7,AND(D1333="",L1335="",K1347="",V1387=$A$8,B1387="",O1387="")=TRUE)=TRUE,Sprache!A43,"")</f>
        <v/>
      </c>
      <c r="X1386" s="389"/>
      <c r="Y1386" s="389"/>
      <c r="Z1386" s="389"/>
      <c r="AA1386" s="389"/>
    </row>
    <row r="1387" spans="1:40" ht="15.75" hidden="1" outlineLevel="1" thickBot="1" x14ac:dyDescent="0.3">
      <c r="B1387" s="131" t="str">
        <f ca="1">IF(B1388=$A$8,Sprache!A49,IF(AND(D1333="",L1335="",K1347="",B1388=$A$8)=TRUE,Sprache!A41,""))</f>
        <v/>
      </c>
      <c r="I1387" s="131" t="str">
        <f ca="1">IF(I1388=$A$8,Sprache!A49,IF(L1389=0,Sprache!A56&amp;" "&amp;Sprache!A147,IF(OR(I1389=0,AND(D1333="",L1335="",K1347="",OR(I1388=$A$8,I1388="")=TRUE,O1387="",B1387="")=TRUE)=TRUE,Sprache!A42,"")))</f>
        <v/>
      </c>
      <c r="O1387" s="131" t="str">
        <f ca="1">IF(O1388=$A$8,Sprache!A49,IF(Q1389=0,Sprache!A56&amp;" "&amp;Sprache!A147,IF(OR(O1389=0,AND(D1333="",L1335="",K1347="",O1388=$A$8,B1387="")=TRUE)=TRUE,Sprache!A40,"")))</f>
        <v/>
      </c>
      <c r="U1387" s="434" t="s">
        <v>2</v>
      </c>
      <c r="V1387" s="435" t="str">
        <f ca="1">IF(VLOOKUP(U1388,U1389:V1395,2,FALSE)=Sprache!A54,V1455,VLOOKUP(U1388,U1389:V1395,2,FALSE))</f>
        <v>42/11</v>
      </c>
      <c r="W1387" s="527">
        <f ca="1">VLOOKUP($U$1388,$U$1389:$Z$1395,3,FALSE)</f>
        <v>1</v>
      </c>
      <c r="X1387" s="528" t="str">
        <f ca="1">VLOOKUP($U$1388,$U$1389:$Z$1395,4,FALSE)</f>
        <v/>
      </c>
      <c r="Y1387" s="528" t="str">
        <f ca="1">VLOOKUP($U$1388,$U$1389:$Z$1395,5,FALSE)</f>
        <v/>
      </c>
      <c r="Z1387" s="529" t="str">
        <f ca="1">VLOOKUP($U$1388,$U$1389:$Z$1395,6,FALSE)</f>
        <v/>
      </c>
    </row>
    <row r="1388" spans="1:40" ht="15.75" hidden="1" outlineLevel="1" thickBot="1" x14ac:dyDescent="0.3">
      <c r="A1388" s="24" t="str">
        <f ca="1">N1378</f>
        <v>Türstärke</v>
      </c>
      <c r="B1388" s="393">
        <f ca="1">VLOOKUP(A1389,A1390:C1422,3,FALSE)</f>
        <v>16</v>
      </c>
      <c r="H1388" s="394" t="str">
        <f ca="1">Q1378</f>
        <v>Türauflage</v>
      </c>
      <c r="I1388" s="393">
        <f ca="1">VLOOKUP(H1389,H1390:J1446,3,FALSE)</f>
        <v>6</v>
      </c>
      <c r="N1388" s="394" t="str">
        <f ca="1">Q1365</f>
        <v>Topfabstand</v>
      </c>
      <c r="O1388" s="393">
        <f ca="1">VLOOKUP(N1389,N1390:P1417,3,FALSE)</f>
        <v>5</v>
      </c>
      <c r="U1388" s="288">
        <v>3</v>
      </c>
      <c r="V1388" s="55"/>
      <c r="W1388" t="s">
        <v>2106</v>
      </c>
      <c r="X1388" t="s">
        <v>2107</v>
      </c>
      <c r="Y1388" t="s">
        <v>2108</v>
      </c>
      <c r="Z1388" t="s">
        <v>2109</v>
      </c>
      <c r="AA1388" s="623">
        <f ca="1">COUNTBLANK(AA1389:AA1395)</f>
        <v>2</v>
      </c>
    </row>
    <row r="1389" spans="1:40" ht="15.75" hidden="1" outlineLevel="1" thickBot="1" x14ac:dyDescent="0.3">
      <c r="A1389" s="288">
        <v>21</v>
      </c>
      <c r="C1389" s="6"/>
      <c r="H1389" s="5">
        <v>39</v>
      </c>
      <c r="I1389">
        <f ca="1">IF(I1390="","",VLOOKUP(H1389,H1390:L1447,5,FALSE))</f>
        <v>1</v>
      </c>
      <c r="K1389" s="6"/>
      <c r="L1389">
        <f ca="1">SUM(L1390:L1447)</f>
        <v>28</v>
      </c>
      <c r="N1389" s="5">
        <v>21</v>
      </c>
      <c r="O1389">
        <f ca="1">VLOOKUP(N1389,N1390:Q1417,4,FALSE)</f>
        <v>1</v>
      </c>
      <c r="Q1389">
        <f ca="1">SUM(Q1390:Q1417)</f>
        <v>20</v>
      </c>
      <c r="U1389" s="71">
        <v>1</v>
      </c>
      <c r="V1389" s="55" t="str">
        <f ca="1">IF(U1455=1,Sprache!A54,$A$8)</f>
        <v>---------</v>
      </c>
      <c r="W1389" s="523" t="str">
        <f ca="1">IF(U1455=1,W1455,"")</f>
        <v/>
      </c>
      <c r="X1389" s="523" t="str">
        <f t="shared" ref="X1389:X1395" ca="1" si="330">IF(U1455=1,X1455,"")</f>
        <v/>
      </c>
      <c r="Y1389" s="523" t="str">
        <f t="shared" ref="Y1389:Y1395" ca="1" si="331">IF(U1455=1,Y1455,"")</f>
        <v/>
      </c>
      <c r="Z1389" s="629" t="str">
        <f t="shared" ref="Z1389:Z1395" ca="1" si="332">IF(U1455=1,Z1455,"")</f>
        <v/>
      </c>
      <c r="AA1389" s="170" t="str">
        <f ca="1">IF(V1389=$A$8,"",1)</f>
        <v/>
      </c>
    </row>
    <row r="1390" spans="1:40" hidden="1" outlineLevel="1" x14ac:dyDescent="0.25">
      <c r="A1390" s="71">
        <v>1</v>
      </c>
      <c r="B1390" s="565" t="str">
        <f t="shared" ref="B1390:B1422" ca="1" si="333">IF(C1390&lt;&gt;"",IF(D1390=1,$B$6&amp;" "&amp;TEXT(C1390,"0,0"),$B$5&amp;" "&amp;TEXT(C1390,"0,0")),"")&amp;IF(OR(C1390="---",C1390=$A$8,C1390="")=TRUE,""," mm")</f>
        <v xml:space="preserve">     ---------</v>
      </c>
      <c r="C1390" s="424" t="str">
        <f ca="1">rand!B4</f>
        <v>---------</v>
      </c>
      <c r="D1390" s="423">
        <f ca="1">B1576</f>
        <v>0</v>
      </c>
      <c r="H1390" s="395">
        <v>1</v>
      </c>
      <c r="I1390" s="565" t="str">
        <f ca="1">IF(J1390&lt;&gt;"",IF(L1390=1,$B$6&amp;" "&amp;TEXT(J1390,"0,0"),$B$5&amp;" "&amp;TEXT(J1390,"0,0")),"")&amp;IF(OR(J1390=Sprache!A54,J1390=$A$8,J1390="")=TRUE,""," mm")</f>
        <v>✓ ohne</v>
      </c>
      <c r="J1390" s="325" t="str">
        <f ca="1">IF(Konfig!$O$25&lt;&gt;"*",select!K1390,rand!B38)</f>
        <v>ohne</v>
      </c>
      <c r="K1390" s="549" t="str">
        <f t="array" aca="1" ref="K1390" ca="1">IFERROR(INDEX(rand!$C$38:$C$95,LARGE((rand!$P$38:$P$95=select!$L$178)*(ROW(rand!$P$38:$P$95)-rand!$C$37),COUNTIF(rand!$P$38:$P$95,1)+1-ROW(A1))),"")</f>
        <v>ohne</v>
      </c>
      <c r="L1390" s="429">
        <f ca="1">A1508</f>
        <v>1</v>
      </c>
      <c r="N1390" s="609">
        <v>1</v>
      </c>
      <c r="O1390" s="610" t="str">
        <f ca="1">IF(Q1390=1,$B$6,$B$5)&amp;" "&amp;IF(P1390=$A$8,$A$8,IF(P1390=Sprache!$A$54,Sprache!$A$54,IF(R1390="",P1390,R1390)&amp;IF(P1390&lt;&gt;""," mm","")))</f>
        <v xml:space="preserve">     ---------</v>
      </c>
      <c r="P1390" s="611" t="str">
        <f ca="1">rand!B98</f>
        <v>---------</v>
      </c>
      <c r="Q1390" s="610">
        <f ca="1">A1731</f>
        <v>0</v>
      </c>
      <c r="R1390" s="55" t="str">
        <f ca="1">IF(P1390=$A$8,P1390,IFERROR(P1390+$R$1361,"")&amp;$S$1361&amp;IFERROR($R$1362+P1390,"")&amp;$S$1362&amp;IFERROR(P1390+$R$1363,"")&amp;$S$1363&amp;IFERROR(P1390+$R$1364,""))</f>
        <v>---------</v>
      </c>
      <c r="U1390" s="71">
        <v>2</v>
      </c>
      <c r="V1390" s="55" t="str">
        <f t="shared" ref="V1390:V1395" ca="1" si="334">IF(U1456=1,V1456,$A$8)</f>
        <v>---------</v>
      </c>
      <c r="W1390" s="523" t="str">
        <f t="shared" ref="W1390:W1395" ca="1" si="335">IF(U1456=1,W1456,"")</f>
        <v/>
      </c>
      <c r="X1390" s="523" t="str">
        <f t="shared" ca="1" si="330"/>
        <v/>
      </c>
      <c r="Y1390" s="523" t="str">
        <f t="shared" ca="1" si="331"/>
        <v/>
      </c>
      <c r="Z1390" s="629" t="str">
        <f t="shared" ca="1" si="332"/>
        <v/>
      </c>
      <c r="AA1390" s="170" t="str">
        <f t="shared" ref="AA1390:AA1392" ca="1" si="336">IF(V1390=$A$8,"",1)</f>
        <v/>
      </c>
    </row>
    <row r="1391" spans="1:40" hidden="1" outlineLevel="1" x14ac:dyDescent="0.25">
      <c r="A1391" s="71">
        <v>2</v>
      </c>
      <c r="B1391" s="565" t="str">
        <f t="shared" ca="1" si="333"/>
        <v xml:space="preserve">     ---------</v>
      </c>
      <c r="C1391" s="424" t="str">
        <f ca="1">rand!B5</f>
        <v>---------</v>
      </c>
      <c r="D1391" s="425">
        <f t="shared" ref="D1391:D1422" ca="1" si="337">B1577</f>
        <v>0</v>
      </c>
      <c r="H1391" s="71">
        <v>2</v>
      </c>
      <c r="I1391" s="565" t="str">
        <f t="shared" ref="I1391:I1422" ca="1" si="338">IF(J1391&lt;&gt;"",IF(L1391=1,$B$6&amp;" "&amp;TEXT(J1391,"0,0"),$B$5&amp;" "&amp;TEXT(J1391,"0,0")),"")&amp;IF(OR(J1391="---",J1391=$A$8,J1391="")=TRUE,""," mm")</f>
        <v xml:space="preserve">     ---------</v>
      </c>
      <c r="J1391" s="325" t="str">
        <f ca="1">IF(Konfig!$O$25&lt;&gt;"*",select!K1391,rand!B39)</f>
        <v>---------</v>
      </c>
      <c r="K1391" s="549">
        <f t="array" aca="1" ref="K1391" ca="1">IFERROR(INDEX(rand!$C$38:$C$95,LARGE((rand!$P$38:$P$95=select!$L$178)*(ROW(rand!$P$38:$P$95)-rand!$C$37),COUNTIF(rand!$P$38:$P$95,1)+1-ROW(A2))),"")</f>
        <v>25</v>
      </c>
      <c r="L1391" s="118">
        <f t="shared" ref="L1391:L1446" ca="1" si="339">A1509</f>
        <v>0</v>
      </c>
      <c r="N1391" s="71">
        <v>2</v>
      </c>
      <c r="O1391" s="34" t="str">
        <f ca="1">IF(Q1391=1,$B$6,$B$5)&amp;" "&amp;IF(P1391=$A$8,$A$8,IF(P1391=Sprache!$A$54,Sprache!$A$54,IF(R1391="",P1391,R1391)&amp;IF(P1391&lt;&gt;""," mm","")))</f>
        <v>✓ 24 mm</v>
      </c>
      <c r="P1391" s="613">
        <f ca="1">rand!B99</f>
        <v>24</v>
      </c>
      <c r="Q1391" s="34">
        <f t="shared" ref="Q1391:Q1417" ca="1" si="340">A1732</f>
        <v>1</v>
      </c>
      <c r="R1391" s="55" t="str">
        <f t="shared" ref="R1391:R1417" ca="1" si="341">IF(P1391=$A$8,P1391,IFERROR(P1391+$R$1361,"")&amp;$S$1361&amp;IFERROR($R$1362+P1391,"")&amp;$S$1362&amp;IFERROR(P1391+$R$1363,"")&amp;$S$1363&amp;IFERROR(P1391+$R$1364,""))</f>
        <v/>
      </c>
      <c r="U1391" s="71">
        <v>3</v>
      </c>
      <c r="V1391" s="55" t="str">
        <f ca="1">IF(U1457=1,V1457,$A$8)</f>
        <v>42/11</v>
      </c>
      <c r="W1391" s="523">
        <f t="shared" ca="1" si="335"/>
        <v>1</v>
      </c>
      <c r="X1391" s="523" t="str">
        <f t="shared" ca="1" si="330"/>
        <v/>
      </c>
      <c r="Y1391" s="523" t="str">
        <f t="shared" ca="1" si="331"/>
        <v/>
      </c>
      <c r="Z1391" s="629" t="str">
        <f t="shared" ca="1" si="332"/>
        <v/>
      </c>
      <c r="AA1391" s="170">
        <f t="shared" ca="1" si="336"/>
        <v>1</v>
      </c>
    </row>
    <row r="1392" spans="1:40" hidden="1" outlineLevel="1" x14ac:dyDescent="0.25">
      <c r="A1392" s="71">
        <v>3</v>
      </c>
      <c r="B1392" s="565" t="str">
        <f t="shared" ca="1" si="333"/>
        <v xml:space="preserve">     ---------</v>
      </c>
      <c r="C1392" s="424" t="str">
        <f ca="1">rand!B6</f>
        <v>---------</v>
      </c>
      <c r="D1392" s="425">
        <f t="shared" ca="1" si="337"/>
        <v>0</v>
      </c>
      <c r="H1392" s="71">
        <v>3</v>
      </c>
      <c r="I1392" s="565" t="str">
        <f t="shared" ca="1" si="338"/>
        <v xml:space="preserve">     ---------</v>
      </c>
      <c r="J1392" s="325" t="str">
        <f ca="1">IF(Konfig!$O$25&lt;&gt;"*",select!K1392,rand!B40)</f>
        <v>---------</v>
      </c>
      <c r="K1392" s="549">
        <f t="array" aca="1" ref="K1392" ca="1">IFERROR(INDEX(rand!$C$38:$C$95,LARGE((rand!$P$38:$P$95=select!$L$178)*(ROW(rand!$P$38:$P$95)-rand!$C$37),COUNTIF(rand!$P$38:$P$95,1)+1-ROW(A3))),"")</f>
        <v>24</v>
      </c>
      <c r="L1392" s="118">
        <f t="shared" ca="1" si="339"/>
        <v>0</v>
      </c>
      <c r="N1392" s="71">
        <v>3</v>
      </c>
      <c r="O1392" s="34" t="str">
        <f ca="1">IF(Q1392=1,$B$6,$B$5)&amp;" "&amp;IF(P1392=$A$8,$A$8,IF(P1392=Sprache!$A$54,Sprache!$A$54,IF(R1392="",P1392,R1392)&amp;IF(P1392&lt;&gt;""," mm","")))</f>
        <v xml:space="preserve">     23 mm</v>
      </c>
      <c r="P1392" s="613">
        <f ca="1">rand!B100</f>
        <v>23</v>
      </c>
      <c r="Q1392" s="34">
        <f t="shared" ca="1" si="340"/>
        <v>0</v>
      </c>
      <c r="R1392" s="55" t="str">
        <f t="shared" ca="1" si="341"/>
        <v/>
      </c>
      <c r="U1392" s="71">
        <v>4</v>
      </c>
      <c r="V1392" s="55" t="str">
        <f t="shared" ca="1" si="334"/>
        <v>45/9,5</v>
      </c>
      <c r="W1392" s="523">
        <f t="shared" ca="1" si="335"/>
        <v>1</v>
      </c>
      <c r="X1392" s="523" t="str">
        <f t="shared" ca="1" si="330"/>
        <v/>
      </c>
      <c r="Y1392" s="523" t="str">
        <f t="shared" ca="1" si="331"/>
        <v/>
      </c>
      <c r="Z1392" s="629">
        <f t="shared" ca="1" si="332"/>
        <v>1</v>
      </c>
      <c r="AA1392" s="170">
        <f t="shared" ca="1" si="336"/>
        <v>1</v>
      </c>
    </row>
    <row r="1393" spans="1:27" hidden="1" outlineLevel="1" x14ac:dyDescent="0.25">
      <c r="A1393" s="71">
        <v>4</v>
      </c>
      <c r="B1393" s="565" t="str">
        <f t="shared" ca="1" si="333"/>
        <v xml:space="preserve">     ---------</v>
      </c>
      <c r="C1393" s="424" t="str">
        <f ca="1">rand!B7</f>
        <v>---------</v>
      </c>
      <c r="D1393" s="425">
        <f t="shared" ca="1" si="337"/>
        <v>0</v>
      </c>
      <c r="H1393" s="71">
        <v>4</v>
      </c>
      <c r="I1393" s="565" t="str">
        <f t="shared" ca="1" si="338"/>
        <v xml:space="preserve">     25,0 mm</v>
      </c>
      <c r="J1393" s="325">
        <f ca="1">IF(Konfig!$O$25&lt;&gt;"*",select!K1393,rand!B41)</f>
        <v>25</v>
      </c>
      <c r="K1393" s="549">
        <f t="array" aca="1" ref="K1393" ca="1">IFERROR(INDEX(rand!$C$38:$C$95,LARGE((rand!$P$38:$P$95=select!$L$178)*(ROW(rand!$P$38:$P$95)-rand!$C$37),COUNTIF(rand!$P$38:$P$95,1)+1-ROW(A4))),"")</f>
        <v>23</v>
      </c>
      <c r="L1393" s="118">
        <f t="shared" ca="1" si="339"/>
        <v>0</v>
      </c>
      <c r="N1393" s="71">
        <v>4</v>
      </c>
      <c r="O1393" s="34" t="str">
        <f ca="1">IF(Q1393=1,$B$6,$B$5)&amp;" "&amp;IF(P1393=$A$8,$A$8,IF(P1393=Sprache!$A$54,Sprache!$A$54,IF(R1393="",P1393,R1393)&amp;IF(P1393&lt;&gt;""," mm","")))</f>
        <v>✓ 22 mm</v>
      </c>
      <c r="P1393" s="613">
        <f ca="1">rand!B101</f>
        <v>22</v>
      </c>
      <c r="Q1393" s="34">
        <f t="shared" ca="1" si="340"/>
        <v>1</v>
      </c>
      <c r="R1393" s="55" t="str">
        <f t="shared" ca="1" si="341"/>
        <v/>
      </c>
      <c r="U1393" s="71">
        <v>5</v>
      </c>
      <c r="V1393" s="55" t="str">
        <f t="shared" ca="1" si="334"/>
        <v>48/6</v>
      </c>
      <c r="W1393" s="523">
        <f t="shared" ca="1" si="335"/>
        <v>1</v>
      </c>
      <c r="X1393" s="523" t="str">
        <f t="shared" ca="1" si="330"/>
        <v/>
      </c>
      <c r="Y1393" s="523" t="str">
        <f t="shared" ca="1" si="331"/>
        <v/>
      </c>
      <c r="Z1393" s="629">
        <f t="shared" ca="1" si="332"/>
        <v>1</v>
      </c>
      <c r="AA1393" s="170">
        <f ca="1">IF(V1393=$A$8,"",1)</f>
        <v>1</v>
      </c>
    </row>
    <row r="1394" spans="1:27" hidden="1" outlineLevel="1" x14ac:dyDescent="0.25">
      <c r="A1394" s="71">
        <v>5</v>
      </c>
      <c r="B1394" s="565" t="str">
        <f t="shared" ca="1" si="333"/>
        <v xml:space="preserve">     ---------</v>
      </c>
      <c r="C1394" s="424" t="str">
        <f ca="1">rand!B8</f>
        <v>---------</v>
      </c>
      <c r="D1394" s="425">
        <f t="shared" ca="1" si="337"/>
        <v>0</v>
      </c>
      <c r="H1394" s="71">
        <v>5</v>
      </c>
      <c r="I1394" s="565" t="str">
        <f t="shared" ca="1" si="338"/>
        <v xml:space="preserve">     24,0 mm</v>
      </c>
      <c r="J1394" s="325">
        <f ca="1">IF(Konfig!$O$25&lt;&gt;"*",select!K1394,rand!B42)</f>
        <v>24</v>
      </c>
      <c r="K1394" s="549">
        <f t="array" aca="1" ref="K1394" ca="1">IFERROR(INDEX(rand!$C$38:$C$95,LARGE((rand!$P$38:$P$95=select!$L$178)*(ROW(rand!$P$38:$P$95)-rand!$C$37),COUNTIF(rand!$P$38:$P$95,1)+1-ROW(A5))),"")</f>
        <v>22</v>
      </c>
      <c r="L1394" s="118">
        <f t="shared" ca="1" si="339"/>
        <v>0</v>
      </c>
      <c r="N1394" s="71">
        <v>5</v>
      </c>
      <c r="O1394" s="34" t="str">
        <f ca="1">IF(Q1394=1,$B$6,$B$5)&amp;" "&amp;IF(P1394=$A$8,$A$8,IF(P1394=Sprache!$A$54,Sprache!$A$54,IF(R1394="",P1394,R1394)&amp;IF(P1394&lt;&gt;""," mm","")))</f>
        <v xml:space="preserve">     21 mm</v>
      </c>
      <c r="P1394" s="613">
        <f ca="1">rand!B102</f>
        <v>21</v>
      </c>
      <c r="Q1394" s="34">
        <f t="shared" ca="1" si="340"/>
        <v>0</v>
      </c>
      <c r="R1394" s="55" t="str">
        <f t="shared" ca="1" si="341"/>
        <v/>
      </c>
      <c r="U1394" s="71">
        <v>6</v>
      </c>
      <c r="V1394" s="55" t="str">
        <f t="shared" ca="1" si="334"/>
        <v>48/9</v>
      </c>
      <c r="W1394" s="523">
        <f t="shared" ca="1" si="335"/>
        <v>1</v>
      </c>
      <c r="X1394" s="523" t="str">
        <f t="shared" ca="1" si="330"/>
        <v/>
      </c>
      <c r="Y1394" s="523" t="str">
        <f t="shared" ca="1" si="331"/>
        <v/>
      </c>
      <c r="Z1394" s="629">
        <f t="shared" ca="1" si="332"/>
        <v>1</v>
      </c>
      <c r="AA1394" s="170">
        <f ca="1">IF(V1394=$A$8,"",1)</f>
        <v>1</v>
      </c>
    </row>
    <row r="1395" spans="1:27" hidden="1" outlineLevel="1" x14ac:dyDescent="0.25">
      <c r="A1395" s="71">
        <v>6</v>
      </c>
      <c r="B1395" s="565" t="str">
        <f t="shared" ca="1" si="333"/>
        <v xml:space="preserve">     ---------</v>
      </c>
      <c r="C1395" s="424" t="str">
        <f ca="1">rand!B9</f>
        <v>---------</v>
      </c>
      <c r="D1395" s="425">
        <f t="shared" ca="1" si="337"/>
        <v>0</v>
      </c>
      <c r="H1395" s="71">
        <v>6</v>
      </c>
      <c r="I1395" s="565" t="str">
        <f t="shared" ca="1" si="338"/>
        <v xml:space="preserve">     23,0 mm</v>
      </c>
      <c r="J1395" s="325">
        <f ca="1">IF(Konfig!$O$25&lt;&gt;"*",select!K1395,rand!B43)</f>
        <v>23</v>
      </c>
      <c r="K1395" s="549">
        <f t="array" aca="1" ref="K1395" ca="1">IFERROR(INDEX(rand!$C$38:$C$95,LARGE((rand!$P$38:$P$95=select!$L$178)*(ROW(rand!$P$38:$P$95)-rand!$C$37),COUNTIF(rand!$P$38:$P$95,1)+1-ROW(A6))),"")</f>
        <v>21</v>
      </c>
      <c r="L1395" s="118">
        <f t="shared" ca="1" si="339"/>
        <v>0</v>
      </c>
      <c r="N1395" s="71">
        <v>6</v>
      </c>
      <c r="O1395" s="34" t="str">
        <f ca="1">IF(Q1395=1,$B$6,$B$5)&amp;" "&amp;IF(P1395=$A$8,$A$8,IF(P1395=Sprache!$A$54,Sprache!$A$54,IF(R1395="",P1395,R1395)&amp;IF(P1395&lt;&gt;""," mm","")))</f>
        <v>✓ 20 mm</v>
      </c>
      <c r="P1395" s="613">
        <f ca="1">rand!B103</f>
        <v>20</v>
      </c>
      <c r="Q1395" s="34">
        <f t="shared" ca="1" si="340"/>
        <v>1</v>
      </c>
      <c r="R1395" s="55" t="str">
        <f t="shared" ca="1" si="341"/>
        <v/>
      </c>
      <c r="U1395" s="124">
        <v>7</v>
      </c>
      <c r="V1395" s="56" t="str">
        <f t="shared" ca="1" si="334"/>
        <v>52/5,5</v>
      </c>
      <c r="W1395" s="523">
        <f t="shared" ca="1" si="335"/>
        <v>1</v>
      </c>
      <c r="X1395" s="523" t="str">
        <f t="shared" ca="1" si="330"/>
        <v/>
      </c>
      <c r="Y1395" s="523" t="str">
        <f t="shared" ca="1" si="331"/>
        <v/>
      </c>
      <c r="Z1395" s="629" t="str">
        <f t="shared" ca="1" si="332"/>
        <v/>
      </c>
      <c r="AA1395" s="129">
        <f ca="1">IF(V1395=$A$8,"",1)</f>
        <v>1</v>
      </c>
    </row>
    <row r="1396" spans="1:27" hidden="1" outlineLevel="1" x14ac:dyDescent="0.25">
      <c r="A1396" s="71">
        <v>7</v>
      </c>
      <c r="B1396" s="565" t="str">
        <f t="shared" ca="1" si="333"/>
        <v xml:space="preserve">     ---------</v>
      </c>
      <c r="C1396" s="424" t="str">
        <f ca="1">rand!B10</f>
        <v>---------</v>
      </c>
      <c r="D1396" s="425">
        <f t="shared" ca="1" si="337"/>
        <v>0</v>
      </c>
      <c r="H1396" s="71">
        <v>7</v>
      </c>
      <c r="I1396" s="565" t="str">
        <f t="shared" ca="1" si="338"/>
        <v>✓ 22,0 mm</v>
      </c>
      <c r="J1396" s="325">
        <f ca="1">IF(Konfig!$O$25&lt;&gt;"*",select!K1396,rand!B44)</f>
        <v>22</v>
      </c>
      <c r="K1396" s="549">
        <f t="array" aca="1" ref="K1396" ca="1">IFERROR(INDEX(rand!$C$38:$C$95,LARGE((rand!$P$38:$P$95=select!$L$178)*(ROW(rand!$P$38:$P$95)-rand!$C$37),COUNTIF(rand!$P$38:$P$95,1)+1-ROW(A7))),"")</f>
        <v>20</v>
      </c>
      <c r="L1396" s="118">
        <f t="shared" ca="1" si="339"/>
        <v>1</v>
      </c>
      <c r="N1396" s="71">
        <v>7</v>
      </c>
      <c r="O1396" s="34" t="str">
        <f ca="1">IF(Q1396=1,$B$6,$B$5)&amp;" "&amp;IF(P1396=$A$8,$A$8,IF(P1396=Sprache!$A$54,Sprache!$A$54,IF(R1396="",P1396,R1396)&amp;IF(P1396&lt;&gt;""," mm","")))</f>
        <v>✓ 19 mm</v>
      </c>
      <c r="P1396" s="613">
        <f ca="1">rand!B104</f>
        <v>19</v>
      </c>
      <c r="Q1396" s="34">
        <f t="shared" ca="1" si="340"/>
        <v>1</v>
      </c>
      <c r="R1396" s="55" t="str">
        <f t="shared" ca="1" si="341"/>
        <v/>
      </c>
      <c r="V1396" s="550" t="str">
        <f t="array" aca="1" ref="V1396" ca="1">IFERROR(INDEX($V$1455:$V$1461,LARGE(($U$1455:$U$1461=select!$L$178)*(ROW($U$1455:$U$1461)-$U$1454),COUNTIF($U$1455:$U$1461,1)+1-ROW(A7))),"")</f>
        <v/>
      </c>
      <c r="W1396" s="548" t="str">
        <f t="array" aca="1" ref="W1396" ca="1">IFERROR(INDEX($W$1455:$W$1461,LARGE(($U$1455:$U$1461=select!$L$178)*(ROW($U$1455:$U$1461)-$U$1454),COUNTIF($U$1455:$U$1461,1)+1-ROW(A7))),"")</f>
        <v/>
      </c>
      <c r="X1396" s="549" t="str">
        <f t="array" aca="1" ref="X1396" ca="1">IFERROR(INDEX($X$1455:$X$1461,LARGE(($U$1455:$U$1461=select!$L$178)*(ROW($U$1455:$U$1461)-$U$1454),COUNTIF($U$1455:$U$1461,1)+1-ROW(A7))),"")</f>
        <v/>
      </c>
      <c r="Y1396" s="549" t="str">
        <f t="array" aca="1" ref="Y1396" ca="1">IFERROR(INDEX($Y$1455:$Y$1461,LARGE(($U$1455:$U$1461=select!$L$178)*(ROW($U$1455:$U$1461)-$U$1454),COUNTIF($U$1455:$U$1461,1)+1-ROW(A7))),"")</f>
        <v/>
      </c>
      <c r="Z1396" s="550" t="str">
        <f t="array" aca="1" ref="Z1396" ca="1">IFERROR(INDEX($Z$1455:$Z$1461,LARGE(($U$1455:$U$1461=select!$L$178)*(ROW($U$1455:$U$1461)-$U$1454),COUNTIF($U$1455:$U$1461,1)+1-ROW(A7))),"")</f>
        <v/>
      </c>
    </row>
    <row r="1397" spans="1:27" hidden="1" outlineLevel="1" x14ac:dyDescent="0.25">
      <c r="A1397" s="71">
        <v>8</v>
      </c>
      <c r="B1397" s="565" t="str">
        <f t="shared" ca="1" si="333"/>
        <v xml:space="preserve">     ---------</v>
      </c>
      <c r="C1397" s="424" t="str">
        <f ca="1">rand!B11</f>
        <v>---------</v>
      </c>
      <c r="D1397" s="425">
        <f t="shared" ca="1" si="337"/>
        <v>0</v>
      </c>
      <c r="H1397" s="71">
        <v>8</v>
      </c>
      <c r="I1397" s="565" t="str">
        <f t="shared" ca="1" si="338"/>
        <v xml:space="preserve">     ---------</v>
      </c>
      <c r="J1397" s="325" t="str">
        <f ca="1">IF(Konfig!$O$25&lt;&gt;"*",select!K1397,rand!B45)</f>
        <v>---------</v>
      </c>
      <c r="K1397" s="549" t="str">
        <f t="array" aca="1" ref="K1397" ca="1">IFERROR(INDEX(rand!$C$38:$C$95,LARGE((rand!$P$38:$P$95=select!$L$178)*(ROW(rand!$P$38:$P$95)-rand!$C$37),COUNTIF(rand!$P$38:$P$95,1)+1-ROW(#REF!))),"")</f>
        <v/>
      </c>
      <c r="L1397" s="118">
        <f t="shared" ca="1" si="339"/>
        <v>0</v>
      </c>
      <c r="N1397" s="71">
        <v>8</v>
      </c>
      <c r="O1397" s="34" t="str">
        <f ca="1">IF(Q1397=1,$B$6,$B$5)&amp;" "&amp;IF(P1397=$A$8,$A$8,IF(P1397=Sprache!$A$54,Sprache!$A$54,IF(R1397="",P1397,R1397)&amp;IF(P1397&lt;&gt;""," mm","")))</f>
        <v>✓ 18 mm</v>
      </c>
      <c r="P1397" s="613">
        <f ca="1">rand!B105</f>
        <v>18</v>
      </c>
      <c r="Q1397" s="34">
        <f t="shared" ca="1" si="340"/>
        <v>1</v>
      </c>
      <c r="R1397" s="55" t="str">
        <f t="shared" ca="1" si="341"/>
        <v/>
      </c>
    </row>
    <row r="1398" spans="1:27" hidden="1" outlineLevel="1" x14ac:dyDescent="0.25">
      <c r="A1398" s="71">
        <v>9</v>
      </c>
      <c r="B1398" s="565" t="str">
        <f t="shared" ca="1" si="333"/>
        <v xml:space="preserve">     28,0 mm</v>
      </c>
      <c r="C1398" s="424">
        <f ca="1">rand!B12</f>
        <v>28</v>
      </c>
      <c r="D1398" s="425">
        <f t="shared" ca="1" si="337"/>
        <v>0</v>
      </c>
      <c r="H1398" s="71">
        <v>9</v>
      </c>
      <c r="I1398" s="565" t="str">
        <f t="shared" ca="1" si="338"/>
        <v xml:space="preserve">     21,0 mm</v>
      </c>
      <c r="J1398" s="325">
        <f ca="1">IF(Konfig!$O$25&lt;&gt;"*",select!K1398,rand!B46)</f>
        <v>21</v>
      </c>
      <c r="K1398" s="549">
        <f t="array" aca="1" ref="K1398" ca="1">IFERROR(INDEX(rand!$C$38:$C$95,LARGE((rand!$P$38:$P$95=select!$L$178)*(ROW(rand!$P$38:$P$95)-rand!$C$37),COUNTIF(rand!$P$38:$P$95,1)+1-ROW(A9))),"")</f>
        <v>18.5</v>
      </c>
      <c r="L1398" s="118">
        <f t="shared" ca="1" si="339"/>
        <v>0</v>
      </c>
      <c r="N1398" s="71">
        <v>9</v>
      </c>
      <c r="O1398" s="34" t="str">
        <f ca="1">IF(Q1398=1,$B$6,$B$5)&amp;" "&amp;IF(P1398=$A$8,$A$8,IF(P1398=Sprache!$A$54,Sprache!$A$54,IF(R1398="",P1398,R1398)&amp;IF(P1398&lt;&gt;""," mm","")))</f>
        <v>✓ 17 mm</v>
      </c>
      <c r="P1398" s="613">
        <f ca="1">rand!B106</f>
        <v>17</v>
      </c>
      <c r="Q1398" s="34">
        <f t="shared" ca="1" si="340"/>
        <v>1</v>
      </c>
      <c r="R1398" s="55" t="str">
        <f t="shared" ca="1" si="341"/>
        <v/>
      </c>
      <c r="V1398" s="131" t="str">
        <f ca="1">IF(AND(V1386="",D1333="",L1335="",K1347="",V1399=$A$8,I1387="",B1387="")=TRUE,Sprache!A44,"")</f>
        <v/>
      </c>
    </row>
    <row r="1399" spans="1:27" ht="15.75" hidden="1" outlineLevel="1" thickBot="1" x14ac:dyDescent="0.3">
      <c r="A1399" s="71">
        <v>10</v>
      </c>
      <c r="B1399" s="565" t="str">
        <f t="shared" ca="1" si="333"/>
        <v xml:space="preserve">     ---------</v>
      </c>
      <c r="C1399" s="424" t="str">
        <f ca="1">rand!B13</f>
        <v>---------</v>
      </c>
      <c r="D1399" s="425">
        <f t="shared" ca="1" si="337"/>
        <v>0</v>
      </c>
      <c r="H1399" s="71">
        <v>10</v>
      </c>
      <c r="I1399" s="565" t="str">
        <f t="shared" ca="1" si="338"/>
        <v xml:space="preserve">     ---------</v>
      </c>
      <c r="J1399" s="325" t="str">
        <f ca="1">IF(Konfig!$O$25&lt;&gt;"*",select!K1399,rand!B47)</f>
        <v>---------</v>
      </c>
      <c r="K1399" s="549">
        <f t="array" aca="1" ref="K1399" ca="1">IFERROR(INDEX(rand!$C$38:$C$95,LARGE((rand!$P$38:$P$95=select!$L$178)*(ROW(rand!$P$38:$P$95)-rand!$C$37),COUNTIF(rand!$P$38:$P$95,1)+1-ROW(A10))),"")</f>
        <v>18</v>
      </c>
      <c r="L1399" s="118">
        <f t="shared" ca="1" si="339"/>
        <v>0</v>
      </c>
      <c r="N1399" s="71">
        <v>10</v>
      </c>
      <c r="O1399" s="34" t="str">
        <f ca="1">IF(Q1399=1,$B$6,$B$5)&amp;" "&amp;IF(P1399=$A$8,$A$8,IF(P1399=Sprache!$A$54,Sprache!$A$54,IF(R1399="",P1399,R1399)&amp;IF(P1399&lt;&gt;""," mm","")))</f>
        <v>✓ 16 mm</v>
      </c>
      <c r="P1399" s="613">
        <f ca="1">rand!B107</f>
        <v>16</v>
      </c>
      <c r="Q1399" s="34">
        <f t="shared" ca="1" si="340"/>
        <v>1</v>
      </c>
      <c r="R1399" s="55" t="str">
        <f t="shared" ca="1" si="341"/>
        <v/>
      </c>
      <c r="U1399" s="24" t="s">
        <v>891</v>
      </c>
      <c r="V1399" s="435" t="str">
        <f ca="1">VLOOKUP(U1400,U1401:V1403,2,FALSE)</f>
        <v>mit Soft-close</v>
      </c>
      <c r="W1399" s="527">
        <f ca="1">VLOOKUP(U1400,U1401:Z1403,3,FALSE)</f>
        <v>1</v>
      </c>
      <c r="X1399" s="528" t="str">
        <f ca="1">VLOOKUP(U1400,U1401:Z1403,4,FALSE)</f>
        <v/>
      </c>
      <c r="Y1399" s="528" t="str">
        <f ca="1">VLOOKUP(U1400,U1401:Z1403,5,FALSE)</f>
        <v/>
      </c>
      <c r="Z1399" s="529">
        <f ca="1">VLOOKUP(U1400,U1401:Z1403,6,FALSE)</f>
        <v>1</v>
      </c>
    </row>
    <row r="1400" spans="1:27" ht="15.75" hidden="1" outlineLevel="1" thickBot="1" x14ac:dyDescent="0.3">
      <c r="A1400" s="71">
        <v>11</v>
      </c>
      <c r="B1400" s="565" t="str">
        <f t="shared" ca="1" si="333"/>
        <v xml:space="preserve">     26,0 mm</v>
      </c>
      <c r="C1400" s="424">
        <f ca="1">rand!B14</f>
        <v>26</v>
      </c>
      <c r="D1400" s="425">
        <f t="shared" ca="1" si="337"/>
        <v>0</v>
      </c>
      <c r="H1400" s="71">
        <v>11</v>
      </c>
      <c r="I1400" s="565" t="str">
        <f t="shared" ca="1" si="338"/>
        <v>✓ 20,0 mm</v>
      </c>
      <c r="J1400" s="325">
        <f ca="1">IF(Konfig!$O$25&lt;&gt;"*",select!K1400,rand!B48)</f>
        <v>20</v>
      </c>
      <c r="K1400" s="549">
        <f t="array" aca="1" ref="K1400" ca="1">IFERROR(INDEX(rand!$C$38:$C$95,LARGE((rand!$P$38:$P$95=select!$L$178)*(ROW(rand!$P$38:$P$95)-rand!$C$37),COUNTIF(rand!$P$38:$P$95,1)+1-ROW(A11))),"")</f>
        <v>17.5</v>
      </c>
      <c r="L1400" s="118">
        <f t="shared" ca="1" si="339"/>
        <v>1</v>
      </c>
      <c r="N1400" s="71">
        <v>11</v>
      </c>
      <c r="O1400" s="34" t="str">
        <f ca="1">IF(Q1400=1,$B$6,$B$5)&amp;" "&amp;IF(P1400=$A$8,$A$8,IF(P1400=Sprache!$A$54,Sprache!$A$54,IF(R1400="",P1400,R1400)&amp;IF(P1400&lt;&gt;""," mm","")))</f>
        <v>✓ 15 mm</v>
      </c>
      <c r="P1400" s="613">
        <f ca="1">rand!B108</f>
        <v>15</v>
      </c>
      <c r="Q1400" s="34">
        <f t="shared" ca="1" si="340"/>
        <v>1</v>
      </c>
      <c r="R1400" s="55" t="str">
        <f t="shared" ca="1" si="341"/>
        <v/>
      </c>
      <c r="U1400" s="436">
        <v>1</v>
      </c>
      <c r="V1400" s="55"/>
      <c r="W1400" t="s">
        <v>2106</v>
      </c>
      <c r="X1400" t="s">
        <v>2107</v>
      </c>
      <c r="Y1400" t="s">
        <v>2108</v>
      </c>
      <c r="Z1400" t="s">
        <v>2109</v>
      </c>
    </row>
    <row r="1401" spans="1:27" hidden="1" outlineLevel="1" x14ac:dyDescent="0.25">
      <c r="A1401" s="71">
        <v>12</v>
      </c>
      <c r="B1401" s="565" t="str">
        <f t="shared" ca="1" si="333"/>
        <v xml:space="preserve">     ---------</v>
      </c>
      <c r="C1401" s="424" t="str">
        <f ca="1">rand!B15</f>
        <v>---------</v>
      </c>
      <c r="D1401" s="425">
        <f t="shared" ca="1" si="337"/>
        <v>0</v>
      </c>
      <c r="H1401" s="71">
        <v>12</v>
      </c>
      <c r="I1401" s="565" t="str">
        <f t="shared" ca="1" si="338"/>
        <v xml:space="preserve">     ---------</v>
      </c>
      <c r="J1401" s="325" t="str">
        <f ca="1">IF(Konfig!$O$25&lt;&gt;"*",select!K1401,rand!B49)</f>
        <v>---------</v>
      </c>
      <c r="K1401" s="549">
        <f t="array" aca="1" ref="K1401" ca="1">IFERROR(INDEX(rand!$C$38:$C$95,LARGE((rand!$P$38:$P$95=select!$L$178)*(ROW(rand!$P$38:$P$95)-rand!$C$37),COUNTIF(rand!$P$38:$P$95,1)+1-ROW(A12))),"")</f>
        <v>17</v>
      </c>
      <c r="L1401" s="118">
        <f t="shared" ca="1" si="339"/>
        <v>0</v>
      </c>
      <c r="N1401" s="71">
        <v>12</v>
      </c>
      <c r="O1401" s="34" t="str">
        <f ca="1">IF(Q1401=1,$B$6,$B$5)&amp;" "&amp;IF(P1401=$A$8,$A$8,IF(P1401=Sprache!$A$54,Sprache!$A$54,IF(R1401="",P1401,R1401)&amp;IF(P1401&lt;&gt;""," mm","")))</f>
        <v>✓ 14 mm</v>
      </c>
      <c r="P1401" s="613">
        <f ca="1">rand!B109</f>
        <v>14</v>
      </c>
      <c r="Q1401" s="34">
        <f t="shared" ca="1" si="340"/>
        <v>1</v>
      </c>
      <c r="R1401" s="55" t="str">
        <f t="shared" ca="1" si="341"/>
        <v/>
      </c>
      <c r="U1401" s="198">
        <v>1</v>
      </c>
      <c r="V1401" s="350" t="str">
        <f ca="1">IF(U1420=1,V1420,$A$8)</f>
        <v>mit Soft-close</v>
      </c>
      <c r="W1401" s="524">
        <f ca="1">IF(U1420=1,W1420)</f>
        <v>1</v>
      </c>
      <c r="X1401" s="524" t="str">
        <f ca="1">IF(U1420=1,X1420)</f>
        <v/>
      </c>
      <c r="Y1401" s="524" t="str">
        <f ca="1">IF(U1420=1,Y1420)</f>
        <v/>
      </c>
      <c r="Z1401" s="534">
        <f ca="1">IF(U1420=1,Z1420)</f>
        <v>1</v>
      </c>
    </row>
    <row r="1402" spans="1:27" hidden="1" outlineLevel="1" x14ac:dyDescent="0.25">
      <c r="A1402" s="71">
        <v>13</v>
      </c>
      <c r="B1402" s="565" t="str">
        <f t="shared" ca="1" si="333"/>
        <v xml:space="preserve">     24,0 mm</v>
      </c>
      <c r="C1402" s="424">
        <f ca="1">rand!B16</f>
        <v>24</v>
      </c>
      <c r="D1402" s="425">
        <f t="shared" ca="1" si="337"/>
        <v>0</v>
      </c>
      <c r="H1402" s="71">
        <v>13</v>
      </c>
      <c r="I1402" s="565" t="str">
        <f t="shared" ca="1" si="338"/>
        <v>✓ 19,0 mm</v>
      </c>
      <c r="J1402" s="325">
        <f ca="1">IF(Konfig!$O$25&lt;&gt;"*",select!K1402,rand!B50)</f>
        <v>19</v>
      </c>
      <c r="K1402" s="549">
        <f t="array" aca="1" ref="K1402" ca="1">IFERROR(INDEX(rand!$C$38:$C$95,LARGE((rand!$P$38:$P$95=select!$L$178)*(ROW(rand!$P$38:$P$95)-rand!$C$37),COUNTIF(rand!$P$38:$P$95,1)+1-ROW(A13))),"")</f>
        <v>16.5</v>
      </c>
      <c r="L1402" s="118">
        <f t="shared" ca="1" si="339"/>
        <v>1</v>
      </c>
      <c r="N1402" s="71">
        <v>13</v>
      </c>
      <c r="O1402" s="34" t="str">
        <f ca="1">IF(Q1402=1,$B$6,$B$5)&amp;" "&amp;IF(P1402=$A$8,$A$8,IF(P1402=Sprache!$A$54,Sprache!$A$54,IF(R1402="",P1402,R1402)&amp;IF(P1402&lt;&gt;""," mm","")))</f>
        <v>✓ 13 mm</v>
      </c>
      <c r="P1402" s="613">
        <f ca="1">rand!B110</f>
        <v>13</v>
      </c>
      <c r="Q1402" s="34">
        <f t="shared" ca="1" si="340"/>
        <v>1</v>
      </c>
      <c r="R1402" s="55" t="str">
        <f t="shared" ca="1" si="341"/>
        <v/>
      </c>
      <c r="U1402" s="71">
        <v>2</v>
      </c>
      <c r="V1402" s="350" t="str">
        <f ca="1">IF(U1421=1,V1421,$A$8)</f>
        <v>ohne Soft-close</v>
      </c>
      <c r="W1402" s="524">
        <f ca="1">IF(U1421=1,W1421)</f>
        <v>1</v>
      </c>
      <c r="X1402" s="524" t="str">
        <f ca="1">IF(U1421=1,X1421)</f>
        <v/>
      </c>
      <c r="Y1402" s="524" t="str">
        <f ca="1">IF(U1421=1,Y1421)</f>
        <v/>
      </c>
      <c r="Z1402" s="534">
        <f ca="1">IF(U1421=1,Z1421)</f>
        <v>1</v>
      </c>
    </row>
    <row r="1403" spans="1:27" hidden="1" outlineLevel="1" x14ac:dyDescent="0.25">
      <c r="A1403" s="71">
        <v>14</v>
      </c>
      <c r="B1403" s="565" t="str">
        <f t="shared" ca="1" si="333"/>
        <v xml:space="preserve">     ---------</v>
      </c>
      <c r="C1403" s="424" t="str">
        <f ca="1">rand!B17</f>
        <v>---------</v>
      </c>
      <c r="D1403" s="425">
        <f t="shared" ca="1" si="337"/>
        <v>0</v>
      </c>
      <c r="H1403" s="71">
        <v>14</v>
      </c>
      <c r="I1403" s="565" t="str">
        <f t="shared" ca="1" si="338"/>
        <v xml:space="preserve">     18,5 mm</v>
      </c>
      <c r="J1403" s="325">
        <f ca="1">IF(Konfig!$O$25&lt;&gt;"*",select!K1403,rand!B51)</f>
        <v>18.5</v>
      </c>
      <c r="K1403" s="549">
        <f t="array" aca="1" ref="K1403" ca="1">IFERROR(INDEX(rand!$C$38:$C$95,LARGE((rand!$P$38:$P$95=select!$L$178)*(ROW(rand!$P$38:$P$95)-rand!$C$37),COUNTIF(rand!$P$38:$P$95,1)+1-ROW(A14))),"")</f>
        <v>16</v>
      </c>
      <c r="L1403" s="118">
        <f t="shared" ca="1" si="339"/>
        <v>0</v>
      </c>
      <c r="N1403" s="71">
        <v>14</v>
      </c>
      <c r="O1403" s="34" t="str">
        <f ca="1">IF(Q1403=1,$B$6,$B$5)&amp;" "&amp;IF(P1403=$A$8,$A$8,IF(P1403=Sprache!$A$54,Sprache!$A$54,IF(R1403="",P1403,R1403)&amp;IF(P1403&lt;&gt;""," mm","")))</f>
        <v>✓ 12 mm</v>
      </c>
      <c r="P1403" s="613">
        <f ca="1">rand!B111</f>
        <v>12</v>
      </c>
      <c r="Q1403" s="34">
        <f t="shared" ca="1" si="340"/>
        <v>1</v>
      </c>
      <c r="R1403" s="55" t="str">
        <f t="shared" ca="1" si="341"/>
        <v/>
      </c>
      <c r="U1403" s="71">
        <v>3</v>
      </c>
      <c r="V1403" s="350" t="str">
        <f ca="1">IF(U1422=1,V1422,$A$8)</f>
        <v>Tipmatic</v>
      </c>
      <c r="W1403" s="524">
        <f ca="1">IF(U1422=1,W1422)</f>
        <v>1</v>
      </c>
      <c r="X1403" s="524" t="str">
        <f ca="1">IF(U1422=1,X1422)</f>
        <v/>
      </c>
      <c r="Y1403" s="524" t="str">
        <f ca="1">IF(U1422=1,Y1422)</f>
        <v/>
      </c>
      <c r="Z1403" s="534">
        <f ca="1">IF(U1422=1,Z1422)</f>
        <v>1</v>
      </c>
    </row>
    <row r="1404" spans="1:27" hidden="1" outlineLevel="1" x14ac:dyDescent="0.25">
      <c r="A1404" s="71">
        <v>15</v>
      </c>
      <c r="B1404" s="565" t="str">
        <f t="shared" ca="1" si="333"/>
        <v xml:space="preserve">     22,0 mm</v>
      </c>
      <c r="C1404" s="424">
        <f ca="1">rand!B18</f>
        <v>22</v>
      </c>
      <c r="D1404" s="425">
        <f t="shared" ca="1" si="337"/>
        <v>0</v>
      </c>
      <c r="H1404" s="71">
        <v>15</v>
      </c>
      <c r="I1404" s="565" t="str">
        <f t="shared" ca="1" si="338"/>
        <v>✓ 18,0 mm</v>
      </c>
      <c r="J1404" s="325">
        <f ca="1">IF(Konfig!$O$25&lt;&gt;"*",select!K1404,rand!B52)</f>
        <v>18</v>
      </c>
      <c r="K1404" s="549">
        <f t="array" aca="1" ref="K1404" ca="1">IFERROR(INDEX(rand!$C$38:$C$95,LARGE((rand!$P$38:$P$95=select!$L$178)*(ROW(rand!$P$38:$P$95)-rand!$C$37),COUNTIF(rand!$P$38:$P$95,1)+1-ROW(A15))),"")</f>
        <v>15.5</v>
      </c>
      <c r="L1404" s="118">
        <f t="shared" ca="1" si="339"/>
        <v>1</v>
      </c>
      <c r="N1404" s="71">
        <v>15</v>
      </c>
      <c r="O1404" s="34" t="str">
        <f ca="1">IF(Q1404=1,$B$6,$B$5)&amp;" "&amp;IF(P1404=$A$8,$A$8,IF(P1404=Sprache!$A$54,Sprache!$A$54,IF(R1404="",P1404,R1404)&amp;IF(P1404&lt;&gt;""," mm","")))</f>
        <v>✓ 11 mm</v>
      </c>
      <c r="P1404" s="613">
        <f ca="1">rand!B112</f>
        <v>11</v>
      </c>
      <c r="Q1404" s="34">
        <f t="shared" ca="1" si="340"/>
        <v>1</v>
      </c>
      <c r="R1404" s="55" t="str">
        <f t="shared" ca="1" si="341"/>
        <v/>
      </c>
      <c r="U1404" s="399"/>
      <c r="V1404" s="547" t="str">
        <f ca="1">IFERROR(INDEX($V$1420:$V$1422,LARGE(($U$1420:$U$1422=select!$L$178)*(ROW($U$1420:$U$1422)-$U$1419),COUNTIF($U$1420:$U$1422,1)+1-ROW(A4))),"")</f>
        <v/>
      </c>
      <c r="W1404" s="548" t="str">
        <f t="array" aca="1" ref="W1404" ca="1">IFERROR(INDEX($W$1420:$W$1422,LARGE(($U$1420:$U$1422=select!$L$178)*(ROW($U$1420:$U$1422)-$U$1419),COUNTIF($U$1420:$U$1422,1)+1-ROW(A4))),"")</f>
        <v/>
      </c>
      <c r="X1404" s="549" t="str">
        <f t="array" aca="1" ref="X1404" ca="1">IFERROR(INDEX($X$1420:$X$1422,LARGE(($U$1420:$U$1422=select!$L$178)*(ROW($U$1420:$U$1422)-$U$1419),COUNTIF($U$1420:$U$1422,1)+1-ROW(A4))),"")</f>
        <v/>
      </c>
      <c r="Y1404" s="549" t="str">
        <f t="array" aca="1" ref="Y1404" ca="1">IFERROR(INDEX($Y$1420:$Y$1422,LARGE(($U$1420:$U$1422=select!$L$178)*(ROW($U$1420:$U$1422)-$U$1419),COUNTIF($U$1420:$U$1422,1)+1-ROW(A4))),"")</f>
        <v/>
      </c>
      <c r="Z1404" s="550" t="str">
        <f t="array" aca="1" ref="Z1404" ca="1">IFERROR(INDEX($Z$1420:$Z$1422,LARGE(($U$1420:$U$1422=select!$L$178)*(ROW($U$1420:$U$1422)-$U$1419),COUNTIF($U$1420:$U$1422,1)+1-ROW(A4))),"")</f>
        <v/>
      </c>
    </row>
    <row r="1405" spans="1:27" hidden="1" outlineLevel="1" x14ac:dyDescent="0.25">
      <c r="A1405" s="71">
        <v>16</v>
      </c>
      <c r="B1405" s="565" t="str">
        <f t="shared" ca="1" si="333"/>
        <v xml:space="preserve">     21,0 mm</v>
      </c>
      <c r="C1405" s="424">
        <f ca="1">rand!B19</f>
        <v>21</v>
      </c>
      <c r="D1405" s="425">
        <f t="shared" ca="1" si="337"/>
        <v>0</v>
      </c>
      <c r="H1405" s="71">
        <v>16</v>
      </c>
      <c r="I1405" s="565" t="str">
        <f t="shared" ca="1" si="338"/>
        <v xml:space="preserve">     17,5 mm</v>
      </c>
      <c r="J1405" s="325">
        <f ca="1">IF(Konfig!$O$25&lt;&gt;"*",select!K1405,rand!B53)</f>
        <v>17.5</v>
      </c>
      <c r="K1405" s="549">
        <f t="array" aca="1" ref="K1405" ca="1">IFERROR(INDEX(rand!$C$38:$C$95,LARGE((rand!$P$38:$P$95=select!$L$178)*(ROW(rand!$P$38:$P$95)-rand!$C$37),COUNTIF(rand!$P$38:$P$95,1)+1-ROW(A16))),"")</f>
        <v>15</v>
      </c>
      <c r="L1405" s="118">
        <f t="shared" ca="1" si="339"/>
        <v>0</v>
      </c>
      <c r="N1405" s="71">
        <v>16</v>
      </c>
      <c r="O1405" s="34" t="str">
        <f ca="1">IF(Q1405=1,$B$6,$B$5)&amp;" "&amp;IF(P1405=$A$8,$A$8,IF(P1405=Sprache!$A$54,Sprache!$A$54,IF(R1405="",P1405,R1405)&amp;IF(P1405&lt;&gt;""," mm","")))</f>
        <v>✓ 10 mm</v>
      </c>
      <c r="P1405" s="613">
        <f ca="1">rand!B113</f>
        <v>10</v>
      </c>
      <c r="Q1405" s="34">
        <f t="shared" ca="1" si="340"/>
        <v>1</v>
      </c>
      <c r="R1405" s="55" t="str">
        <f t="shared" ca="1" si="341"/>
        <v/>
      </c>
    </row>
    <row r="1406" spans="1:27" hidden="1" outlineLevel="1" x14ac:dyDescent="0.25">
      <c r="A1406" s="71">
        <v>17</v>
      </c>
      <c r="B1406" s="565" t="str">
        <f t="shared" ca="1" si="333"/>
        <v xml:space="preserve">     20,0 mm</v>
      </c>
      <c r="C1406" s="424">
        <f ca="1">rand!B20</f>
        <v>20</v>
      </c>
      <c r="D1406" s="425">
        <f t="shared" ca="1" si="337"/>
        <v>0</v>
      </c>
      <c r="H1406" s="71">
        <v>17</v>
      </c>
      <c r="I1406" s="565" t="str">
        <f t="shared" ca="1" si="338"/>
        <v>✓ 17,0 mm</v>
      </c>
      <c r="J1406" s="325">
        <f ca="1">IF(Konfig!$O$25&lt;&gt;"*",select!K1406,rand!B54)</f>
        <v>17</v>
      </c>
      <c r="K1406" s="549">
        <f t="array" aca="1" ref="K1406" ca="1">IFERROR(INDEX(rand!$C$38:$C$95,LARGE((rand!$P$38:$P$95=select!$L$178)*(ROW(rand!$P$38:$P$95)-rand!$C$37),COUNTIF(rand!$P$38:$P$95,1)+1-ROW(A17))),"")</f>
        <v>14.5</v>
      </c>
      <c r="L1406" s="118">
        <f t="shared" ca="1" si="339"/>
        <v>1</v>
      </c>
      <c r="N1406" s="71">
        <v>17</v>
      </c>
      <c r="O1406" s="34" t="str">
        <f ca="1">IF(Q1406=1,$B$6,$B$5)&amp;" "&amp;IF(P1406=$A$8,$A$8,IF(P1406=Sprache!$A$54,Sprache!$A$54,IF(R1406="",P1406,R1406)&amp;IF(P1406&lt;&gt;""," mm","")))</f>
        <v>✓ 9 mm</v>
      </c>
      <c r="P1406" s="613">
        <f ca="1">rand!B114</f>
        <v>9</v>
      </c>
      <c r="Q1406" s="34">
        <f t="shared" ca="1" si="340"/>
        <v>1</v>
      </c>
      <c r="R1406" s="55" t="str">
        <f t="shared" ca="1" si="341"/>
        <v/>
      </c>
      <c r="V1406" s="131" t="str">
        <f ca="1">IF(AND(V1386="",D1333="",L1335="",K1347="",V1407=$A$8,I1387="",B1387="",O1387="")=TRUE,Sprache!A45,"")</f>
        <v/>
      </c>
    </row>
    <row r="1407" spans="1:27" ht="15.75" hidden="1" outlineLevel="1" thickBot="1" x14ac:dyDescent="0.3">
      <c r="A1407" s="71">
        <v>18</v>
      </c>
      <c r="B1407" s="565" t="str">
        <f t="shared" ca="1" si="333"/>
        <v xml:space="preserve">     19,0 mm</v>
      </c>
      <c r="C1407" s="424">
        <f ca="1">rand!B21</f>
        <v>19</v>
      </c>
      <c r="D1407" s="425">
        <f t="shared" ca="1" si="337"/>
        <v>0</v>
      </c>
      <c r="H1407" s="71">
        <v>18</v>
      </c>
      <c r="I1407" s="565" t="str">
        <f t="shared" ca="1" si="338"/>
        <v>✓ 16,5 mm</v>
      </c>
      <c r="J1407" s="325">
        <f ca="1">IF(Konfig!$O$25&lt;&gt;"*",select!K1407,rand!B55)</f>
        <v>16.5</v>
      </c>
      <c r="K1407" s="549">
        <f t="array" aca="1" ref="K1407" ca="1">IFERROR(INDEX(rand!$C$38:$C$95,LARGE((rand!$P$38:$P$95=select!$L$178)*(ROW(rand!$P$38:$P$95)-rand!$C$37),COUNTIF(rand!$P$38:$P$95,1)+1-ROW(A18))),"")</f>
        <v>14</v>
      </c>
      <c r="L1407" s="118">
        <f t="shared" ca="1" si="339"/>
        <v>1</v>
      </c>
      <c r="N1407" s="71">
        <v>18</v>
      </c>
      <c r="O1407" s="34" t="str">
        <f ca="1">IF(Q1407=1,$B$6,$B$5)&amp;" "&amp;IF(P1407=$A$8,$A$8,IF(P1407=Sprache!$A$54,Sprache!$A$54,IF(R1407="",P1407,R1407)&amp;IF(P1407&lt;&gt;""," mm","")))</f>
        <v>✓ 8 mm</v>
      </c>
      <c r="P1407" s="613">
        <f ca="1">rand!B115</f>
        <v>8</v>
      </c>
      <c r="Q1407" s="34">
        <f t="shared" ca="1" si="340"/>
        <v>1</v>
      </c>
      <c r="R1407" s="55" t="str">
        <f t="shared" ca="1" si="341"/>
        <v/>
      </c>
      <c r="U1407" s="437" t="s">
        <v>13</v>
      </c>
      <c r="V1407" s="435" t="str">
        <f ca="1">VLOOKUP(U1408,U1409:V1412,2,FALSE)</f>
        <v>Click-on Anschrauben</v>
      </c>
      <c r="W1407" s="527">
        <f ca="1">VLOOKUP(U1408,U1409:Z1412,3,FALSE)</f>
        <v>1</v>
      </c>
      <c r="X1407" s="528" t="str">
        <f ca="1">VLOOKUP(U1408,U1409:Z1412,4,FALSE)</f>
        <v/>
      </c>
      <c r="Y1407" s="528" t="str">
        <f ca="1">VLOOKUP(U1408,U1409:Z1412,5,FALSE)</f>
        <v/>
      </c>
      <c r="Z1407" s="529">
        <f ca="1">VLOOKUP(U1408,U1409:Z1412,6,FALSE)</f>
        <v>1</v>
      </c>
    </row>
    <row r="1408" spans="1:27" ht="15.75" hidden="1" outlineLevel="1" thickBot="1" x14ac:dyDescent="0.3">
      <c r="A1408" s="71">
        <v>19</v>
      </c>
      <c r="B1408" s="565" t="str">
        <f t="shared" ca="1" si="333"/>
        <v xml:space="preserve">     18,0 mm</v>
      </c>
      <c r="C1408" s="424">
        <f ca="1">rand!B22</f>
        <v>18</v>
      </c>
      <c r="D1408" s="425">
        <f t="shared" ca="1" si="337"/>
        <v>0</v>
      </c>
      <c r="H1408" s="71">
        <v>19</v>
      </c>
      <c r="I1408" s="565" t="str">
        <f t="shared" ca="1" si="338"/>
        <v xml:space="preserve">     16,0 mm</v>
      </c>
      <c r="J1408" s="325">
        <f ca="1">IF(Konfig!$O$25&lt;&gt;"*",select!K1408,rand!B56)</f>
        <v>16</v>
      </c>
      <c r="K1408" s="549">
        <f t="array" aca="1" ref="K1408" ca="1">IFERROR(INDEX(rand!$C$38:$C$95,LARGE((rand!$P$38:$P$95=select!$L$178)*(ROW(rand!$P$38:$P$95)-rand!$C$37),COUNTIF(rand!$P$38:$P$95,1)+1-ROW(A19))),"")</f>
        <v>13.5</v>
      </c>
      <c r="L1408" s="118">
        <f t="shared" ca="1" si="339"/>
        <v>0</v>
      </c>
      <c r="N1408" s="71">
        <v>19</v>
      </c>
      <c r="O1408" s="34" t="str">
        <f ca="1">IF(Q1408=1,$B$6,$B$5)&amp;" "&amp;IF(P1408=$A$8,$A$8,IF(P1408=Sprache!$A$54,Sprache!$A$54,IF(R1408="",P1408,R1408)&amp;IF(P1408&lt;&gt;""," mm","")))</f>
        <v>✓ 7 mm</v>
      </c>
      <c r="P1408" s="613">
        <f ca="1">rand!B116</f>
        <v>7</v>
      </c>
      <c r="Q1408" s="34">
        <f t="shared" ca="1" si="340"/>
        <v>1</v>
      </c>
      <c r="R1408" s="55" t="str">
        <f t="shared" ca="1" si="341"/>
        <v/>
      </c>
      <c r="U1408" s="436">
        <v>1</v>
      </c>
      <c r="V1408" s="55"/>
      <c r="W1408" t="s">
        <v>2106</v>
      </c>
      <c r="X1408" t="s">
        <v>2107</v>
      </c>
      <c r="Y1408" t="s">
        <v>2108</v>
      </c>
      <c r="Z1408" t="s">
        <v>2109</v>
      </c>
    </row>
    <row r="1409" spans="1:65" hidden="1" outlineLevel="1" x14ac:dyDescent="0.25">
      <c r="A1409" s="71">
        <v>20</v>
      </c>
      <c r="B1409" s="565" t="str">
        <f t="shared" ca="1" si="333"/>
        <v xml:space="preserve">     17,0 mm</v>
      </c>
      <c r="C1409" s="424">
        <f ca="1">rand!B23</f>
        <v>17</v>
      </c>
      <c r="D1409" s="425">
        <f t="shared" ca="1" si="337"/>
        <v>0</v>
      </c>
      <c r="H1409" s="71">
        <v>20</v>
      </c>
      <c r="I1409" s="565" t="str">
        <f t="shared" ca="1" si="338"/>
        <v xml:space="preserve">     15,5 mm</v>
      </c>
      <c r="J1409" s="325">
        <f ca="1">IF(Konfig!$O$25&lt;&gt;"*",select!K1409,rand!B57)</f>
        <v>15.5</v>
      </c>
      <c r="K1409" s="549">
        <f t="array" aca="1" ref="K1409" ca="1">IFERROR(INDEX(rand!$C$38:$C$95,LARGE((rand!$P$38:$P$95=select!$L$178)*(ROW(rand!$P$38:$P$95)-rand!$C$37),COUNTIF(rand!$P$38:$P$95,1)+1-ROW(A20))),"")</f>
        <v>13</v>
      </c>
      <c r="L1409" s="118">
        <f t="shared" ca="1" si="339"/>
        <v>0</v>
      </c>
      <c r="N1409" s="71">
        <v>20</v>
      </c>
      <c r="O1409" s="34" t="str">
        <f ca="1">IF(Q1409=1,$B$6,$B$5)&amp;" "&amp;IF(P1409=$A$8,$A$8,IF(P1409=Sprache!$A$54,Sprache!$A$54,IF(R1409="",P1409,R1409)&amp;IF(P1409&lt;&gt;""," mm","")))</f>
        <v>✓ 6 mm</v>
      </c>
      <c r="P1409" s="613">
        <f ca="1">rand!B117</f>
        <v>6</v>
      </c>
      <c r="Q1409" s="34">
        <f t="shared" ca="1" si="340"/>
        <v>1</v>
      </c>
      <c r="R1409" s="55" t="str">
        <f t="shared" ca="1" si="341"/>
        <v/>
      </c>
      <c r="U1409" s="198">
        <v>1</v>
      </c>
      <c r="V1409" s="350" t="str">
        <f ca="1">IF(U1435=1,V1435,$A$8)</f>
        <v>Click-on Anschrauben</v>
      </c>
      <c r="W1409" s="543">
        <f ca="1">IF(U1435=1,W1435,"")</f>
        <v>1</v>
      </c>
      <c r="X1409" s="543" t="str">
        <f ca="1">IF(U1435=1,X1435,"")</f>
        <v/>
      </c>
      <c r="Y1409" s="543" t="str">
        <f ca="1">IF(U1435=1,Y1435,"")</f>
        <v/>
      </c>
      <c r="Z1409" s="543">
        <f ca="1">IF(U1435=1,Z1435,"")</f>
        <v>1</v>
      </c>
    </row>
    <row r="1410" spans="1:65" hidden="1" outlineLevel="1" x14ac:dyDescent="0.25">
      <c r="A1410" s="71">
        <v>21</v>
      </c>
      <c r="B1410" s="565" t="str">
        <f t="shared" ca="1" si="333"/>
        <v xml:space="preserve">     16,0 mm</v>
      </c>
      <c r="C1410" s="424">
        <f ca="1">rand!B24</f>
        <v>16</v>
      </c>
      <c r="D1410" s="425">
        <f t="shared" ca="1" si="337"/>
        <v>0</v>
      </c>
      <c r="H1410" s="71">
        <v>21</v>
      </c>
      <c r="I1410" s="565" t="str">
        <f t="shared" ca="1" si="338"/>
        <v>✓ 15,0 mm</v>
      </c>
      <c r="J1410" s="325">
        <f ca="1">IF(Konfig!$O$25&lt;&gt;"*",select!K1410,rand!B58)</f>
        <v>15</v>
      </c>
      <c r="K1410" s="549">
        <f t="array" aca="1" ref="K1410" ca="1">IFERROR(INDEX(rand!$C$38:$C$95,LARGE((rand!$P$38:$P$95=select!$L$178)*(ROW(rand!$P$38:$P$95)-rand!$C$37),COUNTIF(rand!$P$38:$P$95,1)+1-ROW(A21))),"")</f>
        <v>12.5</v>
      </c>
      <c r="L1410" s="118">
        <f t="shared" ca="1" si="339"/>
        <v>1</v>
      </c>
      <c r="N1410" s="71">
        <v>21</v>
      </c>
      <c r="O1410" s="34" t="str">
        <f ca="1">IF(Q1410=1,$B$6,$B$5)&amp;" "&amp;IF(P1410=$A$8,$A$8,IF(P1410=Sprache!$A$54,Sprache!$A$54,IF(R1410="",P1410,R1410)&amp;IF(P1410&lt;&gt;""," mm","")))</f>
        <v>✓ 5 mm</v>
      </c>
      <c r="P1410" s="613">
        <f ca="1">rand!B118</f>
        <v>5</v>
      </c>
      <c r="Q1410" s="34">
        <f t="shared" ca="1" si="340"/>
        <v>1</v>
      </c>
      <c r="R1410" s="55" t="str">
        <f t="shared" ca="1" si="341"/>
        <v/>
      </c>
      <c r="U1410" s="71">
        <v>2</v>
      </c>
      <c r="V1410" s="350" t="str">
        <f ca="1">IF(U1436=1,V1436,$A$8)</f>
        <v>Click-on Einpressen</v>
      </c>
      <c r="W1410" s="543">
        <f ca="1">IF(U1436=1,W1436,"")</f>
        <v>1</v>
      </c>
      <c r="X1410" s="543" t="str">
        <f ca="1">IF(U1436=1,X1436,"")</f>
        <v/>
      </c>
      <c r="Y1410" s="543" t="str">
        <f ca="1">IF(U1436=1,Y1436,"")</f>
        <v/>
      </c>
      <c r="Z1410" s="543" t="str">
        <f ca="1">IF(U1436=1,Z1436,"")</f>
        <v/>
      </c>
    </row>
    <row r="1411" spans="1:65" hidden="1" outlineLevel="1" x14ac:dyDescent="0.25">
      <c r="A1411" s="71">
        <v>22</v>
      </c>
      <c r="B1411" s="565" t="str">
        <f t="shared" ca="1" si="333"/>
        <v xml:space="preserve">     15,0 mm</v>
      </c>
      <c r="C1411" s="424">
        <f ca="1">rand!B25</f>
        <v>15</v>
      </c>
      <c r="D1411" s="425">
        <f t="shared" ca="1" si="337"/>
        <v>0</v>
      </c>
      <c r="H1411" s="71">
        <v>22</v>
      </c>
      <c r="I1411" s="565" t="str">
        <f t="shared" ca="1" si="338"/>
        <v xml:space="preserve">     14,5 mm</v>
      </c>
      <c r="J1411" s="325">
        <f ca="1">IF(Konfig!$O$25&lt;&gt;"*",select!K1411,rand!B59)</f>
        <v>14.5</v>
      </c>
      <c r="K1411" s="549">
        <f t="array" aca="1" ref="K1411" ca="1">IFERROR(INDEX(rand!$C$38:$C$95,LARGE((rand!$P$38:$P$95=select!$L$178)*(ROW(rand!$P$38:$P$95)-rand!$C$37),COUNTIF(rand!$P$38:$P$95,1)+1-ROW(A22))),"")</f>
        <v>12</v>
      </c>
      <c r="L1411" s="118">
        <f t="shared" ca="1" si="339"/>
        <v>0</v>
      </c>
      <c r="N1411" s="71">
        <v>22</v>
      </c>
      <c r="O1411" s="34" t="str">
        <f ca="1">IF(Q1411=1,$B$6,$B$5)&amp;" "&amp;IF(P1411=$A$8,$A$8,IF(P1411=Sprache!$A$54,Sprache!$A$54,IF(R1411="",P1411,R1411)&amp;IF(P1411&lt;&gt;""," mm","")))</f>
        <v>✓ 4 mm</v>
      </c>
      <c r="P1411" s="613">
        <f ca="1">rand!B119</f>
        <v>4</v>
      </c>
      <c r="Q1411" s="34">
        <f t="shared" ca="1" si="340"/>
        <v>1</v>
      </c>
      <c r="R1411" s="55" t="str">
        <f t="shared" ca="1" si="341"/>
        <v/>
      </c>
      <c r="U1411" s="71">
        <v>3</v>
      </c>
      <c r="V1411" s="350" t="str">
        <f ca="1">IF(U1437=1,V1437,$A$8)</f>
        <v>Click-on Quick</v>
      </c>
      <c r="W1411" s="543">
        <f ca="1">IF(U1437=1,W1437,"")</f>
        <v>1</v>
      </c>
      <c r="X1411" s="543" t="str">
        <f ca="1">IF(U1437=1,X1437,"")</f>
        <v/>
      </c>
      <c r="Y1411" s="543" t="str">
        <f ca="1">IF(U1437=1,Y1437,"")</f>
        <v/>
      </c>
      <c r="Z1411" s="543" t="str">
        <f ca="1">IF(U1437=1,Z1437,"")</f>
        <v/>
      </c>
    </row>
    <row r="1412" spans="1:65" hidden="1" outlineLevel="1" x14ac:dyDescent="0.25">
      <c r="A1412" s="71">
        <v>23</v>
      </c>
      <c r="B1412" s="565" t="str">
        <f t="shared" ca="1" si="333"/>
        <v xml:space="preserve">     14,0 mm</v>
      </c>
      <c r="C1412" s="424">
        <f ca="1">rand!B26</f>
        <v>14</v>
      </c>
      <c r="D1412" s="425">
        <f t="shared" ca="1" si="337"/>
        <v>0</v>
      </c>
      <c r="H1412" s="71">
        <v>23</v>
      </c>
      <c r="I1412" s="565" t="str">
        <f t="shared" ca="1" si="338"/>
        <v>✓ 14,0 mm</v>
      </c>
      <c r="J1412" s="325">
        <f ca="1">IF(Konfig!$O$25&lt;&gt;"*",select!K1412,rand!B60)</f>
        <v>14</v>
      </c>
      <c r="K1412" s="549">
        <f t="array" aca="1" ref="K1412" ca="1">IFERROR(INDEX(rand!$C$38:$C$95,LARGE((rand!$P$38:$P$95=select!$L$178)*(ROW(rand!$P$38:$P$95)-rand!$C$37),COUNTIF(rand!$P$38:$P$95,1)+1-ROW(A23))),"")</f>
        <v>11.5</v>
      </c>
      <c r="L1412" s="118">
        <f t="shared" ca="1" si="339"/>
        <v>1</v>
      </c>
      <c r="N1412" s="71">
        <v>23</v>
      </c>
      <c r="O1412" s="34" t="str">
        <f ca="1">IF(Q1412=1,$B$6,$B$5)&amp;" "&amp;IF(P1412=$A$8,$A$8,IF(P1412=Sprache!$A$54,Sprache!$A$54,IF(R1412="",P1412,R1412)&amp;IF(P1412&lt;&gt;""," mm","")))</f>
        <v xml:space="preserve">     ---------</v>
      </c>
      <c r="P1412" s="613" t="str">
        <f ca="1">rand!B120</f>
        <v>---------</v>
      </c>
      <c r="Q1412" s="34">
        <f t="shared" ca="1" si="340"/>
        <v>0</v>
      </c>
      <c r="R1412" s="55" t="str">
        <f t="shared" ca="1" si="341"/>
        <v>---------</v>
      </c>
      <c r="U1412" s="92">
        <v>4</v>
      </c>
      <c r="V1412" s="350" t="str">
        <f ca="1">IF(U1438=1,V1438,$A$8)</f>
        <v>Impresso</v>
      </c>
      <c r="W1412" s="543">
        <f ca="1">IF(U1438=1,W1438,"")</f>
        <v>1</v>
      </c>
      <c r="X1412" s="543" t="str">
        <f ca="1">IF(U1438=1,X1438,"")</f>
        <v/>
      </c>
      <c r="Y1412" s="543" t="str">
        <f ca="1">IF(U1438=1,Y1438,"")</f>
        <v/>
      </c>
      <c r="Z1412" s="543" t="str">
        <f ca="1">IF(U1438=1,Z1438,"")</f>
        <v/>
      </c>
    </row>
    <row r="1413" spans="1:65" hidden="1" outlineLevel="1" x14ac:dyDescent="0.25">
      <c r="A1413" s="71">
        <v>24</v>
      </c>
      <c r="B1413" s="565" t="str">
        <f t="shared" ca="1" si="333"/>
        <v xml:space="preserve">     13,0 mm</v>
      </c>
      <c r="C1413" s="424">
        <f ca="1">rand!B27</f>
        <v>13</v>
      </c>
      <c r="D1413" s="425">
        <f t="shared" ca="1" si="337"/>
        <v>0</v>
      </c>
      <c r="H1413" s="71">
        <v>24</v>
      </c>
      <c r="I1413" s="565" t="str">
        <f t="shared" ca="1" si="338"/>
        <v>✓ 13,5 mm</v>
      </c>
      <c r="J1413" s="325">
        <f ca="1">IF(Konfig!$O$25&lt;&gt;"*",select!K1413,rand!B61)</f>
        <v>13.5</v>
      </c>
      <c r="K1413" s="549">
        <f t="array" aca="1" ref="K1413" ca="1">IFERROR(INDEX(rand!$C$38:$C$95,LARGE((rand!$P$38:$P$95=select!$L$178)*(ROW(rand!$P$38:$P$95)-rand!$C$37),COUNTIF(rand!$P$38:$P$95,1)+1-ROW(A24))),"")</f>
        <v>11</v>
      </c>
      <c r="L1413" s="118">
        <f t="shared" ca="1" si="339"/>
        <v>1</v>
      </c>
      <c r="N1413" s="71">
        <v>24</v>
      </c>
      <c r="O1413" s="34" t="str">
        <f ca="1">IF(Q1413=1,$B$6,$B$5)&amp;" "&amp;IF(P1413=$A$8,$A$8,IF(P1413=Sprache!$A$54,Sprache!$A$54,IF(R1413="",P1413,R1413)&amp;IF(P1413&lt;&gt;""," mm","")))</f>
        <v>✓ 3 mm</v>
      </c>
      <c r="P1413" s="613">
        <f ca="1">rand!B121</f>
        <v>3</v>
      </c>
      <c r="Q1413" s="34">
        <f t="shared" ca="1" si="340"/>
        <v>1</v>
      </c>
      <c r="R1413" s="55" t="str">
        <f t="shared" ca="1" si="341"/>
        <v/>
      </c>
      <c r="V1413" s="550" t="str">
        <f t="array" aca="1" ref="V1413" ca="1">IFERROR(INDEX($V$1435:$V$1438,LARGE(($U$1435:$U$1438=select!$L$178)*(ROW($U$1435:$U$1438)-$U$1434),COUNTIF($U$1435:$U$1438,1)+1-ROW(A5))),"")</f>
        <v/>
      </c>
      <c r="W1413" s="548" t="str">
        <f t="array" aca="1" ref="W1413" ca="1">IFERROR(INDEX($W$1435:$W$1438,LARGE(($U$1435:$U$1438=select!$L$178)*(ROW($U$1435:$U$1438)-$U$1434),COUNTIF($U$1435:$U$1438,1)+1-ROW(A5))),"")</f>
        <v/>
      </c>
      <c r="X1413" s="549" t="str">
        <f t="array" aca="1" ref="X1413" ca="1">IFERROR(INDEX($X$1435:$X$1438,LARGE(($U$1435:$U$1438=select!$L$178)*(ROW($U$1435:$U$1438)-$U$1434),COUNTIF($U$1435:$U$1438,1)+1-ROW(A5))),"")</f>
        <v/>
      </c>
      <c r="Y1413" s="549" t="str">
        <f t="array" aca="1" ref="Y1413" ca="1">IFERROR(INDEX($Y$1435:$Y$1438,LARGE(($U$1435:$U$1438=select!$L$178)*(ROW($U$1435:$U$1438)-$U$1434),COUNTIF($U$1435:$U$1438,1)+1-ROW(A5))),"")</f>
        <v/>
      </c>
      <c r="Z1413" s="550" t="str">
        <f t="array" aca="1" ref="Z1413" ca="1">IFERROR(INDEX($Z$1435:$Z$1438,LARGE(($U$1435:$U$1438=select!$L$178)*(ROW($U$1435:$U$1438)-$U$1434),COUNTIF($U$1435:$U$1438,1)+1-ROW(A5))),"")</f>
        <v/>
      </c>
    </row>
    <row r="1414" spans="1:65" hidden="1" outlineLevel="1" x14ac:dyDescent="0.25">
      <c r="A1414" s="71">
        <v>25</v>
      </c>
      <c r="B1414" s="565" t="str">
        <f t="shared" ca="1" si="333"/>
        <v xml:space="preserve">     12,0 mm</v>
      </c>
      <c r="C1414" s="424">
        <f ca="1">rand!B28</f>
        <v>12</v>
      </c>
      <c r="D1414" s="425">
        <f t="shared" ca="1" si="337"/>
        <v>0</v>
      </c>
      <c r="H1414" s="71">
        <v>25</v>
      </c>
      <c r="I1414" s="565" t="str">
        <f t="shared" ca="1" si="338"/>
        <v xml:space="preserve">     13,0 mm</v>
      </c>
      <c r="J1414" s="325">
        <f ca="1">IF(Konfig!$O$25&lt;&gt;"*",select!K1414,rand!B62)</f>
        <v>13</v>
      </c>
      <c r="K1414" s="549">
        <f t="array" aca="1" ref="K1414" ca="1">IFERROR(INDEX(rand!$C$38:$C$95,LARGE((rand!$P$38:$P$95=select!$L$178)*(ROW(rand!$P$38:$P$95)-rand!$C$37),COUNTIF(rand!$P$38:$P$95,1)+1-ROW(A25))),"")</f>
        <v>10.5</v>
      </c>
      <c r="L1414" s="118">
        <f t="shared" ca="1" si="339"/>
        <v>0</v>
      </c>
      <c r="N1414" s="71">
        <v>25</v>
      </c>
      <c r="O1414" s="34" t="str">
        <f ca="1">IF(Q1414=1,$B$6,$B$5)&amp;" "&amp;IF(P1414=$A$8,$A$8,IF(P1414=Sprache!$A$54,Sprache!$A$54,IF(R1414="",P1414,R1414)&amp;IF(P1414&lt;&gt;""," mm","")))</f>
        <v xml:space="preserve">     ---------</v>
      </c>
      <c r="P1414" s="613" t="str">
        <f ca="1">rand!B122</f>
        <v>---------</v>
      </c>
      <c r="Q1414" s="34">
        <f t="shared" ca="1" si="340"/>
        <v>0</v>
      </c>
      <c r="R1414" s="55" t="str">
        <f t="shared" ca="1" si="341"/>
        <v>---------</v>
      </c>
    </row>
    <row r="1415" spans="1:65" hidden="1" outlineLevel="1" x14ac:dyDescent="0.25">
      <c r="A1415" s="71">
        <v>26</v>
      </c>
      <c r="B1415" s="565" t="str">
        <f t="shared" ca="1" si="333"/>
        <v xml:space="preserve">     ---------</v>
      </c>
      <c r="C1415" s="424" t="str">
        <f ca="1">rand!B29</f>
        <v>---------</v>
      </c>
      <c r="D1415" s="425">
        <f t="shared" ca="1" si="337"/>
        <v>0</v>
      </c>
      <c r="H1415" s="71">
        <v>26</v>
      </c>
      <c r="I1415" s="565" t="str">
        <f t="shared" ca="1" si="338"/>
        <v>✓ 12,5 mm</v>
      </c>
      <c r="J1415" s="325">
        <f ca="1">IF(Konfig!$O$25&lt;&gt;"*",select!K1415,rand!B63)</f>
        <v>12.5</v>
      </c>
      <c r="K1415" s="549">
        <f t="array" aca="1" ref="K1415" ca="1">IFERROR(INDEX(rand!$C$38:$C$95,LARGE((rand!$P$38:$P$95=select!$L$178)*(ROW(rand!$P$38:$P$95)-rand!$C$37),COUNTIF(rand!$P$38:$P$95,1)+1-ROW(A26))),"")</f>
        <v>10</v>
      </c>
      <c r="L1415" s="118">
        <f t="shared" ca="1" si="339"/>
        <v>1</v>
      </c>
      <c r="N1415" s="71">
        <v>26</v>
      </c>
      <c r="O1415" s="34" t="str">
        <f ca="1">IF(Q1415=1,$B$6,$B$5)&amp;" "&amp;IF(P1415=$A$8,$A$8,IF(P1415=Sprache!$A$54,Sprache!$A$54,IF(R1415="",P1415,R1415)&amp;IF(P1415&lt;&gt;""," mm","")))</f>
        <v xml:space="preserve">     ---------</v>
      </c>
      <c r="P1415" s="613" t="str">
        <f ca="1">rand!B123</f>
        <v>---------</v>
      </c>
      <c r="Q1415" s="34">
        <f t="shared" ca="1" si="340"/>
        <v>0</v>
      </c>
      <c r="R1415" s="55" t="str">
        <f t="shared" ca="1" si="341"/>
        <v>---------</v>
      </c>
    </row>
    <row r="1416" spans="1:65" hidden="1" outlineLevel="1" x14ac:dyDescent="0.25">
      <c r="A1416" s="71">
        <v>27</v>
      </c>
      <c r="B1416" s="565" t="str">
        <f t="shared" ca="1" si="333"/>
        <v xml:space="preserve">     ---------</v>
      </c>
      <c r="C1416" s="424" t="str">
        <f ca="1">rand!B30</f>
        <v>---------</v>
      </c>
      <c r="D1416" s="425">
        <f t="shared" ca="1" si="337"/>
        <v>0</v>
      </c>
      <c r="H1416" s="71">
        <v>27</v>
      </c>
      <c r="I1416" s="565" t="str">
        <f t="shared" ca="1" si="338"/>
        <v>✓ 12,0 mm</v>
      </c>
      <c r="J1416" s="325">
        <f ca="1">IF(Konfig!$O$25&lt;&gt;"*",select!K1416,rand!B64)</f>
        <v>12</v>
      </c>
      <c r="K1416" s="549">
        <f t="array" aca="1" ref="K1416" ca="1">IFERROR(INDEX(rand!$C$38:$C$95,LARGE((rand!$P$38:$P$95=select!$L$178)*(ROW(rand!$P$38:$P$95)-rand!$C$37),COUNTIF(rand!$P$38:$P$95,1)+1-ROW(A27))),"")</f>
        <v>9.5</v>
      </c>
      <c r="L1416" s="118">
        <f t="shared" ca="1" si="339"/>
        <v>1</v>
      </c>
      <c r="N1416" s="71">
        <v>27</v>
      </c>
      <c r="O1416" s="34" t="str">
        <f ca="1">IF(Q1416=1,$B$6,$B$5)&amp;" "&amp;IF(P1416=$A$8,$A$8,IF(P1416=Sprache!$A$54,Sprache!$A$54,IF(R1416="",P1416,R1416)&amp;IF(P1416&lt;&gt;""," mm","")))</f>
        <v xml:space="preserve">     ---------</v>
      </c>
      <c r="P1416" s="613" t="str">
        <f ca="1">rand!B124</f>
        <v>---------</v>
      </c>
      <c r="Q1416" s="34">
        <f t="shared" ca="1" si="340"/>
        <v>0</v>
      </c>
      <c r="R1416" s="55" t="str">
        <f t="shared" ca="1" si="341"/>
        <v>---------</v>
      </c>
    </row>
    <row r="1417" spans="1:65" hidden="1" outlineLevel="1" x14ac:dyDescent="0.25">
      <c r="A1417" s="71">
        <v>28</v>
      </c>
      <c r="B1417" s="565" t="str">
        <f t="shared" ca="1" si="333"/>
        <v xml:space="preserve">     ---------</v>
      </c>
      <c r="C1417" s="424" t="str">
        <f ca="1">rand!B31</f>
        <v>---------</v>
      </c>
      <c r="D1417" s="425">
        <f t="shared" ca="1" si="337"/>
        <v>0</v>
      </c>
      <c r="H1417" s="71">
        <v>28</v>
      </c>
      <c r="I1417" s="565" t="str">
        <f t="shared" ca="1" si="338"/>
        <v xml:space="preserve">     11,5 mm</v>
      </c>
      <c r="J1417" s="325">
        <f ca="1">IF(Konfig!$O$25&lt;&gt;"*",select!K1417,rand!B65)</f>
        <v>11.5</v>
      </c>
      <c r="K1417" s="549">
        <f t="array" aca="1" ref="K1417" ca="1">IFERROR(INDEX(rand!$C$38:$C$95,LARGE((rand!$P$38:$P$95=select!$L$178)*(ROW(rand!$P$38:$P$95)-rand!$C$37),COUNTIF(rand!$P$38:$P$95,1)+1-ROW(A28))),"")</f>
        <v>9</v>
      </c>
      <c r="L1417" s="118">
        <f t="shared" ca="1" si="339"/>
        <v>0</v>
      </c>
      <c r="N1417" s="92">
        <v>28</v>
      </c>
      <c r="O1417" s="6" t="str">
        <f ca="1">IF(Q1417=1,$B$6,$B$5)&amp;" "&amp;IF(P1417=$A$8,$A$8,IF(P1417=Sprache!$A$54,Sprache!$A$54,IF(R1417="",P1417,R1417)&amp;IF(P1417&lt;&gt;""," mm","")))</f>
        <v xml:space="preserve">     ---------</v>
      </c>
      <c r="P1417" s="325" t="str">
        <f ca="1">rand!B125</f>
        <v>---------</v>
      </c>
      <c r="Q1417" s="6">
        <f t="shared" ca="1" si="340"/>
        <v>0</v>
      </c>
      <c r="R1417" s="55" t="str">
        <f t="shared" ca="1" si="341"/>
        <v>---------</v>
      </c>
    </row>
    <row r="1418" spans="1:65" hidden="1" outlineLevel="1" x14ac:dyDescent="0.25">
      <c r="A1418" s="71">
        <v>29</v>
      </c>
      <c r="B1418" s="565" t="str">
        <f t="shared" ca="1" si="333"/>
        <v xml:space="preserve">     ---------</v>
      </c>
      <c r="C1418" s="424" t="str">
        <f ca="1">rand!B32</f>
        <v>---------</v>
      </c>
      <c r="D1418" s="425">
        <f t="shared" ca="1" si="337"/>
        <v>0</v>
      </c>
      <c r="H1418" s="71">
        <v>29</v>
      </c>
      <c r="I1418" s="565" t="str">
        <f t="shared" ca="1" si="338"/>
        <v>✓ 11,0 mm</v>
      </c>
      <c r="J1418" s="325">
        <f ca="1">IF(Konfig!$O$25&lt;&gt;"*",select!K1418,rand!B66)</f>
        <v>11</v>
      </c>
      <c r="K1418" s="549">
        <f t="array" aca="1" ref="K1418" ca="1">IFERROR(INDEX(rand!$C$38:$C$95,LARGE((rand!$P$38:$P$95=select!$L$178)*(ROW(rand!$P$38:$P$95)-rand!$C$37),COUNTIF(rand!$P$38:$P$95,1)+1-ROW(A29))),"")</f>
        <v>8.5</v>
      </c>
      <c r="L1418" s="118">
        <f t="shared" ca="1" si="339"/>
        <v>1</v>
      </c>
      <c r="O1418" s="325" t="str">
        <f ca="1">IF(Q1418=1,$B$6&amp;" "&amp;TEXT(P1418,"0,0")&amp;" mm",$B$5&amp;" "&amp;TEXT(P1418,"0,0")&amp;" mm")</f>
        <v>✓ 1,0 mm</v>
      </c>
      <c r="P1418" s="325">
        <f ca="1">rand!B126</f>
        <v>1</v>
      </c>
      <c r="Q1418" s="433">
        <f ca="1">rand!D126</f>
        <v>1</v>
      </c>
    </row>
    <row r="1419" spans="1:65" hidden="1" outlineLevel="1" x14ac:dyDescent="0.25">
      <c r="A1419" s="71">
        <v>30</v>
      </c>
      <c r="B1419" s="565" t="str">
        <f t="shared" ca="1" si="333"/>
        <v xml:space="preserve">     ---------</v>
      </c>
      <c r="C1419" s="424" t="str">
        <f ca="1">rand!B33</f>
        <v>---------</v>
      </c>
      <c r="D1419" s="425">
        <f t="shared" ca="1" si="337"/>
        <v>0</v>
      </c>
      <c r="H1419" s="71">
        <v>30</v>
      </c>
      <c r="I1419" s="565" t="str">
        <f t="shared" ca="1" si="338"/>
        <v>✓ 10,5 mm</v>
      </c>
      <c r="J1419" s="325">
        <f ca="1">IF(Konfig!$O$25&lt;&gt;"*",select!K1419,rand!B67)</f>
        <v>10.5</v>
      </c>
      <c r="K1419" s="549">
        <f t="array" aca="1" ref="K1419" ca="1">IFERROR(INDEX(rand!$C$38:$C$95,LARGE((rand!$P$38:$P$95=select!$L$178)*(ROW(rand!$P$38:$P$95)-rand!$C$37),COUNTIF(rand!$P$38:$P$95,1)+1-ROW(A30))),"")</f>
        <v>8</v>
      </c>
      <c r="L1419" s="118">
        <f t="shared" ca="1" si="339"/>
        <v>1</v>
      </c>
      <c r="O1419" s="6" t="str">
        <f ca="1">IF(P1419&lt;&gt;"",IF(Q1419=1,$B$6&amp;" "&amp;TEXT(P1419,"0,0")&amp;" mm",$B$5&amp;" "&amp;TEXT(P1419,"0,0")&amp;" mm"),"")</f>
        <v/>
      </c>
      <c r="P1419" s="549" t="str">
        <f t="array" aca="1" ref="P1419" ca="1">IFERROR(INDEX(rand!$C$99:$C$125,LARGE((rand!$P$99:$P$125=select!$L$178)*(ROW(rand!$P$99:$P$125)-rand!$C$97),COUNTIF(rand!$P$99:$P$125,1)+1-ROW(A27))),"")</f>
        <v/>
      </c>
      <c r="T1419" s="227"/>
      <c r="U1419">
        <f>ROW()</f>
        <v>1419</v>
      </c>
      <c r="W1419" t="s">
        <v>2106</v>
      </c>
      <c r="X1419" t="s">
        <v>2107</v>
      </c>
      <c r="Y1419" t="s">
        <v>2108</v>
      </c>
      <c r="Z1419" t="s">
        <v>2109</v>
      </c>
      <c r="AE1419" t="str">
        <f ca="1">Q1421</f>
        <v>mit Soft-close</v>
      </c>
      <c r="AI1419" t="str">
        <f>N1421</f>
        <v>Scharnierart</v>
      </c>
      <c r="AJ1419" t="str">
        <f t="shared" ref="AJ1419:AK1420" si="342">O1421</f>
        <v>Gruppenschlüssel</v>
      </c>
      <c r="AK1419" t="str">
        <f t="shared" si="342"/>
        <v>mit Dämpfung</v>
      </c>
      <c r="AL1419" t="str">
        <f>V1468</f>
        <v>Anschrauben</v>
      </c>
      <c r="AM1419" t="str">
        <f t="shared" ref="AM1419:AO1420" si="343">W1468</f>
        <v>Einpressen</v>
      </c>
      <c r="AN1419" t="str">
        <f t="shared" si="343"/>
        <v>Quick</v>
      </c>
      <c r="AO1419" t="str">
        <f t="shared" si="343"/>
        <v>Werkzeuglos</v>
      </c>
      <c r="AQ1419" t="str">
        <f>N1421</f>
        <v>Scharnierart</v>
      </c>
      <c r="AR1419" t="str">
        <f>O1421</f>
        <v>Gruppenschlüssel</v>
      </c>
      <c r="AS1419" t="str">
        <f>P1421</f>
        <v>mit Dämpfung</v>
      </c>
      <c r="AT1419" t="str">
        <f>AL1419</f>
        <v>Anschrauben</v>
      </c>
      <c r="AU1419" t="str">
        <f t="shared" ref="AU1419:AW1420" si="344">AM1419</f>
        <v>Einpressen</v>
      </c>
      <c r="AV1419" t="str">
        <f t="shared" si="344"/>
        <v>Quick</v>
      </c>
      <c r="AW1419" t="str">
        <f t="shared" si="344"/>
        <v>Werkzeuglos</v>
      </c>
      <c r="AY1419" t="str">
        <f>AQ1419</f>
        <v>Scharnierart</v>
      </c>
      <c r="AZ1419" t="str">
        <f>AR1419</f>
        <v>Gruppenschlüssel</v>
      </c>
      <c r="BA1419" t="str">
        <f>AS1419</f>
        <v>mit Dämpfung</v>
      </c>
      <c r="BB1419" t="str">
        <f>AT1419</f>
        <v>Anschrauben</v>
      </c>
      <c r="BC1419" t="str">
        <f t="shared" ref="BC1419:BE1420" si="345">AU1419</f>
        <v>Einpressen</v>
      </c>
      <c r="BD1419" t="str">
        <f t="shared" si="345"/>
        <v>Quick</v>
      </c>
      <c r="BE1419" t="str">
        <f t="shared" si="345"/>
        <v>Werkzeuglos</v>
      </c>
      <c r="BG1419" t="str">
        <f>AY1419</f>
        <v>Scharnierart</v>
      </c>
      <c r="BH1419" t="str">
        <f>AZ1419</f>
        <v>Gruppenschlüssel</v>
      </c>
      <c r="BI1419" t="str">
        <f>BA1419</f>
        <v>mit Dämpfung</v>
      </c>
      <c r="BJ1419" t="str">
        <f>BB1419</f>
        <v>Anschrauben</v>
      </c>
      <c r="BK1419" t="str">
        <f t="shared" ref="BK1419:BM1420" si="346">BC1419</f>
        <v>Einpressen</v>
      </c>
      <c r="BL1419" t="str">
        <f t="shared" si="346"/>
        <v>Quick</v>
      </c>
      <c r="BM1419" t="str">
        <f t="shared" si="346"/>
        <v>Werkzeuglos</v>
      </c>
    </row>
    <row r="1420" spans="1:65" hidden="1" outlineLevel="1" x14ac:dyDescent="0.25">
      <c r="A1420" s="71">
        <v>31</v>
      </c>
      <c r="B1420" s="565" t="str">
        <f t="shared" ca="1" si="333"/>
        <v xml:space="preserve">     ---------</v>
      </c>
      <c r="C1420" s="424" t="str">
        <f ca="1">rand!B34</f>
        <v>---------</v>
      </c>
      <c r="D1420" s="425">
        <f t="shared" ca="1" si="337"/>
        <v>0</v>
      </c>
      <c r="H1420" s="71">
        <v>31</v>
      </c>
      <c r="I1420" s="565" t="str">
        <f t="shared" ca="1" si="338"/>
        <v xml:space="preserve">     10,0 mm</v>
      </c>
      <c r="J1420" s="325">
        <f ca="1">IF(Konfig!$O$25&lt;&gt;"*",select!K1420,rand!B68)</f>
        <v>10</v>
      </c>
      <c r="K1420" s="549">
        <f t="array" aca="1" ref="K1420" ca="1">IFERROR(INDEX(rand!$C$38:$C$95,LARGE((rand!$P$38:$P$95=select!$L$178)*(ROW(rand!$P$38:$P$95)-rand!$C$37),COUNTIF(rand!$P$38:$P$95,1)+1-ROW(A31))),"")</f>
        <v>7.5</v>
      </c>
      <c r="L1420" s="118">
        <f t="shared" ca="1" si="339"/>
        <v>0</v>
      </c>
      <c r="U1420">
        <f ca="1">IF(SUM(W1420:Z1420)&gt;0,1,"")</f>
        <v>1</v>
      </c>
      <c r="V1420" t="str">
        <f ca="1">Sprache!A73</f>
        <v>mit Soft-close</v>
      </c>
      <c r="W1420" s="523">
        <f ca="1">IF(AE1420&gt;0,1,"")</f>
        <v>1</v>
      </c>
      <c r="X1420" s="523" t="str">
        <f ca="1">IF(AE1421&gt;0,1,"")</f>
        <v/>
      </c>
      <c r="Y1420" s="523" t="str">
        <f ca="1">IF(AE1422&gt;0,1,"")</f>
        <v/>
      </c>
      <c r="Z1420" s="523">
        <f ca="1">IF(AE1423&gt;0,1,"")</f>
        <v>1</v>
      </c>
      <c r="AD1420" t="s">
        <v>2106</v>
      </c>
      <c r="AE1420">
        <f ca="1">DCOUNT(Scharniere[[#Headers],[#Data],[Scharnierart]:[Werkzeuglos]],Scharniere[[#Headers],[mit Dämpfung]],AI1419:AO1420)</f>
        <v>20</v>
      </c>
      <c r="AI1420">
        <f ca="1">N1422</f>
        <v>1</v>
      </c>
      <c r="AJ1420">
        <f t="shared" ca="1" si="342"/>
        <v>1</v>
      </c>
      <c r="AK1420">
        <f t="shared" si="342"/>
        <v>1</v>
      </c>
      <c r="AL1420">
        <f>V1469</f>
        <v>1</v>
      </c>
      <c r="AM1420">
        <f t="shared" si="343"/>
        <v>0</v>
      </c>
      <c r="AN1420">
        <f t="shared" si="343"/>
        <v>0</v>
      </c>
      <c r="AO1420">
        <f t="shared" si="343"/>
        <v>0</v>
      </c>
      <c r="AQ1420" t="str">
        <f ca="1">N1423</f>
        <v/>
      </c>
      <c r="AR1420" t="str">
        <f ca="1">O1423</f>
        <v/>
      </c>
      <c r="AS1420">
        <f>P1423</f>
        <v>1</v>
      </c>
      <c r="AT1420">
        <f>AL1420</f>
        <v>1</v>
      </c>
      <c r="AU1420">
        <f t="shared" si="344"/>
        <v>0</v>
      </c>
      <c r="AV1420">
        <f t="shared" si="344"/>
        <v>0</v>
      </c>
      <c r="AW1420">
        <f t="shared" si="344"/>
        <v>0</v>
      </c>
      <c r="AY1420" t="str">
        <f ca="1">N1424</f>
        <v/>
      </c>
      <c r="AZ1420" t="str">
        <f ca="1">O1424</f>
        <v/>
      </c>
      <c r="BA1420">
        <f>P1424</f>
        <v>1</v>
      </c>
      <c r="BB1420">
        <f>AT1420</f>
        <v>1</v>
      </c>
      <c r="BC1420">
        <f t="shared" si="345"/>
        <v>0</v>
      </c>
      <c r="BD1420">
        <f t="shared" si="345"/>
        <v>0</v>
      </c>
      <c r="BE1420">
        <f t="shared" si="345"/>
        <v>0</v>
      </c>
      <c r="BG1420">
        <f ca="1">N1425</f>
        <v>3</v>
      </c>
      <c r="BH1420">
        <f ca="1">O1425</f>
        <v>4</v>
      </c>
      <c r="BI1420">
        <f>P1425</f>
        <v>1</v>
      </c>
      <c r="BJ1420">
        <f>BB1420</f>
        <v>1</v>
      </c>
      <c r="BK1420">
        <f t="shared" si="346"/>
        <v>0</v>
      </c>
      <c r="BL1420">
        <f t="shared" si="346"/>
        <v>0</v>
      </c>
      <c r="BM1420">
        <f t="shared" si="346"/>
        <v>0</v>
      </c>
    </row>
    <row r="1421" spans="1:65" hidden="1" outlineLevel="1" x14ac:dyDescent="0.25">
      <c r="A1421" s="71">
        <v>32</v>
      </c>
      <c r="B1421" s="565" t="str">
        <f t="shared" ca="1" si="333"/>
        <v xml:space="preserve">     ---------</v>
      </c>
      <c r="C1421" s="424" t="str">
        <f ca="1">rand!B35</f>
        <v>---------</v>
      </c>
      <c r="D1421" s="425">
        <f t="shared" ca="1" si="337"/>
        <v>0</v>
      </c>
      <c r="H1421" s="71">
        <v>32</v>
      </c>
      <c r="I1421" s="565" t="str">
        <f t="shared" ca="1" si="338"/>
        <v xml:space="preserve">     9,5 mm</v>
      </c>
      <c r="J1421" s="325">
        <f ca="1">IF(Konfig!$O$25&lt;&gt;"*",select!K1421,rand!B69)</f>
        <v>9.5</v>
      </c>
      <c r="K1421" s="549">
        <f t="array" aca="1" ref="K1421" ca="1">IFERROR(INDEX(rand!$C$38:$C$95,LARGE((rand!$P$38:$P$95=select!$L$178)*(ROW(rand!$P$38:$P$95)-rand!$C$37),COUNTIF(rand!$P$38:$P$95,1)+1-ROW(A32))),"")</f>
        <v>7</v>
      </c>
      <c r="L1421" s="118">
        <f t="shared" ca="1" si="339"/>
        <v>0</v>
      </c>
      <c r="N1421" s="438" t="str">
        <f>Scharniere[[#Headers],[Scharnierart]]</f>
        <v>Scharnierart</v>
      </c>
      <c r="O1421" s="429" t="str">
        <f>Scharniere[[#Headers],[Gruppenschlüssel]]</f>
        <v>Gruppenschlüssel</v>
      </c>
      <c r="P1421" s="392" t="str">
        <f>Scharniere[[#Headers],[mit Dämpfung]]</f>
        <v>mit Dämpfung</v>
      </c>
      <c r="Q1421" s="381" t="str">
        <f ca="1">V1420</f>
        <v>mit Soft-close</v>
      </c>
      <c r="U1421">
        <f t="shared" ref="U1421:U1422" ca="1" si="347">IF(SUM(W1421:Z1421)&gt;0,1,"")</f>
        <v>1</v>
      </c>
      <c r="V1421" t="str">
        <f ca="1">Sprache!A74</f>
        <v>ohne Soft-close</v>
      </c>
      <c r="W1421" s="523">
        <f ca="1">IF(AE1425&gt;0,1,"")</f>
        <v>1</v>
      </c>
      <c r="X1421" s="523" t="str">
        <f ca="1">IF(AE1426&gt;0,1,"")</f>
        <v/>
      </c>
      <c r="Y1421" s="523" t="str">
        <f ca="1">IF(AE1427&gt;0,1,"")</f>
        <v/>
      </c>
      <c r="Z1421" s="523">
        <f ca="1">IF(AE1428&gt;0,1,"")</f>
        <v>1</v>
      </c>
      <c r="AD1421" t="s">
        <v>2107</v>
      </c>
      <c r="AE1421">
        <f ca="1">DCOUNT(Scharniere[[#Headers],[#Data],[Scharnierart]:[Werkzeuglos]],Scharniere[[#Headers],[mit Dämpfung]],AQ1419:AW1420)</f>
        <v>0</v>
      </c>
    </row>
    <row r="1422" spans="1:65" hidden="1" outlineLevel="1" x14ac:dyDescent="0.25">
      <c r="A1422" s="92">
        <v>33</v>
      </c>
      <c r="B1422" s="565" t="str">
        <f t="shared" ca="1" si="333"/>
        <v xml:space="preserve">     ---------</v>
      </c>
      <c r="C1422" s="426" t="str">
        <f ca="1">rand!B36</f>
        <v>---------</v>
      </c>
      <c r="D1422" s="427">
        <f t="shared" ca="1" si="337"/>
        <v>0</v>
      </c>
      <c r="H1422" s="71">
        <v>33</v>
      </c>
      <c r="I1422" s="565" t="str">
        <f t="shared" ca="1" si="338"/>
        <v>✓ 9,0 mm</v>
      </c>
      <c r="J1422" s="325">
        <f ca="1">IF(Konfig!$O$25&lt;&gt;"*",select!K1422,rand!B70)</f>
        <v>9</v>
      </c>
      <c r="K1422" s="549">
        <f t="array" aca="1" ref="K1422" ca="1">IFERROR(INDEX(rand!$C$38:$C$95,LARGE((rand!$P$38:$P$95=select!$L$178)*(ROW(rand!$P$38:$P$95)-rand!$C$37),COUNTIF(rand!$P$38:$P$95,1)+1-ROW(A33))),"")</f>
        <v>6.5</v>
      </c>
      <c r="L1422" s="118">
        <f t="shared" ca="1" si="339"/>
        <v>1</v>
      </c>
      <c r="N1422" s="182">
        <f ca="1">$O$1368</f>
        <v>1</v>
      </c>
      <c r="O1422" s="439">
        <f ca="1">$P$1368</f>
        <v>1</v>
      </c>
      <c r="P1422" s="392">
        <v>1</v>
      </c>
      <c r="Q1422" s="34">
        <f ca="1">DCOUNT(Scharniere[[#Headers],[#Data],[Scharnierart]:[Werkzeuglos]],Scharniere[[#Headers],[mit Dämpfung]],N1421:P1425)</f>
        <v>71</v>
      </c>
      <c r="U1422">
        <f t="shared" ca="1" si="347"/>
        <v>1</v>
      </c>
      <c r="V1422" t="str">
        <f ca="1">Sprache!A190</f>
        <v>Tipmatic</v>
      </c>
      <c r="W1422" s="523">
        <f ca="1">IF(AE1430&gt;0,1,"")</f>
        <v>1</v>
      </c>
      <c r="X1422" s="523" t="str">
        <f ca="1">IF(AE1431&gt;0,1,"")</f>
        <v/>
      </c>
      <c r="Y1422" s="523" t="str">
        <f ca="1">IF(AE1432&gt;0,1,"")</f>
        <v/>
      </c>
      <c r="Z1422" s="523">
        <f ca="1">IF(AE1433&gt;0,1,"")</f>
        <v>1</v>
      </c>
      <c r="AD1422" t="s">
        <v>2108</v>
      </c>
      <c r="AE1422">
        <f ca="1">DCOUNT(Scharniere[[#Headers],[#Data],[Scharnierart]:[Werkzeuglos]],Scharniere[[#Headers],[mit Dämpfung]],AY1419:BE1420)</f>
        <v>0</v>
      </c>
    </row>
    <row r="1423" spans="1:65" hidden="1" outlineLevel="1" x14ac:dyDescent="0.25">
      <c r="B1423" s="325" t="str">
        <f>IF(D1423=1,$B$6&amp;" "&amp;TEXT(C1423,"0,0")&amp;" mm",$B$5&amp;" "&amp;TEXT(C1423,"0,0")&amp;" mm")</f>
        <v xml:space="preserve">     0,0 mm</v>
      </c>
      <c r="C1423" s="430">
        <f>rand!B37</f>
        <v>0</v>
      </c>
      <c r="D1423" s="431">
        <f>rand!P37</f>
        <v>0</v>
      </c>
      <c r="H1423" s="71">
        <v>34</v>
      </c>
      <c r="I1423" s="565" t="str">
        <f t="shared" ref="I1423:I1447" ca="1" si="348">IF(J1423&lt;&gt;"",IF(L1423=1,$B$6&amp;" "&amp;TEXT(J1423,"0,0"),$B$5&amp;" "&amp;TEXT(J1423,"0,0")),"")&amp;IF(OR(J1423="---",J1423=$A$8,J1423="")=TRUE,""," mm")</f>
        <v>✓ 8,5 mm</v>
      </c>
      <c r="J1423" s="325">
        <f ca="1">IF(Konfig!$O$25&lt;&gt;"*",select!K1423,rand!B71)</f>
        <v>8.5</v>
      </c>
      <c r="K1423" s="549">
        <f t="array" aca="1" ref="K1423" ca="1">IFERROR(INDEX(rand!$C$38:$C$95,LARGE((rand!$P$38:$P$95=select!$L$178)*(ROW(rand!$P$38:$P$95)-rand!$C$37),COUNTIF(rand!$P$38:$P$95,1)+1-ROW(A34))),"")</f>
        <v>6</v>
      </c>
      <c r="L1423" s="118">
        <f t="shared" ca="1" si="339"/>
        <v>1</v>
      </c>
      <c r="N1423" s="182" t="str">
        <f ca="1">$O$1369</f>
        <v/>
      </c>
      <c r="O1423" s="439" t="str">
        <f ca="1">$P$1369</f>
        <v/>
      </c>
      <c r="P1423" s="392">
        <v>1</v>
      </c>
      <c r="AD1423" t="s">
        <v>2109</v>
      </c>
      <c r="AE1423">
        <f ca="1">DCOUNT(Scharniere[[#Headers],[#Data],[Scharnierart]:[Werkzeuglos]],Scharniere[[#Headers],[mit Dämpfung]],BG1419:BM1420)</f>
        <v>3</v>
      </c>
    </row>
    <row r="1424" spans="1:65" hidden="1" outlineLevel="1" x14ac:dyDescent="0.25">
      <c r="B1424" s="76"/>
      <c r="C1424" s="552" t="str">
        <f t="array" aca="1" ref="C1424" ca="1">IFERROR(INDEX(rand!$C$4:$C$36,LARGE((rand!$P$4:$P$36=select!$L$178)*(ROW(rand!$P$4:$P$36)-rand!$C$3),COUNTIF(rand!$P$4:$P$36,1)+1-ROW(A35))),"")</f>
        <v/>
      </c>
      <c r="H1424" s="71">
        <v>35</v>
      </c>
      <c r="I1424" s="565" t="str">
        <f t="shared" ca="1" si="348"/>
        <v>✓ 8,0 mm</v>
      </c>
      <c r="J1424" s="325">
        <f ca="1">IF(Konfig!$O$25&lt;&gt;"*",select!K1424,rand!B72)</f>
        <v>8</v>
      </c>
      <c r="K1424" s="549">
        <f t="array" aca="1" ref="K1424" ca="1">IFERROR(INDEX(rand!$C$38:$C$95,LARGE((rand!$P$38:$P$95=select!$L$178)*(ROW(rand!$P$38:$P$95)-rand!$C$37),COUNTIF(rand!$P$38:$P$95,1)+1-ROW(A35))),"")</f>
        <v>5.5</v>
      </c>
      <c r="L1424" s="118">
        <f t="shared" ca="1" si="339"/>
        <v>1</v>
      </c>
      <c r="N1424" s="182" t="str">
        <f ca="1">$O$1370</f>
        <v/>
      </c>
      <c r="O1424" s="439" t="str">
        <f ca="1">$P$1370</f>
        <v/>
      </c>
      <c r="P1424" s="392">
        <v>1</v>
      </c>
      <c r="AE1424" t="str">
        <f ca="1">Q1426</f>
        <v>ohne Soft-close</v>
      </c>
      <c r="AI1424" t="str">
        <f>N1426</f>
        <v>Scharnierart</v>
      </c>
      <c r="AJ1424" t="str">
        <f t="shared" ref="AJ1424:AK1425" si="349">O1426</f>
        <v>Gruppenschlüssel</v>
      </c>
      <c r="AK1424" t="str">
        <f t="shared" si="349"/>
        <v>ohne Dämpfung</v>
      </c>
      <c r="AL1424" t="str">
        <f>V1468</f>
        <v>Anschrauben</v>
      </c>
      <c r="AM1424" t="str">
        <f t="shared" ref="AM1424:AO1425" si="350">W1468</f>
        <v>Einpressen</v>
      </c>
      <c r="AN1424" t="str">
        <f t="shared" si="350"/>
        <v>Quick</v>
      </c>
      <c r="AO1424" t="str">
        <f t="shared" si="350"/>
        <v>Werkzeuglos</v>
      </c>
      <c r="AQ1424" t="str">
        <f>N1426</f>
        <v>Scharnierart</v>
      </c>
      <c r="AR1424" t="str">
        <f>O1426</f>
        <v>Gruppenschlüssel</v>
      </c>
      <c r="AS1424" t="str">
        <f>P1426</f>
        <v>ohne Dämpfung</v>
      </c>
      <c r="AT1424" t="str">
        <f>AL1424</f>
        <v>Anschrauben</v>
      </c>
      <c r="AU1424" t="str">
        <f t="shared" ref="AU1424:AW1425" si="351">AM1424</f>
        <v>Einpressen</v>
      </c>
      <c r="AV1424" t="str">
        <f t="shared" si="351"/>
        <v>Quick</v>
      </c>
      <c r="AW1424" t="str">
        <f t="shared" si="351"/>
        <v>Werkzeuglos</v>
      </c>
      <c r="AY1424" t="str">
        <f>AQ1424</f>
        <v>Scharnierart</v>
      </c>
      <c r="AZ1424" t="str">
        <f>AR1424</f>
        <v>Gruppenschlüssel</v>
      </c>
      <c r="BA1424" t="str">
        <f>AS1424</f>
        <v>ohne Dämpfung</v>
      </c>
      <c r="BB1424" t="str">
        <f>AT1424</f>
        <v>Anschrauben</v>
      </c>
      <c r="BC1424" t="str">
        <f t="shared" ref="BC1424:BE1425" si="352">AU1424</f>
        <v>Einpressen</v>
      </c>
      <c r="BD1424" t="str">
        <f t="shared" si="352"/>
        <v>Quick</v>
      </c>
      <c r="BE1424" t="str">
        <f t="shared" si="352"/>
        <v>Werkzeuglos</v>
      </c>
      <c r="BG1424" t="str">
        <f>AY1424</f>
        <v>Scharnierart</v>
      </c>
      <c r="BH1424" t="str">
        <f>AZ1424</f>
        <v>Gruppenschlüssel</v>
      </c>
      <c r="BI1424" t="str">
        <f>BA1424</f>
        <v>ohne Dämpfung</v>
      </c>
      <c r="BJ1424" t="str">
        <f>BB1424</f>
        <v>Anschrauben</v>
      </c>
      <c r="BK1424" t="str">
        <f t="shared" ref="BK1424:BM1425" si="353">BC1424</f>
        <v>Einpressen</v>
      </c>
      <c r="BL1424" t="str">
        <f t="shared" si="353"/>
        <v>Quick</v>
      </c>
      <c r="BM1424" t="str">
        <f t="shared" si="353"/>
        <v>Werkzeuglos</v>
      </c>
    </row>
    <row r="1425" spans="1:65" hidden="1" outlineLevel="1" x14ac:dyDescent="0.25">
      <c r="B1425" s="76"/>
      <c r="C1425" s="76"/>
      <c r="H1425" s="71">
        <v>36</v>
      </c>
      <c r="I1425" s="565" t="str">
        <f t="shared" ca="1" si="348"/>
        <v>✓ 7,5 mm</v>
      </c>
      <c r="J1425" s="325">
        <f ca="1">IF(Konfig!$O$25&lt;&gt;"*",select!K1425,rand!B73)</f>
        <v>7.5</v>
      </c>
      <c r="K1425" s="549">
        <f t="array" aca="1" ref="K1425" ca="1">IFERROR(INDEX(rand!$C$38:$C$95,LARGE((rand!$P$38:$P$95=select!$L$178)*(ROW(rand!$P$38:$P$95)-rand!$C$37),COUNTIF(rand!$P$38:$P$95,1)+1-ROW(A36))),"")</f>
        <v>5</v>
      </c>
      <c r="L1425" s="118">
        <f t="shared" ca="1" si="339"/>
        <v>1</v>
      </c>
      <c r="N1425" s="182">
        <f ca="1">$O$1371</f>
        <v>3</v>
      </c>
      <c r="O1425" s="439">
        <f ca="1">$P$1371</f>
        <v>4</v>
      </c>
      <c r="P1425" s="392">
        <v>1</v>
      </c>
      <c r="AD1425" t="s">
        <v>2106</v>
      </c>
      <c r="AE1425">
        <f ca="1">DCOUNT(Scharniere[[#Headers],[#Data],[Scharnierart]:[Werkzeuglos]],Scharniere[[#Headers],[mit Dämpfung]],AI1424:AO1425)</f>
        <v>21</v>
      </c>
      <c r="AI1425">
        <f ca="1">N1427</f>
        <v>1</v>
      </c>
      <c r="AJ1425">
        <f t="shared" ca="1" si="349"/>
        <v>1</v>
      </c>
      <c r="AK1425">
        <f t="shared" si="349"/>
        <v>1</v>
      </c>
      <c r="AL1425">
        <f>V1469</f>
        <v>1</v>
      </c>
      <c r="AM1425">
        <f t="shared" si="350"/>
        <v>0</v>
      </c>
      <c r="AN1425">
        <f t="shared" si="350"/>
        <v>0</v>
      </c>
      <c r="AO1425">
        <f t="shared" si="350"/>
        <v>0</v>
      </c>
      <c r="AQ1425" t="str">
        <f ca="1">N1428</f>
        <v/>
      </c>
      <c r="AR1425" t="str">
        <f ca="1">O1428</f>
        <v/>
      </c>
      <c r="AS1425">
        <f>P1428</f>
        <v>1</v>
      </c>
      <c r="AT1425">
        <f>AL1425</f>
        <v>1</v>
      </c>
      <c r="AU1425">
        <f t="shared" si="351"/>
        <v>0</v>
      </c>
      <c r="AV1425">
        <f t="shared" si="351"/>
        <v>0</v>
      </c>
      <c r="AW1425">
        <f t="shared" si="351"/>
        <v>0</v>
      </c>
      <c r="AY1425" t="str">
        <f ca="1">N1429</f>
        <v/>
      </c>
      <c r="AZ1425" t="str">
        <f ca="1">O1429</f>
        <v/>
      </c>
      <c r="BA1425">
        <f>P1429</f>
        <v>1</v>
      </c>
      <c r="BB1425">
        <f>AT1425</f>
        <v>1</v>
      </c>
      <c r="BC1425">
        <f t="shared" si="352"/>
        <v>0</v>
      </c>
      <c r="BD1425">
        <f t="shared" si="352"/>
        <v>0</v>
      </c>
      <c r="BE1425">
        <f t="shared" si="352"/>
        <v>0</v>
      </c>
      <c r="BG1425">
        <f ca="1">N1430</f>
        <v>3</v>
      </c>
      <c r="BH1425">
        <f ca="1">O1430</f>
        <v>4</v>
      </c>
      <c r="BI1425">
        <f>P1430</f>
        <v>1</v>
      </c>
      <c r="BJ1425">
        <f>BB1425</f>
        <v>1</v>
      </c>
      <c r="BK1425">
        <f t="shared" si="353"/>
        <v>0</v>
      </c>
      <c r="BL1425">
        <f t="shared" si="353"/>
        <v>0</v>
      </c>
      <c r="BM1425">
        <f t="shared" si="353"/>
        <v>0</v>
      </c>
    </row>
    <row r="1426" spans="1:65" ht="15.75" hidden="1" outlineLevel="1" thickBot="1" x14ac:dyDescent="0.3">
      <c r="A1426" t="s">
        <v>27</v>
      </c>
      <c r="B1426" s="76"/>
      <c r="C1426" s="886" t="str">
        <f ca="1">VLOOKUP(A1427,A1428:C1431,3,FALSE)</f>
        <v>Kreuzmontageplatte</v>
      </c>
      <c r="H1426" s="71">
        <v>37</v>
      </c>
      <c r="I1426" s="565" t="str">
        <f t="shared" ca="1" si="348"/>
        <v>✓ 7,0 mm</v>
      </c>
      <c r="J1426" s="325">
        <f ca="1">IF(Konfig!$O$25&lt;&gt;"*",select!K1426,rand!B74)</f>
        <v>7</v>
      </c>
      <c r="K1426" s="549">
        <f t="array" aca="1" ref="K1426" ca="1">IFERROR(INDEX(rand!$C$38:$C$95,LARGE((rand!$P$38:$P$95=select!$L$178)*(ROW(rand!$P$38:$P$95)-rand!$C$37),COUNTIF(rand!$P$38:$P$95,1)+1-ROW(A37))),"")</f>
        <v>4</v>
      </c>
      <c r="L1426" s="118">
        <f t="shared" ca="1" si="339"/>
        <v>1</v>
      </c>
      <c r="N1426" t="str">
        <f>N1421</f>
        <v>Scharnierart</v>
      </c>
      <c r="O1426" t="str">
        <f>O1421</f>
        <v>Gruppenschlüssel</v>
      </c>
      <c r="P1426" s="392" t="str">
        <f>Scharniere[[#Headers],[ohne Dämpfung]]</f>
        <v>ohne Dämpfung</v>
      </c>
      <c r="Q1426" s="381" t="str">
        <f ca="1">V1421</f>
        <v>ohne Soft-close</v>
      </c>
      <c r="T1426" s="392"/>
      <c r="AD1426" t="s">
        <v>2107</v>
      </c>
      <c r="AE1426">
        <f ca="1">DCOUNT(Scharniere[[#Headers],[#Data],[Scharnierart]:[Werkzeuglos]],Scharniere[[#Headers],[mit Dämpfung]],AQ1424:AW1425)</f>
        <v>0</v>
      </c>
    </row>
    <row r="1427" spans="1:65" hidden="1" outlineLevel="1" x14ac:dyDescent="0.25">
      <c r="A1427" s="5">
        <v>1</v>
      </c>
      <c r="B1427" s="435" t="str">
        <f ca="1">VLOOKUP(A1427,A1428:B1431,2,FALSE)</f>
        <v>✓ Kreuzmontageplatte (2)</v>
      </c>
      <c r="C1427" s="76"/>
      <c r="D1427" s="131" t="str">
        <f ca="1">IF(E1432=0,Sprache!A56&amp;" "&amp;Sprache!A147,IF(OR(D1432="",D1432=0)=TRUE,Sprache!A50,""))</f>
        <v/>
      </c>
      <c r="E1427" t="s">
        <v>2189</v>
      </c>
      <c r="F1427" t="s">
        <v>2190</v>
      </c>
      <c r="H1427" s="71">
        <v>38</v>
      </c>
      <c r="I1427" s="565" t="str">
        <f t="shared" ca="1" si="348"/>
        <v xml:space="preserve">     6,5 mm</v>
      </c>
      <c r="J1427" s="325">
        <f ca="1">IF(Konfig!$O$25&lt;&gt;"*",select!K1427,rand!B75)</f>
        <v>6.5</v>
      </c>
      <c r="K1427" s="549">
        <f t="array" aca="1" ref="K1427" ca="1">IFERROR(INDEX(rand!$C$38:$C$95,LARGE((rand!$P$38:$P$95=select!$L$178)*(ROW(rand!$P$38:$P$95)-rand!$C$37),COUNTIF(rand!$P$38:$P$95,1)+1-ROW(A38))),"")</f>
        <v>0</v>
      </c>
      <c r="L1427" s="118">
        <f t="shared" ca="1" si="339"/>
        <v>0</v>
      </c>
      <c r="N1427" s="182">
        <f ca="1">$O$1368</f>
        <v>1</v>
      </c>
      <c r="O1427" s="439">
        <f ca="1">$P$1368</f>
        <v>1</v>
      </c>
      <c r="P1427" s="390">
        <v>1</v>
      </c>
      <c r="Q1427" s="34">
        <f ca="1">DCOUNT(Scharniere[[#Headers],[#Data],[Scharnierart]:[Werkzeuglos]],Scharniere[[#Headers],[mit Dämpfung]],N1426:P1430)</f>
        <v>72</v>
      </c>
      <c r="AD1427" t="s">
        <v>2108</v>
      </c>
      <c r="AE1427">
        <f ca="1">DCOUNT(Scharniere[[#Headers],[#Data],[Scharnierart]:[Werkzeuglos]],Scharniere[[#Headers],[mit Dämpfung]],AY1424:BE1425)</f>
        <v>0</v>
      </c>
    </row>
    <row r="1428" spans="1:65" hidden="1" outlineLevel="1" x14ac:dyDescent="0.25">
      <c r="A1428" s="395">
        <v>1</v>
      </c>
      <c r="B1428" s="565" t="str">
        <f ca="1">IF(D1428=1,$B$6&amp;" "&amp;C1428&amp;" ("&amp;E1428&amp;")",$B$5&amp;" "&amp;C1428)</f>
        <v>✓ Kreuzmontageplatte (2)</v>
      </c>
      <c r="C1428" s="560" t="str">
        <f ca="1">Sprache!A135</f>
        <v>Kreuzmontageplatte</v>
      </c>
      <c r="D1428" s="626">
        <f ca="1">IF(IF(E1428&gt;0,1,0)+F1428=2,1,"")</f>
        <v>1</v>
      </c>
      <c r="E1428" s="609">
        <f ca="1">AC1650</f>
        <v>2</v>
      </c>
      <c r="F1428" s="612">
        <f ca="1">rand!B126</f>
        <v>1</v>
      </c>
      <c r="H1428" s="71">
        <v>39</v>
      </c>
      <c r="I1428" s="565" t="str">
        <f t="shared" ca="1" si="348"/>
        <v>✓ 6,0 mm</v>
      </c>
      <c r="J1428" s="325">
        <f ca="1">IF(Konfig!$O$25&lt;&gt;"*",select!K1428,rand!B76)</f>
        <v>6</v>
      </c>
      <c r="K1428" s="549">
        <f t="array" aca="1" ref="K1428" ca="1">IFERROR(INDEX(rand!$C$38:$C$95,LARGE((rand!$P$38:$P$95=select!$L$178)*(ROW(rand!$P$38:$P$95)-rand!$C$37),COUNTIF(rand!$P$38:$P$95,1)+1-ROW(A39))),"")</f>
        <v>-0.5</v>
      </c>
      <c r="L1428" s="118">
        <f t="shared" ca="1" si="339"/>
        <v>1</v>
      </c>
      <c r="N1428" s="182" t="str">
        <f ca="1">$O$1369</f>
        <v/>
      </c>
      <c r="O1428" s="439" t="str">
        <f ca="1">$P$1369</f>
        <v/>
      </c>
      <c r="P1428" s="392">
        <v>1</v>
      </c>
      <c r="AD1428" t="s">
        <v>2109</v>
      </c>
      <c r="AE1428">
        <f ca="1">DCOUNT(Scharniere[[#Headers],[#Data],[Scharnierart]:[Werkzeuglos]],Scharniere[[#Headers],[mit Dämpfung]],BG1424:BM1425)</f>
        <v>3</v>
      </c>
    </row>
    <row r="1429" spans="1:65" hidden="1" outlineLevel="1" x14ac:dyDescent="0.25">
      <c r="A1429" s="71">
        <v>2</v>
      </c>
      <c r="B1429" s="554" t="str">
        <f t="shared" ref="B1429:B1431" ca="1" si="354">IF(D1429=1,$B$6&amp;" "&amp;C1429&amp;" ("&amp;E1429&amp;")",$B$5&amp;" "&amp;C1429)</f>
        <v xml:space="preserve">     Linearmontageplatte</v>
      </c>
      <c r="C1429" s="561" t="str">
        <f ca="1">Sprache!A138</f>
        <v>Linearmontageplatte</v>
      </c>
      <c r="D1429" s="627" t="str">
        <f t="shared" ref="D1429:D1431" ca="1" si="355">IF(IF(E1429&gt;0,1,0)+F1429=2,1,"")</f>
        <v/>
      </c>
      <c r="E1429" s="71">
        <f ca="1">AA1650</f>
        <v>0</v>
      </c>
      <c r="F1429" s="55">
        <f ca="1">rand!B127</f>
        <v>1</v>
      </c>
      <c r="H1429" s="71">
        <v>40</v>
      </c>
      <c r="I1429" s="565" t="str">
        <f t="shared" ca="1" si="348"/>
        <v xml:space="preserve">     5,5 mm</v>
      </c>
      <c r="J1429" s="325">
        <f ca="1">IF(Konfig!$O$25&lt;&gt;"*",select!K1429,rand!B77)</f>
        <v>5.5</v>
      </c>
      <c r="K1429" s="549">
        <f t="array" aca="1" ref="K1429" ca="1">IFERROR(INDEX(rand!$C$38:$C$95,LARGE((rand!$P$38:$P$95=select!$L$178)*(ROW(rand!$P$38:$P$95)-rand!$C$37),COUNTIF(rand!$P$38:$P$95,1)+1-ROW(A40))),"")</f>
        <v>-1</v>
      </c>
      <c r="L1429" s="118">
        <f t="shared" ca="1" si="339"/>
        <v>0</v>
      </c>
      <c r="N1429" s="182" t="str">
        <f ca="1">$O$1370</f>
        <v/>
      </c>
      <c r="O1429" s="439" t="str">
        <f ca="1">$P$1370</f>
        <v/>
      </c>
      <c r="P1429" s="392">
        <v>1</v>
      </c>
      <c r="AE1429" t="str">
        <f ca="1">Q1431</f>
        <v>Tipmatic</v>
      </c>
      <c r="AI1429" t="str">
        <f>N1431</f>
        <v>Scharnierart</v>
      </c>
      <c r="AJ1429" t="str">
        <f t="shared" ref="AJ1429:AK1430" si="356">O1431</f>
        <v>Gruppenschlüssel</v>
      </c>
      <c r="AK1429" t="str">
        <f t="shared" si="356"/>
        <v>ohne Feder</v>
      </c>
      <c r="AL1429" t="str">
        <f>V1468</f>
        <v>Anschrauben</v>
      </c>
      <c r="AM1429" t="str">
        <f t="shared" ref="AM1429:AO1430" si="357">W1468</f>
        <v>Einpressen</v>
      </c>
      <c r="AN1429" t="str">
        <f t="shared" si="357"/>
        <v>Quick</v>
      </c>
      <c r="AO1429" t="str">
        <f t="shared" si="357"/>
        <v>Werkzeuglos</v>
      </c>
      <c r="AQ1429" t="str">
        <f>N1431</f>
        <v>Scharnierart</v>
      </c>
      <c r="AR1429" t="str">
        <f>O1431</f>
        <v>Gruppenschlüssel</v>
      </c>
      <c r="AS1429" t="str">
        <f>P1431</f>
        <v>ohne Feder</v>
      </c>
      <c r="AT1429" t="str">
        <f>AL1429</f>
        <v>Anschrauben</v>
      </c>
      <c r="AU1429" t="str">
        <f t="shared" ref="AU1429:AW1430" si="358">AM1429</f>
        <v>Einpressen</v>
      </c>
      <c r="AV1429" t="str">
        <f t="shared" si="358"/>
        <v>Quick</v>
      </c>
      <c r="AW1429" t="str">
        <f t="shared" si="358"/>
        <v>Werkzeuglos</v>
      </c>
      <c r="AY1429" t="str">
        <f>AQ1429</f>
        <v>Scharnierart</v>
      </c>
      <c r="AZ1429" t="str">
        <f>AR1429</f>
        <v>Gruppenschlüssel</v>
      </c>
      <c r="BA1429" t="str">
        <f>AS1429</f>
        <v>ohne Feder</v>
      </c>
      <c r="BB1429" t="str">
        <f>AT1429</f>
        <v>Anschrauben</v>
      </c>
      <c r="BC1429" t="str">
        <f t="shared" ref="BC1429:BE1430" si="359">AU1429</f>
        <v>Einpressen</v>
      </c>
      <c r="BD1429" t="str">
        <f t="shared" si="359"/>
        <v>Quick</v>
      </c>
      <c r="BE1429" t="str">
        <f t="shared" si="359"/>
        <v>Werkzeuglos</v>
      </c>
      <c r="BG1429" t="str">
        <f>AY1429</f>
        <v>Scharnierart</v>
      </c>
      <c r="BH1429" t="str">
        <f>AZ1429</f>
        <v>Gruppenschlüssel</v>
      </c>
      <c r="BI1429" t="str">
        <f>BA1429</f>
        <v>ohne Feder</v>
      </c>
      <c r="BJ1429" t="str">
        <f>BB1429</f>
        <v>Anschrauben</v>
      </c>
      <c r="BK1429" t="str">
        <f t="shared" ref="BK1429:BM1430" si="360">BC1429</f>
        <v>Einpressen</v>
      </c>
      <c r="BL1429" t="str">
        <f t="shared" si="360"/>
        <v>Quick</v>
      </c>
      <c r="BM1429" t="str">
        <f t="shared" si="360"/>
        <v>Werkzeuglos</v>
      </c>
    </row>
    <row r="1430" spans="1:65" hidden="1" outlineLevel="1" x14ac:dyDescent="0.25">
      <c r="A1430" s="71">
        <v>3</v>
      </c>
      <c r="B1430" s="554" t="str">
        <f t="shared" ca="1" si="354"/>
        <v xml:space="preserve">     Deltamontageplatte</v>
      </c>
      <c r="C1430" s="561" t="str">
        <f ca="1">Sprache!A141</f>
        <v>Deltamontageplatte</v>
      </c>
      <c r="D1430" s="627" t="str">
        <f t="shared" ca="1" si="355"/>
        <v/>
      </c>
      <c r="E1430" s="71">
        <f ca="1">AE1650</f>
        <v>0</v>
      </c>
      <c r="F1430" s="55">
        <f ca="1">rand!B128</f>
        <v>1</v>
      </c>
      <c r="H1430" s="71">
        <v>41</v>
      </c>
      <c r="I1430" s="565" t="str">
        <f t="shared" ca="1" si="348"/>
        <v>✓ 5,0 mm</v>
      </c>
      <c r="J1430" s="325">
        <f ca="1">IF(Konfig!$O$25&lt;&gt;"*",select!K1430,rand!B78)</f>
        <v>5</v>
      </c>
      <c r="K1430" s="549">
        <f t="array" aca="1" ref="K1430" ca="1">IFERROR(INDEX(rand!$C$38:$C$95,LARGE((rand!$P$38:$P$95=select!$L$178)*(ROW(rand!$P$38:$P$95)-rand!$C$37),COUNTIF(rand!$P$38:$P$95,1)+1-ROW(A41))),"")</f>
        <v>-1.5</v>
      </c>
      <c r="L1430" s="118">
        <f t="shared" ca="1" si="339"/>
        <v>1</v>
      </c>
      <c r="N1430" s="182">
        <f ca="1">$O$1371</f>
        <v>3</v>
      </c>
      <c r="O1430" s="439">
        <f ca="1">$P$1371</f>
        <v>4</v>
      </c>
      <c r="P1430" s="440">
        <v>1</v>
      </c>
      <c r="AD1430" t="s">
        <v>2106</v>
      </c>
      <c r="AE1430">
        <f ca="1">DCOUNT(Scharniere[[#Headers],[#Data],[Scharnierart]:[Werkzeuglos]],Scharniere[[#Headers],[mit Dämpfung]],AI1429:AO1430)</f>
        <v>20</v>
      </c>
      <c r="AI1430">
        <f ca="1">N1432</f>
        <v>1</v>
      </c>
      <c r="AJ1430">
        <f t="shared" ca="1" si="356"/>
        <v>1</v>
      </c>
      <c r="AK1430">
        <f t="shared" si="356"/>
        <v>1</v>
      </c>
      <c r="AL1430">
        <f>V1469</f>
        <v>1</v>
      </c>
      <c r="AM1430">
        <f t="shared" si="357"/>
        <v>0</v>
      </c>
      <c r="AN1430">
        <f t="shared" si="357"/>
        <v>0</v>
      </c>
      <c r="AO1430">
        <f t="shared" si="357"/>
        <v>0</v>
      </c>
      <c r="AQ1430" t="str">
        <f ca="1">N1433</f>
        <v/>
      </c>
      <c r="AR1430" t="str">
        <f ca="1">O1433</f>
        <v/>
      </c>
      <c r="AS1430">
        <f>P1433</f>
        <v>1</v>
      </c>
      <c r="AT1430">
        <f>AL1430</f>
        <v>1</v>
      </c>
      <c r="AU1430">
        <f t="shared" si="358"/>
        <v>0</v>
      </c>
      <c r="AV1430">
        <f t="shared" si="358"/>
        <v>0</v>
      </c>
      <c r="AW1430">
        <f t="shared" si="358"/>
        <v>0</v>
      </c>
      <c r="AY1430" t="str">
        <f ca="1">N1434</f>
        <v/>
      </c>
      <c r="AZ1430" t="str">
        <f ca="1">O1434</f>
        <v/>
      </c>
      <c r="BA1430">
        <f>P1434</f>
        <v>1</v>
      </c>
      <c r="BB1430">
        <f>AT1430</f>
        <v>1</v>
      </c>
      <c r="BC1430">
        <f t="shared" si="359"/>
        <v>0</v>
      </c>
      <c r="BD1430">
        <f t="shared" si="359"/>
        <v>0</v>
      </c>
      <c r="BE1430">
        <f t="shared" si="359"/>
        <v>0</v>
      </c>
      <c r="BG1430">
        <f ca="1">N1435</f>
        <v>3</v>
      </c>
      <c r="BH1430">
        <f ca="1">O1435</f>
        <v>4</v>
      </c>
      <c r="BI1430">
        <f>P1435</f>
        <v>1</v>
      </c>
      <c r="BJ1430">
        <f>BB1430</f>
        <v>1</v>
      </c>
      <c r="BK1430">
        <f t="shared" si="360"/>
        <v>0</v>
      </c>
      <c r="BL1430">
        <f t="shared" si="360"/>
        <v>0</v>
      </c>
      <c r="BM1430">
        <f t="shared" si="360"/>
        <v>0</v>
      </c>
    </row>
    <row r="1431" spans="1:65" hidden="1" outlineLevel="1" x14ac:dyDescent="0.25">
      <c r="A1431" s="92">
        <v>4</v>
      </c>
      <c r="B1431" s="379" t="str">
        <f t="shared" ca="1" si="354"/>
        <v xml:space="preserve">     Inset Beaded (Rahmenkonstruktion)</v>
      </c>
      <c r="C1431" s="562" t="str">
        <f ca="1">Sprache!A143</f>
        <v>Inset Beaded (Rahmenkonstruktion)</v>
      </c>
      <c r="D1431" s="628" t="str">
        <f t="shared" ca="1" si="355"/>
        <v/>
      </c>
      <c r="E1431" s="92">
        <f ca="1">AG1650</f>
        <v>0</v>
      </c>
      <c r="F1431" s="56">
        <f ca="1">rand!B129</f>
        <v>1</v>
      </c>
      <c r="H1431" s="71">
        <v>42</v>
      </c>
      <c r="I1431" s="565" t="str">
        <f t="shared" ca="1" si="348"/>
        <v xml:space="preserve">     ---------</v>
      </c>
      <c r="J1431" s="325" t="str">
        <f ca="1">IF(Konfig!$O$25&lt;&gt;"*",select!K1431,rand!B79)</f>
        <v>---------</v>
      </c>
      <c r="K1431" s="549">
        <f t="array" aca="1" ref="K1431" ca="1">IFERROR(INDEX(rand!$C$38:$C$95,LARGE((rand!$P$38:$P$95=select!$L$178)*(ROW(rand!$P$38:$P$95)-rand!$C$37),COUNTIF(rand!$P$38:$P$95,1)+1-ROW(A42))),"")</f>
        <v>-2</v>
      </c>
      <c r="L1431" s="118">
        <f t="shared" ca="1" si="339"/>
        <v>0</v>
      </c>
      <c r="N1431" t="str">
        <f>N1426</f>
        <v>Scharnierart</v>
      </c>
      <c r="O1431" t="str">
        <f>O1426</f>
        <v>Gruppenschlüssel</v>
      </c>
      <c r="P1431" s="392" t="str">
        <f>Scharniere[[#Headers],[ohne Feder]]</f>
        <v>ohne Feder</v>
      </c>
      <c r="Q1431" s="381" t="str">
        <f ca="1">V1422</f>
        <v>Tipmatic</v>
      </c>
      <c r="W1431" s="392"/>
      <c r="AD1431" t="s">
        <v>2107</v>
      </c>
      <c r="AE1431">
        <f ca="1">DCOUNT(Scharniere[[#Headers],[#Data],[Scharnierart]:[Werkzeuglos]],Scharniere[[#Headers],[mit Dämpfung]],AQ1429:AW1430)</f>
        <v>0</v>
      </c>
    </row>
    <row r="1432" spans="1:65" hidden="1" outlineLevel="1" x14ac:dyDescent="0.25">
      <c r="D1432" s="669">
        <f ca="1">VLOOKUP(A1427,A1428:D1431,4,FALSE)</f>
        <v>1</v>
      </c>
      <c r="E1432" s="557">
        <f ca="1">SUM(E1428:E1431)</f>
        <v>2</v>
      </c>
      <c r="H1432" s="71">
        <v>43</v>
      </c>
      <c r="I1432" s="565" t="str">
        <f t="shared" ca="1" si="348"/>
        <v>✓ 4,0 mm</v>
      </c>
      <c r="J1432" s="325">
        <f ca="1">IF(Konfig!$O$25&lt;&gt;"*",select!K1432,rand!B80)</f>
        <v>4</v>
      </c>
      <c r="K1432" s="549">
        <f t="array" aca="1" ref="K1432" ca="1">IFERROR(INDEX(rand!$C$38:$C$95,LARGE((rand!$P$38:$P$95=select!$L$178)*(ROW(rand!$P$38:$P$95)-rand!$C$37),COUNTIF(rand!$P$38:$P$95,1)+1-ROW(A43))),"")</f>
        <v>-3</v>
      </c>
      <c r="L1432" s="118">
        <f t="shared" ca="1" si="339"/>
        <v>1</v>
      </c>
      <c r="N1432" s="182">
        <f ca="1">$O$1368</f>
        <v>1</v>
      </c>
      <c r="O1432" s="439">
        <f ca="1">$P$1368</f>
        <v>1</v>
      </c>
      <c r="P1432" s="390">
        <v>1</v>
      </c>
      <c r="Q1432" s="34">
        <f ca="1">DCOUNT(Scharniere[[#Headers],[#Data],[Scharnierart]:[Werkzeuglos]],Scharniere[[#Headers],[mit Dämpfung]],N1431:P1435)</f>
        <v>67</v>
      </c>
      <c r="U1432" t="s">
        <v>13</v>
      </c>
      <c r="AD1432" t="s">
        <v>2108</v>
      </c>
      <c r="AE1432">
        <f ca="1">DCOUNT(Scharniere[[#Headers],[#Data],[Scharnierart]:[Werkzeuglos]],Scharniere[[#Headers],[mit Dämpfung]],AY1429:BE1430)</f>
        <v>0</v>
      </c>
    </row>
    <row r="1433" spans="1:65" hidden="1" outlineLevel="1" x14ac:dyDescent="0.25">
      <c r="H1433" s="71">
        <v>44</v>
      </c>
      <c r="I1433" s="565" t="str">
        <f t="shared" ca="1" si="348"/>
        <v xml:space="preserve">     ---------</v>
      </c>
      <c r="J1433" s="325" t="str">
        <f ca="1">IF(Konfig!$O$25&lt;&gt;"*",select!K1433,rand!B81)</f>
        <v>---------</v>
      </c>
      <c r="K1433" s="549">
        <f t="array" aca="1" ref="K1433" ca="1">IFERROR(INDEX(rand!$C$38:$C$95,LARGE((rand!$P$38:$P$95=select!$L$178)*(ROW(rand!$P$38:$P$95)-rand!$C$37),COUNTIF(rand!$P$38:$P$95,1)+1-ROW(A44))),"")</f>
        <v>-4</v>
      </c>
      <c r="L1433" s="118">
        <f t="shared" ca="1" si="339"/>
        <v>0</v>
      </c>
      <c r="N1433" s="182" t="str">
        <f ca="1">$O$1369</f>
        <v/>
      </c>
      <c r="O1433" s="439" t="str">
        <f ca="1">$P$1369</f>
        <v/>
      </c>
      <c r="P1433" s="392">
        <v>1</v>
      </c>
      <c r="AD1433" t="s">
        <v>2109</v>
      </c>
      <c r="AE1433">
        <f ca="1">DCOUNT(Scharniere[[#Headers],[#Data],[Scharnierart]:[Werkzeuglos]],Scharniere[[#Headers],[mit Dämpfung]],BG1429:BM1430)</f>
        <v>3</v>
      </c>
    </row>
    <row r="1434" spans="1:65" ht="15.75" hidden="1" outlineLevel="1" thickBot="1" x14ac:dyDescent="0.3">
      <c r="A1434" s="24" t="s">
        <v>1840</v>
      </c>
      <c r="B1434" s="393">
        <f>VLOOKUP(A1435,A1436:C1443,3,FALSE)</f>
        <v>19</v>
      </c>
      <c r="H1434" s="71">
        <v>45</v>
      </c>
      <c r="I1434" s="565" t="str">
        <f t="shared" ca="1" si="348"/>
        <v xml:space="preserve">     ---------</v>
      </c>
      <c r="J1434" s="325" t="str">
        <f ca="1">IF(Konfig!$O$25&lt;&gt;"*",select!K1434,rand!B82)</f>
        <v>---------</v>
      </c>
      <c r="K1434" s="549" t="str">
        <f t="array" aca="1" ref="K1434" ca="1">IFERROR(INDEX(rand!$C$38:$C$95,LARGE((rand!$P$38:$P$95=select!$L$178)*(ROW(rand!$P$38:$P$95)-rand!$C$37),COUNTIF(rand!$P$38:$P$95,1)+1-ROW(A45))),"")</f>
        <v/>
      </c>
      <c r="L1434" s="118">
        <f t="shared" ca="1" si="339"/>
        <v>0</v>
      </c>
      <c r="N1434" s="182" t="str">
        <f ca="1">$O$1370</f>
        <v/>
      </c>
      <c r="O1434" s="439" t="str">
        <f ca="1">$P$1370</f>
        <v/>
      </c>
      <c r="P1434" s="392">
        <v>1</v>
      </c>
      <c r="U1434">
        <f>ROW()</f>
        <v>1434</v>
      </c>
      <c r="W1434" t="s">
        <v>2106</v>
      </c>
      <c r="X1434" t="s">
        <v>2107</v>
      </c>
      <c r="Y1434" t="s">
        <v>2108</v>
      </c>
      <c r="Z1434" t="s">
        <v>2109</v>
      </c>
      <c r="AE1434" t="str">
        <f>P1436</f>
        <v>Anschrauben</v>
      </c>
      <c r="AJ1434" t="str">
        <f>N1436</f>
        <v>Scharnierart</v>
      </c>
      <c r="AK1434" t="str">
        <f>O1436</f>
        <v>Gruppenschlüssel</v>
      </c>
      <c r="AL1434" t="str">
        <f>P1436</f>
        <v>Anschrauben</v>
      </c>
      <c r="AN1434" t="str">
        <f>AJ1434</f>
        <v>Scharnierart</v>
      </c>
      <c r="AO1434" t="str">
        <f>AK1434</f>
        <v>Gruppenschlüssel</v>
      </c>
      <c r="AP1434" t="str">
        <f>AL1434</f>
        <v>Anschrauben</v>
      </c>
      <c r="AR1434" t="str">
        <f>AN1434</f>
        <v>Scharnierart</v>
      </c>
      <c r="AS1434" t="str">
        <f>AO1434</f>
        <v>Gruppenschlüssel</v>
      </c>
      <c r="AT1434" t="str">
        <f>AP1434</f>
        <v>Anschrauben</v>
      </c>
    </row>
    <row r="1435" spans="1:65" ht="15.75" hidden="1" outlineLevel="1" thickBot="1" x14ac:dyDescent="0.3">
      <c r="A1435" s="288">
        <v>5</v>
      </c>
      <c r="H1435" s="71">
        <v>46</v>
      </c>
      <c r="I1435" s="565" t="str">
        <f t="shared" ca="1" si="348"/>
        <v xml:space="preserve">     ---------</v>
      </c>
      <c r="J1435" s="325" t="str">
        <f ca="1">IF(Konfig!$O$25&lt;&gt;"*",select!K1435,rand!B83)</f>
        <v>---------</v>
      </c>
      <c r="K1435" s="549" t="str">
        <f t="array" aca="1" ref="K1435" ca="1">IFERROR(INDEX(rand!$C$38:$C$95,LARGE((rand!$P$38:$P$95=select!$L$178)*(ROW(rand!$P$38:$P$95)-rand!$C$37),COUNTIF(rand!$P$38:$P$95,1)+1-ROW(A46))),"")</f>
        <v/>
      </c>
      <c r="L1435" s="118">
        <f t="shared" ca="1" si="339"/>
        <v>0</v>
      </c>
      <c r="N1435" s="182">
        <f ca="1">$O$1371</f>
        <v>3</v>
      </c>
      <c r="O1435" s="439">
        <f ca="1">$P$1371</f>
        <v>4</v>
      </c>
      <c r="P1435" s="443">
        <v>1</v>
      </c>
      <c r="Q1435" s="51"/>
      <c r="U1435">
        <f ca="1">IF(Q1437&gt;0,1,"")</f>
        <v>1</v>
      </c>
      <c r="V1435" t="str">
        <f ca="1">Sprache!A184</f>
        <v>Click-on Anschrauben</v>
      </c>
      <c r="W1435" s="523">
        <f ca="1">IF(AE1435&gt;0,1,"")</f>
        <v>1</v>
      </c>
      <c r="X1435" s="523" t="str">
        <f ca="1">IF(AE1436&gt;0,1,"")</f>
        <v/>
      </c>
      <c r="Y1435" s="523" t="str">
        <f ca="1">IF(AE1437&gt;0,1,"")</f>
        <v/>
      </c>
      <c r="Z1435" s="523">
        <f ca="1">IF(AE1438&gt;0,1,"")</f>
        <v>1</v>
      </c>
      <c r="AD1435" t="s">
        <v>2106</v>
      </c>
      <c r="AE1435">
        <f ca="1">DCOUNT(Scharniere[[#Headers],[#Data],[Scharnierart]:[Werkzeuglos]],Scharniere[[#Headers],[mit Dämpfung]],N1436:P1437)</f>
        <v>62</v>
      </c>
      <c r="AJ1435" t="str">
        <f ca="1">N1438</f>
        <v/>
      </c>
      <c r="AK1435" t="str">
        <f ca="1">O1438</f>
        <v/>
      </c>
      <c r="AL1435">
        <f>P1438</f>
        <v>1</v>
      </c>
      <c r="AN1435" t="str">
        <f ca="1">N1439</f>
        <v/>
      </c>
      <c r="AO1435" t="str">
        <f ca="1">O1439</f>
        <v/>
      </c>
      <c r="AP1435">
        <f>P1439</f>
        <v>1</v>
      </c>
      <c r="AR1435">
        <f ca="1">N1440</f>
        <v>3</v>
      </c>
      <c r="AS1435">
        <f ca="1">O1440</f>
        <v>4</v>
      </c>
      <c r="AT1435">
        <f>P1440</f>
        <v>1</v>
      </c>
    </row>
    <row r="1436" spans="1:65" hidden="1" outlineLevel="1" x14ac:dyDescent="0.25">
      <c r="A1436" s="71">
        <v>1</v>
      </c>
      <c r="B1436" s="566" t="str">
        <f ca="1">IF(C1436&lt;&gt;"",IF(D1436=1,$B$6&amp;" "&amp;TEXT(C1436,"0,0")&amp;" mm",$B$5&amp;" "&amp;TEXT(C1436,"0,0")&amp;" mm"),"")</f>
        <v xml:space="preserve">     24,0 mm</v>
      </c>
      <c r="C1436" s="539">
        <v>24</v>
      </c>
      <c r="D1436" s="540">
        <f ca="1">B1623</f>
        <v>0</v>
      </c>
      <c r="H1436" s="71">
        <v>47</v>
      </c>
      <c r="I1436" s="565" t="str">
        <f t="shared" ca="1" si="348"/>
        <v xml:space="preserve">     ---------</v>
      </c>
      <c r="J1436" s="325" t="str">
        <f ca="1">IF(Konfig!$O$25&lt;&gt;"*",select!K1436,rand!B84)</f>
        <v>---------</v>
      </c>
      <c r="K1436" s="549" t="str">
        <f t="array" aca="1" ref="K1436" ca="1">IFERROR(INDEX(rand!$C$38:$C$95,LARGE((rand!$P$38:$P$95=select!$L$178)*(ROW(rand!$P$38:$P$95)-rand!$C$37),COUNTIF(rand!$P$38:$P$95,1)+1-ROW(A47))),"")</f>
        <v/>
      </c>
      <c r="L1436" s="118">
        <f t="shared" ca="1" si="339"/>
        <v>0</v>
      </c>
      <c r="N1436" t="str">
        <f>N1431</f>
        <v>Scharnierart</v>
      </c>
      <c r="O1436" t="str">
        <f>O1431</f>
        <v>Gruppenschlüssel</v>
      </c>
      <c r="P1436" s="392" t="str">
        <f>Scharniere[[#Headers],[Anschrauben]]</f>
        <v>Anschrauben</v>
      </c>
      <c r="Q1436" s="1" t="s">
        <v>1445</v>
      </c>
      <c r="U1436">
        <f ca="1">IF(Q1442&gt;0,1,"")</f>
        <v>1</v>
      </c>
      <c r="V1436" t="str">
        <f ca="1">Sprache!A185</f>
        <v>Click-on Einpressen</v>
      </c>
      <c r="W1436" s="523">
        <f ca="1">IF(AE1440&gt;0,1,"")</f>
        <v>1</v>
      </c>
      <c r="X1436" s="523" t="str">
        <f ca="1">IF(AE1441&gt;0,1,"")</f>
        <v/>
      </c>
      <c r="Y1436" s="523" t="str">
        <f ca="1">IF(AE1442&gt;0,1,"")</f>
        <v/>
      </c>
      <c r="Z1436" s="523" t="str">
        <f ca="1">IF(AE1443&gt;0,1,"")</f>
        <v/>
      </c>
      <c r="AD1436" t="s">
        <v>2107</v>
      </c>
      <c r="AE1436">
        <f ca="1">DCOUNT(Scharniere[[#Headers],[#Data],[Scharnierart]:[Werkzeuglos]],Scharniere[[#Headers],[mit Dämpfung]],AJ1434:AL1435)</f>
        <v>0</v>
      </c>
    </row>
    <row r="1437" spans="1:65" hidden="1" outlineLevel="1" x14ac:dyDescent="0.25">
      <c r="A1437" s="71">
        <v>2</v>
      </c>
      <c r="B1437" s="567" t="str">
        <f t="shared" ref="B1437:B1443" ca="1" si="361">IF(C1437&lt;&gt;"",IF(D1437=1,$B$6&amp;" "&amp;TEXT(C1437,"0,0")&amp;" mm",$B$5&amp;" "&amp;TEXT(C1437,"0,0")&amp;" mm"),"")</f>
        <v xml:space="preserve">     22,0 mm</v>
      </c>
      <c r="C1437" s="465">
        <v>22</v>
      </c>
      <c r="D1437" s="118">
        <f t="shared" ref="D1437:D1443" ca="1" si="362">B1624</f>
        <v>0</v>
      </c>
      <c r="H1437" s="71">
        <v>48</v>
      </c>
      <c r="I1437" s="565" t="str">
        <f t="shared" ca="1" si="348"/>
        <v xml:space="preserve">     ---------</v>
      </c>
      <c r="J1437" s="325" t="str">
        <f ca="1">IF(Konfig!$O$25&lt;&gt;"*",select!K1437,rand!B85)</f>
        <v>---------</v>
      </c>
      <c r="K1437" s="549" t="str">
        <f t="array" aca="1" ref="K1437" ca="1">IFERROR(INDEX(rand!$C$38:$C$95,LARGE((rand!$P$38:$P$95=select!$L$178)*(ROW(rand!$P$38:$P$95)-rand!$C$37),COUNTIF(rand!$P$38:$P$95,1)+1-ROW(A48))),"")</f>
        <v/>
      </c>
      <c r="L1437" s="118">
        <f t="shared" ca="1" si="339"/>
        <v>0</v>
      </c>
      <c r="N1437" s="182">
        <f ca="1">$O$1368</f>
        <v>1</v>
      </c>
      <c r="O1437" s="439">
        <f ca="1">$P$1368</f>
        <v>1</v>
      </c>
      <c r="P1437" s="440">
        <v>1</v>
      </c>
      <c r="Q1437" s="34">
        <f ca="1">DCOUNT(Scharniere[[#Headers],[#Data],[Scharnierart]:[Werkzeuglos]],Scharniere[[#Headers],[mit Dämpfung]],N1436:P1440)</f>
        <v>71</v>
      </c>
      <c r="U1437">
        <f ca="1">IF(Q1447&gt;0,1,"")</f>
        <v>1</v>
      </c>
      <c r="V1437" t="str">
        <f ca="1">Sprache!A186</f>
        <v>Click-on Quick</v>
      </c>
      <c r="W1437" s="523">
        <f ca="1">IF(AE1445&gt;0,1,"")</f>
        <v>1</v>
      </c>
      <c r="X1437" s="523" t="str">
        <f ca="1">IF(AE1446&gt;0,1,"")</f>
        <v/>
      </c>
      <c r="Y1437" s="523" t="str">
        <f ca="1">IF(AE1447&gt;0,1,"")</f>
        <v/>
      </c>
      <c r="Z1437" s="523" t="str">
        <f ca="1">IF(AE1448&gt;0,1,"")</f>
        <v/>
      </c>
      <c r="AD1437" t="s">
        <v>2108</v>
      </c>
      <c r="AE1437">
        <f ca="1">DCOUNT(Scharniere[[#Headers],[#Data],[Scharnierart]:[Werkzeuglos]],Scharniere[[#Headers],[mit Dämpfung]],AN1434:AP1435)</f>
        <v>0</v>
      </c>
    </row>
    <row r="1438" spans="1:65" hidden="1" outlineLevel="1" x14ac:dyDescent="0.25">
      <c r="A1438" s="71">
        <v>3</v>
      </c>
      <c r="B1438" s="567" t="str">
        <f t="shared" ca="1" si="361"/>
        <v xml:space="preserve">     21,0 mm</v>
      </c>
      <c r="C1438" s="465">
        <v>21</v>
      </c>
      <c r="D1438" s="118">
        <f t="shared" ca="1" si="362"/>
        <v>0</v>
      </c>
      <c r="H1438" s="71">
        <v>49</v>
      </c>
      <c r="I1438" s="565" t="str">
        <f t="shared" ca="1" si="348"/>
        <v xml:space="preserve">     ---------</v>
      </c>
      <c r="J1438" s="325" t="str">
        <f ca="1">IF(Konfig!$O$25&lt;&gt;"*",select!K1438,rand!B86)</f>
        <v>---------</v>
      </c>
      <c r="K1438" s="549" t="str">
        <f t="array" aca="1" ref="K1438" ca="1">IFERROR(INDEX(rand!$C$38:$C$95,LARGE((rand!$P$38:$P$95=select!$L$178)*(ROW(rand!$P$38:$P$95)-rand!$C$37),COUNTIF(rand!$P$38:$P$95,1)+1-ROW(A49))),"")</f>
        <v/>
      </c>
      <c r="L1438" s="118">
        <f t="shared" ca="1" si="339"/>
        <v>0</v>
      </c>
      <c r="N1438" s="182" t="str">
        <f ca="1">$O$1369</f>
        <v/>
      </c>
      <c r="O1438" s="439" t="str">
        <f ca="1">$P$1369</f>
        <v/>
      </c>
      <c r="P1438" s="390">
        <v>1</v>
      </c>
      <c r="U1438">
        <f ca="1">IF(Q1452&gt;0,1,"")</f>
        <v>1</v>
      </c>
      <c r="V1438" t="str">
        <f ca="1">Sprache!A189</f>
        <v>Impresso</v>
      </c>
      <c r="W1438" s="523">
        <f ca="1">IF(AE1450&gt;0,1,"")</f>
        <v>1</v>
      </c>
      <c r="X1438" s="523" t="str">
        <f ca="1">IF(AE1451&gt;0,1,"")</f>
        <v/>
      </c>
      <c r="Y1438" s="523" t="str">
        <f ca="1">IF(AE1452&gt;0,1,"")</f>
        <v/>
      </c>
      <c r="Z1438" s="523" t="str">
        <f ca="1">IF(AE1453&gt;0,1,"")</f>
        <v/>
      </c>
      <c r="AD1438" t="s">
        <v>2109</v>
      </c>
      <c r="AE1438">
        <f ca="1">DCOUNT(Scharniere[[#Headers],[#Data],[Scharnierart]:[Werkzeuglos]],Scharniere[[#Headers],[mit Dämpfung]],AR1434:AT1435)</f>
        <v>9</v>
      </c>
    </row>
    <row r="1439" spans="1:65" hidden="1" outlineLevel="1" x14ac:dyDescent="0.25">
      <c r="A1439" s="71">
        <v>4</v>
      </c>
      <c r="B1439" s="567" t="str">
        <f t="shared" ca="1" si="361"/>
        <v xml:space="preserve">     20,0 mm</v>
      </c>
      <c r="C1439" s="465">
        <v>20</v>
      </c>
      <c r="D1439" s="118">
        <f t="shared" ca="1" si="362"/>
        <v>0</v>
      </c>
      <c r="H1439" s="71">
        <v>50</v>
      </c>
      <c r="I1439" s="565" t="str">
        <f t="shared" ca="1" si="348"/>
        <v xml:space="preserve">     ---------</v>
      </c>
      <c r="J1439" s="325" t="str">
        <f ca="1">IF(Konfig!$O$25&lt;&gt;"*",select!K1439,rand!B87)</f>
        <v>---------</v>
      </c>
      <c r="K1439" s="549" t="str">
        <f t="array" aca="1" ref="K1439" ca="1">IFERROR(INDEX(rand!$C$38:$C$95,LARGE((rand!$P$38:$P$95=select!$L$178)*(ROW(rand!$P$38:$P$95)-rand!$C$37),COUNTIF(rand!$P$38:$P$95,1)+1-ROW(A50))),"")</f>
        <v/>
      </c>
      <c r="L1439" s="118">
        <f t="shared" ca="1" si="339"/>
        <v>0</v>
      </c>
      <c r="N1439" s="182" t="str">
        <f ca="1">$O$1370</f>
        <v/>
      </c>
      <c r="O1439" s="439" t="str">
        <f ca="1">$P$1370</f>
        <v/>
      </c>
      <c r="P1439" s="392">
        <v>1</v>
      </c>
      <c r="AE1439" t="str">
        <f>P1441</f>
        <v>Einpressen</v>
      </c>
      <c r="AJ1439" t="str">
        <f>N1441</f>
        <v>Scharnierart</v>
      </c>
      <c r="AK1439" t="str">
        <f>O1441</f>
        <v>Gruppenschlüssel</v>
      </c>
      <c r="AL1439" t="str">
        <f>P1441</f>
        <v>Einpressen</v>
      </c>
      <c r="AN1439" t="str">
        <f>AJ1439</f>
        <v>Scharnierart</v>
      </c>
      <c r="AO1439" t="str">
        <f>AK1439</f>
        <v>Gruppenschlüssel</v>
      </c>
      <c r="AP1439" t="str">
        <f>AL1439</f>
        <v>Einpressen</v>
      </c>
      <c r="AR1439" t="str">
        <f>AN1439</f>
        <v>Scharnierart</v>
      </c>
      <c r="AS1439" t="str">
        <f>AO1439</f>
        <v>Gruppenschlüssel</v>
      </c>
      <c r="AT1439" t="str">
        <f>AP1439</f>
        <v>Einpressen</v>
      </c>
    </row>
    <row r="1440" spans="1:65" hidden="1" outlineLevel="1" x14ac:dyDescent="0.25">
      <c r="A1440" s="71">
        <v>5</v>
      </c>
      <c r="B1440" s="567" t="str">
        <f t="shared" ca="1" si="361"/>
        <v xml:space="preserve">     19,0 mm</v>
      </c>
      <c r="C1440" s="465">
        <v>19</v>
      </c>
      <c r="D1440" s="118">
        <f t="shared" ca="1" si="362"/>
        <v>0</v>
      </c>
      <c r="H1440" s="71">
        <v>51</v>
      </c>
      <c r="I1440" s="565" t="str">
        <f t="shared" ca="1" si="348"/>
        <v>✓ 0,0 mm</v>
      </c>
      <c r="J1440" s="325">
        <f ca="1">IF(Konfig!$O$25&lt;&gt;"*",select!K1440,rand!B88)</f>
        <v>0</v>
      </c>
      <c r="K1440" s="549" t="str">
        <f t="array" aca="1" ref="K1440" ca="1">IFERROR(INDEX(rand!$C$38:$C$95,LARGE((rand!$P$38:$P$95=select!$L$178)*(ROW(rand!$P$38:$P$95)-rand!$C$37),COUNTIF(rand!$P$38:$P$95,1)+1-ROW(A51))),"")</f>
        <v/>
      </c>
      <c r="L1440" s="118">
        <f t="shared" ca="1" si="339"/>
        <v>1</v>
      </c>
      <c r="N1440" s="182">
        <f ca="1">$O$1371</f>
        <v>3</v>
      </c>
      <c r="O1440" s="439">
        <f ca="1">$P$1371</f>
        <v>4</v>
      </c>
      <c r="P1440" s="392">
        <v>1</v>
      </c>
      <c r="AD1440" t="s">
        <v>2106</v>
      </c>
      <c r="AE1440">
        <f ca="1">DCOUNT(Scharniere[[#Headers],[#Data],[Scharnierart]:[Werkzeuglos]],Scharniere[[#Headers],[mit Dämpfung]],N1441:P1442)</f>
        <v>60</v>
      </c>
      <c r="AJ1440" t="str">
        <f ca="1">N1443</f>
        <v/>
      </c>
      <c r="AK1440" t="str">
        <f ca="1">O1443</f>
        <v/>
      </c>
      <c r="AL1440">
        <f>P1443</f>
        <v>1</v>
      </c>
      <c r="AN1440" t="str">
        <f ca="1">N1444</f>
        <v/>
      </c>
      <c r="AO1440" t="str">
        <f ca="1">O1444</f>
        <v/>
      </c>
      <c r="AP1440">
        <f>P1444</f>
        <v>1</v>
      </c>
      <c r="AR1440">
        <f ca="1">N1445</f>
        <v>3</v>
      </c>
      <c r="AS1440">
        <f ca="1">O1445</f>
        <v>4</v>
      </c>
      <c r="AT1440">
        <f>P1445</f>
        <v>1</v>
      </c>
    </row>
    <row r="1441" spans="1:65" hidden="1" outlineLevel="1" x14ac:dyDescent="0.25">
      <c r="A1441" s="71">
        <v>6</v>
      </c>
      <c r="B1441" s="567" t="str">
        <f t="shared" ca="1" si="361"/>
        <v xml:space="preserve">     18,0 mm</v>
      </c>
      <c r="C1441" s="440">
        <v>18</v>
      </c>
      <c r="D1441" s="118">
        <f t="shared" ca="1" si="362"/>
        <v>0</v>
      </c>
      <c r="H1441" s="71">
        <v>52</v>
      </c>
      <c r="I1441" s="565" t="str">
        <f t="shared" ca="1" si="348"/>
        <v xml:space="preserve">     -0,5 mm</v>
      </c>
      <c r="J1441" s="325">
        <f ca="1">IF(Konfig!$O$25&lt;&gt;"*",select!K1441,rand!B89)</f>
        <v>-0.5</v>
      </c>
      <c r="K1441" s="549" t="str">
        <f t="array" aca="1" ref="K1441" ca="1">IFERROR(INDEX(rand!$C$38:$C$95,LARGE((rand!$P$38:$P$95=select!$L$178)*(ROW(rand!$P$38:$P$95)-rand!$C$37),COUNTIF(rand!$P$38:$P$95,1)+1-ROW(A52))),"")</f>
        <v/>
      </c>
      <c r="L1441" s="118">
        <f t="shared" ca="1" si="339"/>
        <v>0</v>
      </c>
      <c r="N1441" t="str">
        <f>N1436</f>
        <v>Scharnierart</v>
      </c>
      <c r="O1441" t="str">
        <f>O1436</f>
        <v>Gruppenschlüssel</v>
      </c>
      <c r="P1441" s="392" t="str">
        <f>Scharniere[[#Headers],[Einpressen]]</f>
        <v>Einpressen</v>
      </c>
      <c r="Q1441" s="1" t="s">
        <v>1445</v>
      </c>
      <c r="AD1441" t="s">
        <v>2107</v>
      </c>
      <c r="AE1441">
        <f ca="1">DCOUNT(Scharniere[[#Headers],[#Data],[Scharnierart]:[Werkzeuglos]],Scharniere[[#Headers],[mit Dämpfung]],AJ1439:AL1440)</f>
        <v>0</v>
      </c>
    </row>
    <row r="1442" spans="1:65" hidden="1" outlineLevel="1" x14ac:dyDescent="0.25">
      <c r="A1442" s="71">
        <v>7</v>
      </c>
      <c r="B1442" s="567" t="str">
        <f t="shared" ca="1" si="361"/>
        <v xml:space="preserve">     17,0 mm</v>
      </c>
      <c r="C1442" s="465">
        <v>17</v>
      </c>
      <c r="D1442" s="118">
        <f t="shared" ca="1" si="362"/>
        <v>0</v>
      </c>
      <c r="H1442" s="71">
        <v>53</v>
      </c>
      <c r="I1442" s="565" t="str">
        <f t="shared" ca="1" si="348"/>
        <v>✓ -1,0 mm</v>
      </c>
      <c r="J1442" s="325">
        <f ca="1">IF(Konfig!$O$25&lt;&gt;"*",select!K1442,rand!B90)</f>
        <v>-1</v>
      </c>
      <c r="K1442" s="549" t="str">
        <f t="array" aca="1" ref="K1442" ca="1">IFERROR(INDEX(rand!$C$38:$C$95,LARGE((rand!$P$38:$P$95=select!$L$178)*(ROW(rand!$P$38:$P$95)-rand!$C$37),COUNTIF(rand!$P$38:$P$95,1)+1-ROW(A53))),"")</f>
        <v/>
      </c>
      <c r="L1442" s="118">
        <f t="shared" ca="1" si="339"/>
        <v>1</v>
      </c>
      <c r="N1442" s="182">
        <f ca="1">$O$1368</f>
        <v>1</v>
      </c>
      <c r="O1442" s="439">
        <f ca="1">$P$1368</f>
        <v>1</v>
      </c>
      <c r="P1442" s="390">
        <v>1</v>
      </c>
      <c r="Q1442" s="34">
        <f ca="1">DCOUNT(Scharniere[[#Headers],[#Data],[Scharnierart]:[Werkzeuglos]],Scharniere[[#Headers],[mit Dämpfung]],N1441:P1445)</f>
        <v>60</v>
      </c>
      <c r="AD1442" t="s">
        <v>2108</v>
      </c>
      <c r="AE1442">
        <f ca="1">DCOUNT(Scharniere[[#Headers],[#Data],[Scharnierart]:[Werkzeuglos]],Scharniere[[#Headers],[mit Dämpfung]],AN1439:AP1440)</f>
        <v>0</v>
      </c>
    </row>
    <row r="1443" spans="1:65" hidden="1" outlineLevel="1" x14ac:dyDescent="0.25">
      <c r="A1443" s="92">
        <v>8</v>
      </c>
      <c r="B1443" s="568" t="str">
        <f t="shared" ca="1" si="361"/>
        <v xml:space="preserve">     16,0 mm</v>
      </c>
      <c r="C1443" s="174">
        <v>16</v>
      </c>
      <c r="D1443" s="185">
        <f t="shared" ca="1" si="362"/>
        <v>0</v>
      </c>
      <c r="H1443" s="71">
        <v>54</v>
      </c>
      <c r="I1443" s="565" t="str">
        <f t="shared" ca="1" si="348"/>
        <v>✓ -1,5 mm</v>
      </c>
      <c r="J1443" s="325">
        <f ca="1">IF(Konfig!$O$25&lt;&gt;"*",select!K1443,rand!B91)</f>
        <v>-1.5</v>
      </c>
      <c r="K1443" s="549" t="str">
        <f t="array" aca="1" ref="K1443" ca="1">IFERROR(INDEX(rand!$C$38:$C$95,LARGE((rand!$P$38:$P$95=select!$L$178)*(ROW(rand!$P$38:$P$95)-rand!$C$37),COUNTIF(rand!$P$38:$P$95,1)+1-ROW(A54))),"")</f>
        <v/>
      </c>
      <c r="L1443" s="118">
        <f t="shared" ca="1" si="339"/>
        <v>1</v>
      </c>
      <c r="N1443" s="182" t="str">
        <f ca="1">$O$1369</f>
        <v/>
      </c>
      <c r="O1443" s="439" t="str">
        <f ca="1">$P$1369</f>
        <v/>
      </c>
      <c r="P1443" s="392">
        <v>1</v>
      </c>
      <c r="AD1443" t="s">
        <v>2109</v>
      </c>
      <c r="AE1443">
        <f ca="1">DCOUNT(Scharniere[[#Headers],[#Data],[Scharnierart]:[Werkzeuglos]],Scharniere[[#Headers],[mit Dämpfung]],AR1439:AT1440)</f>
        <v>0</v>
      </c>
    </row>
    <row r="1444" spans="1:65" hidden="1" outlineLevel="1" x14ac:dyDescent="0.25">
      <c r="H1444" s="71">
        <v>55</v>
      </c>
      <c r="I1444" s="565" t="str">
        <f t="shared" ca="1" si="348"/>
        <v>✓ -2,0 mm</v>
      </c>
      <c r="J1444" s="325">
        <f ca="1">IF(Konfig!$O$25&lt;&gt;"*",select!K1444,rand!B92)</f>
        <v>-2</v>
      </c>
      <c r="K1444" s="549" t="str">
        <f t="array" aca="1" ref="K1444" ca="1">IFERROR(INDEX(rand!$C$38:$C$95,LARGE((rand!$P$38:$P$95=select!$L$178)*(ROW(rand!$P$38:$P$95)-rand!$C$37),COUNTIF(rand!$P$38:$P$95,1)+1-ROW(A55))),"")</f>
        <v/>
      </c>
      <c r="L1444" s="118">
        <f t="shared" ca="1" si="339"/>
        <v>1</v>
      </c>
      <c r="N1444" s="182" t="str">
        <f ca="1">$O$1370</f>
        <v/>
      </c>
      <c r="O1444" s="439" t="str">
        <f ca="1">$P$1370</f>
        <v/>
      </c>
      <c r="P1444" s="392">
        <v>1</v>
      </c>
      <c r="AE1444" t="str">
        <f>P1446</f>
        <v>Quick</v>
      </c>
      <c r="AJ1444" t="str">
        <f>N1446</f>
        <v>Scharnierart</v>
      </c>
      <c r="AK1444" t="str">
        <f>O1446</f>
        <v>Gruppenschlüssel</v>
      </c>
      <c r="AL1444" t="str">
        <f>P1446</f>
        <v>Quick</v>
      </c>
      <c r="AN1444" t="str">
        <f>AJ1444</f>
        <v>Scharnierart</v>
      </c>
      <c r="AO1444" t="str">
        <f>AK1444</f>
        <v>Gruppenschlüssel</v>
      </c>
      <c r="AP1444" t="str">
        <f>AL1444</f>
        <v>Quick</v>
      </c>
      <c r="AR1444" t="str">
        <f>AN1444</f>
        <v>Scharnierart</v>
      </c>
      <c r="AS1444" t="str">
        <f>AO1444</f>
        <v>Gruppenschlüssel</v>
      </c>
      <c r="AT1444" t="str">
        <f>AP1444</f>
        <v>Quick</v>
      </c>
    </row>
    <row r="1445" spans="1:65" hidden="1" outlineLevel="1" x14ac:dyDescent="0.25">
      <c r="H1445" s="71">
        <v>56</v>
      </c>
      <c r="I1445" s="565" t="str">
        <f t="shared" ca="1" si="348"/>
        <v>✓ -3,0 mm</v>
      </c>
      <c r="J1445" s="325">
        <f ca="1">IF(Konfig!$O$25&lt;&gt;"*",select!K1445,rand!B93)</f>
        <v>-3</v>
      </c>
      <c r="K1445" s="549" t="str">
        <f t="array" aca="1" ref="K1445" ca="1">IFERROR(INDEX(rand!$C$38:$C$95,LARGE((rand!$P$38:$P$95=select!$L$178)*(ROW(rand!$P$38:$P$95)-rand!$C$37),COUNTIF(rand!$P$38:$P$95,1)+1-ROW(A56))),"")</f>
        <v/>
      </c>
      <c r="L1445" s="118">
        <f t="shared" ca="1" si="339"/>
        <v>1</v>
      </c>
      <c r="N1445" s="182">
        <f ca="1">$O$1371</f>
        <v>3</v>
      </c>
      <c r="O1445" s="439">
        <f ca="1">$P$1371</f>
        <v>4</v>
      </c>
      <c r="P1445" s="440">
        <v>1</v>
      </c>
      <c r="AD1445" t="s">
        <v>2106</v>
      </c>
      <c r="AE1445">
        <f ca="1">DCOUNT(Scharniere[[#Headers],[#Data],[Scharnierart]:[Werkzeuglos]],Scharniere[[#Headers],[mit Dämpfung]],N1446:P1447)</f>
        <v>8</v>
      </c>
      <c r="AJ1445" t="str">
        <f ca="1">N1448</f>
        <v/>
      </c>
      <c r="AK1445" t="str">
        <f ca="1">O1448</f>
        <v/>
      </c>
      <c r="AL1445">
        <f>P1448</f>
        <v>1</v>
      </c>
      <c r="AN1445" t="str">
        <f ca="1">N1449</f>
        <v/>
      </c>
      <c r="AO1445" t="str">
        <f ca="1">O1449</f>
        <v/>
      </c>
      <c r="AP1445">
        <f>P1449</f>
        <v>1</v>
      </c>
      <c r="AR1445">
        <f ca="1">N1450</f>
        <v>3</v>
      </c>
      <c r="AS1445">
        <f ca="1">O1450</f>
        <v>4</v>
      </c>
      <c r="AT1445">
        <f>P1450</f>
        <v>1</v>
      </c>
    </row>
    <row r="1446" spans="1:65" hidden="1" outlineLevel="1" x14ac:dyDescent="0.25">
      <c r="C1446">
        <v>1</v>
      </c>
      <c r="D1446">
        <v>2</v>
      </c>
      <c r="E1446">
        <v>1</v>
      </c>
      <c r="F1446">
        <v>4</v>
      </c>
      <c r="H1446" s="71">
        <v>57</v>
      </c>
      <c r="I1446" s="565" t="str">
        <f t="shared" ca="1" si="348"/>
        <v xml:space="preserve">     ---------</v>
      </c>
      <c r="J1446" s="325" t="str">
        <f ca="1">IF(Konfig!$O$25&lt;&gt;"*",select!K1446,rand!B94)</f>
        <v>---------</v>
      </c>
      <c r="K1446" s="549" t="str">
        <f t="array" aca="1" ref="K1446" ca="1">IFERROR(INDEX(rand!$C$38:$C$95,LARGE((rand!$P$38:$P$95=select!$L$178)*(ROW(rand!$P$38:$P$95)-rand!$C$37),COUNTIF(rand!$P$38:$P$95,1)+1-ROW(A57))),"")</f>
        <v/>
      </c>
      <c r="L1446" s="118">
        <f t="shared" ca="1" si="339"/>
        <v>0</v>
      </c>
      <c r="N1446" t="str">
        <f>N1441</f>
        <v>Scharnierart</v>
      </c>
      <c r="O1446" t="str">
        <f>O1441</f>
        <v>Gruppenschlüssel</v>
      </c>
      <c r="P1446" s="392" t="str">
        <f>Scharniere[[#Headers],[Quick]]</f>
        <v>Quick</v>
      </c>
      <c r="Q1446" s="1" t="s">
        <v>1445</v>
      </c>
      <c r="AD1446" t="s">
        <v>2107</v>
      </c>
      <c r="AE1446">
        <f ca="1">DCOUNT(Scharniere[[#Headers],[#Data],[Scharnierart]:[Werkzeuglos]],Scharniere[[#Headers],[mit Dämpfung]],AJ1444:AL1445)</f>
        <v>0</v>
      </c>
    </row>
    <row r="1447" spans="1:65" hidden="1" outlineLevel="1" x14ac:dyDescent="0.25">
      <c r="A1447" s="24" t="str">
        <f>A1456&amp;" II"</f>
        <v xml:space="preserve"> Scharnierbefestigung  II</v>
      </c>
      <c r="C1447">
        <v>2</v>
      </c>
      <c r="D1447">
        <v>3</v>
      </c>
      <c r="E1447">
        <v>1</v>
      </c>
      <c r="F1447">
        <v>5</v>
      </c>
      <c r="H1447" s="92">
        <v>58</v>
      </c>
      <c r="I1447" s="565" t="str">
        <f t="shared" ca="1" si="348"/>
        <v>✓ -4,0 mm</v>
      </c>
      <c r="J1447" s="325">
        <f ca="1">IF(Konfig!$O$25&lt;&gt;"*",select!K1447,rand!B95)</f>
        <v>-4</v>
      </c>
      <c r="K1447" s="549" t="str">
        <f t="array" aca="1" ref="K1447" ca="1">IFERROR(INDEX(rand!$C$38:$C$95,LARGE((rand!$P$38:$P$95=select!$L$178)*(ROW(rand!$P$38:$P$95)-rand!$C$37),COUNTIF(rand!$P$38:$P$95,1)+1-ROW(A58))),"")</f>
        <v/>
      </c>
      <c r="L1447" s="185">
        <f ca="1">A1565</f>
        <v>1</v>
      </c>
      <c r="N1447" s="182">
        <f ca="1">$O$1368</f>
        <v>1</v>
      </c>
      <c r="O1447" s="439">
        <f ca="1">$P$1368</f>
        <v>1</v>
      </c>
      <c r="P1447" s="392">
        <v>1</v>
      </c>
      <c r="Q1447" s="34">
        <f ca="1">DCOUNT(Scharniere[[#Headers],[#Data],[Scharnierart]:[Werkzeuglos]],Scharniere[[#Headers],[mit Dämpfung]],N1446:P1450)</f>
        <v>8</v>
      </c>
      <c r="AD1447" t="s">
        <v>2108</v>
      </c>
      <c r="AE1447">
        <f ca="1">DCOUNT(Scharniere[[#Headers],[#Data],[Scharnierart]:[Werkzeuglos]],Scharniere[[#Headers],[mit Dämpfung]],AN1444:AP1445)</f>
        <v>0</v>
      </c>
    </row>
    <row r="1448" spans="1:65" ht="15.75" hidden="1" outlineLevel="1" thickBot="1" x14ac:dyDescent="0.3">
      <c r="A1448" s="78">
        <f>VLOOKUP(A1449,C1446:F1449,A1457+1,FALSE)</f>
        <v>2</v>
      </c>
      <c r="B1448" s="78" t="str">
        <f ca="1">VLOOKUP(A1449,B1450:F1453,A1457+2,FALSE)</f>
        <v>Zum Anschrauben mit Holzschrauben</v>
      </c>
      <c r="C1448">
        <v>3</v>
      </c>
      <c r="D1448">
        <v>0</v>
      </c>
      <c r="E1448">
        <v>1</v>
      </c>
      <c r="F1448">
        <v>6</v>
      </c>
      <c r="J1448" s="325" t="str">
        <f>IF(L1448=1,$B$6&amp;" "&amp;TEXT(K1448,"0,0")&amp;" mm",$B$5&amp;" "&amp;TEXT(K1448,"0,0")&amp;" mm")</f>
        <v xml:space="preserve">     0,0 mm</v>
      </c>
      <c r="K1448" s="325">
        <f>rand!C96</f>
        <v>0</v>
      </c>
      <c r="L1448" s="432">
        <f>rand!P96</f>
        <v>0</v>
      </c>
      <c r="N1448" s="182" t="str">
        <f ca="1">$O$1369</f>
        <v/>
      </c>
      <c r="O1448" s="439" t="str">
        <f ca="1">$P$1369</f>
        <v/>
      </c>
      <c r="P1448" s="392">
        <v>1</v>
      </c>
      <c r="AD1448" t="s">
        <v>2109</v>
      </c>
      <c r="AE1448">
        <f ca="1">DCOUNT(Scharniere[[#Headers],[#Data],[Scharnierart]:[Werkzeuglos]],Scharniere[[#Headers],[mit Dämpfung]],AR1444:AT1445)</f>
        <v>0</v>
      </c>
    </row>
    <row r="1449" spans="1:65" hidden="1" outlineLevel="1" x14ac:dyDescent="0.25">
      <c r="A1449" s="458">
        <v>1</v>
      </c>
      <c r="B1449" t="s">
        <v>872</v>
      </c>
      <c r="C1449">
        <v>4</v>
      </c>
      <c r="D1449">
        <v>0</v>
      </c>
      <c r="E1449">
        <v>1</v>
      </c>
      <c r="F1449">
        <v>7</v>
      </c>
      <c r="K1449" s="549" t="str">
        <f t="array" aca="1" ref="K1449" ca="1">IFERROR(INDEX(rand!$C$38:$C$95,LARGE((rand!$P$38:$P$95=select!$L$178)*(ROW(rand!$P$38:$P$95)-rand!$C$37),COUNTIF(rand!$P$38:$P$95,1)+1-ROW(A60))),"")</f>
        <v/>
      </c>
      <c r="N1449" s="182" t="str">
        <f ca="1">$O$1370</f>
        <v/>
      </c>
      <c r="O1449" s="439" t="str">
        <f ca="1">$P$1370</f>
        <v/>
      </c>
      <c r="P1449" s="440">
        <v>1</v>
      </c>
      <c r="AE1449" t="str">
        <f>P1451</f>
        <v>Werkzeuglos</v>
      </c>
      <c r="AJ1449" t="str">
        <f>N1451</f>
        <v>Scharnierart</v>
      </c>
      <c r="AK1449" t="str">
        <f>O1451</f>
        <v>Gruppenschlüssel</v>
      </c>
      <c r="AL1449" t="str">
        <f>P1451</f>
        <v>Werkzeuglos</v>
      </c>
      <c r="AN1449" t="str">
        <f>AJ1449</f>
        <v>Scharnierart</v>
      </c>
      <c r="AO1449" t="str">
        <f>AK1449</f>
        <v>Gruppenschlüssel</v>
      </c>
      <c r="AP1449" t="str">
        <f>AL1449</f>
        <v>Werkzeuglos</v>
      </c>
      <c r="AR1449" t="str">
        <f>AN1449</f>
        <v>Scharnierart</v>
      </c>
      <c r="AS1449" t="str">
        <f>AO1449</f>
        <v>Gruppenschlüssel</v>
      </c>
      <c r="AT1449" t="str">
        <f>AP1449</f>
        <v>Werkzeuglos</v>
      </c>
    </row>
    <row r="1450" spans="1:65" hidden="1" outlineLevel="1" x14ac:dyDescent="0.25">
      <c r="A1450" s="569" t="str">
        <f ca="1">IF(D1457="",VLOOKUP(1,C1450:F1450,A1457+1,FALSE),A8)</f>
        <v>Zum Anschrauben mit Holzschrauben</v>
      </c>
      <c r="B1450">
        <v>1</v>
      </c>
      <c r="C1450">
        <v>1</v>
      </c>
      <c r="D1450" t="str">
        <f ca="1">Sprache!$A$64</f>
        <v>Zum Anschrauben mit Holzschrauben</v>
      </c>
      <c r="E1450" t="str">
        <f ca="1">Sprache!$A$66</f>
        <v>Zum Einpressen</v>
      </c>
      <c r="F1450" t="str">
        <f ca="1">Sprache!$A$67</f>
        <v>vormontierte Euroschrauben [13,5]</v>
      </c>
      <c r="N1450" s="182">
        <f ca="1">$O$1371</f>
        <v>3</v>
      </c>
      <c r="O1450" s="439">
        <f ca="1">$P$1371</f>
        <v>4</v>
      </c>
      <c r="P1450" s="390">
        <v>1</v>
      </c>
      <c r="AD1450" t="s">
        <v>2106</v>
      </c>
      <c r="AE1450">
        <f ca="1">DCOUNT(Scharniere[[#Headers],[#Data],[Scharnierart]:[Werkzeuglos]],Scharniere[[#Headers],[mit Dämpfung]],N1451:P1452)</f>
        <v>72</v>
      </c>
      <c r="AJ1450" t="str">
        <f ca="1">N1453</f>
        <v/>
      </c>
      <c r="AK1450" t="str">
        <f ca="1">O1453</f>
        <v/>
      </c>
      <c r="AL1450">
        <f>P1453</f>
        <v>1</v>
      </c>
      <c r="AN1450" t="str">
        <f ca="1">N1454</f>
        <v/>
      </c>
      <c r="AO1450" t="str">
        <f ca="1">O1454</f>
        <v/>
      </c>
      <c r="AP1450">
        <f>P1454</f>
        <v>1</v>
      </c>
      <c r="AR1450">
        <f ca="1">N1455</f>
        <v>3</v>
      </c>
      <c r="AS1450">
        <f ca="1">O1455</f>
        <v>4</v>
      </c>
      <c r="AT1450">
        <f>P1455</f>
        <v>1</v>
      </c>
    </row>
    <row r="1451" spans="1:65" hidden="1" outlineLevel="1" x14ac:dyDescent="0.25">
      <c r="A1451" s="570" t="str">
        <f ca="1">IF(D1457="",VLOOKUP(1,C1451:F1451,A1457+1,FALSE),A8)</f>
        <v>Zum Anschrauben mit Euroschrauben</v>
      </c>
      <c r="B1451">
        <v>2</v>
      </c>
      <c r="C1451">
        <v>1</v>
      </c>
      <c r="D1451" t="str">
        <f ca="1">Sprache!$A$65</f>
        <v>Zum Anschrauben mit Euroschrauben</v>
      </c>
      <c r="E1451" t="str">
        <f ca="1">Sprache!$A$66</f>
        <v>Zum Einpressen</v>
      </c>
      <c r="F1451" t="str">
        <f ca="1">Sprache!$A$68</f>
        <v>vormontierte Euroschrauben [10,5]</v>
      </c>
      <c r="N1451" t="str">
        <f>N1446</f>
        <v>Scharnierart</v>
      </c>
      <c r="O1451" t="str">
        <f>O1446</f>
        <v>Gruppenschlüssel</v>
      </c>
      <c r="P1451" s="392" t="str">
        <f>Scharniere[[#Headers],[Werkzeuglos]]</f>
        <v>Werkzeuglos</v>
      </c>
      <c r="Q1451" s="1" t="s">
        <v>1445</v>
      </c>
      <c r="U1451" t="s">
        <v>2527</v>
      </c>
      <c r="AD1451" t="s">
        <v>2107</v>
      </c>
      <c r="AE1451">
        <f ca="1">DCOUNT(Scharniere[[#Headers],[#Data],[Scharnierart]:[Werkzeuglos]],Scharniere[[#Headers],[mit Dämpfung]],AJ1449:AL1450)</f>
        <v>0</v>
      </c>
    </row>
    <row r="1452" spans="1:65" hidden="1" outlineLevel="1" x14ac:dyDescent="0.25">
      <c r="A1452" s="570" t="str">
        <f>IF(D1457="",VLOOKUP(1,C1452:F1452,A1457+1,FALSE),A8)</f>
        <v/>
      </c>
      <c r="B1452">
        <v>3</v>
      </c>
      <c r="C1452">
        <v>1</v>
      </c>
      <c r="D1452" s="87" t="s">
        <v>1916</v>
      </c>
      <c r="E1452" t="str">
        <f ca="1">E1451</f>
        <v>Zum Einpressen</v>
      </c>
      <c r="F1452" t="str">
        <f ca="1">Sprache!$A$69</f>
        <v>Spreizdübel 11 mm</v>
      </c>
      <c r="N1452" s="182">
        <f ca="1">$O$1368</f>
        <v>1</v>
      </c>
      <c r="O1452" s="439">
        <f ca="1">$P$1368</f>
        <v>1</v>
      </c>
      <c r="P1452" s="392">
        <v>1</v>
      </c>
      <c r="Q1452" s="34">
        <f ca="1">DCOUNT(Scharniere[[#Headers],[#Data],[Scharnierart]:[Werkzeuglos]],Scharniere[[#Headers],[mit Dämpfung]],N1451:P1455)</f>
        <v>72</v>
      </c>
      <c r="AD1452" t="s">
        <v>2108</v>
      </c>
      <c r="AE1452">
        <f ca="1">DCOUNT(Scharniere[[#Headers],[#Data],[Scharnierart]:[Werkzeuglos]],Scharniere[[#Headers],[mit Dämpfung]],AN1449:AP1450)</f>
        <v>0</v>
      </c>
    </row>
    <row r="1453" spans="1:65" hidden="1" outlineLevel="1" x14ac:dyDescent="0.25">
      <c r="A1453" s="570" t="str">
        <f>IF(D1457="",VLOOKUP(1,C1453:F1453,A1457+1,FALSE),A8)</f>
        <v/>
      </c>
      <c r="B1453">
        <v>4</v>
      </c>
      <c r="C1453">
        <v>1</v>
      </c>
      <c r="D1453" s="87" t="s">
        <v>1916</v>
      </c>
      <c r="E1453" t="str">
        <f ca="1">E1452</f>
        <v>Zum Einpressen</v>
      </c>
      <c r="F1453" t="str">
        <f ca="1">Sprache!$A$70</f>
        <v>Zwillingsmontageplatte (Spreizdübel 7,5 mm)</v>
      </c>
      <c r="N1453" s="182" t="str">
        <f ca="1">$O$1369</f>
        <v/>
      </c>
      <c r="O1453" s="439" t="str">
        <f ca="1">$P$1369</f>
        <v/>
      </c>
      <c r="P1453" s="440">
        <v>1</v>
      </c>
      <c r="AD1453" t="s">
        <v>2109</v>
      </c>
      <c r="AE1453">
        <f ca="1">DCOUNT(Scharniere[[#Headers],[#Data],[Scharnierart]:[Werkzeuglos]],Scharniere[[#Headers],[mit Dämpfung]],AR1449:AT1450)</f>
        <v>0</v>
      </c>
    </row>
    <row r="1454" spans="1:65" hidden="1" outlineLevel="1" x14ac:dyDescent="0.25">
      <c r="N1454" s="182" t="str">
        <f ca="1">$O$1370</f>
        <v/>
      </c>
      <c r="O1454" s="439" t="str">
        <f ca="1">$P$1370</f>
        <v/>
      </c>
      <c r="P1454" s="440">
        <v>1</v>
      </c>
      <c r="U1454">
        <f>ROW()</f>
        <v>1454</v>
      </c>
      <c r="W1454" t="s">
        <v>2106</v>
      </c>
      <c r="X1454" t="s">
        <v>2107</v>
      </c>
      <c r="Y1454" t="s">
        <v>2108</v>
      </c>
      <c r="Z1454" t="s">
        <v>2109</v>
      </c>
      <c r="AE1454" t="str">
        <f>P1456&amp;P1457</f>
        <v>Bohrbild-</v>
      </c>
      <c r="AI1454" t="str">
        <f t="shared" ref="AI1454:AK1455" si="363">N1456</f>
        <v>Scharnierart</v>
      </c>
      <c r="AJ1454" t="str">
        <f t="shared" si="363"/>
        <v>Gruppenschlüssel</v>
      </c>
      <c r="AK1454" t="str">
        <f t="shared" si="363"/>
        <v>Bohrbild</v>
      </c>
      <c r="AL1454" t="str">
        <f>V1468</f>
        <v>Anschrauben</v>
      </c>
      <c r="AM1454" t="str">
        <f>W1468</f>
        <v>Einpressen</v>
      </c>
      <c r="AN1454" t="str">
        <f t="shared" ref="AN1454:AO1454" si="364">X1468</f>
        <v>Quick</v>
      </c>
      <c r="AO1454" t="str">
        <f t="shared" si="364"/>
        <v>Werkzeuglos</v>
      </c>
      <c r="AQ1454" t="str">
        <f>N1456</f>
        <v>Scharnierart</v>
      </c>
      <c r="AR1454" t="str">
        <f>O1456</f>
        <v>Gruppenschlüssel</v>
      </c>
      <c r="AS1454" t="str">
        <f>P1456</f>
        <v>Bohrbild</v>
      </c>
      <c r="AT1454" t="str">
        <f>AL1454</f>
        <v>Anschrauben</v>
      </c>
      <c r="AU1454" t="str">
        <f t="shared" ref="AU1454:AW1455" si="365">AM1454</f>
        <v>Einpressen</v>
      </c>
      <c r="AV1454" t="str">
        <f t="shared" si="365"/>
        <v>Quick</v>
      </c>
      <c r="AW1454" t="str">
        <f t="shared" si="365"/>
        <v>Werkzeuglos</v>
      </c>
      <c r="AY1454" t="str">
        <f>AQ1454</f>
        <v>Scharnierart</v>
      </c>
      <c r="AZ1454" t="str">
        <f>AR1454</f>
        <v>Gruppenschlüssel</v>
      </c>
      <c r="BA1454" t="str">
        <f>AS1454</f>
        <v>Bohrbild</v>
      </c>
      <c r="BB1454" t="str">
        <f>AT1454</f>
        <v>Anschrauben</v>
      </c>
      <c r="BC1454" t="str">
        <f t="shared" ref="BC1454:BE1455" si="366">AU1454</f>
        <v>Einpressen</v>
      </c>
      <c r="BD1454" t="str">
        <f t="shared" si="366"/>
        <v>Quick</v>
      </c>
      <c r="BE1454" t="str">
        <f t="shared" si="366"/>
        <v>Werkzeuglos</v>
      </c>
      <c r="BG1454" t="str">
        <f>AY1454</f>
        <v>Scharnierart</v>
      </c>
      <c r="BH1454" t="str">
        <f>AZ1454</f>
        <v>Gruppenschlüssel</v>
      </c>
      <c r="BI1454" t="str">
        <f>BA1454</f>
        <v>Bohrbild</v>
      </c>
      <c r="BJ1454" t="str">
        <f>BB1454</f>
        <v>Anschrauben</v>
      </c>
      <c r="BK1454" t="str">
        <f t="shared" ref="BK1454:BM1455" si="367">BC1454</f>
        <v>Einpressen</v>
      </c>
      <c r="BL1454" t="str">
        <f t="shared" si="367"/>
        <v>Quick</v>
      </c>
      <c r="BM1454" t="str">
        <f t="shared" si="367"/>
        <v>Werkzeuglos</v>
      </c>
    </row>
    <row r="1455" spans="1:65" ht="15.75" hidden="1" outlineLevel="1" thickBot="1" x14ac:dyDescent="0.3">
      <c r="N1455" s="441">
        <f ca="1">$O$1371</f>
        <v>3</v>
      </c>
      <c r="O1455" s="442">
        <f ca="1">$P$1371</f>
        <v>4</v>
      </c>
      <c r="P1455" s="443">
        <v>1</v>
      </c>
      <c r="Q1455" s="51"/>
      <c r="U1455" t="str">
        <f ca="1">IF(SUM(W1455:Z1455)&gt;0,1,"")</f>
        <v/>
      </c>
      <c r="V1455" t="str">
        <f>P1457</f>
        <v>-</v>
      </c>
      <c r="W1455" s="523" t="str">
        <f ca="1">IF(AE1455&gt;0,1,"")</f>
        <v/>
      </c>
      <c r="X1455" s="523" t="str">
        <f ca="1">IF(AE1456&gt;0,1,"")</f>
        <v/>
      </c>
      <c r="Y1455" s="523" t="str">
        <f ca="1">IF(AE1457&gt;0,1,"")</f>
        <v/>
      </c>
      <c r="Z1455" s="523" t="str">
        <f ca="1">IF(AE1458&gt;0,1,"")</f>
        <v/>
      </c>
      <c r="AD1455" t="s">
        <v>2106</v>
      </c>
      <c r="AE1455">
        <f ca="1">DCOUNT(Scharniere[[#Headers],[#Data],[Scharnierart]:[Werkzeuglos]],Scharniere[[#Headers],[mit Dämpfung]],AI1454:AO1455)</f>
        <v>0</v>
      </c>
      <c r="AI1455">
        <f t="shared" ca="1" si="363"/>
        <v>1</v>
      </c>
      <c r="AJ1455">
        <f t="shared" ca="1" si="363"/>
        <v>1</v>
      </c>
      <c r="AK1455" t="str">
        <f t="shared" si="363"/>
        <v>-</v>
      </c>
      <c r="AL1455">
        <f>V1469</f>
        <v>1</v>
      </c>
      <c r="AM1455">
        <f t="shared" ref="AM1455:AN1455" si="368">W1469</f>
        <v>0</v>
      </c>
      <c r="AN1455">
        <f t="shared" si="368"/>
        <v>0</v>
      </c>
      <c r="AO1455">
        <f>Y1469</f>
        <v>0</v>
      </c>
      <c r="AQ1455" t="str">
        <f ca="1">N1458</f>
        <v/>
      </c>
      <c r="AR1455" t="str">
        <f ca="1">O1458</f>
        <v/>
      </c>
      <c r="AS1455" t="str">
        <f>P1458</f>
        <v>-</v>
      </c>
      <c r="AT1455">
        <f>AL1455</f>
        <v>1</v>
      </c>
      <c r="AU1455">
        <f t="shared" si="365"/>
        <v>0</v>
      </c>
      <c r="AV1455">
        <f t="shared" si="365"/>
        <v>0</v>
      </c>
      <c r="AW1455">
        <f t="shared" si="365"/>
        <v>0</v>
      </c>
      <c r="AY1455" t="str">
        <f ca="1">N1459</f>
        <v/>
      </c>
      <c r="AZ1455" t="str">
        <f ca="1">O1459</f>
        <v/>
      </c>
      <c r="BA1455" t="str">
        <f>P1459</f>
        <v>-</v>
      </c>
      <c r="BB1455">
        <f>AT1455</f>
        <v>1</v>
      </c>
      <c r="BC1455">
        <f t="shared" si="366"/>
        <v>0</v>
      </c>
      <c r="BD1455">
        <f t="shared" si="366"/>
        <v>0</v>
      </c>
      <c r="BE1455">
        <f t="shared" si="366"/>
        <v>0</v>
      </c>
      <c r="BG1455">
        <f ca="1">N1460</f>
        <v>3</v>
      </c>
      <c r="BH1455">
        <f ca="1">O1460</f>
        <v>4</v>
      </c>
      <c r="BI1455" t="str">
        <f>P1460</f>
        <v>-</v>
      </c>
      <c r="BJ1455">
        <f>BB1455</f>
        <v>1</v>
      </c>
      <c r="BK1455">
        <f t="shared" si="367"/>
        <v>0</v>
      </c>
      <c r="BL1455">
        <f t="shared" si="367"/>
        <v>0</v>
      </c>
      <c r="BM1455">
        <f t="shared" si="367"/>
        <v>0</v>
      </c>
    </row>
    <row r="1456" spans="1:65" ht="15.75" hidden="1" outlineLevel="1" thickBot="1" x14ac:dyDescent="0.3">
      <c r="A1456" s="24" t="s">
        <v>12</v>
      </c>
      <c r="C1456" s="885" t="str">
        <f ca="1">VLOOKUP(A1457,A1458:C1460,3,FALSE)</f>
        <v>Zum Anschrauben</v>
      </c>
      <c r="H1456" s="527" t="s">
        <v>29</v>
      </c>
      <c r="I1456" s="528" t="s">
        <v>2122</v>
      </c>
      <c r="J1456" s="529" t="s">
        <v>2123</v>
      </c>
      <c r="N1456" t="str">
        <f>N1451</f>
        <v>Scharnierart</v>
      </c>
      <c r="O1456" t="str">
        <f>O1451</f>
        <v>Gruppenschlüssel</v>
      </c>
      <c r="P1456" s="392" t="str">
        <f>Scharniere[[#Headers],[Bohrbild]]</f>
        <v>Bohrbild</v>
      </c>
      <c r="Q1456" s="1" t="s">
        <v>1445</v>
      </c>
      <c r="U1456" t="str">
        <f ca="1">IF(SUM(W1456:Z1456)&gt;0,1,"")</f>
        <v/>
      </c>
      <c r="V1456" t="str">
        <f>P1462</f>
        <v>36/7,5</v>
      </c>
      <c r="W1456" s="523" t="str">
        <f ca="1">IF(AE1460&gt;0,1,"")</f>
        <v/>
      </c>
      <c r="X1456" s="523" t="str">
        <f ca="1">IF(AE1461&gt;0,1,"")</f>
        <v/>
      </c>
      <c r="Y1456" s="523" t="str">
        <f ca="1">IF(AE1462&gt;0,1,"")</f>
        <v/>
      </c>
      <c r="Z1456" s="523" t="str">
        <f ca="1">IF(AE1463&gt;0,1,"")</f>
        <v/>
      </c>
      <c r="AD1456" t="s">
        <v>2107</v>
      </c>
      <c r="AE1456">
        <f ca="1">DCOUNT(Scharniere[[#Headers],[#Data],[Scharnierart]:[Werkzeuglos]],Scharniere[[#Headers],[mit Dämpfung]],AQ1454:AW1455)</f>
        <v>0</v>
      </c>
    </row>
    <row r="1457" spans="1:65" hidden="1" outlineLevel="1" x14ac:dyDescent="0.25">
      <c r="A1457" s="5">
        <v>1</v>
      </c>
      <c r="B1457" s="78" t="str">
        <f ca="1">VLOOKUP(A1457,A1458:B1460,2,FALSE)</f>
        <v>✓ Zum Anschrauben</v>
      </c>
      <c r="C1457">
        <f>VLOOKUP(A1457,A1458:D1460,4,FALSE)</f>
        <v>1</v>
      </c>
      <c r="D1457" s="131" t="str">
        <f>IF(C1457=0,Sprache!A51,"")</f>
        <v/>
      </c>
      <c r="F1457">
        <f t="shared" ref="F1457:G1460" si="369">A1428</f>
        <v>1</v>
      </c>
      <c r="G1457" s="534" t="str">
        <f t="shared" ca="1" si="369"/>
        <v>✓ Kreuzmontageplatte (2)</v>
      </c>
      <c r="H1457" s="413">
        <v>1</v>
      </c>
      <c r="I1457" s="416">
        <v>1</v>
      </c>
      <c r="J1457" s="415">
        <v>1</v>
      </c>
      <c r="N1457" s="182">
        <f ca="1">$O$1368</f>
        <v>1</v>
      </c>
      <c r="O1457" s="439">
        <f ca="1">$P$1368</f>
        <v>1</v>
      </c>
      <c r="P1457" s="392" t="s">
        <v>1264</v>
      </c>
      <c r="Q1457" s="34">
        <f ca="1">DCOUNT(Scharniere[[#Headers],[#Data],[Scharnierart]:[Werkzeuglos]],Scharniere[[#Headers],[mit Dämpfung]],N1456:P1460)</f>
        <v>0</v>
      </c>
      <c r="U1457">
        <f t="shared" ref="U1457:U1461" ca="1" si="370">IF(SUM(W1457:Z1457)&gt;0,1,"")</f>
        <v>1</v>
      </c>
      <c r="V1457" t="str">
        <f>P1467</f>
        <v>42/11</v>
      </c>
      <c r="W1457" s="523">
        <f ca="1">IF(AE1465&gt;0,1,"")</f>
        <v>1</v>
      </c>
      <c r="X1457" s="523" t="str">
        <f ca="1">IF(AE1466&gt;0,1,"")</f>
        <v/>
      </c>
      <c r="Y1457" s="523" t="str">
        <f ca="1">IF(AE1467&gt;0,1,"")</f>
        <v/>
      </c>
      <c r="Z1457" s="523" t="str">
        <f ca="1">IF(AE1468&gt;0,1,"")</f>
        <v/>
      </c>
      <c r="AD1457" t="s">
        <v>2108</v>
      </c>
      <c r="AE1457">
        <f ca="1">DCOUNT(Scharniere[[#Headers],[#Data],[Scharnierart]:[Werkzeuglos]],Scharniere[[#Headers],[mit Dämpfung]],AY1454:BE1455)</f>
        <v>0</v>
      </c>
    </row>
    <row r="1458" spans="1:65" hidden="1" outlineLevel="1" x14ac:dyDescent="0.25">
      <c r="A1458" s="563">
        <v>1</v>
      </c>
      <c r="B1458" s="564" t="str">
        <f ca="1">IF(D1458=1,$B$6&amp;" "&amp;C1458,$B$5&amp;" "&amp;C1458)</f>
        <v>✓ Zum Anschrauben</v>
      </c>
      <c r="C1458" s="525" t="str">
        <f ca="1">Sprache!$A$179</f>
        <v>Zum Anschrauben</v>
      </c>
      <c r="D1458" s="526">
        <f>VLOOKUP(A1427,F1457:J1460,3,FALSE)</f>
        <v>1</v>
      </c>
      <c r="F1458">
        <f t="shared" si="369"/>
        <v>2</v>
      </c>
      <c r="G1458" s="170" t="str">
        <f t="shared" ca="1" si="369"/>
        <v xml:space="preserve">     Linearmontageplatte</v>
      </c>
      <c r="H1458" s="413">
        <v>1</v>
      </c>
      <c r="I1458" s="416">
        <v>1</v>
      </c>
      <c r="J1458" s="415">
        <v>1</v>
      </c>
      <c r="N1458" s="182" t="str">
        <f ca="1">$O$1369</f>
        <v/>
      </c>
      <c r="O1458" s="439" t="str">
        <f ca="1">$P$1369</f>
        <v/>
      </c>
      <c r="P1458" s="392" t="s">
        <v>1264</v>
      </c>
      <c r="U1458">
        <f t="shared" ca="1" si="370"/>
        <v>1</v>
      </c>
      <c r="V1458" t="str">
        <f>P1472</f>
        <v>45/9,5</v>
      </c>
      <c r="W1458" s="523">
        <f ca="1">IF(AE1470&gt;0,1,"")</f>
        <v>1</v>
      </c>
      <c r="X1458" s="523" t="str">
        <f ca="1">IF(AE1471&gt;0,1,"")</f>
        <v/>
      </c>
      <c r="Y1458" s="523" t="str">
        <f ca="1">IF(AE1472&gt;0,1,"")</f>
        <v/>
      </c>
      <c r="Z1458" s="523">
        <f ca="1">IF(AE1473&gt;0,1,"")</f>
        <v>1</v>
      </c>
      <c r="AD1458" t="s">
        <v>2109</v>
      </c>
      <c r="AE1458">
        <f ca="1">DCOUNT(Scharniere[[#Headers],[#Data],[Scharnierart]:[Werkzeuglos]],Scharniere[[#Headers],[mit Dämpfung]],BG1454:BM1455)</f>
        <v>0</v>
      </c>
    </row>
    <row r="1459" spans="1:65" hidden="1" outlineLevel="1" x14ac:dyDescent="0.25">
      <c r="A1459" s="71">
        <v>2</v>
      </c>
      <c r="B1459" s="554" t="str">
        <f t="shared" ref="B1459:B1460" ca="1" si="371">IF(D1459=1,$B$6&amp;" "&amp;C1459,$B$5&amp;" "&amp;C1459)</f>
        <v>✓ Zum Einpressen</v>
      </c>
      <c r="C1459" s="34" t="str">
        <f ca="1">Sprache!$A$180</f>
        <v>Zum Einpressen</v>
      </c>
      <c r="D1459" s="55">
        <f>VLOOKUP(A1427,F1457:J1460,4,FALSE)</f>
        <v>1</v>
      </c>
      <c r="F1459">
        <f t="shared" si="369"/>
        <v>3</v>
      </c>
      <c r="G1459" s="170" t="str">
        <f t="shared" ca="1" si="369"/>
        <v xml:space="preserve">     Deltamontageplatte</v>
      </c>
      <c r="H1459" s="413">
        <v>1</v>
      </c>
      <c r="I1459" s="416"/>
      <c r="J1459" s="415"/>
      <c r="N1459" s="182" t="str">
        <f ca="1">$O$1370</f>
        <v/>
      </c>
      <c r="O1459" s="439" t="str">
        <f ca="1">$P$1370</f>
        <v/>
      </c>
      <c r="P1459" s="440" t="s">
        <v>1264</v>
      </c>
      <c r="U1459">
        <f t="shared" ca="1" si="370"/>
        <v>1</v>
      </c>
      <c r="V1459" t="str">
        <f>P1477</f>
        <v>48/6</v>
      </c>
      <c r="W1459" s="523">
        <f ca="1">IF(AE1475&gt;0,1,"")</f>
        <v>1</v>
      </c>
      <c r="X1459" s="523" t="str">
        <f ca="1">IF(AE1476&gt;0,1,"")</f>
        <v/>
      </c>
      <c r="Y1459" s="523" t="str">
        <f ca="1">IF(AE1477&gt;0,1,"")</f>
        <v/>
      </c>
      <c r="Z1459" s="523">
        <f ca="1">IF(AE1478&gt;0,1,"")</f>
        <v>1</v>
      </c>
      <c r="AE1459" t="str">
        <f>P1461&amp;P1462</f>
        <v>Bohrbild36/7,5</v>
      </c>
      <c r="AI1459" t="str">
        <f>N1461</f>
        <v>Scharnierart</v>
      </c>
      <c r="AJ1459" t="str">
        <f>O1461</f>
        <v>Gruppenschlüssel</v>
      </c>
      <c r="AK1459" t="str">
        <f>P1461</f>
        <v>Bohrbild</v>
      </c>
      <c r="AL1459" t="str">
        <f>V1468</f>
        <v>Anschrauben</v>
      </c>
      <c r="AM1459" t="str">
        <f t="shared" ref="AM1459:AO1460" si="372">W1468</f>
        <v>Einpressen</v>
      </c>
      <c r="AN1459" t="str">
        <f t="shared" si="372"/>
        <v>Quick</v>
      </c>
      <c r="AO1459" t="str">
        <f t="shared" si="372"/>
        <v>Werkzeuglos</v>
      </c>
      <c r="AQ1459" t="str">
        <f>N1461</f>
        <v>Scharnierart</v>
      </c>
      <c r="AR1459" t="str">
        <f>O1461</f>
        <v>Gruppenschlüssel</v>
      </c>
      <c r="AS1459" t="str">
        <f>P1461</f>
        <v>Bohrbild</v>
      </c>
      <c r="AT1459" t="str">
        <f>AL1459</f>
        <v>Anschrauben</v>
      </c>
      <c r="AU1459" t="str">
        <f t="shared" ref="AU1459:AW1460" si="373">AM1459</f>
        <v>Einpressen</v>
      </c>
      <c r="AV1459" t="str">
        <f t="shared" si="373"/>
        <v>Quick</v>
      </c>
      <c r="AW1459" t="str">
        <f t="shared" si="373"/>
        <v>Werkzeuglos</v>
      </c>
      <c r="AY1459" t="str">
        <f>AQ1459</f>
        <v>Scharnierart</v>
      </c>
      <c r="AZ1459" t="str">
        <f>AR1459</f>
        <v>Gruppenschlüssel</v>
      </c>
      <c r="BA1459" t="str">
        <f>AS1459</f>
        <v>Bohrbild</v>
      </c>
      <c r="BB1459" t="str">
        <f>AT1459</f>
        <v>Anschrauben</v>
      </c>
      <c r="BC1459" t="str">
        <f t="shared" ref="BC1459:BE1460" si="374">AU1459</f>
        <v>Einpressen</v>
      </c>
      <c r="BD1459" t="str">
        <f t="shared" si="374"/>
        <v>Quick</v>
      </c>
      <c r="BE1459" t="str">
        <f t="shared" si="374"/>
        <v>Werkzeuglos</v>
      </c>
      <c r="BG1459" t="str">
        <f>AY1459</f>
        <v>Scharnierart</v>
      </c>
      <c r="BH1459" t="str">
        <f>AZ1459</f>
        <v>Gruppenschlüssel</v>
      </c>
      <c r="BI1459" t="str">
        <f>BA1459</f>
        <v>Bohrbild</v>
      </c>
      <c r="BJ1459" t="str">
        <f>BB1459</f>
        <v>Anschrauben</v>
      </c>
      <c r="BK1459" t="str">
        <f t="shared" ref="BK1459:BM1460" si="375">BC1459</f>
        <v>Einpressen</v>
      </c>
      <c r="BL1459" t="str">
        <f t="shared" si="375"/>
        <v>Quick</v>
      </c>
      <c r="BM1459" t="str">
        <f t="shared" si="375"/>
        <v>Werkzeuglos</v>
      </c>
    </row>
    <row r="1460" spans="1:65" hidden="1" outlineLevel="1" x14ac:dyDescent="0.25">
      <c r="A1460" s="92">
        <v>3</v>
      </c>
      <c r="B1460" s="379" t="str">
        <f t="shared" ca="1" si="371"/>
        <v>✓ Für 5 mm Lochreihe</v>
      </c>
      <c r="C1460" s="6" t="str">
        <f ca="1">Sprache!$A$182</f>
        <v>Für 5 mm Lochreihe</v>
      </c>
      <c r="D1460" s="56">
        <f>VLOOKUP(A1427,F1457:J1460,5,FALSE)</f>
        <v>1</v>
      </c>
      <c r="F1460">
        <f t="shared" si="369"/>
        <v>4</v>
      </c>
      <c r="G1460" s="129" t="str">
        <f t="shared" ca="1" si="369"/>
        <v xml:space="preserve">     Inset Beaded (Rahmenkonstruktion)</v>
      </c>
      <c r="H1460" s="414">
        <v>1</v>
      </c>
      <c r="I1460" s="420"/>
      <c r="J1460" s="421"/>
      <c r="N1460" s="182">
        <f ca="1">$O$1371</f>
        <v>3</v>
      </c>
      <c r="O1460" s="439">
        <f ca="1">$P$1371</f>
        <v>4</v>
      </c>
      <c r="P1460" s="390" t="s">
        <v>1264</v>
      </c>
      <c r="U1460">
        <f t="shared" ca="1" si="370"/>
        <v>1</v>
      </c>
      <c r="V1460" t="str">
        <f>P1482</f>
        <v>48/9</v>
      </c>
      <c r="W1460" s="523">
        <f ca="1">IF(AE1480&gt;0,1,"")</f>
        <v>1</v>
      </c>
      <c r="X1460" s="523" t="str">
        <f ca="1">IF(AE1481&gt;0,1,"")</f>
        <v/>
      </c>
      <c r="Y1460" s="523" t="str">
        <f ca="1">IF(AE1482&gt;0,1,"")</f>
        <v/>
      </c>
      <c r="Z1460" s="523">
        <f ca="1">IF(AE1483&gt;0,1,"")</f>
        <v>1</v>
      </c>
      <c r="AD1460" t="s">
        <v>2106</v>
      </c>
      <c r="AE1460">
        <f ca="1">DCOUNT(Scharniere[[#Headers],[#Data],[Scharnierart]:[Werkzeuglos]],Scharniere[[#Headers],[mit Dämpfung]],AI1459:AO1460)</f>
        <v>0</v>
      </c>
      <c r="AI1460">
        <f ca="1">N1462</f>
        <v>1</v>
      </c>
      <c r="AJ1460">
        <f t="shared" ref="AJ1460:AK1460" ca="1" si="376">O1462</f>
        <v>1</v>
      </c>
      <c r="AK1460" t="str">
        <f t="shared" si="376"/>
        <v>36/7,5</v>
      </c>
      <c r="AL1460">
        <f>V1469</f>
        <v>1</v>
      </c>
      <c r="AM1460">
        <f t="shared" si="372"/>
        <v>0</v>
      </c>
      <c r="AN1460">
        <f t="shared" si="372"/>
        <v>0</v>
      </c>
      <c r="AO1460">
        <f t="shared" si="372"/>
        <v>0</v>
      </c>
      <c r="AQ1460" t="str">
        <f ca="1">N1463</f>
        <v/>
      </c>
      <c r="AR1460" t="str">
        <f ca="1">O1463</f>
        <v/>
      </c>
      <c r="AS1460" t="str">
        <f>P1463</f>
        <v>36/7,5</v>
      </c>
      <c r="AT1460">
        <f>AL1460</f>
        <v>1</v>
      </c>
      <c r="AU1460">
        <f t="shared" si="373"/>
        <v>0</v>
      </c>
      <c r="AV1460">
        <f t="shared" si="373"/>
        <v>0</v>
      </c>
      <c r="AW1460">
        <f t="shared" si="373"/>
        <v>0</v>
      </c>
      <c r="AY1460" t="str">
        <f ca="1">N1464</f>
        <v/>
      </c>
      <c r="AZ1460" t="str">
        <f ca="1">O1464</f>
        <v/>
      </c>
      <c r="BA1460" t="str">
        <f>P1464</f>
        <v>36/7,5</v>
      </c>
      <c r="BB1460">
        <f>AT1460</f>
        <v>1</v>
      </c>
      <c r="BC1460">
        <f t="shared" si="374"/>
        <v>0</v>
      </c>
      <c r="BD1460">
        <f t="shared" si="374"/>
        <v>0</v>
      </c>
      <c r="BE1460">
        <f t="shared" si="374"/>
        <v>0</v>
      </c>
      <c r="BG1460">
        <f ca="1">N1465</f>
        <v>3</v>
      </c>
      <c r="BH1460">
        <f ca="1">O1465</f>
        <v>4</v>
      </c>
      <c r="BI1460" t="str">
        <f>P1465</f>
        <v>36/7,5</v>
      </c>
      <c r="BJ1460">
        <f>BB1460</f>
        <v>1</v>
      </c>
      <c r="BK1460">
        <f t="shared" si="375"/>
        <v>0</v>
      </c>
      <c r="BL1460">
        <f t="shared" si="375"/>
        <v>0</v>
      </c>
      <c r="BM1460">
        <f t="shared" si="375"/>
        <v>0</v>
      </c>
    </row>
    <row r="1461" spans="1:65" hidden="1" outlineLevel="1" x14ac:dyDescent="0.25">
      <c r="N1461" t="str">
        <f>N1456</f>
        <v>Scharnierart</v>
      </c>
      <c r="O1461" t="str">
        <f>O1456</f>
        <v>Gruppenschlüssel</v>
      </c>
      <c r="P1461" s="392" t="str">
        <f>Scharniere[[#Headers],[Bohrbild]]</f>
        <v>Bohrbild</v>
      </c>
      <c r="Q1461" s="1" t="s">
        <v>1445</v>
      </c>
      <c r="U1461">
        <f t="shared" ca="1" si="370"/>
        <v>1</v>
      </c>
      <c r="V1461" t="str">
        <f>P1487</f>
        <v>52/5,5</v>
      </c>
      <c r="W1461" s="523">
        <f ca="1">IF(AE1485&gt;0,1,"")</f>
        <v>1</v>
      </c>
      <c r="X1461" s="523" t="str">
        <f ca="1">IF(AE1486&gt;0,1,"")</f>
        <v/>
      </c>
      <c r="Y1461" s="523" t="str">
        <f ca="1">IF(AE1487&gt;0,1,"")</f>
        <v/>
      </c>
      <c r="Z1461" s="523" t="str">
        <f ca="1">IF(AE1488&gt;0,1,"")</f>
        <v/>
      </c>
      <c r="AD1461" t="s">
        <v>2107</v>
      </c>
      <c r="AE1461">
        <f ca="1">DCOUNT(Scharniere[[#Headers],[#Data],[Scharnierart]:[Werkzeuglos]],Scharniere[[#Headers],[mit Dämpfung]],AQ1459:AW1460)</f>
        <v>0</v>
      </c>
    </row>
    <row r="1462" spans="1:65" hidden="1" outlineLevel="1" x14ac:dyDescent="0.25">
      <c r="A1462">
        <f>ROW()</f>
        <v>1462</v>
      </c>
      <c r="N1462" s="182">
        <f ca="1">$O$1368</f>
        <v>1</v>
      </c>
      <c r="O1462" s="439">
        <f ca="1">$P$1368</f>
        <v>1</v>
      </c>
      <c r="P1462" s="392" t="s">
        <v>1693</v>
      </c>
      <c r="Q1462" s="34">
        <f ca="1">DCOUNT(Scharniere[[#Headers],[#Data],[Scharnierart]:[Werkzeuglos]],Scharniere[[#Headers],[mit Dämpfung]],N1461:P1465)</f>
        <v>0</v>
      </c>
      <c r="AD1462" t="s">
        <v>2108</v>
      </c>
      <c r="AE1462">
        <f ca="1">DCOUNT(Scharniere[[#Headers],[#Data],[Scharnierart]:[Werkzeuglos]],Scharniere[[#Headers],[mit Dämpfung]],AY1459:BE1460)</f>
        <v>0</v>
      </c>
    </row>
    <row r="1463" spans="1:65" hidden="1" outlineLevel="1" x14ac:dyDescent="0.25">
      <c r="A1463" s="609">
        <f ca="1">IF(B1463&lt;&gt;"",1,"")</f>
        <v>1</v>
      </c>
      <c r="B1463" s="612" t="str">
        <f ca="1">R1368</f>
        <v>Tiomos 110°</v>
      </c>
      <c r="D1463" s="623" t="str">
        <f t="array" aca="1" ref="D1463" ca="1">IFERROR(INDEX($B$1463:$B$1466,LARGE(($A$1463:$A$1466=$A$195)*(ROW($A$1463:$A$1466)-$A$1462),COUNTIF($A$1463:$A$1466,$A$195)+1-ROW(A1))),"")</f>
        <v>Tiomos 110°</v>
      </c>
      <c r="N1463" s="182" t="str">
        <f ca="1">$O$1369</f>
        <v/>
      </c>
      <c r="O1463" s="439" t="str">
        <f ca="1">$P$1369</f>
        <v/>
      </c>
      <c r="P1463" s="392" t="s">
        <v>1693</v>
      </c>
      <c r="AD1463" t="s">
        <v>2109</v>
      </c>
      <c r="AE1463">
        <f ca="1">DCOUNT(Scharniere[[#Headers],[#Data],[Scharnierart]:[Werkzeuglos]],Scharniere[[#Headers],[mit Dämpfung]],BG1459:BM1460)</f>
        <v>0</v>
      </c>
    </row>
    <row r="1464" spans="1:65" hidden="1" outlineLevel="1" x14ac:dyDescent="0.25">
      <c r="A1464" s="71" t="str">
        <f t="shared" ref="A1464:A1466" ca="1" si="377">IF(B1464&lt;&gt;"",1,"")</f>
        <v/>
      </c>
      <c r="B1464" s="55" t="str">
        <f t="shared" ref="B1464:B1466" ca="1" si="378">R1369</f>
        <v/>
      </c>
      <c r="D1464" s="170" t="str">
        <f t="array" aca="1" ref="D1464" ca="1">IFERROR(INDEX($B$1463:$B$1466,LARGE(($A$1463:$A$1466=$A$195)*(ROW($A$1463:$A$1466)-$A$1462),COUNTIF($A$1463:$A$1466,$A$195)+1-ROW(A2))),"")</f>
        <v/>
      </c>
      <c r="N1464" s="182" t="str">
        <f ca="1">$O$1370</f>
        <v/>
      </c>
      <c r="O1464" s="439" t="str">
        <f ca="1">$P$1370</f>
        <v/>
      </c>
      <c r="P1464" s="392" t="s">
        <v>1693</v>
      </c>
      <c r="AE1464" t="str">
        <f>P1466&amp;P1467</f>
        <v>Bohrbild42/11</v>
      </c>
      <c r="AI1464" t="str">
        <f t="shared" ref="AI1464:AK1465" si="379">N1466</f>
        <v>Scharnierart</v>
      </c>
      <c r="AJ1464" t="str">
        <f t="shared" si="379"/>
        <v>Gruppenschlüssel</v>
      </c>
      <c r="AK1464" t="str">
        <f t="shared" si="379"/>
        <v>Bohrbild</v>
      </c>
      <c r="AL1464" t="str">
        <f t="shared" ref="AL1464:AO1465" si="380">V1468</f>
        <v>Anschrauben</v>
      </c>
      <c r="AM1464" t="str">
        <f t="shared" si="380"/>
        <v>Einpressen</v>
      </c>
      <c r="AN1464" t="str">
        <f t="shared" si="380"/>
        <v>Quick</v>
      </c>
      <c r="AO1464" t="str">
        <f t="shared" si="380"/>
        <v>Werkzeuglos</v>
      </c>
      <c r="AQ1464" t="str">
        <f>N1466</f>
        <v>Scharnierart</v>
      </c>
      <c r="AR1464" t="str">
        <f>O1466</f>
        <v>Gruppenschlüssel</v>
      </c>
      <c r="AS1464" t="str">
        <f>P1466</f>
        <v>Bohrbild</v>
      </c>
      <c r="AT1464" t="str">
        <f>AL1464</f>
        <v>Anschrauben</v>
      </c>
      <c r="AU1464" t="str">
        <f t="shared" ref="AU1464:AW1465" si="381">AM1464</f>
        <v>Einpressen</v>
      </c>
      <c r="AV1464" t="str">
        <f t="shared" si="381"/>
        <v>Quick</v>
      </c>
      <c r="AW1464" t="str">
        <f t="shared" si="381"/>
        <v>Werkzeuglos</v>
      </c>
      <c r="AY1464" t="str">
        <f>AQ1464</f>
        <v>Scharnierart</v>
      </c>
      <c r="AZ1464" t="str">
        <f>AR1464</f>
        <v>Gruppenschlüssel</v>
      </c>
      <c r="BA1464" t="str">
        <f>AS1464</f>
        <v>Bohrbild</v>
      </c>
      <c r="BB1464" t="str">
        <f>AT1464</f>
        <v>Anschrauben</v>
      </c>
      <c r="BC1464" t="str">
        <f t="shared" ref="BC1464:BE1465" si="382">AU1464</f>
        <v>Einpressen</v>
      </c>
      <c r="BD1464" t="str">
        <f t="shared" si="382"/>
        <v>Quick</v>
      </c>
      <c r="BE1464" t="str">
        <f t="shared" si="382"/>
        <v>Werkzeuglos</v>
      </c>
      <c r="BG1464" t="str">
        <f>AY1464</f>
        <v>Scharnierart</v>
      </c>
      <c r="BH1464" t="str">
        <f>AZ1464</f>
        <v>Gruppenschlüssel</v>
      </c>
      <c r="BI1464" t="str">
        <f>BA1464</f>
        <v>Bohrbild</v>
      </c>
      <c r="BJ1464" t="str">
        <f>BB1464</f>
        <v>Anschrauben</v>
      </c>
      <c r="BK1464" t="str">
        <f t="shared" ref="BK1464:BM1465" si="383">BC1464</f>
        <v>Einpressen</v>
      </c>
      <c r="BL1464" t="str">
        <f t="shared" si="383"/>
        <v>Quick</v>
      </c>
      <c r="BM1464" t="str">
        <f t="shared" si="383"/>
        <v>Werkzeuglos</v>
      </c>
    </row>
    <row r="1465" spans="1:65" hidden="1" outlineLevel="1" x14ac:dyDescent="0.25">
      <c r="A1465" s="71" t="str">
        <f t="shared" ca="1" si="377"/>
        <v/>
      </c>
      <c r="B1465" s="55" t="str">
        <f t="shared" ca="1" si="378"/>
        <v/>
      </c>
      <c r="D1465" s="170" t="str">
        <f t="array" aca="1" ref="D1465" ca="1">IFERROR(INDEX($B$1463:$B$1466,LARGE(($A$1463:$A$1466=$A$195)*(ROW($A$1463:$A$1466)-$A$1462),COUNTIF($A$1463:$A$1466,$A$195)+1-ROW(A3))),"")</f>
        <v/>
      </c>
      <c r="N1465" s="182">
        <f ca="1">$O$1371</f>
        <v>3</v>
      </c>
      <c r="O1465" s="439">
        <f ca="1">$P$1371</f>
        <v>4</v>
      </c>
      <c r="P1465" s="392" t="s">
        <v>1693</v>
      </c>
      <c r="AD1465" t="s">
        <v>2106</v>
      </c>
      <c r="AE1465">
        <f ca="1">DCOUNT(Scharniere[[#Headers],[#Data],[Scharnierart]:[Werkzeuglos]],Scharniere[[#Headers],[mit Dämpfung]],AI1464:AO1465)</f>
        <v>12</v>
      </c>
      <c r="AI1465">
        <f t="shared" ca="1" si="379"/>
        <v>1</v>
      </c>
      <c r="AJ1465">
        <f t="shared" ca="1" si="379"/>
        <v>1</v>
      </c>
      <c r="AK1465" t="str">
        <f t="shared" si="379"/>
        <v>42/11</v>
      </c>
      <c r="AL1465">
        <f t="shared" si="380"/>
        <v>1</v>
      </c>
      <c r="AM1465">
        <f t="shared" si="380"/>
        <v>0</v>
      </c>
      <c r="AN1465">
        <f t="shared" si="380"/>
        <v>0</v>
      </c>
      <c r="AO1465">
        <f t="shared" si="380"/>
        <v>0</v>
      </c>
      <c r="AQ1465" t="str">
        <f ca="1">N1468</f>
        <v/>
      </c>
      <c r="AR1465" t="str">
        <f ca="1">O1468</f>
        <v/>
      </c>
      <c r="AS1465" t="str">
        <f>P1468</f>
        <v>42/11</v>
      </c>
      <c r="AT1465">
        <f>AL1465</f>
        <v>1</v>
      </c>
      <c r="AU1465">
        <f t="shared" si="381"/>
        <v>0</v>
      </c>
      <c r="AV1465">
        <f t="shared" si="381"/>
        <v>0</v>
      </c>
      <c r="AW1465">
        <f t="shared" si="381"/>
        <v>0</v>
      </c>
      <c r="AY1465" t="str">
        <f ca="1">N1469</f>
        <v/>
      </c>
      <c r="AZ1465" t="str">
        <f ca="1">O1469</f>
        <v/>
      </c>
      <c r="BA1465" t="str">
        <f>P1469</f>
        <v>42/11</v>
      </c>
      <c r="BB1465">
        <f>AT1465</f>
        <v>1</v>
      </c>
      <c r="BC1465">
        <f t="shared" si="382"/>
        <v>0</v>
      </c>
      <c r="BD1465">
        <f t="shared" si="382"/>
        <v>0</v>
      </c>
      <c r="BE1465">
        <f t="shared" si="382"/>
        <v>0</v>
      </c>
      <c r="BG1465">
        <f ca="1">N1470</f>
        <v>3</v>
      </c>
      <c r="BH1465">
        <f ca="1">O1470</f>
        <v>4</v>
      </c>
      <c r="BI1465" t="str">
        <f>P1470</f>
        <v>42/11</v>
      </c>
      <c r="BJ1465">
        <f>BB1465</f>
        <v>1</v>
      </c>
      <c r="BK1465">
        <f t="shared" si="383"/>
        <v>0</v>
      </c>
      <c r="BL1465">
        <f t="shared" si="383"/>
        <v>0</v>
      </c>
      <c r="BM1465">
        <f t="shared" si="383"/>
        <v>0</v>
      </c>
    </row>
    <row r="1466" spans="1:65" hidden="1" outlineLevel="1" x14ac:dyDescent="0.25">
      <c r="A1466" s="92" t="str">
        <f t="shared" ca="1" si="377"/>
        <v/>
      </c>
      <c r="B1466" s="56" t="str">
        <f t="shared" ca="1" si="378"/>
        <v/>
      </c>
      <c r="D1466" s="129" t="str">
        <f t="array" aca="1" ref="D1466" ca="1">IFERROR(INDEX($B$1463:$B$1466,LARGE(($A$1463:$A$1466=$A$195)*(ROW($A$1463:$A$1466)-$A$1462),COUNTIF($A$1463:$A$1466,$A$195)+1-ROW(A4))),"")</f>
        <v/>
      </c>
      <c r="N1466" t="str">
        <f>N1461</f>
        <v>Scharnierart</v>
      </c>
      <c r="O1466" t="str">
        <f>O1461</f>
        <v>Gruppenschlüssel</v>
      </c>
      <c r="P1466" s="392" t="str">
        <f>Scharniere[[#Headers],[Bohrbild]]</f>
        <v>Bohrbild</v>
      </c>
      <c r="Q1466" s="1" t="s">
        <v>1445</v>
      </c>
      <c r="AD1466" t="s">
        <v>2107</v>
      </c>
      <c r="AE1466">
        <f ca="1">DCOUNT(Scharniere[[#Headers],[#Data],[Scharnierart]:[Werkzeuglos]],Scharniere[[#Headers],[mit Dämpfung]],AQ1464:AW1465)</f>
        <v>0</v>
      </c>
    </row>
    <row r="1467" spans="1:65" hidden="1" outlineLevel="1" x14ac:dyDescent="0.25">
      <c r="N1467" s="182">
        <f ca="1">$O$1368</f>
        <v>1</v>
      </c>
      <c r="O1467" s="439">
        <f ca="1">$P$1368</f>
        <v>1</v>
      </c>
      <c r="P1467" s="392" t="s">
        <v>9</v>
      </c>
      <c r="Q1467" s="34">
        <f ca="1">DCOUNT(Scharniere[[#Headers],[#Data],[Scharnierart]:[Werkzeuglos]],Scharniere[[#Headers],[mit Dämpfung]],N1466:P1470)</f>
        <v>36</v>
      </c>
      <c r="U1467" s="805" t="s">
        <v>2526</v>
      </c>
      <c r="V1467" s="887">
        <f>U1408</f>
        <v>1</v>
      </c>
      <c r="W1467" s="3"/>
      <c r="Y1467" s="3"/>
      <c r="Z1467" s="3"/>
      <c r="AD1467" t="s">
        <v>2108</v>
      </c>
      <c r="AE1467">
        <f ca="1">DCOUNT(Scharniere[[#Headers],[#Data],[Scharnierart]:[Werkzeuglos]],Scharniere[[#Headers],[mit Dämpfung]],AY1464:BE1465)</f>
        <v>0</v>
      </c>
    </row>
    <row r="1468" spans="1:65" hidden="1" outlineLevel="1" x14ac:dyDescent="0.25">
      <c r="N1468" s="182" t="str">
        <f ca="1">$O$1369</f>
        <v/>
      </c>
      <c r="O1468" s="439" t="str">
        <f ca="1">$P$1369</f>
        <v/>
      </c>
      <c r="P1468" s="392" t="s">
        <v>9</v>
      </c>
      <c r="V1468" s="3" t="s">
        <v>29</v>
      </c>
      <c r="W1468" s="3" t="s">
        <v>30</v>
      </c>
      <c r="X1468" s="3" t="s">
        <v>1367</v>
      </c>
      <c r="Y1468" s="3" t="s">
        <v>31</v>
      </c>
      <c r="Z1468" s="3"/>
      <c r="AD1468" t="s">
        <v>2109</v>
      </c>
      <c r="AE1468">
        <f ca="1">DCOUNT(Scharniere[[#Headers],[#Data],[Scharnierart]:[Werkzeuglos]],Scharniere[[#Headers],[mit Dämpfung]],BG1464:BM1465)</f>
        <v>0</v>
      </c>
    </row>
    <row r="1469" spans="1:65" hidden="1" outlineLevel="1" x14ac:dyDescent="0.25">
      <c r="I1469" t="s">
        <v>1835</v>
      </c>
      <c r="N1469" s="182" t="str">
        <f ca="1">$O$1370</f>
        <v/>
      </c>
      <c r="O1469" s="439" t="str">
        <f ca="1">$P$1370</f>
        <v/>
      </c>
      <c r="P1469" s="392" t="s">
        <v>9</v>
      </c>
      <c r="V1469" s="3">
        <f>IF(V1467=1,1,0)</f>
        <v>1</v>
      </c>
      <c r="W1469" s="3">
        <f>IF(V1467=2,1,0)</f>
        <v>0</v>
      </c>
      <c r="X1469" s="3">
        <f>IF(V1467=3,1,0)</f>
        <v>0</v>
      </c>
      <c r="Y1469" s="3">
        <f>IF(V1467=4,1,0)</f>
        <v>0</v>
      </c>
      <c r="Z1469" s="3"/>
      <c r="AE1469" t="str">
        <f>P1471&amp;P1472</f>
        <v>Bohrbild45/9,5</v>
      </c>
      <c r="AI1469" t="str">
        <f>N1471</f>
        <v>Scharnierart</v>
      </c>
      <c r="AJ1469" t="str">
        <f t="shared" ref="AJ1469:AK1470" si="384">O1471</f>
        <v>Gruppenschlüssel</v>
      </c>
      <c r="AK1469" t="str">
        <f t="shared" si="384"/>
        <v>Bohrbild</v>
      </c>
      <c r="AL1469" t="str">
        <f>V1468</f>
        <v>Anschrauben</v>
      </c>
      <c r="AM1469" t="str">
        <f t="shared" ref="AM1469:AO1470" si="385">W1468</f>
        <v>Einpressen</v>
      </c>
      <c r="AN1469" t="str">
        <f t="shared" si="385"/>
        <v>Quick</v>
      </c>
      <c r="AO1469" t="str">
        <f t="shared" si="385"/>
        <v>Werkzeuglos</v>
      </c>
      <c r="AQ1469" t="str">
        <f>N1471</f>
        <v>Scharnierart</v>
      </c>
      <c r="AR1469" t="str">
        <f>O1471</f>
        <v>Gruppenschlüssel</v>
      </c>
      <c r="AS1469" t="str">
        <f>P1471</f>
        <v>Bohrbild</v>
      </c>
      <c r="AT1469" t="str">
        <f>AL1469</f>
        <v>Anschrauben</v>
      </c>
      <c r="AU1469" t="str">
        <f t="shared" ref="AU1469:AW1470" si="386">AM1469</f>
        <v>Einpressen</v>
      </c>
      <c r="AV1469" t="str">
        <f t="shared" si="386"/>
        <v>Quick</v>
      </c>
      <c r="AW1469" t="str">
        <f t="shared" si="386"/>
        <v>Werkzeuglos</v>
      </c>
      <c r="AY1469" t="str">
        <f>AQ1469</f>
        <v>Scharnierart</v>
      </c>
      <c r="AZ1469" t="str">
        <f>AR1469</f>
        <v>Gruppenschlüssel</v>
      </c>
      <c r="BA1469" t="str">
        <f>AS1469</f>
        <v>Bohrbild</v>
      </c>
      <c r="BB1469" t="str">
        <f>AT1469</f>
        <v>Anschrauben</v>
      </c>
      <c r="BC1469" t="str">
        <f t="shared" ref="BC1469:BE1470" si="387">AU1469</f>
        <v>Einpressen</v>
      </c>
      <c r="BD1469" t="str">
        <f t="shared" si="387"/>
        <v>Quick</v>
      </c>
      <c r="BE1469" t="str">
        <f t="shared" si="387"/>
        <v>Werkzeuglos</v>
      </c>
      <c r="BG1469" t="str">
        <f>AY1469</f>
        <v>Scharnierart</v>
      </c>
      <c r="BH1469" t="str">
        <f>AZ1469</f>
        <v>Gruppenschlüssel</v>
      </c>
      <c r="BI1469" t="str">
        <f>BA1469</f>
        <v>Bohrbild</v>
      </c>
      <c r="BJ1469" t="str">
        <f>BB1469</f>
        <v>Anschrauben</v>
      </c>
      <c r="BK1469" t="str">
        <f t="shared" ref="BK1469:BM1470" si="388">BC1469</f>
        <v>Einpressen</v>
      </c>
      <c r="BL1469" t="str">
        <f t="shared" si="388"/>
        <v>Quick</v>
      </c>
      <c r="BM1469" t="str">
        <f t="shared" si="388"/>
        <v>Werkzeuglos</v>
      </c>
    </row>
    <row r="1470" spans="1:65" hidden="1" outlineLevel="1" x14ac:dyDescent="0.25">
      <c r="I1470" s="131" t="str">
        <f>D1333</f>
        <v/>
      </c>
      <c r="N1470" s="182">
        <f ca="1">$O$1371</f>
        <v>3</v>
      </c>
      <c r="O1470" s="439">
        <f ca="1">$P$1371</f>
        <v>4</v>
      </c>
      <c r="P1470" s="392" t="s">
        <v>9</v>
      </c>
      <c r="U1470" t="str">
        <f>IF(Q1484&gt;0,1,"")</f>
        <v/>
      </c>
      <c r="AD1470" t="s">
        <v>2106</v>
      </c>
      <c r="AE1470">
        <f ca="1">DCOUNT(Scharniere[[#Headers],[#Data],[Scharnierart]:[Werkzeuglos]],Scharniere[[#Headers],[mit Dämpfung]],AI1469:AO1470)</f>
        <v>13</v>
      </c>
      <c r="AI1470">
        <f ca="1">N1472</f>
        <v>1</v>
      </c>
      <c r="AJ1470">
        <f t="shared" ca="1" si="384"/>
        <v>1</v>
      </c>
      <c r="AK1470" t="str">
        <f t="shared" si="384"/>
        <v>45/9,5</v>
      </c>
      <c r="AL1470">
        <f>V1469</f>
        <v>1</v>
      </c>
      <c r="AM1470">
        <f t="shared" si="385"/>
        <v>0</v>
      </c>
      <c r="AN1470">
        <f t="shared" si="385"/>
        <v>0</v>
      </c>
      <c r="AO1470">
        <f t="shared" si="385"/>
        <v>0</v>
      </c>
      <c r="AQ1470" t="str">
        <f ca="1">N1473</f>
        <v/>
      </c>
      <c r="AR1470" t="str">
        <f ca="1">O1473</f>
        <v/>
      </c>
      <c r="AS1470" t="str">
        <f>P1473</f>
        <v>45/9,5</v>
      </c>
      <c r="AT1470">
        <f>AL1470</f>
        <v>1</v>
      </c>
      <c r="AU1470">
        <f t="shared" si="386"/>
        <v>0</v>
      </c>
      <c r="AV1470">
        <f t="shared" si="386"/>
        <v>0</v>
      </c>
      <c r="AW1470">
        <f t="shared" si="386"/>
        <v>0</v>
      </c>
      <c r="AY1470" t="str">
        <f ca="1">N1474</f>
        <v/>
      </c>
      <c r="AZ1470" t="str">
        <f ca="1">O1474</f>
        <v/>
      </c>
      <c r="BA1470" t="str">
        <f>P1474</f>
        <v>45/9,5</v>
      </c>
      <c r="BB1470">
        <f>AT1470</f>
        <v>1</v>
      </c>
      <c r="BC1470">
        <f t="shared" si="387"/>
        <v>0</v>
      </c>
      <c r="BD1470">
        <f t="shared" si="387"/>
        <v>0</v>
      </c>
      <c r="BE1470">
        <f t="shared" si="387"/>
        <v>0</v>
      </c>
      <c r="BG1470">
        <f ca="1">N1475</f>
        <v>3</v>
      </c>
      <c r="BH1470">
        <f ca="1">O1475</f>
        <v>4</v>
      </c>
      <c r="BI1470" t="str">
        <f>P1475</f>
        <v>45/9,5</v>
      </c>
      <c r="BJ1470">
        <f>BB1470</f>
        <v>1</v>
      </c>
      <c r="BK1470">
        <f t="shared" si="388"/>
        <v>0</v>
      </c>
      <c r="BL1470">
        <f t="shared" si="388"/>
        <v>0</v>
      </c>
      <c r="BM1470">
        <f t="shared" si="388"/>
        <v>0</v>
      </c>
    </row>
    <row r="1471" spans="1:65" ht="15.75" hidden="1" outlineLevel="1" thickBot="1" x14ac:dyDescent="0.3">
      <c r="A1471" t="s">
        <v>2127</v>
      </c>
      <c r="I1471" s="131" t="str">
        <f ca="1">L1335</f>
        <v/>
      </c>
      <c r="N1471" t="str">
        <f>N1466</f>
        <v>Scharnierart</v>
      </c>
      <c r="O1471" t="str">
        <f>O1466</f>
        <v>Gruppenschlüssel</v>
      </c>
      <c r="P1471" s="392" t="str">
        <f>Scharniere[[#Headers],[Bohrbild]]</f>
        <v>Bohrbild</v>
      </c>
      <c r="Q1471" s="1" t="s">
        <v>1445</v>
      </c>
      <c r="AD1471" t="s">
        <v>2107</v>
      </c>
      <c r="AE1471">
        <f ca="1">DCOUNT(Scharniere[[#Headers],[#Data],[Scharnierart]:[Werkzeuglos]],Scharniere[[#Headers],[mit Dämpfung]],AQ1469:AW1470)</f>
        <v>0</v>
      </c>
    </row>
    <row r="1472" spans="1:65" hidden="1" outlineLevel="1" x14ac:dyDescent="0.25">
      <c r="A1472" s="5">
        <v>1</v>
      </c>
      <c r="B1472" s="78" t="str">
        <f ca="1">VLOOKUP(A1472,A1473:C1477,2,FALSE)</f>
        <v>37/32</v>
      </c>
      <c r="D1472" s="131" t="str">
        <f ca="1">IF(AND(D1427="",V1406="",V1386="",D1333="",L1335="",K1347="",B1472=$A$8,I1387="",B1387="",O1387="")=TRUE,Sprache!A51,"")</f>
        <v/>
      </c>
      <c r="I1472" s="131" t="str">
        <f ca="1">K1347</f>
        <v/>
      </c>
      <c r="N1472" s="182">
        <f ca="1">$O$1368</f>
        <v>1</v>
      </c>
      <c r="O1472" s="439">
        <f ca="1">$P$1368</f>
        <v>1</v>
      </c>
      <c r="P1472" s="392" t="s">
        <v>3</v>
      </c>
      <c r="Q1472" s="34">
        <f ca="1">DCOUNT(Scharniere[[#Headers],[#Data],[Scharnierart]:[Werkzeuglos]],Scharniere[[#Headers],[mit Dämpfung]],N1471:P1475)</f>
        <v>60</v>
      </c>
      <c r="AD1472" t="s">
        <v>2108</v>
      </c>
      <c r="AE1472">
        <f ca="1">DCOUNT(Scharniere[[#Headers],[#Data],[Scharnierart]:[Werkzeuglos]],Scharniere[[#Headers],[mit Dämpfung]],AY1469:BE1470)</f>
        <v>0</v>
      </c>
    </row>
    <row r="1473" spans="1:65" hidden="1" outlineLevel="1" x14ac:dyDescent="0.25">
      <c r="A1473" s="524">
        <v>1</v>
      </c>
      <c r="B1473" s="564" t="str">
        <f ca="1">IF(D1473&gt;=1,C1473,$A$8)</f>
        <v>37/32</v>
      </c>
      <c r="C1473" s="525" t="str">
        <f>O1644</f>
        <v>37/32</v>
      </c>
      <c r="D1473" s="526">
        <f ca="1">O1660</f>
        <v>1</v>
      </c>
      <c r="I1473" s="131" t="str">
        <f ca="1">B1387</f>
        <v/>
      </c>
      <c r="N1473" s="182" t="str">
        <f ca="1">$O$1369</f>
        <v/>
      </c>
      <c r="O1473" s="439" t="str">
        <f ca="1">$P$1369</f>
        <v/>
      </c>
      <c r="P1473" s="392" t="s">
        <v>3</v>
      </c>
      <c r="AD1473" t="s">
        <v>2109</v>
      </c>
      <c r="AE1473">
        <f ca="1">DCOUNT(Scharniere[[#Headers],[#Data],[Scharnierart]:[Werkzeuglos]],Scharniere[[#Headers],[mit Dämpfung]],BG1469:BM1470)</f>
        <v>3</v>
      </c>
    </row>
    <row r="1474" spans="1:65" hidden="1" outlineLevel="1" x14ac:dyDescent="0.25">
      <c r="A1474" s="10">
        <v>2</v>
      </c>
      <c r="B1474" s="554" t="str">
        <f ca="1">IF(D1474&gt;=1,C1474,$A$8)</f>
        <v>---------</v>
      </c>
      <c r="C1474" s="34" t="str">
        <f>P1644</f>
        <v>28/32</v>
      </c>
      <c r="D1474" s="55">
        <f ca="1">P1660</f>
        <v>0</v>
      </c>
      <c r="I1474" s="131" t="str">
        <f ca="1">I1387</f>
        <v/>
      </c>
      <c r="N1474" s="182" t="str">
        <f ca="1">$O$1370</f>
        <v/>
      </c>
      <c r="O1474" s="439" t="str">
        <f ca="1">$P$1370</f>
        <v/>
      </c>
      <c r="P1474" s="392" t="s">
        <v>3</v>
      </c>
      <c r="AE1474" t="str">
        <f>P1476&amp;P1477</f>
        <v>Bohrbild48/6</v>
      </c>
      <c r="AI1474" t="str">
        <f>N1476</f>
        <v>Scharnierart</v>
      </c>
      <c r="AJ1474" t="str">
        <f t="shared" ref="AJ1474:AK1475" si="389">O1476</f>
        <v>Gruppenschlüssel</v>
      </c>
      <c r="AK1474" t="str">
        <f t="shared" si="389"/>
        <v>Bohrbild</v>
      </c>
      <c r="AL1474" t="str">
        <f>V1468</f>
        <v>Anschrauben</v>
      </c>
      <c r="AM1474" t="str">
        <f t="shared" ref="AM1474:AO1475" si="390">W1468</f>
        <v>Einpressen</v>
      </c>
      <c r="AN1474" t="str">
        <f t="shared" si="390"/>
        <v>Quick</v>
      </c>
      <c r="AO1474" t="str">
        <f t="shared" si="390"/>
        <v>Werkzeuglos</v>
      </c>
      <c r="AQ1474" t="str">
        <f>N1476</f>
        <v>Scharnierart</v>
      </c>
      <c r="AR1474" t="str">
        <f>O1476</f>
        <v>Gruppenschlüssel</v>
      </c>
      <c r="AS1474" t="str">
        <f>P1476</f>
        <v>Bohrbild</v>
      </c>
      <c r="AT1474" t="str">
        <f>AL1474</f>
        <v>Anschrauben</v>
      </c>
      <c r="AU1474" t="str">
        <f t="shared" ref="AU1474:AW1475" si="391">AM1474</f>
        <v>Einpressen</v>
      </c>
      <c r="AV1474" t="str">
        <f t="shared" si="391"/>
        <v>Quick</v>
      </c>
      <c r="AW1474" t="str">
        <f t="shared" si="391"/>
        <v>Werkzeuglos</v>
      </c>
      <c r="AY1474" t="str">
        <f>AQ1474</f>
        <v>Scharnierart</v>
      </c>
      <c r="AZ1474" t="str">
        <f>AR1474</f>
        <v>Gruppenschlüssel</v>
      </c>
      <c r="BA1474" t="str">
        <f>AS1474</f>
        <v>Bohrbild</v>
      </c>
      <c r="BB1474" t="str">
        <f>AT1474</f>
        <v>Anschrauben</v>
      </c>
      <c r="BC1474" t="str">
        <f t="shared" ref="BC1474:BE1475" si="392">AU1474</f>
        <v>Einpressen</v>
      </c>
      <c r="BD1474" t="str">
        <f t="shared" si="392"/>
        <v>Quick</v>
      </c>
      <c r="BE1474" t="str">
        <f t="shared" si="392"/>
        <v>Werkzeuglos</v>
      </c>
      <c r="BG1474" t="str">
        <f>AY1474</f>
        <v>Scharnierart</v>
      </c>
      <c r="BH1474" t="str">
        <f>AZ1474</f>
        <v>Gruppenschlüssel</v>
      </c>
      <c r="BI1474" t="str">
        <f>BA1474</f>
        <v>Bohrbild</v>
      </c>
      <c r="BJ1474" t="str">
        <f>BB1474</f>
        <v>Anschrauben</v>
      </c>
      <c r="BK1474" t="str">
        <f t="shared" ref="BK1474:BM1475" si="393">BC1474</f>
        <v>Einpressen</v>
      </c>
      <c r="BL1474" t="str">
        <f t="shared" si="393"/>
        <v>Quick</v>
      </c>
      <c r="BM1474" t="str">
        <f t="shared" si="393"/>
        <v>Werkzeuglos</v>
      </c>
    </row>
    <row r="1475" spans="1:65" hidden="1" outlineLevel="1" x14ac:dyDescent="0.25">
      <c r="A1475" s="10">
        <v>3</v>
      </c>
      <c r="B1475" s="554" t="str">
        <f ca="1">IF(D1475&gt;=1,C1475,$A$8)</f>
        <v>---------</v>
      </c>
      <c r="C1475" s="34" t="str">
        <f>Q1644</f>
        <v>20/32</v>
      </c>
      <c r="D1475" s="55">
        <f ca="1">Q1660</f>
        <v>0</v>
      </c>
      <c r="I1475" s="131" t="str">
        <f ca="1">O1387</f>
        <v/>
      </c>
      <c r="N1475" s="182">
        <f ca="1">$O$1371</f>
        <v>3</v>
      </c>
      <c r="O1475" s="439">
        <f ca="1">$P$1371</f>
        <v>4</v>
      </c>
      <c r="P1475" s="392" t="s">
        <v>3</v>
      </c>
      <c r="AD1475" t="s">
        <v>2106</v>
      </c>
      <c r="AE1475">
        <f ca="1">DCOUNT(Scharniere[[#Headers],[#Data],[Scharnierart]:[Werkzeuglos]],Scharniere[[#Headers],[mit Dämpfung]],AI1474:AO1475)</f>
        <v>12</v>
      </c>
      <c r="AI1475">
        <f ca="1">N1477</f>
        <v>1</v>
      </c>
      <c r="AJ1475">
        <f t="shared" ca="1" si="389"/>
        <v>1</v>
      </c>
      <c r="AK1475" t="str">
        <f t="shared" si="389"/>
        <v>48/6</v>
      </c>
      <c r="AL1475">
        <f>V1469</f>
        <v>1</v>
      </c>
      <c r="AM1475">
        <f t="shared" si="390"/>
        <v>0</v>
      </c>
      <c r="AN1475">
        <f t="shared" si="390"/>
        <v>0</v>
      </c>
      <c r="AO1475">
        <f t="shared" si="390"/>
        <v>0</v>
      </c>
      <c r="AQ1475" t="str">
        <f ca="1">N1478</f>
        <v/>
      </c>
      <c r="AR1475" t="str">
        <f ca="1">O1478</f>
        <v/>
      </c>
      <c r="AS1475" t="str">
        <f>P1478</f>
        <v>48/6</v>
      </c>
      <c r="AT1475">
        <f>AL1475</f>
        <v>1</v>
      </c>
      <c r="AU1475">
        <f t="shared" si="391"/>
        <v>0</v>
      </c>
      <c r="AV1475">
        <f t="shared" si="391"/>
        <v>0</v>
      </c>
      <c r="AW1475">
        <f t="shared" si="391"/>
        <v>0</v>
      </c>
      <c r="AY1475" t="str">
        <f ca="1">N1479</f>
        <v/>
      </c>
      <c r="AZ1475" t="str">
        <f ca="1">O1479</f>
        <v/>
      </c>
      <c r="BA1475" t="str">
        <f>P1479</f>
        <v>48/6</v>
      </c>
      <c r="BB1475">
        <f>AT1475</f>
        <v>1</v>
      </c>
      <c r="BC1475">
        <f t="shared" si="392"/>
        <v>0</v>
      </c>
      <c r="BD1475">
        <f t="shared" si="392"/>
        <v>0</v>
      </c>
      <c r="BE1475">
        <f t="shared" si="392"/>
        <v>0</v>
      </c>
      <c r="BG1475">
        <f ca="1">N1480</f>
        <v>3</v>
      </c>
      <c r="BH1475">
        <f ca="1">O1480</f>
        <v>4</v>
      </c>
      <c r="BI1475" t="str">
        <f>P1480</f>
        <v>48/6</v>
      </c>
      <c r="BJ1475">
        <f>BB1475</f>
        <v>1</v>
      </c>
      <c r="BK1475">
        <f t="shared" si="393"/>
        <v>0</v>
      </c>
      <c r="BL1475">
        <f t="shared" si="393"/>
        <v>0</v>
      </c>
      <c r="BM1475">
        <f t="shared" si="393"/>
        <v>0</v>
      </c>
    </row>
    <row r="1476" spans="1:65" hidden="1" outlineLevel="1" x14ac:dyDescent="0.25">
      <c r="A1476" s="10">
        <v>4</v>
      </c>
      <c r="B1476" s="554" t="str">
        <f ca="1">IF(D1476&gt;=1,C1476,$A$8)</f>
        <v>---------</v>
      </c>
      <c r="C1476" s="34" t="str">
        <f>R1644</f>
        <v>9,5/32</v>
      </c>
      <c r="D1476" s="55">
        <f ca="1">R1660</f>
        <v>0</v>
      </c>
      <c r="I1476" s="131" t="str">
        <f ca="1">D1427</f>
        <v/>
      </c>
      <c r="N1476" t="str">
        <f>N1471</f>
        <v>Scharnierart</v>
      </c>
      <c r="O1476" t="str">
        <f>O1471</f>
        <v>Gruppenschlüssel</v>
      </c>
      <c r="P1476" s="392" t="str">
        <f>Scharniere[[#Headers],[Bohrbild]]</f>
        <v>Bohrbild</v>
      </c>
      <c r="Q1476" s="1" t="s">
        <v>1445</v>
      </c>
      <c r="AD1476" t="s">
        <v>2107</v>
      </c>
      <c r="AE1476">
        <f ca="1">DCOUNT(Scharniere[[#Headers],[#Data],[Scharnierart]:[Werkzeuglos]],Scharniere[[#Headers],[mit Dämpfung]],AQ1474:AW1475)</f>
        <v>0</v>
      </c>
    </row>
    <row r="1477" spans="1:65" hidden="1" outlineLevel="1" x14ac:dyDescent="0.25">
      <c r="A1477" s="92">
        <v>5</v>
      </c>
      <c r="B1477" s="379" t="str">
        <f ca="1">IF(D1477&gt;=1,C1477,$A$8)</f>
        <v>---------</v>
      </c>
      <c r="C1477" s="6" t="str">
        <f>S1644</f>
        <v>10/32</v>
      </c>
      <c r="D1477" s="56">
        <f ca="1">S1660</f>
        <v>0</v>
      </c>
      <c r="I1477" s="131" t="str">
        <f>D1457</f>
        <v/>
      </c>
      <c r="N1477" s="182">
        <f ca="1">$O$1368</f>
        <v>1</v>
      </c>
      <c r="O1477" s="439">
        <f ca="1">$P$1368</f>
        <v>1</v>
      </c>
      <c r="P1477" s="392" t="s">
        <v>11</v>
      </c>
      <c r="Q1477" s="34">
        <f ca="1">DCOUNT(Scharniere[[#Headers],[#Data],[Scharnierart]:[Werkzeuglos]],Scharniere[[#Headers],[mit Dämpfung]],N1476:P1480)</f>
        <v>39</v>
      </c>
      <c r="AD1477" t="s">
        <v>2108</v>
      </c>
      <c r="AE1477">
        <f ca="1">DCOUNT(Scharniere[[#Headers],[#Data],[Scharnierart]:[Werkzeuglos]],Scharniere[[#Headers],[mit Dämpfung]],AY1474:BE1475)</f>
        <v>0</v>
      </c>
    </row>
    <row r="1478" spans="1:65" hidden="1" outlineLevel="1" x14ac:dyDescent="0.25">
      <c r="I1478" s="131" t="str">
        <f ca="1">D1472</f>
        <v/>
      </c>
      <c r="N1478" s="182" t="str">
        <f ca="1">$O$1369</f>
        <v/>
      </c>
      <c r="O1478" s="439" t="str">
        <f ca="1">$P$1369</f>
        <v/>
      </c>
      <c r="P1478" s="392" t="s">
        <v>11</v>
      </c>
      <c r="AD1478" t="s">
        <v>2109</v>
      </c>
      <c r="AE1478">
        <f ca="1">DCOUNT(Scharniere[[#Headers],[#Data],[Scharnierart]:[Werkzeuglos]],Scharniere[[#Headers],[mit Dämpfung]],BG1474:BM1475)</f>
        <v>3</v>
      </c>
    </row>
    <row r="1479" spans="1:65" hidden="1" outlineLevel="1" x14ac:dyDescent="0.25">
      <c r="I1479">
        <f ca="1">IF(COUNTBLANK(I1470:I1478)&lt;&gt;9,"1",0)</f>
        <v>0</v>
      </c>
      <c r="N1479" s="182" t="str">
        <f ca="1">$O$1370</f>
        <v/>
      </c>
      <c r="O1479" s="439" t="str">
        <f ca="1">$P$1370</f>
        <v/>
      </c>
      <c r="P1479" s="392" t="s">
        <v>11</v>
      </c>
      <c r="AE1479" t="str">
        <f>P1481&amp;P1482</f>
        <v>Bohrbild48/9</v>
      </c>
      <c r="AI1479" t="str">
        <f>N1481</f>
        <v>Scharnierart</v>
      </c>
      <c r="AJ1479" t="str">
        <f t="shared" ref="AJ1479:AK1480" si="394">O1481</f>
        <v>Gruppenschlüssel</v>
      </c>
      <c r="AK1479" t="str">
        <f t="shared" si="394"/>
        <v>Bohrbild</v>
      </c>
      <c r="AL1479" t="str">
        <f>V1468</f>
        <v>Anschrauben</v>
      </c>
      <c r="AM1479" t="str">
        <f t="shared" ref="AM1479:AO1480" si="395">W1468</f>
        <v>Einpressen</v>
      </c>
      <c r="AN1479" t="str">
        <f t="shared" si="395"/>
        <v>Quick</v>
      </c>
      <c r="AO1479" t="str">
        <f t="shared" si="395"/>
        <v>Werkzeuglos</v>
      </c>
      <c r="AQ1479" t="str">
        <f>N1481</f>
        <v>Scharnierart</v>
      </c>
      <c r="AR1479" t="str">
        <f>O1481</f>
        <v>Gruppenschlüssel</v>
      </c>
      <c r="AS1479" t="str">
        <f>P1481</f>
        <v>Bohrbild</v>
      </c>
      <c r="AT1479" t="str">
        <f>AL1479</f>
        <v>Anschrauben</v>
      </c>
      <c r="AU1479" t="str">
        <f t="shared" ref="AU1479:AW1480" si="396">AM1479</f>
        <v>Einpressen</v>
      </c>
      <c r="AV1479" t="str">
        <f t="shared" si="396"/>
        <v>Quick</v>
      </c>
      <c r="AW1479" t="str">
        <f t="shared" si="396"/>
        <v>Werkzeuglos</v>
      </c>
      <c r="AY1479" t="str">
        <f>AQ1479</f>
        <v>Scharnierart</v>
      </c>
      <c r="AZ1479" t="str">
        <f>AR1479</f>
        <v>Gruppenschlüssel</v>
      </c>
      <c r="BA1479" t="str">
        <f>AS1479</f>
        <v>Bohrbild</v>
      </c>
      <c r="BB1479" t="str">
        <f>AT1479</f>
        <v>Anschrauben</v>
      </c>
      <c r="BC1479" t="str">
        <f t="shared" ref="BC1479:BE1480" si="397">AU1479</f>
        <v>Einpressen</v>
      </c>
      <c r="BD1479" t="str">
        <f t="shared" si="397"/>
        <v>Quick</v>
      </c>
      <c r="BE1479" t="str">
        <f t="shared" si="397"/>
        <v>Werkzeuglos</v>
      </c>
      <c r="BG1479" t="str">
        <f>AY1479</f>
        <v>Scharnierart</v>
      </c>
      <c r="BH1479" t="str">
        <f>AZ1479</f>
        <v>Gruppenschlüssel</v>
      </c>
      <c r="BI1479" t="str">
        <f>BA1479</f>
        <v>Bohrbild</v>
      </c>
      <c r="BJ1479" t="str">
        <f>BB1479</f>
        <v>Anschrauben</v>
      </c>
      <c r="BK1479" t="str">
        <f t="shared" ref="BK1479:BM1480" si="398">BC1479</f>
        <v>Einpressen</v>
      </c>
      <c r="BL1479" t="str">
        <f t="shared" si="398"/>
        <v>Quick</v>
      </c>
      <c r="BM1479" t="str">
        <f t="shared" si="398"/>
        <v>Werkzeuglos</v>
      </c>
    </row>
    <row r="1480" spans="1:65" hidden="1" outlineLevel="1" x14ac:dyDescent="0.25">
      <c r="A1480" t="e">
        <f ca="1">DGET(Scharniere[[#Headers],[#Data],[Scharnierart]:[Werkzeuglos]],Scharniere[[#Headers],[Kröpfung]],$A$1484:$J$1485)</f>
        <v>#NUM!</v>
      </c>
      <c r="N1480" s="182">
        <f ca="1">$O$1371</f>
        <v>3</v>
      </c>
      <c r="O1480" s="439">
        <f ca="1">$P$1371</f>
        <v>4</v>
      </c>
      <c r="P1480" s="392" t="s">
        <v>11</v>
      </c>
      <c r="AD1480" t="s">
        <v>2106</v>
      </c>
      <c r="AE1480">
        <f ca="1">DCOUNT(Scharniere[[#Headers],[#Data],[Scharnierart]:[Werkzeuglos]],Scharniere[[#Headers],[mit Dämpfung]],AI1479:AO1480)</f>
        <v>13</v>
      </c>
      <c r="AI1480">
        <f ca="1">N1482</f>
        <v>1</v>
      </c>
      <c r="AJ1480">
        <f t="shared" ca="1" si="394"/>
        <v>1</v>
      </c>
      <c r="AK1480" t="str">
        <f t="shared" si="394"/>
        <v>48/9</v>
      </c>
      <c r="AL1480">
        <f>V1469</f>
        <v>1</v>
      </c>
      <c r="AM1480">
        <f t="shared" si="395"/>
        <v>0</v>
      </c>
      <c r="AN1480">
        <f t="shared" si="395"/>
        <v>0</v>
      </c>
      <c r="AO1480">
        <f t="shared" si="395"/>
        <v>0</v>
      </c>
      <c r="AQ1480" t="str">
        <f ca="1">N1483</f>
        <v/>
      </c>
      <c r="AR1480" t="str">
        <f ca="1">O1483</f>
        <v/>
      </c>
      <c r="AS1480" t="str">
        <f>P1483</f>
        <v>48/9</v>
      </c>
      <c r="AT1480">
        <f>AL1480</f>
        <v>1</v>
      </c>
      <c r="AU1480">
        <f t="shared" si="396"/>
        <v>0</v>
      </c>
      <c r="AV1480">
        <f t="shared" si="396"/>
        <v>0</v>
      </c>
      <c r="AW1480">
        <f t="shared" si="396"/>
        <v>0</v>
      </c>
      <c r="AY1480" t="str">
        <f ca="1">N1484</f>
        <v/>
      </c>
      <c r="AZ1480" t="str">
        <f ca="1">O1484</f>
        <v/>
      </c>
      <c r="BA1480" t="str">
        <f>P1484</f>
        <v>48/9</v>
      </c>
      <c r="BB1480">
        <f>AT1480</f>
        <v>1</v>
      </c>
      <c r="BC1480">
        <f t="shared" si="397"/>
        <v>0</v>
      </c>
      <c r="BD1480">
        <f t="shared" si="397"/>
        <v>0</v>
      </c>
      <c r="BE1480">
        <f t="shared" si="397"/>
        <v>0</v>
      </c>
      <c r="BG1480">
        <f ca="1">N1485</f>
        <v>3</v>
      </c>
      <c r="BH1480">
        <f ca="1">O1485</f>
        <v>4</v>
      </c>
      <c r="BI1480" t="str">
        <f>P1485</f>
        <v>48/9</v>
      </c>
      <c r="BJ1480">
        <f>BB1480</f>
        <v>1</v>
      </c>
      <c r="BK1480">
        <f t="shared" si="398"/>
        <v>0</v>
      </c>
      <c r="BL1480">
        <f t="shared" si="398"/>
        <v>0</v>
      </c>
      <c r="BM1480">
        <f t="shared" si="398"/>
        <v>0</v>
      </c>
    </row>
    <row r="1481" spans="1:65" hidden="1" outlineLevel="1" x14ac:dyDescent="0.25">
      <c r="N1481" t="str">
        <f>N1476</f>
        <v>Scharnierart</v>
      </c>
      <c r="O1481" t="str">
        <f>O1476</f>
        <v>Gruppenschlüssel</v>
      </c>
      <c r="P1481" s="392" t="str">
        <f>Scharniere[[#Headers],[Bohrbild]]</f>
        <v>Bohrbild</v>
      </c>
      <c r="Q1481" s="1" t="s">
        <v>1445</v>
      </c>
      <c r="AD1481" t="s">
        <v>2107</v>
      </c>
      <c r="AE1481">
        <f ca="1">DCOUNT(Scharniere[[#Headers],[#Data],[Scharnierart]:[Werkzeuglos]],Scharniere[[#Headers],[mit Dämpfung]],AQ1479:AW1480)</f>
        <v>0</v>
      </c>
    </row>
    <row r="1482" spans="1:65" hidden="1" outlineLevel="1" x14ac:dyDescent="0.25">
      <c r="C1482" t="s">
        <v>5</v>
      </c>
      <c r="D1482" t="s">
        <v>53</v>
      </c>
      <c r="N1482" s="182">
        <f ca="1">$O$1368</f>
        <v>1</v>
      </c>
      <c r="O1482" s="439">
        <f ca="1">$P$1368</f>
        <v>1</v>
      </c>
      <c r="P1482" s="392" t="s">
        <v>8</v>
      </c>
      <c r="Q1482" s="34">
        <f ca="1">DCOUNT(Scharniere[[#Headers],[#Data],[Scharnierart]:[Werkzeuglos]],Scharniere[[#Headers],[mit Dämpfung]],N1481:P1485)</f>
        <v>40</v>
      </c>
      <c r="AD1482" t="s">
        <v>2108</v>
      </c>
      <c r="AE1482">
        <f ca="1">DCOUNT(Scharniere[[#Headers],[#Data],[Scharnierart]:[Werkzeuglos]],Scharniere[[#Headers],[mit Dämpfung]],AY1479:BE1480)</f>
        <v>0</v>
      </c>
    </row>
    <row r="1483" spans="1:65" hidden="1" outlineLevel="1" x14ac:dyDescent="0.25">
      <c r="N1483" s="182" t="str">
        <f ca="1">$O$1369</f>
        <v/>
      </c>
      <c r="O1483" s="439" t="str">
        <f ca="1">$P$1369</f>
        <v/>
      </c>
      <c r="P1483" s="392" t="s">
        <v>8</v>
      </c>
      <c r="AD1483" t="s">
        <v>2109</v>
      </c>
      <c r="AE1483">
        <f ca="1">DCOUNT(Scharniere[[#Headers],[#Data],[Scharnierart]:[Werkzeuglos]],Scharniere[[#Headers],[mit Dämpfung]],BG1479:BM1480)</f>
        <v>3</v>
      </c>
    </row>
    <row r="1484" spans="1:65" hidden="1" outlineLevel="1" x14ac:dyDescent="0.25">
      <c r="A1484" t="s">
        <v>1432</v>
      </c>
      <c r="B1484" t="s">
        <v>1439</v>
      </c>
      <c r="C1484" t="s">
        <v>2</v>
      </c>
      <c r="D1484" t="s">
        <v>57</v>
      </c>
      <c r="E1484" t="s">
        <v>58</v>
      </c>
      <c r="F1484" t="s">
        <v>28</v>
      </c>
      <c r="G1484" t="s">
        <v>29</v>
      </c>
      <c r="H1484" t="s">
        <v>30</v>
      </c>
      <c r="I1484" t="s">
        <v>1367</v>
      </c>
      <c r="J1484" t="s">
        <v>31</v>
      </c>
      <c r="N1484" s="182" t="str">
        <f ca="1">$O$1370</f>
        <v/>
      </c>
      <c r="O1484" s="439" t="str">
        <f ca="1">$P$1370</f>
        <v/>
      </c>
      <c r="P1484" s="392" t="s">
        <v>8</v>
      </c>
      <c r="AE1484" t="str">
        <f>P1486&amp;P1487</f>
        <v>Bohrbild52/5,5</v>
      </c>
      <c r="AI1484" t="str">
        <f>N1486</f>
        <v>Scharnierart</v>
      </c>
      <c r="AJ1484" t="str">
        <f t="shared" ref="AJ1484:AK1485" si="399">O1486</f>
        <v>Gruppenschlüssel</v>
      </c>
      <c r="AK1484" t="str">
        <f t="shared" si="399"/>
        <v>Bohrbild</v>
      </c>
      <c r="AL1484" t="str">
        <f>V1468</f>
        <v>Anschrauben</v>
      </c>
      <c r="AM1484" t="str">
        <f t="shared" ref="AM1484:AO1485" si="400">W1468</f>
        <v>Einpressen</v>
      </c>
      <c r="AN1484" t="str">
        <f t="shared" si="400"/>
        <v>Quick</v>
      </c>
      <c r="AO1484" t="str">
        <f t="shared" si="400"/>
        <v>Werkzeuglos</v>
      </c>
      <c r="AQ1484" t="str">
        <f>N1486</f>
        <v>Scharnierart</v>
      </c>
      <c r="AR1484" t="str">
        <f>O1486</f>
        <v>Gruppenschlüssel</v>
      </c>
      <c r="AS1484" t="str">
        <f>P1486</f>
        <v>Bohrbild</v>
      </c>
      <c r="AT1484" t="str">
        <f>AL1484</f>
        <v>Anschrauben</v>
      </c>
      <c r="AU1484" t="str">
        <f t="shared" ref="AU1484:AW1485" si="401">AM1484</f>
        <v>Einpressen</v>
      </c>
      <c r="AV1484" t="str">
        <f t="shared" si="401"/>
        <v>Quick</v>
      </c>
      <c r="AW1484" t="str">
        <f t="shared" si="401"/>
        <v>Werkzeuglos</v>
      </c>
      <c r="AY1484" t="str">
        <f>AQ1484</f>
        <v>Scharnierart</v>
      </c>
      <c r="AZ1484" t="str">
        <f>AR1484</f>
        <v>Gruppenschlüssel</v>
      </c>
      <c r="BA1484" t="str">
        <f>AS1484</f>
        <v>Bohrbild</v>
      </c>
      <c r="BB1484" t="str">
        <f>AT1484</f>
        <v>Anschrauben</v>
      </c>
      <c r="BC1484" t="str">
        <f t="shared" ref="BC1484:BE1485" si="402">AU1484</f>
        <v>Einpressen</v>
      </c>
      <c r="BD1484" t="str">
        <f t="shared" si="402"/>
        <v>Quick</v>
      </c>
      <c r="BE1484" t="str">
        <f t="shared" si="402"/>
        <v>Werkzeuglos</v>
      </c>
      <c r="BG1484" t="str">
        <f>AY1484</f>
        <v>Scharnierart</v>
      </c>
      <c r="BH1484" t="str">
        <f>AZ1484</f>
        <v>Gruppenschlüssel</v>
      </c>
      <c r="BI1484" t="str">
        <f>BA1484</f>
        <v>Bohrbild</v>
      </c>
      <c r="BJ1484" t="str">
        <f>BB1484</f>
        <v>Anschrauben</v>
      </c>
      <c r="BK1484" t="str">
        <f t="shared" ref="BK1484:BM1485" si="403">BC1484</f>
        <v>Einpressen</v>
      </c>
      <c r="BL1484" t="str">
        <f t="shared" si="403"/>
        <v>Quick</v>
      </c>
      <c r="BM1484" t="str">
        <f t="shared" si="403"/>
        <v>Werkzeuglos</v>
      </c>
    </row>
    <row r="1485" spans="1:65" hidden="1" outlineLevel="1" x14ac:dyDescent="0.25">
      <c r="A1485" s="182">
        <f ca="1">$O$1368</f>
        <v>1</v>
      </c>
      <c r="B1485" s="439">
        <f ca="1">$P$1368</f>
        <v>1</v>
      </c>
      <c r="C1485" t="str">
        <f ca="1">$V$1387</f>
        <v>42/11</v>
      </c>
      <c r="D1485" s="392">
        <f ca="1">IF($V$1399=$V$1420,1,0)</f>
        <v>1</v>
      </c>
      <c r="E1485">
        <f ca="1">IF(V1399=V1421,1,0)</f>
        <v>0</v>
      </c>
      <c r="F1485">
        <f ca="1">IF(V1399=V1422,1,0)</f>
        <v>0</v>
      </c>
      <c r="G1485">
        <f ca="1">IF(V1407=V1435,1,0)</f>
        <v>1</v>
      </c>
      <c r="H1485">
        <f ca="1">IF(V1407=V1436,1,0)</f>
        <v>0</v>
      </c>
      <c r="I1485">
        <f ca="1">IF(V1407=V1437,1,0)</f>
        <v>0</v>
      </c>
      <c r="J1485">
        <f ca="1">IF(V1407=V1438,1,0)</f>
        <v>0</v>
      </c>
      <c r="N1485" s="182">
        <f ca="1">$O$1371</f>
        <v>3</v>
      </c>
      <c r="O1485" s="439">
        <f ca="1">$P$1371</f>
        <v>4</v>
      </c>
      <c r="P1485" s="392" t="s">
        <v>8</v>
      </c>
      <c r="AD1485" t="s">
        <v>2106</v>
      </c>
      <c r="AE1485">
        <f ca="1">DCOUNT(Scharniere[[#Headers],[#Data],[Scharnierart]:[Werkzeuglos]],Scharniere[[#Headers],[mit Dämpfung]],AI1484:AO1485)</f>
        <v>12</v>
      </c>
      <c r="AI1485">
        <f ca="1">N1487</f>
        <v>1</v>
      </c>
      <c r="AJ1485">
        <f t="shared" ca="1" si="399"/>
        <v>1</v>
      </c>
      <c r="AK1485" t="str">
        <f t="shared" si="399"/>
        <v>52/5,5</v>
      </c>
      <c r="AL1485">
        <f>V1469</f>
        <v>1</v>
      </c>
      <c r="AM1485">
        <f t="shared" si="400"/>
        <v>0</v>
      </c>
      <c r="AN1485">
        <f t="shared" si="400"/>
        <v>0</v>
      </c>
      <c r="AO1485">
        <f t="shared" si="400"/>
        <v>0</v>
      </c>
      <c r="AQ1485" t="str">
        <f ca="1">N1488</f>
        <v/>
      </c>
      <c r="AR1485" t="str">
        <f ca="1">O1488</f>
        <v/>
      </c>
      <c r="AS1485" t="str">
        <f>P1488</f>
        <v>52/5,5</v>
      </c>
      <c r="AT1485">
        <f>AL1485</f>
        <v>1</v>
      </c>
      <c r="AU1485">
        <f t="shared" si="401"/>
        <v>0</v>
      </c>
      <c r="AV1485">
        <f t="shared" si="401"/>
        <v>0</v>
      </c>
      <c r="AW1485">
        <f t="shared" si="401"/>
        <v>0</v>
      </c>
      <c r="AY1485" t="str">
        <f ca="1">N1489</f>
        <v/>
      </c>
      <c r="AZ1485" t="str">
        <f ca="1">O1489</f>
        <v/>
      </c>
      <c r="BA1485" t="str">
        <f>P1489</f>
        <v>52/5,5</v>
      </c>
      <c r="BB1485">
        <f>AT1485</f>
        <v>1</v>
      </c>
      <c r="BC1485">
        <f t="shared" si="402"/>
        <v>0</v>
      </c>
      <c r="BD1485">
        <f t="shared" si="402"/>
        <v>0</v>
      </c>
      <c r="BE1485">
        <f t="shared" si="402"/>
        <v>0</v>
      </c>
      <c r="BG1485">
        <f ca="1">N1490</f>
        <v>3</v>
      </c>
      <c r="BH1485">
        <f ca="1">O1490</f>
        <v>4</v>
      </c>
      <c r="BI1485" t="str">
        <f>P1490</f>
        <v>52/5,5</v>
      </c>
      <c r="BJ1485">
        <f>BB1485</f>
        <v>1</v>
      </c>
      <c r="BK1485">
        <f t="shared" si="403"/>
        <v>0</v>
      </c>
      <c r="BL1485">
        <f t="shared" si="403"/>
        <v>0</v>
      </c>
      <c r="BM1485">
        <f t="shared" si="403"/>
        <v>0</v>
      </c>
    </row>
    <row r="1486" spans="1:65" hidden="1" outlineLevel="1" x14ac:dyDescent="0.25">
      <c r="A1486" s="182" t="str">
        <f ca="1">$O$1369</f>
        <v/>
      </c>
      <c r="B1486" s="439" t="str">
        <f ca="1">$P$1369</f>
        <v/>
      </c>
      <c r="C1486" s="449" t="str">
        <f ca="1">C1485</f>
        <v>42/11</v>
      </c>
      <c r="D1486" s="449">
        <f t="shared" ref="D1486:J1486" ca="1" si="404">D1485</f>
        <v>1</v>
      </c>
      <c r="E1486" s="449">
        <f t="shared" ca="1" si="404"/>
        <v>0</v>
      </c>
      <c r="F1486" s="449">
        <f t="shared" ca="1" si="404"/>
        <v>0</v>
      </c>
      <c r="G1486" s="449">
        <f t="shared" ca="1" si="404"/>
        <v>1</v>
      </c>
      <c r="H1486" s="449">
        <f t="shared" ca="1" si="404"/>
        <v>0</v>
      </c>
      <c r="I1486" s="449">
        <f t="shared" ca="1" si="404"/>
        <v>0</v>
      </c>
      <c r="J1486" s="449">
        <f t="shared" ca="1" si="404"/>
        <v>0</v>
      </c>
      <c r="N1486" t="str">
        <f>N1481</f>
        <v>Scharnierart</v>
      </c>
      <c r="O1486" t="str">
        <f>O1481</f>
        <v>Gruppenschlüssel</v>
      </c>
      <c r="P1486" s="392" t="str">
        <f>Scharniere[[#Headers],[Bohrbild]]</f>
        <v>Bohrbild</v>
      </c>
      <c r="Q1486" s="1" t="s">
        <v>1445</v>
      </c>
      <c r="AD1486" t="s">
        <v>2107</v>
      </c>
      <c r="AE1486">
        <f ca="1">DCOUNT(Scharniere[[#Headers],[#Data],[Scharnierart]:[Werkzeuglos]],Scharniere[[#Headers],[mit Dämpfung]],AQ1484:AW1485)</f>
        <v>0</v>
      </c>
    </row>
    <row r="1487" spans="1:65" hidden="1" outlineLevel="1" x14ac:dyDescent="0.25">
      <c r="A1487" s="182" t="str">
        <f ca="1">$O$1370</f>
        <v/>
      </c>
      <c r="B1487" s="439" t="str">
        <f ca="1">$P$1370</f>
        <v/>
      </c>
      <c r="C1487" s="449" t="str">
        <f ca="1">C1486</f>
        <v>42/11</v>
      </c>
      <c r="D1487" s="449">
        <f t="shared" ref="D1487:J1488" ca="1" si="405">D1486</f>
        <v>1</v>
      </c>
      <c r="E1487" s="449">
        <f t="shared" ca="1" si="405"/>
        <v>0</v>
      </c>
      <c r="F1487" s="449">
        <f t="shared" ca="1" si="405"/>
        <v>0</v>
      </c>
      <c r="G1487" s="449">
        <f t="shared" ca="1" si="405"/>
        <v>1</v>
      </c>
      <c r="H1487" s="449">
        <f t="shared" ca="1" si="405"/>
        <v>0</v>
      </c>
      <c r="I1487" s="449">
        <f t="shared" ca="1" si="405"/>
        <v>0</v>
      </c>
      <c r="J1487" s="449">
        <f t="shared" ca="1" si="405"/>
        <v>0</v>
      </c>
      <c r="N1487" s="182">
        <f ca="1">$O$1368</f>
        <v>1</v>
      </c>
      <c r="O1487" s="439">
        <f ca="1">$P$1368</f>
        <v>1</v>
      </c>
      <c r="P1487" s="392" t="s">
        <v>10</v>
      </c>
      <c r="Q1487" s="34">
        <f ca="1">DCOUNT(Scharniere[[#Headers],[#Data],[Scharnierart]:[Werkzeuglos]],Scharniere[[#Headers],[mit Dämpfung]],N1486:P1490)</f>
        <v>36</v>
      </c>
      <c r="AD1487" t="s">
        <v>2108</v>
      </c>
      <c r="AE1487">
        <f ca="1">DCOUNT(Scharniere[[#Headers],[#Data],[Scharnierart]:[Werkzeuglos]],Scharniere[[#Headers],[mit Dämpfung]],AY1484:BE1485)</f>
        <v>0</v>
      </c>
    </row>
    <row r="1488" spans="1:65" hidden="1" outlineLevel="1" x14ac:dyDescent="0.25">
      <c r="A1488" s="182">
        <f ca="1">$O$1371</f>
        <v>3</v>
      </c>
      <c r="B1488" s="439">
        <f ca="1">$P$1371</f>
        <v>4</v>
      </c>
      <c r="C1488" s="449" t="str">
        <f ca="1">C1487</f>
        <v>42/11</v>
      </c>
      <c r="D1488" s="449">
        <f t="shared" ca="1" si="405"/>
        <v>1</v>
      </c>
      <c r="E1488" s="449">
        <f t="shared" ca="1" si="405"/>
        <v>0</v>
      </c>
      <c r="F1488" s="449">
        <f t="shared" ca="1" si="405"/>
        <v>0</v>
      </c>
      <c r="G1488" s="449">
        <f t="shared" ca="1" si="405"/>
        <v>1</v>
      </c>
      <c r="H1488" s="449">
        <f t="shared" ca="1" si="405"/>
        <v>0</v>
      </c>
      <c r="I1488" s="449">
        <f t="shared" ca="1" si="405"/>
        <v>0</v>
      </c>
      <c r="J1488" s="449">
        <f t="shared" ca="1" si="405"/>
        <v>0</v>
      </c>
      <c r="N1488" s="182" t="str">
        <f ca="1">$O$1369</f>
        <v/>
      </c>
      <c r="O1488" s="439" t="str">
        <f ca="1">$P$1369</f>
        <v/>
      </c>
      <c r="P1488" s="392" t="s">
        <v>10</v>
      </c>
      <c r="AD1488" t="s">
        <v>2109</v>
      </c>
      <c r="AE1488">
        <f ca="1">DCOUNT(Scharniere[[#Headers],[#Data],[Scharnierart]:[Werkzeuglos]],Scharniere[[#Headers],[mit Dämpfung]],BG1484:BM1485)</f>
        <v>0</v>
      </c>
    </row>
    <row r="1489" spans="1:102" hidden="1" outlineLevel="1" x14ac:dyDescent="0.25">
      <c r="N1489" s="182" t="str">
        <f ca="1">$O$1370</f>
        <v/>
      </c>
      <c r="O1489" s="439" t="str">
        <f ca="1">$P$1370</f>
        <v/>
      </c>
      <c r="P1489" s="392" t="s">
        <v>10</v>
      </c>
    </row>
    <row r="1490" spans="1:102" hidden="1" outlineLevel="1" x14ac:dyDescent="0.25">
      <c r="N1490" s="182">
        <f ca="1">$O$1371</f>
        <v>3</v>
      </c>
      <c r="O1490" s="439">
        <f ca="1">$P$1371</f>
        <v>4</v>
      </c>
      <c r="P1490" s="392" t="s">
        <v>10</v>
      </c>
    </row>
    <row r="1491" spans="1:102" hidden="1" outlineLevel="1" x14ac:dyDescent="0.25">
      <c r="N1491" s="227"/>
      <c r="O1491" s="227"/>
      <c r="P1491" s="392"/>
    </row>
    <row r="1492" spans="1:102" hidden="1" outlineLevel="1" x14ac:dyDescent="0.25">
      <c r="N1492" s="227"/>
      <c r="O1492" s="227"/>
      <c r="P1492" s="392"/>
    </row>
    <row r="1493" spans="1:102" hidden="1" outlineLevel="1" x14ac:dyDescent="0.25">
      <c r="N1493" s="227"/>
      <c r="O1493" s="227"/>
      <c r="P1493" s="392"/>
    </row>
    <row r="1494" spans="1:102" hidden="1" outlineLevel="1" x14ac:dyDescent="0.25">
      <c r="N1494" s="227"/>
      <c r="O1494" s="227"/>
    </row>
    <row r="1495" spans="1:102" s="386" customFormat="1" hidden="1" outlineLevel="1" x14ac:dyDescent="0.25">
      <c r="A1495" s="387" t="s">
        <v>1958</v>
      </c>
      <c r="AK1495" s="387" t="s">
        <v>2078</v>
      </c>
      <c r="AY1495" s="387" t="s">
        <v>2100</v>
      </c>
      <c r="BK1495" s="386" t="s">
        <v>2138</v>
      </c>
    </row>
    <row r="1496" spans="1:102" hidden="1" outlineLevel="1" x14ac:dyDescent="0.25">
      <c r="AY1496" t="s">
        <v>1801</v>
      </c>
      <c r="BK1496">
        <f ca="1">B1388</f>
        <v>16</v>
      </c>
      <c r="BL1496" t="s">
        <v>1868</v>
      </c>
    </row>
    <row r="1497" spans="1:102" hidden="1" outlineLevel="1" x14ac:dyDescent="0.25">
      <c r="L1497" t="s">
        <v>1922</v>
      </c>
      <c r="AK1497" t="s">
        <v>2080</v>
      </c>
      <c r="AT1497" s="466" t="s">
        <v>1977</v>
      </c>
      <c r="AU1497" s="467" t="s">
        <v>53</v>
      </c>
      <c r="AV1497" s="467" t="s">
        <v>2085</v>
      </c>
      <c r="AW1497" s="473" t="s">
        <v>1414</v>
      </c>
      <c r="BE1497" s="524" t="s">
        <v>1798</v>
      </c>
      <c r="BF1497" s="525" t="s">
        <v>1460</v>
      </c>
      <c r="BG1497" s="525" t="s">
        <v>1802</v>
      </c>
      <c r="BH1497" s="526" t="s">
        <v>1808</v>
      </c>
      <c r="BK1497">
        <f ca="1">B1498</f>
        <v>6</v>
      </c>
      <c r="BL1497" t="s">
        <v>1463</v>
      </c>
      <c r="BP1497" t="str">
        <f>G1498</f>
        <v>Kröpfung</v>
      </c>
      <c r="BQ1497" s="524">
        <f ca="1">H1498</f>
        <v>0</v>
      </c>
      <c r="BR1497" s="525">
        <f ca="1">I1498</f>
        <v>3</v>
      </c>
      <c r="BS1497" s="525">
        <f ca="1">J1498</f>
        <v>9.5</v>
      </c>
      <c r="BT1497" s="526">
        <f ca="1">K1498</f>
        <v>19</v>
      </c>
    </row>
    <row r="1498" spans="1:102" hidden="1" outlineLevel="1" x14ac:dyDescent="0.25">
      <c r="A1498" s="24" t="s">
        <v>0</v>
      </c>
      <c r="B1498">
        <f ca="1">$I$1388</f>
        <v>6</v>
      </c>
      <c r="D1498" t="s">
        <v>1</v>
      </c>
      <c r="E1498">
        <f ca="1">$O$1388</f>
        <v>5</v>
      </c>
      <c r="G1498" t="s">
        <v>5</v>
      </c>
      <c r="H1498" s="395">
        <f ca="1">$H$1374</f>
        <v>0</v>
      </c>
      <c r="I1498" s="399">
        <f ca="1">$I$1374</f>
        <v>3</v>
      </c>
      <c r="J1498" s="399">
        <f ca="1">$J$1374</f>
        <v>9.5</v>
      </c>
      <c r="K1498" s="428">
        <f ca="1">$K$1374</f>
        <v>19</v>
      </c>
      <c r="L1498" s="553">
        <f ca="1">$G$1374</f>
        <v>1</v>
      </c>
      <c r="AK1498" s="395" t="s">
        <v>2079</v>
      </c>
      <c r="AL1498" s="399" t="s">
        <v>1460</v>
      </c>
      <c r="AM1498" s="399" t="s">
        <v>1461</v>
      </c>
      <c r="AN1498" s="428" t="s">
        <v>1359</v>
      </c>
      <c r="AP1498" s="447" t="s">
        <v>1462</v>
      </c>
      <c r="AR1498" s="447" t="s">
        <v>1464</v>
      </c>
      <c r="AT1498" s="364">
        <f ca="1">$P$1368</f>
        <v>1</v>
      </c>
      <c r="AU1498" s="469" t="str">
        <f ca="1">IFERROR(VLOOKUP(AT1498,$AK$1499:$AN$1501,2,FALSE),"")</f>
        <v/>
      </c>
      <c r="AV1498" s="308" t="str">
        <f ca="1">IFERROR(VLOOKUP(AT1498,$AK$1499:$AN$1501,3,FALSE),"")</f>
        <v/>
      </c>
      <c r="AW1498" s="470" t="str">
        <f ca="1">IFERROR(VLOOKUP(AT1498,$AK$1499:$AN$1501,4,FALSE),"")</f>
        <v/>
      </c>
      <c r="AY1498" s="524" t="s">
        <v>1798</v>
      </c>
      <c r="AZ1498" s="525" t="s">
        <v>1460</v>
      </c>
      <c r="BA1498" s="525" t="s">
        <v>1802</v>
      </c>
      <c r="BB1498" s="526" t="s">
        <v>1808</v>
      </c>
      <c r="BC1498" s="461"/>
      <c r="BE1498" s="523">
        <f ca="1">AT1498</f>
        <v>1</v>
      </c>
      <c r="BF1498" s="527" t="str">
        <f ca="1">IFERROR(VLOOKUP(BE1498,$AY$1499:$BB$1501,2,FALSE),"")</f>
        <v/>
      </c>
      <c r="BG1498" s="528" t="str">
        <f ca="1">IFERROR(VLOOKUP(BE1498,$AY$1499:$BB$1501,3,FALSE),"")</f>
        <v/>
      </c>
      <c r="BH1498" s="529" t="str">
        <f ca="1">IFERROR(VLOOKUP(BE1498,$AY$1499:$BB$1501,4,FALSE),"")</f>
        <v/>
      </c>
      <c r="BQ1498" s="71" t="str">
        <f t="shared" ref="BQ1498:BT1500" ca="1" si="406">H1499</f>
        <v/>
      </c>
      <c r="BR1498" s="34" t="str">
        <f t="shared" ca="1" si="406"/>
        <v/>
      </c>
      <c r="BS1498" s="34" t="str">
        <f t="shared" ca="1" si="406"/>
        <v/>
      </c>
      <c r="BT1498" s="55" t="str">
        <f t="shared" ca="1" si="406"/>
        <v/>
      </c>
    </row>
    <row r="1499" spans="1:102" hidden="1" outlineLevel="1" x14ac:dyDescent="0.25">
      <c r="H1499" s="71" t="str">
        <f ca="1">$H$1375</f>
        <v/>
      </c>
      <c r="I1499" s="34" t="str">
        <f ca="1">$I$1375</f>
        <v/>
      </c>
      <c r="J1499" s="34" t="str">
        <f ca="1">$J$1375</f>
        <v/>
      </c>
      <c r="K1499" s="55" t="str">
        <f ca="1">$K$1375</f>
        <v/>
      </c>
      <c r="L1499" s="311" t="str">
        <f ca="1">$G$1375</f>
        <v/>
      </c>
      <c r="AK1499" s="71">
        <v>3</v>
      </c>
      <c r="AL1499" s="34">
        <v>30</v>
      </c>
      <c r="AM1499" s="34">
        <v>11.51</v>
      </c>
      <c r="AN1499" s="463">
        <v>11.9</v>
      </c>
      <c r="AP1499" s="462">
        <v>1.5</v>
      </c>
      <c r="AR1499" s="447">
        <f ca="1">$E$1498</f>
        <v>5</v>
      </c>
      <c r="AT1499" s="364" t="str">
        <f ca="1">$P$1369</f>
        <v/>
      </c>
      <c r="AU1499" s="469" t="str">
        <f ca="1">IFERROR(VLOOKUP(AT1499,Q1575:Q1577,2,FALSE),"")</f>
        <v/>
      </c>
      <c r="AV1499" s="308" t="str">
        <f ca="1">IFERROR(VLOOKUP(AT1499,Q1575:Q1577,3,FALSE),"")</f>
        <v/>
      </c>
      <c r="AW1499" s="470" t="str">
        <f ca="1">IFERROR(VLOOKUP(AT1499,Q1575:Q1577,4,FALSE),"")</f>
        <v/>
      </c>
      <c r="AY1499" s="71">
        <v>9</v>
      </c>
      <c r="AZ1499" s="34">
        <v>-14</v>
      </c>
      <c r="BA1499" s="34">
        <v>10.7</v>
      </c>
      <c r="BB1499" s="55">
        <v>39.9</v>
      </c>
      <c r="BC1499" s="461"/>
      <c r="BE1499" s="523" t="str">
        <f ca="1">AT1499</f>
        <v/>
      </c>
      <c r="BF1499" s="527" t="str">
        <f ca="1">IFERROR(VLOOKUP(BE1499,$AY$1499:$BB$1501,2,FALSE),"")</f>
        <v/>
      </c>
      <c r="BG1499" s="528" t="str">
        <f ca="1">IFERROR(VLOOKUP(BE1499,$AY$1499:$BB$1501,3,FALSE),"")</f>
        <v/>
      </c>
      <c r="BH1499" s="529" t="str">
        <f ca="1">IFERROR(VLOOKUP(BE1499,$AY$1499:$BB$1501,4,FALSE),"")</f>
        <v/>
      </c>
      <c r="BQ1499" s="71" t="str">
        <f t="shared" ca="1" si="406"/>
        <v/>
      </c>
      <c r="BR1499" s="34" t="str">
        <f t="shared" ca="1" si="406"/>
        <v/>
      </c>
      <c r="BS1499" s="34" t="str">
        <f t="shared" ca="1" si="406"/>
        <v/>
      </c>
      <c r="BT1499" s="55" t="str">
        <f t="shared" ca="1" si="406"/>
        <v/>
      </c>
    </row>
    <row r="1500" spans="1:102" hidden="1" outlineLevel="1" x14ac:dyDescent="0.25">
      <c r="C1500" s="8"/>
      <c r="H1500" s="71" t="str">
        <f ca="1">$H$1376</f>
        <v/>
      </c>
      <c r="I1500" s="34" t="str">
        <f ca="1">$I$1376</f>
        <v/>
      </c>
      <c r="J1500" s="34" t="str">
        <f ca="1">$J$1376</f>
        <v/>
      </c>
      <c r="K1500" s="55" t="str">
        <f ca="1">$K$1376</f>
        <v/>
      </c>
      <c r="L1500" s="311" t="str">
        <f ca="1">$G$1376</f>
        <v/>
      </c>
      <c r="AK1500" s="71">
        <v>5</v>
      </c>
      <c r="AL1500" s="34">
        <v>37</v>
      </c>
      <c r="AM1500" s="34">
        <v>11.85</v>
      </c>
      <c r="AN1500" s="464">
        <v>9.35</v>
      </c>
      <c r="AT1500" s="364" t="str">
        <f ca="1">$P$1370</f>
        <v/>
      </c>
      <c r="AU1500" s="469" t="str">
        <f ca="1">IFERROR(VLOOKUP(AT1500,Q1576:Q1578,2,FALSE),"")</f>
        <v/>
      </c>
      <c r="AV1500" s="308" t="str">
        <f ca="1">IFERROR(VLOOKUP(AT1500,Q1576:Q1578,3,FALSE),"")</f>
        <v/>
      </c>
      <c r="AW1500" s="470" t="str">
        <f ca="1">IFERROR(VLOOKUP(AT1500,Q1576:Q1578,4,FALSE),"")</f>
        <v/>
      </c>
      <c r="AY1500" s="71">
        <v>10</v>
      </c>
      <c r="AZ1500" s="34">
        <v>-30</v>
      </c>
      <c r="BA1500" s="34">
        <v>11.7</v>
      </c>
      <c r="BB1500" s="55">
        <v>53.6</v>
      </c>
      <c r="BC1500" s="461"/>
      <c r="BE1500" s="523" t="str">
        <f ca="1">AT1500</f>
        <v/>
      </c>
      <c r="BF1500" s="527" t="str">
        <f ca="1">IFERROR(VLOOKUP(BE1500,$AY$1499:$BB$1501,2,FALSE),"")</f>
        <v/>
      </c>
      <c r="BG1500" s="528" t="str">
        <f ca="1">IFERROR(VLOOKUP(BE1500,$AY$1499:$BB$1501,3,FALSE),"")</f>
        <v/>
      </c>
      <c r="BH1500" s="529" t="str">
        <f ca="1">IFERROR(VLOOKUP(BE1500,$AY$1499:$BB$1501,4,FALSE),"")</f>
        <v/>
      </c>
      <c r="BK1500" s="8"/>
      <c r="BL1500" s="289"/>
      <c r="BM1500" s="289"/>
      <c r="BQ1500" s="92">
        <f t="shared" ca="1" si="406"/>
        <v>14</v>
      </c>
      <c r="BR1500" s="6" t="str">
        <f t="shared" ca="1" si="406"/>
        <v>-</v>
      </c>
      <c r="BS1500" s="6" t="str">
        <f t="shared" ca="1" si="406"/>
        <v>-</v>
      </c>
      <c r="BT1500" s="56" t="str">
        <f t="shared" ca="1" si="406"/>
        <v>-</v>
      </c>
    </row>
    <row r="1501" spans="1:102" hidden="1" outlineLevel="1" x14ac:dyDescent="0.25">
      <c r="H1501" s="92">
        <f ca="1">$H$1377</f>
        <v>14</v>
      </c>
      <c r="I1501" s="6" t="str">
        <f ca="1">$I$1377</f>
        <v>-</v>
      </c>
      <c r="J1501" s="6" t="str">
        <f ca="1">$J$1377</f>
        <v>-</v>
      </c>
      <c r="K1501" s="56" t="str">
        <f ca="1">$K$1377</f>
        <v>-</v>
      </c>
      <c r="L1501" s="312">
        <f ca="1">$G$1377</f>
        <v>1</v>
      </c>
      <c r="AK1501" s="92">
        <v>7</v>
      </c>
      <c r="AL1501" s="6">
        <v>45</v>
      </c>
      <c r="AM1501" s="6">
        <v>9.0299999999999994</v>
      </c>
      <c r="AN1501" s="56">
        <v>6.37</v>
      </c>
      <c r="AP1501" t="s">
        <v>2090</v>
      </c>
      <c r="AT1501" s="364">
        <f ca="1">$P$1371</f>
        <v>4</v>
      </c>
      <c r="AU1501" s="469" t="str">
        <f ca="1">IFERROR(VLOOKUP(AT1501,Q1577:Q1588,2,FALSE),"")</f>
        <v/>
      </c>
      <c r="AV1501" s="308" t="str">
        <f ca="1">IFERROR(VLOOKUP(AT1501,Q1577:Q1588,3,FALSE),"")</f>
        <v/>
      </c>
      <c r="AW1501" s="470" t="str">
        <f ca="1">IFERROR(VLOOKUP(AT1501,Q1577:Q1588,4,FALSE),"")</f>
        <v/>
      </c>
      <c r="AY1501" s="92">
        <v>11</v>
      </c>
      <c r="AZ1501" s="6">
        <v>-45</v>
      </c>
      <c r="BA1501" s="6">
        <v>5.5</v>
      </c>
      <c r="BB1501" s="56">
        <v>60.7</v>
      </c>
      <c r="BC1501" s="461"/>
      <c r="BE1501" s="523">
        <f ca="1">AT1501</f>
        <v>4</v>
      </c>
      <c r="BF1501" s="527" t="str">
        <f ca="1">IFERROR(VLOOKUP(BE1501,$AY$1499:$BB$1501,2,FALSE),"")</f>
        <v/>
      </c>
      <c r="BG1501" s="528" t="str">
        <f ca="1">IFERROR(VLOOKUP(BE1501,$AY$1499:$BB$1501,3,FALSE),"")</f>
        <v/>
      </c>
      <c r="BH1501" s="529" t="str">
        <f ca="1">IFERROR(VLOOKUP(BE1501,$AY$1499:$BB$1501,4,FALSE),"")</f>
        <v/>
      </c>
      <c r="BK1501" s="8"/>
      <c r="BL1501" s="1079"/>
      <c r="BM1501" s="1079"/>
    </row>
    <row r="1502" spans="1:102" hidden="1" outlineLevel="1" x14ac:dyDescent="0.25">
      <c r="A1502" t="s">
        <v>2133</v>
      </c>
      <c r="BK1502" s="8"/>
      <c r="BL1502" s="8"/>
      <c r="BM1502" s="289"/>
    </row>
    <row r="1503" spans="1:102" hidden="1" outlineLevel="1" x14ac:dyDescent="0.25">
      <c r="C1503" s="1057" t="s">
        <v>1958</v>
      </c>
      <c r="D1503" s="1057"/>
      <c r="E1503" s="1057"/>
      <c r="F1503" s="1057"/>
      <c r="G1503" s="1057"/>
      <c r="H1503" s="1057"/>
      <c r="I1503" s="1057"/>
      <c r="J1503" s="1057"/>
      <c r="K1503" s="1057"/>
      <c r="L1503" s="1057"/>
      <c r="M1503" s="1057"/>
      <c r="N1503" s="1057"/>
      <c r="O1503" s="1057"/>
      <c r="P1503" s="1057"/>
      <c r="Q1503" s="1057"/>
      <c r="R1503" s="1057"/>
      <c r="S1503" s="1057"/>
      <c r="T1503" s="1057"/>
      <c r="U1503" s="1057"/>
      <c r="V1503" s="1057"/>
      <c r="W1503" s="1057"/>
      <c r="X1503" s="1057"/>
      <c r="Y1503" s="1057"/>
      <c r="Z1503" s="1057"/>
      <c r="AA1503" s="1057"/>
      <c r="AB1503" s="1057"/>
      <c r="AC1503" s="1057"/>
      <c r="AD1503" s="1057"/>
      <c r="AE1503" s="1057"/>
      <c r="AF1503" s="1057"/>
      <c r="AG1503" s="1057"/>
      <c r="AH1503" s="1057"/>
      <c r="AI1503" s="1057"/>
      <c r="AJ1503" s="1057"/>
      <c r="AK1503" s="1082" t="s">
        <v>2078</v>
      </c>
      <c r="AL1503" s="1083"/>
      <c r="AM1503" s="1083"/>
      <c r="AN1503" s="1083"/>
      <c r="AO1503" s="1083"/>
      <c r="AP1503" s="1083"/>
      <c r="AQ1503" s="1083"/>
      <c r="AR1503" s="1083"/>
      <c r="AS1503" s="1083"/>
      <c r="AT1503" s="1083"/>
      <c r="AU1503" s="1083"/>
      <c r="AV1503" s="1083"/>
      <c r="AW1503" s="1083"/>
      <c r="AX1503" s="1083"/>
      <c r="AY1503" s="1083"/>
      <c r="AZ1503" s="1083"/>
      <c r="BA1503" s="1083"/>
      <c r="BB1503" s="1083"/>
      <c r="BC1503" s="1083"/>
      <c r="BD1503" s="1083"/>
      <c r="BE1503" s="1083"/>
      <c r="BF1503" s="1083"/>
      <c r="BG1503" s="1083"/>
      <c r="BH1503" s="1083"/>
      <c r="BI1503" s="1083"/>
      <c r="BJ1503" s="1083"/>
      <c r="BK1503" s="1057"/>
      <c r="BL1503" s="1057"/>
      <c r="BM1503" s="1057"/>
      <c r="BN1503" s="1057"/>
      <c r="BO1503" s="1057"/>
      <c r="BP1503" s="1057"/>
      <c r="BQ1503" s="1057"/>
      <c r="BR1503" s="1057"/>
      <c r="BS1503" s="1057"/>
      <c r="BT1503" s="1057"/>
      <c r="BU1503" s="1057"/>
      <c r="BV1503" s="1057"/>
      <c r="BW1503" s="1057"/>
      <c r="BX1503" s="1057"/>
      <c r="BY1503" s="1057"/>
      <c r="BZ1503" s="1057"/>
      <c r="CA1503" s="1057"/>
      <c r="CB1503" s="1057"/>
      <c r="CC1503" s="1057"/>
      <c r="CD1503" s="1057"/>
      <c r="CE1503" s="1057"/>
      <c r="CF1503" s="1057"/>
      <c r="CG1503" s="1057"/>
      <c r="CH1503" s="1057"/>
      <c r="CI1503" s="1057"/>
      <c r="CJ1503" s="1057"/>
      <c r="CK1503" s="1057"/>
      <c r="CL1503" s="1057"/>
      <c r="CM1503" s="1057"/>
      <c r="CN1503" s="1057"/>
      <c r="CO1503" s="1057"/>
      <c r="CP1503" s="1057"/>
      <c r="CQ1503" s="1057"/>
      <c r="CR1503" s="1057"/>
      <c r="CS1503" s="1057"/>
      <c r="CV1503" t="s">
        <v>2061</v>
      </c>
      <c r="CX1503" s="1057"/>
    </row>
    <row r="1504" spans="1:102" hidden="1" outlineLevel="1" x14ac:dyDescent="0.25">
      <c r="C1504" t="s">
        <v>2042</v>
      </c>
      <c r="D1504" t="s">
        <v>2043</v>
      </c>
      <c r="E1504" t="s">
        <v>2044</v>
      </c>
      <c r="F1504" t="s">
        <v>2054</v>
      </c>
      <c r="G1504" t="s">
        <v>2045</v>
      </c>
      <c r="H1504" t="s">
        <v>2048</v>
      </c>
      <c r="I1504" t="s">
        <v>2051</v>
      </c>
      <c r="J1504" t="s">
        <v>2055</v>
      </c>
      <c r="K1504" t="s">
        <v>2046</v>
      </c>
      <c r="L1504" t="s">
        <v>2049</v>
      </c>
      <c r="M1504" t="s">
        <v>2052</v>
      </c>
      <c r="N1504" t="s">
        <v>2056</v>
      </c>
      <c r="O1504" t="s">
        <v>2047</v>
      </c>
      <c r="P1504" t="s">
        <v>2050</v>
      </c>
      <c r="Q1504" t="s">
        <v>2053</v>
      </c>
      <c r="R1504" t="s">
        <v>2057</v>
      </c>
      <c r="U1504" s="481" t="s">
        <v>2062</v>
      </c>
      <c r="V1504" s="308" t="s">
        <v>2063</v>
      </c>
      <c r="W1504" s="308" t="s">
        <v>2064</v>
      </c>
      <c r="X1504" s="308" t="s">
        <v>2065</v>
      </c>
      <c r="Y1504" s="481" t="s">
        <v>2066</v>
      </c>
      <c r="Z1504" s="308" t="s">
        <v>2067</v>
      </c>
      <c r="AA1504" s="308" t="s">
        <v>2068</v>
      </c>
      <c r="AB1504" s="471" t="s">
        <v>2069</v>
      </c>
      <c r="AC1504" s="308" t="s">
        <v>2070</v>
      </c>
      <c r="AD1504" s="308" t="s">
        <v>2071</v>
      </c>
      <c r="AE1504" s="308" t="s">
        <v>2072</v>
      </c>
      <c r="AF1504" s="308" t="s">
        <v>2073</v>
      </c>
      <c r="AG1504" s="481" t="s">
        <v>2074</v>
      </c>
      <c r="AH1504" s="308" t="s">
        <v>2075</v>
      </c>
      <c r="AI1504" s="308" t="s">
        <v>2076</v>
      </c>
      <c r="AJ1504" s="471" t="s">
        <v>2077</v>
      </c>
      <c r="AK1504" s="467" t="s">
        <v>1418</v>
      </c>
      <c r="AL1504" s="468" t="s">
        <v>2081</v>
      </c>
      <c r="AM1504" s="467" t="s">
        <v>1418</v>
      </c>
      <c r="AN1504" s="468" t="s">
        <v>2082</v>
      </c>
      <c r="AO1504" s="467" t="s">
        <v>1418</v>
      </c>
      <c r="AP1504" s="468" t="s">
        <v>2083</v>
      </c>
      <c r="AQ1504" s="467" t="s">
        <v>1418</v>
      </c>
      <c r="AR1504" s="469" t="s">
        <v>2084</v>
      </c>
      <c r="AS1504" s="8"/>
      <c r="AT1504" s="472" t="s">
        <v>2086</v>
      </c>
      <c r="AU1504" s="467" t="s">
        <v>2087</v>
      </c>
      <c r="AV1504" s="467" t="s">
        <v>2088</v>
      </c>
      <c r="AW1504" s="473" t="s">
        <v>2089</v>
      </c>
      <c r="AX1504" s="8"/>
      <c r="AY1504" s="467" t="s">
        <v>1418</v>
      </c>
      <c r="AZ1504" s="468" t="s">
        <v>2081</v>
      </c>
      <c r="BA1504" s="467" t="s">
        <v>1418</v>
      </c>
      <c r="BB1504" s="468" t="s">
        <v>2082</v>
      </c>
      <c r="BC1504" s="467" t="s">
        <v>1418</v>
      </c>
      <c r="BD1504" s="468" t="s">
        <v>2083</v>
      </c>
      <c r="BE1504" s="467" t="s">
        <v>1418</v>
      </c>
      <c r="BF1504" s="469" t="s">
        <v>2084</v>
      </c>
      <c r="BG1504" s="472" t="s">
        <v>2086</v>
      </c>
      <c r="BH1504" s="467" t="s">
        <v>2087</v>
      </c>
      <c r="BI1504" s="467" t="s">
        <v>2088</v>
      </c>
      <c r="BJ1504" s="473" t="s">
        <v>2089</v>
      </c>
      <c r="BL1504" t="s">
        <v>2042</v>
      </c>
      <c r="BM1504" t="s">
        <v>2043</v>
      </c>
      <c r="BN1504" t="s">
        <v>2044</v>
      </c>
      <c r="BO1504" t="s">
        <v>2054</v>
      </c>
      <c r="BP1504" t="s">
        <v>2045</v>
      </c>
      <c r="BQ1504" t="s">
        <v>2048</v>
      </c>
      <c r="BR1504" t="s">
        <v>2051</v>
      </c>
      <c r="BS1504" t="s">
        <v>2055</v>
      </c>
      <c r="BT1504" t="s">
        <v>2046</v>
      </c>
      <c r="BU1504" t="s">
        <v>2049</v>
      </c>
      <c r="BV1504" t="s">
        <v>2052</v>
      </c>
      <c r="BW1504" t="s">
        <v>2056</v>
      </c>
      <c r="BX1504" t="s">
        <v>2047</v>
      </c>
      <c r="BY1504" t="s">
        <v>2050</v>
      </c>
      <c r="BZ1504" t="s">
        <v>2053</v>
      </c>
      <c r="CA1504" t="s">
        <v>2057</v>
      </c>
      <c r="CC1504" s="481" t="s">
        <v>2062</v>
      </c>
      <c r="CD1504" s="308" t="s">
        <v>2063</v>
      </c>
      <c r="CE1504" s="308" t="s">
        <v>2064</v>
      </c>
      <c r="CF1504" s="308" t="s">
        <v>2065</v>
      </c>
      <c r="CG1504" s="481" t="s">
        <v>2066</v>
      </c>
      <c r="CH1504" s="308" t="s">
        <v>2067</v>
      </c>
      <c r="CI1504" s="308" t="s">
        <v>2068</v>
      </c>
      <c r="CJ1504" s="471" t="s">
        <v>2069</v>
      </c>
      <c r="CK1504" s="308" t="s">
        <v>2070</v>
      </c>
      <c r="CL1504" s="308" t="s">
        <v>2071</v>
      </c>
      <c r="CM1504" s="308" t="s">
        <v>2072</v>
      </c>
      <c r="CN1504" s="308" t="s">
        <v>2073</v>
      </c>
      <c r="CO1504" s="481" t="s">
        <v>2074</v>
      </c>
      <c r="CP1504" s="308" t="s">
        <v>2075</v>
      </c>
      <c r="CQ1504" s="308" t="s">
        <v>2076</v>
      </c>
      <c r="CR1504" s="471" t="s">
        <v>2077</v>
      </c>
      <c r="CV1504" s="454">
        <f t="array" ref="CV1504">IFERROR(INDEX(Montageplatten[Höhe],LARGE((Montageplatten[konf Rahmenbed]=$L$70)*(ROW(Montageplatten[konf Rahmenbed])-1),COUNTIF(Montageplatten[konf Rahmenbed],$L$70)+1-ROW(A1))),"")</f>
        <v>-2</v>
      </c>
      <c r="CW1504">
        <f>IF(CV1504&lt;&gt;"",1,"")</f>
        <v>1</v>
      </c>
      <c r="CX1504" s="1057"/>
    </row>
    <row r="1505" spans="1:102" hidden="1" outlineLevel="1" x14ac:dyDescent="0.25">
      <c r="C1505">
        <f ca="1">IF(OR($L$1498=1,$L$1499=1,$L$1500=1,$L$1501=1)=TRUE,($B$1498-15-$E$1498)*-1-H1498,"")</f>
        <v>14</v>
      </c>
      <c r="D1505">
        <f ca="1">IF(OR($L$1498=1,$L$1499=1,$L$1500=1,$L$1501=1)=TRUE,($B$1498-15-$E$1498)*-1-I1498,"")</f>
        <v>11</v>
      </c>
      <c r="E1505">
        <f ca="1">IF(OR($L$1498=1,$L$1499=1,$L$1500=1,$L$1501=1)=TRUE,($B$1498-15-$E$1498)*-1-J1498,"")</f>
        <v>4.5</v>
      </c>
      <c r="F1505">
        <f ca="1">IF(OR($L$1498=1,$L$1499=1,$L$1500=1,$L$1501=1)=TRUE,($B$1498-15-$E$1498)*-1-K1498,"")</f>
        <v>-5</v>
      </c>
      <c r="G1505" t="e">
        <f ca="1">IF(OR($L$1498=1,$L$1499=1,$L$1500=1,$L$1501=1)=TRUE,($B$1498-15-$E$1498)*-1-H1499,"")</f>
        <v>#VALUE!</v>
      </c>
      <c r="H1505" t="e">
        <f ca="1">IF(OR($L$1498=1,$L$1499=1,$L$1500=1,$L$1501=1)=TRUE,($B$1498-15-$E$1498)*-1-I1499,"")</f>
        <v>#VALUE!</v>
      </c>
      <c r="I1505" t="e">
        <f ca="1">IF(OR($L$1498=1,$L$1499=1,$L$1500=1,$L$1501=1)=TRUE,($B$1498-15-$E$1498)*-1-J1499,"")</f>
        <v>#VALUE!</v>
      </c>
      <c r="J1505" t="e">
        <f ca="1">IF(OR($L$1498=1,$L$1499=1,$L$1500=1,$L$1501=1)=TRUE,($B$1498-15-$E$1498)*-1-K1499,"")</f>
        <v>#VALUE!</v>
      </c>
      <c r="K1505" t="e">
        <f ca="1">IF(OR($L$1498=1,$L$1499=1,$L$1500=1,$L$1501=1)=TRUE,($B$1498-15-$E$1498)*-1-H1500,"")</f>
        <v>#VALUE!</v>
      </c>
      <c r="L1505" t="e">
        <f ca="1">IF(OR($L$1498=1,$L$1499=1,$L$1500=1,$L$1501=1)=TRUE,($B$1498-15-$E$1498)*-1-I1500,"")</f>
        <v>#VALUE!</v>
      </c>
      <c r="M1505" t="e">
        <f ca="1">IF(OR($L$1498=1,$L$1499=1,$L$1500=1,$L$1501=1)=TRUE,($B$1498-15-$E$1498)*-1-J1500,"")</f>
        <v>#VALUE!</v>
      </c>
      <c r="N1505" t="e">
        <f ca="1">IF(OR($L$1498=1,$L$1499=1,$L$1500=1,$L$1501=1)=TRUE,($B$1498-15-$E$1498)*-1-K1500,"")</f>
        <v>#VALUE!</v>
      </c>
      <c r="O1505">
        <f ca="1">IF(OR($L$1498=1,$L$1499=1,$L$1500=1,$L$1501=1)=TRUE,($B$1498-15-$E$1498)*-1-H1501,"")</f>
        <v>0</v>
      </c>
      <c r="P1505" t="e">
        <f ca="1">IF(OR($L$1498=1,$L$1499=1,$L$1500=1,$L$1501=1)=TRUE,($B$1498-15-$E$1498)*-1-I1501,"")</f>
        <v>#VALUE!</v>
      </c>
      <c r="Q1505" t="e">
        <f ca="1">IF(OR($L$1498=1,$L$1499=1,$L$1500=1,$L$1501=1)=TRUE,($B$1498-15-$E$1498)*-1-J1501,"")</f>
        <v>#VALUE!</v>
      </c>
      <c r="R1505" t="e">
        <f ca="1">IF(OR($L$1498=1,$L$1499=1,$L$1500=1,$L$1501=1)=TRUE,($B$1498-15-$E$1498)*-1-K1501,"")</f>
        <v>#VALUE!</v>
      </c>
      <c r="U1505" s="482">
        <f ca="1">IFERROR(VLOOKUP(C1505,$CV$1504:$CW$1561,2,FALSE),"")</f>
        <v>1</v>
      </c>
      <c r="V1505" s="483" t="str">
        <f t="shared" ref="V1505:AJ1505" ca="1" si="407">IFERROR(VLOOKUP(D1505,$CV$1504:$CW$1561,2,FALSE),"")</f>
        <v/>
      </c>
      <c r="W1505" s="483" t="str">
        <f t="shared" ca="1" si="407"/>
        <v/>
      </c>
      <c r="X1505" s="483" t="str">
        <f t="shared" ca="1" si="407"/>
        <v/>
      </c>
      <c r="Y1505" s="482" t="str">
        <f t="shared" ca="1" si="407"/>
        <v/>
      </c>
      <c r="Z1505" s="483" t="str">
        <f t="shared" ca="1" si="407"/>
        <v/>
      </c>
      <c r="AA1505" s="483" t="str">
        <f t="shared" ca="1" si="407"/>
        <v/>
      </c>
      <c r="AB1505" s="484" t="str">
        <f t="shared" ca="1" si="407"/>
        <v/>
      </c>
      <c r="AC1505" s="483" t="str">
        <f t="shared" ca="1" si="407"/>
        <v/>
      </c>
      <c r="AD1505" s="483" t="str">
        <f t="shared" ca="1" si="407"/>
        <v/>
      </c>
      <c r="AE1505" s="483" t="str">
        <f t="shared" ca="1" si="407"/>
        <v/>
      </c>
      <c r="AF1505" s="483" t="str">
        <f t="shared" ca="1" si="407"/>
        <v/>
      </c>
      <c r="AG1505" s="482">
        <f t="shared" ca="1" si="407"/>
        <v>1</v>
      </c>
      <c r="AH1505" s="483" t="str">
        <f t="shared" ca="1" si="407"/>
        <v/>
      </c>
      <c r="AI1505" s="483" t="str">
        <f t="shared" ca="1" si="407"/>
        <v/>
      </c>
      <c r="AJ1505" s="484" t="str">
        <f t="shared" ca="1" si="407"/>
        <v/>
      </c>
      <c r="AK1505" s="479" t="str">
        <f ca="1">IF(OR($L$1498=2,$L$1499=2,$L$1500=2,$L$1501=2)=TRUE,IFERROR(AV1498-(($B$1498-1.1-$AR$1499)*COS(AU1498/180*PI())+$AP$1499*SIN(AU1498/180*PI())),""),"")</f>
        <v/>
      </c>
      <c r="AL1505" s="475" t="str">
        <f ca="1">IFERROR(IF(AK1505&lt;0,(INT(AK1505*-1)+IF(AND(ROUND(((AK1505*-1)-INT(AK1505*-1))*100,0)&gt;=0,ROUND(((AK1505*-1)-INT(AK1505*-1))*100,0)&lt;25)=TRUE,0,IF(AND(ROUND(((AK1505*-1)-INT(AK1505*-1))*100,0)&gt;=25,ROUND(((AK1505*-1)-INT(AK1505*-1))*100,0)&lt;50)=TRUE,0.5,IF(AND(ROUND(((AK1505*-1)-INT(AK1505*-1))*100,0)&gt;=50,ROUND(((AK1505*-1)-INT(AK1505*-1))*100,0)&lt;75)=TRUE,0.5,1))))*-1,(INT(AK1505)+IF(AND(ROUND(((AK1505)-INT(AK1505))*100,0)&gt;=0,ROUND(((AK1505)-INT(AK1505))*100,0)&lt;25)=TRUE,0,IF(AND(ROUND(((AK1505)-INT(AK1505))*100,0)&gt;=25,ROUND(((AK1505)-INT(AK1505))*100,0)&lt;50)=TRUE,0.5,IF(AND(ROUND(((AK1505)-INT(AK1505))*100,0)&gt;=50,ROUND(((AK1505)-INT(AK1505))*100,0)&lt;75)=TRUE,0.5,1))))),"-")</f>
        <v>-</v>
      </c>
      <c r="AM1505" s="476" t="str">
        <f ca="1">IF(OR($L$1498=2,$L$1499=2,$L$1500=2,$L$1501=2)=TRUE,IFERROR(AV1499-(($B$1498-1.1-$AR$1499)*COS(AU1499/180*PI())+$AP$1499*SIN(AU1499/180*PI())),""),"")</f>
        <v/>
      </c>
      <c r="AN1505" s="475" t="str">
        <f ca="1">IFERROR(IF(AM1505&lt;0,(INT(AM1505*-1)+IF(AND(ROUND(((AM1505*-1)-INT(AM1505*-1))*100,0)&gt;=0,ROUND(((AM1505*-1)-INT(AM1505*-1))*100,0)&lt;25)=TRUE,0,IF(AND(ROUND(((AM1505*-1)-INT(AM1505*-1))*100,0)&gt;=25,ROUND(((AM1505*-1)-INT(AM1505*-1))*100,0)&lt;50)=TRUE,0.5,IF(AND(ROUND(((AM1505*-1)-INT(AM1505*-1))*100,0)&gt;=50,ROUND(((AM1505*-1)-INT(AM1505*-1))*100,0)&lt;75)=TRUE,0.5,1))))*-1,(INT(AM1505)+IF(AND(ROUND(((AM1505)-INT(AM1505))*100,0)&gt;=0,ROUND(((AM1505)-INT(AM1505))*100,0)&lt;25)=TRUE,0,IF(AND(ROUND(((AM1505)-INT(AM1505))*100,0)&gt;=25,ROUND(((AM1505)-INT(AM1505))*100,0)&lt;50)=TRUE,0.5,IF(AND(ROUND(((AM1505)-INT(AM1505))*100,0)&gt;=50,ROUND(((AM1505)-INT(AM1505))*100,0)&lt;75)=TRUE,0.5,1))))),"-")</f>
        <v>-</v>
      </c>
      <c r="AO1505" s="476" t="str">
        <f ca="1">IF(OR($L$1498=2,$L$1499=2,$L$1500=2,$L$1501=2)=TRUE,IFERROR(AV1500-(($B$1498-1.1-$AR$1499)*COS(AU1500/180*PI())+$AP$1499*SIN(AU1500/180*PI())),""),"")</f>
        <v/>
      </c>
      <c r="AP1505" s="475" t="str">
        <f ca="1">IFERROR(IF(AO1505&lt;0,(INT(AO1505*-1)+IF(AND(ROUND(((AO1505*-1)-INT(AO1505*-1))*100,0)&gt;=0,ROUND(((AO1505*-1)-INT(AO1505*-1))*100,0)&lt;25)=TRUE,0,IF(AND(ROUND(((AO1505*-1)-INT(AO1505*-1))*100,0)&gt;=25,ROUND(((AO1505*-1)-INT(AO1505*-1))*100,0)&lt;50)=TRUE,0.5,IF(AND(ROUND(((AO1505*-1)-INT(AO1505*-1))*100,0)&gt;=50,ROUND(((AO1505*-1)-INT(AO1505*-1))*100,0)&lt;75)=TRUE,0.5,1))))*-1,(INT(AO1505)+IF(AND(ROUND(((AO1505)-INT(AO1505))*100,0)&gt;=0,ROUND(((AO1505)-INT(AO1505))*100,0)&lt;25)=TRUE,0,IF(AND(ROUND(((AO1505)-INT(AO1505))*100,0)&gt;=25,ROUND(((AO1505)-INT(AO1505))*100,0)&lt;50)=TRUE,0.5,IF(AND(ROUND(((AO1505)-INT(AO1505))*100,0)&gt;=50,ROUND(((AO1505)-INT(AO1505))*100,0)&lt;75)=TRUE,0.5,1))))),"-")</f>
        <v>-</v>
      </c>
      <c r="AQ1505" s="476" t="str">
        <f ca="1">IF(OR($L$1498=2,$L$1499=2,$L$1500=2,$L$1501=2)=TRUE,IFERROR(AV1501-(($B$1498-1.1-$AR$1499)*COS(AU1501/180*PI())+$AP$1499*SIN(AU1501/180*PI())),""),"")</f>
        <v/>
      </c>
      <c r="AR1505" s="475" t="str">
        <f ca="1">IFERROR(IF(AQ1505&lt;0,(INT(AQ1505*-1)+IF(AND(ROUND(((AQ1505*-1)-INT(AQ1505*-1))*100,0)&gt;=0,ROUND(((AQ1505*-1)-INT(AQ1505*-1))*100,0)&lt;25)=TRUE,0,IF(AND(ROUND(((AQ1505*-1)-INT(AQ1505*-1))*100,0)&gt;=25,ROUND(((AQ1505*-1)-INT(AQ1505*-1))*100,0)&lt;50)=TRUE,0.5,IF(AND(ROUND(((AQ1505*-1)-INT(AQ1505*-1))*100,0)&gt;=50,ROUND(((AQ1505*-1)-INT(AQ1505*-1))*100,0)&lt;75)=TRUE,0.5,1))))*-1,(INT(AQ1505)+IF(AND(ROUND(((AQ1505)-INT(AQ1505))*100,0)&gt;=0,ROUND(((AQ1505)-INT(AQ1505))*100,0)&lt;25)=TRUE,0,IF(AND(ROUND(((AQ1505)-INT(AQ1505))*100,0)&gt;=25,ROUND(((AQ1505)-INT(AQ1505))*100,0)&lt;50)=TRUE,0.5,IF(AND(ROUND(((AQ1505)-INT(AQ1505))*100,0)&gt;=50,ROUND(((AQ1505)-INT(AQ1505))*100,0)&lt;75)=TRUE,0.5,1))))),"-")</f>
        <v>-</v>
      </c>
      <c r="AS1505" s="34"/>
      <c r="AT1505" s="488" t="str">
        <f ca="1">IFERROR(VLOOKUP(AL1505,$CV$1504:$CW$1561,2,FALSE),"")</f>
        <v/>
      </c>
      <c r="AU1505" s="483" t="str">
        <f ca="1">IFERROR(VLOOKUP(AN1505,$CV$1504:$CW$1561,2,FALSE),"")</f>
        <v/>
      </c>
      <c r="AV1505" s="483" t="str">
        <f ca="1">IFERROR(VLOOKUP(AP1505,$CV$1504:$CW$1561,2,FALSE),"")</f>
        <v/>
      </c>
      <c r="AW1505" s="489" t="str">
        <f ca="1">IFERROR(VLOOKUP(AR1505,$CV$1504:$CW$1561,2,FALSE),"")</f>
        <v/>
      </c>
      <c r="AX1505" s="34"/>
      <c r="AY1505" s="479" t="str">
        <f ca="1">IF(OR($L$1498=4,$L$1499=4,$L$1500=4,$L$1501=4)=TRUE,IFERROR((BG1498+$E$1498-$B$1498)*COS(-BF1498*PI()/180),""),"")</f>
        <v/>
      </c>
      <c r="AZ1505" s="475" t="str">
        <f ca="1">IFERROR(IF(AY1505&lt;0,(INT(AY1505*-1)+IF(AND(ROUND(((AY1505*-1)-INT(AY1505*-1))*100,0)&gt;=0,ROUND(((AY1505*-1)-INT(AY1505*-1))*100,0)&lt;25)=TRUE,0,IF(AND(ROUND(((AY1505*-1)-INT(AY1505*-1))*100,0)&gt;=25,ROUND(((AY1505*-1)-INT(AY1505*-1))*100,0)&lt;50)=TRUE,0.5,IF(AND(ROUND(((AY1505*-1)-INT(AY1505*-1))*100,0)&gt;=50,ROUND(((AY1505*-1)-INT(AY1505*-1))*100,0)&lt;75)=TRUE,0.5,1))))*-1,(INT(AY1505)+IF(AND(ROUND(((AY1505)-INT(AY1505))*100,0)&gt;=0,ROUND(((AY1505)-INT(AY1505))*100,0)&lt;25)=TRUE,0,IF(AND(ROUND(((AY1505)-INT(AY1505))*100,0)&gt;=25,ROUND(((AY1505)-INT(AY1505))*100,0)&lt;50)=TRUE,0.5,IF(AND(ROUND(((AY1505)-INT(AY1505))*100,0)&gt;=50,ROUND(((AY1505)-INT(AY1505))*100,0)&lt;75)=TRUE,0.5,1))))),"-")</f>
        <v>-</v>
      </c>
      <c r="BA1505" s="476" t="str">
        <f ca="1">IF(OR($L$1498=4,$L$1499=4,$L$1500=4,$L$1501=4)=TRUE,IFERROR((BG1499+$E$1498-$B$1498)*COS(-BF1499*PI()/180),""),"")</f>
        <v/>
      </c>
      <c r="BB1505" s="475" t="str">
        <f ca="1">IFERROR(IF(BA1505&lt;0,(INT(BA1505*-1)+IF(AND(ROUND(((BA1505*-1)-INT(BA1505*-1))*100,0)&gt;=0,ROUND(((BA1505*-1)-INT(BA1505*-1))*100,0)&lt;25)=TRUE,0,IF(AND(ROUND(((BA1505*-1)-INT(BA1505*-1))*100,0)&gt;=25,ROUND(((BA1505*-1)-INT(BA1505*-1))*100,0)&lt;50)=TRUE,0.5,IF(AND(ROUND(((BA1505*-1)-INT(BA1505*-1))*100,0)&gt;=50,ROUND(((BA1505*-1)-INT(BA1505*-1))*100,0)&lt;75)=TRUE,0.5,1))))*-1,(INT(BA1505)+IF(AND(ROUND(((BA1505)-INT(BA1505))*100,0)&gt;=0,ROUND(((BA1505)-INT(BA1505))*100,0)&lt;25)=TRUE,0,IF(AND(ROUND(((BA1505)-INT(BA1505))*100,0)&gt;=25,ROUND(((BA1505)-INT(BA1505))*100,0)&lt;50)=TRUE,0.5,IF(AND(ROUND(((BA1505)-INT(BA1505))*100,0)&gt;=50,ROUND(((BA1505)-INT(BA1505))*100,0)&lt;75)=TRUE,0.5,1))))),"-")</f>
        <v>-</v>
      </c>
      <c r="BC1505" s="476" t="str">
        <f ca="1">IF(OR($L$1498=4,$L$1499=4,$L$1500=4,$L$1501=4)=TRUE,IFERROR((BG1500+$E$1498-$B$1498)*COS(-BF1500*PI()/180),""),"")</f>
        <v/>
      </c>
      <c r="BD1505" s="475" t="str">
        <f ca="1">IFERROR(IF(BC1505&lt;0,(INT(BC1505*-1)+IF(AND(ROUND(((BC1505*-1)-INT(BC1505*-1))*100,0)&gt;=0,ROUND(((BC1505*-1)-INT(BC1505*-1))*100,0)&lt;25)=TRUE,0,IF(AND(ROUND(((BC1505*-1)-INT(BC1505*-1))*100,0)&gt;=25,ROUND(((BC1505*-1)-INT(BC1505*-1))*100,0)&lt;50)=TRUE,0.5,IF(AND(ROUND(((BC1505*-1)-INT(BC1505*-1))*100,0)&gt;=50,ROUND(((BC1505*-1)-INT(BC1505*-1))*100,0)&lt;75)=TRUE,0.5,1))))*-1,(INT(BC1505)+IF(AND(ROUND(((BC1505)-INT(BC1505))*100,0)&gt;=0,ROUND(((BC1505)-INT(BC1505))*100,0)&lt;25)=TRUE,0,IF(AND(ROUND(((BC1505)-INT(BC1505))*100,0)&gt;=25,ROUND(((BC1505)-INT(BC1505))*100,0)&lt;50)=TRUE,0.5,IF(AND(ROUND(((BC1505)-INT(BC1505))*100,0)&gt;=50,ROUND(((BC1505)-INT(BC1505))*100,0)&lt;75)=TRUE,0.5,1))))),"-")</f>
        <v>-</v>
      </c>
      <c r="BE1505" s="476" t="str">
        <f ca="1">IF(OR($L$1498=4,$L$1499=4,$L$1500=4,$L$1501=4)=TRUE,IFERROR((BG1501+$E$1498-$B$1498)*COS(-BF1501*PI()/180),""),"")</f>
        <v/>
      </c>
      <c r="BF1505" s="475" t="str">
        <f ca="1">IFERROR(IF(BE1505&lt;0,(INT(BE1505*-1)+IF(AND(ROUND(((BE1505*-1)-INT(BE1505*-1))*100,0)&gt;=0,ROUND(((BE1505*-1)-INT(BE1505*-1))*100,0)&lt;25)=TRUE,0,IF(AND(ROUND(((BE1505*-1)-INT(BE1505*-1))*100,0)&gt;=25,ROUND(((BE1505*-1)-INT(BE1505*-1))*100,0)&lt;50)=TRUE,0.5,IF(AND(ROUND(((BE1505*-1)-INT(BE1505*-1))*100,0)&gt;=50,ROUND(((BE1505*-1)-INT(BE1505*-1))*100,0)&lt;75)=TRUE,0.5,1))))*-1,(INT(BE1505)+IF(AND(ROUND(((BE1505)-INT(BE1505))*100,0)&gt;=0,ROUND(((BE1505)-INT(BE1505))*100,0)&lt;25)=TRUE,0,IF(AND(ROUND(((BE1505)-INT(BE1505))*100,0)&gt;=25,ROUND(((BE1505)-INT(BE1505))*100,0)&lt;50)=TRUE,0.5,IF(AND(ROUND(((BE1505)-INT(BE1505))*100,0)&gt;=50,ROUND(((BE1505)-INT(BE1505))*100,0)&lt;75)=TRUE,0.5,1))))),"-")</f>
        <v>-</v>
      </c>
      <c r="BG1505" s="488" t="str">
        <f ca="1">IFERROR(VLOOKUP(AZ1505,$CV$1504:$CW$1561,2,FALSE),"")</f>
        <v/>
      </c>
      <c r="BH1505" s="483" t="str">
        <f ca="1">IFERROR(VLOOKUP(BB1505,$CV$1504:$CW$1561,2,FALSE),"")</f>
        <v/>
      </c>
      <c r="BI1505" s="483" t="str">
        <f ca="1">IFERROR(VLOOKUP(BD1505,$CV$1504:$CW$1561,2,FALSE),"")</f>
        <v/>
      </c>
      <c r="BJ1505" s="489" t="str">
        <f ca="1">IFERROR(VLOOKUP(BF1505,$CV$1504:$CW$1561,2,FALSE),"")</f>
        <v/>
      </c>
      <c r="BL1505">
        <f ca="1">($BK$1496-($BK$1497))-BQ1497</f>
        <v>10</v>
      </c>
      <c r="BM1505">
        <f ca="1">($BK$1496-($BK$1497))-BR1497</f>
        <v>7</v>
      </c>
      <c r="BN1505">
        <f ca="1">($BK$1496-($BK$1497))-BS1497</f>
        <v>0.5</v>
      </c>
      <c r="BO1505">
        <f ca="1">($BK$1496-($BK$1497))-BT1497</f>
        <v>-9</v>
      </c>
      <c r="BP1505" t="e">
        <f ca="1">($BK$1496-($BK$1497))-BQ1498</f>
        <v>#VALUE!</v>
      </c>
      <c r="BQ1505" t="e">
        <f ca="1">($BK$1496-($BK$1497))-BR1498</f>
        <v>#VALUE!</v>
      </c>
      <c r="BR1505" t="e">
        <f ca="1">($BK$1496-($BK$1497))-BS1498</f>
        <v>#VALUE!</v>
      </c>
      <c r="BS1505" t="e">
        <f ca="1">($BK$1496-($BK$1497))-BT1498</f>
        <v>#VALUE!</v>
      </c>
      <c r="BT1505" t="e">
        <f ca="1">($BK$1496-($BK$1497))-BQ1499</f>
        <v>#VALUE!</v>
      </c>
      <c r="BU1505" t="e">
        <f ca="1">($BK$1496-($BK$1497))-BR1499</f>
        <v>#VALUE!</v>
      </c>
      <c r="BV1505" t="e">
        <f ca="1">($BK$1496-($BK$1497))-BS1499</f>
        <v>#VALUE!</v>
      </c>
      <c r="BW1505" t="e">
        <f ca="1">($BK$1496-($BK$1497))-BT1499</f>
        <v>#VALUE!</v>
      </c>
      <c r="BX1505">
        <f ca="1">($BK$1496-($BK$1497))-BQ1500</f>
        <v>-4</v>
      </c>
      <c r="BY1505" t="e">
        <f ca="1">($BK$1496-($BK$1497))-BR1500</f>
        <v>#VALUE!</v>
      </c>
      <c r="BZ1505" t="e">
        <f ca="1">($BK$1496-($BK$1497))-BS1500</f>
        <v>#VALUE!</v>
      </c>
      <c r="CA1505" t="e">
        <f ca="1">($BK$1496-($BK$1497))-BT1500</f>
        <v>#VALUE!</v>
      </c>
      <c r="CC1505" s="482" t="str">
        <f ca="1">IFERROR(VLOOKUP(BL1505,$CV$1504:$CW$1561,2,FALSE),"")</f>
        <v/>
      </c>
      <c r="CD1505" s="483" t="str">
        <f t="shared" ref="CD1505:CR1505" ca="1" si="408">IFERROR(VLOOKUP(BM1505,$CV$1504:$CW$1561,2,FALSE),"")</f>
        <v/>
      </c>
      <c r="CE1505" s="483" t="str">
        <f t="shared" ca="1" si="408"/>
        <v/>
      </c>
      <c r="CF1505" s="483" t="str">
        <f ca="1">IFERROR(VLOOKUP(BO1505,$CV$1504:$CW$1561,2,FALSE),"")</f>
        <v/>
      </c>
      <c r="CG1505" s="482" t="str">
        <f ca="1">IFERROR(VLOOKUP(BP1505,$CV$1504:$CW$1561,2,FALSE),"")</f>
        <v/>
      </c>
      <c r="CH1505" s="483" t="str">
        <f ca="1">IFERROR(VLOOKUP(BQ1505,$CV$1504:$CW$1561,2,FALSE),"")</f>
        <v/>
      </c>
      <c r="CI1505" s="483" t="str">
        <f t="shared" ca="1" si="408"/>
        <v/>
      </c>
      <c r="CJ1505" s="484" t="str">
        <f t="shared" ca="1" si="408"/>
        <v/>
      </c>
      <c r="CK1505" s="483" t="str">
        <f t="shared" ca="1" si="408"/>
        <v/>
      </c>
      <c r="CL1505" s="483" t="str">
        <f t="shared" ca="1" si="408"/>
        <v/>
      </c>
      <c r="CM1505" s="483" t="str">
        <f t="shared" ca="1" si="408"/>
        <v/>
      </c>
      <c r="CN1505" s="483" t="str">
        <f t="shared" ca="1" si="408"/>
        <v/>
      </c>
      <c r="CO1505" s="482" t="str">
        <f t="shared" ca="1" si="408"/>
        <v/>
      </c>
      <c r="CP1505" s="483" t="str">
        <f t="shared" ca="1" si="408"/>
        <v/>
      </c>
      <c r="CQ1505" s="483" t="str">
        <f t="shared" ca="1" si="408"/>
        <v/>
      </c>
      <c r="CR1505" s="484" t="str">
        <f t="shared" ca="1" si="408"/>
        <v/>
      </c>
      <c r="CV1505" s="454">
        <f t="array" ref="CV1505">IFERROR(INDEX(Montageplatten[Höhe],LARGE((Montageplatten[konf Rahmenbed]=$L$70)*(ROW(Montageplatten[konf Rahmenbed])-1),COUNTIF(Montageplatten[konf Rahmenbed],$L$70)+1-ROW(A2))),"")</f>
        <v>0</v>
      </c>
      <c r="CW1505">
        <f t="shared" ref="CW1505:CW1561" si="409">IF(CV1505&lt;&gt;"",1,"")</f>
        <v>1</v>
      </c>
      <c r="CX1505" s="1057"/>
    </row>
    <row r="1506" spans="1:102" hidden="1" outlineLevel="1" x14ac:dyDescent="0.25">
      <c r="B1506" t="s">
        <v>2026</v>
      </c>
      <c r="U1506" s="399"/>
      <c r="V1506" s="399"/>
      <c r="W1506" s="399"/>
      <c r="X1506" s="399"/>
      <c r="Y1506" s="399"/>
      <c r="Z1506" s="399"/>
      <c r="AA1506" s="399"/>
      <c r="AB1506" s="399"/>
      <c r="AC1506" s="399"/>
      <c r="AD1506" s="399"/>
      <c r="AE1506" s="399"/>
      <c r="AF1506" s="399"/>
      <c r="AG1506" s="399"/>
      <c r="AH1506" s="399"/>
      <c r="AI1506" s="399"/>
      <c r="AJ1506" s="399"/>
      <c r="AK1506" s="34"/>
      <c r="AL1506" s="34"/>
      <c r="AN1506" s="34"/>
      <c r="AO1506" s="34"/>
      <c r="AP1506" s="34"/>
      <c r="AS1506" s="34"/>
      <c r="AU1506" s="34"/>
      <c r="AV1506" s="34"/>
      <c r="AW1506" s="34"/>
      <c r="AX1506" s="34"/>
      <c r="AY1506" s="34"/>
      <c r="AZ1506" s="34"/>
      <c r="BB1506" s="34"/>
      <c r="BC1506" s="34"/>
      <c r="BD1506" s="34"/>
      <c r="CV1506" s="454">
        <f t="array" ref="CV1506">IFERROR(INDEX(Montageplatten[Höhe],LARGE((Montageplatten[konf Rahmenbed]=$L$70)*(ROW(Montageplatten[konf Rahmenbed])-1),COUNTIF(Montageplatten[konf Rahmenbed],$L$70)+1-ROW(A3))),"")</f>
        <v>0</v>
      </c>
      <c r="CW1506">
        <f t="shared" si="409"/>
        <v>1</v>
      </c>
      <c r="CX1506" s="1057"/>
    </row>
    <row r="1507" spans="1:102" hidden="1" outlineLevel="1" x14ac:dyDescent="0.25">
      <c r="B1507" s="656" t="s">
        <v>2041</v>
      </c>
      <c r="C1507" t="s">
        <v>2042</v>
      </c>
      <c r="D1507" t="s">
        <v>2043</v>
      </c>
      <c r="E1507" t="s">
        <v>2044</v>
      </c>
      <c r="F1507" t="s">
        <v>2054</v>
      </c>
      <c r="G1507" t="s">
        <v>2045</v>
      </c>
      <c r="H1507" t="s">
        <v>2048</v>
      </c>
      <c r="I1507" t="s">
        <v>2051</v>
      </c>
      <c r="J1507" t="s">
        <v>2055</v>
      </c>
      <c r="K1507" t="s">
        <v>2046</v>
      </c>
      <c r="L1507" t="s">
        <v>2049</v>
      </c>
      <c r="M1507" t="s">
        <v>2052</v>
      </c>
      <c r="N1507" t="s">
        <v>2056</v>
      </c>
      <c r="O1507" t="s">
        <v>2047</v>
      </c>
      <c r="P1507" t="s">
        <v>2050</v>
      </c>
      <c r="Q1507" t="s">
        <v>2053</v>
      </c>
      <c r="R1507" t="s">
        <v>2057</v>
      </c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34"/>
      <c r="AL1507" s="34"/>
      <c r="AM1507" s="478"/>
      <c r="AN1507" s="34"/>
      <c r="AO1507" s="34"/>
      <c r="AP1507" s="34"/>
      <c r="AS1507" s="34"/>
      <c r="AT1507" s="34"/>
      <c r="AU1507" s="34"/>
      <c r="AV1507" s="34"/>
      <c r="AW1507" s="34"/>
      <c r="AX1507" s="34"/>
      <c r="AY1507" s="34"/>
      <c r="AZ1507" s="34"/>
      <c r="BA1507" s="478"/>
      <c r="BB1507" s="34"/>
      <c r="BC1507" s="34"/>
      <c r="BD1507" s="34"/>
      <c r="CV1507" s="454">
        <f t="array" ref="CV1507">IFERROR(INDEX(Montageplatten[Höhe],LARGE((Montageplatten[konf Rahmenbed]=$L$70)*(ROW(Montageplatten[konf Rahmenbed])-1),COUNTIF(Montageplatten[konf Rahmenbed],$L$70)+1-ROW(A4))),"")</f>
        <v>0</v>
      </c>
      <c r="CW1507">
        <f t="shared" si="409"/>
        <v>1</v>
      </c>
      <c r="CX1507" s="1057"/>
    </row>
    <row r="1508" spans="1:102" hidden="1" outlineLevel="1" x14ac:dyDescent="0.25">
      <c r="A1508">
        <f ca="1">IF(SUM(U1508:AJ1508)+SUM(AT1508:AW1508)+SUM(BG1508:BJ1508)+SUM(CC1508:CR1508)&gt;0,1,0)</f>
        <v>1</v>
      </c>
      <c r="B1508" s="406" t="str">
        <f t="shared" ref="B1508:B1539" ca="1" si="410">J1390</f>
        <v>ohne</v>
      </c>
      <c r="C1508">
        <f ca="1">IF(B1508=Sprache!A54,0,IF(OR($L$1498=1,$L$1499=1,$L$1500=1,$L$1501=1)=TRUE,(B1508-15-$E$1498)*-1-$H$1498,""))</f>
        <v>0</v>
      </c>
      <c r="D1508" t="e">
        <f ca="1">IF(OR($L$1498=1,$L$1499=1,$L$1500=1,$L$1501=1)=TRUE,(B1508-15-$E$1498)*-1-$I$1498,"")</f>
        <v>#VALUE!</v>
      </c>
      <c r="E1508" t="e">
        <f ca="1">IF(OR($L$1498=1,$L$1499=1,$L$1500=1,$L$1501=1)=TRUE,(B1508-15-$E$1498)*-1-$J$1498,"")</f>
        <v>#VALUE!</v>
      </c>
      <c r="F1508" t="e">
        <f ca="1">IF(OR($L$1498=1,$L$1499=1,$L$1500=1,$L$1501=1)=TRUE,(B1508-15-$E$1498)*-1-$K$1498,"")</f>
        <v>#VALUE!</v>
      </c>
      <c r="G1508" t="e">
        <f ca="1">IF(OR($L$1498=1,$L$1499=1,$L$1500=1,$L$1501=1)=TRUE,(B1508-15-$E$1498)*-1-$H$1499,"")</f>
        <v>#VALUE!</v>
      </c>
      <c r="H1508" t="e">
        <f ca="1">IF(OR($L$1498=1,$L$1499=1,$L$1500=1,$L$1501=1)=TRUE,(B1508-15-$E$1498)*-1-$I$1499,"")</f>
        <v>#VALUE!</v>
      </c>
      <c r="I1508" t="e">
        <f ca="1">IF(OR($L$1498=1,$L$1499=1,$L$1500=1,$L$1501=1)=TRUE,(B1508-15-$E$1498)*-1-$J$1499,"")</f>
        <v>#VALUE!</v>
      </c>
      <c r="J1508" t="e">
        <f ca="1">IF(OR($L$1498=1,$L$1499=1,$L$1500=1,$L$1501=1)=TRUE,(B1508-15-$E$1498)*-1-$K$1499,"")</f>
        <v>#VALUE!</v>
      </c>
      <c r="K1508" t="e">
        <f ca="1">IF(OR($L$1498=1,$L$1499=1,$L$1500=1,$L$1501=1)=TRUE,(B1508-15-$E$1498)*-1-$H$1500,"")</f>
        <v>#VALUE!</v>
      </c>
      <c r="L1508" t="e">
        <f ca="1">IF(OR($L$1498=1,$L$1499=1,$L$1500=1,$L$1501=1)=TRUE,(B1508-15-$E$1498)*-1-$I$1500,"")</f>
        <v>#VALUE!</v>
      </c>
      <c r="M1508" t="e">
        <f ca="1">IF(OR($L$1498=1,$L$1499=1,$L$1500=1,$L$1501=1)=TRUE,(B1508-15-$E$1498)*-1-$J$1500,"")</f>
        <v>#VALUE!</v>
      </c>
      <c r="N1508" t="e">
        <f ca="1">IF(OR($L$1498=1,$L$1499=1,$L$1500=1,$L$1501=1)=TRUE,(B1508-15-$E$1498)*-1-$K$1500,"")</f>
        <v>#VALUE!</v>
      </c>
      <c r="O1508" t="e">
        <f ca="1">IF(OR($L$1498=1,$L$1499=1,$L$1500=1,$L$1501=1)=TRUE,(B1508-15-$E$1498)*-1-$H$1501,"")</f>
        <v>#VALUE!</v>
      </c>
      <c r="P1508" t="e">
        <f ca="1">IF(OR($L$1498=1,$L$1499=1,$L$1500=1,$L$1501=1)=TRUE,(B1508-15-$E$1498)*-1-$I$1501,"")</f>
        <v>#VALUE!</v>
      </c>
      <c r="Q1508" t="e">
        <f ca="1">IF(OR($L$1498=1,$L$1499=1,$L$1500=1,$L$1501=1)=TRUE,(B1508-15-$E$1498)*-1-$J$1501,"")</f>
        <v>#VALUE!</v>
      </c>
      <c r="R1508" t="e">
        <f ca="1">IF(OR($L$1498=1,$L$1499=1,$L$1500=1,$L$1501=1)=TRUE,(B1508-15-$E$1498)*-1-$K$1501,"")</f>
        <v>#VALUE!</v>
      </c>
      <c r="U1508" s="485">
        <f ca="1">IFERROR(VLOOKUP(C1508,$CV$1504:$CW$1561,2,FALSE),"")</f>
        <v>1</v>
      </c>
      <c r="V1508" s="486" t="str">
        <f t="shared" ref="V1508:V1539" ca="1" si="411">IFERROR(VLOOKUP(D1508,$CV$1504:$CW$1561,2,FALSE),"")</f>
        <v/>
      </c>
      <c r="W1508" s="486" t="str">
        <f t="shared" ref="W1508:W1539" ca="1" si="412">IFERROR(VLOOKUP(E1508,$CV$1504:$CW$1561,2,FALSE),"")</f>
        <v/>
      </c>
      <c r="X1508" s="486" t="str">
        <f t="shared" ref="X1508:X1539" ca="1" si="413">IFERROR(VLOOKUP(F1508,$CV$1504:$CW$1561,2,FALSE),"")</f>
        <v/>
      </c>
      <c r="Y1508" s="485" t="str">
        <f t="shared" ref="Y1508:Y1539" ca="1" si="414">IFERROR(VLOOKUP(G1508,$CV$1504:$CW$1561,2,FALSE),"")</f>
        <v/>
      </c>
      <c r="Z1508" s="486" t="str">
        <f t="shared" ref="Z1508:Z1539" ca="1" si="415">IFERROR(VLOOKUP(H1508,$CV$1504:$CW$1561,2,FALSE),"")</f>
        <v/>
      </c>
      <c r="AA1508" s="486" t="str">
        <f t="shared" ref="AA1508:AA1539" ca="1" si="416">IFERROR(VLOOKUP(I1508,$CV$1504:$CW$1561,2,FALSE),"")</f>
        <v/>
      </c>
      <c r="AB1508" s="486" t="str">
        <f t="shared" ref="AB1508:AB1539" ca="1" si="417">IFERROR(VLOOKUP(J1508,$CV$1504:$CW$1561,2,FALSE),"")</f>
        <v/>
      </c>
      <c r="AC1508" s="485" t="str">
        <f t="shared" ref="AC1508:AC1539" ca="1" si="418">IFERROR(VLOOKUP(K1508,$CV$1504:$CW$1561,2,FALSE),"")</f>
        <v/>
      </c>
      <c r="AD1508" s="486" t="str">
        <f t="shared" ref="AD1508:AD1539" ca="1" si="419">IFERROR(VLOOKUP(L1508,$CV$1504:$CW$1561,2,FALSE),"")</f>
        <v/>
      </c>
      <c r="AE1508" s="486" t="str">
        <f t="shared" ref="AE1508:AE1539" ca="1" si="420">IFERROR(VLOOKUP(M1508,$CV$1504:$CW$1561,2,FALSE),"")</f>
        <v/>
      </c>
      <c r="AF1508" s="486" t="str">
        <f t="shared" ref="AF1508:AF1539" ca="1" si="421">IFERROR(VLOOKUP(N1508,$CV$1504:$CW$1561,2,FALSE),"")</f>
        <v/>
      </c>
      <c r="AG1508" s="485" t="str">
        <f t="shared" ref="AG1508:AG1539" ca="1" si="422">IFERROR(VLOOKUP(O1508,$CV$1504:$CW$1561,2,FALSE),"")</f>
        <v/>
      </c>
      <c r="AH1508" s="486" t="str">
        <f t="shared" ref="AH1508:AH1539" ca="1" si="423">IFERROR(VLOOKUP(P1508,$CV$1504:$CW$1561,2,FALSE),"")</f>
        <v/>
      </c>
      <c r="AI1508" s="486" t="str">
        <f t="shared" ref="AI1508:AI1539" ca="1" si="424">IFERROR(VLOOKUP(Q1508,$CV$1504:$CW$1561,2,FALSE),"")</f>
        <v/>
      </c>
      <c r="AJ1508" s="486" t="str">
        <f t="shared" ref="AJ1508:AJ1539" ca="1" si="425">IFERROR(VLOOKUP(R1508,$CV$1504:$CW$1561,2,FALSE),"")</f>
        <v/>
      </c>
      <c r="AK1508" s="474" t="str">
        <f ca="1">IF(OR($L$1498=2,$L$1499=2,$L$1500=2,$L$1501=2)=TRUE,IFERROR($AV$1498-((B1508-1.1-$AR$1499)*COS($AU$1498/180*PI())+$AP$1499*SIN($AU$1498/180*PI())),""),"")</f>
        <v/>
      </c>
      <c r="AL1508" s="480" t="str">
        <f ca="1">IFERROR(IF(AK1508&lt;0,(INT(AK1508*-1)+IF(AND(ROUND(((AK1508*-1)-INT(AK1508*-1))*100,0)&gt;=0,ROUND(((AK1508*-1)-INT(AK1508*-1))*100,0)&lt;25)=TRUE,0,IF(AND(ROUND(((AK1508*-1)-INT(AK1508*-1))*100,0)&gt;=25,ROUND(((AK1508*-1)-INT(AK1508*-1))*100,0)&lt;50)=TRUE,0.5,IF(AND(ROUND(((AK1508*-1)-INT(AK1508*-1))*100,0)&gt;=50,ROUND(((AK1508*-1)-INT(AK1508*-1))*100,0)&lt;75)=TRUE,0.5,1))))*-1,(INT(AK1508)+IF(AND(ROUND(((AK1508)-INT(AK1508))*100,0)&gt;=0,ROUND(((AK1508)-INT(AK1508))*100,0)&lt;25)=TRUE,0,IF(AND(ROUND(((AK1508)-INT(AK1508))*100,0)&gt;=25,ROUND(((AK1508)-INT(AK1508))*100,0)&lt;50)=TRUE,0.5,IF(AND(ROUND(((AK1508)-INT(AK1508))*100,0)&gt;=50,ROUND(((AK1508)-INT(AK1508))*100,0)&lt;75)=TRUE,0.5,1))))),"-")</f>
        <v>-</v>
      </c>
      <c r="AM1508" s="476" t="str">
        <f ca="1">IF(OR($L$1498=2,$L$1499=2,$L$1500=2,$L$1501=2)=TRUE,IFERROR($AV$1499-((B1508-1.1-$AR$1499)*COS($AU$1499/180*PI())+$AP$1499*SIN($AU$1499/180*PI())),""),"")</f>
        <v/>
      </c>
      <c r="AN1508" s="480" t="str">
        <f ca="1">IFERROR(IF(AM1508&lt;0,(INT(AM1508*-1)+IF(AND(ROUND(((AM1508*-1)-INT(AM1508*-1))*100,0)&gt;=0,ROUND(((AM1508*-1)-INT(AM1508*-1))*100,0)&lt;25)=TRUE,0,IF(AND(ROUND(((AM1508*-1)-INT(AM1508*-1))*100,0)&gt;=25,ROUND(((AM1508*-1)-INT(AM1508*-1))*100,0)&lt;50)=TRUE,0.5,IF(AND(ROUND(((AM1508*-1)-INT(AM1508*-1))*100,0)&gt;=50,ROUND(((AM1508*-1)-INT(AM1508*-1))*100,0)&lt;75)=TRUE,0.5,1))))*-1,(INT(AM1508)+IF(AND(ROUND(((AM1508)-INT(AM1508))*100,0)&gt;=0,ROUND(((AM1508)-INT(AM1508))*100,0)&lt;25)=TRUE,0,IF(AND(ROUND(((AM1508)-INT(AM1508))*100,0)&gt;=25,ROUND(((AM1508)-INT(AM1508))*100,0)&lt;50)=TRUE,0.5,IF(AND(ROUND(((AM1508)-INT(AM1508))*100,0)&gt;=50,ROUND(((AM1508)-INT(AM1508))*100,0)&lt;75)=TRUE,0.5,1))))),"-")</f>
        <v>-</v>
      </c>
      <c r="AO1508" s="446" t="str">
        <f ca="1">IF(OR($L$1498=2,$L$1499=2,$L$1500=2,$L$1501=2)=TRUE,IFERROR($AV$1500-((B1508-1.1-$AR$1499)*COS($AU$1500/180*PI())+$AP$1499*SIN($AU$1500/180*PI())),""),"")</f>
        <v/>
      </c>
      <c r="AP1508" s="480" t="str">
        <f ca="1">IFERROR(IF(AO1508&lt;0,(INT(AO1508*-1)+IF(AND(ROUND(((AO1508*-1)-INT(AO1508*-1))*100,0)&gt;=0,ROUND(((AO1508*-1)-INT(AO1508*-1))*100,0)&lt;25)=TRUE,0,IF(AND(ROUND(((AO1508*-1)-INT(AO1508*-1))*100,0)&gt;=25,ROUND(((AO1508*-1)-INT(AO1508*-1))*100,0)&lt;50)=TRUE,0.5,IF(AND(ROUND(((AO1508*-1)-INT(AO1508*-1))*100,0)&gt;=50,ROUND(((AO1508*-1)-INT(AO1508*-1))*100,0)&lt;75)=TRUE,0.5,1))))*-1,(INT(AO1508)+IF(AND(ROUND(((AO1508)-INT(AO1508))*100,0)&gt;=0,ROUND(((AO1508)-INT(AO1508))*100,0)&lt;25)=TRUE,0,IF(AND(ROUND(((AO1508)-INT(AO1508))*100,0)&gt;=25,ROUND(((AO1508)-INT(AO1508))*100,0)&lt;50)=TRUE,0.5,IF(AND(ROUND(((AO1508)-INT(AO1508))*100,0)&gt;=50,ROUND(((AO1508)-INT(AO1508))*100,0)&lt;75)=TRUE,0.5,1))))),"-")</f>
        <v>-</v>
      </c>
      <c r="AQ1508" s="477" t="str">
        <f ca="1">IF(OR($L$1498=2,$L$1499=2,$L$1500=2,$L$1501=2)=TRUE,IFERROR($AV$1501-((B1508-1.1-$AR$1499)*COS($AU$1501/180*PI())+$AP$1499*SIN($AU$1501/180*PI())),""),"")</f>
        <v/>
      </c>
      <c r="AR1508" s="480" t="str">
        <f ca="1">IFERROR(IF(AQ1508&lt;0,(INT(AQ1508*-1)+IF(AND(ROUND(((AQ1508*-1)-INT(AQ1508*-1))*100,0)&gt;=0,ROUND(((AQ1508*-1)-INT(AQ1508*-1))*100,0)&lt;25)=TRUE,0,IF(AND(ROUND(((AQ1508*-1)-INT(AQ1508*-1))*100,0)&gt;=25,ROUND(((AQ1508*-1)-INT(AQ1508*-1))*100,0)&lt;50)=TRUE,0.5,IF(AND(ROUND(((AQ1508*-1)-INT(AQ1508*-1))*100,0)&gt;=50,ROUND(((AQ1508*-1)-INT(AQ1508*-1))*100,0)&lt;75)=TRUE,0.5,1))))*-1,(INT(AQ1508)+IF(AND(ROUND(((AQ1508)-INT(AQ1508))*100,0)&gt;=0,ROUND(((AQ1508)-INT(AQ1508))*100,0)&lt;25)=TRUE,0,IF(AND(ROUND(((AQ1508)-INT(AQ1508))*100,0)&gt;=25,ROUND(((AQ1508)-INT(AQ1508))*100,0)&lt;50)=TRUE,0.5,IF(AND(ROUND(((AQ1508)-INT(AQ1508))*100,0)&gt;=50,ROUND(((AQ1508)-INT(AQ1508))*100,0)&lt;75)=TRUE,0.5,1))))),"-")</f>
        <v>-</v>
      </c>
      <c r="AT1508" s="490" t="str">
        <f t="shared" ref="AT1508:AT1539" ca="1" si="426">IFERROR(VLOOKUP(AL1508,$CV$1504:$CW$1561,2,FALSE),"")</f>
        <v/>
      </c>
      <c r="AU1508" s="491" t="str">
        <f t="shared" ref="AU1508:AU1539" ca="1" si="427">IFERROR(VLOOKUP(AN1508,$CV$1504:$CW$1561,2,FALSE),"")</f>
        <v/>
      </c>
      <c r="AV1508" s="491" t="str">
        <f t="shared" ref="AV1508:AV1539" ca="1" si="428">IFERROR(VLOOKUP(AP1508,$CV$1504:$CW$1561,2,FALSE),"")</f>
        <v/>
      </c>
      <c r="AW1508" s="492" t="str">
        <f t="shared" ref="AW1508:AW1539" ca="1" si="429">IFERROR(VLOOKUP(AR1508,$CV$1504:$CW$1561,2,FALSE),"")</f>
        <v/>
      </c>
      <c r="AY1508" s="474" t="str">
        <f ca="1">IF(OR($L$1498=4,$L$1499=4,$L$1500=4,$L$1501=4)=TRUE,IFERROR(($BG$1498+$E$1498-B1508)*COS(-$BF$1498*PI()/180),""),"")</f>
        <v/>
      </c>
      <c r="AZ1508" s="480" t="str">
        <f ca="1">IFERROR(IF(AY1508&lt;0,(INT(AY1508*-1)+IF(AND(ROUND(((AY1508*-1)-INT(AY1508*-1))*100,0)&gt;=0,ROUND(((AY1508*-1)-INT(AY1508*-1))*100,0)&lt;25)=TRUE,0,IF(AND(ROUND(((AY1508*-1)-INT(AY1508*-1))*100,0)&gt;=25,ROUND(((AY1508*-1)-INT(AY1508*-1))*100,0)&lt;50)=TRUE,0.5,IF(AND(ROUND(((AY1508*-1)-INT(AY1508*-1))*100,0)&gt;=50,ROUND(((AY1508*-1)-INT(AY1508*-1))*100,0)&lt;75)=TRUE,0.5,1))))*-1,(INT(AY1508)+IF(AND(ROUND(((AY1508)-INT(AY1508))*100,0)&gt;=0,ROUND(((AY1508)-INT(AY1508))*100,0)&lt;25)=TRUE,0,IF(AND(ROUND(((AY1508)-INT(AY1508))*100,0)&gt;=25,ROUND(((AY1508)-INT(AY1508))*100,0)&lt;50)=TRUE,0.5,IF(AND(ROUND(((AY1508)-INT(AY1508))*100,0)&gt;=50,ROUND(((AY1508)-INT(AY1508))*100,0)&lt;75)=TRUE,0.5,1))))),"-")</f>
        <v>-</v>
      </c>
      <c r="BA1508" s="476" t="str">
        <f ca="1">IF(OR($L$1498=4,$L$1499=4,$L$1500=4,$L$1501=4)=TRUE,IFERROR(($BG$1499+$E$1498-B1508)*COS(-$BF$1499*PI()/180),""),"")</f>
        <v/>
      </c>
      <c r="BB1508" s="480" t="str">
        <f ca="1">IFERROR(IF(BA1508&lt;0,(INT(BA1508*-1)+IF(AND(ROUND(((BA1508*-1)-INT(BA1508*-1))*100,0)&gt;=0,ROUND(((BA1508*-1)-INT(BA1508*-1))*100,0)&lt;25)=TRUE,0,IF(AND(ROUND(((BA1508*-1)-INT(BA1508*-1))*100,0)&gt;=25,ROUND(((BA1508*-1)-INT(BA1508*-1))*100,0)&lt;50)=TRUE,0.5,IF(AND(ROUND(((BA1508*-1)-INT(BA1508*-1))*100,0)&gt;=50,ROUND(((BA1508*-1)-INT(BA1508*-1))*100,0)&lt;75)=TRUE,0.5,1))))*-1,(INT(BA1508)+IF(AND(ROUND(((BA1508)-INT(BA1508))*100,0)&gt;=0,ROUND(((BA1508)-INT(BA1508))*100,0)&lt;25)=TRUE,0,IF(AND(ROUND(((BA1508)-INT(BA1508))*100,0)&gt;=25,ROUND(((BA1508)-INT(BA1508))*100,0)&lt;50)=TRUE,0.5,IF(AND(ROUND(((BA1508)-INT(BA1508))*100,0)&gt;=50,ROUND(((BA1508)-INT(BA1508))*100,0)&lt;75)=TRUE,0.5,1))))),"-")</f>
        <v>-</v>
      </c>
      <c r="BC1508" s="460" t="str">
        <f ca="1">IF(OR($L$1498=4,$L$1499=4,$L$1500=4,$L$1501=4)=TRUE,IFERROR(($BG$1500+$E$1498-B1508)*COS(-$BF$1500*PI()/180),""),"")</f>
        <v/>
      </c>
      <c r="BD1508" s="480" t="str">
        <f ca="1">IFERROR(IF(BC1508&lt;0,(INT(BC1508*-1)+IF(AND(ROUND(((BC1508*-1)-INT(BC1508*-1))*100,0)&gt;=0,ROUND(((BC1508*-1)-INT(BC1508*-1))*100,0)&lt;25)=TRUE,0,IF(AND(ROUND(((BC1508*-1)-INT(BC1508*-1))*100,0)&gt;=25,ROUND(((BC1508*-1)-INT(BC1508*-1))*100,0)&lt;50)=TRUE,0.5,IF(AND(ROUND(((BC1508*-1)-INT(BC1508*-1))*100,0)&gt;=50,ROUND(((BC1508*-1)-INT(BC1508*-1))*100,0)&lt;75)=TRUE,0.5,1))))*-1,(INT(BC1508)+IF(AND(ROUND(((BC1508)-INT(BC1508))*100,0)&gt;=0,ROUND(((BC1508)-INT(BC1508))*100,0)&lt;25)=TRUE,0,IF(AND(ROUND(((BC1508)-INT(BC1508))*100,0)&gt;=25,ROUND(((BC1508)-INT(BC1508))*100,0)&lt;50)=TRUE,0.5,IF(AND(ROUND(((BC1508)-INT(BC1508))*100,0)&gt;=50,ROUND(((BC1508)-INT(BC1508))*100,0)&lt;75)=TRUE,0.5,1))))),"-")</f>
        <v>-</v>
      </c>
      <c r="BE1508" s="477" t="str">
        <f ca="1">IF(OR($L$1498=4,$L$1499=4,$L$1500=4,$L$1501=4)=TRUE,IFERROR(($BG$1501+$E$1498-B1508)*COS(-$BF$1501*PI()/180),""),"")</f>
        <v/>
      </c>
      <c r="BF1508" s="480" t="str">
        <f ca="1">IFERROR(IF(BE1508&lt;0,(INT(BE1508*-1)+IF(AND(ROUND(((BE1508*-1)-INT(BE1508*-1))*100,0)&gt;=0,ROUND(((BE1508*-1)-INT(BE1508*-1))*100,0)&lt;25)=TRUE,0,IF(AND(ROUND(((BE1508*-1)-INT(BE1508*-1))*100,0)&gt;=25,ROUND(((BE1508*-1)-INT(BE1508*-1))*100,0)&lt;50)=TRUE,0.5,IF(AND(ROUND(((BE1508*-1)-INT(BE1508*-1))*100,0)&gt;=50,ROUND(((BE1508*-1)-INT(BE1508*-1))*100,0)&lt;75)=TRUE,0.5,1))))*-1,(INT(BE1508)+IF(AND(ROUND(((BE1508)-INT(BE1508))*100,0)&gt;=0,ROUND(((BE1508)-INT(BE1508))*100,0)&lt;25)=TRUE,0,IF(AND(ROUND(((BE1508)-INT(BE1508))*100,0)&gt;=25,ROUND(((BE1508)-INT(BE1508))*100,0)&lt;50)=TRUE,0.5,IF(AND(ROUND(((BE1508)-INT(BE1508))*100,0)&gt;=50,ROUND(((BE1508)-INT(BE1508))*100,0)&lt;75)=TRUE,0.5,1))))),"-")</f>
        <v>-</v>
      </c>
      <c r="BG1508" s="488" t="str">
        <f t="shared" ref="BG1508:BG1539" ca="1" si="430">IFERROR(VLOOKUP(AZ1508,$CV$1504:$CW$1561,2,FALSE),"")</f>
        <v/>
      </c>
      <c r="BH1508" s="483" t="str">
        <f t="shared" ref="BH1508:BH1539" ca="1" si="431">IFERROR(VLOOKUP(BB1508,$CV$1504:$CW$1561,2,FALSE),"")</f>
        <v/>
      </c>
      <c r="BI1508" s="483" t="str">
        <f t="shared" ref="BI1508:BI1539" ca="1" si="432">IFERROR(VLOOKUP(BD1508,$CV$1504:$CW$1561,2,FALSE),"")</f>
        <v/>
      </c>
      <c r="BJ1508" s="489" t="str">
        <f t="shared" ref="BJ1508:BJ1539" ca="1" si="433">IFERROR(VLOOKUP(BF1508,$CV$1504:$CW$1561,2,FALSE),"")</f>
        <v/>
      </c>
      <c r="BL1508" t="str">
        <f ca="1">IF(OR($L$1498=7,$L$1499=7,$L$1500=7,$L$1501=7)=TRUE,($BK$1496-(B1508))-$BQ$1497,"")</f>
        <v/>
      </c>
      <c r="BM1508" t="str">
        <f ca="1">IF(OR($L$1498=7,$L$1499=7,$L$1500=7,$L$1501=7)=TRUE,($BK$1496-(B1508))-$BR$1497,"")</f>
        <v/>
      </c>
      <c r="BN1508" t="str">
        <f ca="1">IF(OR($L$1498=7,$L$1499=7,$L$1500=7,$L$1501=7)=TRUE,($BK$1496-(B1508))-$BS$1497,"")</f>
        <v/>
      </c>
      <c r="BO1508" t="str">
        <f ca="1">IF(OR($L$1498=7,$L$1499=7,$L$1500=7,$L$1501=7)=TRUE,($BK$1496-($B$1508))-$BT$1497,"")</f>
        <v/>
      </c>
      <c r="BP1508" t="str">
        <f ca="1">IF(OR($L$1498=7,$L$1499=7,$L$1500=7,$L$1501=7)=TRUE,($BK$1496-(B1508))-$BQ$1498,"")</f>
        <v/>
      </c>
      <c r="BQ1508" t="str">
        <f ca="1">IF(OR($L$1498=7,$L$1499=7,$L$1500=7,$L$1501=7)=TRUE,($BK$1496-(B1508))-$BR$1498,"")</f>
        <v/>
      </c>
      <c r="BR1508" t="str">
        <f ca="1">IF(OR($L$1498=7,$L$1499=7,$L$1500=7,$L$1501=7)=TRUE,($BK$1496-(B1508))-$BS$1498,"")</f>
        <v/>
      </c>
      <c r="BS1508" t="str">
        <f ca="1">IF(OR($L$1498=7,$L$1499=7,$L$1500=7,$L$1501=7)=TRUE,($BK$1496-(B1508))-$BT$1498,"")</f>
        <v/>
      </c>
      <c r="BT1508" t="str">
        <f ca="1">IF(OR($L$1498=7,$L$1499=7,$L$1500=7,$L$1501=7)=TRUE,($BK$1496-(B1508))-$BQ$1499,"")</f>
        <v/>
      </c>
      <c r="BU1508" t="str">
        <f ca="1">IF(OR($L$1498=7,$L$1499=7,$L$1500=7,$L$1501=7)=TRUE,($BK$1496-(B1508))-$BR$1499,"")</f>
        <v/>
      </c>
      <c r="BV1508" t="str">
        <f ca="1">IF(OR($L$1498=7,$L$1499=7,$L$1500=7,$L$1501=7)=TRUE,($BK$1496-(B1508))-$BS$1499,"")</f>
        <v/>
      </c>
      <c r="BW1508" t="str">
        <f ca="1">IF(OR($L$1498=7,$L$1499=7,$L$1500=7,$L$1501=7)=TRUE,($BK$1496-(B1508))-$BT$1499,"")</f>
        <v/>
      </c>
      <c r="BX1508" t="str">
        <f ca="1">IF(OR($L$1498=7,$L$1499=7,$L$1500=7,$L$1501=7)=TRUE,($BK$1496-(B1508))-$BQ$1500,"")</f>
        <v/>
      </c>
      <c r="BY1508" t="str">
        <f ca="1">IF(OR($L$1498=7,$L$1499=7,$L$1500=7,$L$1501=7)=TRUE,($BK$1496-(B1508))-$BR$1500,"")</f>
        <v/>
      </c>
      <c r="BZ1508" t="str">
        <f ca="1">IF(OR($L$1498=7,$L$1499=7,$L$1500=7,$L$1501=7)=TRUE,($BK$1496-(B1508))-$BS$1500,"")</f>
        <v/>
      </c>
      <c r="CA1508" t="str">
        <f ca="1">IF(OR($L$1498=7,$L$1499=7,$L$1500=7,$L$1501=7)=TRUE,($BK$1496-(B1508))-$BT$1500,"")</f>
        <v/>
      </c>
      <c r="CC1508" s="482" t="str">
        <f t="shared" ref="CC1508:CR1508" ca="1" si="434">IFERROR(VLOOKUP(BL1508,$CV$1504:$CW$1561,2,FALSE),"")</f>
        <v/>
      </c>
      <c r="CD1508" s="483" t="str">
        <f t="shared" ca="1" si="434"/>
        <v/>
      </c>
      <c r="CE1508" s="483" t="str">
        <f t="shared" ca="1" si="434"/>
        <v/>
      </c>
      <c r="CF1508" s="483" t="str">
        <f t="shared" ca="1" si="434"/>
        <v/>
      </c>
      <c r="CG1508" s="482" t="str">
        <f t="shared" ca="1" si="434"/>
        <v/>
      </c>
      <c r="CH1508" s="483" t="str">
        <f t="shared" ca="1" si="434"/>
        <v/>
      </c>
      <c r="CI1508" s="483" t="str">
        <f t="shared" ca="1" si="434"/>
        <v/>
      </c>
      <c r="CJ1508" s="484" t="str">
        <f t="shared" ca="1" si="434"/>
        <v/>
      </c>
      <c r="CK1508" s="483" t="str">
        <f t="shared" ca="1" si="434"/>
        <v/>
      </c>
      <c r="CL1508" s="483" t="str">
        <f t="shared" ca="1" si="434"/>
        <v/>
      </c>
      <c r="CM1508" s="483" t="str">
        <f t="shared" ca="1" si="434"/>
        <v/>
      </c>
      <c r="CN1508" s="483" t="str">
        <f t="shared" ca="1" si="434"/>
        <v/>
      </c>
      <c r="CO1508" s="482" t="str">
        <f t="shared" ca="1" si="434"/>
        <v/>
      </c>
      <c r="CP1508" s="483" t="str">
        <f t="shared" ca="1" si="434"/>
        <v/>
      </c>
      <c r="CQ1508" s="483" t="str">
        <f t="shared" ca="1" si="434"/>
        <v/>
      </c>
      <c r="CR1508" s="484" t="str">
        <f t="shared" ca="1" si="434"/>
        <v/>
      </c>
      <c r="CV1508" s="454">
        <f t="array" ref="CV1508">IFERROR(INDEX(Montageplatten[Höhe],LARGE((Montageplatten[konf Rahmenbed]=$L$70)*(ROW(Montageplatten[konf Rahmenbed])-1),COUNTIF(Montageplatten[konf Rahmenbed],$L$70)+1-ROW(A5))),"")</f>
        <v>2</v>
      </c>
      <c r="CW1508">
        <f t="shared" si="409"/>
        <v>1</v>
      </c>
      <c r="CX1508" s="1057"/>
    </row>
    <row r="1509" spans="1:102" hidden="1" outlineLevel="1" x14ac:dyDescent="0.25">
      <c r="A1509">
        <f t="shared" ref="A1509:A1565" ca="1" si="435">IF(SUM(U1509:AJ1509)+SUM(AT1509:AW1509)+SUM(BG1509:BJ1509)+SUM(CC1509:CR1509)&gt;0,1,0)</f>
        <v>0</v>
      </c>
      <c r="B1509" s="170" t="str">
        <f t="shared" ca="1" si="410"/>
        <v>---------</v>
      </c>
      <c r="C1509" t="e">
        <f ca="1">IF(OR($L$1498=1,$L$1499=1,$L$1500=1,$L$1501=1)=TRUE,(B1509-15-$E$1498)*-1-$H$1498,"")</f>
        <v>#VALUE!</v>
      </c>
      <c r="D1509" t="e">
        <f ca="1">IF(OR($L$1498=1,$L$1499=1,$L$1500=1,$L$1501=1)=TRUE,(B1509-15-$E$1498)*-1-$I$1498,"")</f>
        <v>#VALUE!</v>
      </c>
      <c r="E1509" t="e">
        <f t="shared" ref="E1509:E1565" ca="1" si="436">IF(OR($L$1498=1,$L$1499=1,$L$1500=1,$L$1501=1)=TRUE,(B1509-15-$E$1498)*-1-$J$1498,"")</f>
        <v>#VALUE!</v>
      </c>
      <c r="F1509" t="e">
        <f t="shared" ref="F1509:F1565" ca="1" si="437">IF(OR($L$1498=1,$L$1499=1,$L$1500=1,$L$1501=1)=TRUE,(B1509-15-$E$1498)*-1-$K$1498,"")</f>
        <v>#VALUE!</v>
      </c>
      <c r="G1509" t="e">
        <f t="shared" ref="G1509:G1565" ca="1" si="438">IF(OR($L$1498=1,$L$1499=1,$L$1500=1,$L$1501=1)=TRUE,(B1509-15-$E$1498)*-1-$H$1499,"")</f>
        <v>#VALUE!</v>
      </c>
      <c r="H1509" t="e">
        <f t="shared" ref="H1509:H1565" ca="1" si="439">IF(OR($L$1498=1,$L$1499=1,$L$1500=1,$L$1501=1)=TRUE,(B1509-15-$E$1498)*-1-$I$1499,"")</f>
        <v>#VALUE!</v>
      </c>
      <c r="I1509" t="e">
        <f t="shared" ref="I1509:I1565" ca="1" si="440">IF(OR($L$1498=1,$L$1499=1,$L$1500=1,$L$1501=1)=TRUE,(B1509-15-$E$1498)*-1-$J$1499,"")</f>
        <v>#VALUE!</v>
      </c>
      <c r="J1509" t="e">
        <f t="shared" ref="J1509:J1565" ca="1" si="441">IF(OR($L$1498=1,$L$1499=1,$L$1500=1,$L$1501=1)=TRUE,(B1509-15-$E$1498)*-1-$K$1499,"")</f>
        <v>#VALUE!</v>
      </c>
      <c r="K1509" t="e">
        <f t="shared" ref="K1509:K1565" ca="1" si="442">IF(OR($L$1498=1,$L$1499=1,$L$1500=1,$L$1501=1)=TRUE,(B1509-15-$E$1498)*-1-$H$1500,"")</f>
        <v>#VALUE!</v>
      </c>
      <c r="L1509" t="e">
        <f t="shared" ref="L1509:L1565" ca="1" si="443">IF(OR($L$1498=1,$L$1499=1,$L$1500=1,$L$1501=1)=TRUE,(B1509-15-$E$1498)*-1-$I$1500,"")</f>
        <v>#VALUE!</v>
      </c>
      <c r="M1509" t="e">
        <f t="shared" ref="M1509:M1565" ca="1" si="444">IF(OR($L$1498=1,$L$1499=1,$L$1500=1,$L$1501=1)=TRUE,(B1509-15-$E$1498)*-1-$J$1500,"")</f>
        <v>#VALUE!</v>
      </c>
      <c r="N1509" t="e">
        <f t="shared" ref="N1509:N1565" ca="1" si="445">IF(OR($L$1498=1,$L$1499=1,$L$1500=1,$L$1501=1)=TRUE,(B1509-15-$E$1498)*-1-$K$1500,"")</f>
        <v>#VALUE!</v>
      </c>
      <c r="O1509" t="e">
        <f t="shared" ref="O1509:O1565" ca="1" si="446">IF(OR($L$1498=1,$L$1499=1,$L$1500=1,$L$1501=1)=TRUE,(B1509-15-$E$1498)*-1-$H$1501,"")</f>
        <v>#VALUE!</v>
      </c>
      <c r="P1509" t="e">
        <f t="shared" ref="P1509:P1565" ca="1" si="447">IF(OR($L$1498=1,$L$1499=1,$L$1500=1,$L$1501=1)=TRUE,(B1509-15-$E$1498)*-1-$I$1501,"")</f>
        <v>#VALUE!</v>
      </c>
      <c r="Q1509" t="e">
        <f t="shared" ref="Q1509:Q1565" ca="1" si="448">IF(OR($L$1498=1,$L$1499=1,$L$1500=1,$L$1501=1)=TRUE,(B1509-15-$E$1498)*-1-$J$1501,"")</f>
        <v>#VALUE!</v>
      </c>
      <c r="R1509" t="e">
        <f t="shared" ref="R1509:R1565" ca="1" si="449">IF(OR($L$1498=1,$L$1499=1,$L$1500=1,$L$1501=1)=TRUE,(B1509-15-$E$1498)*-1-$K$1501,"")</f>
        <v>#VALUE!</v>
      </c>
      <c r="U1509" s="485" t="str">
        <f t="shared" ref="U1509:U1539" ca="1" si="450">IFERROR(VLOOKUP(C1509,$CV$1504:$CW$1561,2,FALSE),"")</f>
        <v/>
      </c>
      <c r="V1509" s="486" t="str">
        <f t="shared" ca="1" si="411"/>
        <v/>
      </c>
      <c r="W1509" s="486" t="str">
        <f t="shared" ca="1" si="412"/>
        <v/>
      </c>
      <c r="X1509" s="486" t="str">
        <f t="shared" ca="1" si="413"/>
        <v/>
      </c>
      <c r="Y1509" s="485" t="str">
        <f t="shared" ca="1" si="414"/>
        <v/>
      </c>
      <c r="Z1509" s="486" t="str">
        <f t="shared" ca="1" si="415"/>
        <v/>
      </c>
      <c r="AA1509" s="486" t="str">
        <f t="shared" ca="1" si="416"/>
        <v/>
      </c>
      <c r="AB1509" s="486" t="str">
        <f t="shared" ca="1" si="417"/>
        <v/>
      </c>
      <c r="AC1509" s="485" t="str">
        <f t="shared" ca="1" si="418"/>
        <v/>
      </c>
      <c r="AD1509" s="486" t="str">
        <f t="shared" ca="1" si="419"/>
        <v/>
      </c>
      <c r="AE1509" s="486" t="str">
        <f t="shared" ca="1" si="420"/>
        <v/>
      </c>
      <c r="AF1509" s="486" t="str">
        <f t="shared" ca="1" si="421"/>
        <v/>
      </c>
      <c r="AG1509" s="485" t="str">
        <f t="shared" ca="1" si="422"/>
        <v/>
      </c>
      <c r="AH1509" s="486" t="str">
        <f t="shared" ca="1" si="423"/>
        <v/>
      </c>
      <c r="AI1509" s="486" t="str">
        <f t="shared" ca="1" si="424"/>
        <v/>
      </c>
      <c r="AJ1509" s="486" t="str">
        <f t="shared" ca="1" si="425"/>
        <v/>
      </c>
      <c r="AK1509" s="474" t="str">
        <f t="shared" ref="AK1509:AK1565" ca="1" si="451">IF(OR($L$1498=2,$L$1499=2,$L$1500=2,$L$1501=2)=TRUE,IFERROR($AV$1498-((B1509-1.1-$AR$1499)*COS($AU$1498/180*PI())+$AP$1499*SIN($AU$1498/180*PI())),""),"")</f>
        <v/>
      </c>
      <c r="AL1509" s="480" t="str">
        <f t="shared" ref="AL1509:AL1565" ca="1" si="452">IFERROR(IF(AK1509&lt;0,(INT(AK1509*-1)+IF(AND(ROUND(((AK1509*-1)-INT(AK1509*-1))*100,0)&gt;=0,ROUND(((AK1509*-1)-INT(AK1509*-1))*100,0)&lt;25)=TRUE,0,IF(AND(ROUND(((AK1509*-1)-INT(AK1509*-1))*100,0)&gt;=25,ROUND(((AK1509*-1)-INT(AK1509*-1))*100,0)&lt;50)=TRUE,0.5,IF(AND(ROUND(((AK1509*-1)-INT(AK1509*-1))*100,0)&gt;=50,ROUND(((AK1509*-1)-INT(AK1509*-1))*100,0)&lt;75)=TRUE,0.5,1))))*-1,(INT(AK1509)+IF(AND(ROUND(((AK1509)-INT(AK1509))*100,0)&gt;=0,ROUND(((AK1509)-INT(AK1509))*100,0)&lt;25)=TRUE,0,IF(AND(ROUND(((AK1509)-INT(AK1509))*100,0)&gt;=25,ROUND(((AK1509)-INT(AK1509))*100,0)&lt;50)=TRUE,0.5,IF(AND(ROUND(((AK1509)-INT(AK1509))*100,0)&gt;=50,ROUND(((AK1509)-INT(AK1509))*100,0)&lt;75)=TRUE,0.5,1))))),"-")</f>
        <v>-</v>
      </c>
      <c r="AM1509" s="476" t="str">
        <f t="shared" ref="AM1509:AM1565" ca="1" si="453">IF(OR($L$1498=2,$L$1499=2,$L$1500=2,$L$1501=2)=TRUE,IFERROR($AV$1499-((B1509-1.1-$AR$1499)*COS($AU$1499/180*PI())+$AP$1499*SIN($AU$1499/180*PI())),""),"")</f>
        <v/>
      </c>
      <c r="AN1509" s="475" t="str">
        <f t="shared" ref="AN1509:AN1565" ca="1" si="454">IFERROR(IF(AM1509&lt;0,(INT(AM1509*-1)+IF(AND(ROUND(((AM1509*-1)-INT(AM1509*-1))*100,0)&gt;=0,ROUND(((AM1509*-1)-INT(AM1509*-1))*100,0)&lt;25)=TRUE,0,IF(AND(ROUND(((AM1509*-1)-INT(AM1509*-1))*100,0)&gt;=25,ROUND(((AM1509*-1)-INT(AM1509*-1))*100,0)&lt;50)=TRUE,0.5,IF(AND(ROUND(((AM1509*-1)-INT(AM1509*-1))*100,0)&gt;=50,ROUND(((AM1509*-1)-INT(AM1509*-1))*100,0)&lt;75)=TRUE,0.5,1))))*-1,(INT(AM1509)+IF(AND(ROUND(((AM1509)-INT(AM1509))*100,0)&gt;=0,ROUND(((AM1509)-INT(AM1509))*100,0)&lt;25)=TRUE,0,IF(AND(ROUND(((AM1509)-INT(AM1509))*100,0)&gt;=25,ROUND(((AM1509)-INT(AM1509))*100,0)&lt;50)=TRUE,0.5,IF(AND(ROUND(((AM1509)-INT(AM1509))*100,0)&gt;=50,ROUND(((AM1509)-INT(AM1509))*100,0)&lt;75)=TRUE,0.5,1))))),"-")</f>
        <v>-</v>
      </c>
      <c r="AO1509" s="460" t="str">
        <f t="shared" ref="AO1509:AO1565" ca="1" si="455">IF(OR($L$1498=2,$L$1499=2,$L$1500=2,$L$1501=2)=TRUE,IFERROR($AV$1500-((B1509-1.1-$AR$1499)*COS($AU$1500/180*PI())+$AP$1499*SIN($AU$1500/180*PI())),""),"")</f>
        <v/>
      </c>
      <c r="AP1509" s="480" t="str">
        <f t="shared" ref="AP1509:AP1565" ca="1" si="456">IFERROR(IF(AO1509&lt;0,(INT(AO1509*-1)+IF(AND(ROUND(((AO1509*-1)-INT(AO1509*-1))*100,0)&gt;=0,ROUND(((AO1509*-1)-INT(AO1509*-1))*100,0)&lt;25)=TRUE,0,IF(AND(ROUND(((AO1509*-1)-INT(AO1509*-1))*100,0)&gt;=25,ROUND(((AO1509*-1)-INT(AO1509*-1))*100,0)&lt;50)=TRUE,0.5,IF(AND(ROUND(((AO1509*-1)-INT(AO1509*-1))*100,0)&gt;=50,ROUND(((AO1509*-1)-INT(AO1509*-1))*100,0)&lt;75)=TRUE,0.5,1))))*-1,(INT(AO1509)+IF(AND(ROUND(((AO1509)-INT(AO1509))*100,0)&gt;=0,ROUND(((AO1509)-INT(AO1509))*100,0)&lt;25)=TRUE,0,IF(AND(ROUND(((AO1509)-INT(AO1509))*100,0)&gt;=25,ROUND(((AO1509)-INT(AO1509))*100,0)&lt;50)=TRUE,0.5,IF(AND(ROUND(((AO1509)-INT(AO1509))*100,0)&gt;=50,ROUND(((AO1509)-INT(AO1509))*100,0)&lt;75)=TRUE,0.5,1))))),"-")</f>
        <v>-</v>
      </c>
      <c r="AQ1509" s="477" t="str">
        <f t="shared" ref="AQ1509:AQ1565" ca="1" si="457">IF(OR($L$1498=2,$L$1499=2,$L$1500=2,$L$1501=2)=TRUE,IFERROR($AV$1501-((B1509-1.1-$AR$1499)*COS($AU$1501/180*PI())+$AP$1499*SIN($AU$1501/180*PI())),""),"")</f>
        <v/>
      </c>
      <c r="AR1509" s="480" t="str">
        <f t="shared" ref="AR1509:AR1565" ca="1" si="458">IFERROR(IF(AQ1509&lt;0,(INT(AQ1509*-1)+IF(AND(ROUND(((AQ1509*-1)-INT(AQ1509*-1))*100,0)&gt;=0,ROUND(((AQ1509*-1)-INT(AQ1509*-1))*100,0)&lt;25)=TRUE,0,IF(AND(ROUND(((AQ1509*-1)-INT(AQ1509*-1))*100,0)&gt;=25,ROUND(((AQ1509*-1)-INT(AQ1509*-1))*100,0)&lt;50)=TRUE,0.5,IF(AND(ROUND(((AQ1509*-1)-INT(AQ1509*-1))*100,0)&gt;=50,ROUND(((AQ1509*-1)-INT(AQ1509*-1))*100,0)&lt;75)=TRUE,0.5,1))))*-1,(INT(AQ1509)+IF(AND(ROUND(((AQ1509)-INT(AQ1509))*100,0)&gt;=0,ROUND(((AQ1509)-INT(AQ1509))*100,0)&lt;25)=TRUE,0,IF(AND(ROUND(((AQ1509)-INT(AQ1509))*100,0)&gt;=25,ROUND(((AQ1509)-INT(AQ1509))*100,0)&lt;50)=TRUE,0.5,IF(AND(ROUND(((AQ1509)-INT(AQ1509))*100,0)&gt;=50,ROUND(((AQ1509)-INT(AQ1509))*100,0)&lt;75)=TRUE,0.5,1))))),"-")</f>
        <v>-</v>
      </c>
      <c r="AS1509" s="34"/>
      <c r="AT1509" s="490" t="str">
        <f t="shared" ca="1" si="426"/>
        <v/>
      </c>
      <c r="AU1509" s="491" t="str">
        <f t="shared" ca="1" si="427"/>
        <v/>
      </c>
      <c r="AV1509" s="491" t="str">
        <f t="shared" ca="1" si="428"/>
        <v/>
      </c>
      <c r="AW1509" s="492" t="str">
        <f t="shared" ca="1" si="429"/>
        <v/>
      </c>
      <c r="AY1509" s="474" t="str">
        <f t="shared" ref="AY1509:AY1565" ca="1" si="459">IF(OR($L$1498=4,$L$1499=4,$L$1500=4,$L$1501=4)=TRUE,IFERROR(($BG$1498+$E$1498-B1509)*COS(-$BF$1498*PI()/180),""),"")</f>
        <v/>
      </c>
      <c r="AZ1509" s="480" t="str">
        <f t="shared" ref="AZ1509:AZ1565" ca="1" si="460">IFERROR(IF(AY1509&lt;0,(INT(AY1509*-1)+IF(AND(ROUND(((AY1509*-1)-INT(AY1509*-1))*100,0)&gt;=0,ROUND(((AY1509*-1)-INT(AY1509*-1))*100,0)&lt;25)=TRUE,0,IF(AND(ROUND(((AY1509*-1)-INT(AY1509*-1))*100,0)&gt;=25,ROUND(((AY1509*-1)-INT(AY1509*-1))*100,0)&lt;50)=TRUE,0.5,IF(AND(ROUND(((AY1509*-1)-INT(AY1509*-1))*100,0)&gt;=50,ROUND(((AY1509*-1)-INT(AY1509*-1))*100,0)&lt;75)=TRUE,0.5,1))))*-1,(INT(AY1509)+IF(AND(ROUND(((AY1509)-INT(AY1509))*100,0)&gt;=0,ROUND(((AY1509)-INT(AY1509))*100,0)&lt;25)=TRUE,0,IF(AND(ROUND(((AY1509)-INT(AY1509))*100,0)&gt;=25,ROUND(((AY1509)-INT(AY1509))*100,0)&lt;50)=TRUE,0.5,IF(AND(ROUND(((AY1509)-INT(AY1509))*100,0)&gt;=50,ROUND(((AY1509)-INT(AY1509))*100,0)&lt;75)=TRUE,0.5,1))))),"-")</f>
        <v>-</v>
      </c>
      <c r="BA1509" s="476" t="str">
        <f t="shared" ref="BA1509:BA1565" ca="1" si="461">IF(OR($L$1498=4,$L$1499=4,$L$1500=4,$L$1501=4)=TRUE,IFERROR(($BG$1499+$E$1498-B1509)*COS(-$BF$1499*PI()/180),""),"")</f>
        <v/>
      </c>
      <c r="BB1509" s="480" t="str">
        <f t="shared" ref="BB1509:BB1565" ca="1" si="462">IFERROR(IF(BA1509&lt;0,(INT(BA1509*-1)+IF(AND(ROUND(((BA1509*-1)-INT(BA1509*-1))*100,0)&gt;=0,ROUND(((BA1509*-1)-INT(BA1509*-1))*100,0)&lt;25)=TRUE,0,IF(AND(ROUND(((BA1509*-1)-INT(BA1509*-1))*100,0)&gt;=25,ROUND(((BA1509*-1)-INT(BA1509*-1))*100,0)&lt;50)=TRUE,0.5,IF(AND(ROUND(((BA1509*-1)-INT(BA1509*-1))*100,0)&gt;=50,ROUND(((BA1509*-1)-INT(BA1509*-1))*100,0)&lt;75)=TRUE,0.5,1))))*-1,(INT(BA1509)+IF(AND(ROUND(((BA1509)-INT(BA1509))*100,0)&gt;=0,ROUND(((BA1509)-INT(BA1509))*100,0)&lt;25)=TRUE,0,IF(AND(ROUND(((BA1509)-INT(BA1509))*100,0)&gt;=25,ROUND(((BA1509)-INT(BA1509))*100,0)&lt;50)=TRUE,0.5,IF(AND(ROUND(((BA1509)-INT(BA1509))*100,0)&gt;=50,ROUND(((BA1509)-INT(BA1509))*100,0)&lt;75)=TRUE,0.5,1))))),"-")</f>
        <v>-</v>
      </c>
      <c r="BC1509" s="460" t="str">
        <f t="shared" ref="BC1509:BC1565" ca="1" si="463">IF(OR($L$1498=4,$L$1499=4,$L$1500=4,$L$1501=4)=TRUE,IFERROR(($BG$1500+$E$1498-B1509)*COS(-$BF$1500*PI()/180),""),"")</f>
        <v/>
      </c>
      <c r="BD1509" s="480" t="str">
        <f t="shared" ref="BD1509:BD1565" ca="1" si="464">IFERROR(IF(BC1509&lt;0,(INT(BC1509*-1)+IF(AND(ROUND(((BC1509*-1)-INT(BC1509*-1))*100,0)&gt;=0,ROUND(((BC1509*-1)-INT(BC1509*-1))*100,0)&lt;25)=TRUE,0,IF(AND(ROUND(((BC1509*-1)-INT(BC1509*-1))*100,0)&gt;=25,ROUND(((BC1509*-1)-INT(BC1509*-1))*100,0)&lt;50)=TRUE,0.5,IF(AND(ROUND(((BC1509*-1)-INT(BC1509*-1))*100,0)&gt;=50,ROUND(((BC1509*-1)-INT(BC1509*-1))*100,0)&lt;75)=TRUE,0.5,1))))*-1,(INT(BC1509)+IF(AND(ROUND(((BC1509)-INT(BC1509))*100,0)&gt;=0,ROUND(((BC1509)-INT(BC1509))*100,0)&lt;25)=TRUE,0,IF(AND(ROUND(((BC1509)-INT(BC1509))*100,0)&gt;=25,ROUND(((BC1509)-INT(BC1509))*100,0)&lt;50)=TRUE,0.5,IF(AND(ROUND(((BC1509)-INT(BC1509))*100,0)&gt;=50,ROUND(((BC1509)-INT(BC1509))*100,0)&lt;75)=TRUE,0.5,1))))),"-")</f>
        <v>-</v>
      </c>
      <c r="BE1509" s="477" t="str">
        <f t="shared" ref="BE1509:BE1565" ca="1" si="465">IF(OR($L$1498=4,$L$1499=4,$L$1500=4,$L$1501=4)=TRUE,IFERROR(($BG$1501+$E$1498-B1509)*COS(-$BF$1501*PI()/180),""),"")</f>
        <v/>
      </c>
      <c r="BF1509" s="480" t="str">
        <f t="shared" ref="BF1509:BF1565" ca="1" si="466">IFERROR(IF(BE1509&lt;0,(INT(BE1509*-1)+IF(AND(ROUND(((BE1509*-1)-INT(BE1509*-1))*100,0)&gt;=0,ROUND(((BE1509*-1)-INT(BE1509*-1))*100,0)&lt;25)=TRUE,0,IF(AND(ROUND(((BE1509*-1)-INT(BE1509*-1))*100,0)&gt;=25,ROUND(((BE1509*-1)-INT(BE1509*-1))*100,0)&lt;50)=TRUE,0.5,IF(AND(ROUND(((BE1509*-1)-INT(BE1509*-1))*100,0)&gt;=50,ROUND(((BE1509*-1)-INT(BE1509*-1))*100,0)&lt;75)=TRUE,0.5,1))))*-1,(INT(BE1509)+IF(AND(ROUND(((BE1509)-INT(BE1509))*100,0)&gt;=0,ROUND(((BE1509)-INT(BE1509))*100,0)&lt;25)=TRUE,0,IF(AND(ROUND(((BE1509)-INT(BE1509))*100,0)&gt;=25,ROUND(((BE1509)-INT(BE1509))*100,0)&lt;50)=TRUE,0.5,IF(AND(ROUND(((BE1509)-INT(BE1509))*100,0)&gt;=50,ROUND(((BE1509)-INT(BE1509))*100,0)&lt;75)=TRUE,0.5,1))))),"-")</f>
        <v>-</v>
      </c>
      <c r="BG1509" s="488" t="str">
        <f t="shared" ca="1" si="430"/>
        <v/>
      </c>
      <c r="BH1509" s="483" t="str">
        <f t="shared" ca="1" si="431"/>
        <v/>
      </c>
      <c r="BI1509" s="483" t="str">
        <f t="shared" ca="1" si="432"/>
        <v/>
      </c>
      <c r="BJ1509" s="489" t="str">
        <f t="shared" ca="1" si="433"/>
        <v/>
      </c>
      <c r="BL1509" t="str">
        <f t="shared" ref="BL1509:BL1565" ca="1" si="467">IF(OR($L$1498=7,$L$1499=7,$L$1500=7,$L$1501=7)=TRUE,($BK$1496-(B1509))-$BQ$1497,"")</f>
        <v/>
      </c>
      <c r="BM1509" t="str">
        <f t="shared" ref="BM1509:BM1565" ca="1" si="468">IF(OR($L$1498=7,$L$1499=7,$L$1500=7,$L$1501=7)=TRUE,($BK$1496-(B1509))-$BR$1497,"")</f>
        <v/>
      </c>
      <c r="BN1509" t="str">
        <f t="shared" ref="BN1509:BN1565" ca="1" si="469">IF(OR($L$1498=7,$L$1499=7,$L$1500=7,$L$1501=7)=TRUE,($BK$1496-(B1509))-$BS$1497,"")</f>
        <v/>
      </c>
      <c r="BO1509" t="str">
        <f t="shared" ref="BO1509:BO1565" ca="1" si="470">IF(OR($L$1498=7,$L$1499=7,$L$1500=7,$L$1501=7)=TRUE,($BK$1496-($B$1508))-$BT$1497,"")</f>
        <v/>
      </c>
      <c r="BP1509" t="str">
        <f t="shared" ref="BP1509:BP1565" ca="1" si="471">IF(OR($L$1498=7,$L$1499=7,$L$1500=7,$L$1501=7)=TRUE,($BK$1496-(B1509))-$BQ$1498,"")</f>
        <v/>
      </c>
      <c r="BQ1509" t="str">
        <f t="shared" ref="BQ1509:BQ1565" ca="1" si="472">IF(OR($L$1498=7,$L$1499=7,$L$1500=7,$L$1501=7)=TRUE,($BK$1496-(B1509))-$BR$1498,"")</f>
        <v/>
      </c>
      <c r="BR1509" t="str">
        <f t="shared" ref="BR1509:BR1565" ca="1" si="473">IF(OR($L$1498=7,$L$1499=7,$L$1500=7,$L$1501=7)=TRUE,($BK$1496-(B1509))-$BS$1498,"")</f>
        <v/>
      </c>
      <c r="BS1509" t="str">
        <f t="shared" ref="BS1509:BS1565" ca="1" si="474">IF(OR($L$1498=7,$L$1499=7,$L$1500=7,$L$1501=7)=TRUE,($BK$1496-(B1509))-$BT$1498,"")</f>
        <v/>
      </c>
      <c r="BT1509" t="str">
        <f t="shared" ref="BT1509:BT1565" ca="1" si="475">IF(OR($L$1498=7,$L$1499=7,$L$1500=7,$L$1501=7)=TRUE,($BK$1496-(B1509))-$BQ$1499,"")</f>
        <v/>
      </c>
      <c r="BU1509" t="str">
        <f t="shared" ref="BU1509:BU1565" ca="1" si="476">IF(OR($L$1498=7,$L$1499=7,$L$1500=7,$L$1501=7)=TRUE,($BK$1496-(B1509))-$BR$1499,"")</f>
        <v/>
      </c>
      <c r="BV1509" t="str">
        <f t="shared" ref="BV1509:BV1565" ca="1" si="477">IF(OR($L$1498=7,$L$1499=7,$L$1500=7,$L$1501=7)=TRUE,($BK$1496-(B1509))-$BS$1499,"")</f>
        <v/>
      </c>
      <c r="BW1509" t="str">
        <f t="shared" ref="BW1509:BW1565" ca="1" si="478">IF(OR($L$1498=7,$L$1499=7,$L$1500=7,$L$1501=7)=TRUE,($BK$1496-(B1509))-$BT$1499,"")</f>
        <v/>
      </c>
      <c r="BX1509" t="str">
        <f t="shared" ref="BX1509:BX1565" ca="1" si="479">IF(OR($L$1498=7,$L$1499=7,$L$1500=7,$L$1501=7)=TRUE,($BK$1496-(B1509))-$BQ$1500,"")</f>
        <v/>
      </c>
      <c r="BY1509" t="str">
        <f t="shared" ref="BY1509:BY1565" ca="1" si="480">IF(OR($L$1498=7,$L$1499=7,$L$1500=7,$L$1501=7)=TRUE,($BK$1496-(B1509))-$BR$1500,"")</f>
        <v/>
      </c>
      <c r="BZ1509" t="str">
        <f t="shared" ref="BZ1509:BZ1565" ca="1" si="481">IF(OR($L$1498=7,$L$1499=7,$L$1500=7,$L$1501=7)=TRUE,($BK$1496-(B1509))-$BS$1500,"")</f>
        <v/>
      </c>
      <c r="CA1509" t="str">
        <f t="shared" ref="CA1509:CA1565" ca="1" si="482">IF(OR($L$1498=7,$L$1499=7,$L$1500=7,$L$1501=7)=TRUE,($BK$1496-(B1509))-$BT$1500,"")</f>
        <v/>
      </c>
      <c r="CC1509" s="482" t="str">
        <f t="shared" ref="CC1509:CC1565" ca="1" si="483">IFERROR(VLOOKUP(BL1509,$CV$1504:$CW$1561,2,FALSE),"")</f>
        <v/>
      </c>
      <c r="CD1509" s="483" t="str">
        <f t="shared" ref="CD1509:CD1565" ca="1" si="484">IFERROR(VLOOKUP(BM1509,$CV$1504:$CW$1561,2,FALSE),"")</f>
        <v/>
      </c>
      <c r="CE1509" s="483" t="str">
        <f t="shared" ref="CE1509:CE1565" ca="1" si="485">IFERROR(VLOOKUP(BN1509,$CV$1504:$CW$1561,2,FALSE),"")</f>
        <v/>
      </c>
      <c r="CF1509" s="483" t="str">
        <f t="shared" ref="CF1509:CF1565" ca="1" si="486">IFERROR(VLOOKUP(BO1509,$CV$1504:$CW$1561,2,FALSE),"")</f>
        <v/>
      </c>
      <c r="CG1509" s="482" t="str">
        <f t="shared" ref="CG1509:CG1565" ca="1" si="487">IFERROR(VLOOKUP(BP1509,$CV$1504:$CW$1561,2,FALSE),"")</f>
        <v/>
      </c>
      <c r="CH1509" s="483" t="str">
        <f t="shared" ref="CH1509:CH1565" ca="1" si="488">IFERROR(VLOOKUP(BQ1509,$CV$1504:$CW$1561,2,FALSE),"")</f>
        <v/>
      </c>
      <c r="CI1509" s="483" t="str">
        <f t="shared" ref="CI1509:CI1565" ca="1" si="489">IFERROR(VLOOKUP(BR1509,$CV$1504:$CW$1561,2,FALSE),"")</f>
        <v/>
      </c>
      <c r="CJ1509" s="484" t="str">
        <f t="shared" ref="CJ1509:CJ1565" ca="1" si="490">IFERROR(VLOOKUP(BS1509,$CV$1504:$CW$1561,2,FALSE),"")</f>
        <v/>
      </c>
      <c r="CK1509" s="483" t="str">
        <f t="shared" ref="CK1509:CK1565" ca="1" si="491">IFERROR(VLOOKUP(BT1509,$CV$1504:$CW$1561,2,FALSE),"")</f>
        <v/>
      </c>
      <c r="CL1509" s="483" t="str">
        <f t="shared" ref="CL1509:CL1565" ca="1" si="492">IFERROR(VLOOKUP(BU1509,$CV$1504:$CW$1561,2,FALSE),"")</f>
        <v/>
      </c>
      <c r="CM1509" s="483" t="str">
        <f t="shared" ref="CM1509:CM1565" ca="1" si="493">IFERROR(VLOOKUP(BV1509,$CV$1504:$CW$1561,2,FALSE),"")</f>
        <v/>
      </c>
      <c r="CN1509" s="483" t="str">
        <f t="shared" ref="CN1509:CN1565" ca="1" si="494">IFERROR(VLOOKUP(BW1509,$CV$1504:$CW$1561,2,FALSE),"")</f>
        <v/>
      </c>
      <c r="CO1509" s="482" t="str">
        <f t="shared" ref="CO1509:CO1565" ca="1" si="495">IFERROR(VLOOKUP(BX1509,$CV$1504:$CW$1561,2,FALSE),"")</f>
        <v/>
      </c>
      <c r="CP1509" s="483" t="str">
        <f t="shared" ref="CP1509:CP1565" ca="1" si="496">IFERROR(VLOOKUP(BY1509,$CV$1504:$CW$1561,2,FALSE),"")</f>
        <v/>
      </c>
      <c r="CQ1509" s="483" t="str">
        <f t="shared" ref="CQ1509:CQ1565" ca="1" si="497">IFERROR(VLOOKUP(BZ1509,$CV$1504:$CW$1561,2,FALSE),"")</f>
        <v/>
      </c>
      <c r="CR1509" s="484" t="str">
        <f t="shared" ref="CR1509:CR1565" ca="1" si="498">IFERROR(VLOOKUP(CA1509,$CV$1504:$CW$1561,2,FALSE),"")</f>
        <v/>
      </c>
      <c r="CV1509" s="454">
        <f t="array" ref="CV1509">IFERROR(INDEX(Montageplatten[Höhe],LARGE((Montageplatten[konf Rahmenbed]=$L$70)*(ROW(Montageplatten[konf Rahmenbed])-1),COUNTIF(Montageplatten[konf Rahmenbed],$L$70)+1-ROW(A6))),"")</f>
        <v>2</v>
      </c>
      <c r="CW1509">
        <f t="shared" si="409"/>
        <v>1</v>
      </c>
      <c r="CX1509" s="1057"/>
    </row>
    <row r="1510" spans="1:102" hidden="1" outlineLevel="1" x14ac:dyDescent="0.25">
      <c r="A1510">
        <f t="shared" ca="1" si="435"/>
        <v>0</v>
      </c>
      <c r="B1510" s="170" t="str">
        <f t="shared" ca="1" si="410"/>
        <v>---------</v>
      </c>
      <c r="C1510" t="e">
        <f ca="1">IF(OR($L$1498=1,$L$1499=1,$L$1500=1,$L$1501=1)=TRUE,(B1510-15-$E$1498)*-1-$H$1498,"")</f>
        <v>#VALUE!</v>
      </c>
      <c r="D1510" t="e">
        <f t="shared" ref="D1510:D1565" ca="1" si="499">IF(OR($L$1498=1,$L$1499=1,$L$1500=1,$L$1501=1)=TRUE,(B1510-15-$E$1498)*-1-$I$1498,"")</f>
        <v>#VALUE!</v>
      </c>
      <c r="E1510" t="e">
        <f t="shared" ca="1" si="436"/>
        <v>#VALUE!</v>
      </c>
      <c r="F1510" t="e">
        <f t="shared" ca="1" si="437"/>
        <v>#VALUE!</v>
      </c>
      <c r="G1510" t="e">
        <f t="shared" ca="1" si="438"/>
        <v>#VALUE!</v>
      </c>
      <c r="H1510" t="e">
        <f t="shared" ca="1" si="439"/>
        <v>#VALUE!</v>
      </c>
      <c r="I1510" t="e">
        <f t="shared" ca="1" si="440"/>
        <v>#VALUE!</v>
      </c>
      <c r="J1510" t="e">
        <f t="shared" ca="1" si="441"/>
        <v>#VALUE!</v>
      </c>
      <c r="K1510" t="e">
        <f t="shared" ca="1" si="442"/>
        <v>#VALUE!</v>
      </c>
      <c r="L1510" t="e">
        <f t="shared" ca="1" si="443"/>
        <v>#VALUE!</v>
      </c>
      <c r="M1510" t="e">
        <f t="shared" ca="1" si="444"/>
        <v>#VALUE!</v>
      </c>
      <c r="N1510" t="e">
        <f t="shared" ca="1" si="445"/>
        <v>#VALUE!</v>
      </c>
      <c r="O1510" t="e">
        <f t="shared" ca="1" si="446"/>
        <v>#VALUE!</v>
      </c>
      <c r="P1510" t="e">
        <f t="shared" ca="1" si="447"/>
        <v>#VALUE!</v>
      </c>
      <c r="Q1510" t="e">
        <f t="shared" ca="1" si="448"/>
        <v>#VALUE!</v>
      </c>
      <c r="R1510" t="e">
        <f t="shared" ca="1" si="449"/>
        <v>#VALUE!</v>
      </c>
      <c r="U1510" s="485" t="str">
        <f t="shared" ca="1" si="450"/>
        <v/>
      </c>
      <c r="V1510" s="486" t="str">
        <f t="shared" ca="1" si="411"/>
        <v/>
      </c>
      <c r="W1510" s="486" t="str">
        <f t="shared" ca="1" si="412"/>
        <v/>
      </c>
      <c r="X1510" s="486" t="str">
        <f t="shared" ca="1" si="413"/>
        <v/>
      </c>
      <c r="Y1510" s="485" t="str">
        <f t="shared" ca="1" si="414"/>
        <v/>
      </c>
      <c r="Z1510" s="486" t="str">
        <f t="shared" ca="1" si="415"/>
        <v/>
      </c>
      <c r="AA1510" s="486" t="str">
        <f t="shared" ca="1" si="416"/>
        <v/>
      </c>
      <c r="AB1510" s="486" t="str">
        <f t="shared" ca="1" si="417"/>
        <v/>
      </c>
      <c r="AC1510" s="485" t="str">
        <f t="shared" ca="1" si="418"/>
        <v/>
      </c>
      <c r="AD1510" s="486" t="str">
        <f t="shared" ca="1" si="419"/>
        <v/>
      </c>
      <c r="AE1510" s="486" t="str">
        <f t="shared" ca="1" si="420"/>
        <v/>
      </c>
      <c r="AF1510" s="486" t="str">
        <f t="shared" ca="1" si="421"/>
        <v/>
      </c>
      <c r="AG1510" s="485" t="str">
        <f t="shared" ca="1" si="422"/>
        <v/>
      </c>
      <c r="AH1510" s="486" t="str">
        <f t="shared" ca="1" si="423"/>
        <v/>
      </c>
      <c r="AI1510" s="486" t="str">
        <f t="shared" ca="1" si="424"/>
        <v/>
      </c>
      <c r="AJ1510" s="486" t="str">
        <f t="shared" ca="1" si="425"/>
        <v/>
      </c>
      <c r="AK1510" s="474" t="str">
        <f t="shared" ca="1" si="451"/>
        <v/>
      </c>
      <c r="AL1510" s="480" t="str">
        <f t="shared" ca="1" si="452"/>
        <v>-</v>
      </c>
      <c r="AM1510" s="476" t="str">
        <f t="shared" ca="1" si="453"/>
        <v/>
      </c>
      <c r="AN1510" s="475" t="str">
        <f t="shared" ca="1" si="454"/>
        <v>-</v>
      </c>
      <c r="AO1510" s="460" t="str">
        <f t="shared" ca="1" si="455"/>
        <v/>
      </c>
      <c r="AP1510" s="480" t="str">
        <f t="shared" ca="1" si="456"/>
        <v>-</v>
      </c>
      <c r="AQ1510" s="477" t="str">
        <f t="shared" ca="1" si="457"/>
        <v/>
      </c>
      <c r="AR1510" s="480" t="str">
        <f t="shared" ca="1" si="458"/>
        <v>-</v>
      </c>
      <c r="AS1510" s="34"/>
      <c r="AT1510" s="490" t="str">
        <f t="shared" ca="1" si="426"/>
        <v/>
      </c>
      <c r="AU1510" s="491" t="str">
        <f t="shared" ca="1" si="427"/>
        <v/>
      </c>
      <c r="AV1510" s="491" t="str">
        <f t="shared" ca="1" si="428"/>
        <v/>
      </c>
      <c r="AW1510" s="492" t="str">
        <f t="shared" ca="1" si="429"/>
        <v/>
      </c>
      <c r="AX1510" s="34"/>
      <c r="AY1510" s="474" t="str">
        <f t="shared" ca="1" si="459"/>
        <v/>
      </c>
      <c r="AZ1510" s="480" t="str">
        <f t="shared" ca="1" si="460"/>
        <v>-</v>
      </c>
      <c r="BA1510" s="476" t="str">
        <f t="shared" ca="1" si="461"/>
        <v/>
      </c>
      <c r="BB1510" s="480" t="str">
        <f t="shared" ca="1" si="462"/>
        <v>-</v>
      </c>
      <c r="BC1510" s="460" t="str">
        <f t="shared" ca="1" si="463"/>
        <v/>
      </c>
      <c r="BD1510" s="480" t="str">
        <f t="shared" ca="1" si="464"/>
        <v>-</v>
      </c>
      <c r="BE1510" s="477" t="str">
        <f t="shared" ca="1" si="465"/>
        <v/>
      </c>
      <c r="BF1510" s="480" t="str">
        <f t="shared" ca="1" si="466"/>
        <v>-</v>
      </c>
      <c r="BG1510" s="488" t="str">
        <f t="shared" ca="1" si="430"/>
        <v/>
      </c>
      <c r="BH1510" s="483" t="str">
        <f t="shared" ca="1" si="431"/>
        <v/>
      </c>
      <c r="BI1510" s="483" t="str">
        <f t="shared" ca="1" si="432"/>
        <v/>
      </c>
      <c r="BJ1510" s="489" t="str">
        <f t="shared" ca="1" si="433"/>
        <v/>
      </c>
      <c r="BL1510" t="str">
        <f t="shared" ca="1" si="467"/>
        <v/>
      </c>
      <c r="BM1510" t="str">
        <f t="shared" ca="1" si="468"/>
        <v/>
      </c>
      <c r="BN1510" t="str">
        <f t="shared" ca="1" si="469"/>
        <v/>
      </c>
      <c r="BO1510" t="str">
        <f t="shared" ca="1" si="470"/>
        <v/>
      </c>
      <c r="BP1510" t="str">
        <f t="shared" ca="1" si="471"/>
        <v/>
      </c>
      <c r="BQ1510" t="str">
        <f t="shared" ca="1" si="472"/>
        <v/>
      </c>
      <c r="BR1510" t="str">
        <f t="shared" ca="1" si="473"/>
        <v/>
      </c>
      <c r="BS1510" t="str">
        <f t="shared" ca="1" si="474"/>
        <v/>
      </c>
      <c r="BT1510" t="str">
        <f t="shared" ca="1" si="475"/>
        <v/>
      </c>
      <c r="BU1510" t="str">
        <f t="shared" ca="1" si="476"/>
        <v/>
      </c>
      <c r="BV1510" t="str">
        <f t="shared" ca="1" si="477"/>
        <v/>
      </c>
      <c r="BW1510" t="str">
        <f t="shared" ca="1" si="478"/>
        <v/>
      </c>
      <c r="BX1510" t="str">
        <f t="shared" ca="1" si="479"/>
        <v/>
      </c>
      <c r="BY1510" t="str">
        <f t="shared" ca="1" si="480"/>
        <v/>
      </c>
      <c r="BZ1510" t="str">
        <f t="shared" ca="1" si="481"/>
        <v/>
      </c>
      <c r="CA1510" t="str">
        <f t="shared" ca="1" si="482"/>
        <v/>
      </c>
      <c r="CC1510" s="482" t="str">
        <f t="shared" ca="1" si="483"/>
        <v/>
      </c>
      <c r="CD1510" s="483" t="str">
        <f t="shared" ca="1" si="484"/>
        <v/>
      </c>
      <c r="CE1510" s="483" t="str">
        <f t="shared" ca="1" si="485"/>
        <v/>
      </c>
      <c r="CF1510" s="483" t="str">
        <f t="shared" ca="1" si="486"/>
        <v/>
      </c>
      <c r="CG1510" s="482" t="str">
        <f t="shared" ca="1" si="487"/>
        <v/>
      </c>
      <c r="CH1510" s="483" t="str">
        <f t="shared" ca="1" si="488"/>
        <v/>
      </c>
      <c r="CI1510" s="483" t="str">
        <f t="shared" ca="1" si="489"/>
        <v/>
      </c>
      <c r="CJ1510" s="484" t="str">
        <f t="shared" ca="1" si="490"/>
        <v/>
      </c>
      <c r="CK1510" s="483" t="str">
        <f t="shared" ca="1" si="491"/>
        <v/>
      </c>
      <c r="CL1510" s="483" t="str">
        <f t="shared" ca="1" si="492"/>
        <v/>
      </c>
      <c r="CM1510" s="483" t="str">
        <f t="shared" ca="1" si="493"/>
        <v/>
      </c>
      <c r="CN1510" s="483" t="str">
        <f t="shared" ca="1" si="494"/>
        <v/>
      </c>
      <c r="CO1510" s="482" t="str">
        <f t="shared" ca="1" si="495"/>
        <v/>
      </c>
      <c r="CP1510" s="483" t="str">
        <f t="shared" ca="1" si="496"/>
        <v/>
      </c>
      <c r="CQ1510" s="483" t="str">
        <f t="shared" ca="1" si="497"/>
        <v/>
      </c>
      <c r="CR1510" s="484" t="str">
        <f t="shared" ca="1" si="498"/>
        <v/>
      </c>
      <c r="CV1510" s="454">
        <f t="array" ref="CV1510">IFERROR(INDEX(Montageplatten[Höhe],LARGE((Montageplatten[konf Rahmenbed]=$L$70)*(ROW(Montageplatten[konf Rahmenbed])-1),COUNTIF(Montageplatten[konf Rahmenbed],$L$70)+1-ROW(A7))),"")</f>
        <v>2</v>
      </c>
      <c r="CW1510">
        <f t="shared" si="409"/>
        <v>1</v>
      </c>
      <c r="CX1510" s="1057"/>
    </row>
    <row r="1511" spans="1:102" hidden="1" outlineLevel="1" x14ac:dyDescent="0.25">
      <c r="A1511">
        <f t="shared" ca="1" si="435"/>
        <v>0</v>
      </c>
      <c r="B1511" s="170">
        <f t="shared" ca="1" si="410"/>
        <v>25</v>
      </c>
      <c r="C1511">
        <f ca="1">IF(OR($L$1498=1,$L$1499=1,$L$1500=1,$L$1501=1)=TRUE,(B1511-15-$E$1498)*-1-$H$1498,"")</f>
        <v>-5</v>
      </c>
      <c r="D1511">
        <f t="shared" ca="1" si="499"/>
        <v>-8</v>
      </c>
      <c r="E1511">
        <f t="shared" ca="1" si="436"/>
        <v>-14.5</v>
      </c>
      <c r="F1511">
        <f t="shared" ca="1" si="437"/>
        <v>-24</v>
      </c>
      <c r="G1511" t="e">
        <f t="shared" ca="1" si="438"/>
        <v>#VALUE!</v>
      </c>
      <c r="H1511" t="e">
        <f t="shared" ca="1" si="439"/>
        <v>#VALUE!</v>
      </c>
      <c r="I1511" t="e">
        <f t="shared" ca="1" si="440"/>
        <v>#VALUE!</v>
      </c>
      <c r="J1511" t="e">
        <f t="shared" ca="1" si="441"/>
        <v>#VALUE!</v>
      </c>
      <c r="K1511" t="e">
        <f t="shared" ca="1" si="442"/>
        <v>#VALUE!</v>
      </c>
      <c r="L1511" t="e">
        <f t="shared" ca="1" si="443"/>
        <v>#VALUE!</v>
      </c>
      <c r="M1511" t="e">
        <f t="shared" ca="1" si="444"/>
        <v>#VALUE!</v>
      </c>
      <c r="N1511" t="e">
        <f t="shared" ca="1" si="445"/>
        <v>#VALUE!</v>
      </c>
      <c r="O1511">
        <f t="shared" ca="1" si="446"/>
        <v>-19</v>
      </c>
      <c r="P1511" t="e">
        <f t="shared" ca="1" si="447"/>
        <v>#VALUE!</v>
      </c>
      <c r="Q1511" t="e">
        <f t="shared" ca="1" si="448"/>
        <v>#VALUE!</v>
      </c>
      <c r="R1511" t="e">
        <f t="shared" ca="1" si="449"/>
        <v>#VALUE!</v>
      </c>
      <c r="U1511" s="485" t="str">
        <f t="shared" ca="1" si="450"/>
        <v/>
      </c>
      <c r="V1511" s="486" t="str">
        <f t="shared" ca="1" si="411"/>
        <v/>
      </c>
      <c r="W1511" s="486" t="str">
        <f t="shared" ca="1" si="412"/>
        <v/>
      </c>
      <c r="X1511" s="486" t="str">
        <f t="shared" ca="1" si="413"/>
        <v/>
      </c>
      <c r="Y1511" s="485" t="str">
        <f t="shared" ca="1" si="414"/>
        <v/>
      </c>
      <c r="Z1511" s="486" t="str">
        <f t="shared" ca="1" si="415"/>
        <v/>
      </c>
      <c r="AA1511" s="486" t="str">
        <f t="shared" ca="1" si="416"/>
        <v/>
      </c>
      <c r="AB1511" s="486" t="str">
        <f t="shared" ca="1" si="417"/>
        <v/>
      </c>
      <c r="AC1511" s="485" t="str">
        <f t="shared" ca="1" si="418"/>
        <v/>
      </c>
      <c r="AD1511" s="486" t="str">
        <f t="shared" ca="1" si="419"/>
        <v/>
      </c>
      <c r="AE1511" s="486" t="str">
        <f t="shared" ca="1" si="420"/>
        <v/>
      </c>
      <c r="AF1511" s="486" t="str">
        <f t="shared" ca="1" si="421"/>
        <v/>
      </c>
      <c r="AG1511" s="485" t="str">
        <f t="shared" ca="1" si="422"/>
        <v/>
      </c>
      <c r="AH1511" s="486" t="str">
        <f t="shared" ca="1" si="423"/>
        <v/>
      </c>
      <c r="AI1511" s="486" t="str">
        <f t="shared" ca="1" si="424"/>
        <v/>
      </c>
      <c r="AJ1511" s="486" t="str">
        <f t="shared" ca="1" si="425"/>
        <v/>
      </c>
      <c r="AK1511" s="474" t="str">
        <f t="shared" ca="1" si="451"/>
        <v/>
      </c>
      <c r="AL1511" s="480" t="str">
        <f t="shared" ca="1" si="452"/>
        <v>-</v>
      </c>
      <c r="AM1511" s="476" t="str">
        <f t="shared" ca="1" si="453"/>
        <v/>
      </c>
      <c r="AN1511" s="475" t="str">
        <f t="shared" ca="1" si="454"/>
        <v>-</v>
      </c>
      <c r="AO1511" s="460" t="str">
        <f t="shared" ca="1" si="455"/>
        <v/>
      </c>
      <c r="AP1511" s="480" t="str">
        <f t="shared" ca="1" si="456"/>
        <v>-</v>
      </c>
      <c r="AQ1511" s="477" t="str">
        <f t="shared" ca="1" si="457"/>
        <v/>
      </c>
      <c r="AR1511" s="480" t="str">
        <f t="shared" ca="1" si="458"/>
        <v>-</v>
      </c>
      <c r="AS1511" s="34"/>
      <c r="AT1511" s="490" t="str">
        <f t="shared" ca="1" si="426"/>
        <v/>
      </c>
      <c r="AU1511" s="491" t="str">
        <f t="shared" ca="1" si="427"/>
        <v/>
      </c>
      <c r="AV1511" s="491" t="str">
        <f t="shared" ca="1" si="428"/>
        <v/>
      </c>
      <c r="AW1511" s="492" t="str">
        <f t="shared" ca="1" si="429"/>
        <v/>
      </c>
      <c r="AX1511" s="34"/>
      <c r="AY1511" s="474" t="str">
        <f t="shared" ca="1" si="459"/>
        <v/>
      </c>
      <c r="AZ1511" s="480" t="str">
        <f t="shared" ca="1" si="460"/>
        <v>-</v>
      </c>
      <c r="BA1511" s="476" t="str">
        <f t="shared" ca="1" si="461"/>
        <v/>
      </c>
      <c r="BB1511" s="480" t="str">
        <f t="shared" ca="1" si="462"/>
        <v>-</v>
      </c>
      <c r="BC1511" s="460" t="str">
        <f t="shared" ca="1" si="463"/>
        <v/>
      </c>
      <c r="BD1511" s="480" t="str">
        <f t="shared" ca="1" si="464"/>
        <v>-</v>
      </c>
      <c r="BE1511" s="477" t="str">
        <f t="shared" ca="1" si="465"/>
        <v/>
      </c>
      <c r="BF1511" s="480" t="str">
        <f t="shared" ca="1" si="466"/>
        <v>-</v>
      </c>
      <c r="BG1511" s="488" t="str">
        <f t="shared" ca="1" si="430"/>
        <v/>
      </c>
      <c r="BH1511" s="483" t="str">
        <f t="shared" ca="1" si="431"/>
        <v/>
      </c>
      <c r="BI1511" s="483" t="str">
        <f t="shared" ca="1" si="432"/>
        <v/>
      </c>
      <c r="BJ1511" s="489" t="str">
        <f t="shared" ca="1" si="433"/>
        <v/>
      </c>
      <c r="BL1511" t="str">
        <f t="shared" ca="1" si="467"/>
        <v/>
      </c>
      <c r="BM1511" t="str">
        <f t="shared" ca="1" si="468"/>
        <v/>
      </c>
      <c r="BN1511" t="str">
        <f t="shared" ca="1" si="469"/>
        <v/>
      </c>
      <c r="BO1511" t="str">
        <f t="shared" ca="1" si="470"/>
        <v/>
      </c>
      <c r="BP1511" t="str">
        <f t="shared" ca="1" si="471"/>
        <v/>
      </c>
      <c r="BQ1511" t="str">
        <f t="shared" ca="1" si="472"/>
        <v/>
      </c>
      <c r="BR1511" t="str">
        <f t="shared" ca="1" si="473"/>
        <v/>
      </c>
      <c r="BS1511" t="str">
        <f t="shared" ca="1" si="474"/>
        <v/>
      </c>
      <c r="BT1511" t="str">
        <f t="shared" ca="1" si="475"/>
        <v/>
      </c>
      <c r="BU1511" t="str">
        <f t="shared" ca="1" si="476"/>
        <v/>
      </c>
      <c r="BV1511" t="str">
        <f t="shared" ca="1" si="477"/>
        <v/>
      </c>
      <c r="BW1511" t="str">
        <f t="shared" ca="1" si="478"/>
        <v/>
      </c>
      <c r="BX1511" t="str">
        <f t="shared" ca="1" si="479"/>
        <v/>
      </c>
      <c r="BY1511" t="str">
        <f t="shared" ca="1" si="480"/>
        <v/>
      </c>
      <c r="BZ1511" t="str">
        <f t="shared" ca="1" si="481"/>
        <v/>
      </c>
      <c r="CA1511" t="str">
        <f t="shared" ca="1" si="482"/>
        <v/>
      </c>
      <c r="CC1511" s="482" t="str">
        <f t="shared" ca="1" si="483"/>
        <v/>
      </c>
      <c r="CD1511" s="483" t="str">
        <f t="shared" ca="1" si="484"/>
        <v/>
      </c>
      <c r="CE1511" s="483" t="str">
        <f t="shared" ca="1" si="485"/>
        <v/>
      </c>
      <c r="CF1511" s="483" t="str">
        <f t="shared" ca="1" si="486"/>
        <v/>
      </c>
      <c r="CG1511" s="482" t="str">
        <f t="shared" ca="1" si="487"/>
        <v/>
      </c>
      <c r="CH1511" s="483" t="str">
        <f t="shared" ca="1" si="488"/>
        <v/>
      </c>
      <c r="CI1511" s="483" t="str">
        <f t="shared" ca="1" si="489"/>
        <v/>
      </c>
      <c r="CJ1511" s="484" t="str">
        <f t="shared" ca="1" si="490"/>
        <v/>
      </c>
      <c r="CK1511" s="483" t="str">
        <f t="shared" ca="1" si="491"/>
        <v/>
      </c>
      <c r="CL1511" s="483" t="str">
        <f t="shared" ca="1" si="492"/>
        <v/>
      </c>
      <c r="CM1511" s="483" t="str">
        <f t="shared" ca="1" si="493"/>
        <v/>
      </c>
      <c r="CN1511" s="483" t="str">
        <f t="shared" ca="1" si="494"/>
        <v/>
      </c>
      <c r="CO1511" s="482" t="str">
        <f t="shared" ca="1" si="495"/>
        <v/>
      </c>
      <c r="CP1511" s="483" t="str">
        <f t="shared" ca="1" si="496"/>
        <v/>
      </c>
      <c r="CQ1511" s="483" t="str">
        <f t="shared" ca="1" si="497"/>
        <v/>
      </c>
      <c r="CR1511" s="484" t="str">
        <f t="shared" ca="1" si="498"/>
        <v/>
      </c>
      <c r="CV1511" s="454">
        <f t="array" ref="CV1511">IFERROR(INDEX(Montageplatten[Höhe],LARGE((Montageplatten[konf Rahmenbed]=$L$70)*(ROW(Montageplatten[konf Rahmenbed])-1),COUNTIF(Montageplatten[konf Rahmenbed],$L$70)+1-ROW(A8))),"")</f>
        <v>3</v>
      </c>
      <c r="CW1511">
        <f t="shared" si="409"/>
        <v>1</v>
      </c>
      <c r="CX1511" s="1057"/>
    </row>
    <row r="1512" spans="1:102" hidden="1" outlineLevel="1" x14ac:dyDescent="0.25">
      <c r="A1512">
        <f t="shared" ca="1" si="435"/>
        <v>0</v>
      </c>
      <c r="B1512" s="170">
        <f t="shared" ca="1" si="410"/>
        <v>24</v>
      </c>
      <c r="C1512">
        <f t="shared" ref="C1512:C1565" ca="1" si="500">IF(OR($L$1498=1,$L$1499=1,$L$1500=1,$L$1501=1)=TRUE,(B1512-15-$E$1498)*-1-$H$1498,"")</f>
        <v>-4</v>
      </c>
      <c r="D1512">
        <f t="shared" ca="1" si="499"/>
        <v>-7</v>
      </c>
      <c r="E1512">
        <f t="shared" ca="1" si="436"/>
        <v>-13.5</v>
      </c>
      <c r="F1512">
        <f t="shared" ca="1" si="437"/>
        <v>-23</v>
      </c>
      <c r="G1512" t="e">
        <f t="shared" ca="1" si="438"/>
        <v>#VALUE!</v>
      </c>
      <c r="H1512" t="e">
        <f t="shared" ca="1" si="439"/>
        <v>#VALUE!</v>
      </c>
      <c r="I1512" t="e">
        <f t="shared" ca="1" si="440"/>
        <v>#VALUE!</v>
      </c>
      <c r="J1512" t="e">
        <f t="shared" ca="1" si="441"/>
        <v>#VALUE!</v>
      </c>
      <c r="K1512" t="e">
        <f t="shared" ca="1" si="442"/>
        <v>#VALUE!</v>
      </c>
      <c r="L1512" t="e">
        <f t="shared" ca="1" si="443"/>
        <v>#VALUE!</v>
      </c>
      <c r="M1512" t="e">
        <f t="shared" ca="1" si="444"/>
        <v>#VALUE!</v>
      </c>
      <c r="N1512" t="e">
        <f t="shared" ca="1" si="445"/>
        <v>#VALUE!</v>
      </c>
      <c r="O1512">
        <f t="shared" ca="1" si="446"/>
        <v>-18</v>
      </c>
      <c r="P1512" t="e">
        <f t="shared" ca="1" si="447"/>
        <v>#VALUE!</v>
      </c>
      <c r="Q1512" t="e">
        <f t="shared" ca="1" si="448"/>
        <v>#VALUE!</v>
      </c>
      <c r="R1512" t="e">
        <f t="shared" ca="1" si="449"/>
        <v>#VALUE!</v>
      </c>
      <c r="U1512" s="485" t="str">
        <f t="shared" ca="1" si="450"/>
        <v/>
      </c>
      <c r="V1512" s="486" t="str">
        <f t="shared" ca="1" si="411"/>
        <v/>
      </c>
      <c r="W1512" s="486" t="str">
        <f t="shared" ca="1" si="412"/>
        <v/>
      </c>
      <c r="X1512" s="486" t="str">
        <f t="shared" ca="1" si="413"/>
        <v/>
      </c>
      <c r="Y1512" s="485" t="str">
        <f t="shared" ca="1" si="414"/>
        <v/>
      </c>
      <c r="Z1512" s="486" t="str">
        <f t="shared" ca="1" si="415"/>
        <v/>
      </c>
      <c r="AA1512" s="486" t="str">
        <f t="shared" ca="1" si="416"/>
        <v/>
      </c>
      <c r="AB1512" s="486" t="str">
        <f t="shared" ca="1" si="417"/>
        <v/>
      </c>
      <c r="AC1512" s="485" t="str">
        <f t="shared" ca="1" si="418"/>
        <v/>
      </c>
      <c r="AD1512" s="486" t="str">
        <f t="shared" ca="1" si="419"/>
        <v/>
      </c>
      <c r="AE1512" s="486" t="str">
        <f t="shared" ca="1" si="420"/>
        <v/>
      </c>
      <c r="AF1512" s="486" t="str">
        <f t="shared" ca="1" si="421"/>
        <v/>
      </c>
      <c r="AG1512" s="485" t="str">
        <f t="shared" ca="1" si="422"/>
        <v/>
      </c>
      <c r="AH1512" s="486" t="str">
        <f t="shared" ca="1" si="423"/>
        <v/>
      </c>
      <c r="AI1512" s="486" t="str">
        <f t="shared" ca="1" si="424"/>
        <v/>
      </c>
      <c r="AJ1512" s="486" t="str">
        <f t="shared" ca="1" si="425"/>
        <v/>
      </c>
      <c r="AK1512" s="474" t="str">
        <f t="shared" ca="1" si="451"/>
        <v/>
      </c>
      <c r="AL1512" s="480" t="str">
        <f t="shared" ca="1" si="452"/>
        <v>-</v>
      </c>
      <c r="AM1512" s="476" t="str">
        <f t="shared" ca="1" si="453"/>
        <v/>
      </c>
      <c r="AN1512" s="475" t="str">
        <f t="shared" ca="1" si="454"/>
        <v>-</v>
      </c>
      <c r="AO1512" s="460" t="str">
        <f t="shared" ca="1" si="455"/>
        <v/>
      </c>
      <c r="AP1512" s="480" t="str">
        <f t="shared" ca="1" si="456"/>
        <v>-</v>
      </c>
      <c r="AQ1512" s="477" t="str">
        <f t="shared" ca="1" si="457"/>
        <v/>
      </c>
      <c r="AR1512" s="480" t="str">
        <f t="shared" ca="1" si="458"/>
        <v>-</v>
      </c>
      <c r="AS1512" s="34"/>
      <c r="AT1512" s="490" t="str">
        <f t="shared" ca="1" si="426"/>
        <v/>
      </c>
      <c r="AU1512" s="491" t="str">
        <f t="shared" ca="1" si="427"/>
        <v/>
      </c>
      <c r="AV1512" s="491" t="str">
        <f t="shared" ca="1" si="428"/>
        <v/>
      </c>
      <c r="AW1512" s="492" t="str">
        <f t="shared" ca="1" si="429"/>
        <v/>
      </c>
      <c r="AX1512" s="34"/>
      <c r="AY1512" s="474" t="str">
        <f t="shared" ca="1" si="459"/>
        <v/>
      </c>
      <c r="AZ1512" s="480" t="str">
        <f t="shared" ca="1" si="460"/>
        <v>-</v>
      </c>
      <c r="BA1512" s="476" t="str">
        <f t="shared" ca="1" si="461"/>
        <v/>
      </c>
      <c r="BB1512" s="480" t="str">
        <f t="shared" ca="1" si="462"/>
        <v>-</v>
      </c>
      <c r="BC1512" s="460" t="str">
        <f t="shared" ca="1" si="463"/>
        <v/>
      </c>
      <c r="BD1512" s="480" t="str">
        <f t="shared" ca="1" si="464"/>
        <v>-</v>
      </c>
      <c r="BE1512" s="477" t="str">
        <f t="shared" ca="1" si="465"/>
        <v/>
      </c>
      <c r="BF1512" s="480" t="str">
        <f t="shared" ca="1" si="466"/>
        <v>-</v>
      </c>
      <c r="BG1512" s="488" t="str">
        <f t="shared" ca="1" si="430"/>
        <v/>
      </c>
      <c r="BH1512" s="483" t="str">
        <f t="shared" ca="1" si="431"/>
        <v/>
      </c>
      <c r="BI1512" s="483" t="str">
        <f t="shared" ca="1" si="432"/>
        <v/>
      </c>
      <c r="BJ1512" s="489" t="str">
        <f t="shared" ca="1" si="433"/>
        <v/>
      </c>
      <c r="BL1512" t="str">
        <f t="shared" ca="1" si="467"/>
        <v/>
      </c>
      <c r="BM1512" t="str">
        <f t="shared" ca="1" si="468"/>
        <v/>
      </c>
      <c r="BN1512" t="str">
        <f t="shared" ca="1" si="469"/>
        <v/>
      </c>
      <c r="BO1512" t="str">
        <f t="shared" ca="1" si="470"/>
        <v/>
      </c>
      <c r="BP1512" t="str">
        <f t="shared" ca="1" si="471"/>
        <v/>
      </c>
      <c r="BQ1512" t="str">
        <f t="shared" ca="1" si="472"/>
        <v/>
      </c>
      <c r="BR1512" t="str">
        <f t="shared" ca="1" si="473"/>
        <v/>
      </c>
      <c r="BS1512" t="str">
        <f t="shared" ca="1" si="474"/>
        <v/>
      </c>
      <c r="BT1512" t="str">
        <f t="shared" ca="1" si="475"/>
        <v/>
      </c>
      <c r="BU1512" t="str">
        <f t="shared" ca="1" si="476"/>
        <v/>
      </c>
      <c r="BV1512" t="str">
        <f t="shared" ca="1" si="477"/>
        <v/>
      </c>
      <c r="BW1512" t="str">
        <f t="shared" ca="1" si="478"/>
        <v/>
      </c>
      <c r="BX1512" t="str">
        <f t="shared" ca="1" si="479"/>
        <v/>
      </c>
      <c r="BY1512" t="str">
        <f t="shared" ca="1" si="480"/>
        <v/>
      </c>
      <c r="BZ1512" t="str">
        <f t="shared" ca="1" si="481"/>
        <v/>
      </c>
      <c r="CA1512" t="str">
        <f t="shared" ca="1" si="482"/>
        <v/>
      </c>
      <c r="CC1512" s="482" t="str">
        <f t="shared" ca="1" si="483"/>
        <v/>
      </c>
      <c r="CD1512" s="483" t="str">
        <f t="shared" ca="1" si="484"/>
        <v/>
      </c>
      <c r="CE1512" s="483" t="str">
        <f t="shared" ca="1" si="485"/>
        <v/>
      </c>
      <c r="CF1512" s="483" t="str">
        <f t="shared" ca="1" si="486"/>
        <v/>
      </c>
      <c r="CG1512" s="482" t="str">
        <f t="shared" ca="1" si="487"/>
        <v/>
      </c>
      <c r="CH1512" s="483" t="str">
        <f t="shared" ca="1" si="488"/>
        <v/>
      </c>
      <c r="CI1512" s="483" t="str">
        <f t="shared" ca="1" si="489"/>
        <v/>
      </c>
      <c r="CJ1512" s="484" t="str">
        <f t="shared" ca="1" si="490"/>
        <v/>
      </c>
      <c r="CK1512" s="483" t="str">
        <f t="shared" ca="1" si="491"/>
        <v/>
      </c>
      <c r="CL1512" s="483" t="str">
        <f t="shared" ca="1" si="492"/>
        <v/>
      </c>
      <c r="CM1512" s="483" t="str">
        <f t="shared" ca="1" si="493"/>
        <v/>
      </c>
      <c r="CN1512" s="483" t="str">
        <f t="shared" ca="1" si="494"/>
        <v/>
      </c>
      <c r="CO1512" s="482" t="str">
        <f t="shared" ca="1" si="495"/>
        <v/>
      </c>
      <c r="CP1512" s="483" t="str">
        <f t="shared" ca="1" si="496"/>
        <v/>
      </c>
      <c r="CQ1512" s="483" t="str">
        <f t="shared" ca="1" si="497"/>
        <v/>
      </c>
      <c r="CR1512" s="484" t="str">
        <f t="shared" ca="1" si="498"/>
        <v/>
      </c>
      <c r="CV1512" s="454">
        <f t="array" ref="CV1512">IFERROR(INDEX(Montageplatten[Höhe],LARGE((Montageplatten[konf Rahmenbed]=$L$70)*(ROW(Montageplatten[konf Rahmenbed])-1),COUNTIF(Montageplatten[konf Rahmenbed],$L$70)+1-ROW(A9))),"")</f>
        <v>3</v>
      </c>
      <c r="CW1512">
        <f t="shared" si="409"/>
        <v>1</v>
      </c>
      <c r="CX1512" s="1057"/>
    </row>
    <row r="1513" spans="1:102" hidden="1" outlineLevel="1" x14ac:dyDescent="0.25">
      <c r="A1513">
        <f t="shared" ca="1" si="435"/>
        <v>0</v>
      </c>
      <c r="B1513" s="170">
        <f t="shared" ca="1" si="410"/>
        <v>23</v>
      </c>
      <c r="C1513">
        <f t="shared" ca="1" si="500"/>
        <v>-3</v>
      </c>
      <c r="D1513">
        <f t="shared" ca="1" si="499"/>
        <v>-6</v>
      </c>
      <c r="E1513">
        <f t="shared" ca="1" si="436"/>
        <v>-12.5</v>
      </c>
      <c r="F1513">
        <f t="shared" ca="1" si="437"/>
        <v>-22</v>
      </c>
      <c r="G1513" t="e">
        <f t="shared" ca="1" si="438"/>
        <v>#VALUE!</v>
      </c>
      <c r="H1513" t="e">
        <f t="shared" ca="1" si="439"/>
        <v>#VALUE!</v>
      </c>
      <c r="I1513" t="e">
        <f t="shared" ca="1" si="440"/>
        <v>#VALUE!</v>
      </c>
      <c r="J1513" t="e">
        <f t="shared" ca="1" si="441"/>
        <v>#VALUE!</v>
      </c>
      <c r="K1513" t="e">
        <f t="shared" ca="1" si="442"/>
        <v>#VALUE!</v>
      </c>
      <c r="L1513" t="e">
        <f t="shared" ca="1" si="443"/>
        <v>#VALUE!</v>
      </c>
      <c r="M1513" t="e">
        <f t="shared" ca="1" si="444"/>
        <v>#VALUE!</v>
      </c>
      <c r="N1513" t="e">
        <f t="shared" ca="1" si="445"/>
        <v>#VALUE!</v>
      </c>
      <c r="O1513">
        <f t="shared" ca="1" si="446"/>
        <v>-17</v>
      </c>
      <c r="P1513" t="e">
        <f t="shared" ca="1" si="447"/>
        <v>#VALUE!</v>
      </c>
      <c r="Q1513" t="e">
        <f t="shared" ca="1" si="448"/>
        <v>#VALUE!</v>
      </c>
      <c r="R1513" t="e">
        <f t="shared" ca="1" si="449"/>
        <v>#VALUE!</v>
      </c>
      <c r="U1513" s="485" t="str">
        <f t="shared" ca="1" si="450"/>
        <v/>
      </c>
      <c r="V1513" s="486" t="str">
        <f t="shared" ca="1" si="411"/>
        <v/>
      </c>
      <c r="W1513" s="486" t="str">
        <f t="shared" ca="1" si="412"/>
        <v/>
      </c>
      <c r="X1513" s="486" t="str">
        <f t="shared" ca="1" si="413"/>
        <v/>
      </c>
      <c r="Y1513" s="485" t="str">
        <f t="shared" ca="1" si="414"/>
        <v/>
      </c>
      <c r="Z1513" s="486" t="str">
        <f t="shared" ca="1" si="415"/>
        <v/>
      </c>
      <c r="AA1513" s="486" t="str">
        <f t="shared" ca="1" si="416"/>
        <v/>
      </c>
      <c r="AB1513" s="486" t="str">
        <f t="shared" ca="1" si="417"/>
        <v/>
      </c>
      <c r="AC1513" s="485" t="str">
        <f t="shared" ca="1" si="418"/>
        <v/>
      </c>
      <c r="AD1513" s="486" t="str">
        <f t="shared" ca="1" si="419"/>
        <v/>
      </c>
      <c r="AE1513" s="486" t="str">
        <f t="shared" ca="1" si="420"/>
        <v/>
      </c>
      <c r="AF1513" s="486" t="str">
        <f t="shared" ca="1" si="421"/>
        <v/>
      </c>
      <c r="AG1513" s="485" t="str">
        <f t="shared" ca="1" si="422"/>
        <v/>
      </c>
      <c r="AH1513" s="486" t="str">
        <f t="shared" ca="1" si="423"/>
        <v/>
      </c>
      <c r="AI1513" s="486" t="str">
        <f t="shared" ca="1" si="424"/>
        <v/>
      </c>
      <c r="AJ1513" s="486" t="str">
        <f t="shared" ca="1" si="425"/>
        <v/>
      </c>
      <c r="AK1513" s="474" t="str">
        <f t="shared" ca="1" si="451"/>
        <v/>
      </c>
      <c r="AL1513" s="480" t="str">
        <f t="shared" ca="1" si="452"/>
        <v>-</v>
      </c>
      <c r="AM1513" s="476" t="str">
        <f t="shared" ca="1" si="453"/>
        <v/>
      </c>
      <c r="AN1513" s="475" t="str">
        <f t="shared" ca="1" si="454"/>
        <v>-</v>
      </c>
      <c r="AO1513" s="460" t="str">
        <f t="shared" ca="1" si="455"/>
        <v/>
      </c>
      <c r="AP1513" s="480" t="str">
        <f t="shared" ca="1" si="456"/>
        <v>-</v>
      </c>
      <c r="AQ1513" s="477" t="str">
        <f t="shared" ca="1" si="457"/>
        <v/>
      </c>
      <c r="AR1513" s="480" t="str">
        <f t="shared" ca="1" si="458"/>
        <v>-</v>
      </c>
      <c r="AS1513" s="34"/>
      <c r="AT1513" s="490" t="str">
        <f t="shared" ca="1" si="426"/>
        <v/>
      </c>
      <c r="AU1513" s="491" t="str">
        <f t="shared" ca="1" si="427"/>
        <v/>
      </c>
      <c r="AV1513" s="491" t="str">
        <f t="shared" ca="1" si="428"/>
        <v/>
      </c>
      <c r="AW1513" s="492" t="str">
        <f t="shared" ca="1" si="429"/>
        <v/>
      </c>
      <c r="AX1513" s="34"/>
      <c r="AY1513" s="474" t="str">
        <f t="shared" ca="1" si="459"/>
        <v/>
      </c>
      <c r="AZ1513" s="480" t="str">
        <f t="shared" ca="1" si="460"/>
        <v>-</v>
      </c>
      <c r="BA1513" s="476" t="str">
        <f t="shared" ca="1" si="461"/>
        <v/>
      </c>
      <c r="BB1513" s="480" t="str">
        <f t="shared" ca="1" si="462"/>
        <v>-</v>
      </c>
      <c r="BC1513" s="460" t="str">
        <f t="shared" ca="1" si="463"/>
        <v/>
      </c>
      <c r="BD1513" s="480" t="str">
        <f t="shared" ca="1" si="464"/>
        <v>-</v>
      </c>
      <c r="BE1513" s="477" t="str">
        <f t="shared" ca="1" si="465"/>
        <v/>
      </c>
      <c r="BF1513" s="480" t="str">
        <f t="shared" ca="1" si="466"/>
        <v>-</v>
      </c>
      <c r="BG1513" s="488" t="str">
        <f t="shared" ca="1" si="430"/>
        <v/>
      </c>
      <c r="BH1513" s="483" t="str">
        <f t="shared" ca="1" si="431"/>
        <v/>
      </c>
      <c r="BI1513" s="483" t="str">
        <f t="shared" ca="1" si="432"/>
        <v/>
      </c>
      <c r="BJ1513" s="489" t="str">
        <f t="shared" ca="1" si="433"/>
        <v/>
      </c>
      <c r="BL1513" t="str">
        <f t="shared" ca="1" si="467"/>
        <v/>
      </c>
      <c r="BM1513" t="str">
        <f t="shared" ca="1" si="468"/>
        <v/>
      </c>
      <c r="BN1513" t="str">
        <f t="shared" ca="1" si="469"/>
        <v/>
      </c>
      <c r="BO1513" t="str">
        <f t="shared" ca="1" si="470"/>
        <v/>
      </c>
      <c r="BP1513" t="str">
        <f t="shared" ca="1" si="471"/>
        <v/>
      </c>
      <c r="BQ1513" t="str">
        <f t="shared" ca="1" si="472"/>
        <v/>
      </c>
      <c r="BR1513" t="str">
        <f t="shared" ca="1" si="473"/>
        <v/>
      </c>
      <c r="BS1513" t="str">
        <f t="shared" ca="1" si="474"/>
        <v/>
      </c>
      <c r="BT1513" t="str">
        <f t="shared" ca="1" si="475"/>
        <v/>
      </c>
      <c r="BU1513" t="str">
        <f t="shared" ca="1" si="476"/>
        <v/>
      </c>
      <c r="BV1513" t="str">
        <f t="shared" ca="1" si="477"/>
        <v/>
      </c>
      <c r="BW1513" t="str">
        <f t="shared" ca="1" si="478"/>
        <v/>
      </c>
      <c r="BX1513" t="str">
        <f t="shared" ca="1" si="479"/>
        <v/>
      </c>
      <c r="BY1513" t="str">
        <f t="shared" ca="1" si="480"/>
        <v/>
      </c>
      <c r="BZ1513" t="str">
        <f t="shared" ca="1" si="481"/>
        <v/>
      </c>
      <c r="CA1513" t="str">
        <f t="shared" ca="1" si="482"/>
        <v/>
      </c>
      <c r="CC1513" s="482" t="str">
        <f t="shared" ca="1" si="483"/>
        <v/>
      </c>
      <c r="CD1513" s="483" t="str">
        <f t="shared" ca="1" si="484"/>
        <v/>
      </c>
      <c r="CE1513" s="483" t="str">
        <f t="shared" ca="1" si="485"/>
        <v/>
      </c>
      <c r="CF1513" s="483" t="str">
        <f t="shared" ca="1" si="486"/>
        <v/>
      </c>
      <c r="CG1513" s="482" t="str">
        <f t="shared" ca="1" si="487"/>
        <v/>
      </c>
      <c r="CH1513" s="483" t="str">
        <f t="shared" ca="1" si="488"/>
        <v/>
      </c>
      <c r="CI1513" s="483" t="str">
        <f t="shared" ca="1" si="489"/>
        <v/>
      </c>
      <c r="CJ1513" s="484" t="str">
        <f t="shared" ca="1" si="490"/>
        <v/>
      </c>
      <c r="CK1513" s="483" t="str">
        <f t="shared" ca="1" si="491"/>
        <v/>
      </c>
      <c r="CL1513" s="483" t="str">
        <f t="shared" ca="1" si="492"/>
        <v/>
      </c>
      <c r="CM1513" s="483" t="str">
        <f t="shared" ca="1" si="493"/>
        <v/>
      </c>
      <c r="CN1513" s="483" t="str">
        <f t="shared" ca="1" si="494"/>
        <v/>
      </c>
      <c r="CO1513" s="482" t="str">
        <f t="shared" ca="1" si="495"/>
        <v/>
      </c>
      <c r="CP1513" s="483" t="str">
        <f t="shared" ca="1" si="496"/>
        <v/>
      </c>
      <c r="CQ1513" s="483" t="str">
        <f t="shared" ca="1" si="497"/>
        <v/>
      </c>
      <c r="CR1513" s="484" t="str">
        <f t="shared" ca="1" si="498"/>
        <v/>
      </c>
      <c r="CV1513" s="454">
        <f t="array" ref="CV1513">IFERROR(INDEX(Montageplatten[Höhe],LARGE((Montageplatten[konf Rahmenbed]=$L$70)*(ROW(Montageplatten[konf Rahmenbed])-1),COUNTIF(Montageplatten[konf Rahmenbed],$L$70)+1-ROW(A10))),"")</f>
        <v>3</v>
      </c>
      <c r="CW1513">
        <f t="shared" si="409"/>
        <v>1</v>
      </c>
      <c r="CX1513" s="1057"/>
    </row>
    <row r="1514" spans="1:102" hidden="1" outlineLevel="1" x14ac:dyDescent="0.25">
      <c r="A1514">
        <f t="shared" ca="1" si="435"/>
        <v>1</v>
      </c>
      <c r="B1514" s="170">
        <f t="shared" ca="1" si="410"/>
        <v>22</v>
      </c>
      <c r="C1514">
        <f t="shared" ca="1" si="500"/>
        <v>-2</v>
      </c>
      <c r="D1514">
        <f t="shared" ca="1" si="499"/>
        <v>-5</v>
      </c>
      <c r="E1514">
        <f t="shared" ca="1" si="436"/>
        <v>-11.5</v>
      </c>
      <c r="F1514">
        <f t="shared" ca="1" si="437"/>
        <v>-21</v>
      </c>
      <c r="G1514" t="e">
        <f t="shared" ca="1" si="438"/>
        <v>#VALUE!</v>
      </c>
      <c r="H1514" t="e">
        <f t="shared" ca="1" si="439"/>
        <v>#VALUE!</v>
      </c>
      <c r="I1514" t="e">
        <f t="shared" ca="1" si="440"/>
        <v>#VALUE!</v>
      </c>
      <c r="J1514" t="e">
        <f t="shared" ca="1" si="441"/>
        <v>#VALUE!</v>
      </c>
      <c r="K1514" t="e">
        <f t="shared" ca="1" si="442"/>
        <v>#VALUE!</v>
      </c>
      <c r="L1514" t="e">
        <f t="shared" ca="1" si="443"/>
        <v>#VALUE!</v>
      </c>
      <c r="M1514" t="e">
        <f t="shared" ca="1" si="444"/>
        <v>#VALUE!</v>
      </c>
      <c r="N1514" t="e">
        <f t="shared" ca="1" si="445"/>
        <v>#VALUE!</v>
      </c>
      <c r="O1514">
        <f t="shared" ca="1" si="446"/>
        <v>-16</v>
      </c>
      <c r="P1514" t="e">
        <f t="shared" ca="1" si="447"/>
        <v>#VALUE!</v>
      </c>
      <c r="Q1514" t="e">
        <f t="shared" ca="1" si="448"/>
        <v>#VALUE!</v>
      </c>
      <c r="R1514" t="e">
        <f t="shared" ca="1" si="449"/>
        <v>#VALUE!</v>
      </c>
      <c r="U1514" s="485">
        <f t="shared" ca="1" si="450"/>
        <v>1</v>
      </c>
      <c r="V1514" s="486" t="str">
        <f t="shared" ca="1" si="411"/>
        <v/>
      </c>
      <c r="W1514" s="486" t="str">
        <f t="shared" ca="1" si="412"/>
        <v/>
      </c>
      <c r="X1514" s="486" t="str">
        <f t="shared" ca="1" si="413"/>
        <v/>
      </c>
      <c r="Y1514" s="485" t="str">
        <f t="shared" ca="1" si="414"/>
        <v/>
      </c>
      <c r="Z1514" s="486" t="str">
        <f t="shared" ca="1" si="415"/>
        <v/>
      </c>
      <c r="AA1514" s="486" t="str">
        <f t="shared" ca="1" si="416"/>
        <v/>
      </c>
      <c r="AB1514" s="486" t="str">
        <f t="shared" ca="1" si="417"/>
        <v/>
      </c>
      <c r="AC1514" s="485" t="str">
        <f t="shared" ca="1" si="418"/>
        <v/>
      </c>
      <c r="AD1514" s="486" t="str">
        <f t="shared" ca="1" si="419"/>
        <v/>
      </c>
      <c r="AE1514" s="486" t="str">
        <f t="shared" ca="1" si="420"/>
        <v/>
      </c>
      <c r="AF1514" s="486" t="str">
        <f t="shared" ca="1" si="421"/>
        <v/>
      </c>
      <c r="AG1514" s="485" t="str">
        <f t="shared" ca="1" si="422"/>
        <v/>
      </c>
      <c r="AH1514" s="486" t="str">
        <f t="shared" ca="1" si="423"/>
        <v/>
      </c>
      <c r="AI1514" s="486" t="str">
        <f t="shared" ca="1" si="424"/>
        <v/>
      </c>
      <c r="AJ1514" s="486" t="str">
        <f t="shared" ca="1" si="425"/>
        <v/>
      </c>
      <c r="AK1514" s="474" t="str">
        <f t="shared" ca="1" si="451"/>
        <v/>
      </c>
      <c r="AL1514" s="480" t="str">
        <f t="shared" ca="1" si="452"/>
        <v>-</v>
      </c>
      <c r="AM1514" s="476" t="str">
        <f t="shared" ca="1" si="453"/>
        <v/>
      </c>
      <c r="AN1514" s="475" t="str">
        <f t="shared" ca="1" si="454"/>
        <v>-</v>
      </c>
      <c r="AO1514" s="460" t="str">
        <f t="shared" ca="1" si="455"/>
        <v/>
      </c>
      <c r="AP1514" s="480" t="str">
        <f t="shared" ca="1" si="456"/>
        <v>-</v>
      </c>
      <c r="AQ1514" s="477" t="str">
        <f t="shared" ca="1" si="457"/>
        <v/>
      </c>
      <c r="AR1514" s="480" t="str">
        <f t="shared" ca="1" si="458"/>
        <v>-</v>
      </c>
      <c r="AS1514" s="34"/>
      <c r="AT1514" s="490" t="str">
        <f t="shared" ca="1" si="426"/>
        <v/>
      </c>
      <c r="AU1514" s="491" t="str">
        <f t="shared" ca="1" si="427"/>
        <v/>
      </c>
      <c r="AV1514" s="491" t="str">
        <f t="shared" ca="1" si="428"/>
        <v/>
      </c>
      <c r="AW1514" s="492" t="str">
        <f t="shared" ca="1" si="429"/>
        <v/>
      </c>
      <c r="AX1514" s="34"/>
      <c r="AY1514" s="474" t="str">
        <f t="shared" ca="1" si="459"/>
        <v/>
      </c>
      <c r="AZ1514" s="480" t="str">
        <f t="shared" ca="1" si="460"/>
        <v>-</v>
      </c>
      <c r="BA1514" s="476" t="str">
        <f t="shared" ca="1" si="461"/>
        <v/>
      </c>
      <c r="BB1514" s="480" t="str">
        <f t="shared" ca="1" si="462"/>
        <v>-</v>
      </c>
      <c r="BC1514" s="460" t="str">
        <f t="shared" ca="1" si="463"/>
        <v/>
      </c>
      <c r="BD1514" s="480" t="str">
        <f t="shared" ca="1" si="464"/>
        <v>-</v>
      </c>
      <c r="BE1514" s="477" t="str">
        <f t="shared" ca="1" si="465"/>
        <v/>
      </c>
      <c r="BF1514" s="480" t="str">
        <f t="shared" ca="1" si="466"/>
        <v>-</v>
      </c>
      <c r="BG1514" s="488" t="str">
        <f t="shared" ca="1" si="430"/>
        <v/>
      </c>
      <c r="BH1514" s="483" t="str">
        <f t="shared" ca="1" si="431"/>
        <v/>
      </c>
      <c r="BI1514" s="483" t="str">
        <f t="shared" ca="1" si="432"/>
        <v/>
      </c>
      <c r="BJ1514" s="489" t="str">
        <f t="shared" ca="1" si="433"/>
        <v/>
      </c>
      <c r="BL1514" t="str">
        <f t="shared" ca="1" si="467"/>
        <v/>
      </c>
      <c r="BM1514" t="str">
        <f t="shared" ca="1" si="468"/>
        <v/>
      </c>
      <c r="BN1514" t="str">
        <f t="shared" ca="1" si="469"/>
        <v/>
      </c>
      <c r="BO1514" t="str">
        <f t="shared" ca="1" si="470"/>
        <v/>
      </c>
      <c r="BP1514" t="str">
        <f t="shared" ca="1" si="471"/>
        <v/>
      </c>
      <c r="BQ1514" t="str">
        <f t="shared" ca="1" si="472"/>
        <v/>
      </c>
      <c r="BR1514" t="str">
        <f t="shared" ca="1" si="473"/>
        <v/>
      </c>
      <c r="BS1514" t="str">
        <f t="shared" ca="1" si="474"/>
        <v/>
      </c>
      <c r="BT1514" t="str">
        <f t="shared" ca="1" si="475"/>
        <v/>
      </c>
      <c r="BU1514" t="str">
        <f t="shared" ca="1" si="476"/>
        <v/>
      </c>
      <c r="BV1514" t="str">
        <f t="shared" ca="1" si="477"/>
        <v/>
      </c>
      <c r="BW1514" t="str">
        <f t="shared" ca="1" si="478"/>
        <v/>
      </c>
      <c r="BX1514" t="str">
        <f t="shared" ca="1" si="479"/>
        <v/>
      </c>
      <c r="BY1514" t="str">
        <f t="shared" ca="1" si="480"/>
        <v/>
      </c>
      <c r="BZ1514" t="str">
        <f t="shared" ca="1" si="481"/>
        <v/>
      </c>
      <c r="CA1514" t="str">
        <f t="shared" ca="1" si="482"/>
        <v/>
      </c>
      <c r="CC1514" s="482" t="str">
        <f t="shared" ca="1" si="483"/>
        <v/>
      </c>
      <c r="CD1514" s="483" t="str">
        <f t="shared" ca="1" si="484"/>
        <v/>
      </c>
      <c r="CE1514" s="483" t="str">
        <f t="shared" ca="1" si="485"/>
        <v/>
      </c>
      <c r="CF1514" s="483" t="str">
        <f t="shared" ca="1" si="486"/>
        <v/>
      </c>
      <c r="CG1514" s="482" t="str">
        <f t="shared" ca="1" si="487"/>
        <v/>
      </c>
      <c r="CH1514" s="483" t="str">
        <f t="shared" ca="1" si="488"/>
        <v/>
      </c>
      <c r="CI1514" s="483" t="str">
        <f t="shared" ca="1" si="489"/>
        <v/>
      </c>
      <c r="CJ1514" s="484" t="str">
        <f t="shared" ca="1" si="490"/>
        <v/>
      </c>
      <c r="CK1514" s="483" t="str">
        <f t="shared" ca="1" si="491"/>
        <v/>
      </c>
      <c r="CL1514" s="483" t="str">
        <f t="shared" ca="1" si="492"/>
        <v/>
      </c>
      <c r="CM1514" s="483" t="str">
        <f t="shared" ca="1" si="493"/>
        <v/>
      </c>
      <c r="CN1514" s="483" t="str">
        <f t="shared" ca="1" si="494"/>
        <v/>
      </c>
      <c r="CO1514" s="482" t="str">
        <f t="shared" ca="1" si="495"/>
        <v/>
      </c>
      <c r="CP1514" s="483" t="str">
        <f t="shared" ca="1" si="496"/>
        <v/>
      </c>
      <c r="CQ1514" s="483" t="str">
        <f t="shared" ca="1" si="497"/>
        <v/>
      </c>
      <c r="CR1514" s="484" t="str">
        <f t="shared" ca="1" si="498"/>
        <v/>
      </c>
      <c r="CV1514" s="454">
        <f t="array" ref="CV1514">IFERROR(INDEX(Montageplatten[Höhe],LARGE((Montageplatten[konf Rahmenbed]=$L$70)*(ROW(Montageplatten[konf Rahmenbed])-1),COUNTIF(Montageplatten[konf Rahmenbed],$L$70)+1-ROW(A11))),"")</f>
        <v>3.5</v>
      </c>
      <c r="CW1514">
        <f t="shared" si="409"/>
        <v>1</v>
      </c>
      <c r="CX1514" s="1057"/>
    </row>
    <row r="1515" spans="1:102" hidden="1" outlineLevel="1" x14ac:dyDescent="0.25">
      <c r="A1515">
        <f t="shared" ca="1" si="435"/>
        <v>0</v>
      </c>
      <c r="B1515" s="170" t="str">
        <f t="shared" ca="1" si="410"/>
        <v>---------</v>
      </c>
      <c r="C1515" t="e">
        <f t="shared" ca="1" si="500"/>
        <v>#VALUE!</v>
      </c>
      <c r="D1515" t="e">
        <f t="shared" ca="1" si="499"/>
        <v>#VALUE!</v>
      </c>
      <c r="E1515" t="e">
        <f t="shared" ca="1" si="436"/>
        <v>#VALUE!</v>
      </c>
      <c r="F1515" t="e">
        <f t="shared" ca="1" si="437"/>
        <v>#VALUE!</v>
      </c>
      <c r="G1515" t="e">
        <f t="shared" ca="1" si="438"/>
        <v>#VALUE!</v>
      </c>
      <c r="H1515" t="e">
        <f t="shared" ca="1" si="439"/>
        <v>#VALUE!</v>
      </c>
      <c r="I1515" t="e">
        <f t="shared" ca="1" si="440"/>
        <v>#VALUE!</v>
      </c>
      <c r="J1515" t="e">
        <f t="shared" ca="1" si="441"/>
        <v>#VALUE!</v>
      </c>
      <c r="K1515" t="e">
        <f t="shared" ca="1" si="442"/>
        <v>#VALUE!</v>
      </c>
      <c r="L1515" t="e">
        <f t="shared" ca="1" si="443"/>
        <v>#VALUE!</v>
      </c>
      <c r="M1515" t="e">
        <f t="shared" ca="1" si="444"/>
        <v>#VALUE!</v>
      </c>
      <c r="N1515" t="e">
        <f t="shared" ca="1" si="445"/>
        <v>#VALUE!</v>
      </c>
      <c r="O1515" t="e">
        <f t="shared" ca="1" si="446"/>
        <v>#VALUE!</v>
      </c>
      <c r="P1515" t="e">
        <f t="shared" ca="1" si="447"/>
        <v>#VALUE!</v>
      </c>
      <c r="Q1515" t="e">
        <f t="shared" ca="1" si="448"/>
        <v>#VALUE!</v>
      </c>
      <c r="R1515" t="e">
        <f t="shared" ca="1" si="449"/>
        <v>#VALUE!</v>
      </c>
      <c r="U1515" s="485" t="str">
        <f t="shared" ca="1" si="450"/>
        <v/>
      </c>
      <c r="V1515" s="486" t="str">
        <f t="shared" ca="1" si="411"/>
        <v/>
      </c>
      <c r="W1515" s="486" t="str">
        <f t="shared" ca="1" si="412"/>
        <v/>
      </c>
      <c r="X1515" s="486" t="str">
        <f t="shared" ca="1" si="413"/>
        <v/>
      </c>
      <c r="Y1515" s="485" t="str">
        <f t="shared" ca="1" si="414"/>
        <v/>
      </c>
      <c r="Z1515" s="486" t="str">
        <f t="shared" ca="1" si="415"/>
        <v/>
      </c>
      <c r="AA1515" s="486" t="str">
        <f t="shared" ca="1" si="416"/>
        <v/>
      </c>
      <c r="AB1515" s="486" t="str">
        <f t="shared" ca="1" si="417"/>
        <v/>
      </c>
      <c r="AC1515" s="485" t="str">
        <f t="shared" ca="1" si="418"/>
        <v/>
      </c>
      <c r="AD1515" s="486" t="str">
        <f t="shared" ca="1" si="419"/>
        <v/>
      </c>
      <c r="AE1515" s="486" t="str">
        <f t="shared" ca="1" si="420"/>
        <v/>
      </c>
      <c r="AF1515" s="486" t="str">
        <f t="shared" ca="1" si="421"/>
        <v/>
      </c>
      <c r="AG1515" s="485" t="str">
        <f t="shared" ca="1" si="422"/>
        <v/>
      </c>
      <c r="AH1515" s="486" t="str">
        <f t="shared" ca="1" si="423"/>
        <v/>
      </c>
      <c r="AI1515" s="486" t="str">
        <f t="shared" ca="1" si="424"/>
        <v/>
      </c>
      <c r="AJ1515" s="486" t="str">
        <f t="shared" ca="1" si="425"/>
        <v/>
      </c>
      <c r="AK1515" s="474" t="str">
        <f t="shared" ca="1" si="451"/>
        <v/>
      </c>
      <c r="AL1515" s="480" t="str">
        <f t="shared" ca="1" si="452"/>
        <v>-</v>
      </c>
      <c r="AM1515" s="476" t="str">
        <f t="shared" ca="1" si="453"/>
        <v/>
      </c>
      <c r="AN1515" s="475" t="str">
        <f t="shared" ca="1" si="454"/>
        <v>-</v>
      </c>
      <c r="AO1515" s="460" t="str">
        <f t="shared" ca="1" si="455"/>
        <v/>
      </c>
      <c r="AP1515" s="480" t="str">
        <f t="shared" ca="1" si="456"/>
        <v>-</v>
      </c>
      <c r="AQ1515" s="477" t="str">
        <f t="shared" ca="1" si="457"/>
        <v/>
      </c>
      <c r="AR1515" s="480" t="str">
        <f t="shared" ca="1" si="458"/>
        <v>-</v>
      </c>
      <c r="AS1515" s="34"/>
      <c r="AT1515" s="490" t="str">
        <f t="shared" ca="1" si="426"/>
        <v/>
      </c>
      <c r="AU1515" s="491" t="str">
        <f t="shared" ca="1" si="427"/>
        <v/>
      </c>
      <c r="AV1515" s="491" t="str">
        <f t="shared" ca="1" si="428"/>
        <v/>
      </c>
      <c r="AW1515" s="492" t="str">
        <f t="shared" ca="1" si="429"/>
        <v/>
      </c>
      <c r="AX1515" s="34"/>
      <c r="AY1515" s="474" t="str">
        <f t="shared" ca="1" si="459"/>
        <v/>
      </c>
      <c r="AZ1515" s="480" t="str">
        <f t="shared" ca="1" si="460"/>
        <v>-</v>
      </c>
      <c r="BA1515" s="476" t="str">
        <f t="shared" ca="1" si="461"/>
        <v/>
      </c>
      <c r="BB1515" s="480" t="str">
        <f t="shared" ca="1" si="462"/>
        <v>-</v>
      </c>
      <c r="BC1515" s="460" t="str">
        <f t="shared" ca="1" si="463"/>
        <v/>
      </c>
      <c r="BD1515" s="480" t="str">
        <f t="shared" ca="1" si="464"/>
        <v>-</v>
      </c>
      <c r="BE1515" s="477" t="str">
        <f t="shared" ca="1" si="465"/>
        <v/>
      </c>
      <c r="BF1515" s="480" t="str">
        <f t="shared" ca="1" si="466"/>
        <v>-</v>
      </c>
      <c r="BG1515" s="488" t="str">
        <f t="shared" ca="1" si="430"/>
        <v/>
      </c>
      <c r="BH1515" s="483" t="str">
        <f t="shared" ca="1" si="431"/>
        <v/>
      </c>
      <c r="BI1515" s="483" t="str">
        <f t="shared" ca="1" si="432"/>
        <v/>
      </c>
      <c r="BJ1515" s="489" t="str">
        <f t="shared" ca="1" si="433"/>
        <v/>
      </c>
      <c r="BL1515" t="str">
        <f t="shared" ca="1" si="467"/>
        <v/>
      </c>
      <c r="BM1515" t="str">
        <f t="shared" ca="1" si="468"/>
        <v/>
      </c>
      <c r="BN1515" t="str">
        <f t="shared" ca="1" si="469"/>
        <v/>
      </c>
      <c r="BO1515" t="str">
        <f t="shared" ca="1" si="470"/>
        <v/>
      </c>
      <c r="BP1515" t="str">
        <f t="shared" ca="1" si="471"/>
        <v/>
      </c>
      <c r="BQ1515" t="str">
        <f t="shared" ca="1" si="472"/>
        <v/>
      </c>
      <c r="BR1515" t="str">
        <f t="shared" ca="1" si="473"/>
        <v/>
      </c>
      <c r="BS1515" t="str">
        <f t="shared" ca="1" si="474"/>
        <v/>
      </c>
      <c r="BT1515" t="str">
        <f t="shared" ca="1" si="475"/>
        <v/>
      </c>
      <c r="BU1515" t="str">
        <f t="shared" ca="1" si="476"/>
        <v/>
      </c>
      <c r="BV1515" t="str">
        <f t="shared" ca="1" si="477"/>
        <v/>
      </c>
      <c r="BW1515" t="str">
        <f t="shared" ca="1" si="478"/>
        <v/>
      </c>
      <c r="BX1515" t="str">
        <f t="shared" ca="1" si="479"/>
        <v/>
      </c>
      <c r="BY1515" t="str">
        <f t="shared" ca="1" si="480"/>
        <v/>
      </c>
      <c r="BZ1515" t="str">
        <f t="shared" ca="1" si="481"/>
        <v/>
      </c>
      <c r="CA1515" t="str">
        <f t="shared" ca="1" si="482"/>
        <v/>
      </c>
      <c r="CC1515" s="482" t="str">
        <f t="shared" ca="1" si="483"/>
        <v/>
      </c>
      <c r="CD1515" s="483" t="str">
        <f t="shared" ca="1" si="484"/>
        <v/>
      </c>
      <c r="CE1515" s="483" t="str">
        <f t="shared" ca="1" si="485"/>
        <v/>
      </c>
      <c r="CF1515" s="483" t="str">
        <f t="shared" ca="1" si="486"/>
        <v/>
      </c>
      <c r="CG1515" s="482" t="str">
        <f t="shared" ca="1" si="487"/>
        <v/>
      </c>
      <c r="CH1515" s="483" t="str">
        <f t="shared" ca="1" si="488"/>
        <v/>
      </c>
      <c r="CI1515" s="483" t="str">
        <f t="shared" ca="1" si="489"/>
        <v/>
      </c>
      <c r="CJ1515" s="484" t="str">
        <f t="shared" ca="1" si="490"/>
        <v/>
      </c>
      <c r="CK1515" s="483" t="str">
        <f t="shared" ca="1" si="491"/>
        <v/>
      </c>
      <c r="CL1515" s="483" t="str">
        <f t="shared" ca="1" si="492"/>
        <v/>
      </c>
      <c r="CM1515" s="483" t="str">
        <f t="shared" ca="1" si="493"/>
        <v/>
      </c>
      <c r="CN1515" s="483" t="str">
        <f t="shared" ca="1" si="494"/>
        <v/>
      </c>
      <c r="CO1515" s="482" t="str">
        <f t="shared" ca="1" si="495"/>
        <v/>
      </c>
      <c r="CP1515" s="483" t="str">
        <f t="shared" ca="1" si="496"/>
        <v/>
      </c>
      <c r="CQ1515" s="483" t="str">
        <f t="shared" ca="1" si="497"/>
        <v/>
      </c>
      <c r="CR1515" s="484" t="str">
        <f t="shared" ca="1" si="498"/>
        <v/>
      </c>
      <c r="CV1515" s="454">
        <f t="array" ref="CV1515">IFERROR(INDEX(Montageplatten[Höhe],LARGE((Montageplatten[konf Rahmenbed]=$L$70)*(ROW(Montageplatten[konf Rahmenbed])-1),COUNTIF(Montageplatten[konf Rahmenbed],$L$70)+1-ROW(A12))),"")</f>
        <v>3.5</v>
      </c>
      <c r="CW1515">
        <f t="shared" si="409"/>
        <v>1</v>
      </c>
      <c r="CX1515" s="1057"/>
    </row>
    <row r="1516" spans="1:102" hidden="1" outlineLevel="1" x14ac:dyDescent="0.25">
      <c r="A1516">
        <f t="shared" ca="1" si="435"/>
        <v>0</v>
      </c>
      <c r="B1516" s="170">
        <f t="shared" ca="1" si="410"/>
        <v>21</v>
      </c>
      <c r="C1516">
        <f t="shared" ca="1" si="500"/>
        <v>-1</v>
      </c>
      <c r="D1516">
        <f t="shared" ca="1" si="499"/>
        <v>-4</v>
      </c>
      <c r="E1516">
        <f t="shared" ca="1" si="436"/>
        <v>-10.5</v>
      </c>
      <c r="F1516">
        <f t="shared" ca="1" si="437"/>
        <v>-20</v>
      </c>
      <c r="G1516" t="e">
        <f t="shared" ca="1" si="438"/>
        <v>#VALUE!</v>
      </c>
      <c r="H1516" t="e">
        <f t="shared" ca="1" si="439"/>
        <v>#VALUE!</v>
      </c>
      <c r="I1516" t="e">
        <f t="shared" ca="1" si="440"/>
        <v>#VALUE!</v>
      </c>
      <c r="J1516" t="e">
        <f t="shared" ca="1" si="441"/>
        <v>#VALUE!</v>
      </c>
      <c r="K1516" t="e">
        <f t="shared" ca="1" si="442"/>
        <v>#VALUE!</v>
      </c>
      <c r="L1516" t="e">
        <f t="shared" ca="1" si="443"/>
        <v>#VALUE!</v>
      </c>
      <c r="M1516" t="e">
        <f t="shared" ca="1" si="444"/>
        <v>#VALUE!</v>
      </c>
      <c r="N1516" t="e">
        <f t="shared" ca="1" si="445"/>
        <v>#VALUE!</v>
      </c>
      <c r="O1516">
        <f t="shared" ca="1" si="446"/>
        <v>-15</v>
      </c>
      <c r="P1516" t="e">
        <f t="shared" ca="1" si="447"/>
        <v>#VALUE!</v>
      </c>
      <c r="Q1516" t="e">
        <f t="shared" ca="1" si="448"/>
        <v>#VALUE!</v>
      </c>
      <c r="R1516" t="e">
        <f t="shared" ca="1" si="449"/>
        <v>#VALUE!</v>
      </c>
      <c r="U1516" s="485" t="str">
        <f t="shared" ca="1" si="450"/>
        <v/>
      </c>
      <c r="V1516" s="486" t="str">
        <f t="shared" ca="1" si="411"/>
        <v/>
      </c>
      <c r="W1516" s="486" t="str">
        <f t="shared" ca="1" si="412"/>
        <v/>
      </c>
      <c r="X1516" s="486" t="str">
        <f t="shared" ca="1" si="413"/>
        <v/>
      </c>
      <c r="Y1516" s="485" t="str">
        <f t="shared" ca="1" si="414"/>
        <v/>
      </c>
      <c r="Z1516" s="486" t="str">
        <f t="shared" ca="1" si="415"/>
        <v/>
      </c>
      <c r="AA1516" s="486" t="str">
        <f t="shared" ca="1" si="416"/>
        <v/>
      </c>
      <c r="AB1516" s="486" t="str">
        <f t="shared" ca="1" si="417"/>
        <v/>
      </c>
      <c r="AC1516" s="485" t="str">
        <f t="shared" ca="1" si="418"/>
        <v/>
      </c>
      <c r="AD1516" s="486" t="str">
        <f t="shared" ca="1" si="419"/>
        <v/>
      </c>
      <c r="AE1516" s="486" t="str">
        <f t="shared" ca="1" si="420"/>
        <v/>
      </c>
      <c r="AF1516" s="486" t="str">
        <f t="shared" ca="1" si="421"/>
        <v/>
      </c>
      <c r="AG1516" s="485" t="str">
        <f t="shared" ca="1" si="422"/>
        <v/>
      </c>
      <c r="AH1516" s="486" t="str">
        <f t="shared" ca="1" si="423"/>
        <v/>
      </c>
      <c r="AI1516" s="486" t="str">
        <f t="shared" ca="1" si="424"/>
        <v/>
      </c>
      <c r="AJ1516" s="486" t="str">
        <f t="shared" ca="1" si="425"/>
        <v/>
      </c>
      <c r="AK1516" s="474" t="str">
        <f t="shared" ca="1" si="451"/>
        <v/>
      </c>
      <c r="AL1516" s="480" t="str">
        <f t="shared" ca="1" si="452"/>
        <v>-</v>
      </c>
      <c r="AM1516" s="476" t="str">
        <f t="shared" ca="1" si="453"/>
        <v/>
      </c>
      <c r="AN1516" s="475" t="str">
        <f t="shared" ca="1" si="454"/>
        <v>-</v>
      </c>
      <c r="AO1516" s="460" t="str">
        <f t="shared" ca="1" si="455"/>
        <v/>
      </c>
      <c r="AP1516" s="480" t="str">
        <f t="shared" ca="1" si="456"/>
        <v>-</v>
      </c>
      <c r="AQ1516" s="477" t="str">
        <f t="shared" ca="1" si="457"/>
        <v/>
      </c>
      <c r="AR1516" s="480" t="str">
        <f t="shared" ca="1" si="458"/>
        <v>-</v>
      </c>
      <c r="AS1516" s="34"/>
      <c r="AT1516" s="490" t="str">
        <f t="shared" ca="1" si="426"/>
        <v/>
      </c>
      <c r="AU1516" s="491" t="str">
        <f t="shared" ca="1" si="427"/>
        <v/>
      </c>
      <c r="AV1516" s="491" t="str">
        <f t="shared" ca="1" si="428"/>
        <v/>
      </c>
      <c r="AW1516" s="492" t="str">
        <f t="shared" ca="1" si="429"/>
        <v/>
      </c>
      <c r="AX1516" s="34"/>
      <c r="AY1516" s="474" t="str">
        <f t="shared" ca="1" si="459"/>
        <v/>
      </c>
      <c r="AZ1516" s="480" t="str">
        <f t="shared" ca="1" si="460"/>
        <v>-</v>
      </c>
      <c r="BA1516" s="476" t="str">
        <f t="shared" ca="1" si="461"/>
        <v/>
      </c>
      <c r="BB1516" s="480" t="str">
        <f t="shared" ca="1" si="462"/>
        <v>-</v>
      </c>
      <c r="BC1516" s="460" t="str">
        <f t="shared" ca="1" si="463"/>
        <v/>
      </c>
      <c r="BD1516" s="480" t="str">
        <f t="shared" ca="1" si="464"/>
        <v>-</v>
      </c>
      <c r="BE1516" s="477" t="str">
        <f t="shared" ca="1" si="465"/>
        <v/>
      </c>
      <c r="BF1516" s="480" t="str">
        <f t="shared" ca="1" si="466"/>
        <v>-</v>
      </c>
      <c r="BG1516" s="488" t="str">
        <f t="shared" ca="1" si="430"/>
        <v/>
      </c>
      <c r="BH1516" s="483" t="str">
        <f t="shared" ca="1" si="431"/>
        <v/>
      </c>
      <c r="BI1516" s="483" t="str">
        <f t="shared" ca="1" si="432"/>
        <v/>
      </c>
      <c r="BJ1516" s="489" t="str">
        <f t="shared" ca="1" si="433"/>
        <v/>
      </c>
      <c r="BL1516" t="str">
        <f t="shared" ca="1" si="467"/>
        <v/>
      </c>
      <c r="BM1516" t="str">
        <f t="shared" ca="1" si="468"/>
        <v/>
      </c>
      <c r="BN1516" t="str">
        <f t="shared" ca="1" si="469"/>
        <v/>
      </c>
      <c r="BO1516" t="str">
        <f t="shared" ca="1" si="470"/>
        <v/>
      </c>
      <c r="BP1516" t="str">
        <f t="shared" ca="1" si="471"/>
        <v/>
      </c>
      <c r="BQ1516" t="str">
        <f t="shared" ca="1" si="472"/>
        <v/>
      </c>
      <c r="BR1516" t="str">
        <f t="shared" ca="1" si="473"/>
        <v/>
      </c>
      <c r="BS1516" t="str">
        <f t="shared" ca="1" si="474"/>
        <v/>
      </c>
      <c r="BT1516" t="str">
        <f t="shared" ca="1" si="475"/>
        <v/>
      </c>
      <c r="BU1516" t="str">
        <f t="shared" ca="1" si="476"/>
        <v/>
      </c>
      <c r="BV1516" t="str">
        <f t="shared" ca="1" si="477"/>
        <v/>
      </c>
      <c r="BW1516" t="str">
        <f t="shared" ca="1" si="478"/>
        <v/>
      </c>
      <c r="BX1516" t="str">
        <f t="shared" ca="1" si="479"/>
        <v/>
      </c>
      <c r="BY1516" t="str">
        <f t="shared" ca="1" si="480"/>
        <v/>
      </c>
      <c r="BZ1516" t="str">
        <f t="shared" ca="1" si="481"/>
        <v/>
      </c>
      <c r="CA1516" t="str">
        <f t="shared" ca="1" si="482"/>
        <v/>
      </c>
      <c r="CC1516" s="482" t="str">
        <f t="shared" ca="1" si="483"/>
        <v/>
      </c>
      <c r="CD1516" s="483" t="str">
        <f t="shared" ca="1" si="484"/>
        <v/>
      </c>
      <c r="CE1516" s="483" t="str">
        <f t="shared" ca="1" si="485"/>
        <v/>
      </c>
      <c r="CF1516" s="483" t="str">
        <f t="shared" ca="1" si="486"/>
        <v/>
      </c>
      <c r="CG1516" s="482" t="str">
        <f t="shared" ca="1" si="487"/>
        <v/>
      </c>
      <c r="CH1516" s="483" t="str">
        <f t="shared" ca="1" si="488"/>
        <v/>
      </c>
      <c r="CI1516" s="483" t="str">
        <f t="shared" ca="1" si="489"/>
        <v/>
      </c>
      <c r="CJ1516" s="484" t="str">
        <f t="shared" ca="1" si="490"/>
        <v/>
      </c>
      <c r="CK1516" s="483" t="str">
        <f t="shared" ca="1" si="491"/>
        <v/>
      </c>
      <c r="CL1516" s="483" t="str">
        <f t="shared" ca="1" si="492"/>
        <v/>
      </c>
      <c r="CM1516" s="483" t="str">
        <f t="shared" ca="1" si="493"/>
        <v/>
      </c>
      <c r="CN1516" s="483" t="str">
        <f t="shared" ca="1" si="494"/>
        <v/>
      </c>
      <c r="CO1516" s="482" t="str">
        <f t="shared" ca="1" si="495"/>
        <v/>
      </c>
      <c r="CP1516" s="483" t="str">
        <f t="shared" ca="1" si="496"/>
        <v/>
      </c>
      <c r="CQ1516" s="483" t="str">
        <f t="shared" ca="1" si="497"/>
        <v/>
      </c>
      <c r="CR1516" s="484" t="str">
        <f t="shared" ca="1" si="498"/>
        <v/>
      </c>
      <c r="CV1516" s="454">
        <f t="array" ref="CV1516">IFERROR(INDEX(Montageplatten[Höhe],LARGE((Montageplatten[konf Rahmenbed]=$L$70)*(ROW(Montageplatten[konf Rahmenbed])-1),COUNTIF(Montageplatten[konf Rahmenbed],$L$70)+1-ROW(A13))),"")</f>
        <v>3.5</v>
      </c>
      <c r="CW1516">
        <f t="shared" si="409"/>
        <v>1</v>
      </c>
      <c r="CX1516" s="1057"/>
    </row>
    <row r="1517" spans="1:102" hidden="1" outlineLevel="1" x14ac:dyDescent="0.25">
      <c r="A1517">
        <f t="shared" ca="1" si="435"/>
        <v>0</v>
      </c>
      <c r="B1517" s="170" t="str">
        <f t="shared" ca="1" si="410"/>
        <v>---------</v>
      </c>
      <c r="C1517" t="e">
        <f t="shared" ca="1" si="500"/>
        <v>#VALUE!</v>
      </c>
      <c r="D1517" t="e">
        <f t="shared" ca="1" si="499"/>
        <v>#VALUE!</v>
      </c>
      <c r="E1517" t="e">
        <f t="shared" ca="1" si="436"/>
        <v>#VALUE!</v>
      </c>
      <c r="F1517" t="e">
        <f t="shared" ca="1" si="437"/>
        <v>#VALUE!</v>
      </c>
      <c r="G1517" t="e">
        <f t="shared" ca="1" si="438"/>
        <v>#VALUE!</v>
      </c>
      <c r="H1517" t="e">
        <f t="shared" ca="1" si="439"/>
        <v>#VALUE!</v>
      </c>
      <c r="I1517" t="e">
        <f t="shared" ca="1" si="440"/>
        <v>#VALUE!</v>
      </c>
      <c r="J1517" t="e">
        <f t="shared" ca="1" si="441"/>
        <v>#VALUE!</v>
      </c>
      <c r="K1517" t="e">
        <f t="shared" ca="1" si="442"/>
        <v>#VALUE!</v>
      </c>
      <c r="L1517" t="e">
        <f t="shared" ca="1" si="443"/>
        <v>#VALUE!</v>
      </c>
      <c r="M1517" t="e">
        <f t="shared" ca="1" si="444"/>
        <v>#VALUE!</v>
      </c>
      <c r="N1517" t="e">
        <f t="shared" ca="1" si="445"/>
        <v>#VALUE!</v>
      </c>
      <c r="O1517" t="e">
        <f t="shared" ca="1" si="446"/>
        <v>#VALUE!</v>
      </c>
      <c r="P1517" t="e">
        <f t="shared" ca="1" si="447"/>
        <v>#VALUE!</v>
      </c>
      <c r="Q1517" t="e">
        <f t="shared" ca="1" si="448"/>
        <v>#VALUE!</v>
      </c>
      <c r="R1517" t="e">
        <f t="shared" ca="1" si="449"/>
        <v>#VALUE!</v>
      </c>
      <c r="U1517" s="485" t="str">
        <f t="shared" ca="1" si="450"/>
        <v/>
      </c>
      <c r="V1517" s="486" t="str">
        <f t="shared" ca="1" si="411"/>
        <v/>
      </c>
      <c r="W1517" s="486" t="str">
        <f t="shared" ca="1" si="412"/>
        <v/>
      </c>
      <c r="X1517" s="486" t="str">
        <f t="shared" ca="1" si="413"/>
        <v/>
      </c>
      <c r="Y1517" s="485" t="str">
        <f t="shared" ca="1" si="414"/>
        <v/>
      </c>
      <c r="Z1517" s="486" t="str">
        <f t="shared" ca="1" si="415"/>
        <v/>
      </c>
      <c r="AA1517" s="486" t="str">
        <f t="shared" ca="1" si="416"/>
        <v/>
      </c>
      <c r="AB1517" s="486" t="str">
        <f t="shared" ca="1" si="417"/>
        <v/>
      </c>
      <c r="AC1517" s="485" t="str">
        <f t="shared" ca="1" si="418"/>
        <v/>
      </c>
      <c r="AD1517" s="486" t="str">
        <f t="shared" ca="1" si="419"/>
        <v/>
      </c>
      <c r="AE1517" s="486" t="str">
        <f t="shared" ca="1" si="420"/>
        <v/>
      </c>
      <c r="AF1517" s="486" t="str">
        <f t="shared" ca="1" si="421"/>
        <v/>
      </c>
      <c r="AG1517" s="485" t="str">
        <f t="shared" ca="1" si="422"/>
        <v/>
      </c>
      <c r="AH1517" s="486" t="str">
        <f t="shared" ca="1" si="423"/>
        <v/>
      </c>
      <c r="AI1517" s="486" t="str">
        <f t="shared" ca="1" si="424"/>
        <v/>
      </c>
      <c r="AJ1517" s="486" t="str">
        <f t="shared" ca="1" si="425"/>
        <v/>
      </c>
      <c r="AK1517" s="474" t="str">
        <f t="shared" ca="1" si="451"/>
        <v/>
      </c>
      <c r="AL1517" s="480" t="str">
        <f t="shared" ca="1" si="452"/>
        <v>-</v>
      </c>
      <c r="AM1517" s="476" t="str">
        <f t="shared" ca="1" si="453"/>
        <v/>
      </c>
      <c r="AN1517" s="475" t="str">
        <f t="shared" ca="1" si="454"/>
        <v>-</v>
      </c>
      <c r="AO1517" s="460" t="str">
        <f t="shared" ca="1" si="455"/>
        <v/>
      </c>
      <c r="AP1517" s="480" t="str">
        <f t="shared" ca="1" si="456"/>
        <v>-</v>
      </c>
      <c r="AQ1517" s="477" t="str">
        <f t="shared" ca="1" si="457"/>
        <v/>
      </c>
      <c r="AR1517" s="480" t="str">
        <f t="shared" ca="1" si="458"/>
        <v>-</v>
      </c>
      <c r="AS1517" s="34"/>
      <c r="AT1517" s="490" t="str">
        <f t="shared" ca="1" si="426"/>
        <v/>
      </c>
      <c r="AU1517" s="491" t="str">
        <f t="shared" ca="1" si="427"/>
        <v/>
      </c>
      <c r="AV1517" s="491" t="str">
        <f t="shared" ca="1" si="428"/>
        <v/>
      </c>
      <c r="AW1517" s="492" t="str">
        <f t="shared" ca="1" si="429"/>
        <v/>
      </c>
      <c r="AX1517" s="34"/>
      <c r="AY1517" s="474" t="str">
        <f t="shared" ca="1" si="459"/>
        <v/>
      </c>
      <c r="AZ1517" s="480" t="str">
        <f t="shared" ca="1" si="460"/>
        <v>-</v>
      </c>
      <c r="BA1517" s="476" t="str">
        <f t="shared" ca="1" si="461"/>
        <v/>
      </c>
      <c r="BB1517" s="480" t="str">
        <f t="shared" ca="1" si="462"/>
        <v>-</v>
      </c>
      <c r="BC1517" s="460" t="str">
        <f t="shared" ca="1" si="463"/>
        <v/>
      </c>
      <c r="BD1517" s="480" t="str">
        <f t="shared" ca="1" si="464"/>
        <v>-</v>
      </c>
      <c r="BE1517" s="477" t="str">
        <f t="shared" ca="1" si="465"/>
        <v/>
      </c>
      <c r="BF1517" s="480" t="str">
        <f t="shared" ca="1" si="466"/>
        <v>-</v>
      </c>
      <c r="BG1517" s="488" t="str">
        <f t="shared" ca="1" si="430"/>
        <v/>
      </c>
      <c r="BH1517" s="483" t="str">
        <f t="shared" ca="1" si="431"/>
        <v/>
      </c>
      <c r="BI1517" s="483" t="str">
        <f t="shared" ca="1" si="432"/>
        <v/>
      </c>
      <c r="BJ1517" s="489" t="str">
        <f t="shared" ca="1" si="433"/>
        <v/>
      </c>
      <c r="BL1517" t="str">
        <f t="shared" ca="1" si="467"/>
        <v/>
      </c>
      <c r="BM1517" t="str">
        <f t="shared" ca="1" si="468"/>
        <v/>
      </c>
      <c r="BN1517" t="str">
        <f t="shared" ca="1" si="469"/>
        <v/>
      </c>
      <c r="BO1517" t="str">
        <f t="shared" ca="1" si="470"/>
        <v/>
      </c>
      <c r="BP1517" t="str">
        <f t="shared" ca="1" si="471"/>
        <v/>
      </c>
      <c r="BQ1517" t="str">
        <f t="shared" ca="1" si="472"/>
        <v/>
      </c>
      <c r="BR1517" t="str">
        <f t="shared" ca="1" si="473"/>
        <v/>
      </c>
      <c r="BS1517" t="str">
        <f t="shared" ca="1" si="474"/>
        <v/>
      </c>
      <c r="BT1517" t="str">
        <f t="shared" ca="1" si="475"/>
        <v/>
      </c>
      <c r="BU1517" t="str">
        <f t="shared" ca="1" si="476"/>
        <v/>
      </c>
      <c r="BV1517" t="str">
        <f t="shared" ca="1" si="477"/>
        <v/>
      </c>
      <c r="BW1517" t="str">
        <f t="shared" ca="1" si="478"/>
        <v/>
      </c>
      <c r="BX1517" t="str">
        <f t="shared" ca="1" si="479"/>
        <v/>
      </c>
      <c r="BY1517" t="str">
        <f t="shared" ca="1" si="480"/>
        <v/>
      </c>
      <c r="BZ1517" t="str">
        <f t="shared" ca="1" si="481"/>
        <v/>
      </c>
      <c r="CA1517" t="str">
        <f t="shared" ca="1" si="482"/>
        <v/>
      </c>
      <c r="CC1517" s="482" t="str">
        <f t="shared" ca="1" si="483"/>
        <v/>
      </c>
      <c r="CD1517" s="483" t="str">
        <f t="shared" ca="1" si="484"/>
        <v/>
      </c>
      <c r="CE1517" s="483" t="str">
        <f t="shared" ca="1" si="485"/>
        <v/>
      </c>
      <c r="CF1517" s="483" t="str">
        <f t="shared" ca="1" si="486"/>
        <v/>
      </c>
      <c r="CG1517" s="482" t="str">
        <f t="shared" ca="1" si="487"/>
        <v/>
      </c>
      <c r="CH1517" s="483" t="str">
        <f t="shared" ca="1" si="488"/>
        <v/>
      </c>
      <c r="CI1517" s="483" t="str">
        <f t="shared" ca="1" si="489"/>
        <v/>
      </c>
      <c r="CJ1517" s="484" t="str">
        <f t="shared" ca="1" si="490"/>
        <v/>
      </c>
      <c r="CK1517" s="483" t="str">
        <f t="shared" ca="1" si="491"/>
        <v/>
      </c>
      <c r="CL1517" s="483" t="str">
        <f t="shared" ca="1" si="492"/>
        <v/>
      </c>
      <c r="CM1517" s="483" t="str">
        <f t="shared" ca="1" si="493"/>
        <v/>
      </c>
      <c r="CN1517" s="483" t="str">
        <f t="shared" ca="1" si="494"/>
        <v/>
      </c>
      <c r="CO1517" s="482" t="str">
        <f t="shared" ca="1" si="495"/>
        <v/>
      </c>
      <c r="CP1517" s="483" t="str">
        <f t="shared" ca="1" si="496"/>
        <v/>
      </c>
      <c r="CQ1517" s="483" t="str">
        <f t="shared" ca="1" si="497"/>
        <v/>
      </c>
      <c r="CR1517" s="484" t="str">
        <f t="shared" ca="1" si="498"/>
        <v/>
      </c>
      <c r="CV1517" s="454">
        <f t="array" ref="CV1517">IFERROR(INDEX(Montageplatten[Höhe],LARGE((Montageplatten[konf Rahmenbed]=$L$70)*(ROW(Montageplatten[konf Rahmenbed])-1),COUNTIF(Montageplatten[konf Rahmenbed],$L$70)+1-ROW(A14))),"")</f>
        <v>6</v>
      </c>
      <c r="CW1517">
        <f t="shared" si="409"/>
        <v>1</v>
      </c>
      <c r="CX1517" s="1057"/>
    </row>
    <row r="1518" spans="1:102" hidden="1" outlineLevel="1" x14ac:dyDescent="0.25">
      <c r="A1518">
        <f t="shared" ca="1" si="435"/>
        <v>1</v>
      </c>
      <c r="B1518" s="170">
        <f t="shared" ca="1" si="410"/>
        <v>20</v>
      </c>
      <c r="C1518">
        <f t="shared" ca="1" si="500"/>
        <v>0</v>
      </c>
      <c r="D1518">
        <f t="shared" ca="1" si="499"/>
        <v>-3</v>
      </c>
      <c r="E1518">
        <f t="shared" ca="1" si="436"/>
        <v>-9.5</v>
      </c>
      <c r="F1518">
        <f t="shared" ca="1" si="437"/>
        <v>-19</v>
      </c>
      <c r="G1518" t="e">
        <f t="shared" ca="1" si="438"/>
        <v>#VALUE!</v>
      </c>
      <c r="H1518" t="e">
        <f t="shared" ca="1" si="439"/>
        <v>#VALUE!</v>
      </c>
      <c r="I1518" t="e">
        <f t="shared" ca="1" si="440"/>
        <v>#VALUE!</v>
      </c>
      <c r="J1518" t="e">
        <f t="shared" ca="1" si="441"/>
        <v>#VALUE!</v>
      </c>
      <c r="K1518" t="e">
        <f t="shared" ca="1" si="442"/>
        <v>#VALUE!</v>
      </c>
      <c r="L1518" t="e">
        <f t="shared" ca="1" si="443"/>
        <v>#VALUE!</v>
      </c>
      <c r="M1518" t="e">
        <f t="shared" ca="1" si="444"/>
        <v>#VALUE!</v>
      </c>
      <c r="N1518" t="e">
        <f t="shared" ca="1" si="445"/>
        <v>#VALUE!</v>
      </c>
      <c r="O1518">
        <f t="shared" ca="1" si="446"/>
        <v>-14</v>
      </c>
      <c r="P1518" t="e">
        <f t="shared" ca="1" si="447"/>
        <v>#VALUE!</v>
      </c>
      <c r="Q1518" t="e">
        <f t="shared" ca="1" si="448"/>
        <v>#VALUE!</v>
      </c>
      <c r="R1518" t="e">
        <f t="shared" ca="1" si="449"/>
        <v>#VALUE!</v>
      </c>
      <c r="U1518" s="485">
        <f t="shared" ca="1" si="450"/>
        <v>1</v>
      </c>
      <c r="V1518" s="486" t="str">
        <f t="shared" ca="1" si="411"/>
        <v/>
      </c>
      <c r="W1518" s="486" t="str">
        <f t="shared" ca="1" si="412"/>
        <v/>
      </c>
      <c r="X1518" s="486" t="str">
        <f t="shared" ca="1" si="413"/>
        <v/>
      </c>
      <c r="Y1518" s="485" t="str">
        <f t="shared" ca="1" si="414"/>
        <v/>
      </c>
      <c r="Z1518" s="486" t="str">
        <f t="shared" ca="1" si="415"/>
        <v/>
      </c>
      <c r="AA1518" s="486" t="str">
        <f t="shared" ca="1" si="416"/>
        <v/>
      </c>
      <c r="AB1518" s="486" t="str">
        <f t="shared" ca="1" si="417"/>
        <v/>
      </c>
      <c r="AC1518" s="485" t="str">
        <f t="shared" ca="1" si="418"/>
        <v/>
      </c>
      <c r="AD1518" s="486" t="str">
        <f t="shared" ca="1" si="419"/>
        <v/>
      </c>
      <c r="AE1518" s="486" t="str">
        <f t="shared" ca="1" si="420"/>
        <v/>
      </c>
      <c r="AF1518" s="486" t="str">
        <f t="shared" ca="1" si="421"/>
        <v/>
      </c>
      <c r="AG1518" s="485" t="str">
        <f t="shared" ca="1" si="422"/>
        <v/>
      </c>
      <c r="AH1518" s="486" t="str">
        <f t="shared" ca="1" si="423"/>
        <v/>
      </c>
      <c r="AI1518" s="486" t="str">
        <f t="shared" ca="1" si="424"/>
        <v/>
      </c>
      <c r="AJ1518" s="486" t="str">
        <f t="shared" ca="1" si="425"/>
        <v/>
      </c>
      <c r="AK1518" s="474" t="str">
        <f t="shared" ca="1" si="451"/>
        <v/>
      </c>
      <c r="AL1518" s="480" t="str">
        <f t="shared" ca="1" si="452"/>
        <v>-</v>
      </c>
      <c r="AM1518" s="476" t="str">
        <f t="shared" ca="1" si="453"/>
        <v/>
      </c>
      <c r="AN1518" s="475" t="str">
        <f t="shared" ca="1" si="454"/>
        <v>-</v>
      </c>
      <c r="AO1518" s="460" t="str">
        <f t="shared" ca="1" si="455"/>
        <v/>
      </c>
      <c r="AP1518" s="480" t="str">
        <f t="shared" ca="1" si="456"/>
        <v>-</v>
      </c>
      <c r="AQ1518" s="477" t="str">
        <f t="shared" ca="1" si="457"/>
        <v/>
      </c>
      <c r="AR1518" s="480" t="str">
        <f t="shared" ca="1" si="458"/>
        <v>-</v>
      </c>
      <c r="AS1518" s="34"/>
      <c r="AT1518" s="490" t="str">
        <f t="shared" ca="1" si="426"/>
        <v/>
      </c>
      <c r="AU1518" s="491" t="str">
        <f t="shared" ca="1" si="427"/>
        <v/>
      </c>
      <c r="AV1518" s="491" t="str">
        <f t="shared" ca="1" si="428"/>
        <v/>
      </c>
      <c r="AW1518" s="492" t="str">
        <f t="shared" ca="1" si="429"/>
        <v/>
      </c>
      <c r="AX1518" s="34"/>
      <c r="AY1518" s="474" t="str">
        <f t="shared" ca="1" si="459"/>
        <v/>
      </c>
      <c r="AZ1518" s="480" t="str">
        <f t="shared" ca="1" si="460"/>
        <v>-</v>
      </c>
      <c r="BA1518" s="476" t="str">
        <f t="shared" ca="1" si="461"/>
        <v/>
      </c>
      <c r="BB1518" s="480" t="str">
        <f t="shared" ca="1" si="462"/>
        <v>-</v>
      </c>
      <c r="BC1518" s="460" t="str">
        <f t="shared" ca="1" si="463"/>
        <v/>
      </c>
      <c r="BD1518" s="480" t="str">
        <f t="shared" ca="1" si="464"/>
        <v>-</v>
      </c>
      <c r="BE1518" s="477" t="str">
        <f t="shared" ca="1" si="465"/>
        <v/>
      </c>
      <c r="BF1518" s="480" t="str">
        <f t="shared" ca="1" si="466"/>
        <v>-</v>
      </c>
      <c r="BG1518" s="488" t="str">
        <f t="shared" ca="1" si="430"/>
        <v/>
      </c>
      <c r="BH1518" s="483" t="str">
        <f t="shared" ca="1" si="431"/>
        <v/>
      </c>
      <c r="BI1518" s="483" t="str">
        <f t="shared" ca="1" si="432"/>
        <v/>
      </c>
      <c r="BJ1518" s="489" t="str">
        <f t="shared" ca="1" si="433"/>
        <v/>
      </c>
      <c r="BL1518" t="str">
        <f t="shared" ca="1" si="467"/>
        <v/>
      </c>
      <c r="BM1518" t="str">
        <f t="shared" ca="1" si="468"/>
        <v/>
      </c>
      <c r="BN1518" t="str">
        <f t="shared" ca="1" si="469"/>
        <v/>
      </c>
      <c r="BO1518" t="str">
        <f t="shared" ca="1" si="470"/>
        <v/>
      </c>
      <c r="BP1518" t="str">
        <f t="shared" ca="1" si="471"/>
        <v/>
      </c>
      <c r="BQ1518" t="str">
        <f t="shared" ca="1" si="472"/>
        <v/>
      </c>
      <c r="BR1518" t="str">
        <f t="shared" ca="1" si="473"/>
        <v/>
      </c>
      <c r="BS1518" t="str">
        <f t="shared" ca="1" si="474"/>
        <v/>
      </c>
      <c r="BT1518" t="str">
        <f t="shared" ca="1" si="475"/>
        <v/>
      </c>
      <c r="BU1518" t="str">
        <f t="shared" ca="1" si="476"/>
        <v/>
      </c>
      <c r="BV1518" t="str">
        <f t="shared" ca="1" si="477"/>
        <v/>
      </c>
      <c r="BW1518" t="str">
        <f t="shared" ca="1" si="478"/>
        <v/>
      </c>
      <c r="BX1518" t="str">
        <f t="shared" ca="1" si="479"/>
        <v/>
      </c>
      <c r="BY1518" t="str">
        <f t="shared" ca="1" si="480"/>
        <v/>
      </c>
      <c r="BZ1518" t="str">
        <f t="shared" ca="1" si="481"/>
        <v/>
      </c>
      <c r="CA1518" t="str">
        <f t="shared" ca="1" si="482"/>
        <v/>
      </c>
      <c r="CC1518" s="482" t="str">
        <f t="shared" ca="1" si="483"/>
        <v/>
      </c>
      <c r="CD1518" s="483" t="str">
        <f t="shared" ca="1" si="484"/>
        <v/>
      </c>
      <c r="CE1518" s="483" t="str">
        <f t="shared" ca="1" si="485"/>
        <v/>
      </c>
      <c r="CF1518" s="483" t="str">
        <f t="shared" ca="1" si="486"/>
        <v/>
      </c>
      <c r="CG1518" s="482" t="str">
        <f t="shared" ca="1" si="487"/>
        <v/>
      </c>
      <c r="CH1518" s="483" t="str">
        <f t="shared" ca="1" si="488"/>
        <v/>
      </c>
      <c r="CI1518" s="483" t="str">
        <f t="shared" ca="1" si="489"/>
        <v/>
      </c>
      <c r="CJ1518" s="484" t="str">
        <f t="shared" ca="1" si="490"/>
        <v/>
      </c>
      <c r="CK1518" s="483" t="str">
        <f t="shared" ca="1" si="491"/>
        <v/>
      </c>
      <c r="CL1518" s="483" t="str">
        <f t="shared" ca="1" si="492"/>
        <v/>
      </c>
      <c r="CM1518" s="483" t="str">
        <f t="shared" ca="1" si="493"/>
        <v/>
      </c>
      <c r="CN1518" s="483" t="str">
        <f t="shared" ca="1" si="494"/>
        <v/>
      </c>
      <c r="CO1518" s="482" t="str">
        <f t="shared" ca="1" si="495"/>
        <v/>
      </c>
      <c r="CP1518" s="483" t="str">
        <f t="shared" ca="1" si="496"/>
        <v/>
      </c>
      <c r="CQ1518" s="483" t="str">
        <f t="shared" ca="1" si="497"/>
        <v/>
      </c>
      <c r="CR1518" s="484" t="str">
        <f t="shared" ca="1" si="498"/>
        <v/>
      </c>
      <c r="CV1518" s="454">
        <f t="array" ref="CV1518">IFERROR(INDEX(Montageplatten[Höhe],LARGE((Montageplatten[konf Rahmenbed]=$L$70)*(ROW(Montageplatten[konf Rahmenbed])-1),COUNTIF(Montageplatten[konf Rahmenbed],$L$70)+1-ROW(A15))),"")</f>
        <v>8</v>
      </c>
      <c r="CW1518">
        <f t="shared" si="409"/>
        <v>1</v>
      </c>
      <c r="CX1518" s="1057"/>
    </row>
    <row r="1519" spans="1:102" hidden="1" outlineLevel="1" x14ac:dyDescent="0.25">
      <c r="A1519">
        <f t="shared" ca="1" si="435"/>
        <v>0</v>
      </c>
      <c r="B1519" s="170" t="str">
        <f t="shared" ca="1" si="410"/>
        <v>---------</v>
      </c>
      <c r="C1519" t="e">
        <f t="shared" ca="1" si="500"/>
        <v>#VALUE!</v>
      </c>
      <c r="D1519" t="e">
        <f t="shared" ca="1" si="499"/>
        <v>#VALUE!</v>
      </c>
      <c r="E1519" t="e">
        <f t="shared" ca="1" si="436"/>
        <v>#VALUE!</v>
      </c>
      <c r="F1519" t="e">
        <f t="shared" ca="1" si="437"/>
        <v>#VALUE!</v>
      </c>
      <c r="G1519" t="e">
        <f t="shared" ca="1" si="438"/>
        <v>#VALUE!</v>
      </c>
      <c r="H1519" t="e">
        <f t="shared" ca="1" si="439"/>
        <v>#VALUE!</v>
      </c>
      <c r="I1519" t="e">
        <f t="shared" ca="1" si="440"/>
        <v>#VALUE!</v>
      </c>
      <c r="J1519" t="e">
        <f t="shared" ca="1" si="441"/>
        <v>#VALUE!</v>
      </c>
      <c r="K1519" t="e">
        <f t="shared" ca="1" si="442"/>
        <v>#VALUE!</v>
      </c>
      <c r="L1519" t="e">
        <f t="shared" ca="1" si="443"/>
        <v>#VALUE!</v>
      </c>
      <c r="M1519" t="e">
        <f t="shared" ca="1" si="444"/>
        <v>#VALUE!</v>
      </c>
      <c r="N1519" t="e">
        <f t="shared" ca="1" si="445"/>
        <v>#VALUE!</v>
      </c>
      <c r="O1519" t="e">
        <f t="shared" ca="1" si="446"/>
        <v>#VALUE!</v>
      </c>
      <c r="P1519" t="e">
        <f t="shared" ca="1" si="447"/>
        <v>#VALUE!</v>
      </c>
      <c r="Q1519" t="e">
        <f t="shared" ca="1" si="448"/>
        <v>#VALUE!</v>
      </c>
      <c r="R1519" t="e">
        <f t="shared" ca="1" si="449"/>
        <v>#VALUE!</v>
      </c>
      <c r="U1519" s="485" t="str">
        <f t="shared" ca="1" si="450"/>
        <v/>
      </c>
      <c r="V1519" s="486" t="str">
        <f t="shared" ca="1" si="411"/>
        <v/>
      </c>
      <c r="W1519" s="486" t="str">
        <f t="shared" ca="1" si="412"/>
        <v/>
      </c>
      <c r="X1519" s="486" t="str">
        <f t="shared" ca="1" si="413"/>
        <v/>
      </c>
      <c r="Y1519" s="485" t="str">
        <f t="shared" ca="1" si="414"/>
        <v/>
      </c>
      <c r="Z1519" s="486" t="str">
        <f t="shared" ca="1" si="415"/>
        <v/>
      </c>
      <c r="AA1519" s="486" t="str">
        <f t="shared" ca="1" si="416"/>
        <v/>
      </c>
      <c r="AB1519" s="486" t="str">
        <f t="shared" ca="1" si="417"/>
        <v/>
      </c>
      <c r="AC1519" s="485" t="str">
        <f t="shared" ca="1" si="418"/>
        <v/>
      </c>
      <c r="AD1519" s="486" t="str">
        <f t="shared" ca="1" si="419"/>
        <v/>
      </c>
      <c r="AE1519" s="486" t="str">
        <f t="shared" ca="1" si="420"/>
        <v/>
      </c>
      <c r="AF1519" s="486" t="str">
        <f t="shared" ca="1" si="421"/>
        <v/>
      </c>
      <c r="AG1519" s="485" t="str">
        <f t="shared" ca="1" si="422"/>
        <v/>
      </c>
      <c r="AH1519" s="486" t="str">
        <f t="shared" ca="1" si="423"/>
        <v/>
      </c>
      <c r="AI1519" s="486" t="str">
        <f t="shared" ca="1" si="424"/>
        <v/>
      </c>
      <c r="AJ1519" s="486" t="str">
        <f t="shared" ca="1" si="425"/>
        <v/>
      </c>
      <c r="AK1519" s="474" t="str">
        <f t="shared" ca="1" si="451"/>
        <v/>
      </c>
      <c r="AL1519" s="480" t="str">
        <f t="shared" ca="1" si="452"/>
        <v>-</v>
      </c>
      <c r="AM1519" s="476" t="str">
        <f t="shared" ca="1" si="453"/>
        <v/>
      </c>
      <c r="AN1519" s="475" t="str">
        <f t="shared" ca="1" si="454"/>
        <v>-</v>
      </c>
      <c r="AO1519" s="460" t="str">
        <f t="shared" ca="1" si="455"/>
        <v/>
      </c>
      <c r="AP1519" s="480" t="str">
        <f t="shared" ca="1" si="456"/>
        <v>-</v>
      </c>
      <c r="AQ1519" s="477" t="str">
        <f t="shared" ca="1" si="457"/>
        <v/>
      </c>
      <c r="AR1519" s="480" t="str">
        <f t="shared" ca="1" si="458"/>
        <v>-</v>
      </c>
      <c r="AS1519" s="34"/>
      <c r="AT1519" s="490" t="str">
        <f t="shared" ca="1" si="426"/>
        <v/>
      </c>
      <c r="AU1519" s="491" t="str">
        <f t="shared" ca="1" si="427"/>
        <v/>
      </c>
      <c r="AV1519" s="491" t="str">
        <f t="shared" ca="1" si="428"/>
        <v/>
      </c>
      <c r="AW1519" s="492" t="str">
        <f t="shared" ca="1" si="429"/>
        <v/>
      </c>
      <c r="AX1519" s="34"/>
      <c r="AY1519" s="474" t="str">
        <f t="shared" ca="1" si="459"/>
        <v/>
      </c>
      <c r="AZ1519" s="480" t="str">
        <f t="shared" ca="1" si="460"/>
        <v>-</v>
      </c>
      <c r="BA1519" s="476" t="str">
        <f t="shared" ca="1" si="461"/>
        <v/>
      </c>
      <c r="BB1519" s="480" t="str">
        <f t="shared" ca="1" si="462"/>
        <v>-</v>
      </c>
      <c r="BC1519" s="460" t="str">
        <f t="shared" ca="1" si="463"/>
        <v/>
      </c>
      <c r="BD1519" s="480" t="str">
        <f t="shared" ca="1" si="464"/>
        <v>-</v>
      </c>
      <c r="BE1519" s="477" t="str">
        <f t="shared" ca="1" si="465"/>
        <v/>
      </c>
      <c r="BF1519" s="480" t="str">
        <f t="shared" ca="1" si="466"/>
        <v>-</v>
      </c>
      <c r="BG1519" s="488" t="str">
        <f t="shared" ca="1" si="430"/>
        <v/>
      </c>
      <c r="BH1519" s="483" t="str">
        <f t="shared" ca="1" si="431"/>
        <v/>
      </c>
      <c r="BI1519" s="483" t="str">
        <f t="shared" ca="1" si="432"/>
        <v/>
      </c>
      <c r="BJ1519" s="489" t="str">
        <f t="shared" ca="1" si="433"/>
        <v/>
      </c>
      <c r="BL1519" t="str">
        <f t="shared" ca="1" si="467"/>
        <v/>
      </c>
      <c r="BM1519" t="str">
        <f t="shared" ca="1" si="468"/>
        <v/>
      </c>
      <c r="BN1519" t="str">
        <f t="shared" ca="1" si="469"/>
        <v/>
      </c>
      <c r="BO1519" t="str">
        <f t="shared" ca="1" si="470"/>
        <v/>
      </c>
      <c r="BP1519" t="str">
        <f t="shared" ca="1" si="471"/>
        <v/>
      </c>
      <c r="BQ1519" t="str">
        <f t="shared" ca="1" si="472"/>
        <v/>
      </c>
      <c r="BR1519" t="str">
        <f t="shared" ca="1" si="473"/>
        <v/>
      </c>
      <c r="BS1519" t="str">
        <f t="shared" ca="1" si="474"/>
        <v/>
      </c>
      <c r="BT1519" t="str">
        <f t="shared" ca="1" si="475"/>
        <v/>
      </c>
      <c r="BU1519" t="str">
        <f t="shared" ca="1" si="476"/>
        <v/>
      </c>
      <c r="BV1519" t="str">
        <f t="shared" ca="1" si="477"/>
        <v/>
      </c>
      <c r="BW1519" t="str">
        <f t="shared" ca="1" si="478"/>
        <v/>
      </c>
      <c r="BX1519" t="str">
        <f t="shared" ca="1" si="479"/>
        <v/>
      </c>
      <c r="BY1519" t="str">
        <f t="shared" ca="1" si="480"/>
        <v/>
      </c>
      <c r="BZ1519" t="str">
        <f t="shared" ca="1" si="481"/>
        <v/>
      </c>
      <c r="CA1519" t="str">
        <f t="shared" ca="1" si="482"/>
        <v/>
      </c>
      <c r="CC1519" s="482" t="str">
        <f t="shared" ca="1" si="483"/>
        <v/>
      </c>
      <c r="CD1519" s="483" t="str">
        <f t="shared" ca="1" si="484"/>
        <v/>
      </c>
      <c r="CE1519" s="483" t="str">
        <f t="shared" ca="1" si="485"/>
        <v/>
      </c>
      <c r="CF1519" s="483" t="str">
        <f t="shared" ca="1" si="486"/>
        <v/>
      </c>
      <c r="CG1519" s="482" t="str">
        <f t="shared" ca="1" si="487"/>
        <v/>
      </c>
      <c r="CH1519" s="483" t="str">
        <f t="shared" ca="1" si="488"/>
        <v/>
      </c>
      <c r="CI1519" s="483" t="str">
        <f t="shared" ca="1" si="489"/>
        <v/>
      </c>
      <c r="CJ1519" s="484" t="str">
        <f t="shared" ca="1" si="490"/>
        <v/>
      </c>
      <c r="CK1519" s="483" t="str">
        <f t="shared" ca="1" si="491"/>
        <v/>
      </c>
      <c r="CL1519" s="483" t="str">
        <f t="shared" ca="1" si="492"/>
        <v/>
      </c>
      <c r="CM1519" s="483" t="str">
        <f t="shared" ca="1" si="493"/>
        <v/>
      </c>
      <c r="CN1519" s="483" t="str">
        <f t="shared" ca="1" si="494"/>
        <v/>
      </c>
      <c r="CO1519" s="482" t="str">
        <f t="shared" ca="1" si="495"/>
        <v/>
      </c>
      <c r="CP1519" s="483" t="str">
        <f t="shared" ca="1" si="496"/>
        <v/>
      </c>
      <c r="CQ1519" s="483" t="str">
        <f t="shared" ca="1" si="497"/>
        <v/>
      </c>
      <c r="CR1519" s="484" t="str">
        <f t="shared" ca="1" si="498"/>
        <v/>
      </c>
      <c r="CV1519" s="454">
        <f t="array" ref="CV1519">IFERROR(INDEX(Montageplatten[Höhe],LARGE((Montageplatten[konf Rahmenbed]=$L$70)*(ROW(Montageplatten[konf Rahmenbed])-1),COUNTIF(Montageplatten[konf Rahmenbed],$L$70)+1-ROW(A16))),"")</f>
        <v>9</v>
      </c>
      <c r="CW1519">
        <f t="shared" si="409"/>
        <v>1</v>
      </c>
      <c r="CX1519" s="1057"/>
    </row>
    <row r="1520" spans="1:102" hidden="1" outlineLevel="1" x14ac:dyDescent="0.25">
      <c r="A1520">
        <f t="shared" ca="1" si="435"/>
        <v>1</v>
      </c>
      <c r="B1520" s="170">
        <f t="shared" ca="1" si="410"/>
        <v>19</v>
      </c>
      <c r="C1520">
        <f t="shared" ca="1" si="500"/>
        <v>1</v>
      </c>
      <c r="D1520">
        <f t="shared" ca="1" si="499"/>
        <v>-2</v>
      </c>
      <c r="E1520">
        <f t="shared" ca="1" si="436"/>
        <v>-8.5</v>
      </c>
      <c r="F1520">
        <f t="shared" ca="1" si="437"/>
        <v>-18</v>
      </c>
      <c r="G1520" t="e">
        <f t="shared" ca="1" si="438"/>
        <v>#VALUE!</v>
      </c>
      <c r="H1520" t="e">
        <f t="shared" ca="1" si="439"/>
        <v>#VALUE!</v>
      </c>
      <c r="I1520" t="e">
        <f t="shared" ca="1" si="440"/>
        <v>#VALUE!</v>
      </c>
      <c r="J1520" t="e">
        <f t="shared" ca="1" si="441"/>
        <v>#VALUE!</v>
      </c>
      <c r="K1520" t="e">
        <f t="shared" ca="1" si="442"/>
        <v>#VALUE!</v>
      </c>
      <c r="L1520" t="e">
        <f t="shared" ca="1" si="443"/>
        <v>#VALUE!</v>
      </c>
      <c r="M1520" t="e">
        <f t="shared" ca="1" si="444"/>
        <v>#VALUE!</v>
      </c>
      <c r="N1520" t="e">
        <f t="shared" ca="1" si="445"/>
        <v>#VALUE!</v>
      </c>
      <c r="O1520">
        <f t="shared" ca="1" si="446"/>
        <v>-13</v>
      </c>
      <c r="P1520" t="e">
        <f t="shared" ca="1" si="447"/>
        <v>#VALUE!</v>
      </c>
      <c r="Q1520" t="e">
        <f t="shared" ca="1" si="448"/>
        <v>#VALUE!</v>
      </c>
      <c r="R1520" t="e">
        <f t="shared" ca="1" si="449"/>
        <v>#VALUE!</v>
      </c>
      <c r="U1520" s="485" t="str">
        <f t="shared" ca="1" si="450"/>
        <v/>
      </c>
      <c r="V1520" s="486">
        <f t="shared" ca="1" si="411"/>
        <v>1</v>
      </c>
      <c r="W1520" s="486" t="str">
        <f t="shared" ca="1" si="412"/>
        <v/>
      </c>
      <c r="X1520" s="486" t="str">
        <f t="shared" ca="1" si="413"/>
        <v/>
      </c>
      <c r="Y1520" s="485" t="str">
        <f t="shared" ca="1" si="414"/>
        <v/>
      </c>
      <c r="Z1520" s="486" t="str">
        <f t="shared" ca="1" si="415"/>
        <v/>
      </c>
      <c r="AA1520" s="486" t="str">
        <f t="shared" ca="1" si="416"/>
        <v/>
      </c>
      <c r="AB1520" s="486" t="str">
        <f t="shared" ca="1" si="417"/>
        <v/>
      </c>
      <c r="AC1520" s="485" t="str">
        <f t="shared" ca="1" si="418"/>
        <v/>
      </c>
      <c r="AD1520" s="486" t="str">
        <f t="shared" ca="1" si="419"/>
        <v/>
      </c>
      <c r="AE1520" s="486" t="str">
        <f t="shared" ca="1" si="420"/>
        <v/>
      </c>
      <c r="AF1520" s="486" t="str">
        <f t="shared" ca="1" si="421"/>
        <v/>
      </c>
      <c r="AG1520" s="485" t="str">
        <f t="shared" ca="1" si="422"/>
        <v/>
      </c>
      <c r="AH1520" s="486" t="str">
        <f t="shared" ca="1" si="423"/>
        <v/>
      </c>
      <c r="AI1520" s="486" t="str">
        <f t="shared" ca="1" si="424"/>
        <v/>
      </c>
      <c r="AJ1520" s="486" t="str">
        <f t="shared" ca="1" si="425"/>
        <v/>
      </c>
      <c r="AK1520" s="474" t="str">
        <f t="shared" ca="1" si="451"/>
        <v/>
      </c>
      <c r="AL1520" s="480" t="str">
        <f t="shared" ca="1" si="452"/>
        <v>-</v>
      </c>
      <c r="AM1520" s="476" t="str">
        <f t="shared" ca="1" si="453"/>
        <v/>
      </c>
      <c r="AN1520" s="475" t="str">
        <f t="shared" ca="1" si="454"/>
        <v>-</v>
      </c>
      <c r="AO1520" s="460" t="str">
        <f t="shared" ca="1" si="455"/>
        <v/>
      </c>
      <c r="AP1520" s="480" t="str">
        <f t="shared" ca="1" si="456"/>
        <v>-</v>
      </c>
      <c r="AQ1520" s="477" t="str">
        <f t="shared" ca="1" si="457"/>
        <v/>
      </c>
      <c r="AR1520" s="480" t="str">
        <f t="shared" ca="1" si="458"/>
        <v>-</v>
      </c>
      <c r="AS1520" s="34"/>
      <c r="AT1520" s="490" t="str">
        <f t="shared" ca="1" si="426"/>
        <v/>
      </c>
      <c r="AU1520" s="491" t="str">
        <f t="shared" ca="1" si="427"/>
        <v/>
      </c>
      <c r="AV1520" s="491" t="str">
        <f t="shared" ca="1" si="428"/>
        <v/>
      </c>
      <c r="AW1520" s="492" t="str">
        <f t="shared" ca="1" si="429"/>
        <v/>
      </c>
      <c r="AX1520" s="34"/>
      <c r="AY1520" s="474" t="str">
        <f t="shared" ca="1" si="459"/>
        <v/>
      </c>
      <c r="AZ1520" s="480" t="str">
        <f t="shared" ca="1" si="460"/>
        <v>-</v>
      </c>
      <c r="BA1520" s="476" t="str">
        <f t="shared" ca="1" si="461"/>
        <v/>
      </c>
      <c r="BB1520" s="480" t="str">
        <f t="shared" ca="1" si="462"/>
        <v>-</v>
      </c>
      <c r="BC1520" s="460" t="str">
        <f t="shared" ca="1" si="463"/>
        <v/>
      </c>
      <c r="BD1520" s="480" t="str">
        <f t="shared" ca="1" si="464"/>
        <v>-</v>
      </c>
      <c r="BE1520" s="477" t="str">
        <f t="shared" ca="1" si="465"/>
        <v/>
      </c>
      <c r="BF1520" s="480" t="str">
        <f t="shared" ca="1" si="466"/>
        <v>-</v>
      </c>
      <c r="BG1520" s="488" t="str">
        <f t="shared" ca="1" si="430"/>
        <v/>
      </c>
      <c r="BH1520" s="483" t="str">
        <f t="shared" ca="1" si="431"/>
        <v/>
      </c>
      <c r="BI1520" s="483" t="str">
        <f t="shared" ca="1" si="432"/>
        <v/>
      </c>
      <c r="BJ1520" s="489" t="str">
        <f t="shared" ca="1" si="433"/>
        <v/>
      </c>
      <c r="BL1520" t="str">
        <f t="shared" ca="1" si="467"/>
        <v/>
      </c>
      <c r="BM1520" t="str">
        <f t="shared" ca="1" si="468"/>
        <v/>
      </c>
      <c r="BN1520" t="str">
        <f t="shared" ca="1" si="469"/>
        <v/>
      </c>
      <c r="BO1520" t="str">
        <f t="shared" ca="1" si="470"/>
        <v/>
      </c>
      <c r="BP1520" t="str">
        <f t="shared" ca="1" si="471"/>
        <v/>
      </c>
      <c r="BQ1520" t="str">
        <f t="shared" ca="1" si="472"/>
        <v/>
      </c>
      <c r="BR1520" t="str">
        <f t="shared" ca="1" si="473"/>
        <v/>
      </c>
      <c r="BS1520" t="str">
        <f t="shared" ca="1" si="474"/>
        <v/>
      </c>
      <c r="BT1520" t="str">
        <f t="shared" ca="1" si="475"/>
        <v/>
      </c>
      <c r="BU1520" t="str">
        <f t="shared" ca="1" si="476"/>
        <v/>
      </c>
      <c r="BV1520" t="str">
        <f t="shared" ca="1" si="477"/>
        <v/>
      </c>
      <c r="BW1520" t="str">
        <f t="shared" ca="1" si="478"/>
        <v/>
      </c>
      <c r="BX1520" t="str">
        <f t="shared" ca="1" si="479"/>
        <v/>
      </c>
      <c r="BY1520" t="str">
        <f t="shared" ca="1" si="480"/>
        <v/>
      </c>
      <c r="BZ1520" t="str">
        <f t="shared" ca="1" si="481"/>
        <v/>
      </c>
      <c r="CA1520" t="str">
        <f t="shared" ca="1" si="482"/>
        <v/>
      </c>
      <c r="CC1520" s="482" t="str">
        <f t="shared" ca="1" si="483"/>
        <v/>
      </c>
      <c r="CD1520" s="483" t="str">
        <f t="shared" ca="1" si="484"/>
        <v/>
      </c>
      <c r="CE1520" s="483" t="str">
        <f t="shared" ca="1" si="485"/>
        <v/>
      </c>
      <c r="CF1520" s="483" t="str">
        <f t="shared" ca="1" si="486"/>
        <v/>
      </c>
      <c r="CG1520" s="482" t="str">
        <f t="shared" ca="1" si="487"/>
        <v/>
      </c>
      <c r="CH1520" s="483" t="str">
        <f t="shared" ca="1" si="488"/>
        <v/>
      </c>
      <c r="CI1520" s="483" t="str">
        <f t="shared" ca="1" si="489"/>
        <v/>
      </c>
      <c r="CJ1520" s="484" t="str">
        <f t="shared" ca="1" si="490"/>
        <v/>
      </c>
      <c r="CK1520" s="483" t="str">
        <f t="shared" ca="1" si="491"/>
        <v/>
      </c>
      <c r="CL1520" s="483" t="str">
        <f t="shared" ca="1" si="492"/>
        <v/>
      </c>
      <c r="CM1520" s="483" t="str">
        <f t="shared" ca="1" si="493"/>
        <v/>
      </c>
      <c r="CN1520" s="483" t="str">
        <f t="shared" ca="1" si="494"/>
        <v/>
      </c>
      <c r="CO1520" s="482" t="str">
        <f t="shared" ca="1" si="495"/>
        <v/>
      </c>
      <c r="CP1520" s="483" t="str">
        <f t="shared" ca="1" si="496"/>
        <v/>
      </c>
      <c r="CQ1520" s="483" t="str">
        <f t="shared" ca="1" si="497"/>
        <v/>
      </c>
      <c r="CR1520" s="484" t="str">
        <f t="shared" ca="1" si="498"/>
        <v/>
      </c>
      <c r="CV1520" s="454">
        <f t="array" ref="CV1520">IFERROR(INDEX(Montageplatten[Höhe],LARGE((Montageplatten[konf Rahmenbed]=$L$70)*(ROW(Montageplatten[konf Rahmenbed])-1),COUNTIF(Montageplatten[konf Rahmenbed],$L$70)+1-ROW(A17))),"")</f>
        <v>9.5</v>
      </c>
      <c r="CW1520">
        <f t="shared" si="409"/>
        <v>1</v>
      </c>
      <c r="CX1520" s="1057"/>
    </row>
    <row r="1521" spans="1:102" hidden="1" outlineLevel="1" x14ac:dyDescent="0.25">
      <c r="A1521">
        <f t="shared" ca="1" si="435"/>
        <v>0</v>
      </c>
      <c r="B1521" s="170">
        <f t="shared" ca="1" si="410"/>
        <v>18.5</v>
      </c>
      <c r="C1521">
        <f t="shared" ca="1" si="500"/>
        <v>1.5</v>
      </c>
      <c r="D1521">
        <f t="shared" ca="1" si="499"/>
        <v>-1.5</v>
      </c>
      <c r="E1521">
        <f t="shared" ca="1" si="436"/>
        <v>-8</v>
      </c>
      <c r="F1521">
        <f t="shared" ca="1" si="437"/>
        <v>-17.5</v>
      </c>
      <c r="G1521" t="e">
        <f t="shared" ca="1" si="438"/>
        <v>#VALUE!</v>
      </c>
      <c r="H1521" t="e">
        <f t="shared" ca="1" si="439"/>
        <v>#VALUE!</v>
      </c>
      <c r="I1521" t="e">
        <f t="shared" ca="1" si="440"/>
        <v>#VALUE!</v>
      </c>
      <c r="J1521" t="e">
        <f t="shared" ca="1" si="441"/>
        <v>#VALUE!</v>
      </c>
      <c r="K1521" t="e">
        <f t="shared" ca="1" si="442"/>
        <v>#VALUE!</v>
      </c>
      <c r="L1521" t="e">
        <f t="shared" ca="1" si="443"/>
        <v>#VALUE!</v>
      </c>
      <c r="M1521" t="e">
        <f t="shared" ca="1" si="444"/>
        <v>#VALUE!</v>
      </c>
      <c r="N1521" t="e">
        <f t="shared" ca="1" si="445"/>
        <v>#VALUE!</v>
      </c>
      <c r="O1521">
        <f t="shared" ca="1" si="446"/>
        <v>-12.5</v>
      </c>
      <c r="P1521" t="e">
        <f t="shared" ca="1" si="447"/>
        <v>#VALUE!</v>
      </c>
      <c r="Q1521" t="e">
        <f t="shared" ca="1" si="448"/>
        <v>#VALUE!</v>
      </c>
      <c r="R1521" t="e">
        <f t="shared" ca="1" si="449"/>
        <v>#VALUE!</v>
      </c>
      <c r="U1521" s="485" t="str">
        <f t="shared" ca="1" si="450"/>
        <v/>
      </c>
      <c r="V1521" s="486" t="str">
        <f t="shared" ca="1" si="411"/>
        <v/>
      </c>
      <c r="W1521" s="486" t="str">
        <f t="shared" ca="1" si="412"/>
        <v/>
      </c>
      <c r="X1521" s="486" t="str">
        <f t="shared" ca="1" si="413"/>
        <v/>
      </c>
      <c r="Y1521" s="485" t="str">
        <f t="shared" ca="1" si="414"/>
        <v/>
      </c>
      <c r="Z1521" s="486" t="str">
        <f t="shared" ca="1" si="415"/>
        <v/>
      </c>
      <c r="AA1521" s="486" t="str">
        <f t="shared" ca="1" si="416"/>
        <v/>
      </c>
      <c r="AB1521" s="486" t="str">
        <f t="shared" ca="1" si="417"/>
        <v/>
      </c>
      <c r="AC1521" s="485" t="str">
        <f t="shared" ca="1" si="418"/>
        <v/>
      </c>
      <c r="AD1521" s="486" t="str">
        <f t="shared" ca="1" si="419"/>
        <v/>
      </c>
      <c r="AE1521" s="486" t="str">
        <f t="shared" ca="1" si="420"/>
        <v/>
      </c>
      <c r="AF1521" s="486" t="str">
        <f t="shared" ca="1" si="421"/>
        <v/>
      </c>
      <c r="AG1521" s="485" t="str">
        <f t="shared" ca="1" si="422"/>
        <v/>
      </c>
      <c r="AH1521" s="486" t="str">
        <f t="shared" ca="1" si="423"/>
        <v/>
      </c>
      <c r="AI1521" s="486" t="str">
        <f t="shared" ca="1" si="424"/>
        <v/>
      </c>
      <c r="AJ1521" s="486" t="str">
        <f t="shared" ca="1" si="425"/>
        <v/>
      </c>
      <c r="AK1521" s="474" t="str">
        <f t="shared" ca="1" si="451"/>
        <v/>
      </c>
      <c r="AL1521" s="480" t="str">
        <f t="shared" ca="1" si="452"/>
        <v>-</v>
      </c>
      <c r="AM1521" s="476" t="str">
        <f t="shared" ca="1" si="453"/>
        <v/>
      </c>
      <c r="AN1521" s="475" t="str">
        <f t="shared" ca="1" si="454"/>
        <v>-</v>
      </c>
      <c r="AO1521" s="460" t="str">
        <f t="shared" ca="1" si="455"/>
        <v/>
      </c>
      <c r="AP1521" s="480" t="str">
        <f t="shared" ca="1" si="456"/>
        <v>-</v>
      </c>
      <c r="AQ1521" s="477" t="str">
        <f t="shared" ca="1" si="457"/>
        <v/>
      </c>
      <c r="AR1521" s="480" t="str">
        <f t="shared" ca="1" si="458"/>
        <v>-</v>
      </c>
      <c r="AS1521" s="34"/>
      <c r="AT1521" s="490" t="str">
        <f t="shared" ca="1" si="426"/>
        <v/>
      </c>
      <c r="AU1521" s="491" t="str">
        <f t="shared" ca="1" si="427"/>
        <v/>
      </c>
      <c r="AV1521" s="491" t="str">
        <f t="shared" ca="1" si="428"/>
        <v/>
      </c>
      <c r="AW1521" s="492" t="str">
        <f t="shared" ca="1" si="429"/>
        <v/>
      </c>
      <c r="AY1521" s="474" t="str">
        <f t="shared" ca="1" si="459"/>
        <v/>
      </c>
      <c r="AZ1521" s="480" t="str">
        <f t="shared" ca="1" si="460"/>
        <v>-</v>
      </c>
      <c r="BA1521" s="476" t="str">
        <f t="shared" ca="1" si="461"/>
        <v/>
      </c>
      <c r="BB1521" s="480" t="str">
        <f t="shared" ca="1" si="462"/>
        <v>-</v>
      </c>
      <c r="BC1521" s="460" t="str">
        <f t="shared" ca="1" si="463"/>
        <v/>
      </c>
      <c r="BD1521" s="480" t="str">
        <f t="shared" ca="1" si="464"/>
        <v>-</v>
      </c>
      <c r="BE1521" s="477" t="str">
        <f t="shared" ca="1" si="465"/>
        <v/>
      </c>
      <c r="BF1521" s="480" t="str">
        <f t="shared" ca="1" si="466"/>
        <v>-</v>
      </c>
      <c r="BG1521" s="488" t="str">
        <f t="shared" ca="1" si="430"/>
        <v/>
      </c>
      <c r="BH1521" s="483" t="str">
        <f t="shared" ca="1" si="431"/>
        <v/>
      </c>
      <c r="BI1521" s="483" t="str">
        <f t="shared" ca="1" si="432"/>
        <v/>
      </c>
      <c r="BJ1521" s="489" t="str">
        <f t="shared" ca="1" si="433"/>
        <v/>
      </c>
      <c r="BL1521" t="str">
        <f t="shared" ca="1" si="467"/>
        <v/>
      </c>
      <c r="BM1521" t="str">
        <f t="shared" ca="1" si="468"/>
        <v/>
      </c>
      <c r="BN1521" t="str">
        <f t="shared" ca="1" si="469"/>
        <v/>
      </c>
      <c r="BO1521" t="str">
        <f t="shared" ca="1" si="470"/>
        <v/>
      </c>
      <c r="BP1521" t="str">
        <f t="shared" ca="1" si="471"/>
        <v/>
      </c>
      <c r="BQ1521" t="str">
        <f t="shared" ca="1" si="472"/>
        <v/>
      </c>
      <c r="BR1521" t="str">
        <f t="shared" ca="1" si="473"/>
        <v/>
      </c>
      <c r="BS1521" t="str">
        <f t="shared" ca="1" si="474"/>
        <v/>
      </c>
      <c r="BT1521" t="str">
        <f t="shared" ca="1" si="475"/>
        <v/>
      </c>
      <c r="BU1521" t="str">
        <f t="shared" ca="1" si="476"/>
        <v/>
      </c>
      <c r="BV1521" t="str">
        <f t="shared" ca="1" si="477"/>
        <v/>
      </c>
      <c r="BW1521" t="str">
        <f t="shared" ca="1" si="478"/>
        <v/>
      </c>
      <c r="BX1521" t="str">
        <f t="shared" ca="1" si="479"/>
        <v/>
      </c>
      <c r="BY1521" t="str">
        <f t="shared" ca="1" si="480"/>
        <v/>
      </c>
      <c r="BZ1521" t="str">
        <f t="shared" ca="1" si="481"/>
        <v/>
      </c>
      <c r="CA1521" t="str">
        <f t="shared" ca="1" si="482"/>
        <v/>
      </c>
      <c r="CC1521" s="482" t="str">
        <f t="shared" ca="1" si="483"/>
        <v/>
      </c>
      <c r="CD1521" s="483" t="str">
        <f t="shared" ca="1" si="484"/>
        <v/>
      </c>
      <c r="CE1521" s="483" t="str">
        <f t="shared" ca="1" si="485"/>
        <v/>
      </c>
      <c r="CF1521" s="483" t="str">
        <f t="shared" ca="1" si="486"/>
        <v/>
      </c>
      <c r="CG1521" s="482" t="str">
        <f t="shared" ca="1" si="487"/>
        <v/>
      </c>
      <c r="CH1521" s="483" t="str">
        <f t="shared" ca="1" si="488"/>
        <v/>
      </c>
      <c r="CI1521" s="483" t="str">
        <f t="shared" ca="1" si="489"/>
        <v/>
      </c>
      <c r="CJ1521" s="484" t="str">
        <f t="shared" ca="1" si="490"/>
        <v/>
      </c>
      <c r="CK1521" s="483" t="str">
        <f t="shared" ca="1" si="491"/>
        <v/>
      </c>
      <c r="CL1521" s="483" t="str">
        <f t="shared" ca="1" si="492"/>
        <v/>
      </c>
      <c r="CM1521" s="483" t="str">
        <f t="shared" ca="1" si="493"/>
        <v/>
      </c>
      <c r="CN1521" s="483" t="str">
        <f t="shared" ca="1" si="494"/>
        <v/>
      </c>
      <c r="CO1521" s="482" t="str">
        <f t="shared" ca="1" si="495"/>
        <v/>
      </c>
      <c r="CP1521" s="483" t="str">
        <f t="shared" ca="1" si="496"/>
        <v/>
      </c>
      <c r="CQ1521" s="483" t="str">
        <f t="shared" ca="1" si="497"/>
        <v/>
      </c>
      <c r="CR1521" s="484" t="str">
        <f t="shared" ca="1" si="498"/>
        <v/>
      </c>
      <c r="CV1521" s="454">
        <f t="array" ref="CV1521">IFERROR(INDEX(Montageplatten[Höhe],LARGE((Montageplatten[konf Rahmenbed]=$L$70)*(ROW(Montageplatten[konf Rahmenbed])-1),COUNTIF(Montageplatten[konf Rahmenbed],$L$70)+1-ROW(A18))),"")</f>
        <v>12</v>
      </c>
      <c r="CW1521">
        <f t="shared" si="409"/>
        <v>1</v>
      </c>
      <c r="CX1521" s="1057"/>
    </row>
    <row r="1522" spans="1:102" hidden="1" outlineLevel="1" x14ac:dyDescent="0.25">
      <c r="A1522">
        <f t="shared" ca="1" si="435"/>
        <v>1</v>
      </c>
      <c r="B1522" s="170">
        <f t="shared" ca="1" si="410"/>
        <v>18</v>
      </c>
      <c r="C1522">
        <f t="shared" ca="1" si="500"/>
        <v>2</v>
      </c>
      <c r="D1522">
        <f t="shared" ca="1" si="499"/>
        <v>-1</v>
      </c>
      <c r="E1522">
        <f t="shared" ca="1" si="436"/>
        <v>-7.5</v>
      </c>
      <c r="F1522">
        <f t="shared" ca="1" si="437"/>
        <v>-17</v>
      </c>
      <c r="G1522" t="e">
        <f t="shared" ca="1" si="438"/>
        <v>#VALUE!</v>
      </c>
      <c r="H1522" t="e">
        <f t="shared" ca="1" si="439"/>
        <v>#VALUE!</v>
      </c>
      <c r="I1522" t="e">
        <f t="shared" ca="1" si="440"/>
        <v>#VALUE!</v>
      </c>
      <c r="J1522" t="e">
        <f t="shared" ca="1" si="441"/>
        <v>#VALUE!</v>
      </c>
      <c r="K1522" t="e">
        <f t="shared" ca="1" si="442"/>
        <v>#VALUE!</v>
      </c>
      <c r="L1522" t="e">
        <f t="shared" ca="1" si="443"/>
        <v>#VALUE!</v>
      </c>
      <c r="M1522" t="e">
        <f t="shared" ca="1" si="444"/>
        <v>#VALUE!</v>
      </c>
      <c r="N1522" t="e">
        <f t="shared" ca="1" si="445"/>
        <v>#VALUE!</v>
      </c>
      <c r="O1522">
        <f t="shared" ca="1" si="446"/>
        <v>-12</v>
      </c>
      <c r="P1522" t="e">
        <f t="shared" ca="1" si="447"/>
        <v>#VALUE!</v>
      </c>
      <c r="Q1522" t="e">
        <f t="shared" ca="1" si="448"/>
        <v>#VALUE!</v>
      </c>
      <c r="R1522" t="e">
        <f t="shared" ca="1" si="449"/>
        <v>#VALUE!</v>
      </c>
      <c r="U1522" s="485">
        <f t="shared" ca="1" si="450"/>
        <v>1</v>
      </c>
      <c r="V1522" s="486" t="str">
        <f t="shared" ca="1" si="411"/>
        <v/>
      </c>
      <c r="W1522" s="486" t="str">
        <f t="shared" ca="1" si="412"/>
        <v/>
      </c>
      <c r="X1522" s="486" t="str">
        <f t="shared" ca="1" si="413"/>
        <v/>
      </c>
      <c r="Y1522" s="485" t="str">
        <f t="shared" ca="1" si="414"/>
        <v/>
      </c>
      <c r="Z1522" s="486" t="str">
        <f t="shared" ca="1" si="415"/>
        <v/>
      </c>
      <c r="AA1522" s="486" t="str">
        <f t="shared" ca="1" si="416"/>
        <v/>
      </c>
      <c r="AB1522" s="486" t="str">
        <f t="shared" ca="1" si="417"/>
        <v/>
      </c>
      <c r="AC1522" s="485" t="str">
        <f t="shared" ca="1" si="418"/>
        <v/>
      </c>
      <c r="AD1522" s="486" t="str">
        <f t="shared" ca="1" si="419"/>
        <v/>
      </c>
      <c r="AE1522" s="486" t="str">
        <f t="shared" ca="1" si="420"/>
        <v/>
      </c>
      <c r="AF1522" s="486" t="str">
        <f t="shared" ca="1" si="421"/>
        <v/>
      </c>
      <c r="AG1522" s="485" t="str">
        <f t="shared" ca="1" si="422"/>
        <v/>
      </c>
      <c r="AH1522" s="486" t="str">
        <f t="shared" ca="1" si="423"/>
        <v/>
      </c>
      <c r="AI1522" s="486" t="str">
        <f t="shared" ca="1" si="424"/>
        <v/>
      </c>
      <c r="AJ1522" s="486" t="str">
        <f t="shared" ca="1" si="425"/>
        <v/>
      </c>
      <c r="AK1522" s="474" t="str">
        <f t="shared" ca="1" si="451"/>
        <v/>
      </c>
      <c r="AL1522" s="480" t="str">
        <f t="shared" ca="1" si="452"/>
        <v>-</v>
      </c>
      <c r="AM1522" s="476" t="str">
        <f t="shared" ca="1" si="453"/>
        <v/>
      </c>
      <c r="AN1522" s="475" t="str">
        <f t="shared" ca="1" si="454"/>
        <v>-</v>
      </c>
      <c r="AO1522" s="460" t="str">
        <f t="shared" ca="1" si="455"/>
        <v/>
      </c>
      <c r="AP1522" s="480" t="str">
        <f t="shared" ca="1" si="456"/>
        <v>-</v>
      </c>
      <c r="AQ1522" s="477" t="str">
        <f t="shared" ca="1" si="457"/>
        <v/>
      </c>
      <c r="AR1522" s="480" t="str">
        <f t="shared" ca="1" si="458"/>
        <v>-</v>
      </c>
      <c r="AS1522" s="34"/>
      <c r="AT1522" s="490" t="str">
        <f t="shared" ca="1" si="426"/>
        <v/>
      </c>
      <c r="AU1522" s="491" t="str">
        <f t="shared" ca="1" si="427"/>
        <v/>
      </c>
      <c r="AV1522" s="491" t="str">
        <f t="shared" ca="1" si="428"/>
        <v/>
      </c>
      <c r="AW1522" s="492" t="str">
        <f t="shared" ca="1" si="429"/>
        <v/>
      </c>
      <c r="AY1522" s="474" t="str">
        <f t="shared" ca="1" si="459"/>
        <v/>
      </c>
      <c r="AZ1522" s="480" t="str">
        <f t="shared" ca="1" si="460"/>
        <v>-</v>
      </c>
      <c r="BA1522" s="476" t="str">
        <f t="shared" ca="1" si="461"/>
        <v/>
      </c>
      <c r="BB1522" s="480" t="str">
        <f t="shared" ca="1" si="462"/>
        <v>-</v>
      </c>
      <c r="BC1522" s="460" t="str">
        <f t="shared" ca="1" si="463"/>
        <v/>
      </c>
      <c r="BD1522" s="480" t="str">
        <f t="shared" ca="1" si="464"/>
        <v>-</v>
      </c>
      <c r="BE1522" s="477" t="str">
        <f t="shared" ca="1" si="465"/>
        <v/>
      </c>
      <c r="BF1522" s="480" t="str">
        <f t="shared" ca="1" si="466"/>
        <v>-</v>
      </c>
      <c r="BG1522" s="488" t="str">
        <f t="shared" ca="1" si="430"/>
        <v/>
      </c>
      <c r="BH1522" s="483" t="str">
        <f t="shared" ca="1" si="431"/>
        <v/>
      </c>
      <c r="BI1522" s="483" t="str">
        <f t="shared" ca="1" si="432"/>
        <v/>
      </c>
      <c r="BJ1522" s="489" t="str">
        <f t="shared" ca="1" si="433"/>
        <v/>
      </c>
      <c r="BL1522" t="str">
        <f t="shared" ca="1" si="467"/>
        <v/>
      </c>
      <c r="BM1522" t="str">
        <f t="shared" ca="1" si="468"/>
        <v/>
      </c>
      <c r="BN1522" t="str">
        <f t="shared" ca="1" si="469"/>
        <v/>
      </c>
      <c r="BO1522" t="str">
        <f t="shared" ca="1" si="470"/>
        <v/>
      </c>
      <c r="BP1522" t="str">
        <f t="shared" ca="1" si="471"/>
        <v/>
      </c>
      <c r="BQ1522" t="str">
        <f t="shared" ca="1" si="472"/>
        <v/>
      </c>
      <c r="BR1522" t="str">
        <f t="shared" ca="1" si="473"/>
        <v/>
      </c>
      <c r="BS1522" t="str">
        <f t="shared" ca="1" si="474"/>
        <v/>
      </c>
      <c r="BT1522" t="str">
        <f t="shared" ca="1" si="475"/>
        <v/>
      </c>
      <c r="BU1522" t="str">
        <f t="shared" ca="1" si="476"/>
        <v/>
      </c>
      <c r="BV1522" t="str">
        <f t="shared" ca="1" si="477"/>
        <v/>
      </c>
      <c r="BW1522" t="str">
        <f t="shared" ca="1" si="478"/>
        <v/>
      </c>
      <c r="BX1522" t="str">
        <f t="shared" ca="1" si="479"/>
        <v/>
      </c>
      <c r="BY1522" t="str">
        <f t="shared" ca="1" si="480"/>
        <v/>
      </c>
      <c r="BZ1522" t="str">
        <f t="shared" ca="1" si="481"/>
        <v/>
      </c>
      <c r="CA1522" t="str">
        <f t="shared" ca="1" si="482"/>
        <v/>
      </c>
      <c r="CC1522" s="482" t="str">
        <f t="shared" ca="1" si="483"/>
        <v/>
      </c>
      <c r="CD1522" s="483" t="str">
        <f t="shared" ca="1" si="484"/>
        <v/>
      </c>
      <c r="CE1522" s="483" t="str">
        <f t="shared" ca="1" si="485"/>
        <v/>
      </c>
      <c r="CF1522" s="483" t="str">
        <f t="shared" ca="1" si="486"/>
        <v/>
      </c>
      <c r="CG1522" s="482" t="str">
        <f t="shared" ca="1" si="487"/>
        <v/>
      </c>
      <c r="CH1522" s="483" t="str">
        <f t="shared" ca="1" si="488"/>
        <v/>
      </c>
      <c r="CI1522" s="483" t="str">
        <f t="shared" ca="1" si="489"/>
        <v/>
      </c>
      <c r="CJ1522" s="484" t="str">
        <f t="shared" ca="1" si="490"/>
        <v/>
      </c>
      <c r="CK1522" s="483" t="str">
        <f t="shared" ca="1" si="491"/>
        <v/>
      </c>
      <c r="CL1522" s="483" t="str">
        <f t="shared" ca="1" si="492"/>
        <v/>
      </c>
      <c r="CM1522" s="483" t="str">
        <f t="shared" ca="1" si="493"/>
        <v/>
      </c>
      <c r="CN1522" s="483" t="str">
        <f t="shared" ca="1" si="494"/>
        <v/>
      </c>
      <c r="CO1522" s="482" t="str">
        <f t="shared" ca="1" si="495"/>
        <v/>
      </c>
      <c r="CP1522" s="483" t="str">
        <f t="shared" ca="1" si="496"/>
        <v/>
      </c>
      <c r="CQ1522" s="483" t="str">
        <f t="shared" ca="1" si="497"/>
        <v/>
      </c>
      <c r="CR1522" s="484" t="str">
        <f t="shared" ca="1" si="498"/>
        <v/>
      </c>
      <c r="CV1522" s="454">
        <f t="array" ref="CV1522">IFERROR(INDEX(Montageplatten[Höhe],LARGE((Montageplatten[konf Rahmenbed]=$L$70)*(ROW(Montageplatten[konf Rahmenbed])-1),COUNTIF(Montageplatten[konf Rahmenbed],$L$70)+1-ROW(A19))),"")</f>
        <v>14</v>
      </c>
      <c r="CW1522">
        <f t="shared" si="409"/>
        <v>1</v>
      </c>
      <c r="CX1522" s="1057"/>
    </row>
    <row r="1523" spans="1:102" hidden="1" outlineLevel="1" x14ac:dyDescent="0.25">
      <c r="A1523">
        <f t="shared" ca="1" si="435"/>
        <v>0</v>
      </c>
      <c r="B1523" s="170">
        <f t="shared" ca="1" si="410"/>
        <v>17.5</v>
      </c>
      <c r="C1523">
        <f t="shared" ca="1" si="500"/>
        <v>2.5</v>
      </c>
      <c r="D1523">
        <f t="shared" ca="1" si="499"/>
        <v>-0.5</v>
      </c>
      <c r="E1523">
        <f t="shared" ca="1" si="436"/>
        <v>-7</v>
      </c>
      <c r="F1523">
        <f t="shared" ca="1" si="437"/>
        <v>-16.5</v>
      </c>
      <c r="G1523" t="e">
        <f t="shared" ca="1" si="438"/>
        <v>#VALUE!</v>
      </c>
      <c r="H1523" t="e">
        <f t="shared" ca="1" si="439"/>
        <v>#VALUE!</v>
      </c>
      <c r="I1523" t="e">
        <f t="shared" ca="1" si="440"/>
        <v>#VALUE!</v>
      </c>
      <c r="J1523" t="e">
        <f t="shared" ca="1" si="441"/>
        <v>#VALUE!</v>
      </c>
      <c r="K1523" t="e">
        <f t="shared" ca="1" si="442"/>
        <v>#VALUE!</v>
      </c>
      <c r="L1523" t="e">
        <f t="shared" ca="1" si="443"/>
        <v>#VALUE!</v>
      </c>
      <c r="M1523" t="e">
        <f t="shared" ca="1" si="444"/>
        <v>#VALUE!</v>
      </c>
      <c r="N1523" t="e">
        <f t="shared" ca="1" si="445"/>
        <v>#VALUE!</v>
      </c>
      <c r="O1523">
        <f t="shared" ca="1" si="446"/>
        <v>-11.5</v>
      </c>
      <c r="P1523" t="e">
        <f t="shared" ca="1" si="447"/>
        <v>#VALUE!</v>
      </c>
      <c r="Q1523" t="e">
        <f t="shared" ca="1" si="448"/>
        <v>#VALUE!</v>
      </c>
      <c r="R1523" t="e">
        <f t="shared" ca="1" si="449"/>
        <v>#VALUE!</v>
      </c>
      <c r="U1523" s="485" t="str">
        <f t="shared" ca="1" si="450"/>
        <v/>
      </c>
      <c r="V1523" s="486" t="str">
        <f t="shared" ca="1" si="411"/>
        <v/>
      </c>
      <c r="W1523" s="486" t="str">
        <f t="shared" ca="1" si="412"/>
        <v/>
      </c>
      <c r="X1523" s="486" t="str">
        <f t="shared" ca="1" si="413"/>
        <v/>
      </c>
      <c r="Y1523" s="485" t="str">
        <f t="shared" ca="1" si="414"/>
        <v/>
      </c>
      <c r="Z1523" s="486" t="str">
        <f t="shared" ca="1" si="415"/>
        <v/>
      </c>
      <c r="AA1523" s="486" t="str">
        <f t="shared" ca="1" si="416"/>
        <v/>
      </c>
      <c r="AB1523" s="486" t="str">
        <f t="shared" ca="1" si="417"/>
        <v/>
      </c>
      <c r="AC1523" s="485" t="str">
        <f t="shared" ca="1" si="418"/>
        <v/>
      </c>
      <c r="AD1523" s="486" t="str">
        <f t="shared" ca="1" si="419"/>
        <v/>
      </c>
      <c r="AE1523" s="486" t="str">
        <f t="shared" ca="1" si="420"/>
        <v/>
      </c>
      <c r="AF1523" s="486" t="str">
        <f t="shared" ca="1" si="421"/>
        <v/>
      </c>
      <c r="AG1523" s="485" t="str">
        <f t="shared" ca="1" si="422"/>
        <v/>
      </c>
      <c r="AH1523" s="486" t="str">
        <f t="shared" ca="1" si="423"/>
        <v/>
      </c>
      <c r="AI1523" s="486" t="str">
        <f t="shared" ca="1" si="424"/>
        <v/>
      </c>
      <c r="AJ1523" s="486" t="str">
        <f t="shared" ca="1" si="425"/>
        <v/>
      </c>
      <c r="AK1523" s="474" t="str">
        <f t="shared" ca="1" si="451"/>
        <v/>
      </c>
      <c r="AL1523" s="480" t="str">
        <f t="shared" ca="1" si="452"/>
        <v>-</v>
      </c>
      <c r="AM1523" s="476" t="str">
        <f t="shared" ca="1" si="453"/>
        <v/>
      </c>
      <c r="AN1523" s="475" t="str">
        <f t="shared" ca="1" si="454"/>
        <v>-</v>
      </c>
      <c r="AO1523" s="460" t="str">
        <f t="shared" ca="1" si="455"/>
        <v/>
      </c>
      <c r="AP1523" s="480" t="str">
        <f t="shared" ca="1" si="456"/>
        <v>-</v>
      </c>
      <c r="AQ1523" s="477" t="str">
        <f t="shared" ca="1" si="457"/>
        <v/>
      </c>
      <c r="AR1523" s="480" t="str">
        <f t="shared" ca="1" si="458"/>
        <v>-</v>
      </c>
      <c r="AS1523" s="34"/>
      <c r="AT1523" s="490" t="str">
        <f t="shared" ca="1" si="426"/>
        <v/>
      </c>
      <c r="AU1523" s="491" t="str">
        <f t="shared" ca="1" si="427"/>
        <v/>
      </c>
      <c r="AV1523" s="491" t="str">
        <f t="shared" ca="1" si="428"/>
        <v/>
      </c>
      <c r="AW1523" s="492" t="str">
        <f t="shared" ca="1" si="429"/>
        <v/>
      </c>
      <c r="AY1523" s="474" t="str">
        <f t="shared" ca="1" si="459"/>
        <v/>
      </c>
      <c r="AZ1523" s="480" t="str">
        <f t="shared" ca="1" si="460"/>
        <v>-</v>
      </c>
      <c r="BA1523" s="476" t="str">
        <f t="shared" ca="1" si="461"/>
        <v/>
      </c>
      <c r="BB1523" s="480" t="str">
        <f t="shared" ca="1" si="462"/>
        <v>-</v>
      </c>
      <c r="BC1523" s="460" t="str">
        <f t="shared" ca="1" si="463"/>
        <v/>
      </c>
      <c r="BD1523" s="480" t="str">
        <f t="shared" ca="1" si="464"/>
        <v>-</v>
      </c>
      <c r="BE1523" s="477" t="str">
        <f t="shared" ca="1" si="465"/>
        <v/>
      </c>
      <c r="BF1523" s="480" t="str">
        <f t="shared" ca="1" si="466"/>
        <v>-</v>
      </c>
      <c r="BG1523" s="488" t="str">
        <f t="shared" ca="1" si="430"/>
        <v/>
      </c>
      <c r="BH1523" s="483" t="str">
        <f t="shared" ca="1" si="431"/>
        <v/>
      </c>
      <c r="BI1523" s="483" t="str">
        <f t="shared" ca="1" si="432"/>
        <v/>
      </c>
      <c r="BJ1523" s="489" t="str">
        <f t="shared" ca="1" si="433"/>
        <v/>
      </c>
      <c r="BL1523" t="str">
        <f t="shared" ca="1" si="467"/>
        <v/>
      </c>
      <c r="BM1523" t="str">
        <f t="shared" ca="1" si="468"/>
        <v/>
      </c>
      <c r="BN1523" t="str">
        <f t="shared" ca="1" si="469"/>
        <v/>
      </c>
      <c r="BO1523" t="str">
        <f t="shared" ca="1" si="470"/>
        <v/>
      </c>
      <c r="BP1523" t="str">
        <f t="shared" ca="1" si="471"/>
        <v/>
      </c>
      <c r="BQ1523" t="str">
        <f t="shared" ca="1" si="472"/>
        <v/>
      </c>
      <c r="BR1523" t="str">
        <f t="shared" ca="1" si="473"/>
        <v/>
      </c>
      <c r="BS1523" t="str">
        <f t="shared" ca="1" si="474"/>
        <v/>
      </c>
      <c r="BT1523" t="str">
        <f t="shared" ca="1" si="475"/>
        <v/>
      </c>
      <c r="BU1523" t="str">
        <f t="shared" ca="1" si="476"/>
        <v/>
      </c>
      <c r="BV1523" t="str">
        <f t="shared" ca="1" si="477"/>
        <v/>
      </c>
      <c r="BW1523" t="str">
        <f t="shared" ca="1" si="478"/>
        <v/>
      </c>
      <c r="BX1523" t="str">
        <f t="shared" ca="1" si="479"/>
        <v/>
      </c>
      <c r="BY1523" t="str">
        <f t="shared" ca="1" si="480"/>
        <v/>
      </c>
      <c r="BZ1523" t="str">
        <f t="shared" ca="1" si="481"/>
        <v/>
      </c>
      <c r="CA1523" t="str">
        <f t="shared" ca="1" si="482"/>
        <v/>
      </c>
      <c r="CC1523" s="482" t="str">
        <f t="shared" ca="1" si="483"/>
        <v/>
      </c>
      <c r="CD1523" s="483" t="str">
        <f t="shared" ca="1" si="484"/>
        <v/>
      </c>
      <c r="CE1523" s="483" t="str">
        <f t="shared" ca="1" si="485"/>
        <v/>
      </c>
      <c r="CF1523" s="483" t="str">
        <f t="shared" ca="1" si="486"/>
        <v/>
      </c>
      <c r="CG1523" s="482" t="str">
        <f t="shared" ca="1" si="487"/>
        <v/>
      </c>
      <c r="CH1523" s="483" t="str">
        <f t="shared" ca="1" si="488"/>
        <v/>
      </c>
      <c r="CI1523" s="483" t="str">
        <f t="shared" ca="1" si="489"/>
        <v/>
      </c>
      <c r="CJ1523" s="484" t="str">
        <f t="shared" ca="1" si="490"/>
        <v/>
      </c>
      <c r="CK1523" s="483" t="str">
        <f t="shared" ca="1" si="491"/>
        <v/>
      </c>
      <c r="CL1523" s="483" t="str">
        <f t="shared" ca="1" si="492"/>
        <v/>
      </c>
      <c r="CM1523" s="483" t="str">
        <f t="shared" ca="1" si="493"/>
        <v/>
      </c>
      <c r="CN1523" s="483" t="str">
        <f t="shared" ca="1" si="494"/>
        <v/>
      </c>
      <c r="CO1523" s="482" t="str">
        <f t="shared" ca="1" si="495"/>
        <v/>
      </c>
      <c r="CP1523" s="483" t="str">
        <f t="shared" ca="1" si="496"/>
        <v/>
      </c>
      <c r="CQ1523" s="483" t="str">
        <f t="shared" ca="1" si="497"/>
        <v/>
      </c>
      <c r="CR1523" s="484" t="str">
        <f t="shared" ca="1" si="498"/>
        <v/>
      </c>
      <c r="CV1523" s="454">
        <f t="array" ref="CV1523">IFERROR(INDEX(Montageplatten[Höhe],LARGE((Montageplatten[konf Rahmenbed]=$L$70)*(ROW(Montageplatten[konf Rahmenbed])-1),COUNTIF(Montageplatten[konf Rahmenbed],$L$70)+1-ROW(A20))),"")</f>
        <v>15</v>
      </c>
      <c r="CW1523">
        <f t="shared" si="409"/>
        <v>1</v>
      </c>
      <c r="CX1523" s="1057"/>
    </row>
    <row r="1524" spans="1:102" hidden="1" outlineLevel="1" x14ac:dyDescent="0.25">
      <c r="A1524">
        <f t="shared" ca="1" si="435"/>
        <v>1</v>
      </c>
      <c r="B1524" s="170">
        <f t="shared" ca="1" si="410"/>
        <v>17</v>
      </c>
      <c r="C1524">
        <f t="shared" ca="1" si="500"/>
        <v>3</v>
      </c>
      <c r="D1524">
        <f t="shared" ca="1" si="499"/>
        <v>0</v>
      </c>
      <c r="E1524">
        <f t="shared" ca="1" si="436"/>
        <v>-6.5</v>
      </c>
      <c r="F1524">
        <f t="shared" ca="1" si="437"/>
        <v>-16</v>
      </c>
      <c r="G1524" t="e">
        <f t="shared" ca="1" si="438"/>
        <v>#VALUE!</v>
      </c>
      <c r="H1524" t="e">
        <f t="shared" ca="1" si="439"/>
        <v>#VALUE!</v>
      </c>
      <c r="I1524" t="e">
        <f t="shared" ca="1" si="440"/>
        <v>#VALUE!</v>
      </c>
      <c r="J1524" t="e">
        <f t="shared" ca="1" si="441"/>
        <v>#VALUE!</v>
      </c>
      <c r="K1524" t="e">
        <f t="shared" ca="1" si="442"/>
        <v>#VALUE!</v>
      </c>
      <c r="L1524" t="e">
        <f t="shared" ca="1" si="443"/>
        <v>#VALUE!</v>
      </c>
      <c r="M1524" t="e">
        <f t="shared" ca="1" si="444"/>
        <v>#VALUE!</v>
      </c>
      <c r="N1524" t="e">
        <f t="shared" ca="1" si="445"/>
        <v>#VALUE!</v>
      </c>
      <c r="O1524">
        <f t="shared" ca="1" si="446"/>
        <v>-11</v>
      </c>
      <c r="P1524" t="e">
        <f t="shared" ca="1" si="447"/>
        <v>#VALUE!</v>
      </c>
      <c r="Q1524" t="e">
        <f t="shared" ca="1" si="448"/>
        <v>#VALUE!</v>
      </c>
      <c r="R1524" t="e">
        <f t="shared" ca="1" si="449"/>
        <v>#VALUE!</v>
      </c>
      <c r="U1524" s="485">
        <f t="shared" ca="1" si="450"/>
        <v>1</v>
      </c>
      <c r="V1524" s="486">
        <f t="shared" ca="1" si="411"/>
        <v>1</v>
      </c>
      <c r="W1524" s="486" t="str">
        <f t="shared" ca="1" si="412"/>
        <v/>
      </c>
      <c r="X1524" s="486" t="str">
        <f t="shared" ca="1" si="413"/>
        <v/>
      </c>
      <c r="Y1524" s="485" t="str">
        <f t="shared" ca="1" si="414"/>
        <v/>
      </c>
      <c r="Z1524" s="486" t="str">
        <f t="shared" ca="1" si="415"/>
        <v/>
      </c>
      <c r="AA1524" s="486" t="str">
        <f t="shared" ca="1" si="416"/>
        <v/>
      </c>
      <c r="AB1524" s="486" t="str">
        <f t="shared" ca="1" si="417"/>
        <v/>
      </c>
      <c r="AC1524" s="485" t="str">
        <f t="shared" ca="1" si="418"/>
        <v/>
      </c>
      <c r="AD1524" s="486" t="str">
        <f t="shared" ca="1" si="419"/>
        <v/>
      </c>
      <c r="AE1524" s="486" t="str">
        <f t="shared" ca="1" si="420"/>
        <v/>
      </c>
      <c r="AF1524" s="486" t="str">
        <f t="shared" ca="1" si="421"/>
        <v/>
      </c>
      <c r="AG1524" s="485" t="str">
        <f t="shared" ca="1" si="422"/>
        <v/>
      </c>
      <c r="AH1524" s="486" t="str">
        <f t="shared" ca="1" si="423"/>
        <v/>
      </c>
      <c r="AI1524" s="486" t="str">
        <f t="shared" ca="1" si="424"/>
        <v/>
      </c>
      <c r="AJ1524" s="486" t="str">
        <f t="shared" ca="1" si="425"/>
        <v/>
      </c>
      <c r="AK1524" s="474" t="str">
        <f t="shared" ca="1" si="451"/>
        <v/>
      </c>
      <c r="AL1524" s="480" t="str">
        <f t="shared" ca="1" si="452"/>
        <v>-</v>
      </c>
      <c r="AM1524" s="476" t="str">
        <f t="shared" ca="1" si="453"/>
        <v/>
      </c>
      <c r="AN1524" s="475" t="str">
        <f t="shared" ca="1" si="454"/>
        <v>-</v>
      </c>
      <c r="AO1524" s="460" t="str">
        <f t="shared" ca="1" si="455"/>
        <v/>
      </c>
      <c r="AP1524" s="480" t="str">
        <f t="shared" ca="1" si="456"/>
        <v>-</v>
      </c>
      <c r="AQ1524" s="477" t="str">
        <f t="shared" ca="1" si="457"/>
        <v/>
      </c>
      <c r="AR1524" s="480" t="str">
        <f t="shared" ca="1" si="458"/>
        <v>-</v>
      </c>
      <c r="AS1524" s="34"/>
      <c r="AT1524" s="490" t="str">
        <f t="shared" ca="1" si="426"/>
        <v/>
      </c>
      <c r="AU1524" s="491" t="str">
        <f t="shared" ca="1" si="427"/>
        <v/>
      </c>
      <c r="AV1524" s="491" t="str">
        <f t="shared" ca="1" si="428"/>
        <v/>
      </c>
      <c r="AW1524" s="492" t="str">
        <f t="shared" ca="1" si="429"/>
        <v/>
      </c>
      <c r="AY1524" s="474" t="str">
        <f t="shared" ca="1" si="459"/>
        <v/>
      </c>
      <c r="AZ1524" s="480" t="str">
        <f t="shared" ca="1" si="460"/>
        <v>-</v>
      </c>
      <c r="BA1524" s="476" t="str">
        <f t="shared" ca="1" si="461"/>
        <v/>
      </c>
      <c r="BB1524" s="480" t="str">
        <f t="shared" ca="1" si="462"/>
        <v>-</v>
      </c>
      <c r="BC1524" s="460" t="str">
        <f t="shared" ca="1" si="463"/>
        <v/>
      </c>
      <c r="BD1524" s="480" t="str">
        <f t="shared" ca="1" si="464"/>
        <v>-</v>
      </c>
      <c r="BE1524" s="477" t="str">
        <f t="shared" ca="1" si="465"/>
        <v/>
      </c>
      <c r="BF1524" s="480" t="str">
        <f t="shared" ca="1" si="466"/>
        <v>-</v>
      </c>
      <c r="BG1524" s="488" t="str">
        <f t="shared" ca="1" si="430"/>
        <v/>
      </c>
      <c r="BH1524" s="483" t="str">
        <f t="shared" ca="1" si="431"/>
        <v/>
      </c>
      <c r="BI1524" s="483" t="str">
        <f t="shared" ca="1" si="432"/>
        <v/>
      </c>
      <c r="BJ1524" s="489" t="str">
        <f t="shared" ca="1" si="433"/>
        <v/>
      </c>
      <c r="BL1524" t="str">
        <f t="shared" ca="1" si="467"/>
        <v/>
      </c>
      <c r="BM1524" t="str">
        <f t="shared" ca="1" si="468"/>
        <v/>
      </c>
      <c r="BN1524" t="str">
        <f t="shared" ca="1" si="469"/>
        <v/>
      </c>
      <c r="BO1524" t="str">
        <f t="shared" ca="1" si="470"/>
        <v/>
      </c>
      <c r="BP1524" t="str">
        <f t="shared" ca="1" si="471"/>
        <v/>
      </c>
      <c r="BQ1524" t="str">
        <f t="shared" ca="1" si="472"/>
        <v/>
      </c>
      <c r="BR1524" t="str">
        <f t="shared" ca="1" si="473"/>
        <v/>
      </c>
      <c r="BS1524" t="str">
        <f t="shared" ca="1" si="474"/>
        <v/>
      </c>
      <c r="BT1524" t="str">
        <f t="shared" ca="1" si="475"/>
        <v/>
      </c>
      <c r="BU1524" t="str">
        <f t="shared" ca="1" si="476"/>
        <v/>
      </c>
      <c r="BV1524" t="str">
        <f t="shared" ca="1" si="477"/>
        <v/>
      </c>
      <c r="BW1524" t="str">
        <f t="shared" ca="1" si="478"/>
        <v/>
      </c>
      <c r="BX1524" t="str">
        <f t="shared" ca="1" si="479"/>
        <v/>
      </c>
      <c r="BY1524" t="str">
        <f t="shared" ca="1" si="480"/>
        <v/>
      </c>
      <c r="BZ1524" t="str">
        <f t="shared" ca="1" si="481"/>
        <v/>
      </c>
      <c r="CA1524" t="str">
        <f t="shared" ca="1" si="482"/>
        <v/>
      </c>
      <c r="CC1524" s="482" t="str">
        <f t="shared" ca="1" si="483"/>
        <v/>
      </c>
      <c r="CD1524" s="483" t="str">
        <f t="shared" ca="1" si="484"/>
        <v/>
      </c>
      <c r="CE1524" s="483" t="str">
        <f t="shared" ca="1" si="485"/>
        <v/>
      </c>
      <c r="CF1524" s="483" t="str">
        <f t="shared" ca="1" si="486"/>
        <v/>
      </c>
      <c r="CG1524" s="482" t="str">
        <f t="shared" ca="1" si="487"/>
        <v/>
      </c>
      <c r="CH1524" s="483" t="str">
        <f t="shared" ca="1" si="488"/>
        <v/>
      </c>
      <c r="CI1524" s="483" t="str">
        <f t="shared" ca="1" si="489"/>
        <v/>
      </c>
      <c r="CJ1524" s="484" t="str">
        <f t="shared" ca="1" si="490"/>
        <v/>
      </c>
      <c r="CK1524" s="483" t="str">
        <f t="shared" ca="1" si="491"/>
        <v/>
      </c>
      <c r="CL1524" s="483" t="str">
        <f t="shared" ca="1" si="492"/>
        <v/>
      </c>
      <c r="CM1524" s="483" t="str">
        <f t="shared" ca="1" si="493"/>
        <v/>
      </c>
      <c r="CN1524" s="483" t="str">
        <f t="shared" ca="1" si="494"/>
        <v/>
      </c>
      <c r="CO1524" s="482" t="str">
        <f t="shared" ca="1" si="495"/>
        <v/>
      </c>
      <c r="CP1524" s="483" t="str">
        <f t="shared" ca="1" si="496"/>
        <v/>
      </c>
      <c r="CQ1524" s="483" t="str">
        <f t="shared" ca="1" si="497"/>
        <v/>
      </c>
      <c r="CR1524" s="484" t="str">
        <f t="shared" ca="1" si="498"/>
        <v/>
      </c>
      <c r="CV1524" s="454">
        <f t="array" ref="CV1524">IFERROR(INDEX(Montageplatten[Höhe],LARGE((Montageplatten[konf Rahmenbed]=$L$70)*(ROW(Montageplatten[konf Rahmenbed])-1),COUNTIF(Montageplatten[konf Rahmenbed],$L$70)+1-ROW(A21))),"")</f>
        <v>15.5</v>
      </c>
      <c r="CW1524">
        <f t="shared" si="409"/>
        <v>1</v>
      </c>
      <c r="CX1524" s="1057"/>
    </row>
    <row r="1525" spans="1:102" hidden="1" outlineLevel="1" x14ac:dyDescent="0.25">
      <c r="A1525">
        <f t="shared" ca="1" si="435"/>
        <v>1</v>
      </c>
      <c r="B1525" s="170">
        <f t="shared" ca="1" si="410"/>
        <v>16.5</v>
      </c>
      <c r="C1525">
        <f t="shared" ca="1" si="500"/>
        <v>3.5</v>
      </c>
      <c r="D1525">
        <f t="shared" ca="1" si="499"/>
        <v>0.5</v>
      </c>
      <c r="E1525">
        <f t="shared" ca="1" si="436"/>
        <v>-6</v>
      </c>
      <c r="F1525">
        <f t="shared" ca="1" si="437"/>
        <v>-15.5</v>
      </c>
      <c r="G1525" t="e">
        <f t="shared" ca="1" si="438"/>
        <v>#VALUE!</v>
      </c>
      <c r="H1525" t="e">
        <f t="shared" ca="1" si="439"/>
        <v>#VALUE!</v>
      </c>
      <c r="I1525" t="e">
        <f t="shared" ca="1" si="440"/>
        <v>#VALUE!</v>
      </c>
      <c r="J1525" t="e">
        <f t="shared" ca="1" si="441"/>
        <v>#VALUE!</v>
      </c>
      <c r="K1525" t="e">
        <f t="shared" ca="1" si="442"/>
        <v>#VALUE!</v>
      </c>
      <c r="L1525" t="e">
        <f t="shared" ca="1" si="443"/>
        <v>#VALUE!</v>
      </c>
      <c r="M1525" t="e">
        <f t="shared" ca="1" si="444"/>
        <v>#VALUE!</v>
      </c>
      <c r="N1525" t="e">
        <f t="shared" ca="1" si="445"/>
        <v>#VALUE!</v>
      </c>
      <c r="O1525">
        <f t="shared" ca="1" si="446"/>
        <v>-10.5</v>
      </c>
      <c r="P1525" t="e">
        <f t="shared" ca="1" si="447"/>
        <v>#VALUE!</v>
      </c>
      <c r="Q1525" t="e">
        <f t="shared" ca="1" si="448"/>
        <v>#VALUE!</v>
      </c>
      <c r="R1525" t="e">
        <f t="shared" ca="1" si="449"/>
        <v>#VALUE!</v>
      </c>
      <c r="U1525" s="485">
        <f t="shared" ca="1" si="450"/>
        <v>1</v>
      </c>
      <c r="V1525" s="486" t="str">
        <f t="shared" ca="1" si="411"/>
        <v/>
      </c>
      <c r="W1525" s="486" t="str">
        <f t="shared" ca="1" si="412"/>
        <v/>
      </c>
      <c r="X1525" s="486" t="str">
        <f t="shared" ca="1" si="413"/>
        <v/>
      </c>
      <c r="Y1525" s="485" t="str">
        <f t="shared" ca="1" si="414"/>
        <v/>
      </c>
      <c r="Z1525" s="486" t="str">
        <f t="shared" ca="1" si="415"/>
        <v/>
      </c>
      <c r="AA1525" s="486" t="str">
        <f t="shared" ca="1" si="416"/>
        <v/>
      </c>
      <c r="AB1525" s="486" t="str">
        <f t="shared" ca="1" si="417"/>
        <v/>
      </c>
      <c r="AC1525" s="485" t="str">
        <f t="shared" ca="1" si="418"/>
        <v/>
      </c>
      <c r="AD1525" s="486" t="str">
        <f t="shared" ca="1" si="419"/>
        <v/>
      </c>
      <c r="AE1525" s="486" t="str">
        <f t="shared" ca="1" si="420"/>
        <v/>
      </c>
      <c r="AF1525" s="486" t="str">
        <f t="shared" ca="1" si="421"/>
        <v/>
      </c>
      <c r="AG1525" s="485" t="str">
        <f t="shared" ca="1" si="422"/>
        <v/>
      </c>
      <c r="AH1525" s="486" t="str">
        <f t="shared" ca="1" si="423"/>
        <v/>
      </c>
      <c r="AI1525" s="486" t="str">
        <f t="shared" ca="1" si="424"/>
        <v/>
      </c>
      <c r="AJ1525" s="486" t="str">
        <f t="shared" ca="1" si="425"/>
        <v/>
      </c>
      <c r="AK1525" s="474" t="str">
        <f t="shared" ca="1" si="451"/>
        <v/>
      </c>
      <c r="AL1525" s="480" t="str">
        <f t="shared" ca="1" si="452"/>
        <v>-</v>
      </c>
      <c r="AM1525" s="476" t="str">
        <f t="shared" ca="1" si="453"/>
        <v/>
      </c>
      <c r="AN1525" s="475" t="str">
        <f t="shared" ca="1" si="454"/>
        <v>-</v>
      </c>
      <c r="AO1525" s="460" t="str">
        <f t="shared" ca="1" si="455"/>
        <v/>
      </c>
      <c r="AP1525" s="480" t="str">
        <f t="shared" ca="1" si="456"/>
        <v>-</v>
      </c>
      <c r="AQ1525" s="477" t="str">
        <f t="shared" ca="1" si="457"/>
        <v/>
      </c>
      <c r="AR1525" s="480" t="str">
        <f t="shared" ca="1" si="458"/>
        <v>-</v>
      </c>
      <c r="AS1525" s="34"/>
      <c r="AT1525" s="490" t="str">
        <f t="shared" ca="1" si="426"/>
        <v/>
      </c>
      <c r="AU1525" s="491" t="str">
        <f t="shared" ca="1" si="427"/>
        <v/>
      </c>
      <c r="AV1525" s="491" t="str">
        <f t="shared" ca="1" si="428"/>
        <v/>
      </c>
      <c r="AW1525" s="492" t="str">
        <f t="shared" ca="1" si="429"/>
        <v/>
      </c>
      <c r="AY1525" s="474" t="str">
        <f t="shared" ca="1" si="459"/>
        <v/>
      </c>
      <c r="AZ1525" s="480" t="str">
        <f t="shared" ca="1" si="460"/>
        <v>-</v>
      </c>
      <c r="BA1525" s="476" t="str">
        <f t="shared" ca="1" si="461"/>
        <v/>
      </c>
      <c r="BB1525" s="480" t="str">
        <f t="shared" ca="1" si="462"/>
        <v>-</v>
      </c>
      <c r="BC1525" s="460" t="str">
        <f t="shared" ca="1" si="463"/>
        <v/>
      </c>
      <c r="BD1525" s="480" t="str">
        <f t="shared" ca="1" si="464"/>
        <v>-</v>
      </c>
      <c r="BE1525" s="477" t="str">
        <f t="shared" ca="1" si="465"/>
        <v/>
      </c>
      <c r="BF1525" s="480" t="str">
        <f t="shared" ca="1" si="466"/>
        <v>-</v>
      </c>
      <c r="BG1525" s="488" t="str">
        <f t="shared" ca="1" si="430"/>
        <v/>
      </c>
      <c r="BH1525" s="483" t="str">
        <f t="shared" ca="1" si="431"/>
        <v/>
      </c>
      <c r="BI1525" s="483" t="str">
        <f t="shared" ca="1" si="432"/>
        <v/>
      </c>
      <c r="BJ1525" s="489" t="str">
        <f t="shared" ca="1" si="433"/>
        <v/>
      </c>
      <c r="BL1525" t="str">
        <f t="shared" ca="1" si="467"/>
        <v/>
      </c>
      <c r="BM1525" t="str">
        <f t="shared" ca="1" si="468"/>
        <v/>
      </c>
      <c r="BN1525" t="str">
        <f t="shared" ca="1" si="469"/>
        <v/>
      </c>
      <c r="BO1525" t="str">
        <f t="shared" ca="1" si="470"/>
        <v/>
      </c>
      <c r="BP1525" t="str">
        <f t="shared" ca="1" si="471"/>
        <v/>
      </c>
      <c r="BQ1525" t="str">
        <f t="shared" ca="1" si="472"/>
        <v/>
      </c>
      <c r="BR1525" t="str">
        <f t="shared" ca="1" si="473"/>
        <v/>
      </c>
      <c r="BS1525" t="str">
        <f t="shared" ca="1" si="474"/>
        <v/>
      </c>
      <c r="BT1525" t="str">
        <f t="shared" ca="1" si="475"/>
        <v/>
      </c>
      <c r="BU1525" t="str">
        <f t="shared" ca="1" si="476"/>
        <v/>
      </c>
      <c r="BV1525" t="str">
        <f t="shared" ca="1" si="477"/>
        <v/>
      </c>
      <c r="BW1525" t="str">
        <f t="shared" ca="1" si="478"/>
        <v/>
      </c>
      <c r="BX1525" t="str">
        <f t="shared" ca="1" si="479"/>
        <v/>
      </c>
      <c r="BY1525" t="str">
        <f t="shared" ca="1" si="480"/>
        <v/>
      </c>
      <c r="BZ1525" t="str">
        <f t="shared" ca="1" si="481"/>
        <v/>
      </c>
      <c r="CA1525" t="str">
        <f t="shared" ca="1" si="482"/>
        <v/>
      </c>
      <c r="CC1525" s="482" t="str">
        <f t="shared" ca="1" si="483"/>
        <v/>
      </c>
      <c r="CD1525" s="483" t="str">
        <f t="shared" ca="1" si="484"/>
        <v/>
      </c>
      <c r="CE1525" s="483" t="str">
        <f t="shared" ca="1" si="485"/>
        <v/>
      </c>
      <c r="CF1525" s="483" t="str">
        <f t="shared" ca="1" si="486"/>
        <v/>
      </c>
      <c r="CG1525" s="482" t="str">
        <f t="shared" ca="1" si="487"/>
        <v/>
      </c>
      <c r="CH1525" s="483" t="str">
        <f t="shared" ca="1" si="488"/>
        <v/>
      </c>
      <c r="CI1525" s="483" t="str">
        <f t="shared" ca="1" si="489"/>
        <v/>
      </c>
      <c r="CJ1525" s="484" t="str">
        <f t="shared" ca="1" si="490"/>
        <v/>
      </c>
      <c r="CK1525" s="483" t="str">
        <f t="shared" ca="1" si="491"/>
        <v/>
      </c>
      <c r="CL1525" s="483" t="str">
        <f t="shared" ca="1" si="492"/>
        <v/>
      </c>
      <c r="CM1525" s="483" t="str">
        <f t="shared" ca="1" si="493"/>
        <v/>
      </c>
      <c r="CN1525" s="483" t="str">
        <f t="shared" ca="1" si="494"/>
        <v/>
      </c>
      <c r="CO1525" s="482" t="str">
        <f t="shared" ca="1" si="495"/>
        <v/>
      </c>
      <c r="CP1525" s="483" t="str">
        <f t="shared" ca="1" si="496"/>
        <v/>
      </c>
      <c r="CQ1525" s="483" t="str">
        <f t="shared" ca="1" si="497"/>
        <v/>
      </c>
      <c r="CR1525" s="484" t="str">
        <f t="shared" ca="1" si="498"/>
        <v/>
      </c>
      <c r="CV1525" s="454">
        <f t="array" ref="CV1525">IFERROR(INDEX(Montageplatten[Höhe],LARGE((Montageplatten[konf Rahmenbed]=$L$70)*(ROW(Montageplatten[konf Rahmenbed])-1),COUNTIF(Montageplatten[konf Rahmenbed],$L$70)+1-ROW(A22))),"")</f>
        <v>19</v>
      </c>
      <c r="CW1525">
        <f t="shared" si="409"/>
        <v>1</v>
      </c>
      <c r="CX1525" s="1057"/>
    </row>
    <row r="1526" spans="1:102" hidden="1" outlineLevel="1" x14ac:dyDescent="0.25">
      <c r="A1526">
        <f t="shared" ca="1" si="435"/>
        <v>0</v>
      </c>
      <c r="B1526" s="170">
        <f t="shared" ca="1" si="410"/>
        <v>16</v>
      </c>
      <c r="C1526">
        <f t="shared" ca="1" si="500"/>
        <v>4</v>
      </c>
      <c r="D1526">
        <f t="shared" ca="1" si="499"/>
        <v>1</v>
      </c>
      <c r="E1526">
        <f t="shared" ca="1" si="436"/>
        <v>-5.5</v>
      </c>
      <c r="F1526">
        <f t="shared" ca="1" si="437"/>
        <v>-15</v>
      </c>
      <c r="G1526" t="e">
        <f t="shared" ca="1" si="438"/>
        <v>#VALUE!</v>
      </c>
      <c r="H1526" t="e">
        <f t="shared" ca="1" si="439"/>
        <v>#VALUE!</v>
      </c>
      <c r="I1526" t="e">
        <f t="shared" ca="1" si="440"/>
        <v>#VALUE!</v>
      </c>
      <c r="J1526" t="e">
        <f t="shared" ca="1" si="441"/>
        <v>#VALUE!</v>
      </c>
      <c r="K1526" t="e">
        <f t="shared" ca="1" si="442"/>
        <v>#VALUE!</v>
      </c>
      <c r="L1526" t="e">
        <f t="shared" ca="1" si="443"/>
        <v>#VALUE!</v>
      </c>
      <c r="M1526" t="e">
        <f t="shared" ca="1" si="444"/>
        <v>#VALUE!</v>
      </c>
      <c r="N1526" t="e">
        <f t="shared" ca="1" si="445"/>
        <v>#VALUE!</v>
      </c>
      <c r="O1526">
        <f t="shared" ca="1" si="446"/>
        <v>-10</v>
      </c>
      <c r="P1526" t="e">
        <f t="shared" ca="1" si="447"/>
        <v>#VALUE!</v>
      </c>
      <c r="Q1526" t="e">
        <f t="shared" ca="1" si="448"/>
        <v>#VALUE!</v>
      </c>
      <c r="R1526" t="e">
        <f t="shared" ca="1" si="449"/>
        <v>#VALUE!</v>
      </c>
      <c r="U1526" s="485" t="str">
        <f t="shared" ca="1" si="450"/>
        <v/>
      </c>
      <c r="V1526" s="486" t="str">
        <f t="shared" ca="1" si="411"/>
        <v/>
      </c>
      <c r="W1526" s="486" t="str">
        <f t="shared" ca="1" si="412"/>
        <v/>
      </c>
      <c r="X1526" s="486" t="str">
        <f t="shared" ca="1" si="413"/>
        <v/>
      </c>
      <c r="Y1526" s="485" t="str">
        <f t="shared" ca="1" si="414"/>
        <v/>
      </c>
      <c r="Z1526" s="486" t="str">
        <f t="shared" ca="1" si="415"/>
        <v/>
      </c>
      <c r="AA1526" s="486" t="str">
        <f t="shared" ca="1" si="416"/>
        <v/>
      </c>
      <c r="AB1526" s="486" t="str">
        <f t="shared" ca="1" si="417"/>
        <v/>
      </c>
      <c r="AC1526" s="485" t="str">
        <f t="shared" ca="1" si="418"/>
        <v/>
      </c>
      <c r="AD1526" s="486" t="str">
        <f t="shared" ca="1" si="419"/>
        <v/>
      </c>
      <c r="AE1526" s="486" t="str">
        <f t="shared" ca="1" si="420"/>
        <v/>
      </c>
      <c r="AF1526" s="486" t="str">
        <f t="shared" ca="1" si="421"/>
        <v/>
      </c>
      <c r="AG1526" s="485" t="str">
        <f t="shared" ca="1" si="422"/>
        <v/>
      </c>
      <c r="AH1526" s="486" t="str">
        <f t="shared" ca="1" si="423"/>
        <v/>
      </c>
      <c r="AI1526" s="486" t="str">
        <f t="shared" ca="1" si="424"/>
        <v/>
      </c>
      <c r="AJ1526" s="486" t="str">
        <f t="shared" ca="1" si="425"/>
        <v/>
      </c>
      <c r="AK1526" s="474" t="str">
        <f t="shared" ca="1" si="451"/>
        <v/>
      </c>
      <c r="AL1526" s="480" t="str">
        <f t="shared" ca="1" si="452"/>
        <v>-</v>
      </c>
      <c r="AM1526" s="476" t="str">
        <f t="shared" ca="1" si="453"/>
        <v/>
      </c>
      <c r="AN1526" s="475" t="str">
        <f t="shared" ca="1" si="454"/>
        <v>-</v>
      </c>
      <c r="AO1526" s="460" t="str">
        <f t="shared" ca="1" si="455"/>
        <v/>
      </c>
      <c r="AP1526" s="480" t="str">
        <f t="shared" ca="1" si="456"/>
        <v>-</v>
      </c>
      <c r="AQ1526" s="477" t="str">
        <f t="shared" ca="1" si="457"/>
        <v/>
      </c>
      <c r="AR1526" s="480" t="str">
        <f t="shared" ca="1" si="458"/>
        <v>-</v>
      </c>
      <c r="AS1526" s="34"/>
      <c r="AT1526" s="490" t="str">
        <f t="shared" ca="1" si="426"/>
        <v/>
      </c>
      <c r="AU1526" s="491" t="str">
        <f t="shared" ca="1" si="427"/>
        <v/>
      </c>
      <c r="AV1526" s="491" t="str">
        <f t="shared" ca="1" si="428"/>
        <v/>
      </c>
      <c r="AW1526" s="492" t="str">
        <f t="shared" ca="1" si="429"/>
        <v/>
      </c>
      <c r="AY1526" s="474" t="str">
        <f t="shared" ca="1" si="459"/>
        <v/>
      </c>
      <c r="AZ1526" s="480" t="str">
        <f t="shared" ca="1" si="460"/>
        <v>-</v>
      </c>
      <c r="BA1526" s="476" t="str">
        <f t="shared" ca="1" si="461"/>
        <v/>
      </c>
      <c r="BB1526" s="480" t="str">
        <f t="shared" ca="1" si="462"/>
        <v>-</v>
      </c>
      <c r="BC1526" s="460" t="str">
        <f t="shared" ca="1" si="463"/>
        <v/>
      </c>
      <c r="BD1526" s="480" t="str">
        <f t="shared" ca="1" si="464"/>
        <v>-</v>
      </c>
      <c r="BE1526" s="477" t="str">
        <f t="shared" ca="1" si="465"/>
        <v/>
      </c>
      <c r="BF1526" s="480" t="str">
        <f t="shared" ca="1" si="466"/>
        <v>-</v>
      </c>
      <c r="BG1526" s="488" t="str">
        <f t="shared" ca="1" si="430"/>
        <v/>
      </c>
      <c r="BH1526" s="483" t="str">
        <f t="shared" ca="1" si="431"/>
        <v/>
      </c>
      <c r="BI1526" s="483" t="str">
        <f t="shared" ca="1" si="432"/>
        <v/>
      </c>
      <c r="BJ1526" s="489" t="str">
        <f t="shared" ca="1" si="433"/>
        <v/>
      </c>
      <c r="BL1526" t="str">
        <f t="shared" ca="1" si="467"/>
        <v/>
      </c>
      <c r="BM1526" t="str">
        <f t="shared" ca="1" si="468"/>
        <v/>
      </c>
      <c r="BN1526" t="str">
        <f t="shared" ca="1" si="469"/>
        <v/>
      </c>
      <c r="BO1526" t="str">
        <f t="shared" ca="1" si="470"/>
        <v/>
      </c>
      <c r="BP1526" t="str">
        <f t="shared" ca="1" si="471"/>
        <v/>
      </c>
      <c r="BQ1526" t="str">
        <f t="shared" ca="1" si="472"/>
        <v/>
      </c>
      <c r="BR1526" t="str">
        <f t="shared" ca="1" si="473"/>
        <v/>
      </c>
      <c r="BS1526" t="str">
        <f t="shared" ca="1" si="474"/>
        <v/>
      </c>
      <c r="BT1526" t="str">
        <f t="shared" ca="1" si="475"/>
        <v/>
      </c>
      <c r="BU1526" t="str">
        <f t="shared" ca="1" si="476"/>
        <v/>
      </c>
      <c r="BV1526" t="str">
        <f t="shared" ca="1" si="477"/>
        <v/>
      </c>
      <c r="BW1526" t="str">
        <f t="shared" ca="1" si="478"/>
        <v/>
      </c>
      <c r="BX1526" t="str">
        <f t="shared" ca="1" si="479"/>
        <v/>
      </c>
      <c r="BY1526" t="str">
        <f t="shared" ca="1" si="480"/>
        <v/>
      </c>
      <c r="BZ1526" t="str">
        <f t="shared" ca="1" si="481"/>
        <v/>
      </c>
      <c r="CA1526" t="str">
        <f t="shared" ca="1" si="482"/>
        <v/>
      </c>
      <c r="CC1526" s="482" t="str">
        <f t="shared" ca="1" si="483"/>
        <v/>
      </c>
      <c r="CD1526" s="483" t="str">
        <f t="shared" ca="1" si="484"/>
        <v/>
      </c>
      <c r="CE1526" s="483" t="str">
        <f t="shared" ca="1" si="485"/>
        <v/>
      </c>
      <c r="CF1526" s="483" t="str">
        <f t="shared" ca="1" si="486"/>
        <v/>
      </c>
      <c r="CG1526" s="482" t="str">
        <f t="shared" ca="1" si="487"/>
        <v/>
      </c>
      <c r="CH1526" s="483" t="str">
        <f t="shared" ca="1" si="488"/>
        <v/>
      </c>
      <c r="CI1526" s="483" t="str">
        <f t="shared" ca="1" si="489"/>
        <v/>
      </c>
      <c r="CJ1526" s="484" t="str">
        <f t="shared" ca="1" si="490"/>
        <v/>
      </c>
      <c r="CK1526" s="483" t="str">
        <f t="shared" ca="1" si="491"/>
        <v/>
      </c>
      <c r="CL1526" s="483" t="str">
        <f t="shared" ca="1" si="492"/>
        <v/>
      </c>
      <c r="CM1526" s="483" t="str">
        <f t="shared" ca="1" si="493"/>
        <v/>
      </c>
      <c r="CN1526" s="483" t="str">
        <f t="shared" ca="1" si="494"/>
        <v/>
      </c>
      <c r="CO1526" s="482" t="str">
        <f t="shared" ca="1" si="495"/>
        <v/>
      </c>
      <c r="CP1526" s="483" t="str">
        <f t="shared" ca="1" si="496"/>
        <v/>
      </c>
      <c r="CQ1526" s="483" t="str">
        <f t="shared" ca="1" si="497"/>
        <v/>
      </c>
      <c r="CR1526" s="484" t="str">
        <f t="shared" ca="1" si="498"/>
        <v/>
      </c>
      <c r="CV1526" s="454">
        <f t="array" ref="CV1526">IFERROR(INDEX(Montageplatten[Höhe],LARGE((Montageplatten[konf Rahmenbed]=$L$70)*(ROW(Montageplatten[konf Rahmenbed])-1),COUNTIF(Montageplatten[konf Rahmenbed],$L$70)+1-ROW(A23))),"")</f>
        <v>21</v>
      </c>
      <c r="CW1526">
        <f t="shared" si="409"/>
        <v>1</v>
      </c>
      <c r="CX1526" s="1057"/>
    </row>
    <row r="1527" spans="1:102" hidden="1" outlineLevel="1" x14ac:dyDescent="0.25">
      <c r="A1527">
        <f t="shared" ca="1" si="435"/>
        <v>0</v>
      </c>
      <c r="B1527" s="170">
        <f t="shared" ca="1" si="410"/>
        <v>15.5</v>
      </c>
      <c r="C1527">
        <f t="shared" ca="1" si="500"/>
        <v>4.5</v>
      </c>
      <c r="D1527">
        <f t="shared" ca="1" si="499"/>
        <v>1.5</v>
      </c>
      <c r="E1527">
        <f t="shared" ca="1" si="436"/>
        <v>-5</v>
      </c>
      <c r="F1527">
        <f t="shared" ca="1" si="437"/>
        <v>-14.5</v>
      </c>
      <c r="G1527" t="e">
        <f t="shared" ca="1" si="438"/>
        <v>#VALUE!</v>
      </c>
      <c r="H1527" t="e">
        <f t="shared" ca="1" si="439"/>
        <v>#VALUE!</v>
      </c>
      <c r="I1527" t="e">
        <f t="shared" ca="1" si="440"/>
        <v>#VALUE!</v>
      </c>
      <c r="J1527" t="e">
        <f t="shared" ca="1" si="441"/>
        <v>#VALUE!</v>
      </c>
      <c r="K1527" t="e">
        <f t="shared" ca="1" si="442"/>
        <v>#VALUE!</v>
      </c>
      <c r="L1527" t="e">
        <f t="shared" ca="1" si="443"/>
        <v>#VALUE!</v>
      </c>
      <c r="M1527" t="e">
        <f t="shared" ca="1" si="444"/>
        <v>#VALUE!</v>
      </c>
      <c r="N1527" t="e">
        <f t="shared" ca="1" si="445"/>
        <v>#VALUE!</v>
      </c>
      <c r="O1527">
        <f t="shared" ca="1" si="446"/>
        <v>-9.5</v>
      </c>
      <c r="P1527" t="e">
        <f t="shared" ca="1" si="447"/>
        <v>#VALUE!</v>
      </c>
      <c r="Q1527" t="e">
        <f t="shared" ca="1" si="448"/>
        <v>#VALUE!</v>
      </c>
      <c r="R1527" t="e">
        <f t="shared" ca="1" si="449"/>
        <v>#VALUE!</v>
      </c>
      <c r="U1527" s="485" t="str">
        <f t="shared" ca="1" si="450"/>
        <v/>
      </c>
      <c r="V1527" s="486" t="str">
        <f t="shared" ca="1" si="411"/>
        <v/>
      </c>
      <c r="W1527" s="486" t="str">
        <f t="shared" ca="1" si="412"/>
        <v/>
      </c>
      <c r="X1527" s="486" t="str">
        <f t="shared" ca="1" si="413"/>
        <v/>
      </c>
      <c r="Y1527" s="485" t="str">
        <f t="shared" ca="1" si="414"/>
        <v/>
      </c>
      <c r="Z1527" s="486" t="str">
        <f t="shared" ca="1" si="415"/>
        <v/>
      </c>
      <c r="AA1527" s="486" t="str">
        <f t="shared" ca="1" si="416"/>
        <v/>
      </c>
      <c r="AB1527" s="486" t="str">
        <f t="shared" ca="1" si="417"/>
        <v/>
      </c>
      <c r="AC1527" s="485" t="str">
        <f t="shared" ca="1" si="418"/>
        <v/>
      </c>
      <c r="AD1527" s="486" t="str">
        <f t="shared" ca="1" si="419"/>
        <v/>
      </c>
      <c r="AE1527" s="486" t="str">
        <f t="shared" ca="1" si="420"/>
        <v/>
      </c>
      <c r="AF1527" s="486" t="str">
        <f t="shared" ca="1" si="421"/>
        <v/>
      </c>
      <c r="AG1527" s="485" t="str">
        <f t="shared" ca="1" si="422"/>
        <v/>
      </c>
      <c r="AH1527" s="486" t="str">
        <f t="shared" ca="1" si="423"/>
        <v/>
      </c>
      <c r="AI1527" s="486" t="str">
        <f t="shared" ca="1" si="424"/>
        <v/>
      </c>
      <c r="AJ1527" s="486" t="str">
        <f t="shared" ca="1" si="425"/>
        <v/>
      </c>
      <c r="AK1527" s="474" t="str">
        <f t="shared" ca="1" si="451"/>
        <v/>
      </c>
      <c r="AL1527" s="480" t="str">
        <f t="shared" ca="1" si="452"/>
        <v>-</v>
      </c>
      <c r="AM1527" s="476" t="str">
        <f t="shared" ca="1" si="453"/>
        <v/>
      </c>
      <c r="AN1527" s="475" t="str">
        <f t="shared" ca="1" si="454"/>
        <v>-</v>
      </c>
      <c r="AO1527" s="460" t="str">
        <f t="shared" ca="1" si="455"/>
        <v/>
      </c>
      <c r="AP1527" s="480" t="str">
        <f t="shared" ca="1" si="456"/>
        <v>-</v>
      </c>
      <c r="AQ1527" s="477" t="str">
        <f t="shared" ca="1" si="457"/>
        <v/>
      </c>
      <c r="AR1527" s="480" t="str">
        <f t="shared" ca="1" si="458"/>
        <v>-</v>
      </c>
      <c r="AS1527" s="34"/>
      <c r="AT1527" s="490" t="str">
        <f t="shared" ca="1" si="426"/>
        <v/>
      </c>
      <c r="AU1527" s="491" t="str">
        <f t="shared" ca="1" si="427"/>
        <v/>
      </c>
      <c r="AV1527" s="491" t="str">
        <f t="shared" ca="1" si="428"/>
        <v/>
      </c>
      <c r="AW1527" s="492" t="str">
        <f t="shared" ca="1" si="429"/>
        <v/>
      </c>
      <c r="AY1527" s="474" t="str">
        <f t="shared" ca="1" si="459"/>
        <v/>
      </c>
      <c r="AZ1527" s="480" t="str">
        <f t="shared" ca="1" si="460"/>
        <v>-</v>
      </c>
      <c r="BA1527" s="476" t="str">
        <f t="shared" ca="1" si="461"/>
        <v/>
      </c>
      <c r="BB1527" s="480" t="str">
        <f t="shared" ca="1" si="462"/>
        <v>-</v>
      </c>
      <c r="BC1527" s="460" t="str">
        <f t="shared" ca="1" si="463"/>
        <v/>
      </c>
      <c r="BD1527" s="480" t="str">
        <f t="shared" ca="1" si="464"/>
        <v>-</v>
      </c>
      <c r="BE1527" s="477" t="str">
        <f t="shared" ca="1" si="465"/>
        <v/>
      </c>
      <c r="BF1527" s="480" t="str">
        <f t="shared" ca="1" si="466"/>
        <v>-</v>
      </c>
      <c r="BG1527" s="488" t="str">
        <f t="shared" ca="1" si="430"/>
        <v/>
      </c>
      <c r="BH1527" s="483" t="str">
        <f t="shared" ca="1" si="431"/>
        <v/>
      </c>
      <c r="BI1527" s="483" t="str">
        <f t="shared" ca="1" si="432"/>
        <v/>
      </c>
      <c r="BJ1527" s="489" t="str">
        <f t="shared" ca="1" si="433"/>
        <v/>
      </c>
      <c r="BL1527" t="str">
        <f t="shared" ca="1" si="467"/>
        <v/>
      </c>
      <c r="BM1527" t="str">
        <f t="shared" ca="1" si="468"/>
        <v/>
      </c>
      <c r="BN1527" t="str">
        <f t="shared" ca="1" si="469"/>
        <v/>
      </c>
      <c r="BO1527" t="str">
        <f t="shared" ca="1" si="470"/>
        <v/>
      </c>
      <c r="BP1527" t="str">
        <f t="shared" ca="1" si="471"/>
        <v/>
      </c>
      <c r="BQ1527" t="str">
        <f t="shared" ca="1" si="472"/>
        <v/>
      </c>
      <c r="BR1527" t="str">
        <f t="shared" ca="1" si="473"/>
        <v/>
      </c>
      <c r="BS1527" t="str">
        <f t="shared" ca="1" si="474"/>
        <v/>
      </c>
      <c r="BT1527" t="str">
        <f t="shared" ca="1" si="475"/>
        <v/>
      </c>
      <c r="BU1527" t="str">
        <f t="shared" ca="1" si="476"/>
        <v/>
      </c>
      <c r="BV1527" t="str">
        <f t="shared" ca="1" si="477"/>
        <v/>
      </c>
      <c r="BW1527" t="str">
        <f t="shared" ca="1" si="478"/>
        <v/>
      </c>
      <c r="BX1527" t="str">
        <f t="shared" ca="1" si="479"/>
        <v/>
      </c>
      <c r="BY1527" t="str">
        <f t="shared" ca="1" si="480"/>
        <v/>
      </c>
      <c r="BZ1527" t="str">
        <f t="shared" ca="1" si="481"/>
        <v/>
      </c>
      <c r="CA1527" t="str">
        <f t="shared" ca="1" si="482"/>
        <v/>
      </c>
      <c r="CC1527" s="482" t="str">
        <f t="shared" ca="1" si="483"/>
        <v/>
      </c>
      <c r="CD1527" s="483" t="str">
        <f t="shared" ca="1" si="484"/>
        <v/>
      </c>
      <c r="CE1527" s="483" t="str">
        <f t="shared" ca="1" si="485"/>
        <v/>
      </c>
      <c r="CF1527" s="483" t="str">
        <f t="shared" ca="1" si="486"/>
        <v/>
      </c>
      <c r="CG1527" s="482" t="str">
        <f t="shared" ca="1" si="487"/>
        <v/>
      </c>
      <c r="CH1527" s="483" t="str">
        <f t="shared" ca="1" si="488"/>
        <v/>
      </c>
      <c r="CI1527" s="483" t="str">
        <f t="shared" ca="1" si="489"/>
        <v/>
      </c>
      <c r="CJ1527" s="484" t="str">
        <f t="shared" ca="1" si="490"/>
        <v/>
      </c>
      <c r="CK1527" s="483" t="str">
        <f t="shared" ca="1" si="491"/>
        <v/>
      </c>
      <c r="CL1527" s="483" t="str">
        <f t="shared" ca="1" si="492"/>
        <v/>
      </c>
      <c r="CM1527" s="483" t="str">
        <f t="shared" ca="1" si="493"/>
        <v/>
      </c>
      <c r="CN1527" s="483" t="str">
        <f t="shared" ca="1" si="494"/>
        <v/>
      </c>
      <c r="CO1527" s="482" t="str">
        <f t="shared" ca="1" si="495"/>
        <v/>
      </c>
      <c r="CP1527" s="483" t="str">
        <f t="shared" ca="1" si="496"/>
        <v/>
      </c>
      <c r="CQ1527" s="483" t="str">
        <f t="shared" ca="1" si="497"/>
        <v/>
      </c>
      <c r="CR1527" s="484" t="str">
        <f t="shared" ca="1" si="498"/>
        <v/>
      </c>
      <c r="CV1527" s="454" t="str">
        <f t="array" ref="CV1527">IFERROR(INDEX(Montageplatten[Höhe],LARGE((Montageplatten[konf Rahmenbed]=$L$70)*(ROW(Montageplatten[konf Rahmenbed])-1),COUNTIF(Montageplatten[konf Rahmenbed],$L$70)+1-ROW(A24))),"")</f>
        <v/>
      </c>
      <c r="CW1527" t="str">
        <f t="shared" si="409"/>
        <v/>
      </c>
      <c r="CX1527" s="1057"/>
    </row>
    <row r="1528" spans="1:102" hidden="1" outlineLevel="1" x14ac:dyDescent="0.25">
      <c r="A1528">
        <f t="shared" ca="1" si="435"/>
        <v>1</v>
      </c>
      <c r="B1528" s="170">
        <f t="shared" ca="1" si="410"/>
        <v>15</v>
      </c>
      <c r="C1528">
        <f t="shared" ca="1" si="500"/>
        <v>5</v>
      </c>
      <c r="D1528">
        <f t="shared" ca="1" si="499"/>
        <v>2</v>
      </c>
      <c r="E1528">
        <f t="shared" ca="1" si="436"/>
        <v>-4.5</v>
      </c>
      <c r="F1528">
        <f t="shared" ca="1" si="437"/>
        <v>-14</v>
      </c>
      <c r="G1528" t="e">
        <f t="shared" ca="1" si="438"/>
        <v>#VALUE!</v>
      </c>
      <c r="H1528" t="e">
        <f t="shared" ca="1" si="439"/>
        <v>#VALUE!</v>
      </c>
      <c r="I1528" t="e">
        <f t="shared" ca="1" si="440"/>
        <v>#VALUE!</v>
      </c>
      <c r="J1528" t="e">
        <f t="shared" ca="1" si="441"/>
        <v>#VALUE!</v>
      </c>
      <c r="K1528" t="e">
        <f t="shared" ca="1" si="442"/>
        <v>#VALUE!</v>
      </c>
      <c r="L1528" t="e">
        <f t="shared" ca="1" si="443"/>
        <v>#VALUE!</v>
      </c>
      <c r="M1528" t="e">
        <f t="shared" ca="1" si="444"/>
        <v>#VALUE!</v>
      </c>
      <c r="N1528" t="e">
        <f t="shared" ca="1" si="445"/>
        <v>#VALUE!</v>
      </c>
      <c r="O1528">
        <f t="shared" ca="1" si="446"/>
        <v>-9</v>
      </c>
      <c r="P1528" t="e">
        <f t="shared" ca="1" si="447"/>
        <v>#VALUE!</v>
      </c>
      <c r="Q1528" t="e">
        <f t="shared" ca="1" si="448"/>
        <v>#VALUE!</v>
      </c>
      <c r="R1528" t="e">
        <f t="shared" ca="1" si="449"/>
        <v>#VALUE!</v>
      </c>
      <c r="U1528" s="485" t="str">
        <f t="shared" ca="1" si="450"/>
        <v/>
      </c>
      <c r="V1528" s="486">
        <f t="shared" ca="1" si="411"/>
        <v>1</v>
      </c>
      <c r="W1528" s="486" t="str">
        <f t="shared" ca="1" si="412"/>
        <v/>
      </c>
      <c r="X1528" s="486" t="str">
        <f t="shared" ca="1" si="413"/>
        <v/>
      </c>
      <c r="Y1528" s="485" t="str">
        <f t="shared" ca="1" si="414"/>
        <v/>
      </c>
      <c r="Z1528" s="486" t="str">
        <f t="shared" ca="1" si="415"/>
        <v/>
      </c>
      <c r="AA1528" s="486" t="str">
        <f t="shared" ca="1" si="416"/>
        <v/>
      </c>
      <c r="AB1528" s="486" t="str">
        <f t="shared" ca="1" si="417"/>
        <v/>
      </c>
      <c r="AC1528" s="485" t="str">
        <f t="shared" ca="1" si="418"/>
        <v/>
      </c>
      <c r="AD1528" s="486" t="str">
        <f t="shared" ca="1" si="419"/>
        <v/>
      </c>
      <c r="AE1528" s="486" t="str">
        <f t="shared" ca="1" si="420"/>
        <v/>
      </c>
      <c r="AF1528" s="486" t="str">
        <f t="shared" ca="1" si="421"/>
        <v/>
      </c>
      <c r="AG1528" s="485" t="str">
        <f t="shared" ca="1" si="422"/>
        <v/>
      </c>
      <c r="AH1528" s="486" t="str">
        <f t="shared" ca="1" si="423"/>
        <v/>
      </c>
      <c r="AI1528" s="486" t="str">
        <f t="shared" ca="1" si="424"/>
        <v/>
      </c>
      <c r="AJ1528" s="486" t="str">
        <f t="shared" ca="1" si="425"/>
        <v/>
      </c>
      <c r="AK1528" s="474" t="str">
        <f t="shared" ca="1" si="451"/>
        <v/>
      </c>
      <c r="AL1528" s="480" t="str">
        <f t="shared" ca="1" si="452"/>
        <v>-</v>
      </c>
      <c r="AM1528" s="476" t="str">
        <f t="shared" ca="1" si="453"/>
        <v/>
      </c>
      <c r="AN1528" s="475" t="str">
        <f t="shared" ca="1" si="454"/>
        <v>-</v>
      </c>
      <c r="AO1528" s="460" t="str">
        <f t="shared" ca="1" si="455"/>
        <v/>
      </c>
      <c r="AP1528" s="480" t="str">
        <f t="shared" ca="1" si="456"/>
        <v>-</v>
      </c>
      <c r="AQ1528" s="477" t="str">
        <f t="shared" ca="1" si="457"/>
        <v/>
      </c>
      <c r="AR1528" s="480" t="str">
        <f t="shared" ca="1" si="458"/>
        <v>-</v>
      </c>
      <c r="AS1528" s="34"/>
      <c r="AT1528" s="490" t="str">
        <f t="shared" ca="1" si="426"/>
        <v/>
      </c>
      <c r="AU1528" s="491" t="str">
        <f t="shared" ca="1" si="427"/>
        <v/>
      </c>
      <c r="AV1528" s="491" t="str">
        <f t="shared" ca="1" si="428"/>
        <v/>
      </c>
      <c r="AW1528" s="492" t="str">
        <f t="shared" ca="1" si="429"/>
        <v/>
      </c>
      <c r="AY1528" s="474" t="str">
        <f t="shared" ca="1" si="459"/>
        <v/>
      </c>
      <c r="AZ1528" s="480" t="str">
        <f t="shared" ca="1" si="460"/>
        <v>-</v>
      </c>
      <c r="BA1528" s="476" t="str">
        <f t="shared" ca="1" si="461"/>
        <v/>
      </c>
      <c r="BB1528" s="480" t="str">
        <f t="shared" ca="1" si="462"/>
        <v>-</v>
      </c>
      <c r="BC1528" s="460" t="str">
        <f t="shared" ca="1" si="463"/>
        <v/>
      </c>
      <c r="BD1528" s="480" t="str">
        <f t="shared" ca="1" si="464"/>
        <v>-</v>
      </c>
      <c r="BE1528" s="477" t="str">
        <f t="shared" ca="1" si="465"/>
        <v/>
      </c>
      <c r="BF1528" s="480" t="str">
        <f t="shared" ca="1" si="466"/>
        <v>-</v>
      </c>
      <c r="BG1528" s="488" t="str">
        <f t="shared" ca="1" si="430"/>
        <v/>
      </c>
      <c r="BH1528" s="483" t="str">
        <f t="shared" ca="1" si="431"/>
        <v/>
      </c>
      <c r="BI1528" s="483" t="str">
        <f t="shared" ca="1" si="432"/>
        <v/>
      </c>
      <c r="BJ1528" s="489" t="str">
        <f t="shared" ca="1" si="433"/>
        <v/>
      </c>
      <c r="BL1528" t="str">
        <f t="shared" ca="1" si="467"/>
        <v/>
      </c>
      <c r="BM1528" t="str">
        <f t="shared" ca="1" si="468"/>
        <v/>
      </c>
      <c r="BN1528" t="str">
        <f t="shared" ca="1" si="469"/>
        <v/>
      </c>
      <c r="BO1528" t="str">
        <f t="shared" ca="1" si="470"/>
        <v/>
      </c>
      <c r="BP1528" t="str">
        <f t="shared" ca="1" si="471"/>
        <v/>
      </c>
      <c r="BQ1528" t="str">
        <f t="shared" ca="1" si="472"/>
        <v/>
      </c>
      <c r="BR1528" t="str">
        <f t="shared" ca="1" si="473"/>
        <v/>
      </c>
      <c r="BS1528" t="str">
        <f t="shared" ca="1" si="474"/>
        <v/>
      </c>
      <c r="BT1528" t="str">
        <f t="shared" ca="1" si="475"/>
        <v/>
      </c>
      <c r="BU1528" t="str">
        <f t="shared" ca="1" si="476"/>
        <v/>
      </c>
      <c r="BV1528" t="str">
        <f t="shared" ca="1" si="477"/>
        <v/>
      </c>
      <c r="BW1528" t="str">
        <f t="shared" ca="1" si="478"/>
        <v/>
      </c>
      <c r="BX1528" t="str">
        <f t="shared" ca="1" si="479"/>
        <v/>
      </c>
      <c r="BY1528" t="str">
        <f t="shared" ca="1" si="480"/>
        <v/>
      </c>
      <c r="BZ1528" t="str">
        <f t="shared" ca="1" si="481"/>
        <v/>
      </c>
      <c r="CA1528" t="str">
        <f t="shared" ca="1" si="482"/>
        <v/>
      </c>
      <c r="CC1528" s="482" t="str">
        <f t="shared" ca="1" si="483"/>
        <v/>
      </c>
      <c r="CD1528" s="483" t="str">
        <f t="shared" ca="1" si="484"/>
        <v/>
      </c>
      <c r="CE1528" s="483" t="str">
        <f t="shared" ca="1" si="485"/>
        <v/>
      </c>
      <c r="CF1528" s="483" t="str">
        <f t="shared" ca="1" si="486"/>
        <v/>
      </c>
      <c r="CG1528" s="482" t="str">
        <f t="shared" ca="1" si="487"/>
        <v/>
      </c>
      <c r="CH1528" s="483" t="str">
        <f t="shared" ca="1" si="488"/>
        <v/>
      </c>
      <c r="CI1528" s="483" t="str">
        <f t="shared" ca="1" si="489"/>
        <v/>
      </c>
      <c r="CJ1528" s="484" t="str">
        <f t="shared" ca="1" si="490"/>
        <v/>
      </c>
      <c r="CK1528" s="483" t="str">
        <f t="shared" ca="1" si="491"/>
        <v/>
      </c>
      <c r="CL1528" s="483" t="str">
        <f t="shared" ca="1" si="492"/>
        <v/>
      </c>
      <c r="CM1528" s="483" t="str">
        <f t="shared" ca="1" si="493"/>
        <v/>
      </c>
      <c r="CN1528" s="483" t="str">
        <f t="shared" ca="1" si="494"/>
        <v/>
      </c>
      <c r="CO1528" s="482" t="str">
        <f t="shared" ca="1" si="495"/>
        <v/>
      </c>
      <c r="CP1528" s="483" t="str">
        <f t="shared" ca="1" si="496"/>
        <v/>
      </c>
      <c r="CQ1528" s="483" t="str">
        <f t="shared" ca="1" si="497"/>
        <v/>
      </c>
      <c r="CR1528" s="484" t="str">
        <f t="shared" ca="1" si="498"/>
        <v/>
      </c>
      <c r="CV1528" s="454" t="str">
        <f t="array" ref="CV1528">IFERROR(INDEX(Montageplatten[Höhe],LARGE((Montageplatten[konf Rahmenbed]=$L$70)*(ROW(Montageplatten[konf Rahmenbed])-1),COUNTIF(Montageplatten[konf Rahmenbed],$L$70)+1-ROW(A25))),"")</f>
        <v/>
      </c>
      <c r="CW1528" t="str">
        <f t="shared" si="409"/>
        <v/>
      </c>
      <c r="CX1528" s="1057"/>
    </row>
    <row r="1529" spans="1:102" hidden="1" outlineLevel="1" x14ac:dyDescent="0.25">
      <c r="A1529">
        <f t="shared" ca="1" si="435"/>
        <v>0</v>
      </c>
      <c r="B1529" s="170">
        <f t="shared" ca="1" si="410"/>
        <v>14.5</v>
      </c>
      <c r="C1529">
        <f t="shared" ca="1" si="500"/>
        <v>5.5</v>
      </c>
      <c r="D1529">
        <f t="shared" ca="1" si="499"/>
        <v>2.5</v>
      </c>
      <c r="E1529">
        <f t="shared" ca="1" si="436"/>
        <v>-4</v>
      </c>
      <c r="F1529">
        <f t="shared" ca="1" si="437"/>
        <v>-13.5</v>
      </c>
      <c r="G1529" t="e">
        <f t="shared" ca="1" si="438"/>
        <v>#VALUE!</v>
      </c>
      <c r="H1529" t="e">
        <f t="shared" ca="1" si="439"/>
        <v>#VALUE!</v>
      </c>
      <c r="I1529" t="e">
        <f t="shared" ca="1" si="440"/>
        <v>#VALUE!</v>
      </c>
      <c r="J1529" t="e">
        <f t="shared" ca="1" si="441"/>
        <v>#VALUE!</v>
      </c>
      <c r="K1529" t="e">
        <f t="shared" ca="1" si="442"/>
        <v>#VALUE!</v>
      </c>
      <c r="L1529" t="e">
        <f t="shared" ca="1" si="443"/>
        <v>#VALUE!</v>
      </c>
      <c r="M1529" t="e">
        <f t="shared" ca="1" si="444"/>
        <v>#VALUE!</v>
      </c>
      <c r="N1529" t="e">
        <f t="shared" ca="1" si="445"/>
        <v>#VALUE!</v>
      </c>
      <c r="O1529">
        <f t="shared" ca="1" si="446"/>
        <v>-8.5</v>
      </c>
      <c r="P1529" t="e">
        <f t="shared" ca="1" si="447"/>
        <v>#VALUE!</v>
      </c>
      <c r="Q1529" t="e">
        <f t="shared" ca="1" si="448"/>
        <v>#VALUE!</v>
      </c>
      <c r="R1529" t="e">
        <f t="shared" ca="1" si="449"/>
        <v>#VALUE!</v>
      </c>
      <c r="U1529" s="485" t="str">
        <f t="shared" ca="1" si="450"/>
        <v/>
      </c>
      <c r="V1529" s="486" t="str">
        <f t="shared" ca="1" si="411"/>
        <v/>
      </c>
      <c r="W1529" s="486" t="str">
        <f t="shared" ca="1" si="412"/>
        <v/>
      </c>
      <c r="X1529" s="486" t="str">
        <f t="shared" ca="1" si="413"/>
        <v/>
      </c>
      <c r="Y1529" s="485" t="str">
        <f t="shared" ca="1" si="414"/>
        <v/>
      </c>
      <c r="Z1529" s="486" t="str">
        <f t="shared" ca="1" si="415"/>
        <v/>
      </c>
      <c r="AA1529" s="486" t="str">
        <f t="shared" ca="1" si="416"/>
        <v/>
      </c>
      <c r="AB1529" s="486" t="str">
        <f t="shared" ca="1" si="417"/>
        <v/>
      </c>
      <c r="AC1529" s="485" t="str">
        <f t="shared" ca="1" si="418"/>
        <v/>
      </c>
      <c r="AD1529" s="486" t="str">
        <f t="shared" ca="1" si="419"/>
        <v/>
      </c>
      <c r="AE1529" s="486" t="str">
        <f t="shared" ca="1" si="420"/>
        <v/>
      </c>
      <c r="AF1529" s="486" t="str">
        <f t="shared" ca="1" si="421"/>
        <v/>
      </c>
      <c r="AG1529" s="485" t="str">
        <f t="shared" ca="1" si="422"/>
        <v/>
      </c>
      <c r="AH1529" s="486" t="str">
        <f t="shared" ca="1" si="423"/>
        <v/>
      </c>
      <c r="AI1529" s="486" t="str">
        <f t="shared" ca="1" si="424"/>
        <v/>
      </c>
      <c r="AJ1529" s="486" t="str">
        <f t="shared" ca="1" si="425"/>
        <v/>
      </c>
      <c r="AK1529" s="474" t="str">
        <f t="shared" ca="1" si="451"/>
        <v/>
      </c>
      <c r="AL1529" s="480" t="str">
        <f t="shared" ca="1" si="452"/>
        <v>-</v>
      </c>
      <c r="AM1529" s="476" t="str">
        <f t="shared" ca="1" si="453"/>
        <v/>
      </c>
      <c r="AN1529" s="475" t="str">
        <f t="shared" ca="1" si="454"/>
        <v>-</v>
      </c>
      <c r="AO1529" s="460" t="str">
        <f t="shared" ca="1" si="455"/>
        <v/>
      </c>
      <c r="AP1529" s="480" t="str">
        <f t="shared" ca="1" si="456"/>
        <v>-</v>
      </c>
      <c r="AQ1529" s="477" t="str">
        <f t="shared" ca="1" si="457"/>
        <v/>
      </c>
      <c r="AR1529" s="480" t="str">
        <f t="shared" ca="1" si="458"/>
        <v>-</v>
      </c>
      <c r="AS1529" s="34"/>
      <c r="AT1529" s="490" t="str">
        <f t="shared" ca="1" si="426"/>
        <v/>
      </c>
      <c r="AU1529" s="491" t="str">
        <f t="shared" ca="1" si="427"/>
        <v/>
      </c>
      <c r="AV1529" s="491" t="str">
        <f t="shared" ca="1" si="428"/>
        <v/>
      </c>
      <c r="AW1529" s="492" t="str">
        <f t="shared" ca="1" si="429"/>
        <v/>
      </c>
      <c r="AY1529" s="474" t="str">
        <f t="shared" ca="1" si="459"/>
        <v/>
      </c>
      <c r="AZ1529" s="480" t="str">
        <f t="shared" ca="1" si="460"/>
        <v>-</v>
      </c>
      <c r="BA1529" s="476" t="str">
        <f t="shared" ca="1" si="461"/>
        <v/>
      </c>
      <c r="BB1529" s="480" t="str">
        <f t="shared" ca="1" si="462"/>
        <v>-</v>
      </c>
      <c r="BC1529" s="460" t="str">
        <f t="shared" ca="1" si="463"/>
        <v/>
      </c>
      <c r="BD1529" s="480" t="str">
        <f t="shared" ca="1" si="464"/>
        <v>-</v>
      </c>
      <c r="BE1529" s="477" t="str">
        <f t="shared" ca="1" si="465"/>
        <v/>
      </c>
      <c r="BF1529" s="480" t="str">
        <f t="shared" ca="1" si="466"/>
        <v>-</v>
      </c>
      <c r="BG1529" s="488" t="str">
        <f t="shared" ca="1" si="430"/>
        <v/>
      </c>
      <c r="BH1529" s="483" t="str">
        <f t="shared" ca="1" si="431"/>
        <v/>
      </c>
      <c r="BI1529" s="483" t="str">
        <f t="shared" ca="1" si="432"/>
        <v/>
      </c>
      <c r="BJ1529" s="489" t="str">
        <f t="shared" ca="1" si="433"/>
        <v/>
      </c>
      <c r="BL1529" t="str">
        <f t="shared" ca="1" si="467"/>
        <v/>
      </c>
      <c r="BM1529" t="str">
        <f t="shared" ca="1" si="468"/>
        <v/>
      </c>
      <c r="BN1529" t="str">
        <f t="shared" ca="1" si="469"/>
        <v/>
      </c>
      <c r="BO1529" t="str">
        <f t="shared" ca="1" si="470"/>
        <v/>
      </c>
      <c r="BP1529" t="str">
        <f t="shared" ca="1" si="471"/>
        <v/>
      </c>
      <c r="BQ1529" t="str">
        <f t="shared" ca="1" si="472"/>
        <v/>
      </c>
      <c r="BR1529" t="str">
        <f t="shared" ca="1" si="473"/>
        <v/>
      </c>
      <c r="BS1529" t="str">
        <f t="shared" ca="1" si="474"/>
        <v/>
      </c>
      <c r="BT1529" t="str">
        <f t="shared" ca="1" si="475"/>
        <v/>
      </c>
      <c r="BU1529" t="str">
        <f t="shared" ca="1" si="476"/>
        <v/>
      </c>
      <c r="BV1529" t="str">
        <f t="shared" ca="1" si="477"/>
        <v/>
      </c>
      <c r="BW1529" t="str">
        <f t="shared" ca="1" si="478"/>
        <v/>
      </c>
      <c r="BX1529" t="str">
        <f t="shared" ca="1" si="479"/>
        <v/>
      </c>
      <c r="BY1529" t="str">
        <f t="shared" ca="1" si="480"/>
        <v/>
      </c>
      <c r="BZ1529" t="str">
        <f t="shared" ca="1" si="481"/>
        <v/>
      </c>
      <c r="CA1529" t="str">
        <f t="shared" ca="1" si="482"/>
        <v/>
      </c>
      <c r="CC1529" s="482" t="str">
        <f t="shared" ca="1" si="483"/>
        <v/>
      </c>
      <c r="CD1529" s="483" t="str">
        <f t="shared" ca="1" si="484"/>
        <v/>
      </c>
      <c r="CE1529" s="483" t="str">
        <f t="shared" ca="1" si="485"/>
        <v/>
      </c>
      <c r="CF1529" s="483" t="str">
        <f t="shared" ca="1" si="486"/>
        <v/>
      </c>
      <c r="CG1529" s="482" t="str">
        <f t="shared" ca="1" si="487"/>
        <v/>
      </c>
      <c r="CH1529" s="483" t="str">
        <f t="shared" ca="1" si="488"/>
        <v/>
      </c>
      <c r="CI1529" s="483" t="str">
        <f t="shared" ca="1" si="489"/>
        <v/>
      </c>
      <c r="CJ1529" s="484" t="str">
        <f t="shared" ca="1" si="490"/>
        <v/>
      </c>
      <c r="CK1529" s="483" t="str">
        <f t="shared" ca="1" si="491"/>
        <v/>
      </c>
      <c r="CL1529" s="483" t="str">
        <f t="shared" ca="1" si="492"/>
        <v/>
      </c>
      <c r="CM1529" s="483" t="str">
        <f t="shared" ca="1" si="493"/>
        <v/>
      </c>
      <c r="CN1529" s="483" t="str">
        <f t="shared" ca="1" si="494"/>
        <v/>
      </c>
      <c r="CO1529" s="482" t="str">
        <f t="shared" ca="1" si="495"/>
        <v/>
      </c>
      <c r="CP1529" s="483" t="str">
        <f t="shared" ca="1" si="496"/>
        <v/>
      </c>
      <c r="CQ1529" s="483" t="str">
        <f t="shared" ca="1" si="497"/>
        <v/>
      </c>
      <c r="CR1529" s="484" t="str">
        <f t="shared" ca="1" si="498"/>
        <v/>
      </c>
      <c r="CV1529" s="454" t="str">
        <f t="array" ref="CV1529">IFERROR(INDEX(Montageplatten[Höhe],LARGE((Montageplatten[konf Rahmenbed]=$L$70)*(ROW(Montageplatten[konf Rahmenbed])-1),COUNTIF(Montageplatten[konf Rahmenbed],$L$70)+1-ROW(A26))),"")</f>
        <v/>
      </c>
      <c r="CW1529" t="str">
        <f t="shared" si="409"/>
        <v/>
      </c>
      <c r="CX1529" s="1057"/>
    </row>
    <row r="1530" spans="1:102" hidden="1" outlineLevel="1" x14ac:dyDescent="0.25">
      <c r="A1530">
        <f t="shared" ca="1" si="435"/>
        <v>1</v>
      </c>
      <c r="B1530" s="170">
        <f t="shared" ca="1" si="410"/>
        <v>14</v>
      </c>
      <c r="C1530">
        <f t="shared" ca="1" si="500"/>
        <v>6</v>
      </c>
      <c r="D1530">
        <f t="shared" ca="1" si="499"/>
        <v>3</v>
      </c>
      <c r="E1530">
        <f t="shared" ca="1" si="436"/>
        <v>-3.5</v>
      </c>
      <c r="F1530">
        <f t="shared" ca="1" si="437"/>
        <v>-13</v>
      </c>
      <c r="G1530" t="e">
        <f t="shared" ca="1" si="438"/>
        <v>#VALUE!</v>
      </c>
      <c r="H1530" t="e">
        <f t="shared" ca="1" si="439"/>
        <v>#VALUE!</v>
      </c>
      <c r="I1530" t="e">
        <f t="shared" ca="1" si="440"/>
        <v>#VALUE!</v>
      </c>
      <c r="J1530" t="e">
        <f t="shared" ca="1" si="441"/>
        <v>#VALUE!</v>
      </c>
      <c r="K1530" t="e">
        <f t="shared" ca="1" si="442"/>
        <v>#VALUE!</v>
      </c>
      <c r="L1530" t="e">
        <f t="shared" ca="1" si="443"/>
        <v>#VALUE!</v>
      </c>
      <c r="M1530" t="e">
        <f t="shared" ca="1" si="444"/>
        <v>#VALUE!</v>
      </c>
      <c r="N1530" t="e">
        <f t="shared" ca="1" si="445"/>
        <v>#VALUE!</v>
      </c>
      <c r="O1530">
        <f t="shared" ca="1" si="446"/>
        <v>-8</v>
      </c>
      <c r="P1530" t="e">
        <f t="shared" ca="1" si="447"/>
        <v>#VALUE!</v>
      </c>
      <c r="Q1530" t="e">
        <f t="shared" ca="1" si="448"/>
        <v>#VALUE!</v>
      </c>
      <c r="R1530" t="e">
        <f t="shared" ca="1" si="449"/>
        <v>#VALUE!</v>
      </c>
      <c r="U1530" s="485">
        <f t="shared" ca="1" si="450"/>
        <v>1</v>
      </c>
      <c r="V1530" s="486">
        <f t="shared" ca="1" si="411"/>
        <v>1</v>
      </c>
      <c r="W1530" s="486" t="str">
        <f t="shared" ca="1" si="412"/>
        <v/>
      </c>
      <c r="X1530" s="486" t="str">
        <f t="shared" ca="1" si="413"/>
        <v/>
      </c>
      <c r="Y1530" s="485" t="str">
        <f t="shared" ca="1" si="414"/>
        <v/>
      </c>
      <c r="Z1530" s="486" t="str">
        <f t="shared" ca="1" si="415"/>
        <v/>
      </c>
      <c r="AA1530" s="486" t="str">
        <f t="shared" ca="1" si="416"/>
        <v/>
      </c>
      <c r="AB1530" s="486" t="str">
        <f t="shared" ca="1" si="417"/>
        <v/>
      </c>
      <c r="AC1530" s="485" t="str">
        <f t="shared" ca="1" si="418"/>
        <v/>
      </c>
      <c r="AD1530" s="486" t="str">
        <f t="shared" ca="1" si="419"/>
        <v/>
      </c>
      <c r="AE1530" s="486" t="str">
        <f t="shared" ca="1" si="420"/>
        <v/>
      </c>
      <c r="AF1530" s="486" t="str">
        <f t="shared" ca="1" si="421"/>
        <v/>
      </c>
      <c r="AG1530" s="485" t="str">
        <f t="shared" ca="1" si="422"/>
        <v/>
      </c>
      <c r="AH1530" s="486" t="str">
        <f t="shared" ca="1" si="423"/>
        <v/>
      </c>
      <c r="AI1530" s="486" t="str">
        <f t="shared" ca="1" si="424"/>
        <v/>
      </c>
      <c r="AJ1530" s="486" t="str">
        <f t="shared" ca="1" si="425"/>
        <v/>
      </c>
      <c r="AK1530" s="474" t="str">
        <f t="shared" ca="1" si="451"/>
        <v/>
      </c>
      <c r="AL1530" s="480" t="str">
        <f t="shared" ca="1" si="452"/>
        <v>-</v>
      </c>
      <c r="AM1530" s="476" t="str">
        <f t="shared" ca="1" si="453"/>
        <v/>
      </c>
      <c r="AN1530" s="475" t="str">
        <f t="shared" ca="1" si="454"/>
        <v>-</v>
      </c>
      <c r="AO1530" s="460" t="str">
        <f t="shared" ca="1" si="455"/>
        <v/>
      </c>
      <c r="AP1530" s="480" t="str">
        <f t="shared" ca="1" si="456"/>
        <v>-</v>
      </c>
      <c r="AQ1530" s="477" t="str">
        <f t="shared" ca="1" si="457"/>
        <v/>
      </c>
      <c r="AR1530" s="480" t="str">
        <f t="shared" ca="1" si="458"/>
        <v>-</v>
      </c>
      <c r="AS1530" s="34"/>
      <c r="AT1530" s="490" t="str">
        <f t="shared" ca="1" si="426"/>
        <v/>
      </c>
      <c r="AU1530" s="491" t="str">
        <f t="shared" ca="1" si="427"/>
        <v/>
      </c>
      <c r="AV1530" s="491" t="str">
        <f t="shared" ca="1" si="428"/>
        <v/>
      </c>
      <c r="AW1530" s="492" t="str">
        <f t="shared" ca="1" si="429"/>
        <v/>
      </c>
      <c r="AY1530" s="474" t="str">
        <f t="shared" ca="1" si="459"/>
        <v/>
      </c>
      <c r="AZ1530" s="480" t="str">
        <f t="shared" ca="1" si="460"/>
        <v>-</v>
      </c>
      <c r="BA1530" s="476" t="str">
        <f t="shared" ca="1" si="461"/>
        <v/>
      </c>
      <c r="BB1530" s="480" t="str">
        <f t="shared" ca="1" si="462"/>
        <v>-</v>
      </c>
      <c r="BC1530" s="460" t="str">
        <f t="shared" ca="1" si="463"/>
        <v/>
      </c>
      <c r="BD1530" s="480" t="str">
        <f t="shared" ca="1" si="464"/>
        <v>-</v>
      </c>
      <c r="BE1530" s="477" t="str">
        <f t="shared" ca="1" si="465"/>
        <v/>
      </c>
      <c r="BF1530" s="480" t="str">
        <f t="shared" ca="1" si="466"/>
        <v>-</v>
      </c>
      <c r="BG1530" s="488" t="str">
        <f t="shared" ca="1" si="430"/>
        <v/>
      </c>
      <c r="BH1530" s="483" t="str">
        <f t="shared" ca="1" si="431"/>
        <v/>
      </c>
      <c r="BI1530" s="483" t="str">
        <f t="shared" ca="1" si="432"/>
        <v/>
      </c>
      <c r="BJ1530" s="489" t="str">
        <f t="shared" ca="1" si="433"/>
        <v/>
      </c>
      <c r="BL1530" t="str">
        <f t="shared" ca="1" si="467"/>
        <v/>
      </c>
      <c r="BM1530" t="str">
        <f t="shared" ca="1" si="468"/>
        <v/>
      </c>
      <c r="BN1530" t="str">
        <f t="shared" ca="1" si="469"/>
        <v/>
      </c>
      <c r="BO1530" t="str">
        <f t="shared" ca="1" si="470"/>
        <v/>
      </c>
      <c r="BP1530" t="str">
        <f t="shared" ca="1" si="471"/>
        <v/>
      </c>
      <c r="BQ1530" t="str">
        <f t="shared" ca="1" si="472"/>
        <v/>
      </c>
      <c r="BR1530" t="str">
        <f t="shared" ca="1" si="473"/>
        <v/>
      </c>
      <c r="BS1530" t="str">
        <f t="shared" ca="1" si="474"/>
        <v/>
      </c>
      <c r="BT1530" t="str">
        <f t="shared" ca="1" si="475"/>
        <v/>
      </c>
      <c r="BU1530" t="str">
        <f t="shared" ca="1" si="476"/>
        <v/>
      </c>
      <c r="BV1530" t="str">
        <f t="shared" ca="1" si="477"/>
        <v/>
      </c>
      <c r="BW1530" t="str">
        <f t="shared" ca="1" si="478"/>
        <v/>
      </c>
      <c r="BX1530" t="str">
        <f t="shared" ca="1" si="479"/>
        <v/>
      </c>
      <c r="BY1530" t="str">
        <f t="shared" ca="1" si="480"/>
        <v/>
      </c>
      <c r="BZ1530" t="str">
        <f t="shared" ca="1" si="481"/>
        <v/>
      </c>
      <c r="CA1530" t="str">
        <f t="shared" ca="1" si="482"/>
        <v/>
      </c>
      <c r="CC1530" s="482" t="str">
        <f t="shared" ca="1" si="483"/>
        <v/>
      </c>
      <c r="CD1530" s="483" t="str">
        <f t="shared" ca="1" si="484"/>
        <v/>
      </c>
      <c r="CE1530" s="483" t="str">
        <f t="shared" ca="1" si="485"/>
        <v/>
      </c>
      <c r="CF1530" s="483" t="str">
        <f t="shared" ca="1" si="486"/>
        <v/>
      </c>
      <c r="CG1530" s="482" t="str">
        <f t="shared" ca="1" si="487"/>
        <v/>
      </c>
      <c r="CH1530" s="483" t="str">
        <f t="shared" ca="1" si="488"/>
        <v/>
      </c>
      <c r="CI1530" s="483" t="str">
        <f t="shared" ca="1" si="489"/>
        <v/>
      </c>
      <c r="CJ1530" s="484" t="str">
        <f t="shared" ca="1" si="490"/>
        <v/>
      </c>
      <c r="CK1530" s="483" t="str">
        <f t="shared" ca="1" si="491"/>
        <v/>
      </c>
      <c r="CL1530" s="483" t="str">
        <f t="shared" ca="1" si="492"/>
        <v/>
      </c>
      <c r="CM1530" s="483" t="str">
        <f t="shared" ca="1" si="493"/>
        <v/>
      </c>
      <c r="CN1530" s="483" t="str">
        <f t="shared" ca="1" si="494"/>
        <v/>
      </c>
      <c r="CO1530" s="482" t="str">
        <f t="shared" ca="1" si="495"/>
        <v/>
      </c>
      <c r="CP1530" s="483" t="str">
        <f t="shared" ca="1" si="496"/>
        <v/>
      </c>
      <c r="CQ1530" s="483" t="str">
        <f t="shared" ca="1" si="497"/>
        <v/>
      </c>
      <c r="CR1530" s="484" t="str">
        <f t="shared" ca="1" si="498"/>
        <v/>
      </c>
      <c r="CV1530" s="454" t="str">
        <f t="array" ref="CV1530">IFERROR(INDEX(Montageplatten[Höhe],LARGE((Montageplatten[konf Rahmenbed]=$L$70)*(ROW(Montageplatten[konf Rahmenbed])-1),COUNTIF(Montageplatten[konf Rahmenbed],$L$70)+1-ROW(A27))),"")</f>
        <v/>
      </c>
      <c r="CW1530" t="str">
        <f t="shared" si="409"/>
        <v/>
      </c>
      <c r="CX1530" s="1057"/>
    </row>
    <row r="1531" spans="1:102" hidden="1" outlineLevel="1" x14ac:dyDescent="0.25">
      <c r="A1531">
        <f t="shared" ca="1" si="435"/>
        <v>1</v>
      </c>
      <c r="B1531" s="170">
        <f t="shared" ca="1" si="410"/>
        <v>13.5</v>
      </c>
      <c r="C1531">
        <f t="shared" ca="1" si="500"/>
        <v>6.5</v>
      </c>
      <c r="D1531">
        <f t="shared" ca="1" si="499"/>
        <v>3.5</v>
      </c>
      <c r="E1531">
        <f t="shared" ca="1" si="436"/>
        <v>-3</v>
      </c>
      <c r="F1531">
        <f t="shared" ca="1" si="437"/>
        <v>-12.5</v>
      </c>
      <c r="G1531" t="e">
        <f t="shared" ca="1" si="438"/>
        <v>#VALUE!</v>
      </c>
      <c r="H1531" t="e">
        <f t="shared" ca="1" si="439"/>
        <v>#VALUE!</v>
      </c>
      <c r="I1531" t="e">
        <f t="shared" ca="1" si="440"/>
        <v>#VALUE!</v>
      </c>
      <c r="J1531" t="e">
        <f t="shared" ca="1" si="441"/>
        <v>#VALUE!</v>
      </c>
      <c r="K1531" t="e">
        <f t="shared" ca="1" si="442"/>
        <v>#VALUE!</v>
      </c>
      <c r="L1531" t="e">
        <f t="shared" ca="1" si="443"/>
        <v>#VALUE!</v>
      </c>
      <c r="M1531" t="e">
        <f t="shared" ca="1" si="444"/>
        <v>#VALUE!</v>
      </c>
      <c r="N1531" t="e">
        <f t="shared" ca="1" si="445"/>
        <v>#VALUE!</v>
      </c>
      <c r="O1531">
        <f t="shared" ca="1" si="446"/>
        <v>-7.5</v>
      </c>
      <c r="P1531" t="e">
        <f t="shared" ca="1" si="447"/>
        <v>#VALUE!</v>
      </c>
      <c r="Q1531" t="e">
        <f t="shared" ca="1" si="448"/>
        <v>#VALUE!</v>
      </c>
      <c r="R1531" t="e">
        <f t="shared" ca="1" si="449"/>
        <v>#VALUE!</v>
      </c>
      <c r="U1531" s="485" t="str">
        <f t="shared" ca="1" si="450"/>
        <v/>
      </c>
      <c r="V1531" s="486">
        <f t="shared" ca="1" si="411"/>
        <v>1</v>
      </c>
      <c r="W1531" s="486" t="str">
        <f t="shared" ca="1" si="412"/>
        <v/>
      </c>
      <c r="X1531" s="486" t="str">
        <f t="shared" ca="1" si="413"/>
        <v/>
      </c>
      <c r="Y1531" s="485" t="str">
        <f t="shared" ca="1" si="414"/>
        <v/>
      </c>
      <c r="Z1531" s="486" t="str">
        <f t="shared" ca="1" si="415"/>
        <v/>
      </c>
      <c r="AA1531" s="486" t="str">
        <f t="shared" ca="1" si="416"/>
        <v/>
      </c>
      <c r="AB1531" s="486" t="str">
        <f t="shared" ca="1" si="417"/>
        <v/>
      </c>
      <c r="AC1531" s="485" t="str">
        <f t="shared" ca="1" si="418"/>
        <v/>
      </c>
      <c r="AD1531" s="486" t="str">
        <f t="shared" ca="1" si="419"/>
        <v/>
      </c>
      <c r="AE1531" s="486" t="str">
        <f t="shared" ca="1" si="420"/>
        <v/>
      </c>
      <c r="AF1531" s="486" t="str">
        <f t="shared" ca="1" si="421"/>
        <v/>
      </c>
      <c r="AG1531" s="485" t="str">
        <f t="shared" ca="1" si="422"/>
        <v/>
      </c>
      <c r="AH1531" s="486" t="str">
        <f t="shared" ca="1" si="423"/>
        <v/>
      </c>
      <c r="AI1531" s="486" t="str">
        <f t="shared" ca="1" si="424"/>
        <v/>
      </c>
      <c r="AJ1531" s="486" t="str">
        <f t="shared" ca="1" si="425"/>
        <v/>
      </c>
      <c r="AK1531" s="474" t="str">
        <f t="shared" ca="1" si="451"/>
        <v/>
      </c>
      <c r="AL1531" s="480" t="str">
        <f t="shared" ca="1" si="452"/>
        <v>-</v>
      </c>
      <c r="AM1531" s="476" t="str">
        <f t="shared" ca="1" si="453"/>
        <v/>
      </c>
      <c r="AN1531" s="475" t="str">
        <f t="shared" ca="1" si="454"/>
        <v>-</v>
      </c>
      <c r="AO1531" s="460" t="str">
        <f t="shared" ca="1" si="455"/>
        <v/>
      </c>
      <c r="AP1531" s="480" t="str">
        <f t="shared" ca="1" si="456"/>
        <v>-</v>
      </c>
      <c r="AQ1531" s="477" t="str">
        <f t="shared" ca="1" si="457"/>
        <v/>
      </c>
      <c r="AR1531" s="480" t="str">
        <f t="shared" ca="1" si="458"/>
        <v>-</v>
      </c>
      <c r="AS1531" s="34"/>
      <c r="AT1531" s="490" t="str">
        <f t="shared" ca="1" si="426"/>
        <v/>
      </c>
      <c r="AU1531" s="491" t="str">
        <f t="shared" ca="1" si="427"/>
        <v/>
      </c>
      <c r="AV1531" s="491" t="str">
        <f t="shared" ca="1" si="428"/>
        <v/>
      </c>
      <c r="AW1531" s="492" t="str">
        <f t="shared" ca="1" si="429"/>
        <v/>
      </c>
      <c r="AY1531" s="474" t="str">
        <f t="shared" ca="1" si="459"/>
        <v/>
      </c>
      <c r="AZ1531" s="480" t="str">
        <f t="shared" ca="1" si="460"/>
        <v>-</v>
      </c>
      <c r="BA1531" s="476" t="str">
        <f t="shared" ca="1" si="461"/>
        <v/>
      </c>
      <c r="BB1531" s="480" t="str">
        <f t="shared" ca="1" si="462"/>
        <v>-</v>
      </c>
      <c r="BC1531" s="460" t="str">
        <f t="shared" ca="1" si="463"/>
        <v/>
      </c>
      <c r="BD1531" s="480" t="str">
        <f t="shared" ca="1" si="464"/>
        <v>-</v>
      </c>
      <c r="BE1531" s="477" t="str">
        <f t="shared" ca="1" si="465"/>
        <v/>
      </c>
      <c r="BF1531" s="480" t="str">
        <f t="shared" ca="1" si="466"/>
        <v>-</v>
      </c>
      <c r="BG1531" s="488" t="str">
        <f t="shared" ca="1" si="430"/>
        <v/>
      </c>
      <c r="BH1531" s="483" t="str">
        <f t="shared" ca="1" si="431"/>
        <v/>
      </c>
      <c r="BI1531" s="483" t="str">
        <f t="shared" ca="1" si="432"/>
        <v/>
      </c>
      <c r="BJ1531" s="489" t="str">
        <f t="shared" ca="1" si="433"/>
        <v/>
      </c>
      <c r="BL1531" t="str">
        <f t="shared" ca="1" si="467"/>
        <v/>
      </c>
      <c r="BM1531" t="str">
        <f t="shared" ca="1" si="468"/>
        <v/>
      </c>
      <c r="BN1531" t="str">
        <f t="shared" ca="1" si="469"/>
        <v/>
      </c>
      <c r="BO1531" t="str">
        <f t="shared" ca="1" si="470"/>
        <v/>
      </c>
      <c r="BP1531" t="str">
        <f t="shared" ca="1" si="471"/>
        <v/>
      </c>
      <c r="BQ1531" t="str">
        <f t="shared" ca="1" si="472"/>
        <v/>
      </c>
      <c r="BR1531" t="str">
        <f t="shared" ca="1" si="473"/>
        <v/>
      </c>
      <c r="BS1531" t="str">
        <f t="shared" ca="1" si="474"/>
        <v/>
      </c>
      <c r="BT1531" t="str">
        <f t="shared" ca="1" si="475"/>
        <v/>
      </c>
      <c r="BU1531" t="str">
        <f t="shared" ca="1" si="476"/>
        <v/>
      </c>
      <c r="BV1531" t="str">
        <f t="shared" ca="1" si="477"/>
        <v/>
      </c>
      <c r="BW1531" t="str">
        <f t="shared" ca="1" si="478"/>
        <v/>
      </c>
      <c r="BX1531" t="str">
        <f t="shared" ca="1" si="479"/>
        <v/>
      </c>
      <c r="BY1531" t="str">
        <f t="shared" ca="1" si="480"/>
        <v/>
      </c>
      <c r="BZ1531" t="str">
        <f t="shared" ca="1" si="481"/>
        <v/>
      </c>
      <c r="CA1531" t="str">
        <f t="shared" ca="1" si="482"/>
        <v/>
      </c>
      <c r="CC1531" s="482" t="str">
        <f t="shared" ca="1" si="483"/>
        <v/>
      </c>
      <c r="CD1531" s="483" t="str">
        <f t="shared" ca="1" si="484"/>
        <v/>
      </c>
      <c r="CE1531" s="483" t="str">
        <f t="shared" ca="1" si="485"/>
        <v/>
      </c>
      <c r="CF1531" s="483" t="str">
        <f t="shared" ca="1" si="486"/>
        <v/>
      </c>
      <c r="CG1531" s="482" t="str">
        <f t="shared" ca="1" si="487"/>
        <v/>
      </c>
      <c r="CH1531" s="483" t="str">
        <f t="shared" ca="1" si="488"/>
        <v/>
      </c>
      <c r="CI1531" s="483" t="str">
        <f t="shared" ca="1" si="489"/>
        <v/>
      </c>
      <c r="CJ1531" s="484" t="str">
        <f t="shared" ca="1" si="490"/>
        <v/>
      </c>
      <c r="CK1531" s="483" t="str">
        <f t="shared" ca="1" si="491"/>
        <v/>
      </c>
      <c r="CL1531" s="483" t="str">
        <f t="shared" ca="1" si="492"/>
        <v/>
      </c>
      <c r="CM1531" s="483" t="str">
        <f t="shared" ca="1" si="493"/>
        <v/>
      </c>
      <c r="CN1531" s="483" t="str">
        <f t="shared" ca="1" si="494"/>
        <v/>
      </c>
      <c r="CO1531" s="482" t="str">
        <f t="shared" ca="1" si="495"/>
        <v/>
      </c>
      <c r="CP1531" s="483" t="str">
        <f t="shared" ca="1" si="496"/>
        <v/>
      </c>
      <c r="CQ1531" s="483" t="str">
        <f t="shared" ca="1" si="497"/>
        <v/>
      </c>
      <c r="CR1531" s="484" t="str">
        <f t="shared" ca="1" si="498"/>
        <v/>
      </c>
      <c r="CV1531" s="454" t="str">
        <f t="array" ref="CV1531">IFERROR(INDEX(Montageplatten[Höhe],LARGE((Montageplatten[konf Rahmenbed]=$L$70)*(ROW(Montageplatten[konf Rahmenbed])-1),COUNTIF(Montageplatten[konf Rahmenbed],$L$70)+1-ROW(A28))),"")</f>
        <v/>
      </c>
      <c r="CW1531" t="str">
        <f t="shared" si="409"/>
        <v/>
      </c>
      <c r="CX1531" s="1057"/>
    </row>
    <row r="1532" spans="1:102" hidden="1" outlineLevel="1" x14ac:dyDescent="0.25">
      <c r="A1532">
        <f t="shared" ca="1" si="435"/>
        <v>0</v>
      </c>
      <c r="B1532" s="170">
        <f t="shared" ca="1" si="410"/>
        <v>13</v>
      </c>
      <c r="C1532">
        <f t="shared" ca="1" si="500"/>
        <v>7</v>
      </c>
      <c r="D1532">
        <f t="shared" ca="1" si="499"/>
        <v>4</v>
      </c>
      <c r="E1532">
        <f t="shared" ca="1" si="436"/>
        <v>-2.5</v>
      </c>
      <c r="F1532">
        <f t="shared" ca="1" si="437"/>
        <v>-12</v>
      </c>
      <c r="G1532" t="e">
        <f t="shared" ca="1" si="438"/>
        <v>#VALUE!</v>
      </c>
      <c r="H1532" t="e">
        <f t="shared" ca="1" si="439"/>
        <v>#VALUE!</v>
      </c>
      <c r="I1532" t="e">
        <f t="shared" ca="1" si="440"/>
        <v>#VALUE!</v>
      </c>
      <c r="J1532" t="e">
        <f t="shared" ca="1" si="441"/>
        <v>#VALUE!</v>
      </c>
      <c r="K1532" t="e">
        <f t="shared" ca="1" si="442"/>
        <v>#VALUE!</v>
      </c>
      <c r="L1532" t="e">
        <f t="shared" ca="1" si="443"/>
        <v>#VALUE!</v>
      </c>
      <c r="M1532" t="e">
        <f t="shared" ca="1" si="444"/>
        <v>#VALUE!</v>
      </c>
      <c r="N1532" t="e">
        <f t="shared" ca="1" si="445"/>
        <v>#VALUE!</v>
      </c>
      <c r="O1532">
        <f t="shared" ca="1" si="446"/>
        <v>-7</v>
      </c>
      <c r="P1532" t="e">
        <f t="shared" ca="1" si="447"/>
        <v>#VALUE!</v>
      </c>
      <c r="Q1532" t="e">
        <f t="shared" ca="1" si="448"/>
        <v>#VALUE!</v>
      </c>
      <c r="R1532" t="e">
        <f t="shared" ca="1" si="449"/>
        <v>#VALUE!</v>
      </c>
      <c r="U1532" s="485" t="str">
        <f t="shared" ca="1" si="450"/>
        <v/>
      </c>
      <c r="V1532" s="486" t="str">
        <f t="shared" ca="1" si="411"/>
        <v/>
      </c>
      <c r="W1532" s="486" t="str">
        <f t="shared" ca="1" si="412"/>
        <v/>
      </c>
      <c r="X1532" s="486" t="str">
        <f t="shared" ca="1" si="413"/>
        <v/>
      </c>
      <c r="Y1532" s="485" t="str">
        <f t="shared" ca="1" si="414"/>
        <v/>
      </c>
      <c r="Z1532" s="486" t="str">
        <f t="shared" ca="1" si="415"/>
        <v/>
      </c>
      <c r="AA1532" s="486" t="str">
        <f t="shared" ca="1" si="416"/>
        <v/>
      </c>
      <c r="AB1532" s="486" t="str">
        <f t="shared" ca="1" si="417"/>
        <v/>
      </c>
      <c r="AC1532" s="485" t="str">
        <f t="shared" ca="1" si="418"/>
        <v/>
      </c>
      <c r="AD1532" s="486" t="str">
        <f t="shared" ca="1" si="419"/>
        <v/>
      </c>
      <c r="AE1532" s="486" t="str">
        <f t="shared" ca="1" si="420"/>
        <v/>
      </c>
      <c r="AF1532" s="486" t="str">
        <f t="shared" ca="1" si="421"/>
        <v/>
      </c>
      <c r="AG1532" s="485" t="str">
        <f t="shared" ca="1" si="422"/>
        <v/>
      </c>
      <c r="AH1532" s="486" t="str">
        <f t="shared" ca="1" si="423"/>
        <v/>
      </c>
      <c r="AI1532" s="486" t="str">
        <f t="shared" ca="1" si="424"/>
        <v/>
      </c>
      <c r="AJ1532" s="486" t="str">
        <f t="shared" ca="1" si="425"/>
        <v/>
      </c>
      <c r="AK1532" s="474" t="str">
        <f t="shared" ca="1" si="451"/>
        <v/>
      </c>
      <c r="AL1532" s="480" t="str">
        <f t="shared" ca="1" si="452"/>
        <v>-</v>
      </c>
      <c r="AM1532" s="476" t="str">
        <f t="shared" ca="1" si="453"/>
        <v/>
      </c>
      <c r="AN1532" s="475" t="str">
        <f t="shared" ca="1" si="454"/>
        <v>-</v>
      </c>
      <c r="AO1532" s="460" t="str">
        <f t="shared" ca="1" si="455"/>
        <v/>
      </c>
      <c r="AP1532" s="480" t="str">
        <f t="shared" ca="1" si="456"/>
        <v>-</v>
      </c>
      <c r="AQ1532" s="477" t="str">
        <f t="shared" ca="1" si="457"/>
        <v/>
      </c>
      <c r="AR1532" s="480" t="str">
        <f t="shared" ca="1" si="458"/>
        <v>-</v>
      </c>
      <c r="AS1532" s="34"/>
      <c r="AT1532" s="490" t="str">
        <f t="shared" ca="1" si="426"/>
        <v/>
      </c>
      <c r="AU1532" s="491" t="str">
        <f t="shared" ca="1" si="427"/>
        <v/>
      </c>
      <c r="AV1532" s="491" t="str">
        <f t="shared" ca="1" si="428"/>
        <v/>
      </c>
      <c r="AW1532" s="492" t="str">
        <f t="shared" ca="1" si="429"/>
        <v/>
      </c>
      <c r="AY1532" s="474" t="str">
        <f t="shared" ca="1" si="459"/>
        <v/>
      </c>
      <c r="AZ1532" s="480" t="str">
        <f t="shared" ca="1" si="460"/>
        <v>-</v>
      </c>
      <c r="BA1532" s="476" t="str">
        <f t="shared" ca="1" si="461"/>
        <v/>
      </c>
      <c r="BB1532" s="480" t="str">
        <f t="shared" ca="1" si="462"/>
        <v>-</v>
      </c>
      <c r="BC1532" s="460" t="str">
        <f t="shared" ca="1" si="463"/>
        <v/>
      </c>
      <c r="BD1532" s="480" t="str">
        <f t="shared" ca="1" si="464"/>
        <v>-</v>
      </c>
      <c r="BE1532" s="477" t="str">
        <f t="shared" ca="1" si="465"/>
        <v/>
      </c>
      <c r="BF1532" s="480" t="str">
        <f t="shared" ca="1" si="466"/>
        <v>-</v>
      </c>
      <c r="BG1532" s="488" t="str">
        <f t="shared" ca="1" si="430"/>
        <v/>
      </c>
      <c r="BH1532" s="483" t="str">
        <f t="shared" ca="1" si="431"/>
        <v/>
      </c>
      <c r="BI1532" s="483" t="str">
        <f t="shared" ca="1" si="432"/>
        <v/>
      </c>
      <c r="BJ1532" s="489" t="str">
        <f t="shared" ca="1" si="433"/>
        <v/>
      </c>
      <c r="BL1532" t="str">
        <f t="shared" ca="1" si="467"/>
        <v/>
      </c>
      <c r="BM1532" t="str">
        <f t="shared" ca="1" si="468"/>
        <v/>
      </c>
      <c r="BN1532" t="str">
        <f t="shared" ca="1" si="469"/>
        <v/>
      </c>
      <c r="BO1532" t="str">
        <f t="shared" ca="1" si="470"/>
        <v/>
      </c>
      <c r="BP1532" t="str">
        <f t="shared" ca="1" si="471"/>
        <v/>
      </c>
      <c r="BQ1532" t="str">
        <f t="shared" ca="1" si="472"/>
        <v/>
      </c>
      <c r="BR1532" t="str">
        <f t="shared" ca="1" si="473"/>
        <v/>
      </c>
      <c r="BS1532" t="str">
        <f t="shared" ca="1" si="474"/>
        <v/>
      </c>
      <c r="BT1532" t="str">
        <f t="shared" ca="1" si="475"/>
        <v/>
      </c>
      <c r="BU1532" t="str">
        <f t="shared" ca="1" si="476"/>
        <v/>
      </c>
      <c r="BV1532" t="str">
        <f t="shared" ca="1" si="477"/>
        <v/>
      </c>
      <c r="BW1532" t="str">
        <f t="shared" ca="1" si="478"/>
        <v/>
      </c>
      <c r="BX1532" t="str">
        <f t="shared" ca="1" si="479"/>
        <v/>
      </c>
      <c r="BY1532" t="str">
        <f t="shared" ca="1" si="480"/>
        <v/>
      </c>
      <c r="BZ1532" t="str">
        <f t="shared" ca="1" si="481"/>
        <v/>
      </c>
      <c r="CA1532" t="str">
        <f t="shared" ca="1" si="482"/>
        <v/>
      </c>
      <c r="CC1532" s="482" t="str">
        <f t="shared" ca="1" si="483"/>
        <v/>
      </c>
      <c r="CD1532" s="483" t="str">
        <f t="shared" ca="1" si="484"/>
        <v/>
      </c>
      <c r="CE1532" s="483" t="str">
        <f t="shared" ca="1" si="485"/>
        <v/>
      </c>
      <c r="CF1532" s="483" t="str">
        <f t="shared" ca="1" si="486"/>
        <v/>
      </c>
      <c r="CG1532" s="482" t="str">
        <f t="shared" ca="1" si="487"/>
        <v/>
      </c>
      <c r="CH1532" s="483" t="str">
        <f t="shared" ca="1" si="488"/>
        <v/>
      </c>
      <c r="CI1532" s="483" t="str">
        <f t="shared" ca="1" si="489"/>
        <v/>
      </c>
      <c r="CJ1532" s="484" t="str">
        <f t="shared" ca="1" si="490"/>
        <v/>
      </c>
      <c r="CK1532" s="483" t="str">
        <f t="shared" ca="1" si="491"/>
        <v/>
      </c>
      <c r="CL1532" s="483" t="str">
        <f t="shared" ca="1" si="492"/>
        <v/>
      </c>
      <c r="CM1532" s="483" t="str">
        <f t="shared" ca="1" si="493"/>
        <v/>
      </c>
      <c r="CN1532" s="483" t="str">
        <f t="shared" ca="1" si="494"/>
        <v/>
      </c>
      <c r="CO1532" s="482" t="str">
        <f t="shared" ca="1" si="495"/>
        <v/>
      </c>
      <c r="CP1532" s="483" t="str">
        <f t="shared" ca="1" si="496"/>
        <v/>
      </c>
      <c r="CQ1532" s="483" t="str">
        <f t="shared" ca="1" si="497"/>
        <v/>
      </c>
      <c r="CR1532" s="484" t="str">
        <f t="shared" ca="1" si="498"/>
        <v/>
      </c>
      <c r="CV1532" s="454" t="str">
        <f t="array" ref="CV1532">IFERROR(INDEX(Montageplatten[Höhe],LARGE((Montageplatten[konf Rahmenbed]=$L$70)*(ROW(Montageplatten[konf Rahmenbed])-1),COUNTIF(Montageplatten[konf Rahmenbed],$L$70)+1-ROW(A29))),"")</f>
        <v/>
      </c>
      <c r="CW1532" t="str">
        <f t="shared" si="409"/>
        <v/>
      </c>
      <c r="CX1532" s="1057"/>
    </row>
    <row r="1533" spans="1:102" hidden="1" outlineLevel="1" x14ac:dyDescent="0.25">
      <c r="A1533">
        <f t="shared" ca="1" si="435"/>
        <v>1</v>
      </c>
      <c r="B1533" s="170">
        <f t="shared" ca="1" si="410"/>
        <v>12.5</v>
      </c>
      <c r="C1533">
        <f t="shared" ca="1" si="500"/>
        <v>7.5</v>
      </c>
      <c r="D1533">
        <f t="shared" ca="1" si="499"/>
        <v>4.5</v>
      </c>
      <c r="E1533">
        <f t="shared" ca="1" si="436"/>
        <v>-2</v>
      </c>
      <c r="F1533">
        <f t="shared" ca="1" si="437"/>
        <v>-11.5</v>
      </c>
      <c r="G1533" t="e">
        <f t="shared" ca="1" si="438"/>
        <v>#VALUE!</v>
      </c>
      <c r="H1533" t="e">
        <f t="shared" ca="1" si="439"/>
        <v>#VALUE!</v>
      </c>
      <c r="I1533" t="e">
        <f t="shared" ca="1" si="440"/>
        <v>#VALUE!</v>
      </c>
      <c r="J1533" t="e">
        <f t="shared" ca="1" si="441"/>
        <v>#VALUE!</v>
      </c>
      <c r="K1533" t="e">
        <f t="shared" ca="1" si="442"/>
        <v>#VALUE!</v>
      </c>
      <c r="L1533" t="e">
        <f t="shared" ca="1" si="443"/>
        <v>#VALUE!</v>
      </c>
      <c r="M1533" t="e">
        <f t="shared" ca="1" si="444"/>
        <v>#VALUE!</v>
      </c>
      <c r="N1533" t="e">
        <f t="shared" ca="1" si="445"/>
        <v>#VALUE!</v>
      </c>
      <c r="O1533">
        <f t="shared" ca="1" si="446"/>
        <v>-6.5</v>
      </c>
      <c r="P1533" t="e">
        <f t="shared" ca="1" si="447"/>
        <v>#VALUE!</v>
      </c>
      <c r="Q1533" t="e">
        <f t="shared" ca="1" si="448"/>
        <v>#VALUE!</v>
      </c>
      <c r="R1533" t="e">
        <f t="shared" ca="1" si="449"/>
        <v>#VALUE!</v>
      </c>
      <c r="U1533" s="485" t="str">
        <f t="shared" ca="1" si="450"/>
        <v/>
      </c>
      <c r="V1533" s="486" t="str">
        <f t="shared" ca="1" si="411"/>
        <v/>
      </c>
      <c r="W1533" s="486">
        <f t="shared" ca="1" si="412"/>
        <v>1</v>
      </c>
      <c r="X1533" s="486" t="str">
        <f t="shared" ca="1" si="413"/>
        <v/>
      </c>
      <c r="Y1533" s="485" t="str">
        <f t="shared" ca="1" si="414"/>
        <v/>
      </c>
      <c r="Z1533" s="486" t="str">
        <f t="shared" ca="1" si="415"/>
        <v/>
      </c>
      <c r="AA1533" s="486" t="str">
        <f t="shared" ca="1" si="416"/>
        <v/>
      </c>
      <c r="AB1533" s="486" t="str">
        <f t="shared" ca="1" si="417"/>
        <v/>
      </c>
      <c r="AC1533" s="485" t="str">
        <f t="shared" ca="1" si="418"/>
        <v/>
      </c>
      <c r="AD1533" s="486" t="str">
        <f t="shared" ca="1" si="419"/>
        <v/>
      </c>
      <c r="AE1533" s="486" t="str">
        <f t="shared" ca="1" si="420"/>
        <v/>
      </c>
      <c r="AF1533" s="486" t="str">
        <f t="shared" ca="1" si="421"/>
        <v/>
      </c>
      <c r="AG1533" s="485" t="str">
        <f t="shared" ca="1" si="422"/>
        <v/>
      </c>
      <c r="AH1533" s="486" t="str">
        <f t="shared" ca="1" si="423"/>
        <v/>
      </c>
      <c r="AI1533" s="486" t="str">
        <f t="shared" ca="1" si="424"/>
        <v/>
      </c>
      <c r="AJ1533" s="486" t="str">
        <f t="shared" ca="1" si="425"/>
        <v/>
      </c>
      <c r="AK1533" s="474" t="str">
        <f t="shared" ca="1" si="451"/>
        <v/>
      </c>
      <c r="AL1533" s="480" t="str">
        <f t="shared" ca="1" si="452"/>
        <v>-</v>
      </c>
      <c r="AM1533" s="476" t="str">
        <f t="shared" ca="1" si="453"/>
        <v/>
      </c>
      <c r="AN1533" s="475" t="str">
        <f t="shared" ca="1" si="454"/>
        <v>-</v>
      </c>
      <c r="AO1533" s="460" t="str">
        <f t="shared" ca="1" si="455"/>
        <v/>
      </c>
      <c r="AP1533" s="480" t="str">
        <f t="shared" ca="1" si="456"/>
        <v>-</v>
      </c>
      <c r="AQ1533" s="477" t="str">
        <f t="shared" ca="1" si="457"/>
        <v/>
      </c>
      <c r="AR1533" s="480" t="str">
        <f t="shared" ca="1" si="458"/>
        <v>-</v>
      </c>
      <c r="AS1533" s="34"/>
      <c r="AT1533" s="490" t="str">
        <f t="shared" ca="1" si="426"/>
        <v/>
      </c>
      <c r="AU1533" s="491" t="str">
        <f t="shared" ca="1" si="427"/>
        <v/>
      </c>
      <c r="AV1533" s="491" t="str">
        <f t="shared" ca="1" si="428"/>
        <v/>
      </c>
      <c r="AW1533" s="492" t="str">
        <f t="shared" ca="1" si="429"/>
        <v/>
      </c>
      <c r="AY1533" s="474" t="str">
        <f t="shared" ca="1" si="459"/>
        <v/>
      </c>
      <c r="AZ1533" s="480" t="str">
        <f t="shared" ca="1" si="460"/>
        <v>-</v>
      </c>
      <c r="BA1533" s="476" t="str">
        <f t="shared" ca="1" si="461"/>
        <v/>
      </c>
      <c r="BB1533" s="480" t="str">
        <f t="shared" ca="1" si="462"/>
        <v>-</v>
      </c>
      <c r="BC1533" s="460" t="str">
        <f t="shared" ca="1" si="463"/>
        <v/>
      </c>
      <c r="BD1533" s="480" t="str">
        <f t="shared" ca="1" si="464"/>
        <v>-</v>
      </c>
      <c r="BE1533" s="477" t="str">
        <f t="shared" ca="1" si="465"/>
        <v/>
      </c>
      <c r="BF1533" s="480" t="str">
        <f t="shared" ca="1" si="466"/>
        <v>-</v>
      </c>
      <c r="BG1533" s="488" t="str">
        <f t="shared" ca="1" si="430"/>
        <v/>
      </c>
      <c r="BH1533" s="483" t="str">
        <f t="shared" ca="1" si="431"/>
        <v/>
      </c>
      <c r="BI1533" s="483" t="str">
        <f t="shared" ca="1" si="432"/>
        <v/>
      </c>
      <c r="BJ1533" s="489" t="str">
        <f t="shared" ca="1" si="433"/>
        <v/>
      </c>
      <c r="BL1533" t="str">
        <f t="shared" ca="1" si="467"/>
        <v/>
      </c>
      <c r="BM1533" t="str">
        <f t="shared" ca="1" si="468"/>
        <v/>
      </c>
      <c r="BN1533" t="str">
        <f t="shared" ca="1" si="469"/>
        <v/>
      </c>
      <c r="BO1533" t="str">
        <f t="shared" ca="1" si="470"/>
        <v/>
      </c>
      <c r="BP1533" t="str">
        <f t="shared" ca="1" si="471"/>
        <v/>
      </c>
      <c r="BQ1533" t="str">
        <f t="shared" ca="1" si="472"/>
        <v/>
      </c>
      <c r="BR1533" t="str">
        <f t="shared" ca="1" si="473"/>
        <v/>
      </c>
      <c r="BS1533" t="str">
        <f t="shared" ca="1" si="474"/>
        <v/>
      </c>
      <c r="BT1533" t="str">
        <f t="shared" ca="1" si="475"/>
        <v/>
      </c>
      <c r="BU1533" t="str">
        <f t="shared" ca="1" si="476"/>
        <v/>
      </c>
      <c r="BV1533" t="str">
        <f t="shared" ca="1" si="477"/>
        <v/>
      </c>
      <c r="BW1533" t="str">
        <f t="shared" ca="1" si="478"/>
        <v/>
      </c>
      <c r="BX1533" t="str">
        <f t="shared" ca="1" si="479"/>
        <v/>
      </c>
      <c r="BY1533" t="str">
        <f t="shared" ca="1" si="480"/>
        <v/>
      </c>
      <c r="BZ1533" t="str">
        <f t="shared" ca="1" si="481"/>
        <v/>
      </c>
      <c r="CA1533" t="str">
        <f t="shared" ca="1" si="482"/>
        <v/>
      </c>
      <c r="CC1533" s="482" t="str">
        <f t="shared" ca="1" si="483"/>
        <v/>
      </c>
      <c r="CD1533" s="483" t="str">
        <f t="shared" ca="1" si="484"/>
        <v/>
      </c>
      <c r="CE1533" s="483" t="str">
        <f t="shared" ca="1" si="485"/>
        <v/>
      </c>
      <c r="CF1533" s="483" t="str">
        <f t="shared" ca="1" si="486"/>
        <v/>
      </c>
      <c r="CG1533" s="482" t="str">
        <f t="shared" ca="1" si="487"/>
        <v/>
      </c>
      <c r="CH1533" s="483" t="str">
        <f t="shared" ca="1" si="488"/>
        <v/>
      </c>
      <c r="CI1533" s="483" t="str">
        <f t="shared" ca="1" si="489"/>
        <v/>
      </c>
      <c r="CJ1533" s="484" t="str">
        <f t="shared" ca="1" si="490"/>
        <v/>
      </c>
      <c r="CK1533" s="483" t="str">
        <f t="shared" ca="1" si="491"/>
        <v/>
      </c>
      <c r="CL1533" s="483" t="str">
        <f t="shared" ca="1" si="492"/>
        <v/>
      </c>
      <c r="CM1533" s="483" t="str">
        <f t="shared" ca="1" si="493"/>
        <v/>
      </c>
      <c r="CN1533" s="483" t="str">
        <f t="shared" ca="1" si="494"/>
        <v/>
      </c>
      <c r="CO1533" s="482" t="str">
        <f t="shared" ca="1" si="495"/>
        <v/>
      </c>
      <c r="CP1533" s="483" t="str">
        <f t="shared" ca="1" si="496"/>
        <v/>
      </c>
      <c r="CQ1533" s="483" t="str">
        <f t="shared" ca="1" si="497"/>
        <v/>
      </c>
      <c r="CR1533" s="484" t="str">
        <f t="shared" ca="1" si="498"/>
        <v/>
      </c>
      <c r="CV1533" s="454" t="str">
        <f t="array" ref="CV1533">IFERROR(INDEX(Montageplatten[Höhe],LARGE((Montageplatten[konf Rahmenbed]=$L$70)*(ROW(Montageplatten[konf Rahmenbed])-1),COUNTIF(Montageplatten[konf Rahmenbed],$L$70)+1-ROW(A30))),"")</f>
        <v/>
      </c>
      <c r="CW1533" t="str">
        <f t="shared" si="409"/>
        <v/>
      </c>
      <c r="CX1533" s="1057"/>
    </row>
    <row r="1534" spans="1:102" hidden="1" outlineLevel="1" x14ac:dyDescent="0.25">
      <c r="A1534">
        <f t="shared" ca="1" si="435"/>
        <v>1</v>
      </c>
      <c r="B1534" s="170">
        <f t="shared" ca="1" si="410"/>
        <v>12</v>
      </c>
      <c r="C1534">
        <f t="shared" ca="1" si="500"/>
        <v>8</v>
      </c>
      <c r="D1534">
        <f ca="1">IF(OR($L$1498=1,$L$1499=1,$L$1500=1,$L$1501=1)=TRUE,(B1534-15-$E$1498)*-1-$I$1498,"")</f>
        <v>5</v>
      </c>
      <c r="E1534">
        <f t="shared" ca="1" si="436"/>
        <v>-1.5</v>
      </c>
      <c r="F1534">
        <f t="shared" ca="1" si="437"/>
        <v>-11</v>
      </c>
      <c r="G1534" t="e">
        <f t="shared" ca="1" si="438"/>
        <v>#VALUE!</v>
      </c>
      <c r="H1534" t="e">
        <f t="shared" ca="1" si="439"/>
        <v>#VALUE!</v>
      </c>
      <c r="I1534" t="e">
        <f t="shared" ca="1" si="440"/>
        <v>#VALUE!</v>
      </c>
      <c r="J1534" t="e">
        <f t="shared" ca="1" si="441"/>
        <v>#VALUE!</v>
      </c>
      <c r="K1534" t="e">
        <f t="shared" ca="1" si="442"/>
        <v>#VALUE!</v>
      </c>
      <c r="L1534" t="e">
        <f t="shared" ca="1" si="443"/>
        <v>#VALUE!</v>
      </c>
      <c r="M1534" t="e">
        <f t="shared" ca="1" si="444"/>
        <v>#VALUE!</v>
      </c>
      <c r="N1534" t="e">
        <f t="shared" ca="1" si="445"/>
        <v>#VALUE!</v>
      </c>
      <c r="O1534">
        <f t="shared" ca="1" si="446"/>
        <v>-6</v>
      </c>
      <c r="P1534" t="e">
        <f t="shared" ca="1" si="447"/>
        <v>#VALUE!</v>
      </c>
      <c r="Q1534" t="e">
        <f t="shared" ca="1" si="448"/>
        <v>#VALUE!</v>
      </c>
      <c r="R1534" t="e">
        <f t="shared" ca="1" si="449"/>
        <v>#VALUE!</v>
      </c>
      <c r="U1534" s="485">
        <f t="shared" ca="1" si="450"/>
        <v>1</v>
      </c>
      <c r="V1534" s="486" t="str">
        <f t="shared" ca="1" si="411"/>
        <v/>
      </c>
      <c r="W1534" s="486" t="str">
        <f t="shared" ca="1" si="412"/>
        <v/>
      </c>
      <c r="X1534" s="486" t="str">
        <f t="shared" ca="1" si="413"/>
        <v/>
      </c>
      <c r="Y1534" s="485" t="str">
        <f t="shared" ca="1" si="414"/>
        <v/>
      </c>
      <c r="Z1534" s="486" t="str">
        <f t="shared" ca="1" si="415"/>
        <v/>
      </c>
      <c r="AA1534" s="486" t="str">
        <f t="shared" ca="1" si="416"/>
        <v/>
      </c>
      <c r="AB1534" s="486" t="str">
        <f t="shared" ca="1" si="417"/>
        <v/>
      </c>
      <c r="AC1534" s="485" t="str">
        <f t="shared" ca="1" si="418"/>
        <v/>
      </c>
      <c r="AD1534" s="486" t="str">
        <f t="shared" ca="1" si="419"/>
        <v/>
      </c>
      <c r="AE1534" s="486" t="str">
        <f t="shared" ca="1" si="420"/>
        <v/>
      </c>
      <c r="AF1534" s="486" t="str">
        <f t="shared" ca="1" si="421"/>
        <v/>
      </c>
      <c r="AG1534" s="485" t="str">
        <f t="shared" ca="1" si="422"/>
        <v/>
      </c>
      <c r="AH1534" s="486" t="str">
        <f t="shared" ca="1" si="423"/>
        <v/>
      </c>
      <c r="AI1534" s="486" t="str">
        <f t="shared" ca="1" si="424"/>
        <v/>
      </c>
      <c r="AJ1534" s="486" t="str">
        <f t="shared" ca="1" si="425"/>
        <v/>
      </c>
      <c r="AK1534" s="474" t="str">
        <f t="shared" ca="1" si="451"/>
        <v/>
      </c>
      <c r="AL1534" s="480" t="str">
        <f t="shared" ca="1" si="452"/>
        <v>-</v>
      </c>
      <c r="AM1534" s="476" t="str">
        <f t="shared" ca="1" si="453"/>
        <v/>
      </c>
      <c r="AN1534" s="475" t="str">
        <f t="shared" ca="1" si="454"/>
        <v>-</v>
      </c>
      <c r="AO1534" s="460" t="str">
        <f t="shared" ca="1" si="455"/>
        <v/>
      </c>
      <c r="AP1534" s="480" t="str">
        <f t="shared" ca="1" si="456"/>
        <v>-</v>
      </c>
      <c r="AQ1534" s="477" t="str">
        <f t="shared" ca="1" si="457"/>
        <v/>
      </c>
      <c r="AR1534" s="480" t="str">
        <f t="shared" ca="1" si="458"/>
        <v>-</v>
      </c>
      <c r="AS1534" s="34"/>
      <c r="AT1534" s="490" t="str">
        <f t="shared" ca="1" si="426"/>
        <v/>
      </c>
      <c r="AU1534" s="491" t="str">
        <f t="shared" ca="1" si="427"/>
        <v/>
      </c>
      <c r="AV1534" s="491" t="str">
        <f t="shared" ca="1" si="428"/>
        <v/>
      </c>
      <c r="AW1534" s="492" t="str">
        <f t="shared" ca="1" si="429"/>
        <v/>
      </c>
      <c r="AY1534" s="474" t="str">
        <f t="shared" ca="1" si="459"/>
        <v/>
      </c>
      <c r="AZ1534" s="480" t="str">
        <f t="shared" ca="1" si="460"/>
        <v>-</v>
      </c>
      <c r="BA1534" s="476" t="str">
        <f t="shared" ca="1" si="461"/>
        <v/>
      </c>
      <c r="BB1534" s="480" t="str">
        <f t="shared" ca="1" si="462"/>
        <v>-</v>
      </c>
      <c r="BC1534" s="460" t="str">
        <f t="shared" ca="1" si="463"/>
        <v/>
      </c>
      <c r="BD1534" s="480" t="str">
        <f t="shared" ca="1" si="464"/>
        <v>-</v>
      </c>
      <c r="BE1534" s="477" t="str">
        <f t="shared" ca="1" si="465"/>
        <v/>
      </c>
      <c r="BF1534" s="480" t="str">
        <f t="shared" ca="1" si="466"/>
        <v>-</v>
      </c>
      <c r="BG1534" s="488" t="str">
        <f t="shared" ca="1" si="430"/>
        <v/>
      </c>
      <c r="BH1534" s="483" t="str">
        <f t="shared" ca="1" si="431"/>
        <v/>
      </c>
      <c r="BI1534" s="483" t="str">
        <f t="shared" ca="1" si="432"/>
        <v/>
      </c>
      <c r="BJ1534" s="489" t="str">
        <f t="shared" ca="1" si="433"/>
        <v/>
      </c>
      <c r="BL1534" t="str">
        <f t="shared" ca="1" si="467"/>
        <v/>
      </c>
      <c r="BM1534" t="str">
        <f t="shared" ca="1" si="468"/>
        <v/>
      </c>
      <c r="BN1534" t="str">
        <f t="shared" ca="1" si="469"/>
        <v/>
      </c>
      <c r="BO1534" t="str">
        <f t="shared" ca="1" si="470"/>
        <v/>
      </c>
      <c r="BP1534" t="str">
        <f t="shared" ca="1" si="471"/>
        <v/>
      </c>
      <c r="BQ1534" t="str">
        <f t="shared" ca="1" si="472"/>
        <v/>
      </c>
      <c r="BR1534" t="str">
        <f t="shared" ca="1" si="473"/>
        <v/>
      </c>
      <c r="BS1534" t="str">
        <f t="shared" ca="1" si="474"/>
        <v/>
      </c>
      <c r="BT1534" t="str">
        <f t="shared" ca="1" si="475"/>
        <v/>
      </c>
      <c r="BU1534" t="str">
        <f t="shared" ca="1" si="476"/>
        <v/>
      </c>
      <c r="BV1534" t="str">
        <f t="shared" ca="1" si="477"/>
        <v/>
      </c>
      <c r="BW1534" t="str">
        <f t="shared" ca="1" si="478"/>
        <v/>
      </c>
      <c r="BX1534" t="str">
        <f t="shared" ca="1" si="479"/>
        <v/>
      </c>
      <c r="BY1534" t="str">
        <f t="shared" ca="1" si="480"/>
        <v/>
      </c>
      <c r="BZ1534" t="str">
        <f t="shared" ca="1" si="481"/>
        <v/>
      </c>
      <c r="CA1534" t="str">
        <f t="shared" ca="1" si="482"/>
        <v/>
      </c>
      <c r="CC1534" s="482" t="str">
        <f t="shared" ca="1" si="483"/>
        <v/>
      </c>
      <c r="CD1534" s="483" t="str">
        <f t="shared" ca="1" si="484"/>
        <v/>
      </c>
      <c r="CE1534" s="483" t="str">
        <f t="shared" ca="1" si="485"/>
        <v/>
      </c>
      <c r="CF1534" s="483" t="str">
        <f t="shared" ca="1" si="486"/>
        <v/>
      </c>
      <c r="CG1534" s="482" t="str">
        <f t="shared" ca="1" si="487"/>
        <v/>
      </c>
      <c r="CH1534" s="483" t="str">
        <f t="shared" ca="1" si="488"/>
        <v/>
      </c>
      <c r="CI1534" s="483" t="str">
        <f t="shared" ca="1" si="489"/>
        <v/>
      </c>
      <c r="CJ1534" s="484" t="str">
        <f t="shared" ca="1" si="490"/>
        <v/>
      </c>
      <c r="CK1534" s="483" t="str">
        <f t="shared" ca="1" si="491"/>
        <v/>
      </c>
      <c r="CL1534" s="483" t="str">
        <f t="shared" ca="1" si="492"/>
        <v/>
      </c>
      <c r="CM1534" s="483" t="str">
        <f t="shared" ca="1" si="493"/>
        <v/>
      </c>
      <c r="CN1534" s="483" t="str">
        <f t="shared" ca="1" si="494"/>
        <v/>
      </c>
      <c r="CO1534" s="482" t="str">
        <f t="shared" ca="1" si="495"/>
        <v/>
      </c>
      <c r="CP1534" s="483" t="str">
        <f t="shared" ca="1" si="496"/>
        <v/>
      </c>
      <c r="CQ1534" s="483" t="str">
        <f t="shared" ca="1" si="497"/>
        <v/>
      </c>
      <c r="CR1534" s="484" t="str">
        <f t="shared" ca="1" si="498"/>
        <v/>
      </c>
      <c r="CV1534" s="454" t="str">
        <f t="array" ref="CV1534">IFERROR(INDEX(Montageplatten[Höhe],LARGE((Montageplatten[konf Rahmenbed]=$L$70)*(ROW(Montageplatten[konf Rahmenbed])-1),COUNTIF(Montageplatten[konf Rahmenbed],$L$70)+1-ROW(A31))),"")</f>
        <v/>
      </c>
      <c r="CW1534" t="str">
        <f t="shared" si="409"/>
        <v/>
      </c>
      <c r="CX1534" s="1057"/>
    </row>
    <row r="1535" spans="1:102" hidden="1" outlineLevel="1" x14ac:dyDescent="0.25">
      <c r="A1535">
        <f t="shared" ca="1" si="435"/>
        <v>0</v>
      </c>
      <c r="B1535" s="170">
        <f t="shared" ca="1" si="410"/>
        <v>11.5</v>
      </c>
      <c r="C1535">
        <f t="shared" ca="1" si="500"/>
        <v>8.5</v>
      </c>
      <c r="D1535">
        <f t="shared" ca="1" si="499"/>
        <v>5.5</v>
      </c>
      <c r="E1535">
        <f t="shared" ca="1" si="436"/>
        <v>-1</v>
      </c>
      <c r="F1535">
        <f t="shared" ca="1" si="437"/>
        <v>-10.5</v>
      </c>
      <c r="G1535" t="e">
        <f t="shared" ca="1" si="438"/>
        <v>#VALUE!</v>
      </c>
      <c r="H1535" t="e">
        <f t="shared" ca="1" si="439"/>
        <v>#VALUE!</v>
      </c>
      <c r="I1535" t="e">
        <f t="shared" ca="1" si="440"/>
        <v>#VALUE!</v>
      </c>
      <c r="J1535" t="e">
        <f t="shared" ca="1" si="441"/>
        <v>#VALUE!</v>
      </c>
      <c r="K1535" t="e">
        <f t="shared" ca="1" si="442"/>
        <v>#VALUE!</v>
      </c>
      <c r="L1535" t="e">
        <f t="shared" ca="1" si="443"/>
        <v>#VALUE!</v>
      </c>
      <c r="M1535" t="e">
        <f t="shared" ca="1" si="444"/>
        <v>#VALUE!</v>
      </c>
      <c r="N1535" t="e">
        <f t="shared" ca="1" si="445"/>
        <v>#VALUE!</v>
      </c>
      <c r="O1535">
        <f t="shared" ca="1" si="446"/>
        <v>-5.5</v>
      </c>
      <c r="P1535" t="e">
        <f t="shared" ca="1" si="447"/>
        <v>#VALUE!</v>
      </c>
      <c r="Q1535" t="e">
        <f t="shared" ca="1" si="448"/>
        <v>#VALUE!</v>
      </c>
      <c r="R1535" t="e">
        <f t="shared" ca="1" si="449"/>
        <v>#VALUE!</v>
      </c>
      <c r="U1535" s="485" t="str">
        <f t="shared" ca="1" si="450"/>
        <v/>
      </c>
      <c r="V1535" s="486" t="str">
        <f t="shared" ca="1" si="411"/>
        <v/>
      </c>
      <c r="W1535" s="486" t="str">
        <f t="shared" ca="1" si="412"/>
        <v/>
      </c>
      <c r="X1535" s="486" t="str">
        <f t="shared" ca="1" si="413"/>
        <v/>
      </c>
      <c r="Y1535" s="485" t="str">
        <f t="shared" ca="1" si="414"/>
        <v/>
      </c>
      <c r="Z1535" s="486" t="str">
        <f t="shared" ca="1" si="415"/>
        <v/>
      </c>
      <c r="AA1535" s="486" t="str">
        <f t="shared" ca="1" si="416"/>
        <v/>
      </c>
      <c r="AB1535" s="486" t="str">
        <f t="shared" ca="1" si="417"/>
        <v/>
      </c>
      <c r="AC1535" s="485" t="str">
        <f t="shared" ca="1" si="418"/>
        <v/>
      </c>
      <c r="AD1535" s="486" t="str">
        <f t="shared" ca="1" si="419"/>
        <v/>
      </c>
      <c r="AE1535" s="486" t="str">
        <f t="shared" ca="1" si="420"/>
        <v/>
      </c>
      <c r="AF1535" s="486" t="str">
        <f t="shared" ca="1" si="421"/>
        <v/>
      </c>
      <c r="AG1535" s="485" t="str">
        <f t="shared" ca="1" si="422"/>
        <v/>
      </c>
      <c r="AH1535" s="486" t="str">
        <f t="shared" ca="1" si="423"/>
        <v/>
      </c>
      <c r="AI1535" s="486" t="str">
        <f t="shared" ca="1" si="424"/>
        <v/>
      </c>
      <c r="AJ1535" s="486" t="str">
        <f t="shared" ca="1" si="425"/>
        <v/>
      </c>
      <c r="AK1535" s="474" t="str">
        <f t="shared" ca="1" si="451"/>
        <v/>
      </c>
      <c r="AL1535" s="480" t="str">
        <f t="shared" ca="1" si="452"/>
        <v>-</v>
      </c>
      <c r="AM1535" s="476" t="str">
        <f t="shared" ca="1" si="453"/>
        <v/>
      </c>
      <c r="AN1535" s="475" t="str">
        <f t="shared" ca="1" si="454"/>
        <v>-</v>
      </c>
      <c r="AO1535" s="460" t="str">
        <f t="shared" ca="1" si="455"/>
        <v/>
      </c>
      <c r="AP1535" s="480" t="str">
        <f t="shared" ca="1" si="456"/>
        <v>-</v>
      </c>
      <c r="AQ1535" s="477" t="str">
        <f t="shared" ca="1" si="457"/>
        <v/>
      </c>
      <c r="AR1535" s="480" t="str">
        <f t="shared" ca="1" si="458"/>
        <v>-</v>
      </c>
      <c r="AS1535" s="34"/>
      <c r="AT1535" s="490" t="str">
        <f t="shared" ca="1" si="426"/>
        <v/>
      </c>
      <c r="AU1535" s="491" t="str">
        <f t="shared" ca="1" si="427"/>
        <v/>
      </c>
      <c r="AV1535" s="491" t="str">
        <f t="shared" ca="1" si="428"/>
        <v/>
      </c>
      <c r="AW1535" s="492" t="str">
        <f t="shared" ca="1" si="429"/>
        <v/>
      </c>
      <c r="AY1535" s="474" t="str">
        <f t="shared" ca="1" si="459"/>
        <v/>
      </c>
      <c r="AZ1535" s="480" t="str">
        <f t="shared" ca="1" si="460"/>
        <v>-</v>
      </c>
      <c r="BA1535" s="476" t="str">
        <f t="shared" ca="1" si="461"/>
        <v/>
      </c>
      <c r="BB1535" s="480" t="str">
        <f t="shared" ca="1" si="462"/>
        <v>-</v>
      </c>
      <c r="BC1535" s="460" t="str">
        <f t="shared" ca="1" si="463"/>
        <v/>
      </c>
      <c r="BD1535" s="480" t="str">
        <f t="shared" ca="1" si="464"/>
        <v>-</v>
      </c>
      <c r="BE1535" s="477" t="str">
        <f t="shared" ca="1" si="465"/>
        <v/>
      </c>
      <c r="BF1535" s="480" t="str">
        <f t="shared" ca="1" si="466"/>
        <v>-</v>
      </c>
      <c r="BG1535" s="488" t="str">
        <f t="shared" ca="1" si="430"/>
        <v/>
      </c>
      <c r="BH1535" s="483" t="str">
        <f t="shared" ca="1" si="431"/>
        <v/>
      </c>
      <c r="BI1535" s="483" t="str">
        <f t="shared" ca="1" si="432"/>
        <v/>
      </c>
      <c r="BJ1535" s="489" t="str">
        <f t="shared" ca="1" si="433"/>
        <v/>
      </c>
      <c r="BL1535" t="str">
        <f t="shared" ca="1" si="467"/>
        <v/>
      </c>
      <c r="BM1535" t="str">
        <f t="shared" ca="1" si="468"/>
        <v/>
      </c>
      <c r="BN1535" t="str">
        <f t="shared" ca="1" si="469"/>
        <v/>
      </c>
      <c r="BO1535" t="str">
        <f t="shared" ca="1" si="470"/>
        <v/>
      </c>
      <c r="BP1535" t="str">
        <f t="shared" ca="1" si="471"/>
        <v/>
      </c>
      <c r="BQ1535" t="str">
        <f t="shared" ca="1" si="472"/>
        <v/>
      </c>
      <c r="BR1535" t="str">
        <f t="shared" ca="1" si="473"/>
        <v/>
      </c>
      <c r="BS1535" t="str">
        <f t="shared" ca="1" si="474"/>
        <v/>
      </c>
      <c r="BT1535" t="str">
        <f t="shared" ca="1" si="475"/>
        <v/>
      </c>
      <c r="BU1535" t="str">
        <f t="shared" ca="1" si="476"/>
        <v/>
      </c>
      <c r="BV1535" t="str">
        <f t="shared" ca="1" si="477"/>
        <v/>
      </c>
      <c r="BW1535" t="str">
        <f t="shared" ca="1" si="478"/>
        <v/>
      </c>
      <c r="BX1535" t="str">
        <f t="shared" ca="1" si="479"/>
        <v/>
      </c>
      <c r="BY1535" t="str">
        <f t="shared" ca="1" si="480"/>
        <v/>
      </c>
      <c r="BZ1535" t="str">
        <f t="shared" ca="1" si="481"/>
        <v/>
      </c>
      <c r="CA1535" t="str">
        <f t="shared" ca="1" si="482"/>
        <v/>
      </c>
      <c r="CC1535" s="482" t="str">
        <f t="shared" ca="1" si="483"/>
        <v/>
      </c>
      <c r="CD1535" s="483" t="str">
        <f t="shared" ca="1" si="484"/>
        <v/>
      </c>
      <c r="CE1535" s="483" t="str">
        <f t="shared" ca="1" si="485"/>
        <v/>
      </c>
      <c r="CF1535" s="483" t="str">
        <f t="shared" ca="1" si="486"/>
        <v/>
      </c>
      <c r="CG1535" s="482" t="str">
        <f t="shared" ca="1" si="487"/>
        <v/>
      </c>
      <c r="CH1535" s="483" t="str">
        <f t="shared" ca="1" si="488"/>
        <v/>
      </c>
      <c r="CI1535" s="483" t="str">
        <f t="shared" ca="1" si="489"/>
        <v/>
      </c>
      <c r="CJ1535" s="484" t="str">
        <f t="shared" ca="1" si="490"/>
        <v/>
      </c>
      <c r="CK1535" s="483" t="str">
        <f t="shared" ca="1" si="491"/>
        <v/>
      </c>
      <c r="CL1535" s="483" t="str">
        <f t="shared" ca="1" si="492"/>
        <v/>
      </c>
      <c r="CM1535" s="483" t="str">
        <f t="shared" ca="1" si="493"/>
        <v/>
      </c>
      <c r="CN1535" s="483" t="str">
        <f t="shared" ca="1" si="494"/>
        <v/>
      </c>
      <c r="CO1535" s="482" t="str">
        <f t="shared" ca="1" si="495"/>
        <v/>
      </c>
      <c r="CP1535" s="483" t="str">
        <f t="shared" ca="1" si="496"/>
        <v/>
      </c>
      <c r="CQ1535" s="483" t="str">
        <f t="shared" ca="1" si="497"/>
        <v/>
      </c>
      <c r="CR1535" s="484" t="str">
        <f t="shared" ca="1" si="498"/>
        <v/>
      </c>
      <c r="CV1535" s="454" t="str">
        <f t="array" ref="CV1535">IFERROR(INDEX(Montageplatten[Höhe],LARGE((Montageplatten[konf Rahmenbed]=$L$70)*(ROW(Montageplatten[konf Rahmenbed])-1),COUNTIF(Montageplatten[konf Rahmenbed],$L$70)+1-ROW(A32))),"")</f>
        <v/>
      </c>
      <c r="CW1535" t="str">
        <f t="shared" si="409"/>
        <v/>
      </c>
      <c r="CX1535" s="1057"/>
    </row>
    <row r="1536" spans="1:102" hidden="1" outlineLevel="1" x14ac:dyDescent="0.25">
      <c r="A1536">
        <f t="shared" ca="1" si="435"/>
        <v>1</v>
      </c>
      <c r="B1536" s="170">
        <f t="shared" ca="1" si="410"/>
        <v>11</v>
      </c>
      <c r="C1536">
        <f t="shared" ca="1" si="500"/>
        <v>9</v>
      </c>
      <c r="D1536">
        <f t="shared" ca="1" si="499"/>
        <v>6</v>
      </c>
      <c r="E1536">
        <f t="shared" ca="1" si="436"/>
        <v>-0.5</v>
      </c>
      <c r="F1536">
        <f t="shared" ca="1" si="437"/>
        <v>-10</v>
      </c>
      <c r="G1536" t="e">
        <f t="shared" ca="1" si="438"/>
        <v>#VALUE!</v>
      </c>
      <c r="H1536" t="e">
        <f t="shared" ca="1" si="439"/>
        <v>#VALUE!</v>
      </c>
      <c r="I1536" t="e">
        <f t="shared" ca="1" si="440"/>
        <v>#VALUE!</v>
      </c>
      <c r="J1536" t="e">
        <f t="shared" ca="1" si="441"/>
        <v>#VALUE!</v>
      </c>
      <c r="K1536" t="e">
        <f t="shared" ca="1" si="442"/>
        <v>#VALUE!</v>
      </c>
      <c r="L1536" t="e">
        <f t="shared" ca="1" si="443"/>
        <v>#VALUE!</v>
      </c>
      <c r="M1536" t="e">
        <f t="shared" ca="1" si="444"/>
        <v>#VALUE!</v>
      </c>
      <c r="N1536" t="e">
        <f t="shared" ca="1" si="445"/>
        <v>#VALUE!</v>
      </c>
      <c r="O1536">
        <f t="shared" ca="1" si="446"/>
        <v>-5</v>
      </c>
      <c r="P1536" t="e">
        <f t="shared" ca="1" si="447"/>
        <v>#VALUE!</v>
      </c>
      <c r="Q1536" t="e">
        <f t="shared" ca="1" si="448"/>
        <v>#VALUE!</v>
      </c>
      <c r="R1536" t="e">
        <f t="shared" ca="1" si="449"/>
        <v>#VALUE!</v>
      </c>
      <c r="U1536" s="485">
        <f t="shared" ca="1" si="450"/>
        <v>1</v>
      </c>
      <c r="V1536" s="486">
        <f t="shared" ca="1" si="411"/>
        <v>1</v>
      </c>
      <c r="W1536" s="486" t="str">
        <f t="shared" ca="1" si="412"/>
        <v/>
      </c>
      <c r="X1536" s="486" t="str">
        <f t="shared" ca="1" si="413"/>
        <v/>
      </c>
      <c r="Y1536" s="485" t="str">
        <f t="shared" ca="1" si="414"/>
        <v/>
      </c>
      <c r="Z1536" s="486" t="str">
        <f t="shared" ca="1" si="415"/>
        <v/>
      </c>
      <c r="AA1536" s="486" t="str">
        <f t="shared" ca="1" si="416"/>
        <v/>
      </c>
      <c r="AB1536" s="486" t="str">
        <f t="shared" ca="1" si="417"/>
        <v/>
      </c>
      <c r="AC1536" s="485" t="str">
        <f t="shared" ca="1" si="418"/>
        <v/>
      </c>
      <c r="AD1536" s="486" t="str">
        <f t="shared" ca="1" si="419"/>
        <v/>
      </c>
      <c r="AE1536" s="486" t="str">
        <f t="shared" ca="1" si="420"/>
        <v/>
      </c>
      <c r="AF1536" s="486" t="str">
        <f t="shared" ca="1" si="421"/>
        <v/>
      </c>
      <c r="AG1536" s="485" t="str">
        <f t="shared" ca="1" si="422"/>
        <v/>
      </c>
      <c r="AH1536" s="486" t="str">
        <f t="shared" ca="1" si="423"/>
        <v/>
      </c>
      <c r="AI1536" s="486" t="str">
        <f t="shared" ca="1" si="424"/>
        <v/>
      </c>
      <c r="AJ1536" s="486" t="str">
        <f t="shared" ca="1" si="425"/>
        <v/>
      </c>
      <c r="AK1536" s="474" t="str">
        <f t="shared" ca="1" si="451"/>
        <v/>
      </c>
      <c r="AL1536" s="480" t="str">
        <f t="shared" ca="1" si="452"/>
        <v>-</v>
      </c>
      <c r="AM1536" s="476" t="str">
        <f t="shared" ca="1" si="453"/>
        <v/>
      </c>
      <c r="AN1536" s="475" t="str">
        <f t="shared" ca="1" si="454"/>
        <v>-</v>
      </c>
      <c r="AO1536" s="460" t="str">
        <f t="shared" ca="1" si="455"/>
        <v/>
      </c>
      <c r="AP1536" s="480" t="str">
        <f t="shared" ca="1" si="456"/>
        <v>-</v>
      </c>
      <c r="AQ1536" s="477" t="str">
        <f t="shared" ca="1" si="457"/>
        <v/>
      </c>
      <c r="AR1536" s="480" t="str">
        <f t="shared" ca="1" si="458"/>
        <v>-</v>
      </c>
      <c r="AS1536" s="34"/>
      <c r="AT1536" s="490" t="str">
        <f t="shared" ca="1" si="426"/>
        <v/>
      </c>
      <c r="AU1536" s="491" t="str">
        <f t="shared" ca="1" si="427"/>
        <v/>
      </c>
      <c r="AV1536" s="491" t="str">
        <f t="shared" ca="1" si="428"/>
        <v/>
      </c>
      <c r="AW1536" s="492" t="str">
        <f t="shared" ca="1" si="429"/>
        <v/>
      </c>
      <c r="AY1536" s="474" t="str">
        <f t="shared" ca="1" si="459"/>
        <v/>
      </c>
      <c r="AZ1536" s="480" t="str">
        <f t="shared" ca="1" si="460"/>
        <v>-</v>
      </c>
      <c r="BA1536" s="476" t="str">
        <f t="shared" ca="1" si="461"/>
        <v/>
      </c>
      <c r="BB1536" s="480" t="str">
        <f t="shared" ca="1" si="462"/>
        <v>-</v>
      </c>
      <c r="BC1536" s="460" t="str">
        <f t="shared" ca="1" si="463"/>
        <v/>
      </c>
      <c r="BD1536" s="480" t="str">
        <f t="shared" ca="1" si="464"/>
        <v>-</v>
      </c>
      <c r="BE1536" s="477" t="str">
        <f t="shared" ca="1" si="465"/>
        <v/>
      </c>
      <c r="BF1536" s="480" t="str">
        <f t="shared" ca="1" si="466"/>
        <v>-</v>
      </c>
      <c r="BG1536" s="488" t="str">
        <f t="shared" ca="1" si="430"/>
        <v/>
      </c>
      <c r="BH1536" s="483" t="str">
        <f t="shared" ca="1" si="431"/>
        <v/>
      </c>
      <c r="BI1536" s="483" t="str">
        <f t="shared" ca="1" si="432"/>
        <v/>
      </c>
      <c r="BJ1536" s="489" t="str">
        <f t="shared" ca="1" si="433"/>
        <v/>
      </c>
      <c r="BL1536" t="str">
        <f t="shared" ca="1" si="467"/>
        <v/>
      </c>
      <c r="BM1536" t="str">
        <f t="shared" ca="1" si="468"/>
        <v/>
      </c>
      <c r="BN1536" t="str">
        <f t="shared" ca="1" si="469"/>
        <v/>
      </c>
      <c r="BO1536" t="str">
        <f t="shared" ca="1" si="470"/>
        <v/>
      </c>
      <c r="BP1536" t="str">
        <f t="shared" ca="1" si="471"/>
        <v/>
      </c>
      <c r="BQ1536" t="str">
        <f t="shared" ca="1" si="472"/>
        <v/>
      </c>
      <c r="BR1536" t="str">
        <f t="shared" ca="1" si="473"/>
        <v/>
      </c>
      <c r="BS1536" t="str">
        <f t="shared" ca="1" si="474"/>
        <v/>
      </c>
      <c r="BT1536" t="str">
        <f t="shared" ca="1" si="475"/>
        <v/>
      </c>
      <c r="BU1536" t="str">
        <f t="shared" ca="1" si="476"/>
        <v/>
      </c>
      <c r="BV1536" t="str">
        <f t="shared" ca="1" si="477"/>
        <v/>
      </c>
      <c r="BW1536" t="str">
        <f t="shared" ca="1" si="478"/>
        <v/>
      </c>
      <c r="BX1536" t="str">
        <f t="shared" ca="1" si="479"/>
        <v/>
      </c>
      <c r="BY1536" t="str">
        <f t="shared" ca="1" si="480"/>
        <v/>
      </c>
      <c r="BZ1536" t="str">
        <f t="shared" ca="1" si="481"/>
        <v/>
      </c>
      <c r="CA1536" t="str">
        <f t="shared" ca="1" si="482"/>
        <v/>
      </c>
      <c r="CC1536" s="482" t="str">
        <f t="shared" ca="1" si="483"/>
        <v/>
      </c>
      <c r="CD1536" s="483" t="str">
        <f t="shared" ca="1" si="484"/>
        <v/>
      </c>
      <c r="CE1536" s="483" t="str">
        <f t="shared" ca="1" si="485"/>
        <v/>
      </c>
      <c r="CF1536" s="483" t="str">
        <f t="shared" ca="1" si="486"/>
        <v/>
      </c>
      <c r="CG1536" s="482" t="str">
        <f t="shared" ca="1" si="487"/>
        <v/>
      </c>
      <c r="CH1536" s="483" t="str">
        <f t="shared" ca="1" si="488"/>
        <v/>
      </c>
      <c r="CI1536" s="483" t="str">
        <f t="shared" ca="1" si="489"/>
        <v/>
      </c>
      <c r="CJ1536" s="484" t="str">
        <f t="shared" ca="1" si="490"/>
        <v/>
      </c>
      <c r="CK1536" s="483" t="str">
        <f t="shared" ca="1" si="491"/>
        <v/>
      </c>
      <c r="CL1536" s="483" t="str">
        <f t="shared" ca="1" si="492"/>
        <v/>
      </c>
      <c r="CM1536" s="483" t="str">
        <f t="shared" ca="1" si="493"/>
        <v/>
      </c>
      <c r="CN1536" s="483" t="str">
        <f t="shared" ca="1" si="494"/>
        <v/>
      </c>
      <c r="CO1536" s="482" t="str">
        <f t="shared" ca="1" si="495"/>
        <v/>
      </c>
      <c r="CP1536" s="483" t="str">
        <f t="shared" ca="1" si="496"/>
        <v/>
      </c>
      <c r="CQ1536" s="483" t="str">
        <f t="shared" ca="1" si="497"/>
        <v/>
      </c>
      <c r="CR1536" s="484" t="str">
        <f t="shared" ca="1" si="498"/>
        <v/>
      </c>
      <c r="CV1536" s="454" t="str">
        <f t="array" ref="CV1536">IFERROR(INDEX(Montageplatten[Höhe],LARGE((Montageplatten[konf Rahmenbed]=$L$70)*(ROW(Montageplatten[konf Rahmenbed])-1),COUNTIF(Montageplatten[konf Rahmenbed],$L$70)+1-ROW(A33))),"")</f>
        <v/>
      </c>
      <c r="CW1536" t="str">
        <f t="shared" si="409"/>
        <v/>
      </c>
      <c r="CX1536" s="1057"/>
    </row>
    <row r="1537" spans="1:102" hidden="1" outlineLevel="1" x14ac:dyDescent="0.25">
      <c r="A1537">
        <f t="shared" ca="1" si="435"/>
        <v>1</v>
      </c>
      <c r="B1537" s="170">
        <f t="shared" ca="1" si="410"/>
        <v>10.5</v>
      </c>
      <c r="C1537">
        <f t="shared" ca="1" si="500"/>
        <v>9.5</v>
      </c>
      <c r="D1537">
        <f t="shared" ca="1" si="499"/>
        <v>6.5</v>
      </c>
      <c r="E1537">
        <f t="shared" ca="1" si="436"/>
        <v>0</v>
      </c>
      <c r="F1537">
        <f t="shared" ca="1" si="437"/>
        <v>-9.5</v>
      </c>
      <c r="G1537" t="e">
        <f t="shared" ca="1" si="438"/>
        <v>#VALUE!</v>
      </c>
      <c r="H1537" t="e">
        <f t="shared" ca="1" si="439"/>
        <v>#VALUE!</v>
      </c>
      <c r="I1537" t="e">
        <f t="shared" ca="1" si="440"/>
        <v>#VALUE!</v>
      </c>
      <c r="J1537" t="e">
        <f t="shared" ca="1" si="441"/>
        <v>#VALUE!</v>
      </c>
      <c r="K1537" t="e">
        <f t="shared" ca="1" si="442"/>
        <v>#VALUE!</v>
      </c>
      <c r="L1537" t="e">
        <f t="shared" ca="1" si="443"/>
        <v>#VALUE!</v>
      </c>
      <c r="M1537" t="e">
        <f t="shared" ca="1" si="444"/>
        <v>#VALUE!</v>
      </c>
      <c r="N1537" t="e">
        <f t="shared" ca="1" si="445"/>
        <v>#VALUE!</v>
      </c>
      <c r="O1537">
        <f t="shared" ca="1" si="446"/>
        <v>-4.5</v>
      </c>
      <c r="P1537" t="e">
        <f t="shared" ca="1" si="447"/>
        <v>#VALUE!</v>
      </c>
      <c r="Q1537" t="e">
        <f t="shared" ca="1" si="448"/>
        <v>#VALUE!</v>
      </c>
      <c r="R1537" t="e">
        <f t="shared" ca="1" si="449"/>
        <v>#VALUE!</v>
      </c>
      <c r="U1537" s="485">
        <f t="shared" ca="1" si="450"/>
        <v>1</v>
      </c>
      <c r="V1537" s="486" t="str">
        <f t="shared" ca="1" si="411"/>
        <v/>
      </c>
      <c r="W1537" s="486">
        <f t="shared" ca="1" si="412"/>
        <v>1</v>
      </c>
      <c r="X1537" s="486" t="str">
        <f t="shared" ca="1" si="413"/>
        <v/>
      </c>
      <c r="Y1537" s="485" t="str">
        <f t="shared" ca="1" si="414"/>
        <v/>
      </c>
      <c r="Z1537" s="486" t="str">
        <f t="shared" ca="1" si="415"/>
        <v/>
      </c>
      <c r="AA1537" s="486" t="str">
        <f t="shared" ca="1" si="416"/>
        <v/>
      </c>
      <c r="AB1537" s="486" t="str">
        <f t="shared" ca="1" si="417"/>
        <v/>
      </c>
      <c r="AC1537" s="485" t="str">
        <f t="shared" ca="1" si="418"/>
        <v/>
      </c>
      <c r="AD1537" s="486" t="str">
        <f t="shared" ca="1" si="419"/>
        <v/>
      </c>
      <c r="AE1537" s="486" t="str">
        <f t="shared" ca="1" si="420"/>
        <v/>
      </c>
      <c r="AF1537" s="486" t="str">
        <f t="shared" ca="1" si="421"/>
        <v/>
      </c>
      <c r="AG1537" s="485" t="str">
        <f t="shared" ca="1" si="422"/>
        <v/>
      </c>
      <c r="AH1537" s="486" t="str">
        <f t="shared" ca="1" si="423"/>
        <v/>
      </c>
      <c r="AI1537" s="486" t="str">
        <f t="shared" ca="1" si="424"/>
        <v/>
      </c>
      <c r="AJ1537" s="486" t="str">
        <f t="shared" ca="1" si="425"/>
        <v/>
      </c>
      <c r="AK1537" s="474" t="str">
        <f t="shared" ca="1" si="451"/>
        <v/>
      </c>
      <c r="AL1537" s="480" t="str">
        <f t="shared" ca="1" si="452"/>
        <v>-</v>
      </c>
      <c r="AM1537" s="476" t="str">
        <f t="shared" ca="1" si="453"/>
        <v/>
      </c>
      <c r="AN1537" s="475" t="str">
        <f t="shared" ca="1" si="454"/>
        <v>-</v>
      </c>
      <c r="AO1537" s="460" t="str">
        <f t="shared" ca="1" si="455"/>
        <v/>
      </c>
      <c r="AP1537" s="480" t="str">
        <f t="shared" ca="1" si="456"/>
        <v>-</v>
      </c>
      <c r="AQ1537" s="477" t="str">
        <f t="shared" ca="1" si="457"/>
        <v/>
      </c>
      <c r="AR1537" s="480" t="str">
        <f t="shared" ca="1" si="458"/>
        <v>-</v>
      </c>
      <c r="AS1537" s="34"/>
      <c r="AT1537" s="490" t="str">
        <f t="shared" ca="1" si="426"/>
        <v/>
      </c>
      <c r="AU1537" s="491" t="str">
        <f t="shared" ca="1" si="427"/>
        <v/>
      </c>
      <c r="AV1537" s="491" t="str">
        <f t="shared" ca="1" si="428"/>
        <v/>
      </c>
      <c r="AW1537" s="492" t="str">
        <f t="shared" ca="1" si="429"/>
        <v/>
      </c>
      <c r="AY1537" s="474" t="str">
        <f t="shared" ca="1" si="459"/>
        <v/>
      </c>
      <c r="AZ1537" s="480" t="str">
        <f t="shared" ca="1" si="460"/>
        <v>-</v>
      </c>
      <c r="BA1537" s="476" t="str">
        <f t="shared" ca="1" si="461"/>
        <v/>
      </c>
      <c r="BB1537" s="480" t="str">
        <f t="shared" ca="1" si="462"/>
        <v>-</v>
      </c>
      <c r="BC1537" s="460" t="str">
        <f t="shared" ca="1" si="463"/>
        <v/>
      </c>
      <c r="BD1537" s="480" t="str">
        <f t="shared" ca="1" si="464"/>
        <v>-</v>
      </c>
      <c r="BE1537" s="477" t="str">
        <f t="shared" ca="1" si="465"/>
        <v/>
      </c>
      <c r="BF1537" s="480" t="str">
        <f t="shared" ca="1" si="466"/>
        <v>-</v>
      </c>
      <c r="BG1537" s="488" t="str">
        <f t="shared" ca="1" si="430"/>
        <v/>
      </c>
      <c r="BH1537" s="483" t="str">
        <f t="shared" ca="1" si="431"/>
        <v/>
      </c>
      <c r="BI1537" s="483" t="str">
        <f t="shared" ca="1" si="432"/>
        <v/>
      </c>
      <c r="BJ1537" s="489" t="str">
        <f t="shared" ca="1" si="433"/>
        <v/>
      </c>
      <c r="BL1537" t="str">
        <f t="shared" ca="1" si="467"/>
        <v/>
      </c>
      <c r="BM1537" t="str">
        <f t="shared" ca="1" si="468"/>
        <v/>
      </c>
      <c r="BN1537" t="str">
        <f t="shared" ca="1" si="469"/>
        <v/>
      </c>
      <c r="BO1537" t="str">
        <f t="shared" ca="1" si="470"/>
        <v/>
      </c>
      <c r="BP1537" t="str">
        <f t="shared" ca="1" si="471"/>
        <v/>
      </c>
      <c r="BQ1537" t="str">
        <f t="shared" ca="1" si="472"/>
        <v/>
      </c>
      <c r="BR1537" t="str">
        <f t="shared" ca="1" si="473"/>
        <v/>
      </c>
      <c r="BS1537" t="str">
        <f t="shared" ca="1" si="474"/>
        <v/>
      </c>
      <c r="BT1537" t="str">
        <f t="shared" ca="1" si="475"/>
        <v/>
      </c>
      <c r="BU1537" t="str">
        <f t="shared" ca="1" si="476"/>
        <v/>
      </c>
      <c r="BV1537" t="str">
        <f t="shared" ca="1" si="477"/>
        <v/>
      </c>
      <c r="BW1537" t="str">
        <f t="shared" ca="1" si="478"/>
        <v/>
      </c>
      <c r="BX1537" t="str">
        <f t="shared" ca="1" si="479"/>
        <v/>
      </c>
      <c r="BY1537" t="str">
        <f t="shared" ca="1" si="480"/>
        <v/>
      </c>
      <c r="BZ1537" t="str">
        <f t="shared" ca="1" si="481"/>
        <v/>
      </c>
      <c r="CA1537" t="str">
        <f t="shared" ca="1" si="482"/>
        <v/>
      </c>
      <c r="CC1537" s="482" t="str">
        <f t="shared" ca="1" si="483"/>
        <v/>
      </c>
      <c r="CD1537" s="483" t="str">
        <f t="shared" ca="1" si="484"/>
        <v/>
      </c>
      <c r="CE1537" s="483" t="str">
        <f t="shared" ca="1" si="485"/>
        <v/>
      </c>
      <c r="CF1537" s="483" t="str">
        <f t="shared" ca="1" si="486"/>
        <v/>
      </c>
      <c r="CG1537" s="482" t="str">
        <f t="shared" ca="1" si="487"/>
        <v/>
      </c>
      <c r="CH1537" s="483" t="str">
        <f t="shared" ca="1" si="488"/>
        <v/>
      </c>
      <c r="CI1537" s="483" t="str">
        <f t="shared" ca="1" si="489"/>
        <v/>
      </c>
      <c r="CJ1537" s="484" t="str">
        <f t="shared" ca="1" si="490"/>
        <v/>
      </c>
      <c r="CK1537" s="483" t="str">
        <f t="shared" ca="1" si="491"/>
        <v/>
      </c>
      <c r="CL1537" s="483" t="str">
        <f t="shared" ca="1" si="492"/>
        <v/>
      </c>
      <c r="CM1537" s="483" t="str">
        <f t="shared" ca="1" si="493"/>
        <v/>
      </c>
      <c r="CN1537" s="483" t="str">
        <f t="shared" ca="1" si="494"/>
        <v/>
      </c>
      <c r="CO1537" s="482" t="str">
        <f t="shared" ca="1" si="495"/>
        <v/>
      </c>
      <c r="CP1537" s="483" t="str">
        <f t="shared" ca="1" si="496"/>
        <v/>
      </c>
      <c r="CQ1537" s="483" t="str">
        <f t="shared" ca="1" si="497"/>
        <v/>
      </c>
      <c r="CR1537" s="484" t="str">
        <f t="shared" ca="1" si="498"/>
        <v/>
      </c>
      <c r="CV1537" s="454" t="str">
        <f t="array" ref="CV1537">IFERROR(INDEX(Montageplatten[Höhe],LARGE((Montageplatten[konf Rahmenbed]=$L$70)*(ROW(Montageplatten[konf Rahmenbed])-1),COUNTIF(Montageplatten[konf Rahmenbed],$L$70)+1-ROW(A34))),"")</f>
        <v/>
      </c>
      <c r="CW1537" t="str">
        <f t="shared" si="409"/>
        <v/>
      </c>
      <c r="CX1537" s="1057"/>
    </row>
    <row r="1538" spans="1:102" hidden="1" outlineLevel="1" x14ac:dyDescent="0.25">
      <c r="A1538">
        <f t="shared" ca="1" si="435"/>
        <v>0</v>
      </c>
      <c r="B1538" s="170">
        <f t="shared" ca="1" si="410"/>
        <v>10</v>
      </c>
      <c r="C1538">
        <f t="shared" ca="1" si="500"/>
        <v>10</v>
      </c>
      <c r="D1538">
        <f t="shared" ca="1" si="499"/>
        <v>7</v>
      </c>
      <c r="E1538">
        <f t="shared" ca="1" si="436"/>
        <v>0.5</v>
      </c>
      <c r="F1538">
        <f t="shared" ca="1" si="437"/>
        <v>-9</v>
      </c>
      <c r="G1538" t="e">
        <f t="shared" ca="1" si="438"/>
        <v>#VALUE!</v>
      </c>
      <c r="H1538" t="e">
        <f t="shared" ca="1" si="439"/>
        <v>#VALUE!</v>
      </c>
      <c r="I1538" t="e">
        <f t="shared" ca="1" si="440"/>
        <v>#VALUE!</v>
      </c>
      <c r="J1538" t="e">
        <f t="shared" ca="1" si="441"/>
        <v>#VALUE!</v>
      </c>
      <c r="K1538" t="e">
        <f t="shared" ca="1" si="442"/>
        <v>#VALUE!</v>
      </c>
      <c r="L1538" t="e">
        <f t="shared" ca="1" si="443"/>
        <v>#VALUE!</v>
      </c>
      <c r="M1538" t="e">
        <f t="shared" ca="1" si="444"/>
        <v>#VALUE!</v>
      </c>
      <c r="N1538" t="e">
        <f t="shared" ca="1" si="445"/>
        <v>#VALUE!</v>
      </c>
      <c r="O1538">
        <f t="shared" ca="1" si="446"/>
        <v>-4</v>
      </c>
      <c r="P1538" t="e">
        <f t="shared" ca="1" si="447"/>
        <v>#VALUE!</v>
      </c>
      <c r="Q1538" t="e">
        <f t="shared" ca="1" si="448"/>
        <v>#VALUE!</v>
      </c>
      <c r="R1538" t="e">
        <f t="shared" ca="1" si="449"/>
        <v>#VALUE!</v>
      </c>
      <c r="U1538" s="485" t="str">
        <f t="shared" ca="1" si="450"/>
        <v/>
      </c>
      <c r="V1538" s="486" t="str">
        <f t="shared" ca="1" si="411"/>
        <v/>
      </c>
      <c r="W1538" s="486" t="str">
        <f t="shared" ca="1" si="412"/>
        <v/>
      </c>
      <c r="X1538" s="486" t="str">
        <f t="shared" ca="1" si="413"/>
        <v/>
      </c>
      <c r="Y1538" s="485" t="str">
        <f t="shared" ca="1" si="414"/>
        <v/>
      </c>
      <c r="Z1538" s="486" t="str">
        <f t="shared" ca="1" si="415"/>
        <v/>
      </c>
      <c r="AA1538" s="486" t="str">
        <f t="shared" ca="1" si="416"/>
        <v/>
      </c>
      <c r="AB1538" s="486" t="str">
        <f t="shared" ca="1" si="417"/>
        <v/>
      </c>
      <c r="AC1538" s="485" t="str">
        <f t="shared" ca="1" si="418"/>
        <v/>
      </c>
      <c r="AD1538" s="486" t="str">
        <f t="shared" ca="1" si="419"/>
        <v/>
      </c>
      <c r="AE1538" s="486" t="str">
        <f t="shared" ca="1" si="420"/>
        <v/>
      </c>
      <c r="AF1538" s="486" t="str">
        <f t="shared" ca="1" si="421"/>
        <v/>
      </c>
      <c r="AG1538" s="485" t="str">
        <f t="shared" ca="1" si="422"/>
        <v/>
      </c>
      <c r="AH1538" s="486" t="str">
        <f t="shared" ca="1" si="423"/>
        <v/>
      </c>
      <c r="AI1538" s="486" t="str">
        <f t="shared" ca="1" si="424"/>
        <v/>
      </c>
      <c r="AJ1538" s="486" t="str">
        <f t="shared" ca="1" si="425"/>
        <v/>
      </c>
      <c r="AK1538" s="474" t="str">
        <f t="shared" ca="1" si="451"/>
        <v/>
      </c>
      <c r="AL1538" s="480" t="str">
        <f t="shared" ca="1" si="452"/>
        <v>-</v>
      </c>
      <c r="AM1538" s="476" t="str">
        <f t="shared" ca="1" si="453"/>
        <v/>
      </c>
      <c r="AN1538" s="475" t="str">
        <f t="shared" ca="1" si="454"/>
        <v>-</v>
      </c>
      <c r="AO1538" s="460" t="str">
        <f t="shared" ca="1" si="455"/>
        <v/>
      </c>
      <c r="AP1538" s="480" t="str">
        <f t="shared" ca="1" si="456"/>
        <v>-</v>
      </c>
      <c r="AQ1538" s="477" t="str">
        <f t="shared" ca="1" si="457"/>
        <v/>
      </c>
      <c r="AR1538" s="480" t="str">
        <f t="shared" ca="1" si="458"/>
        <v>-</v>
      </c>
      <c r="AS1538" s="34"/>
      <c r="AT1538" s="490" t="str">
        <f t="shared" ca="1" si="426"/>
        <v/>
      </c>
      <c r="AU1538" s="491" t="str">
        <f t="shared" ca="1" si="427"/>
        <v/>
      </c>
      <c r="AV1538" s="491" t="str">
        <f t="shared" ca="1" si="428"/>
        <v/>
      </c>
      <c r="AW1538" s="492" t="str">
        <f t="shared" ca="1" si="429"/>
        <v/>
      </c>
      <c r="AY1538" s="474" t="str">
        <f t="shared" ca="1" si="459"/>
        <v/>
      </c>
      <c r="AZ1538" s="480" t="str">
        <f t="shared" ca="1" si="460"/>
        <v>-</v>
      </c>
      <c r="BA1538" s="476" t="str">
        <f t="shared" ca="1" si="461"/>
        <v/>
      </c>
      <c r="BB1538" s="480" t="str">
        <f t="shared" ca="1" si="462"/>
        <v>-</v>
      </c>
      <c r="BC1538" s="460" t="str">
        <f t="shared" ca="1" si="463"/>
        <v/>
      </c>
      <c r="BD1538" s="480" t="str">
        <f t="shared" ca="1" si="464"/>
        <v>-</v>
      </c>
      <c r="BE1538" s="477" t="str">
        <f t="shared" ca="1" si="465"/>
        <v/>
      </c>
      <c r="BF1538" s="480" t="str">
        <f t="shared" ca="1" si="466"/>
        <v>-</v>
      </c>
      <c r="BG1538" s="488" t="str">
        <f t="shared" ca="1" si="430"/>
        <v/>
      </c>
      <c r="BH1538" s="483" t="str">
        <f t="shared" ca="1" si="431"/>
        <v/>
      </c>
      <c r="BI1538" s="483" t="str">
        <f t="shared" ca="1" si="432"/>
        <v/>
      </c>
      <c r="BJ1538" s="489" t="str">
        <f t="shared" ca="1" si="433"/>
        <v/>
      </c>
      <c r="BL1538" t="str">
        <f t="shared" ca="1" si="467"/>
        <v/>
      </c>
      <c r="BM1538" t="str">
        <f t="shared" ca="1" si="468"/>
        <v/>
      </c>
      <c r="BN1538" t="str">
        <f t="shared" ca="1" si="469"/>
        <v/>
      </c>
      <c r="BO1538" t="str">
        <f t="shared" ca="1" si="470"/>
        <v/>
      </c>
      <c r="BP1538" t="str">
        <f t="shared" ca="1" si="471"/>
        <v/>
      </c>
      <c r="BQ1538" t="str">
        <f t="shared" ca="1" si="472"/>
        <v/>
      </c>
      <c r="BR1538" t="str">
        <f t="shared" ca="1" si="473"/>
        <v/>
      </c>
      <c r="BS1538" t="str">
        <f t="shared" ca="1" si="474"/>
        <v/>
      </c>
      <c r="BT1538" t="str">
        <f t="shared" ca="1" si="475"/>
        <v/>
      </c>
      <c r="BU1538" t="str">
        <f t="shared" ca="1" si="476"/>
        <v/>
      </c>
      <c r="BV1538" t="str">
        <f t="shared" ca="1" si="477"/>
        <v/>
      </c>
      <c r="BW1538" t="str">
        <f t="shared" ca="1" si="478"/>
        <v/>
      </c>
      <c r="BX1538" t="str">
        <f t="shared" ca="1" si="479"/>
        <v/>
      </c>
      <c r="BY1538" t="str">
        <f t="shared" ca="1" si="480"/>
        <v/>
      </c>
      <c r="BZ1538" t="str">
        <f t="shared" ca="1" si="481"/>
        <v/>
      </c>
      <c r="CA1538" t="str">
        <f t="shared" ca="1" si="482"/>
        <v/>
      </c>
      <c r="CC1538" s="482" t="str">
        <f t="shared" ca="1" si="483"/>
        <v/>
      </c>
      <c r="CD1538" s="483" t="str">
        <f t="shared" ca="1" si="484"/>
        <v/>
      </c>
      <c r="CE1538" s="483" t="str">
        <f t="shared" ca="1" si="485"/>
        <v/>
      </c>
      <c r="CF1538" s="483" t="str">
        <f t="shared" ca="1" si="486"/>
        <v/>
      </c>
      <c r="CG1538" s="482" t="str">
        <f t="shared" ca="1" si="487"/>
        <v/>
      </c>
      <c r="CH1538" s="483" t="str">
        <f t="shared" ca="1" si="488"/>
        <v/>
      </c>
      <c r="CI1538" s="483" t="str">
        <f t="shared" ca="1" si="489"/>
        <v/>
      </c>
      <c r="CJ1538" s="484" t="str">
        <f t="shared" ca="1" si="490"/>
        <v/>
      </c>
      <c r="CK1538" s="483" t="str">
        <f t="shared" ca="1" si="491"/>
        <v/>
      </c>
      <c r="CL1538" s="483" t="str">
        <f t="shared" ca="1" si="492"/>
        <v/>
      </c>
      <c r="CM1538" s="483" t="str">
        <f t="shared" ca="1" si="493"/>
        <v/>
      </c>
      <c r="CN1538" s="483" t="str">
        <f t="shared" ca="1" si="494"/>
        <v/>
      </c>
      <c r="CO1538" s="482" t="str">
        <f t="shared" ca="1" si="495"/>
        <v/>
      </c>
      <c r="CP1538" s="483" t="str">
        <f t="shared" ca="1" si="496"/>
        <v/>
      </c>
      <c r="CQ1538" s="483" t="str">
        <f t="shared" ca="1" si="497"/>
        <v/>
      </c>
      <c r="CR1538" s="484" t="str">
        <f t="shared" ca="1" si="498"/>
        <v/>
      </c>
      <c r="CV1538" s="454" t="str">
        <f t="array" ref="CV1538">IFERROR(INDEX(Montageplatten[Höhe],LARGE((Montageplatten[konf Rahmenbed]=$L$70)*(ROW(Montageplatten[konf Rahmenbed])-1),COUNTIF(Montageplatten[konf Rahmenbed],$L$70)+1-ROW(A35))),"")</f>
        <v/>
      </c>
      <c r="CW1538" t="str">
        <f t="shared" si="409"/>
        <v/>
      </c>
      <c r="CX1538" s="1057"/>
    </row>
    <row r="1539" spans="1:102" hidden="1" outlineLevel="1" x14ac:dyDescent="0.25">
      <c r="A1539">
        <f t="shared" ca="1" si="435"/>
        <v>0</v>
      </c>
      <c r="B1539" s="170">
        <f t="shared" ca="1" si="410"/>
        <v>9.5</v>
      </c>
      <c r="C1539">
        <f t="shared" ca="1" si="500"/>
        <v>10.5</v>
      </c>
      <c r="D1539">
        <f t="shared" ca="1" si="499"/>
        <v>7.5</v>
      </c>
      <c r="E1539">
        <f t="shared" ca="1" si="436"/>
        <v>1</v>
      </c>
      <c r="F1539">
        <f t="shared" ca="1" si="437"/>
        <v>-8.5</v>
      </c>
      <c r="G1539" t="e">
        <f t="shared" ca="1" si="438"/>
        <v>#VALUE!</v>
      </c>
      <c r="H1539" t="e">
        <f t="shared" ca="1" si="439"/>
        <v>#VALUE!</v>
      </c>
      <c r="I1539" t="e">
        <f t="shared" ca="1" si="440"/>
        <v>#VALUE!</v>
      </c>
      <c r="J1539" t="e">
        <f t="shared" ca="1" si="441"/>
        <v>#VALUE!</v>
      </c>
      <c r="K1539" t="e">
        <f t="shared" ca="1" si="442"/>
        <v>#VALUE!</v>
      </c>
      <c r="L1539" t="e">
        <f t="shared" ca="1" si="443"/>
        <v>#VALUE!</v>
      </c>
      <c r="M1539" t="e">
        <f t="shared" ca="1" si="444"/>
        <v>#VALUE!</v>
      </c>
      <c r="N1539" t="e">
        <f t="shared" ca="1" si="445"/>
        <v>#VALUE!</v>
      </c>
      <c r="O1539">
        <f t="shared" ca="1" si="446"/>
        <v>-3.5</v>
      </c>
      <c r="P1539" t="e">
        <f t="shared" ca="1" si="447"/>
        <v>#VALUE!</v>
      </c>
      <c r="Q1539" t="e">
        <f t="shared" ca="1" si="448"/>
        <v>#VALUE!</v>
      </c>
      <c r="R1539" t="e">
        <f t="shared" ca="1" si="449"/>
        <v>#VALUE!</v>
      </c>
      <c r="U1539" s="485" t="str">
        <f t="shared" ca="1" si="450"/>
        <v/>
      </c>
      <c r="V1539" s="486" t="str">
        <f t="shared" ca="1" si="411"/>
        <v/>
      </c>
      <c r="W1539" s="486" t="str">
        <f t="shared" ca="1" si="412"/>
        <v/>
      </c>
      <c r="X1539" s="486" t="str">
        <f t="shared" ca="1" si="413"/>
        <v/>
      </c>
      <c r="Y1539" s="485" t="str">
        <f t="shared" ca="1" si="414"/>
        <v/>
      </c>
      <c r="Z1539" s="486" t="str">
        <f t="shared" ca="1" si="415"/>
        <v/>
      </c>
      <c r="AA1539" s="486" t="str">
        <f t="shared" ca="1" si="416"/>
        <v/>
      </c>
      <c r="AB1539" s="486" t="str">
        <f t="shared" ca="1" si="417"/>
        <v/>
      </c>
      <c r="AC1539" s="485" t="str">
        <f t="shared" ca="1" si="418"/>
        <v/>
      </c>
      <c r="AD1539" s="486" t="str">
        <f t="shared" ca="1" si="419"/>
        <v/>
      </c>
      <c r="AE1539" s="486" t="str">
        <f t="shared" ca="1" si="420"/>
        <v/>
      </c>
      <c r="AF1539" s="486" t="str">
        <f t="shared" ca="1" si="421"/>
        <v/>
      </c>
      <c r="AG1539" s="485" t="str">
        <f t="shared" ca="1" si="422"/>
        <v/>
      </c>
      <c r="AH1539" s="486" t="str">
        <f t="shared" ca="1" si="423"/>
        <v/>
      </c>
      <c r="AI1539" s="486" t="str">
        <f t="shared" ca="1" si="424"/>
        <v/>
      </c>
      <c r="AJ1539" s="486" t="str">
        <f t="shared" ca="1" si="425"/>
        <v/>
      </c>
      <c r="AK1539" s="474" t="str">
        <f t="shared" ca="1" si="451"/>
        <v/>
      </c>
      <c r="AL1539" s="480" t="str">
        <f t="shared" ca="1" si="452"/>
        <v>-</v>
      </c>
      <c r="AM1539" s="476" t="str">
        <f t="shared" ca="1" si="453"/>
        <v/>
      </c>
      <c r="AN1539" s="475" t="str">
        <f t="shared" ca="1" si="454"/>
        <v>-</v>
      </c>
      <c r="AO1539" s="460" t="str">
        <f t="shared" ca="1" si="455"/>
        <v/>
      </c>
      <c r="AP1539" s="480" t="str">
        <f t="shared" ca="1" si="456"/>
        <v>-</v>
      </c>
      <c r="AQ1539" s="477" t="str">
        <f t="shared" ca="1" si="457"/>
        <v/>
      </c>
      <c r="AR1539" s="480" t="str">
        <f t="shared" ca="1" si="458"/>
        <v>-</v>
      </c>
      <c r="AS1539" s="34"/>
      <c r="AT1539" s="490" t="str">
        <f t="shared" ca="1" si="426"/>
        <v/>
      </c>
      <c r="AU1539" s="491" t="str">
        <f t="shared" ca="1" si="427"/>
        <v/>
      </c>
      <c r="AV1539" s="491" t="str">
        <f t="shared" ca="1" si="428"/>
        <v/>
      </c>
      <c r="AW1539" s="492" t="str">
        <f t="shared" ca="1" si="429"/>
        <v/>
      </c>
      <c r="AY1539" s="474" t="str">
        <f t="shared" ca="1" si="459"/>
        <v/>
      </c>
      <c r="AZ1539" s="480" t="str">
        <f t="shared" ca="1" si="460"/>
        <v>-</v>
      </c>
      <c r="BA1539" s="476" t="str">
        <f t="shared" ca="1" si="461"/>
        <v/>
      </c>
      <c r="BB1539" s="480" t="str">
        <f t="shared" ca="1" si="462"/>
        <v>-</v>
      </c>
      <c r="BC1539" s="460" t="str">
        <f t="shared" ca="1" si="463"/>
        <v/>
      </c>
      <c r="BD1539" s="480" t="str">
        <f t="shared" ca="1" si="464"/>
        <v>-</v>
      </c>
      <c r="BE1539" s="477" t="str">
        <f t="shared" ca="1" si="465"/>
        <v/>
      </c>
      <c r="BF1539" s="480" t="str">
        <f t="shared" ca="1" si="466"/>
        <v>-</v>
      </c>
      <c r="BG1539" s="488" t="str">
        <f t="shared" ca="1" si="430"/>
        <v/>
      </c>
      <c r="BH1539" s="483" t="str">
        <f t="shared" ca="1" si="431"/>
        <v/>
      </c>
      <c r="BI1539" s="483" t="str">
        <f t="shared" ca="1" si="432"/>
        <v/>
      </c>
      <c r="BJ1539" s="489" t="str">
        <f t="shared" ca="1" si="433"/>
        <v/>
      </c>
      <c r="BL1539" t="str">
        <f t="shared" ca="1" si="467"/>
        <v/>
      </c>
      <c r="BM1539" t="str">
        <f t="shared" ca="1" si="468"/>
        <v/>
      </c>
      <c r="BN1539" t="str">
        <f t="shared" ca="1" si="469"/>
        <v/>
      </c>
      <c r="BO1539" t="str">
        <f t="shared" ca="1" si="470"/>
        <v/>
      </c>
      <c r="BP1539" t="str">
        <f t="shared" ca="1" si="471"/>
        <v/>
      </c>
      <c r="BQ1539" t="str">
        <f t="shared" ca="1" si="472"/>
        <v/>
      </c>
      <c r="BR1539" t="str">
        <f t="shared" ca="1" si="473"/>
        <v/>
      </c>
      <c r="BS1539" t="str">
        <f t="shared" ca="1" si="474"/>
        <v/>
      </c>
      <c r="BT1539" t="str">
        <f t="shared" ca="1" si="475"/>
        <v/>
      </c>
      <c r="BU1539" t="str">
        <f t="shared" ca="1" si="476"/>
        <v/>
      </c>
      <c r="BV1539" t="str">
        <f t="shared" ca="1" si="477"/>
        <v/>
      </c>
      <c r="BW1539" t="str">
        <f t="shared" ca="1" si="478"/>
        <v/>
      </c>
      <c r="BX1539" t="str">
        <f t="shared" ca="1" si="479"/>
        <v/>
      </c>
      <c r="BY1539" t="str">
        <f t="shared" ca="1" si="480"/>
        <v/>
      </c>
      <c r="BZ1539" t="str">
        <f t="shared" ca="1" si="481"/>
        <v/>
      </c>
      <c r="CA1539" t="str">
        <f t="shared" ca="1" si="482"/>
        <v/>
      </c>
      <c r="CC1539" s="482" t="str">
        <f t="shared" ca="1" si="483"/>
        <v/>
      </c>
      <c r="CD1539" s="483" t="str">
        <f t="shared" ca="1" si="484"/>
        <v/>
      </c>
      <c r="CE1539" s="483" t="str">
        <f t="shared" ca="1" si="485"/>
        <v/>
      </c>
      <c r="CF1539" s="483" t="str">
        <f t="shared" ca="1" si="486"/>
        <v/>
      </c>
      <c r="CG1539" s="482" t="str">
        <f t="shared" ca="1" si="487"/>
        <v/>
      </c>
      <c r="CH1539" s="483" t="str">
        <f t="shared" ca="1" si="488"/>
        <v/>
      </c>
      <c r="CI1539" s="483" t="str">
        <f t="shared" ca="1" si="489"/>
        <v/>
      </c>
      <c r="CJ1539" s="484" t="str">
        <f t="shared" ca="1" si="490"/>
        <v/>
      </c>
      <c r="CK1539" s="483" t="str">
        <f t="shared" ca="1" si="491"/>
        <v/>
      </c>
      <c r="CL1539" s="483" t="str">
        <f t="shared" ca="1" si="492"/>
        <v/>
      </c>
      <c r="CM1539" s="483" t="str">
        <f t="shared" ca="1" si="493"/>
        <v/>
      </c>
      <c r="CN1539" s="483" t="str">
        <f t="shared" ca="1" si="494"/>
        <v/>
      </c>
      <c r="CO1539" s="482" t="str">
        <f t="shared" ca="1" si="495"/>
        <v/>
      </c>
      <c r="CP1539" s="483" t="str">
        <f t="shared" ca="1" si="496"/>
        <v/>
      </c>
      <c r="CQ1539" s="483" t="str">
        <f t="shared" ca="1" si="497"/>
        <v/>
      </c>
      <c r="CR1539" s="484" t="str">
        <f t="shared" ca="1" si="498"/>
        <v/>
      </c>
      <c r="CV1539" s="454" t="str">
        <f t="array" ref="CV1539">IFERROR(INDEX(Montageplatten[Höhe],LARGE((Montageplatten[konf Rahmenbed]=$L$70)*(ROW(Montageplatten[konf Rahmenbed])-1),COUNTIF(Montageplatten[konf Rahmenbed],$L$70)+1-ROW(A36))),"")</f>
        <v/>
      </c>
      <c r="CW1539" t="str">
        <f t="shared" si="409"/>
        <v/>
      </c>
      <c r="CX1539" s="1057"/>
    </row>
    <row r="1540" spans="1:102" hidden="1" outlineLevel="1" x14ac:dyDescent="0.25">
      <c r="A1540">
        <f t="shared" ca="1" si="435"/>
        <v>1</v>
      </c>
      <c r="B1540" s="170">
        <f t="shared" ref="B1540:B1565" ca="1" si="501">J1422</f>
        <v>9</v>
      </c>
      <c r="C1540">
        <f t="shared" ca="1" si="500"/>
        <v>11</v>
      </c>
      <c r="D1540">
        <f t="shared" ca="1" si="499"/>
        <v>8</v>
      </c>
      <c r="E1540">
        <f t="shared" ca="1" si="436"/>
        <v>1.5</v>
      </c>
      <c r="F1540">
        <f t="shared" ca="1" si="437"/>
        <v>-8</v>
      </c>
      <c r="G1540" t="e">
        <f t="shared" ca="1" si="438"/>
        <v>#VALUE!</v>
      </c>
      <c r="H1540" t="e">
        <f t="shared" ca="1" si="439"/>
        <v>#VALUE!</v>
      </c>
      <c r="I1540" t="e">
        <f t="shared" ca="1" si="440"/>
        <v>#VALUE!</v>
      </c>
      <c r="J1540" t="e">
        <f t="shared" ca="1" si="441"/>
        <v>#VALUE!</v>
      </c>
      <c r="K1540" t="e">
        <f t="shared" ca="1" si="442"/>
        <v>#VALUE!</v>
      </c>
      <c r="L1540" t="e">
        <f t="shared" ca="1" si="443"/>
        <v>#VALUE!</v>
      </c>
      <c r="M1540" t="e">
        <f t="shared" ca="1" si="444"/>
        <v>#VALUE!</v>
      </c>
      <c r="N1540" t="e">
        <f t="shared" ca="1" si="445"/>
        <v>#VALUE!</v>
      </c>
      <c r="O1540">
        <f t="shared" ca="1" si="446"/>
        <v>-3</v>
      </c>
      <c r="P1540" t="e">
        <f t="shared" ca="1" si="447"/>
        <v>#VALUE!</v>
      </c>
      <c r="Q1540" t="e">
        <f t="shared" ca="1" si="448"/>
        <v>#VALUE!</v>
      </c>
      <c r="R1540" t="e">
        <f t="shared" ca="1" si="449"/>
        <v>#VALUE!</v>
      </c>
      <c r="U1540" s="485" t="str">
        <f t="shared" ref="U1540:U1565" ca="1" si="502">IFERROR(VLOOKUP(C1540,$CV$1504:$CW$1561,2,FALSE),"")</f>
        <v/>
      </c>
      <c r="V1540" s="486">
        <f t="shared" ref="V1540:V1565" ca="1" si="503">IFERROR(VLOOKUP(D1540,$CV$1504:$CW$1561,2,FALSE),"")</f>
        <v>1</v>
      </c>
      <c r="W1540" s="486" t="str">
        <f t="shared" ref="W1540:W1565" ca="1" si="504">IFERROR(VLOOKUP(E1540,$CV$1504:$CW$1561,2,FALSE),"")</f>
        <v/>
      </c>
      <c r="X1540" s="486" t="str">
        <f t="shared" ref="X1540:X1565" ca="1" si="505">IFERROR(VLOOKUP(F1540,$CV$1504:$CW$1561,2,FALSE),"")</f>
        <v/>
      </c>
      <c r="Y1540" s="485" t="str">
        <f t="shared" ref="Y1540:Y1565" ca="1" si="506">IFERROR(VLOOKUP(G1540,$CV$1504:$CW$1561,2,FALSE),"")</f>
        <v/>
      </c>
      <c r="Z1540" s="486" t="str">
        <f t="shared" ref="Z1540:Z1565" ca="1" si="507">IFERROR(VLOOKUP(H1540,$CV$1504:$CW$1561,2,FALSE),"")</f>
        <v/>
      </c>
      <c r="AA1540" s="486" t="str">
        <f t="shared" ref="AA1540:AA1565" ca="1" si="508">IFERROR(VLOOKUP(I1540,$CV$1504:$CW$1561,2,FALSE),"")</f>
        <v/>
      </c>
      <c r="AB1540" s="486" t="str">
        <f t="shared" ref="AB1540:AB1565" ca="1" si="509">IFERROR(VLOOKUP(J1540,$CV$1504:$CW$1561,2,FALSE),"")</f>
        <v/>
      </c>
      <c r="AC1540" s="485" t="str">
        <f t="shared" ref="AC1540:AC1565" ca="1" si="510">IFERROR(VLOOKUP(K1540,$CV$1504:$CW$1561,2,FALSE),"")</f>
        <v/>
      </c>
      <c r="AD1540" s="486" t="str">
        <f t="shared" ref="AD1540:AD1565" ca="1" si="511">IFERROR(VLOOKUP(L1540,$CV$1504:$CW$1561,2,FALSE),"")</f>
        <v/>
      </c>
      <c r="AE1540" s="486" t="str">
        <f t="shared" ref="AE1540:AE1565" ca="1" si="512">IFERROR(VLOOKUP(M1540,$CV$1504:$CW$1561,2,FALSE),"")</f>
        <v/>
      </c>
      <c r="AF1540" s="486" t="str">
        <f t="shared" ref="AF1540:AF1565" ca="1" si="513">IFERROR(VLOOKUP(N1540,$CV$1504:$CW$1561,2,FALSE),"")</f>
        <v/>
      </c>
      <c r="AG1540" s="485" t="str">
        <f t="shared" ref="AG1540:AG1565" ca="1" si="514">IFERROR(VLOOKUP(O1540,$CV$1504:$CW$1561,2,FALSE),"")</f>
        <v/>
      </c>
      <c r="AH1540" s="486" t="str">
        <f t="shared" ref="AH1540:AH1565" ca="1" si="515">IFERROR(VLOOKUP(P1540,$CV$1504:$CW$1561,2,FALSE),"")</f>
        <v/>
      </c>
      <c r="AI1540" s="486" t="str">
        <f t="shared" ref="AI1540:AI1565" ca="1" si="516">IFERROR(VLOOKUP(Q1540,$CV$1504:$CW$1561,2,FALSE),"")</f>
        <v/>
      </c>
      <c r="AJ1540" s="486" t="str">
        <f t="shared" ref="AJ1540:AJ1565" ca="1" si="517">IFERROR(VLOOKUP(R1540,$CV$1504:$CW$1561,2,FALSE),"")</f>
        <v/>
      </c>
      <c r="AK1540" s="474" t="str">
        <f t="shared" ca="1" si="451"/>
        <v/>
      </c>
      <c r="AL1540" s="480" t="str">
        <f t="shared" ca="1" si="452"/>
        <v>-</v>
      </c>
      <c r="AM1540" s="476" t="str">
        <f t="shared" ca="1" si="453"/>
        <v/>
      </c>
      <c r="AN1540" s="475" t="str">
        <f t="shared" ca="1" si="454"/>
        <v>-</v>
      </c>
      <c r="AO1540" s="460" t="str">
        <f t="shared" ca="1" si="455"/>
        <v/>
      </c>
      <c r="AP1540" s="480" t="str">
        <f t="shared" ca="1" si="456"/>
        <v>-</v>
      </c>
      <c r="AQ1540" s="477" t="str">
        <f t="shared" ca="1" si="457"/>
        <v/>
      </c>
      <c r="AR1540" s="480" t="str">
        <f t="shared" ca="1" si="458"/>
        <v>-</v>
      </c>
      <c r="AS1540" s="34"/>
      <c r="AT1540" s="490" t="str">
        <f t="shared" ref="AT1540:AT1565" ca="1" si="518">IFERROR(VLOOKUP(AL1540,$CV$1504:$CW$1561,2,FALSE),"")</f>
        <v/>
      </c>
      <c r="AU1540" s="491" t="str">
        <f t="shared" ref="AU1540:AU1565" ca="1" si="519">IFERROR(VLOOKUP(AN1540,$CV$1504:$CW$1561,2,FALSE),"")</f>
        <v/>
      </c>
      <c r="AV1540" s="491" t="str">
        <f t="shared" ref="AV1540:AV1565" ca="1" si="520">IFERROR(VLOOKUP(AP1540,$CV$1504:$CW$1561,2,FALSE),"")</f>
        <v/>
      </c>
      <c r="AW1540" s="492" t="str">
        <f t="shared" ref="AW1540:AW1565" ca="1" si="521">IFERROR(VLOOKUP(AR1540,$CV$1504:$CW$1561,2,FALSE),"")</f>
        <v/>
      </c>
      <c r="AY1540" s="474" t="str">
        <f t="shared" ca="1" si="459"/>
        <v/>
      </c>
      <c r="AZ1540" s="480" t="str">
        <f t="shared" ca="1" si="460"/>
        <v>-</v>
      </c>
      <c r="BA1540" s="476" t="str">
        <f t="shared" ca="1" si="461"/>
        <v/>
      </c>
      <c r="BB1540" s="480" t="str">
        <f t="shared" ca="1" si="462"/>
        <v>-</v>
      </c>
      <c r="BC1540" s="460" t="str">
        <f t="shared" ca="1" si="463"/>
        <v/>
      </c>
      <c r="BD1540" s="480" t="str">
        <f t="shared" ca="1" si="464"/>
        <v>-</v>
      </c>
      <c r="BE1540" s="477" t="str">
        <f t="shared" ca="1" si="465"/>
        <v/>
      </c>
      <c r="BF1540" s="480" t="str">
        <f t="shared" ca="1" si="466"/>
        <v>-</v>
      </c>
      <c r="BG1540" s="488" t="str">
        <f t="shared" ref="BG1540:BG1565" ca="1" si="522">IFERROR(VLOOKUP(AZ1540,$CV$1504:$CW$1561,2,FALSE),"")</f>
        <v/>
      </c>
      <c r="BH1540" s="483" t="str">
        <f t="shared" ref="BH1540:BH1565" ca="1" si="523">IFERROR(VLOOKUP(BB1540,$CV$1504:$CW$1561,2,FALSE),"")</f>
        <v/>
      </c>
      <c r="BI1540" s="483" t="str">
        <f t="shared" ref="BI1540:BI1565" ca="1" si="524">IFERROR(VLOOKUP(BD1540,$CV$1504:$CW$1561,2,FALSE),"")</f>
        <v/>
      </c>
      <c r="BJ1540" s="489" t="str">
        <f t="shared" ref="BJ1540:BJ1565" ca="1" si="525">IFERROR(VLOOKUP(BF1540,$CV$1504:$CW$1561,2,FALSE),"")</f>
        <v/>
      </c>
      <c r="BL1540" t="str">
        <f t="shared" ca="1" si="467"/>
        <v/>
      </c>
      <c r="BM1540" t="str">
        <f t="shared" ca="1" si="468"/>
        <v/>
      </c>
      <c r="BN1540" t="str">
        <f t="shared" ca="1" si="469"/>
        <v/>
      </c>
      <c r="BO1540" t="str">
        <f t="shared" ca="1" si="470"/>
        <v/>
      </c>
      <c r="BP1540" t="str">
        <f t="shared" ca="1" si="471"/>
        <v/>
      </c>
      <c r="BQ1540" t="str">
        <f t="shared" ca="1" si="472"/>
        <v/>
      </c>
      <c r="BR1540" t="str">
        <f t="shared" ca="1" si="473"/>
        <v/>
      </c>
      <c r="BS1540" t="str">
        <f t="shared" ca="1" si="474"/>
        <v/>
      </c>
      <c r="BT1540" t="str">
        <f t="shared" ca="1" si="475"/>
        <v/>
      </c>
      <c r="BU1540" t="str">
        <f t="shared" ca="1" si="476"/>
        <v/>
      </c>
      <c r="BV1540" t="str">
        <f t="shared" ca="1" si="477"/>
        <v/>
      </c>
      <c r="BW1540" t="str">
        <f t="shared" ca="1" si="478"/>
        <v/>
      </c>
      <c r="BX1540" t="str">
        <f t="shared" ca="1" si="479"/>
        <v/>
      </c>
      <c r="BY1540" t="str">
        <f t="shared" ca="1" si="480"/>
        <v/>
      </c>
      <c r="BZ1540" t="str">
        <f t="shared" ca="1" si="481"/>
        <v/>
      </c>
      <c r="CA1540" t="str">
        <f t="shared" ca="1" si="482"/>
        <v/>
      </c>
      <c r="CC1540" s="482" t="str">
        <f t="shared" ca="1" si="483"/>
        <v/>
      </c>
      <c r="CD1540" s="483" t="str">
        <f t="shared" ca="1" si="484"/>
        <v/>
      </c>
      <c r="CE1540" s="483" t="str">
        <f t="shared" ca="1" si="485"/>
        <v/>
      </c>
      <c r="CF1540" s="483" t="str">
        <f t="shared" ca="1" si="486"/>
        <v/>
      </c>
      <c r="CG1540" s="482" t="str">
        <f t="shared" ca="1" si="487"/>
        <v/>
      </c>
      <c r="CH1540" s="483" t="str">
        <f t="shared" ca="1" si="488"/>
        <v/>
      </c>
      <c r="CI1540" s="483" t="str">
        <f t="shared" ca="1" si="489"/>
        <v/>
      </c>
      <c r="CJ1540" s="484" t="str">
        <f t="shared" ca="1" si="490"/>
        <v/>
      </c>
      <c r="CK1540" s="483" t="str">
        <f t="shared" ca="1" si="491"/>
        <v/>
      </c>
      <c r="CL1540" s="483" t="str">
        <f t="shared" ca="1" si="492"/>
        <v/>
      </c>
      <c r="CM1540" s="483" t="str">
        <f t="shared" ca="1" si="493"/>
        <v/>
      </c>
      <c r="CN1540" s="483" t="str">
        <f t="shared" ca="1" si="494"/>
        <v/>
      </c>
      <c r="CO1540" s="482" t="str">
        <f t="shared" ca="1" si="495"/>
        <v/>
      </c>
      <c r="CP1540" s="483" t="str">
        <f t="shared" ca="1" si="496"/>
        <v/>
      </c>
      <c r="CQ1540" s="483" t="str">
        <f t="shared" ca="1" si="497"/>
        <v/>
      </c>
      <c r="CR1540" s="484" t="str">
        <f t="shared" ca="1" si="498"/>
        <v/>
      </c>
      <c r="CV1540" s="454" t="str">
        <f t="array" ref="CV1540">IFERROR(INDEX(Montageplatten[Höhe],LARGE((Montageplatten[konf Rahmenbed]=$L$70)*(ROW(Montageplatten[konf Rahmenbed])-1),COUNTIF(Montageplatten[konf Rahmenbed],$L$70)+1-ROW(A37))),"")</f>
        <v/>
      </c>
      <c r="CW1540" t="str">
        <f t="shared" si="409"/>
        <v/>
      </c>
      <c r="CX1540" s="1057"/>
    </row>
    <row r="1541" spans="1:102" hidden="1" outlineLevel="1" x14ac:dyDescent="0.25">
      <c r="A1541">
        <f t="shared" ca="1" si="435"/>
        <v>1</v>
      </c>
      <c r="B1541" s="170">
        <f t="shared" ca="1" si="501"/>
        <v>8.5</v>
      </c>
      <c r="C1541">
        <f t="shared" ca="1" si="500"/>
        <v>11.5</v>
      </c>
      <c r="D1541">
        <f t="shared" ca="1" si="499"/>
        <v>8.5</v>
      </c>
      <c r="E1541">
        <f t="shared" ca="1" si="436"/>
        <v>2</v>
      </c>
      <c r="F1541">
        <f t="shared" ca="1" si="437"/>
        <v>-7.5</v>
      </c>
      <c r="G1541" t="e">
        <f t="shared" ca="1" si="438"/>
        <v>#VALUE!</v>
      </c>
      <c r="H1541" t="e">
        <f t="shared" ca="1" si="439"/>
        <v>#VALUE!</v>
      </c>
      <c r="I1541" t="e">
        <f t="shared" ca="1" si="440"/>
        <v>#VALUE!</v>
      </c>
      <c r="J1541" t="e">
        <f t="shared" ca="1" si="441"/>
        <v>#VALUE!</v>
      </c>
      <c r="K1541" t="e">
        <f t="shared" ca="1" si="442"/>
        <v>#VALUE!</v>
      </c>
      <c r="L1541" t="e">
        <f t="shared" ca="1" si="443"/>
        <v>#VALUE!</v>
      </c>
      <c r="M1541" t="e">
        <f t="shared" ca="1" si="444"/>
        <v>#VALUE!</v>
      </c>
      <c r="N1541" t="e">
        <f t="shared" ca="1" si="445"/>
        <v>#VALUE!</v>
      </c>
      <c r="O1541">
        <f t="shared" ca="1" si="446"/>
        <v>-2.5</v>
      </c>
      <c r="P1541" t="e">
        <f t="shared" ca="1" si="447"/>
        <v>#VALUE!</v>
      </c>
      <c r="Q1541" t="e">
        <f t="shared" ca="1" si="448"/>
        <v>#VALUE!</v>
      </c>
      <c r="R1541" t="e">
        <f t="shared" ca="1" si="449"/>
        <v>#VALUE!</v>
      </c>
      <c r="U1541" s="485" t="str">
        <f t="shared" ca="1" si="502"/>
        <v/>
      </c>
      <c r="V1541" s="486" t="str">
        <f t="shared" ca="1" si="503"/>
        <v/>
      </c>
      <c r="W1541" s="486">
        <f t="shared" ca="1" si="504"/>
        <v>1</v>
      </c>
      <c r="X1541" s="486" t="str">
        <f t="shared" ca="1" si="505"/>
        <v/>
      </c>
      <c r="Y1541" s="485" t="str">
        <f t="shared" ca="1" si="506"/>
        <v/>
      </c>
      <c r="Z1541" s="486" t="str">
        <f t="shared" ca="1" si="507"/>
        <v/>
      </c>
      <c r="AA1541" s="486" t="str">
        <f t="shared" ca="1" si="508"/>
        <v/>
      </c>
      <c r="AB1541" s="486" t="str">
        <f t="shared" ca="1" si="509"/>
        <v/>
      </c>
      <c r="AC1541" s="485" t="str">
        <f t="shared" ca="1" si="510"/>
        <v/>
      </c>
      <c r="AD1541" s="486" t="str">
        <f t="shared" ca="1" si="511"/>
        <v/>
      </c>
      <c r="AE1541" s="486" t="str">
        <f t="shared" ca="1" si="512"/>
        <v/>
      </c>
      <c r="AF1541" s="486" t="str">
        <f t="shared" ca="1" si="513"/>
        <v/>
      </c>
      <c r="AG1541" s="485" t="str">
        <f t="shared" ca="1" si="514"/>
        <v/>
      </c>
      <c r="AH1541" s="486" t="str">
        <f t="shared" ca="1" si="515"/>
        <v/>
      </c>
      <c r="AI1541" s="486" t="str">
        <f t="shared" ca="1" si="516"/>
        <v/>
      </c>
      <c r="AJ1541" s="486" t="str">
        <f t="shared" ca="1" si="517"/>
        <v/>
      </c>
      <c r="AK1541" s="474" t="str">
        <f t="shared" ca="1" si="451"/>
        <v/>
      </c>
      <c r="AL1541" s="480" t="str">
        <f t="shared" ca="1" si="452"/>
        <v>-</v>
      </c>
      <c r="AM1541" s="476" t="str">
        <f t="shared" ca="1" si="453"/>
        <v/>
      </c>
      <c r="AN1541" s="475" t="str">
        <f t="shared" ca="1" si="454"/>
        <v>-</v>
      </c>
      <c r="AO1541" s="460" t="str">
        <f t="shared" ca="1" si="455"/>
        <v/>
      </c>
      <c r="AP1541" s="480" t="str">
        <f t="shared" ca="1" si="456"/>
        <v>-</v>
      </c>
      <c r="AQ1541" s="477" t="str">
        <f t="shared" ca="1" si="457"/>
        <v/>
      </c>
      <c r="AR1541" s="480" t="str">
        <f t="shared" ca="1" si="458"/>
        <v>-</v>
      </c>
      <c r="AS1541" s="34"/>
      <c r="AT1541" s="490" t="str">
        <f t="shared" ca="1" si="518"/>
        <v/>
      </c>
      <c r="AU1541" s="491" t="str">
        <f t="shared" ca="1" si="519"/>
        <v/>
      </c>
      <c r="AV1541" s="491" t="str">
        <f t="shared" ca="1" si="520"/>
        <v/>
      </c>
      <c r="AW1541" s="492" t="str">
        <f t="shared" ca="1" si="521"/>
        <v/>
      </c>
      <c r="AY1541" s="474" t="str">
        <f t="shared" ca="1" si="459"/>
        <v/>
      </c>
      <c r="AZ1541" s="480" t="str">
        <f t="shared" ca="1" si="460"/>
        <v>-</v>
      </c>
      <c r="BA1541" s="476" t="str">
        <f t="shared" ca="1" si="461"/>
        <v/>
      </c>
      <c r="BB1541" s="480" t="str">
        <f t="shared" ca="1" si="462"/>
        <v>-</v>
      </c>
      <c r="BC1541" s="460" t="str">
        <f t="shared" ca="1" si="463"/>
        <v/>
      </c>
      <c r="BD1541" s="480" t="str">
        <f t="shared" ca="1" si="464"/>
        <v>-</v>
      </c>
      <c r="BE1541" s="477" t="str">
        <f t="shared" ca="1" si="465"/>
        <v/>
      </c>
      <c r="BF1541" s="480" t="str">
        <f t="shared" ca="1" si="466"/>
        <v>-</v>
      </c>
      <c r="BG1541" s="488" t="str">
        <f t="shared" ca="1" si="522"/>
        <v/>
      </c>
      <c r="BH1541" s="483" t="str">
        <f t="shared" ca="1" si="523"/>
        <v/>
      </c>
      <c r="BI1541" s="483" t="str">
        <f t="shared" ca="1" si="524"/>
        <v/>
      </c>
      <c r="BJ1541" s="489" t="str">
        <f t="shared" ca="1" si="525"/>
        <v/>
      </c>
      <c r="BL1541" t="str">
        <f t="shared" ca="1" si="467"/>
        <v/>
      </c>
      <c r="BM1541" t="str">
        <f t="shared" ca="1" si="468"/>
        <v/>
      </c>
      <c r="BN1541" t="str">
        <f t="shared" ca="1" si="469"/>
        <v/>
      </c>
      <c r="BO1541" t="str">
        <f t="shared" ca="1" si="470"/>
        <v/>
      </c>
      <c r="BP1541" t="str">
        <f t="shared" ca="1" si="471"/>
        <v/>
      </c>
      <c r="BQ1541" t="str">
        <f t="shared" ca="1" si="472"/>
        <v/>
      </c>
      <c r="BR1541" t="str">
        <f t="shared" ca="1" si="473"/>
        <v/>
      </c>
      <c r="BS1541" t="str">
        <f t="shared" ca="1" si="474"/>
        <v/>
      </c>
      <c r="BT1541" t="str">
        <f t="shared" ca="1" si="475"/>
        <v/>
      </c>
      <c r="BU1541" t="str">
        <f t="shared" ca="1" si="476"/>
        <v/>
      </c>
      <c r="BV1541" t="str">
        <f t="shared" ca="1" si="477"/>
        <v/>
      </c>
      <c r="BW1541" t="str">
        <f t="shared" ca="1" si="478"/>
        <v/>
      </c>
      <c r="BX1541" t="str">
        <f t="shared" ca="1" si="479"/>
        <v/>
      </c>
      <c r="BY1541" t="str">
        <f t="shared" ca="1" si="480"/>
        <v/>
      </c>
      <c r="BZ1541" t="str">
        <f t="shared" ca="1" si="481"/>
        <v/>
      </c>
      <c r="CA1541" t="str">
        <f t="shared" ca="1" si="482"/>
        <v/>
      </c>
      <c r="CC1541" s="482" t="str">
        <f t="shared" ca="1" si="483"/>
        <v/>
      </c>
      <c r="CD1541" s="483" t="str">
        <f t="shared" ca="1" si="484"/>
        <v/>
      </c>
      <c r="CE1541" s="483" t="str">
        <f t="shared" ca="1" si="485"/>
        <v/>
      </c>
      <c r="CF1541" s="483" t="str">
        <f t="shared" ca="1" si="486"/>
        <v/>
      </c>
      <c r="CG1541" s="482" t="str">
        <f t="shared" ca="1" si="487"/>
        <v/>
      </c>
      <c r="CH1541" s="483" t="str">
        <f t="shared" ca="1" si="488"/>
        <v/>
      </c>
      <c r="CI1541" s="483" t="str">
        <f t="shared" ca="1" si="489"/>
        <v/>
      </c>
      <c r="CJ1541" s="484" t="str">
        <f t="shared" ca="1" si="490"/>
        <v/>
      </c>
      <c r="CK1541" s="483" t="str">
        <f t="shared" ca="1" si="491"/>
        <v/>
      </c>
      <c r="CL1541" s="483" t="str">
        <f t="shared" ca="1" si="492"/>
        <v/>
      </c>
      <c r="CM1541" s="483" t="str">
        <f t="shared" ca="1" si="493"/>
        <v/>
      </c>
      <c r="CN1541" s="483" t="str">
        <f t="shared" ca="1" si="494"/>
        <v/>
      </c>
      <c r="CO1541" s="482" t="str">
        <f t="shared" ca="1" si="495"/>
        <v/>
      </c>
      <c r="CP1541" s="483" t="str">
        <f t="shared" ca="1" si="496"/>
        <v/>
      </c>
      <c r="CQ1541" s="483" t="str">
        <f t="shared" ca="1" si="497"/>
        <v/>
      </c>
      <c r="CR1541" s="484" t="str">
        <f t="shared" ca="1" si="498"/>
        <v/>
      </c>
      <c r="CV1541" s="454" t="str">
        <f t="array" ref="CV1541">IFERROR(INDEX(Montageplatten[Höhe],LARGE((Montageplatten[konf Rahmenbed]=$L$70)*(ROW(Montageplatten[konf Rahmenbed])-1),COUNTIF(Montageplatten[konf Rahmenbed],$L$70)+1-ROW(A38))),"")</f>
        <v/>
      </c>
      <c r="CW1541" t="str">
        <f t="shared" si="409"/>
        <v/>
      </c>
      <c r="CX1541" s="1057"/>
    </row>
    <row r="1542" spans="1:102" hidden="1" outlineLevel="1" x14ac:dyDescent="0.25">
      <c r="A1542">
        <f t="shared" ca="1" si="435"/>
        <v>1</v>
      </c>
      <c r="B1542" s="170">
        <f t="shared" ca="1" si="501"/>
        <v>8</v>
      </c>
      <c r="C1542">
        <f t="shared" ca="1" si="500"/>
        <v>12</v>
      </c>
      <c r="D1542">
        <f t="shared" ca="1" si="499"/>
        <v>9</v>
      </c>
      <c r="E1542">
        <f t="shared" ca="1" si="436"/>
        <v>2.5</v>
      </c>
      <c r="F1542">
        <f t="shared" ca="1" si="437"/>
        <v>-7</v>
      </c>
      <c r="G1542" t="e">
        <f t="shared" ca="1" si="438"/>
        <v>#VALUE!</v>
      </c>
      <c r="H1542" t="e">
        <f t="shared" ca="1" si="439"/>
        <v>#VALUE!</v>
      </c>
      <c r="I1542" t="e">
        <f t="shared" ca="1" si="440"/>
        <v>#VALUE!</v>
      </c>
      <c r="J1542" t="e">
        <f t="shared" ca="1" si="441"/>
        <v>#VALUE!</v>
      </c>
      <c r="K1542" t="e">
        <f t="shared" ca="1" si="442"/>
        <v>#VALUE!</v>
      </c>
      <c r="L1542" t="e">
        <f t="shared" ca="1" si="443"/>
        <v>#VALUE!</v>
      </c>
      <c r="M1542" t="e">
        <f t="shared" ca="1" si="444"/>
        <v>#VALUE!</v>
      </c>
      <c r="N1542" t="e">
        <f t="shared" ca="1" si="445"/>
        <v>#VALUE!</v>
      </c>
      <c r="O1542">
        <f t="shared" ca="1" si="446"/>
        <v>-2</v>
      </c>
      <c r="P1542" t="e">
        <f t="shared" ca="1" si="447"/>
        <v>#VALUE!</v>
      </c>
      <c r="Q1542" t="e">
        <f t="shared" ca="1" si="448"/>
        <v>#VALUE!</v>
      </c>
      <c r="R1542" t="e">
        <f t="shared" ca="1" si="449"/>
        <v>#VALUE!</v>
      </c>
      <c r="U1542" s="485">
        <f t="shared" ca="1" si="502"/>
        <v>1</v>
      </c>
      <c r="V1542" s="486">
        <f t="shared" ca="1" si="503"/>
        <v>1</v>
      </c>
      <c r="W1542" s="486" t="str">
        <f t="shared" ca="1" si="504"/>
        <v/>
      </c>
      <c r="X1542" s="486" t="str">
        <f t="shared" ca="1" si="505"/>
        <v/>
      </c>
      <c r="Y1542" s="485" t="str">
        <f t="shared" ca="1" si="506"/>
        <v/>
      </c>
      <c r="Z1542" s="486" t="str">
        <f t="shared" ca="1" si="507"/>
        <v/>
      </c>
      <c r="AA1542" s="486" t="str">
        <f t="shared" ca="1" si="508"/>
        <v/>
      </c>
      <c r="AB1542" s="486" t="str">
        <f t="shared" ca="1" si="509"/>
        <v/>
      </c>
      <c r="AC1542" s="485" t="str">
        <f t="shared" ca="1" si="510"/>
        <v/>
      </c>
      <c r="AD1542" s="486" t="str">
        <f t="shared" ca="1" si="511"/>
        <v/>
      </c>
      <c r="AE1542" s="486" t="str">
        <f t="shared" ca="1" si="512"/>
        <v/>
      </c>
      <c r="AF1542" s="486" t="str">
        <f t="shared" ca="1" si="513"/>
        <v/>
      </c>
      <c r="AG1542" s="485">
        <f t="shared" ca="1" si="514"/>
        <v>1</v>
      </c>
      <c r="AH1542" s="486" t="str">
        <f t="shared" ca="1" si="515"/>
        <v/>
      </c>
      <c r="AI1542" s="486" t="str">
        <f t="shared" ca="1" si="516"/>
        <v/>
      </c>
      <c r="AJ1542" s="486" t="str">
        <f t="shared" ca="1" si="517"/>
        <v/>
      </c>
      <c r="AK1542" s="474" t="str">
        <f t="shared" ca="1" si="451"/>
        <v/>
      </c>
      <c r="AL1542" s="480" t="str">
        <f t="shared" ca="1" si="452"/>
        <v>-</v>
      </c>
      <c r="AM1542" s="476" t="str">
        <f t="shared" ca="1" si="453"/>
        <v/>
      </c>
      <c r="AN1542" s="475" t="str">
        <f t="shared" ca="1" si="454"/>
        <v>-</v>
      </c>
      <c r="AO1542" s="460" t="str">
        <f t="shared" ca="1" si="455"/>
        <v/>
      </c>
      <c r="AP1542" s="480" t="str">
        <f t="shared" ca="1" si="456"/>
        <v>-</v>
      </c>
      <c r="AQ1542" s="477" t="str">
        <f t="shared" ca="1" si="457"/>
        <v/>
      </c>
      <c r="AR1542" s="480" t="str">
        <f t="shared" ca="1" si="458"/>
        <v>-</v>
      </c>
      <c r="AS1542" s="34"/>
      <c r="AT1542" s="490" t="str">
        <f t="shared" ca="1" si="518"/>
        <v/>
      </c>
      <c r="AU1542" s="491" t="str">
        <f t="shared" ca="1" si="519"/>
        <v/>
      </c>
      <c r="AV1542" s="491" t="str">
        <f t="shared" ca="1" si="520"/>
        <v/>
      </c>
      <c r="AW1542" s="492" t="str">
        <f t="shared" ca="1" si="521"/>
        <v/>
      </c>
      <c r="AY1542" s="474" t="str">
        <f t="shared" ca="1" si="459"/>
        <v/>
      </c>
      <c r="AZ1542" s="480" t="str">
        <f t="shared" ca="1" si="460"/>
        <v>-</v>
      </c>
      <c r="BA1542" s="476" t="str">
        <f t="shared" ca="1" si="461"/>
        <v/>
      </c>
      <c r="BB1542" s="480" t="str">
        <f t="shared" ca="1" si="462"/>
        <v>-</v>
      </c>
      <c r="BC1542" s="460" t="str">
        <f t="shared" ca="1" si="463"/>
        <v/>
      </c>
      <c r="BD1542" s="480" t="str">
        <f t="shared" ca="1" si="464"/>
        <v>-</v>
      </c>
      <c r="BE1542" s="477" t="str">
        <f t="shared" ca="1" si="465"/>
        <v/>
      </c>
      <c r="BF1542" s="480" t="str">
        <f t="shared" ca="1" si="466"/>
        <v>-</v>
      </c>
      <c r="BG1542" s="488" t="str">
        <f t="shared" ca="1" si="522"/>
        <v/>
      </c>
      <c r="BH1542" s="483" t="str">
        <f t="shared" ca="1" si="523"/>
        <v/>
      </c>
      <c r="BI1542" s="483" t="str">
        <f t="shared" ca="1" si="524"/>
        <v/>
      </c>
      <c r="BJ1542" s="489" t="str">
        <f t="shared" ca="1" si="525"/>
        <v/>
      </c>
      <c r="BL1542" t="str">
        <f t="shared" ca="1" si="467"/>
        <v/>
      </c>
      <c r="BM1542" t="str">
        <f t="shared" ca="1" si="468"/>
        <v/>
      </c>
      <c r="BN1542" t="str">
        <f t="shared" ca="1" si="469"/>
        <v/>
      </c>
      <c r="BO1542" t="str">
        <f t="shared" ca="1" si="470"/>
        <v/>
      </c>
      <c r="BP1542" t="str">
        <f t="shared" ca="1" si="471"/>
        <v/>
      </c>
      <c r="BQ1542" t="str">
        <f t="shared" ca="1" si="472"/>
        <v/>
      </c>
      <c r="BR1542" t="str">
        <f t="shared" ca="1" si="473"/>
        <v/>
      </c>
      <c r="BS1542" t="str">
        <f t="shared" ca="1" si="474"/>
        <v/>
      </c>
      <c r="BT1542" t="str">
        <f t="shared" ca="1" si="475"/>
        <v/>
      </c>
      <c r="BU1542" t="str">
        <f t="shared" ca="1" si="476"/>
        <v/>
      </c>
      <c r="BV1542" t="str">
        <f t="shared" ca="1" si="477"/>
        <v/>
      </c>
      <c r="BW1542" t="str">
        <f t="shared" ca="1" si="478"/>
        <v/>
      </c>
      <c r="BX1542" t="str">
        <f t="shared" ca="1" si="479"/>
        <v/>
      </c>
      <c r="BY1542" t="str">
        <f t="shared" ca="1" si="480"/>
        <v/>
      </c>
      <c r="BZ1542" t="str">
        <f t="shared" ca="1" si="481"/>
        <v/>
      </c>
      <c r="CA1542" t="str">
        <f t="shared" ca="1" si="482"/>
        <v/>
      </c>
      <c r="CC1542" s="482" t="str">
        <f t="shared" ca="1" si="483"/>
        <v/>
      </c>
      <c r="CD1542" s="483" t="str">
        <f t="shared" ca="1" si="484"/>
        <v/>
      </c>
      <c r="CE1542" s="483" t="str">
        <f t="shared" ca="1" si="485"/>
        <v/>
      </c>
      <c r="CF1542" s="483" t="str">
        <f t="shared" ca="1" si="486"/>
        <v/>
      </c>
      <c r="CG1542" s="482" t="str">
        <f t="shared" ca="1" si="487"/>
        <v/>
      </c>
      <c r="CH1542" s="483" t="str">
        <f t="shared" ca="1" si="488"/>
        <v/>
      </c>
      <c r="CI1542" s="483" t="str">
        <f t="shared" ca="1" si="489"/>
        <v/>
      </c>
      <c r="CJ1542" s="484" t="str">
        <f t="shared" ca="1" si="490"/>
        <v/>
      </c>
      <c r="CK1542" s="483" t="str">
        <f t="shared" ca="1" si="491"/>
        <v/>
      </c>
      <c r="CL1542" s="483" t="str">
        <f t="shared" ca="1" si="492"/>
        <v/>
      </c>
      <c r="CM1542" s="483" t="str">
        <f t="shared" ca="1" si="493"/>
        <v/>
      </c>
      <c r="CN1542" s="483" t="str">
        <f t="shared" ca="1" si="494"/>
        <v/>
      </c>
      <c r="CO1542" s="482" t="str">
        <f t="shared" ca="1" si="495"/>
        <v/>
      </c>
      <c r="CP1542" s="483" t="str">
        <f t="shared" ca="1" si="496"/>
        <v/>
      </c>
      <c r="CQ1542" s="483" t="str">
        <f t="shared" ca="1" si="497"/>
        <v/>
      </c>
      <c r="CR1542" s="484" t="str">
        <f t="shared" ca="1" si="498"/>
        <v/>
      </c>
      <c r="CV1542" s="454" t="str">
        <f t="array" ref="CV1542">IFERROR(INDEX(Montageplatten[Höhe],LARGE((Montageplatten[konf Rahmenbed]=$L$70)*(ROW(Montageplatten[konf Rahmenbed])-1),COUNTIF(Montageplatten[konf Rahmenbed],$L$70)+1-ROW(A39))),"")</f>
        <v/>
      </c>
      <c r="CW1542" t="str">
        <f t="shared" si="409"/>
        <v/>
      </c>
      <c r="CX1542" s="1057"/>
    </row>
    <row r="1543" spans="1:102" hidden="1" outlineLevel="1" x14ac:dyDescent="0.25">
      <c r="A1543">
        <f t="shared" ca="1" si="435"/>
        <v>1</v>
      </c>
      <c r="B1543" s="170">
        <f t="shared" ca="1" si="501"/>
        <v>7.5</v>
      </c>
      <c r="C1543">
        <f t="shared" ca="1" si="500"/>
        <v>12.5</v>
      </c>
      <c r="D1543">
        <f t="shared" ca="1" si="499"/>
        <v>9.5</v>
      </c>
      <c r="E1543">
        <f t="shared" ca="1" si="436"/>
        <v>3</v>
      </c>
      <c r="F1543">
        <f t="shared" ca="1" si="437"/>
        <v>-6.5</v>
      </c>
      <c r="G1543" t="e">
        <f t="shared" ca="1" si="438"/>
        <v>#VALUE!</v>
      </c>
      <c r="H1543" t="e">
        <f t="shared" ca="1" si="439"/>
        <v>#VALUE!</v>
      </c>
      <c r="I1543" t="e">
        <f t="shared" ca="1" si="440"/>
        <v>#VALUE!</v>
      </c>
      <c r="J1543" t="e">
        <f t="shared" ca="1" si="441"/>
        <v>#VALUE!</v>
      </c>
      <c r="K1543" t="e">
        <f t="shared" ca="1" si="442"/>
        <v>#VALUE!</v>
      </c>
      <c r="L1543" t="e">
        <f t="shared" ca="1" si="443"/>
        <v>#VALUE!</v>
      </c>
      <c r="M1543" t="e">
        <f t="shared" ca="1" si="444"/>
        <v>#VALUE!</v>
      </c>
      <c r="N1543" t="e">
        <f t="shared" ca="1" si="445"/>
        <v>#VALUE!</v>
      </c>
      <c r="O1543">
        <f t="shared" ca="1" si="446"/>
        <v>-1.5</v>
      </c>
      <c r="P1543" t="e">
        <f t="shared" ca="1" si="447"/>
        <v>#VALUE!</v>
      </c>
      <c r="Q1543" t="e">
        <f t="shared" ca="1" si="448"/>
        <v>#VALUE!</v>
      </c>
      <c r="R1543" t="e">
        <f t="shared" ca="1" si="449"/>
        <v>#VALUE!</v>
      </c>
      <c r="U1543" s="485" t="str">
        <f t="shared" ca="1" si="502"/>
        <v/>
      </c>
      <c r="V1543" s="486">
        <f t="shared" ca="1" si="503"/>
        <v>1</v>
      </c>
      <c r="W1543" s="486">
        <f t="shared" ca="1" si="504"/>
        <v>1</v>
      </c>
      <c r="X1543" s="486" t="str">
        <f t="shared" ca="1" si="505"/>
        <v/>
      </c>
      <c r="Y1543" s="485" t="str">
        <f t="shared" ca="1" si="506"/>
        <v/>
      </c>
      <c r="Z1543" s="486" t="str">
        <f t="shared" ca="1" si="507"/>
        <v/>
      </c>
      <c r="AA1543" s="486" t="str">
        <f t="shared" ca="1" si="508"/>
        <v/>
      </c>
      <c r="AB1543" s="486" t="str">
        <f t="shared" ca="1" si="509"/>
        <v/>
      </c>
      <c r="AC1543" s="485" t="str">
        <f t="shared" ca="1" si="510"/>
        <v/>
      </c>
      <c r="AD1543" s="486" t="str">
        <f t="shared" ca="1" si="511"/>
        <v/>
      </c>
      <c r="AE1543" s="486" t="str">
        <f t="shared" ca="1" si="512"/>
        <v/>
      </c>
      <c r="AF1543" s="486" t="str">
        <f t="shared" ca="1" si="513"/>
        <v/>
      </c>
      <c r="AG1543" s="485" t="str">
        <f t="shared" ca="1" si="514"/>
        <v/>
      </c>
      <c r="AH1543" s="486" t="str">
        <f t="shared" ca="1" si="515"/>
        <v/>
      </c>
      <c r="AI1543" s="486" t="str">
        <f t="shared" ca="1" si="516"/>
        <v/>
      </c>
      <c r="AJ1543" s="486" t="str">
        <f t="shared" ca="1" si="517"/>
        <v/>
      </c>
      <c r="AK1543" s="474" t="str">
        <f t="shared" ca="1" si="451"/>
        <v/>
      </c>
      <c r="AL1543" s="480" t="str">
        <f t="shared" ca="1" si="452"/>
        <v>-</v>
      </c>
      <c r="AM1543" s="476" t="str">
        <f t="shared" ca="1" si="453"/>
        <v/>
      </c>
      <c r="AN1543" s="475" t="str">
        <f t="shared" ca="1" si="454"/>
        <v>-</v>
      </c>
      <c r="AO1543" s="460" t="str">
        <f t="shared" ca="1" si="455"/>
        <v/>
      </c>
      <c r="AP1543" s="480" t="str">
        <f t="shared" ca="1" si="456"/>
        <v>-</v>
      </c>
      <c r="AQ1543" s="477" t="str">
        <f t="shared" ca="1" si="457"/>
        <v/>
      </c>
      <c r="AR1543" s="480" t="str">
        <f t="shared" ca="1" si="458"/>
        <v>-</v>
      </c>
      <c r="AS1543" s="34"/>
      <c r="AT1543" s="490" t="str">
        <f t="shared" ca="1" si="518"/>
        <v/>
      </c>
      <c r="AU1543" s="491" t="str">
        <f t="shared" ca="1" si="519"/>
        <v/>
      </c>
      <c r="AV1543" s="491" t="str">
        <f t="shared" ca="1" si="520"/>
        <v/>
      </c>
      <c r="AW1543" s="492" t="str">
        <f t="shared" ca="1" si="521"/>
        <v/>
      </c>
      <c r="AY1543" s="474" t="str">
        <f t="shared" ca="1" si="459"/>
        <v/>
      </c>
      <c r="AZ1543" s="480" t="str">
        <f t="shared" ca="1" si="460"/>
        <v>-</v>
      </c>
      <c r="BA1543" s="476" t="str">
        <f t="shared" ca="1" si="461"/>
        <v/>
      </c>
      <c r="BB1543" s="480" t="str">
        <f t="shared" ca="1" si="462"/>
        <v>-</v>
      </c>
      <c r="BC1543" s="460" t="str">
        <f t="shared" ca="1" si="463"/>
        <v/>
      </c>
      <c r="BD1543" s="480" t="str">
        <f t="shared" ca="1" si="464"/>
        <v>-</v>
      </c>
      <c r="BE1543" s="477" t="str">
        <f t="shared" ca="1" si="465"/>
        <v/>
      </c>
      <c r="BF1543" s="480" t="str">
        <f t="shared" ca="1" si="466"/>
        <v>-</v>
      </c>
      <c r="BG1543" s="488" t="str">
        <f t="shared" ca="1" si="522"/>
        <v/>
      </c>
      <c r="BH1543" s="483" t="str">
        <f t="shared" ca="1" si="523"/>
        <v/>
      </c>
      <c r="BI1543" s="483" t="str">
        <f t="shared" ca="1" si="524"/>
        <v/>
      </c>
      <c r="BJ1543" s="489" t="str">
        <f t="shared" ca="1" si="525"/>
        <v/>
      </c>
      <c r="BL1543" t="str">
        <f t="shared" ca="1" si="467"/>
        <v/>
      </c>
      <c r="BM1543" t="str">
        <f t="shared" ca="1" si="468"/>
        <v/>
      </c>
      <c r="BN1543" t="str">
        <f t="shared" ca="1" si="469"/>
        <v/>
      </c>
      <c r="BO1543" t="str">
        <f t="shared" ca="1" si="470"/>
        <v/>
      </c>
      <c r="BP1543" t="str">
        <f t="shared" ca="1" si="471"/>
        <v/>
      </c>
      <c r="BQ1543" t="str">
        <f t="shared" ca="1" si="472"/>
        <v/>
      </c>
      <c r="BR1543" t="str">
        <f t="shared" ca="1" si="473"/>
        <v/>
      </c>
      <c r="BS1543" t="str">
        <f t="shared" ca="1" si="474"/>
        <v/>
      </c>
      <c r="BT1543" t="str">
        <f t="shared" ca="1" si="475"/>
        <v/>
      </c>
      <c r="BU1543" t="str">
        <f t="shared" ca="1" si="476"/>
        <v/>
      </c>
      <c r="BV1543" t="str">
        <f t="shared" ca="1" si="477"/>
        <v/>
      </c>
      <c r="BW1543" t="str">
        <f t="shared" ca="1" si="478"/>
        <v/>
      </c>
      <c r="BX1543" t="str">
        <f t="shared" ca="1" si="479"/>
        <v/>
      </c>
      <c r="BY1543" t="str">
        <f t="shared" ca="1" si="480"/>
        <v/>
      </c>
      <c r="BZ1543" t="str">
        <f t="shared" ca="1" si="481"/>
        <v/>
      </c>
      <c r="CA1543" t="str">
        <f t="shared" ca="1" si="482"/>
        <v/>
      </c>
      <c r="CC1543" s="482" t="str">
        <f t="shared" ca="1" si="483"/>
        <v/>
      </c>
      <c r="CD1543" s="483" t="str">
        <f t="shared" ca="1" si="484"/>
        <v/>
      </c>
      <c r="CE1543" s="483" t="str">
        <f t="shared" ca="1" si="485"/>
        <v/>
      </c>
      <c r="CF1543" s="483" t="str">
        <f t="shared" ca="1" si="486"/>
        <v/>
      </c>
      <c r="CG1543" s="482" t="str">
        <f t="shared" ca="1" si="487"/>
        <v/>
      </c>
      <c r="CH1543" s="483" t="str">
        <f t="shared" ca="1" si="488"/>
        <v/>
      </c>
      <c r="CI1543" s="483" t="str">
        <f t="shared" ca="1" si="489"/>
        <v/>
      </c>
      <c r="CJ1543" s="484" t="str">
        <f t="shared" ca="1" si="490"/>
        <v/>
      </c>
      <c r="CK1543" s="483" t="str">
        <f t="shared" ca="1" si="491"/>
        <v/>
      </c>
      <c r="CL1543" s="483" t="str">
        <f t="shared" ca="1" si="492"/>
        <v/>
      </c>
      <c r="CM1543" s="483" t="str">
        <f t="shared" ca="1" si="493"/>
        <v/>
      </c>
      <c r="CN1543" s="483" t="str">
        <f t="shared" ca="1" si="494"/>
        <v/>
      </c>
      <c r="CO1543" s="482" t="str">
        <f t="shared" ca="1" si="495"/>
        <v/>
      </c>
      <c r="CP1543" s="483" t="str">
        <f t="shared" ca="1" si="496"/>
        <v/>
      </c>
      <c r="CQ1543" s="483" t="str">
        <f t="shared" ca="1" si="497"/>
        <v/>
      </c>
      <c r="CR1543" s="484" t="str">
        <f t="shared" ca="1" si="498"/>
        <v/>
      </c>
      <c r="CV1543" s="454" t="str">
        <f t="array" ref="CV1543">IFERROR(INDEX(Montageplatten[Höhe],LARGE((Montageplatten[konf Rahmenbed]=$L$70)*(ROW(Montageplatten[konf Rahmenbed])-1),COUNTIF(Montageplatten[konf Rahmenbed],$L$70)+1-ROW(A40))),"")</f>
        <v/>
      </c>
      <c r="CW1543" t="str">
        <f t="shared" si="409"/>
        <v/>
      </c>
      <c r="CX1543" s="1057"/>
    </row>
    <row r="1544" spans="1:102" hidden="1" outlineLevel="1" x14ac:dyDescent="0.25">
      <c r="A1544">
        <f t="shared" ca="1" si="435"/>
        <v>1</v>
      </c>
      <c r="B1544" s="170">
        <f t="shared" ca="1" si="501"/>
        <v>7</v>
      </c>
      <c r="C1544">
        <f t="shared" ca="1" si="500"/>
        <v>13</v>
      </c>
      <c r="D1544">
        <f t="shared" ca="1" si="499"/>
        <v>10</v>
      </c>
      <c r="E1544">
        <f t="shared" ca="1" si="436"/>
        <v>3.5</v>
      </c>
      <c r="F1544">
        <f t="shared" ca="1" si="437"/>
        <v>-6</v>
      </c>
      <c r="G1544" t="e">
        <f t="shared" ca="1" si="438"/>
        <v>#VALUE!</v>
      </c>
      <c r="H1544" t="e">
        <f t="shared" ca="1" si="439"/>
        <v>#VALUE!</v>
      </c>
      <c r="I1544" t="e">
        <f t="shared" ca="1" si="440"/>
        <v>#VALUE!</v>
      </c>
      <c r="J1544" t="e">
        <f t="shared" ca="1" si="441"/>
        <v>#VALUE!</v>
      </c>
      <c r="K1544" t="e">
        <f t="shared" ca="1" si="442"/>
        <v>#VALUE!</v>
      </c>
      <c r="L1544" t="e">
        <f t="shared" ca="1" si="443"/>
        <v>#VALUE!</v>
      </c>
      <c r="M1544" t="e">
        <f t="shared" ca="1" si="444"/>
        <v>#VALUE!</v>
      </c>
      <c r="N1544" t="e">
        <f t="shared" ca="1" si="445"/>
        <v>#VALUE!</v>
      </c>
      <c r="O1544">
        <f t="shared" ca="1" si="446"/>
        <v>-1</v>
      </c>
      <c r="P1544" t="e">
        <f t="shared" ca="1" si="447"/>
        <v>#VALUE!</v>
      </c>
      <c r="Q1544" t="e">
        <f t="shared" ca="1" si="448"/>
        <v>#VALUE!</v>
      </c>
      <c r="R1544" t="e">
        <f t="shared" ca="1" si="449"/>
        <v>#VALUE!</v>
      </c>
      <c r="U1544" s="485" t="str">
        <f t="shared" ca="1" si="502"/>
        <v/>
      </c>
      <c r="V1544" s="486" t="str">
        <f t="shared" ca="1" si="503"/>
        <v/>
      </c>
      <c r="W1544" s="486">
        <f t="shared" ca="1" si="504"/>
        <v>1</v>
      </c>
      <c r="X1544" s="486" t="str">
        <f t="shared" ca="1" si="505"/>
        <v/>
      </c>
      <c r="Y1544" s="485" t="str">
        <f t="shared" ca="1" si="506"/>
        <v/>
      </c>
      <c r="Z1544" s="486" t="str">
        <f t="shared" ca="1" si="507"/>
        <v/>
      </c>
      <c r="AA1544" s="486" t="str">
        <f t="shared" ca="1" si="508"/>
        <v/>
      </c>
      <c r="AB1544" s="486" t="str">
        <f t="shared" ca="1" si="509"/>
        <v/>
      </c>
      <c r="AC1544" s="485" t="str">
        <f t="shared" ca="1" si="510"/>
        <v/>
      </c>
      <c r="AD1544" s="486" t="str">
        <f t="shared" ca="1" si="511"/>
        <v/>
      </c>
      <c r="AE1544" s="486" t="str">
        <f t="shared" ca="1" si="512"/>
        <v/>
      </c>
      <c r="AF1544" s="486" t="str">
        <f t="shared" ca="1" si="513"/>
        <v/>
      </c>
      <c r="AG1544" s="485" t="str">
        <f t="shared" ca="1" si="514"/>
        <v/>
      </c>
      <c r="AH1544" s="486" t="str">
        <f t="shared" ca="1" si="515"/>
        <v/>
      </c>
      <c r="AI1544" s="486" t="str">
        <f t="shared" ca="1" si="516"/>
        <v/>
      </c>
      <c r="AJ1544" s="486" t="str">
        <f t="shared" ca="1" si="517"/>
        <v/>
      </c>
      <c r="AK1544" s="474" t="str">
        <f t="shared" ca="1" si="451"/>
        <v/>
      </c>
      <c r="AL1544" s="480" t="str">
        <f t="shared" ca="1" si="452"/>
        <v>-</v>
      </c>
      <c r="AM1544" s="476" t="str">
        <f t="shared" ca="1" si="453"/>
        <v/>
      </c>
      <c r="AN1544" s="475" t="str">
        <f t="shared" ca="1" si="454"/>
        <v>-</v>
      </c>
      <c r="AO1544" s="460" t="str">
        <f t="shared" ca="1" si="455"/>
        <v/>
      </c>
      <c r="AP1544" s="480" t="str">
        <f t="shared" ca="1" si="456"/>
        <v>-</v>
      </c>
      <c r="AQ1544" s="477" t="str">
        <f t="shared" ca="1" si="457"/>
        <v/>
      </c>
      <c r="AR1544" s="480" t="str">
        <f t="shared" ca="1" si="458"/>
        <v>-</v>
      </c>
      <c r="AS1544" s="34"/>
      <c r="AT1544" s="490" t="str">
        <f t="shared" ca="1" si="518"/>
        <v/>
      </c>
      <c r="AU1544" s="491" t="str">
        <f t="shared" ca="1" si="519"/>
        <v/>
      </c>
      <c r="AV1544" s="491" t="str">
        <f t="shared" ca="1" si="520"/>
        <v/>
      </c>
      <c r="AW1544" s="492" t="str">
        <f t="shared" ca="1" si="521"/>
        <v/>
      </c>
      <c r="AY1544" s="474" t="str">
        <f t="shared" ca="1" si="459"/>
        <v/>
      </c>
      <c r="AZ1544" s="480" t="str">
        <f t="shared" ca="1" si="460"/>
        <v>-</v>
      </c>
      <c r="BA1544" s="476" t="str">
        <f t="shared" ca="1" si="461"/>
        <v/>
      </c>
      <c r="BB1544" s="480" t="str">
        <f t="shared" ca="1" si="462"/>
        <v>-</v>
      </c>
      <c r="BC1544" s="460" t="str">
        <f t="shared" ca="1" si="463"/>
        <v/>
      </c>
      <c r="BD1544" s="480" t="str">
        <f t="shared" ca="1" si="464"/>
        <v>-</v>
      </c>
      <c r="BE1544" s="477" t="str">
        <f t="shared" ca="1" si="465"/>
        <v/>
      </c>
      <c r="BF1544" s="480" t="str">
        <f t="shared" ca="1" si="466"/>
        <v>-</v>
      </c>
      <c r="BG1544" s="488" t="str">
        <f t="shared" ca="1" si="522"/>
        <v/>
      </c>
      <c r="BH1544" s="483" t="str">
        <f t="shared" ca="1" si="523"/>
        <v/>
      </c>
      <c r="BI1544" s="483" t="str">
        <f t="shared" ca="1" si="524"/>
        <v/>
      </c>
      <c r="BJ1544" s="489" t="str">
        <f t="shared" ca="1" si="525"/>
        <v/>
      </c>
      <c r="BL1544" t="str">
        <f t="shared" ca="1" si="467"/>
        <v/>
      </c>
      <c r="BM1544" t="str">
        <f t="shared" ca="1" si="468"/>
        <v/>
      </c>
      <c r="BN1544" t="str">
        <f t="shared" ca="1" si="469"/>
        <v/>
      </c>
      <c r="BO1544" t="str">
        <f t="shared" ca="1" si="470"/>
        <v/>
      </c>
      <c r="BP1544" t="str">
        <f t="shared" ca="1" si="471"/>
        <v/>
      </c>
      <c r="BQ1544" t="str">
        <f t="shared" ca="1" si="472"/>
        <v/>
      </c>
      <c r="BR1544" t="str">
        <f t="shared" ca="1" si="473"/>
        <v/>
      </c>
      <c r="BS1544" t="str">
        <f t="shared" ca="1" si="474"/>
        <v/>
      </c>
      <c r="BT1544" t="str">
        <f t="shared" ca="1" si="475"/>
        <v/>
      </c>
      <c r="BU1544" t="str">
        <f t="shared" ca="1" si="476"/>
        <v/>
      </c>
      <c r="BV1544" t="str">
        <f t="shared" ca="1" si="477"/>
        <v/>
      </c>
      <c r="BW1544" t="str">
        <f t="shared" ca="1" si="478"/>
        <v/>
      </c>
      <c r="BX1544" t="str">
        <f t="shared" ca="1" si="479"/>
        <v/>
      </c>
      <c r="BY1544" t="str">
        <f t="shared" ca="1" si="480"/>
        <v/>
      </c>
      <c r="BZ1544" t="str">
        <f t="shared" ca="1" si="481"/>
        <v/>
      </c>
      <c r="CA1544" t="str">
        <f t="shared" ca="1" si="482"/>
        <v/>
      </c>
      <c r="CC1544" s="482" t="str">
        <f t="shared" ca="1" si="483"/>
        <v/>
      </c>
      <c r="CD1544" s="483" t="str">
        <f t="shared" ca="1" si="484"/>
        <v/>
      </c>
      <c r="CE1544" s="483" t="str">
        <f t="shared" ca="1" si="485"/>
        <v/>
      </c>
      <c r="CF1544" s="483" t="str">
        <f t="shared" ca="1" si="486"/>
        <v/>
      </c>
      <c r="CG1544" s="482" t="str">
        <f t="shared" ca="1" si="487"/>
        <v/>
      </c>
      <c r="CH1544" s="483" t="str">
        <f t="shared" ca="1" si="488"/>
        <v/>
      </c>
      <c r="CI1544" s="483" t="str">
        <f t="shared" ca="1" si="489"/>
        <v/>
      </c>
      <c r="CJ1544" s="484" t="str">
        <f t="shared" ca="1" si="490"/>
        <v/>
      </c>
      <c r="CK1544" s="483" t="str">
        <f t="shared" ca="1" si="491"/>
        <v/>
      </c>
      <c r="CL1544" s="483" t="str">
        <f t="shared" ca="1" si="492"/>
        <v/>
      </c>
      <c r="CM1544" s="483" t="str">
        <f t="shared" ca="1" si="493"/>
        <v/>
      </c>
      <c r="CN1544" s="483" t="str">
        <f t="shared" ca="1" si="494"/>
        <v/>
      </c>
      <c r="CO1544" s="482" t="str">
        <f t="shared" ca="1" si="495"/>
        <v/>
      </c>
      <c r="CP1544" s="483" t="str">
        <f t="shared" ca="1" si="496"/>
        <v/>
      </c>
      <c r="CQ1544" s="483" t="str">
        <f t="shared" ca="1" si="497"/>
        <v/>
      </c>
      <c r="CR1544" s="484" t="str">
        <f t="shared" ca="1" si="498"/>
        <v/>
      </c>
      <c r="CV1544" s="454" t="str">
        <f t="array" ref="CV1544">IFERROR(INDEX(Montageplatten[Höhe],LARGE((Montageplatten[konf Rahmenbed]=$L$70)*(ROW(Montageplatten[konf Rahmenbed])-1),COUNTIF(Montageplatten[konf Rahmenbed],$L$70)+1-ROW(A41))),"")</f>
        <v/>
      </c>
      <c r="CW1544" t="str">
        <f t="shared" si="409"/>
        <v/>
      </c>
      <c r="CX1544" s="1057"/>
    </row>
    <row r="1545" spans="1:102" hidden="1" outlineLevel="1" x14ac:dyDescent="0.25">
      <c r="A1545">
        <f t="shared" ca="1" si="435"/>
        <v>0</v>
      </c>
      <c r="B1545" s="170">
        <f t="shared" ca="1" si="501"/>
        <v>6.5</v>
      </c>
      <c r="C1545">
        <f t="shared" ca="1" si="500"/>
        <v>13.5</v>
      </c>
      <c r="D1545">
        <f t="shared" ca="1" si="499"/>
        <v>10.5</v>
      </c>
      <c r="E1545">
        <f t="shared" ca="1" si="436"/>
        <v>4</v>
      </c>
      <c r="F1545">
        <f t="shared" ca="1" si="437"/>
        <v>-5.5</v>
      </c>
      <c r="G1545" t="e">
        <f t="shared" ca="1" si="438"/>
        <v>#VALUE!</v>
      </c>
      <c r="H1545" t="e">
        <f t="shared" ca="1" si="439"/>
        <v>#VALUE!</v>
      </c>
      <c r="I1545" t="e">
        <f t="shared" ca="1" si="440"/>
        <v>#VALUE!</v>
      </c>
      <c r="J1545" t="e">
        <f t="shared" ca="1" si="441"/>
        <v>#VALUE!</v>
      </c>
      <c r="K1545" t="e">
        <f t="shared" ca="1" si="442"/>
        <v>#VALUE!</v>
      </c>
      <c r="L1545" t="e">
        <f t="shared" ca="1" si="443"/>
        <v>#VALUE!</v>
      </c>
      <c r="M1545" t="e">
        <f t="shared" ca="1" si="444"/>
        <v>#VALUE!</v>
      </c>
      <c r="N1545" t="e">
        <f t="shared" ca="1" si="445"/>
        <v>#VALUE!</v>
      </c>
      <c r="O1545">
        <f t="shared" ca="1" si="446"/>
        <v>-0.5</v>
      </c>
      <c r="P1545" t="e">
        <f t="shared" ca="1" si="447"/>
        <v>#VALUE!</v>
      </c>
      <c r="Q1545" t="e">
        <f t="shared" ca="1" si="448"/>
        <v>#VALUE!</v>
      </c>
      <c r="R1545" t="e">
        <f t="shared" ca="1" si="449"/>
        <v>#VALUE!</v>
      </c>
      <c r="U1545" s="485" t="str">
        <f t="shared" ca="1" si="502"/>
        <v/>
      </c>
      <c r="V1545" s="486" t="str">
        <f t="shared" ca="1" si="503"/>
        <v/>
      </c>
      <c r="W1545" s="486" t="str">
        <f t="shared" ca="1" si="504"/>
        <v/>
      </c>
      <c r="X1545" s="486" t="str">
        <f t="shared" ca="1" si="505"/>
        <v/>
      </c>
      <c r="Y1545" s="485" t="str">
        <f t="shared" ca="1" si="506"/>
        <v/>
      </c>
      <c r="Z1545" s="486" t="str">
        <f t="shared" ca="1" si="507"/>
        <v/>
      </c>
      <c r="AA1545" s="486" t="str">
        <f t="shared" ca="1" si="508"/>
        <v/>
      </c>
      <c r="AB1545" s="486" t="str">
        <f t="shared" ca="1" si="509"/>
        <v/>
      </c>
      <c r="AC1545" s="485" t="str">
        <f t="shared" ca="1" si="510"/>
        <v/>
      </c>
      <c r="AD1545" s="486" t="str">
        <f t="shared" ca="1" si="511"/>
        <v/>
      </c>
      <c r="AE1545" s="486" t="str">
        <f t="shared" ca="1" si="512"/>
        <v/>
      </c>
      <c r="AF1545" s="486" t="str">
        <f t="shared" ca="1" si="513"/>
        <v/>
      </c>
      <c r="AG1545" s="485" t="str">
        <f t="shared" ca="1" si="514"/>
        <v/>
      </c>
      <c r="AH1545" s="486" t="str">
        <f t="shared" ca="1" si="515"/>
        <v/>
      </c>
      <c r="AI1545" s="486" t="str">
        <f t="shared" ca="1" si="516"/>
        <v/>
      </c>
      <c r="AJ1545" s="486" t="str">
        <f t="shared" ca="1" si="517"/>
        <v/>
      </c>
      <c r="AK1545" s="474" t="str">
        <f t="shared" ca="1" si="451"/>
        <v/>
      </c>
      <c r="AL1545" s="480" t="str">
        <f t="shared" ca="1" si="452"/>
        <v>-</v>
      </c>
      <c r="AM1545" s="476" t="str">
        <f t="shared" ca="1" si="453"/>
        <v/>
      </c>
      <c r="AN1545" s="475" t="str">
        <f t="shared" ca="1" si="454"/>
        <v>-</v>
      </c>
      <c r="AO1545" s="460" t="str">
        <f t="shared" ca="1" si="455"/>
        <v/>
      </c>
      <c r="AP1545" s="480" t="str">
        <f t="shared" ca="1" si="456"/>
        <v>-</v>
      </c>
      <c r="AQ1545" s="477" t="str">
        <f t="shared" ca="1" si="457"/>
        <v/>
      </c>
      <c r="AR1545" s="480" t="str">
        <f t="shared" ca="1" si="458"/>
        <v>-</v>
      </c>
      <c r="AS1545" s="34"/>
      <c r="AT1545" s="490" t="str">
        <f t="shared" ca="1" si="518"/>
        <v/>
      </c>
      <c r="AU1545" s="491" t="str">
        <f t="shared" ca="1" si="519"/>
        <v/>
      </c>
      <c r="AV1545" s="491" t="str">
        <f t="shared" ca="1" si="520"/>
        <v/>
      </c>
      <c r="AW1545" s="492" t="str">
        <f t="shared" ca="1" si="521"/>
        <v/>
      </c>
      <c r="AY1545" s="474" t="str">
        <f t="shared" ca="1" si="459"/>
        <v/>
      </c>
      <c r="AZ1545" s="480" t="str">
        <f t="shared" ca="1" si="460"/>
        <v>-</v>
      </c>
      <c r="BA1545" s="476" t="str">
        <f t="shared" ca="1" si="461"/>
        <v/>
      </c>
      <c r="BB1545" s="480" t="str">
        <f t="shared" ca="1" si="462"/>
        <v>-</v>
      </c>
      <c r="BC1545" s="460" t="str">
        <f t="shared" ca="1" si="463"/>
        <v/>
      </c>
      <c r="BD1545" s="480" t="str">
        <f t="shared" ca="1" si="464"/>
        <v>-</v>
      </c>
      <c r="BE1545" s="477" t="str">
        <f t="shared" ca="1" si="465"/>
        <v/>
      </c>
      <c r="BF1545" s="480" t="str">
        <f t="shared" ca="1" si="466"/>
        <v>-</v>
      </c>
      <c r="BG1545" s="488" t="str">
        <f t="shared" ca="1" si="522"/>
        <v/>
      </c>
      <c r="BH1545" s="483" t="str">
        <f t="shared" ca="1" si="523"/>
        <v/>
      </c>
      <c r="BI1545" s="483" t="str">
        <f t="shared" ca="1" si="524"/>
        <v/>
      </c>
      <c r="BJ1545" s="489" t="str">
        <f t="shared" ca="1" si="525"/>
        <v/>
      </c>
      <c r="BL1545" t="str">
        <f t="shared" ca="1" si="467"/>
        <v/>
      </c>
      <c r="BM1545" t="str">
        <f t="shared" ca="1" si="468"/>
        <v/>
      </c>
      <c r="BN1545" t="str">
        <f t="shared" ca="1" si="469"/>
        <v/>
      </c>
      <c r="BO1545" t="str">
        <f t="shared" ca="1" si="470"/>
        <v/>
      </c>
      <c r="BP1545" t="str">
        <f t="shared" ca="1" si="471"/>
        <v/>
      </c>
      <c r="BQ1545" t="str">
        <f t="shared" ca="1" si="472"/>
        <v/>
      </c>
      <c r="BR1545" t="str">
        <f t="shared" ca="1" si="473"/>
        <v/>
      </c>
      <c r="BS1545" t="str">
        <f t="shared" ca="1" si="474"/>
        <v/>
      </c>
      <c r="BT1545" t="str">
        <f t="shared" ca="1" si="475"/>
        <v/>
      </c>
      <c r="BU1545" t="str">
        <f t="shared" ca="1" si="476"/>
        <v/>
      </c>
      <c r="BV1545" t="str">
        <f t="shared" ca="1" si="477"/>
        <v/>
      </c>
      <c r="BW1545" t="str">
        <f t="shared" ca="1" si="478"/>
        <v/>
      </c>
      <c r="BX1545" t="str">
        <f t="shared" ca="1" si="479"/>
        <v/>
      </c>
      <c r="BY1545" t="str">
        <f t="shared" ca="1" si="480"/>
        <v/>
      </c>
      <c r="BZ1545" t="str">
        <f t="shared" ca="1" si="481"/>
        <v/>
      </c>
      <c r="CA1545" t="str">
        <f t="shared" ca="1" si="482"/>
        <v/>
      </c>
      <c r="CC1545" s="482" t="str">
        <f t="shared" ca="1" si="483"/>
        <v/>
      </c>
      <c r="CD1545" s="483" t="str">
        <f t="shared" ca="1" si="484"/>
        <v/>
      </c>
      <c r="CE1545" s="483" t="str">
        <f t="shared" ca="1" si="485"/>
        <v/>
      </c>
      <c r="CF1545" s="483" t="str">
        <f t="shared" ca="1" si="486"/>
        <v/>
      </c>
      <c r="CG1545" s="482" t="str">
        <f t="shared" ca="1" si="487"/>
        <v/>
      </c>
      <c r="CH1545" s="483" t="str">
        <f t="shared" ca="1" si="488"/>
        <v/>
      </c>
      <c r="CI1545" s="483" t="str">
        <f t="shared" ca="1" si="489"/>
        <v/>
      </c>
      <c r="CJ1545" s="484" t="str">
        <f t="shared" ca="1" si="490"/>
        <v/>
      </c>
      <c r="CK1545" s="483" t="str">
        <f t="shared" ca="1" si="491"/>
        <v/>
      </c>
      <c r="CL1545" s="483" t="str">
        <f t="shared" ca="1" si="492"/>
        <v/>
      </c>
      <c r="CM1545" s="483" t="str">
        <f t="shared" ca="1" si="493"/>
        <v/>
      </c>
      <c r="CN1545" s="483" t="str">
        <f t="shared" ca="1" si="494"/>
        <v/>
      </c>
      <c r="CO1545" s="482" t="str">
        <f t="shared" ca="1" si="495"/>
        <v/>
      </c>
      <c r="CP1545" s="483" t="str">
        <f t="shared" ca="1" si="496"/>
        <v/>
      </c>
      <c r="CQ1545" s="483" t="str">
        <f t="shared" ca="1" si="497"/>
        <v/>
      </c>
      <c r="CR1545" s="484" t="str">
        <f t="shared" ca="1" si="498"/>
        <v/>
      </c>
      <c r="CV1545" s="454" t="str">
        <f t="array" ref="CV1545">IFERROR(INDEX(Montageplatten[Höhe],LARGE((Montageplatten[konf Rahmenbed]=$L$70)*(ROW(Montageplatten[konf Rahmenbed])-1),COUNTIF(Montageplatten[konf Rahmenbed],$L$70)+1-ROW(A42))),"")</f>
        <v/>
      </c>
      <c r="CW1545" t="str">
        <f t="shared" si="409"/>
        <v/>
      </c>
      <c r="CX1545" s="1057"/>
    </row>
    <row r="1546" spans="1:102" hidden="1" outlineLevel="1" x14ac:dyDescent="0.25">
      <c r="A1546">
        <f t="shared" ca="1" si="435"/>
        <v>1</v>
      </c>
      <c r="B1546" s="170">
        <f t="shared" ca="1" si="501"/>
        <v>6</v>
      </c>
      <c r="C1546">
        <f t="shared" ca="1" si="500"/>
        <v>14</v>
      </c>
      <c r="D1546">
        <f t="shared" ca="1" si="499"/>
        <v>11</v>
      </c>
      <c r="E1546">
        <f t="shared" ca="1" si="436"/>
        <v>4.5</v>
      </c>
      <c r="F1546">
        <f t="shared" ca="1" si="437"/>
        <v>-5</v>
      </c>
      <c r="G1546" t="e">
        <f t="shared" ca="1" si="438"/>
        <v>#VALUE!</v>
      </c>
      <c r="H1546" t="e">
        <f t="shared" ca="1" si="439"/>
        <v>#VALUE!</v>
      </c>
      <c r="I1546" t="e">
        <f t="shared" ca="1" si="440"/>
        <v>#VALUE!</v>
      </c>
      <c r="J1546" t="e">
        <f t="shared" ca="1" si="441"/>
        <v>#VALUE!</v>
      </c>
      <c r="K1546" t="e">
        <f t="shared" ca="1" si="442"/>
        <v>#VALUE!</v>
      </c>
      <c r="L1546" t="e">
        <f t="shared" ca="1" si="443"/>
        <v>#VALUE!</v>
      </c>
      <c r="M1546" t="e">
        <f t="shared" ca="1" si="444"/>
        <v>#VALUE!</v>
      </c>
      <c r="N1546" t="e">
        <f t="shared" ca="1" si="445"/>
        <v>#VALUE!</v>
      </c>
      <c r="O1546">
        <f t="shared" ca="1" si="446"/>
        <v>0</v>
      </c>
      <c r="P1546" t="e">
        <f t="shared" ca="1" si="447"/>
        <v>#VALUE!</v>
      </c>
      <c r="Q1546" t="e">
        <f t="shared" ca="1" si="448"/>
        <v>#VALUE!</v>
      </c>
      <c r="R1546" t="e">
        <f t="shared" ca="1" si="449"/>
        <v>#VALUE!</v>
      </c>
      <c r="U1546" s="485">
        <f t="shared" ca="1" si="502"/>
        <v>1</v>
      </c>
      <c r="V1546" s="486" t="str">
        <f t="shared" ca="1" si="503"/>
        <v/>
      </c>
      <c r="W1546" s="486" t="str">
        <f t="shared" ca="1" si="504"/>
        <v/>
      </c>
      <c r="X1546" s="486" t="str">
        <f t="shared" ca="1" si="505"/>
        <v/>
      </c>
      <c r="Y1546" s="485" t="str">
        <f t="shared" ca="1" si="506"/>
        <v/>
      </c>
      <c r="Z1546" s="486" t="str">
        <f t="shared" ca="1" si="507"/>
        <v/>
      </c>
      <c r="AA1546" s="486" t="str">
        <f t="shared" ca="1" si="508"/>
        <v/>
      </c>
      <c r="AB1546" s="486" t="str">
        <f t="shared" ca="1" si="509"/>
        <v/>
      </c>
      <c r="AC1546" s="485" t="str">
        <f t="shared" ca="1" si="510"/>
        <v/>
      </c>
      <c r="AD1546" s="486" t="str">
        <f t="shared" ca="1" si="511"/>
        <v/>
      </c>
      <c r="AE1546" s="486" t="str">
        <f t="shared" ca="1" si="512"/>
        <v/>
      </c>
      <c r="AF1546" s="486" t="str">
        <f t="shared" ca="1" si="513"/>
        <v/>
      </c>
      <c r="AG1546" s="485">
        <f t="shared" ca="1" si="514"/>
        <v>1</v>
      </c>
      <c r="AH1546" s="486" t="str">
        <f t="shared" ca="1" si="515"/>
        <v/>
      </c>
      <c r="AI1546" s="486" t="str">
        <f t="shared" ca="1" si="516"/>
        <v/>
      </c>
      <c r="AJ1546" s="486" t="str">
        <f t="shared" ca="1" si="517"/>
        <v/>
      </c>
      <c r="AK1546" s="474" t="str">
        <f t="shared" ca="1" si="451"/>
        <v/>
      </c>
      <c r="AL1546" s="480" t="str">
        <f t="shared" ca="1" si="452"/>
        <v>-</v>
      </c>
      <c r="AM1546" s="476" t="str">
        <f t="shared" ca="1" si="453"/>
        <v/>
      </c>
      <c r="AN1546" s="475" t="str">
        <f t="shared" ca="1" si="454"/>
        <v>-</v>
      </c>
      <c r="AO1546" s="460" t="str">
        <f t="shared" ca="1" si="455"/>
        <v/>
      </c>
      <c r="AP1546" s="480" t="str">
        <f t="shared" ca="1" si="456"/>
        <v>-</v>
      </c>
      <c r="AQ1546" s="477" t="str">
        <f t="shared" ca="1" si="457"/>
        <v/>
      </c>
      <c r="AR1546" s="480" t="str">
        <f t="shared" ca="1" si="458"/>
        <v>-</v>
      </c>
      <c r="AS1546" s="34"/>
      <c r="AT1546" s="490" t="str">
        <f t="shared" ca="1" si="518"/>
        <v/>
      </c>
      <c r="AU1546" s="491" t="str">
        <f t="shared" ca="1" si="519"/>
        <v/>
      </c>
      <c r="AV1546" s="491" t="str">
        <f t="shared" ca="1" si="520"/>
        <v/>
      </c>
      <c r="AW1546" s="492" t="str">
        <f t="shared" ca="1" si="521"/>
        <v/>
      </c>
      <c r="AY1546" s="474" t="str">
        <f t="shared" ca="1" si="459"/>
        <v/>
      </c>
      <c r="AZ1546" s="480" t="str">
        <f t="shared" ca="1" si="460"/>
        <v>-</v>
      </c>
      <c r="BA1546" s="476" t="str">
        <f t="shared" ca="1" si="461"/>
        <v/>
      </c>
      <c r="BB1546" s="480" t="str">
        <f t="shared" ca="1" si="462"/>
        <v>-</v>
      </c>
      <c r="BC1546" s="460" t="str">
        <f t="shared" ca="1" si="463"/>
        <v/>
      </c>
      <c r="BD1546" s="480" t="str">
        <f t="shared" ca="1" si="464"/>
        <v>-</v>
      </c>
      <c r="BE1546" s="477" t="str">
        <f t="shared" ca="1" si="465"/>
        <v/>
      </c>
      <c r="BF1546" s="480" t="str">
        <f t="shared" ca="1" si="466"/>
        <v>-</v>
      </c>
      <c r="BG1546" s="488" t="str">
        <f t="shared" ca="1" si="522"/>
        <v/>
      </c>
      <c r="BH1546" s="483" t="str">
        <f t="shared" ca="1" si="523"/>
        <v/>
      </c>
      <c r="BI1546" s="483" t="str">
        <f t="shared" ca="1" si="524"/>
        <v/>
      </c>
      <c r="BJ1546" s="489" t="str">
        <f t="shared" ca="1" si="525"/>
        <v/>
      </c>
      <c r="BL1546" t="str">
        <f t="shared" ca="1" si="467"/>
        <v/>
      </c>
      <c r="BM1546" t="str">
        <f t="shared" ca="1" si="468"/>
        <v/>
      </c>
      <c r="BN1546" t="str">
        <f t="shared" ca="1" si="469"/>
        <v/>
      </c>
      <c r="BO1546" t="str">
        <f t="shared" ca="1" si="470"/>
        <v/>
      </c>
      <c r="BP1546" t="str">
        <f t="shared" ca="1" si="471"/>
        <v/>
      </c>
      <c r="BQ1546" t="str">
        <f t="shared" ca="1" si="472"/>
        <v/>
      </c>
      <c r="BR1546" t="str">
        <f t="shared" ca="1" si="473"/>
        <v/>
      </c>
      <c r="BS1546" t="str">
        <f t="shared" ca="1" si="474"/>
        <v/>
      </c>
      <c r="BT1546" t="str">
        <f t="shared" ca="1" si="475"/>
        <v/>
      </c>
      <c r="BU1546" t="str">
        <f t="shared" ca="1" si="476"/>
        <v/>
      </c>
      <c r="BV1546" t="str">
        <f t="shared" ca="1" si="477"/>
        <v/>
      </c>
      <c r="BW1546" t="str">
        <f t="shared" ca="1" si="478"/>
        <v/>
      </c>
      <c r="BX1546" t="str">
        <f t="shared" ca="1" si="479"/>
        <v/>
      </c>
      <c r="BY1546" t="str">
        <f t="shared" ca="1" si="480"/>
        <v/>
      </c>
      <c r="BZ1546" t="str">
        <f t="shared" ca="1" si="481"/>
        <v/>
      </c>
      <c r="CA1546" t="str">
        <f t="shared" ca="1" si="482"/>
        <v/>
      </c>
      <c r="CC1546" s="482" t="str">
        <f t="shared" ca="1" si="483"/>
        <v/>
      </c>
      <c r="CD1546" s="483" t="str">
        <f t="shared" ca="1" si="484"/>
        <v/>
      </c>
      <c r="CE1546" s="483" t="str">
        <f t="shared" ca="1" si="485"/>
        <v/>
      </c>
      <c r="CF1546" s="483" t="str">
        <f t="shared" ca="1" si="486"/>
        <v/>
      </c>
      <c r="CG1546" s="482" t="str">
        <f t="shared" ca="1" si="487"/>
        <v/>
      </c>
      <c r="CH1546" s="483" t="str">
        <f t="shared" ca="1" si="488"/>
        <v/>
      </c>
      <c r="CI1546" s="483" t="str">
        <f t="shared" ca="1" si="489"/>
        <v/>
      </c>
      <c r="CJ1546" s="484" t="str">
        <f t="shared" ca="1" si="490"/>
        <v/>
      </c>
      <c r="CK1546" s="483" t="str">
        <f t="shared" ca="1" si="491"/>
        <v/>
      </c>
      <c r="CL1546" s="483" t="str">
        <f t="shared" ca="1" si="492"/>
        <v/>
      </c>
      <c r="CM1546" s="483" t="str">
        <f t="shared" ca="1" si="493"/>
        <v/>
      </c>
      <c r="CN1546" s="483" t="str">
        <f t="shared" ca="1" si="494"/>
        <v/>
      </c>
      <c r="CO1546" s="482" t="str">
        <f t="shared" ca="1" si="495"/>
        <v/>
      </c>
      <c r="CP1546" s="483" t="str">
        <f t="shared" ca="1" si="496"/>
        <v/>
      </c>
      <c r="CQ1546" s="483" t="str">
        <f t="shared" ca="1" si="497"/>
        <v/>
      </c>
      <c r="CR1546" s="484" t="str">
        <f t="shared" ca="1" si="498"/>
        <v/>
      </c>
      <c r="CV1546" s="454" t="str">
        <f t="array" ref="CV1546">IFERROR(INDEX(Montageplatten[Höhe],LARGE((Montageplatten[konf Rahmenbed]=$L$70)*(ROW(Montageplatten[konf Rahmenbed])-1),COUNTIF(Montageplatten[konf Rahmenbed],$L$70)+1-ROW(A43))),"")</f>
        <v/>
      </c>
      <c r="CW1546" t="str">
        <f t="shared" si="409"/>
        <v/>
      </c>
      <c r="CX1546" s="1057"/>
    </row>
    <row r="1547" spans="1:102" hidden="1" outlineLevel="1" x14ac:dyDescent="0.25">
      <c r="A1547">
        <f t="shared" ca="1" si="435"/>
        <v>0</v>
      </c>
      <c r="B1547" s="170">
        <f t="shared" ca="1" si="501"/>
        <v>5.5</v>
      </c>
      <c r="C1547">
        <f t="shared" ca="1" si="500"/>
        <v>14.5</v>
      </c>
      <c r="D1547">
        <f t="shared" ca="1" si="499"/>
        <v>11.5</v>
      </c>
      <c r="E1547">
        <f t="shared" ca="1" si="436"/>
        <v>5</v>
      </c>
      <c r="F1547">
        <f t="shared" ca="1" si="437"/>
        <v>-4.5</v>
      </c>
      <c r="G1547" t="e">
        <f t="shared" ca="1" si="438"/>
        <v>#VALUE!</v>
      </c>
      <c r="H1547" t="e">
        <f t="shared" ca="1" si="439"/>
        <v>#VALUE!</v>
      </c>
      <c r="I1547" t="e">
        <f t="shared" ca="1" si="440"/>
        <v>#VALUE!</v>
      </c>
      <c r="J1547" t="e">
        <f t="shared" ca="1" si="441"/>
        <v>#VALUE!</v>
      </c>
      <c r="K1547" t="e">
        <f t="shared" ca="1" si="442"/>
        <v>#VALUE!</v>
      </c>
      <c r="L1547" t="e">
        <f t="shared" ca="1" si="443"/>
        <v>#VALUE!</v>
      </c>
      <c r="M1547" t="e">
        <f t="shared" ca="1" si="444"/>
        <v>#VALUE!</v>
      </c>
      <c r="N1547" t="e">
        <f t="shared" ca="1" si="445"/>
        <v>#VALUE!</v>
      </c>
      <c r="O1547">
        <f t="shared" ca="1" si="446"/>
        <v>0.5</v>
      </c>
      <c r="P1547" t="e">
        <f t="shared" ca="1" si="447"/>
        <v>#VALUE!</v>
      </c>
      <c r="Q1547" t="e">
        <f t="shared" ca="1" si="448"/>
        <v>#VALUE!</v>
      </c>
      <c r="R1547" t="e">
        <f t="shared" ca="1" si="449"/>
        <v>#VALUE!</v>
      </c>
      <c r="U1547" s="485" t="str">
        <f t="shared" ca="1" si="502"/>
        <v/>
      </c>
      <c r="V1547" s="486" t="str">
        <f t="shared" ca="1" si="503"/>
        <v/>
      </c>
      <c r="W1547" s="486" t="str">
        <f t="shared" ca="1" si="504"/>
        <v/>
      </c>
      <c r="X1547" s="486" t="str">
        <f t="shared" ca="1" si="505"/>
        <v/>
      </c>
      <c r="Y1547" s="485" t="str">
        <f t="shared" ca="1" si="506"/>
        <v/>
      </c>
      <c r="Z1547" s="486" t="str">
        <f t="shared" ca="1" si="507"/>
        <v/>
      </c>
      <c r="AA1547" s="486" t="str">
        <f t="shared" ca="1" si="508"/>
        <v/>
      </c>
      <c r="AB1547" s="486" t="str">
        <f t="shared" ca="1" si="509"/>
        <v/>
      </c>
      <c r="AC1547" s="485" t="str">
        <f t="shared" ca="1" si="510"/>
        <v/>
      </c>
      <c r="AD1547" s="486" t="str">
        <f t="shared" ca="1" si="511"/>
        <v/>
      </c>
      <c r="AE1547" s="486" t="str">
        <f t="shared" ca="1" si="512"/>
        <v/>
      </c>
      <c r="AF1547" s="486" t="str">
        <f t="shared" ca="1" si="513"/>
        <v/>
      </c>
      <c r="AG1547" s="485" t="str">
        <f t="shared" ca="1" si="514"/>
        <v/>
      </c>
      <c r="AH1547" s="486" t="str">
        <f t="shared" ca="1" si="515"/>
        <v/>
      </c>
      <c r="AI1547" s="486" t="str">
        <f t="shared" ca="1" si="516"/>
        <v/>
      </c>
      <c r="AJ1547" s="486" t="str">
        <f t="shared" ca="1" si="517"/>
        <v/>
      </c>
      <c r="AK1547" s="474" t="str">
        <f t="shared" ca="1" si="451"/>
        <v/>
      </c>
      <c r="AL1547" s="480" t="str">
        <f t="shared" ca="1" si="452"/>
        <v>-</v>
      </c>
      <c r="AM1547" s="476" t="str">
        <f t="shared" ca="1" si="453"/>
        <v/>
      </c>
      <c r="AN1547" s="475" t="str">
        <f t="shared" ca="1" si="454"/>
        <v>-</v>
      </c>
      <c r="AO1547" s="460" t="str">
        <f t="shared" ca="1" si="455"/>
        <v/>
      </c>
      <c r="AP1547" s="480" t="str">
        <f t="shared" ca="1" si="456"/>
        <v>-</v>
      </c>
      <c r="AQ1547" s="477" t="str">
        <f t="shared" ca="1" si="457"/>
        <v/>
      </c>
      <c r="AR1547" s="480" t="str">
        <f t="shared" ca="1" si="458"/>
        <v>-</v>
      </c>
      <c r="AS1547" s="34"/>
      <c r="AT1547" s="490" t="str">
        <f t="shared" ca="1" si="518"/>
        <v/>
      </c>
      <c r="AU1547" s="491" t="str">
        <f t="shared" ca="1" si="519"/>
        <v/>
      </c>
      <c r="AV1547" s="491" t="str">
        <f t="shared" ca="1" si="520"/>
        <v/>
      </c>
      <c r="AW1547" s="492" t="str">
        <f t="shared" ca="1" si="521"/>
        <v/>
      </c>
      <c r="AY1547" s="474" t="str">
        <f t="shared" ca="1" si="459"/>
        <v/>
      </c>
      <c r="AZ1547" s="480" t="str">
        <f t="shared" ca="1" si="460"/>
        <v>-</v>
      </c>
      <c r="BA1547" s="476" t="str">
        <f t="shared" ca="1" si="461"/>
        <v/>
      </c>
      <c r="BB1547" s="480" t="str">
        <f t="shared" ca="1" si="462"/>
        <v>-</v>
      </c>
      <c r="BC1547" s="460" t="str">
        <f t="shared" ca="1" si="463"/>
        <v/>
      </c>
      <c r="BD1547" s="480" t="str">
        <f t="shared" ca="1" si="464"/>
        <v>-</v>
      </c>
      <c r="BE1547" s="477" t="str">
        <f t="shared" ca="1" si="465"/>
        <v/>
      </c>
      <c r="BF1547" s="480" t="str">
        <f t="shared" ca="1" si="466"/>
        <v>-</v>
      </c>
      <c r="BG1547" s="488" t="str">
        <f t="shared" ca="1" si="522"/>
        <v/>
      </c>
      <c r="BH1547" s="483" t="str">
        <f t="shared" ca="1" si="523"/>
        <v/>
      </c>
      <c r="BI1547" s="483" t="str">
        <f t="shared" ca="1" si="524"/>
        <v/>
      </c>
      <c r="BJ1547" s="489" t="str">
        <f t="shared" ca="1" si="525"/>
        <v/>
      </c>
      <c r="BL1547" t="str">
        <f t="shared" ca="1" si="467"/>
        <v/>
      </c>
      <c r="BM1547" t="str">
        <f t="shared" ca="1" si="468"/>
        <v/>
      </c>
      <c r="BN1547" t="str">
        <f t="shared" ca="1" si="469"/>
        <v/>
      </c>
      <c r="BO1547" t="str">
        <f t="shared" ca="1" si="470"/>
        <v/>
      </c>
      <c r="BP1547" t="str">
        <f t="shared" ca="1" si="471"/>
        <v/>
      </c>
      <c r="BQ1547" t="str">
        <f t="shared" ca="1" si="472"/>
        <v/>
      </c>
      <c r="BR1547" t="str">
        <f t="shared" ca="1" si="473"/>
        <v/>
      </c>
      <c r="BS1547" t="str">
        <f t="shared" ca="1" si="474"/>
        <v/>
      </c>
      <c r="BT1547" t="str">
        <f t="shared" ca="1" si="475"/>
        <v/>
      </c>
      <c r="BU1547" t="str">
        <f t="shared" ca="1" si="476"/>
        <v/>
      </c>
      <c r="BV1547" t="str">
        <f t="shared" ca="1" si="477"/>
        <v/>
      </c>
      <c r="BW1547" t="str">
        <f t="shared" ca="1" si="478"/>
        <v/>
      </c>
      <c r="BX1547" t="str">
        <f t="shared" ca="1" si="479"/>
        <v/>
      </c>
      <c r="BY1547" t="str">
        <f t="shared" ca="1" si="480"/>
        <v/>
      </c>
      <c r="BZ1547" t="str">
        <f t="shared" ca="1" si="481"/>
        <v/>
      </c>
      <c r="CA1547" t="str">
        <f t="shared" ca="1" si="482"/>
        <v/>
      </c>
      <c r="CC1547" s="482" t="str">
        <f t="shared" ca="1" si="483"/>
        <v/>
      </c>
      <c r="CD1547" s="483" t="str">
        <f t="shared" ca="1" si="484"/>
        <v/>
      </c>
      <c r="CE1547" s="483" t="str">
        <f t="shared" ca="1" si="485"/>
        <v/>
      </c>
      <c r="CF1547" s="483" t="str">
        <f t="shared" ca="1" si="486"/>
        <v/>
      </c>
      <c r="CG1547" s="482" t="str">
        <f t="shared" ca="1" si="487"/>
        <v/>
      </c>
      <c r="CH1547" s="483" t="str">
        <f t="shared" ca="1" si="488"/>
        <v/>
      </c>
      <c r="CI1547" s="483" t="str">
        <f t="shared" ca="1" si="489"/>
        <v/>
      </c>
      <c r="CJ1547" s="484" t="str">
        <f t="shared" ca="1" si="490"/>
        <v/>
      </c>
      <c r="CK1547" s="483" t="str">
        <f t="shared" ca="1" si="491"/>
        <v/>
      </c>
      <c r="CL1547" s="483" t="str">
        <f t="shared" ca="1" si="492"/>
        <v/>
      </c>
      <c r="CM1547" s="483" t="str">
        <f t="shared" ca="1" si="493"/>
        <v/>
      </c>
      <c r="CN1547" s="483" t="str">
        <f t="shared" ca="1" si="494"/>
        <v/>
      </c>
      <c r="CO1547" s="482" t="str">
        <f t="shared" ca="1" si="495"/>
        <v/>
      </c>
      <c r="CP1547" s="483" t="str">
        <f t="shared" ca="1" si="496"/>
        <v/>
      </c>
      <c r="CQ1547" s="483" t="str">
        <f t="shared" ca="1" si="497"/>
        <v/>
      </c>
      <c r="CR1547" s="484" t="str">
        <f t="shared" ca="1" si="498"/>
        <v/>
      </c>
      <c r="CV1547" s="454" t="str">
        <f t="array" ref="CV1547">IFERROR(INDEX(Montageplatten[Höhe],LARGE((Montageplatten[konf Rahmenbed]=$L$70)*(ROW(Montageplatten[konf Rahmenbed])-1),COUNTIF(Montageplatten[konf Rahmenbed],$L$70)+1-ROW(A44))),"")</f>
        <v/>
      </c>
      <c r="CW1547" t="str">
        <f t="shared" si="409"/>
        <v/>
      </c>
      <c r="CX1547" s="1057"/>
    </row>
    <row r="1548" spans="1:102" hidden="1" outlineLevel="1" x14ac:dyDescent="0.25">
      <c r="A1548">
        <f t="shared" ca="1" si="435"/>
        <v>1</v>
      </c>
      <c r="B1548" s="170">
        <f t="shared" ca="1" si="501"/>
        <v>5</v>
      </c>
      <c r="C1548">
        <f t="shared" ca="1" si="500"/>
        <v>15</v>
      </c>
      <c r="D1548">
        <f t="shared" ca="1" si="499"/>
        <v>12</v>
      </c>
      <c r="E1548">
        <f t="shared" ca="1" si="436"/>
        <v>5.5</v>
      </c>
      <c r="F1548">
        <f t="shared" ca="1" si="437"/>
        <v>-4</v>
      </c>
      <c r="G1548" t="e">
        <f t="shared" ca="1" si="438"/>
        <v>#VALUE!</v>
      </c>
      <c r="H1548" t="e">
        <f t="shared" ca="1" si="439"/>
        <v>#VALUE!</v>
      </c>
      <c r="I1548" t="e">
        <f t="shared" ca="1" si="440"/>
        <v>#VALUE!</v>
      </c>
      <c r="J1548" t="e">
        <f t="shared" ca="1" si="441"/>
        <v>#VALUE!</v>
      </c>
      <c r="K1548" t="e">
        <f t="shared" ca="1" si="442"/>
        <v>#VALUE!</v>
      </c>
      <c r="L1548" t="e">
        <f t="shared" ca="1" si="443"/>
        <v>#VALUE!</v>
      </c>
      <c r="M1548" t="e">
        <f t="shared" ca="1" si="444"/>
        <v>#VALUE!</v>
      </c>
      <c r="N1548" t="e">
        <f t="shared" ca="1" si="445"/>
        <v>#VALUE!</v>
      </c>
      <c r="O1548">
        <f t="shared" ca="1" si="446"/>
        <v>1</v>
      </c>
      <c r="P1548" t="e">
        <f t="shared" ca="1" si="447"/>
        <v>#VALUE!</v>
      </c>
      <c r="Q1548" t="e">
        <f t="shared" ca="1" si="448"/>
        <v>#VALUE!</v>
      </c>
      <c r="R1548" t="e">
        <f t="shared" ca="1" si="449"/>
        <v>#VALUE!</v>
      </c>
      <c r="U1548" s="485">
        <f t="shared" ca="1" si="502"/>
        <v>1</v>
      </c>
      <c r="V1548" s="486">
        <f t="shared" ca="1" si="503"/>
        <v>1</v>
      </c>
      <c r="W1548" s="486" t="str">
        <f t="shared" ca="1" si="504"/>
        <v/>
      </c>
      <c r="X1548" s="486" t="str">
        <f t="shared" ca="1" si="505"/>
        <v/>
      </c>
      <c r="Y1548" s="485" t="str">
        <f t="shared" ca="1" si="506"/>
        <v/>
      </c>
      <c r="Z1548" s="486" t="str">
        <f t="shared" ca="1" si="507"/>
        <v/>
      </c>
      <c r="AA1548" s="486" t="str">
        <f t="shared" ca="1" si="508"/>
        <v/>
      </c>
      <c r="AB1548" s="486" t="str">
        <f t="shared" ca="1" si="509"/>
        <v/>
      </c>
      <c r="AC1548" s="485" t="str">
        <f t="shared" ca="1" si="510"/>
        <v/>
      </c>
      <c r="AD1548" s="486" t="str">
        <f t="shared" ca="1" si="511"/>
        <v/>
      </c>
      <c r="AE1548" s="486" t="str">
        <f t="shared" ca="1" si="512"/>
        <v/>
      </c>
      <c r="AF1548" s="486" t="str">
        <f t="shared" ca="1" si="513"/>
        <v/>
      </c>
      <c r="AG1548" s="485" t="str">
        <f t="shared" ca="1" si="514"/>
        <v/>
      </c>
      <c r="AH1548" s="486" t="str">
        <f t="shared" ca="1" si="515"/>
        <v/>
      </c>
      <c r="AI1548" s="486" t="str">
        <f t="shared" ca="1" si="516"/>
        <v/>
      </c>
      <c r="AJ1548" s="486" t="str">
        <f t="shared" ca="1" si="517"/>
        <v/>
      </c>
      <c r="AK1548" s="474" t="str">
        <f t="shared" ca="1" si="451"/>
        <v/>
      </c>
      <c r="AL1548" s="480" t="str">
        <f t="shared" ca="1" si="452"/>
        <v>-</v>
      </c>
      <c r="AM1548" s="476" t="str">
        <f t="shared" ca="1" si="453"/>
        <v/>
      </c>
      <c r="AN1548" s="475" t="str">
        <f t="shared" ca="1" si="454"/>
        <v>-</v>
      </c>
      <c r="AO1548" s="460" t="str">
        <f t="shared" ca="1" si="455"/>
        <v/>
      </c>
      <c r="AP1548" s="480" t="str">
        <f t="shared" ca="1" si="456"/>
        <v>-</v>
      </c>
      <c r="AQ1548" s="477" t="str">
        <f t="shared" ca="1" si="457"/>
        <v/>
      </c>
      <c r="AR1548" s="480" t="str">
        <f t="shared" ca="1" si="458"/>
        <v>-</v>
      </c>
      <c r="AS1548" s="34"/>
      <c r="AT1548" s="490" t="str">
        <f t="shared" ca="1" si="518"/>
        <v/>
      </c>
      <c r="AU1548" s="491" t="str">
        <f t="shared" ca="1" si="519"/>
        <v/>
      </c>
      <c r="AV1548" s="491" t="str">
        <f t="shared" ca="1" si="520"/>
        <v/>
      </c>
      <c r="AW1548" s="492" t="str">
        <f t="shared" ca="1" si="521"/>
        <v/>
      </c>
      <c r="AY1548" s="474" t="str">
        <f t="shared" ca="1" si="459"/>
        <v/>
      </c>
      <c r="AZ1548" s="480" t="str">
        <f t="shared" ca="1" si="460"/>
        <v>-</v>
      </c>
      <c r="BA1548" s="476" t="str">
        <f t="shared" ca="1" si="461"/>
        <v/>
      </c>
      <c r="BB1548" s="480" t="str">
        <f t="shared" ca="1" si="462"/>
        <v>-</v>
      </c>
      <c r="BC1548" s="460" t="str">
        <f t="shared" ca="1" si="463"/>
        <v/>
      </c>
      <c r="BD1548" s="480" t="str">
        <f t="shared" ca="1" si="464"/>
        <v>-</v>
      </c>
      <c r="BE1548" s="477" t="str">
        <f t="shared" ca="1" si="465"/>
        <v/>
      </c>
      <c r="BF1548" s="480" t="str">
        <f t="shared" ca="1" si="466"/>
        <v>-</v>
      </c>
      <c r="BG1548" s="488" t="str">
        <f t="shared" ca="1" si="522"/>
        <v/>
      </c>
      <c r="BH1548" s="483" t="str">
        <f t="shared" ca="1" si="523"/>
        <v/>
      </c>
      <c r="BI1548" s="483" t="str">
        <f t="shared" ca="1" si="524"/>
        <v/>
      </c>
      <c r="BJ1548" s="489" t="str">
        <f t="shared" ca="1" si="525"/>
        <v/>
      </c>
      <c r="BL1548" t="str">
        <f t="shared" ca="1" si="467"/>
        <v/>
      </c>
      <c r="BM1548" t="str">
        <f t="shared" ca="1" si="468"/>
        <v/>
      </c>
      <c r="BN1548" t="str">
        <f t="shared" ca="1" si="469"/>
        <v/>
      </c>
      <c r="BO1548" t="str">
        <f t="shared" ca="1" si="470"/>
        <v/>
      </c>
      <c r="BP1548" t="str">
        <f t="shared" ca="1" si="471"/>
        <v/>
      </c>
      <c r="BQ1548" t="str">
        <f t="shared" ca="1" si="472"/>
        <v/>
      </c>
      <c r="BR1548" t="str">
        <f t="shared" ca="1" si="473"/>
        <v/>
      </c>
      <c r="BS1548" t="str">
        <f t="shared" ca="1" si="474"/>
        <v/>
      </c>
      <c r="BT1548" t="str">
        <f t="shared" ca="1" si="475"/>
        <v/>
      </c>
      <c r="BU1548" t="str">
        <f t="shared" ca="1" si="476"/>
        <v/>
      </c>
      <c r="BV1548" t="str">
        <f t="shared" ca="1" si="477"/>
        <v/>
      </c>
      <c r="BW1548" t="str">
        <f t="shared" ca="1" si="478"/>
        <v/>
      </c>
      <c r="BX1548" t="str">
        <f t="shared" ca="1" si="479"/>
        <v/>
      </c>
      <c r="BY1548" t="str">
        <f t="shared" ca="1" si="480"/>
        <v/>
      </c>
      <c r="BZ1548" t="str">
        <f t="shared" ca="1" si="481"/>
        <v/>
      </c>
      <c r="CA1548" t="str">
        <f t="shared" ca="1" si="482"/>
        <v/>
      </c>
      <c r="CC1548" s="482" t="str">
        <f t="shared" ca="1" si="483"/>
        <v/>
      </c>
      <c r="CD1548" s="483" t="str">
        <f t="shared" ca="1" si="484"/>
        <v/>
      </c>
      <c r="CE1548" s="483" t="str">
        <f t="shared" ca="1" si="485"/>
        <v/>
      </c>
      <c r="CF1548" s="483" t="str">
        <f t="shared" ca="1" si="486"/>
        <v/>
      </c>
      <c r="CG1548" s="482" t="str">
        <f t="shared" ca="1" si="487"/>
        <v/>
      </c>
      <c r="CH1548" s="483" t="str">
        <f t="shared" ca="1" si="488"/>
        <v/>
      </c>
      <c r="CI1548" s="483" t="str">
        <f t="shared" ca="1" si="489"/>
        <v/>
      </c>
      <c r="CJ1548" s="484" t="str">
        <f t="shared" ca="1" si="490"/>
        <v/>
      </c>
      <c r="CK1548" s="483" t="str">
        <f t="shared" ca="1" si="491"/>
        <v/>
      </c>
      <c r="CL1548" s="483" t="str">
        <f t="shared" ca="1" si="492"/>
        <v/>
      </c>
      <c r="CM1548" s="483" t="str">
        <f t="shared" ca="1" si="493"/>
        <v/>
      </c>
      <c r="CN1548" s="483" t="str">
        <f t="shared" ca="1" si="494"/>
        <v/>
      </c>
      <c r="CO1548" s="482" t="str">
        <f t="shared" ca="1" si="495"/>
        <v/>
      </c>
      <c r="CP1548" s="483" t="str">
        <f t="shared" ca="1" si="496"/>
        <v/>
      </c>
      <c r="CQ1548" s="483" t="str">
        <f t="shared" ca="1" si="497"/>
        <v/>
      </c>
      <c r="CR1548" s="484" t="str">
        <f t="shared" ca="1" si="498"/>
        <v/>
      </c>
      <c r="CV1548" s="454" t="str">
        <f t="array" ref="CV1548">IFERROR(INDEX(Montageplatten[Höhe],LARGE((Montageplatten[konf Rahmenbed]=$L$70)*(ROW(Montageplatten[konf Rahmenbed])-1),COUNTIF(Montageplatten[konf Rahmenbed],$L$70)+1-ROW(A45))),"")</f>
        <v/>
      </c>
      <c r="CW1548" t="str">
        <f t="shared" si="409"/>
        <v/>
      </c>
      <c r="CX1548" s="1057"/>
    </row>
    <row r="1549" spans="1:102" hidden="1" outlineLevel="1" x14ac:dyDescent="0.25">
      <c r="A1549">
        <f t="shared" ca="1" si="435"/>
        <v>0</v>
      </c>
      <c r="B1549" s="170" t="str">
        <f t="shared" ca="1" si="501"/>
        <v>---------</v>
      </c>
      <c r="C1549" t="e">
        <f t="shared" ca="1" si="500"/>
        <v>#VALUE!</v>
      </c>
      <c r="D1549" t="e">
        <f t="shared" ca="1" si="499"/>
        <v>#VALUE!</v>
      </c>
      <c r="E1549" t="e">
        <f t="shared" ca="1" si="436"/>
        <v>#VALUE!</v>
      </c>
      <c r="F1549" t="e">
        <f t="shared" ca="1" si="437"/>
        <v>#VALUE!</v>
      </c>
      <c r="G1549" t="e">
        <f t="shared" ca="1" si="438"/>
        <v>#VALUE!</v>
      </c>
      <c r="H1549" t="e">
        <f t="shared" ca="1" si="439"/>
        <v>#VALUE!</v>
      </c>
      <c r="I1549" t="e">
        <f t="shared" ca="1" si="440"/>
        <v>#VALUE!</v>
      </c>
      <c r="J1549" t="e">
        <f t="shared" ca="1" si="441"/>
        <v>#VALUE!</v>
      </c>
      <c r="K1549" t="e">
        <f t="shared" ca="1" si="442"/>
        <v>#VALUE!</v>
      </c>
      <c r="L1549" t="e">
        <f t="shared" ca="1" si="443"/>
        <v>#VALUE!</v>
      </c>
      <c r="M1549" t="e">
        <f t="shared" ca="1" si="444"/>
        <v>#VALUE!</v>
      </c>
      <c r="N1549" t="e">
        <f t="shared" ca="1" si="445"/>
        <v>#VALUE!</v>
      </c>
      <c r="O1549" t="e">
        <f t="shared" ca="1" si="446"/>
        <v>#VALUE!</v>
      </c>
      <c r="P1549" t="e">
        <f t="shared" ca="1" si="447"/>
        <v>#VALUE!</v>
      </c>
      <c r="Q1549" t="e">
        <f t="shared" ca="1" si="448"/>
        <v>#VALUE!</v>
      </c>
      <c r="R1549" t="e">
        <f t="shared" ca="1" si="449"/>
        <v>#VALUE!</v>
      </c>
      <c r="U1549" s="485" t="str">
        <f t="shared" ca="1" si="502"/>
        <v/>
      </c>
      <c r="V1549" s="486" t="str">
        <f t="shared" ca="1" si="503"/>
        <v/>
      </c>
      <c r="W1549" s="486" t="str">
        <f t="shared" ca="1" si="504"/>
        <v/>
      </c>
      <c r="X1549" s="486" t="str">
        <f t="shared" ca="1" si="505"/>
        <v/>
      </c>
      <c r="Y1549" s="485" t="str">
        <f t="shared" ca="1" si="506"/>
        <v/>
      </c>
      <c r="Z1549" s="486" t="str">
        <f t="shared" ca="1" si="507"/>
        <v/>
      </c>
      <c r="AA1549" s="486" t="str">
        <f t="shared" ca="1" si="508"/>
        <v/>
      </c>
      <c r="AB1549" s="486" t="str">
        <f t="shared" ca="1" si="509"/>
        <v/>
      </c>
      <c r="AC1549" s="485" t="str">
        <f t="shared" ca="1" si="510"/>
        <v/>
      </c>
      <c r="AD1549" s="486" t="str">
        <f t="shared" ca="1" si="511"/>
        <v/>
      </c>
      <c r="AE1549" s="486" t="str">
        <f t="shared" ca="1" si="512"/>
        <v/>
      </c>
      <c r="AF1549" s="486" t="str">
        <f t="shared" ca="1" si="513"/>
        <v/>
      </c>
      <c r="AG1549" s="485" t="str">
        <f t="shared" ca="1" si="514"/>
        <v/>
      </c>
      <c r="AH1549" s="486" t="str">
        <f t="shared" ca="1" si="515"/>
        <v/>
      </c>
      <c r="AI1549" s="486" t="str">
        <f t="shared" ca="1" si="516"/>
        <v/>
      </c>
      <c r="AJ1549" s="486" t="str">
        <f t="shared" ca="1" si="517"/>
        <v/>
      </c>
      <c r="AK1549" s="474" t="str">
        <f t="shared" ca="1" si="451"/>
        <v/>
      </c>
      <c r="AL1549" s="480" t="str">
        <f t="shared" ca="1" si="452"/>
        <v>-</v>
      </c>
      <c r="AM1549" s="476" t="str">
        <f t="shared" ca="1" si="453"/>
        <v/>
      </c>
      <c r="AN1549" s="475" t="str">
        <f t="shared" ca="1" si="454"/>
        <v>-</v>
      </c>
      <c r="AO1549" s="460" t="str">
        <f t="shared" ca="1" si="455"/>
        <v/>
      </c>
      <c r="AP1549" s="480" t="str">
        <f t="shared" ca="1" si="456"/>
        <v>-</v>
      </c>
      <c r="AQ1549" s="477" t="str">
        <f t="shared" ca="1" si="457"/>
        <v/>
      </c>
      <c r="AR1549" s="480" t="str">
        <f t="shared" ca="1" si="458"/>
        <v>-</v>
      </c>
      <c r="AS1549" s="34"/>
      <c r="AT1549" s="490" t="str">
        <f t="shared" ca="1" si="518"/>
        <v/>
      </c>
      <c r="AU1549" s="491" t="str">
        <f t="shared" ca="1" si="519"/>
        <v/>
      </c>
      <c r="AV1549" s="491" t="str">
        <f t="shared" ca="1" si="520"/>
        <v/>
      </c>
      <c r="AW1549" s="492" t="str">
        <f t="shared" ca="1" si="521"/>
        <v/>
      </c>
      <c r="AY1549" s="474" t="str">
        <f t="shared" ca="1" si="459"/>
        <v/>
      </c>
      <c r="AZ1549" s="480" t="str">
        <f t="shared" ca="1" si="460"/>
        <v>-</v>
      </c>
      <c r="BA1549" s="476" t="str">
        <f t="shared" ca="1" si="461"/>
        <v/>
      </c>
      <c r="BB1549" s="480" t="str">
        <f t="shared" ca="1" si="462"/>
        <v>-</v>
      </c>
      <c r="BC1549" s="460" t="str">
        <f t="shared" ca="1" si="463"/>
        <v/>
      </c>
      <c r="BD1549" s="480" t="str">
        <f t="shared" ca="1" si="464"/>
        <v>-</v>
      </c>
      <c r="BE1549" s="477" t="str">
        <f t="shared" ca="1" si="465"/>
        <v/>
      </c>
      <c r="BF1549" s="480" t="str">
        <f t="shared" ca="1" si="466"/>
        <v>-</v>
      </c>
      <c r="BG1549" s="488" t="str">
        <f t="shared" ca="1" si="522"/>
        <v/>
      </c>
      <c r="BH1549" s="483" t="str">
        <f t="shared" ca="1" si="523"/>
        <v/>
      </c>
      <c r="BI1549" s="483" t="str">
        <f t="shared" ca="1" si="524"/>
        <v/>
      </c>
      <c r="BJ1549" s="489" t="str">
        <f t="shared" ca="1" si="525"/>
        <v/>
      </c>
      <c r="BL1549" t="str">
        <f t="shared" ca="1" si="467"/>
        <v/>
      </c>
      <c r="BM1549" t="str">
        <f t="shared" ca="1" si="468"/>
        <v/>
      </c>
      <c r="BN1549" t="str">
        <f t="shared" ca="1" si="469"/>
        <v/>
      </c>
      <c r="BO1549" t="str">
        <f t="shared" ca="1" si="470"/>
        <v/>
      </c>
      <c r="BP1549" t="str">
        <f t="shared" ca="1" si="471"/>
        <v/>
      </c>
      <c r="BQ1549" t="str">
        <f t="shared" ca="1" si="472"/>
        <v/>
      </c>
      <c r="BR1549" t="str">
        <f t="shared" ca="1" si="473"/>
        <v/>
      </c>
      <c r="BS1549" t="str">
        <f t="shared" ca="1" si="474"/>
        <v/>
      </c>
      <c r="BT1549" t="str">
        <f t="shared" ca="1" si="475"/>
        <v/>
      </c>
      <c r="BU1549" t="str">
        <f t="shared" ca="1" si="476"/>
        <v/>
      </c>
      <c r="BV1549" t="str">
        <f t="shared" ca="1" si="477"/>
        <v/>
      </c>
      <c r="BW1549" t="str">
        <f t="shared" ca="1" si="478"/>
        <v/>
      </c>
      <c r="BX1549" t="str">
        <f t="shared" ca="1" si="479"/>
        <v/>
      </c>
      <c r="BY1549" t="str">
        <f t="shared" ca="1" si="480"/>
        <v/>
      </c>
      <c r="BZ1549" t="str">
        <f t="shared" ca="1" si="481"/>
        <v/>
      </c>
      <c r="CA1549" t="str">
        <f t="shared" ca="1" si="482"/>
        <v/>
      </c>
      <c r="CC1549" s="482" t="str">
        <f t="shared" ca="1" si="483"/>
        <v/>
      </c>
      <c r="CD1549" s="483" t="str">
        <f t="shared" ca="1" si="484"/>
        <v/>
      </c>
      <c r="CE1549" s="483" t="str">
        <f t="shared" ca="1" si="485"/>
        <v/>
      </c>
      <c r="CF1549" s="483" t="str">
        <f t="shared" ca="1" si="486"/>
        <v/>
      </c>
      <c r="CG1549" s="482" t="str">
        <f t="shared" ca="1" si="487"/>
        <v/>
      </c>
      <c r="CH1549" s="483" t="str">
        <f t="shared" ca="1" si="488"/>
        <v/>
      </c>
      <c r="CI1549" s="483" t="str">
        <f t="shared" ca="1" si="489"/>
        <v/>
      </c>
      <c r="CJ1549" s="484" t="str">
        <f t="shared" ca="1" si="490"/>
        <v/>
      </c>
      <c r="CK1549" s="483" t="str">
        <f t="shared" ca="1" si="491"/>
        <v/>
      </c>
      <c r="CL1549" s="483" t="str">
        <f t="shared" ca="1" si="492"/>
        <v/>
      </c>
      <c r="CM1549" s="483" t="str">
        <f t="shared" ca="1" si="493"/>
        <v/>
      </c>
      <c r="CN1549" s="483" t="str">
        <f t="shared" ca="1" si="494"/>
        <v/>
      </c>
      <c r="CO1549" s="482" t="str">
        <f t="shared" ca="1" si="495"/>
        <v/>
      </c>
      <c r="CP1549" s="483" t="str">
        <f t="shared" ca="1" si="496"/>
        <v/>
      </c>
      <c r="CQ1549" s="483" t="str">
        <f t="shared" ca="1" si="497"/>
        <v/>
      </c>
      <c r="CR1549" s="484" t="str">
        <f t="shared" ca="1" si="498"/>
        <v/>
      </c>
      <c r="CV1549" s="454" t="str">
        <f t="array" ref="CV1549">IFERROR(INDEX(Montageplatten[Höhe],LARGE((Montageplatten[konf Rahmenbed]=$L$70)*(ROW(Montageplatten[konf Rahmenbed])-1),COUNTIF(Montageplatten[konf Rahmenbed],$L$70)+1-ROW(A46))),"")</f>
        <v/>
      </c>
      <c r="CW1549" t="str">
        <f t="shared" si="409"/>
        <v/>
      </c>
      <c r="CX1549" s="1057"/>
    </row>
    <row r="1550" spans="1:102" hidden="1" outlineLevel="1" x14ac:dyDescent="0.25">
      <c r="A1550">
        <f t="shared" ca="1" si="435"/>
        <v>1</v>
      </c>
      <c r="B1550" s="170">
        <f t="shared" ca="1" si="501"/>
        <v>4</v>
      </c>
      <c r="C1550">
        <f t="shared" ca="1" si="500"/>
        <v>16</v>
      </c>
      <c r="D1550">
        <f t="shared" ca="1" si="499"/>
        <v>13</v>
      </c>
      <c r="E1550">
        <f t="shared" ca="1" si="436"/>
        <v>6.5</v>
      </c>
      <c r="F1550">
        <f t="shared" ca="1" si="437"/>
        <v>-3</v>
      </c>
      <c r="G1550" t="e">
        <f t="shared" ca="1" si="438"/>
        <v>#VALUE!</v>
      </c>
      <c r="H1550" t="e">
        <f t="shared" ca="1" si="439"/>
        <v>#VALUE!</v>
      </c>
      <c r="I1550" t="e">
        <f t="shared" ca="1" si="440"/>
        <v>#VALUE!</v>
      </c>
      <c r="J1550" t="e">
        <f t="shared" ca="1" si="441"/>
        <v>#VALUE!</v>
      </c>
      <c r="K1550" t="e">
        <f t="shared" ca="1" si="442"/>
        <v>#VALUE!</v>
      </c>
      <c r="L1550" t="e">
        <f t="shared" ca="1" si="443"/>
        <v>#VALUE!</v>
      </c>
      <c r="M1550" t="e">
        <f t="shared" ca="1" si="444"/>
        <v>#VALUE!</v>
      </c>
      <c r="N1550" t="e">
        <f t="shared" ca="1" si="445"/>
        <v>#VALUE!</v>
      </c>
      <c r="O1550">
        <f t="shared" ca="1" si="446"/>
        <v>2</v>
      </c>
      <c r="P1550" t="e">
        <f t="shared" ca="1" si="447"/>
        <v>#VALUE!</v>
      </c>
      <c r="Q1550" t="e">
        <f t="shared" ca="1" si="448"/>
        <v>#VALUE!</v>
      </c>
      <c r="R1550" t="e">
        <f t="shared" ca="1" si="449"/>
        <v>#VALUE!</v>
      </c>
      <c r="U1550" s="485" t="str">
        <f t="shared" ca="1" si="502"/>
        <v/>
      </c>
      <c r="V1550" s="486" t="str">
        <f t="shared" ca="1" si="503"/>
        <v/>
      </c>
      <c r="W1550" s="486" t="str">
        <f t="shared" ca="1" si="504"/>
        <v/>
      </c>
      <c r="X1550" s="486" t="str">
        <f t="shared" ca="1" si="505"/>
        <v/>
      </c>
      <c r="Y1550" s="485" t="str">
        <f t="shared" ca="1" si="506"/>
        <v/>
      </c>
      <c r="Z1550" s="486" t="str">
        <f t="shared" ca="1" si="507"/>
        <v/>
      </c>
      <c r="AA1550" s="486" t="str">
        <f t="shared" ca="1" si="508"/>
        <v/>
      </c>
      <c r="AB1550" s="486" t="str">
        <f t="shared" ca="1" si="509"/>
        <v/>
      </c>
      <c r="AC1550" s="485" t="str">
        <f t="shared" ca="1" si="510"/>
        <v/>
      </c>
      <c r="AD1550" s="486" t="str">
        <f t="shared" ca="1" si="511"/>
        <v/>
      </c>
      <c r="AE1550" s="486" t="str">
        <f t="shared" ca="1" si="512"/>
        <v/>
      </c>
      <c r="AF1550" s="486" t="str">
        <f t="shared" ca="1" si="513"/>
        <v/>
      </c>
      <c r="AG1550" s="485">
        <f t="shared" ca="1" si="514"/>
        <v>1</v>
      </c>
      <c r="AH1550" s="486" t="str">
        <f t="shared" ca="1" si="515"/>
        <v/>
      </c>
      <c r="AI1550" s="486" t="str">
        <f t="shared" ca="1" si="516"/>
        <v/>
      </c>
      <c r="AJ1550" s="486" t="str">
        <f t="shared" ca="1" si="517"/>
        <v/>
      </c>
      <c r="AK1550" s="474" t="str">
        <f t="shared" ca="1" si="451"/>
        <v/>
      </c>
      <c r="AL1550" s="480" t="str">
        <f t="shared" ca="1" si="452"/>
        <v>-</v>
      </c>
      <c r="AM1550" s="476" t="str">
        <f t="shared" ca="1" si="453"/>
        <v/>
      </c>
      <c r="AN1550" s="475" t="str">
        <f t="shared" ca="1" si="454"/>
        <v>-</v>
      </c>
      <c r="AO1550" s="460" t="str">
        <f t="shared" ca="1" si="455"/>
        <v/>
      </c>
      <c r="AP1550" s="480" t="str">
        <f t="shared" ca="1" si="456"/>
        <v>-</v>
      </c>
      <c r="AQ1550" s="477" t="str">
        <f t="shared" ca="1" si="457"/>
        <v/>
      </c>
      <c r="AR1550" s="480" t="str">
        <f t="shared" ca="1" si="458"/>
        <v>-</v>
      </c>
      <c r="AS1550" s="34"/>
      <c r="AT1550" s="490" t="str">
        <f t="shared" ca="1" si="518"/>
        <v/>
      </c>
      <c r="AU1550" s="491" t="str">
        <f t="shared" ca="1" si="519"/>
        <v/>
      </c>
      <c r="AV1550" s="491" t="str">
        <f t="shared" ca="1" si="520"/>
        <v/>
      </c>
      <c r="AW1550" s="492" t="str">
        <f t="shared" ca="1" si="521"/>
        <v/>
      </c>
      <c r="AY1550" s="474" t="str">
        <f t="shared" ca="1" si="459"/>
        <v/>
      </c>
      <c r="AZ1550" s="480" t="str">
        <f t="shared" ca="1" si="460"/>
        <v>-</v>
      </c>
      <c r="BA1550" s="476" t="str">
        <f t="shared" ca="1" si="461"/>
        <v/>
      </c>
      <c r="BB1550" s="480" t="str">
        <f t="shared" ca="1" si="462"/>
        <v>-</v>
      </c>
      <c r="BC1550" s="460" t="str">
        <f t="shared" ca="1" si="463"/>
        <v/>
      </c>
      <c r="BD1550" s="480" t="str">
        <f t="shared" ca="1" si="464"/>
        <v>-</v>
      </c>
      <c r="BE1550" s="477" t="str">
        <f t="shared" ca="1" si="465"/>
        <v/>
      </c>
      <c r="BF1550" s="480" t="str">
        <f t="shared" ca="1" si="466"/>
        <v>-</v>
      </c>
      <c r="BG1550" s="488" t="str">
        <f t="shared" ca="1" si="522"/>
        <v/>
      </c>
      <c r="BH1550" s="483" t="str">
        <f t="shared" ca="1" si="523"/>
        <v/>
      </c>
      <c r="BI1550" s="483" t="str">
        <f t="shared" ca="1" si="524"/>
        <v/>
      </c>
      <c r="BJ1550" s="489" t="str">
        <f t="shared" ca="1" si="525"/>
        <v/>
      </c>
      <c r="BL1550" t="str">
        <f t="shared" ca="1" si="467"/>
        <v/>
      </c>
      <c r="BM1550" t="str">
        <f t="shared" ca="1" si="468"/>
        <v/>
      </c>
      <c r="BN1550" t="str">
        <f t="shared" ca="1" si="469"/>
        <v/>
      </c>
      <c r="BO1550" t="str">
        <f t="shared" ca="1" si="470"/>
        <v/>
      </c>
      <c r="BP1550" t="str">
        <f t="shared" ca="1" si="471"/>
        <v/>
      </c>
      <c r="BQ1550" t="str">
        <f t="shared" ca="1" si="472"/>
        <v/>
      </c>
      <c r="BR1550" t="str">
        <f t="shared" ca="1" si="473"/>
        <v/>
      </c>
      <c r="BS1550" t="str">
        <f t="shared" ca="1" si="474"/>
        <v/>
      </c>
      <c r="BT1550" t="str">
        <f t="shared" ca="1" si="475"/>
        <v/>
      </c>
      <c r="BU1550" t="str">
        <f t="shared" ca="1" si="476"/>
        <v/>
      </c>
      <c r="BV1550" t="str">
        <f t="shared" ca="1" si="477"/>
        <v/>
      </c>
      <c r="BW1550" t="str">
        <f t="shared" ca="1" si="478"/>
        <v/>
      </c>
      <c r="BX1550" t="str">
        <f t="shared" ca="1" si="479"/>
        <v/>
      </c>
      <c r="BY1550" t="str">
        <f t="shared" ca="1" si="480"/>
        <v/>
      </c>
      <c r="BZ1550" t="str">
        <f t="shared" ca="1" si="481"/>
        <v/>
      </c>
      <c r="CA1550" t="str">
        <f t="shared" ca="1" si="482"/>
        <v/>
      </c>
      <c r="CC1550" s="482" t="str">
        <f t="shared" ca="1" si="483"/>
        <v/>
      </c>
      <c r="CD1550" s="483" t="str">
        <f t="shared" ca="1" si="484"/>
        <v/>
      </c>
      <c r="CE1550" s="483" t="str">
        <f t="shared" ca="1" si="485"/>
        <v/>
      </c>
      <c r="CF1550" s="483" t="str">
        <f t="shared" ca="1" si="486"/>
        <v/>
      </c>
      <c r="CG1550" s="482" t="str">
        <f t="shared" ca="1" si="487"/>
        <v/>
      </c>
      <c r="CH1550" s="483" t="str">
        <f t="shared" ca="1" si="488"/>
        <v/>
      </c>
      <c r="CI1550" s="483" t="str">
        <f t="shared" ca="1" si="489"/>
        <v/>
      </c>
      <c r="CJ1550" s="484" t="str">
        <f t="shared" ca="1" si="490"/>
        <v/>
      </c>
      <c r="CK1550" s="483" t="str">
        <f t="shared" ca="1" si="491"/>
        <v/>
      </c>
      <c r="CL1550" s="483" t="str">
        <f t="shared" ca="1" si="492"/>
        <v/>
      </c>
      <c r="CM1550" s="483" t="str">
        <f t="shared" ca="1" si="493"/>
        <v/>
      </c>
      <c r="CN1550" s="483" t="str">
        <f t="shared" ca="1" si="494"/>
        <v/>
      </c>
      <c r="CO1550" s="482" t="str">
        <f t="shared" ca="1" si="495"/>
        <v/>
      </c>
      <c r="CP1550" s="483" t="str">
        <f t="shared" ca="1" si="496"/>
        <v/>
      </c>
      <c r="CQ1550" s="483" t="str">
        <f t="shared" ca="1" si="497"/>
        <v/>
      </c>
      <c r="CR1550" s="484" t="str">
        <f t="shared" ca="1" si="498"/>
        <v/>
      </c>
      <c r="CV1550" s="454" t="str">
        <f t="array" ref="CV1550">IFERROR(INDEX(Montageplatten[Höhe],LARGE((Montageplatten[konf Rahmenbed]=$L$70)*(ROW(Montageplatten[konf Rahmenbed])-1),COUNTIF(Montageplatten[konf Rahmenbed],$L$70)+1-ROW(A47))),"")</f>
        <v/>
      </c>
      <c r="CW1550" t="str">
        <f t="shared" si="409"/>
        <v/>
      </c>
      <c r="CX1550" s="1057"/>
    </row>
    <row r="1551" spans="1:102" hidden="1" outlineLevel="1" x14ac:dyDescent="0.25">
      <c r="A1551">
        <f t="shared" ca="1" si="435"/>
        <v>0</v>
      </c>
      <c r="B1551" s="170" t="str">
        <f t="shared" ca="1" si="501"/>
        <v>---------</v>
      </c>
      <c r="C1551" t="e">
        <f t="shared" ca="1" si="500"/>
        <v>#VALUE!</v>
      </c>
      <c r="D1551" t="e">
        <f t="shared" ca="1" si="499"/>
        <v>#VALUE!</v>
      </c>
      <c r="E1551" t="e">
        <f t="shared" ca="1" si="436"/>
        <v>#VALUE!</v>
      </c>
      <c r="F1551" t="e">
        <f t="shared" ca="1" si="437"/>
        <v>#VALUE!</v>
      </c>
      <c r="G1551" t="e">
        <f t="shared" ca="1" si="438"/>
        <v>#VALUE!</v>
      </c>
      <c r="H1551" t="e">
        <f t="shared" ca="1" si="439"/>
        <v>#VALUE!</v>
      </c>
      <c r="I1551" t="e">
        <f t="shared" ca="1" si="440"/>
        <v>#VALUE!</v>
      </c>
      <c r="J1551" t="e">
        <f t="shared" ca="1" si="441"/>
        <v>#VALUE!</v>
      </c>
      <c r="K1551" t="e">
        <f t="shared" ca="1" si="442"/>
        <v>#VALUE!</v>
      </c>
      <c r="L1551" t="e">
        <f t="shared" ca="1" si="443"/>
        <v>#VALUE!</v>
      </c>
      <c r="M1551" t="e">
        <f t="shared" ca="1" si="444"/>
        <v>#VALUE!</v>
      </c>
      <c r="N1551" t="e">
        <f t="shared" ca="1" si="445"/>
        <v>#VALUE!</v>
      </c>
      <c r="O1551" t="e">
        <f t="shared" ca="1" si="446"/>
        <v>#VALUE!</v>
      </c>
      <c r="P1551" t="e">
        <f t="shared" ca="1" si="447"/>
        <v>#VALUE!</v>
      </c>
      <c r="Q1551" t="e">
        <f t="shared" ca="1" si="448"/>
        <v>#VALUE!</v>
      </c>
      <c r="R1551" t="e">
        <f t="shared" ca="1" si="449"/>
        <v>#VALUE!</v>
      </c>
      <c r="U1551" s="485" t="str">
        <f t="shared" ca="1" si="502"/>
        <v/>
      </c>
      <c r="V1551" s="486" t="str">
        <f t="shared" ca="1" si="503"/>
        <v/>
      </c>
      <c r="W1551" s="486" t="str">
        <f t="shared" ca="1" si="504"/>
        <v/>
      </c>
      <c r="X1551" s="486" t="str">
        <f t="shared" ca="1" si="505"/>
        <v/>
      </c>
      <c r="Y1551" s="485" t="str">
        <f t="shared" ca="1" si="506"/>
        <v/>
      </c>
      <c r="Z1551" s="486" t="str">
        <f t="shared" ca="1" si="507"/>
        <v/>
      </c>
      <c r="AA1551" s="486" t="str">
        <f t="shared" ca="1" si="508"/>
        <v/>
      </c>
      <c r="AB1551" s="486" t="str">
        <f t="shared" ca="1" si="509"/>
        <v/>
      </c>
      <c r="AC1551" s="485" t="str">
        <f t="shared" ca="1" si="510"/>
        <v/>
      </c>
      <c r="AD1551" s="486" t="str">
        <f t="shared" ca="1" si="511"/>
        <v/>
      </c>
      <c r="AE1551" s="486" t="str">
        <f t="shared" ca="1" si="512"/>
        <v/>
      </c>
      <c r="AF1551" s="486" t="str">
        <f t="shared" ca="1" si="513"/>
        <v/>
      </c>
      <c r="AG1551" s="485" t="str">
        <f t="shared" ca="1" si="514"/>
        <v/>
      </c>
      <c r="AH1551" s="486" t="str">
        <f t="shared" ca="1" si="515"/>
        <v/>
      </c>
      <c r="AI1551" s="486" t="str">
        <f t="shared" ca="1" si="516"/>
        <v/>
      </c>
      <c r="AJ1551" s="486" t="str">
        <f t="shared" ca="1" si="517"/>
        <v/>
      </c>
      <c r="AK1551" s="474" t="str">
        <f t="shared" ca="1" si="451"/>
        <v/>
      </c>
      <c r="AL1551" s="480" t="str">
        <f t="shared" ca="1" si="452"/>
        <v>-</v>
      </c>
      <c r="AM1551" s="476" t="str">
        <f t="shared" ca="1" si="453"/>
        <v/>
      </c>
      <c r="AN1551" s="475" t="str">
        <f t="shared" ca="1" si="454"/>
        <v>-</v>
      </c>
      <c r="AO1551" s="460" t="str">
        <f t="shared" ca="1" si="455"/>
        <v/>
      </c>
      <c r="AP1551" s="480" t="str">
        <f t="shared" ca="1" si="456"/>
        <v>-</v>
      </c>
      <c r="AQ1551" s="477" t="str">
        <f t="shared" ca="1" si="457"/>
        <v/>
      </c>
      <c r="AR1551" s="480" t="str">
        <f t="shared" ca="1" si="458"/>
        <v>-</v>
      </c>
      <c r="AS1551" s="34"/>
      <c r="AT1551" s="490" t="str">
        <f t="shared" ca="1" si="518"/>
        <v/>
      </c>
      <c r="AU1551" s="491" t="str">
        <f t="shared" ca="1" si="519"/>
        <v/>
      </c>
      <c r="AV1551" s="491" t="str">
        <f t="shared" ca="1" si="520"/>
        <v/>
      </c>
      <c r="AW1551" s="492" t="str">
        <f t="shared" ca="1" si="521"/>
        <v/>
      </c>
      <c r="AY1551" s="474" t="str">
        <f t="shared" ca="1" si="459"/>
        <v/>
      </c>
      <c r="AZ1551" s="480" t="str">
        <f t="shared" ca="1" si="460"/>
        <v>-</v>
      </c>
      <c r="BA1551" s="476" t="str">
        <f t="shared" ca="1" si="461"/>
        <v/>
      </c>
      <c r="BB1551" s="480" t="str">
        <f t="shared" ca="1" si="462"/>
        <v>-</v>
      </c>
      <c r="BC1551" s="460" t="str">
        <f t="shared" ca="1" si="463"/>
        <v/>
      </c>
      <c r="BD1551" s="480" t="str">
        <f t="shared" ca="1" si="464"/>
        <v>-</v>
      </c>
      <c r="BE1551" s="477" t="str">
        <f t="shared" ca="1" si="465"/>
        <v/>
      </c>
      <c r="BF1551" s="480" t="str">
        <f t="shared" ca="1" si="466"/>
        <v>-</v>
      </c>
      <c r="BG1551" s="488" t="str">
        <f t="shared" ca="1" si="522"/>
        <v/>
      </c>
      <c r="BH1551" s="483" t="str">
        <f t="shared" ca="1" si="523"/>
        <v/>
      </c>
      <c r="BI1551" s="483" t="str">
        <f t="shared" ca="1" si="524"/>
        <v/>
      </c>
      <c r="BJ1551" s="489" t="str">
        <f t="shared" ca="1" si="525"/>
        <v/>
      </c>
      <c r="BL1551" t="str">
        <f t="shared" ca="1" si="467"/>
        <v/>
      </c>
      <c r="BM1551" t="str">
        <f t="shared" ca="1" si="468"/>
        <v/>
      </c>
      <c r="BN1551" t="str">
        <f t="shared" ca="1" si="469"/>
        <v/>
      </c>
      <c r="BO1551" t="str">
        <f t="shared" ca="1" si="470"/>
        <v/>
      </c>
      <c r="BP1551" t="str">
        <f t="shared" ca="1" si="471"/>
        <v/>
      </c>
      <c r="BQ1551" t="str">
        <f t="shared" ca="1" si="472"/>
        <v/>
      </c>
      <c r="BR1551" t="str">
        <f t="shared" ca="1" si="473"/>
        <v/>
      </c>
      <c r="BS1551" t="str">
        <f t="shared" ca="1" si="474"/>
        <v/>
      </c>
      <c r="BT1551" t="str">
        <f t="shared" ca="1" si="475"/>
        <v/>
      </c>
      <c r="BU1551" t="str">
        <f t="shared" ca="1" si="476"/>
        <v/>
      </c>
      <c r="BV1551" t="str">
        <f t="shared" ca="1" si="477"/>
        <v/>
      </c>
      <c r="BW1551" t="str">
        <f t="shared" ca="1" si="478"/>
        <v/>
      </c>
      <c r="BX1551" t="str">
        <f t="shared" ca="1" si="479"/>
        <v/>
      </c>
      <c r="BY1551" t="str">
        <f t="shared" ca="1" si="480"/>
        <v/>
      </c>
      <c r="BZ1551" t="str">
        <f t="shared" ca="1" si="481"/>
        <v/>
      </c>
      <c r="CA1551" t="str">
        <f t="shared" ca="1" si="482"/>
        <v/>
      </c>
      <c r="CC1551" s="482" t="str">
        <f t="shared" ca="1" si="483"/>
        <v/>
      </c>
      <c r="CD1551" s="483" t="str">
        <f t="shared" ca="1" si="484"/>
        <v/>
      </c>
      <c r="CE1551" s="483" t="str">
        <f t="shared" ca="1" si="485"/>
        <v/>
      </c>
      <c r="CF1551" s="483" t="str">
        <f t="shared" ca="1" si="486"/>
        <v/>
      </c>
      <c r="CG1551" s="482" t="str">
        <f t="shared" ca="1" si="487"/>
        <v/>
      </c>
      <c r="CH1551" s="483" t="str">
        <f t="shared" ca="1" si="488"/>
        <v/>
      </c>
      <c r="CI1551" s="483" t="str">
        <f t="shared" ca="1" si="489"/>
        <v/>
      </c>
      <c r="CJ1551" s="484" t="str">
        <f t="shared" ca="1" si="490"/>
        <v/>
      </c>
      <c r="CK1551" s="483" t="str">
        <f t="shared" ca="1" si="491"/>
        <v/>
      </c>
      <c r="CL1551" s="483" t="str">
        <f t="shared" ca="1" si="492"/>
        <v/>
      </c>
      <c r="CM1551" s="483" t="str">
        <f t="shared" ca="1" si="493"/>
        <v/>
      </c>
      <c r="CN1551" s="483" t="str">
        <f t="shared" ca="1" si="494"/>
        <v/>
      </c>
      <c r="CO1551" s="482" t="str">
        <f t="shared" ca="1" si="495"/>
        <v/>
      </c>
      <c r="CP1551" s="483" t="str">
        <f t="shared" ca="1" si="496"/>
        <v/>
      </c>
      <c r="CQ1551" s="483" t="str">
        <f t="shared" ca="1" si="497"/>
        <v/>
      </c>
      <c r="CR1551" s="484" t="str">
        <f t="shared" ca="1" si="498"/>
        <v/>
      </c>
      <c r="CV1551" s="454" t="str">
        <f t="array" ref="CV1551">IFERROR(INDEX(Montageplatten[Höhe],LARGE((Montageplatten[konf Rahmenbed]=$L$70)*(ROW(Montageplatten[konf Rahmenbed])-1),COUNTIF(Montageplatten[konf Rahmenbed],$L$70)+1-ROW(A48))),"")</f>
        <v/>
      </c>
      <c r="CW1551" t="str">
        <f t="shared" si="409"/>
        <v/>
      </c>
      <c r="CX1551" s="1057"/>
    </row>
    <row r="1552" spans="1:102" hidden="1" outlineLevel="1" x14ac:dyDescent="0.25">
      <c r="A1552">
        <f t="shared" ca="1" si="435"/>
        <v>0</v>
      </c>
      <c r="B1552" s="170" t="str">
        <f t="shared" ca="1" si="501"/>
        <v>---------</v>
      </c>
      <c r="C1552" t="e">
        <f t="shared" ca="1" si="500"/>
        <v>#VALUE!</v>
      </c>
      <c r="D1552" t="e">
        <f t="shared" ca="1" si="499"/>
        <v>#VALUE!</v>
      </c>
      <c r="E1552" t="e">
        <f t="shared" ca="1" si="436"/>
        <v>#VALUE!</v>
      </c>
      <c r="F1552" t="e">
        <f t="shared" ca="1" si="437"/>
        <v>#VALUE!</v>
      </c>
      <c r="G1552" t="e">
        <f t="shared" ca="1" si="438"/>
        <v>#VALUE!</v>
      </c>
      <c r="H1552" t="e">
        <f t="shared" ca="1" si="439"/>
        <v>#VALUE!</v>
      </c>
      <c r="I1552" t="e">
        <f t="shared" ca="1" si="440"/>
        <v>#VALUE!</v>
      </c>
      <c r="J1552" t="e">
        <f t="shared" ca="1" si="441"/>
        <v>#VALUE!</v>
      </c>
      <c r="K1552" t="e">
        <f t="shared" ca="1" si="442"/>
        <v>#VALUE!</v>
      </c>
      <c r="L1552" t="e">
        <f t="shared" ca="1" si="443"/>
        <v>#VALUE!</v>
      </c>
      <c r="M1552" t="e">
        <f t="shared" ca="1" si="444"/>
        <v>#VALUE!</v>
      </c>
      <c r="N1552" t="e">
        <f t="shared" ca="1" si="445"/>
        <v>#VALUE!</v>
      </c>
      <c r="O1552" t="e">
        <f t="shared" ca="1" si="446"/>
        <v>#VALUE!</v>
      </c>
      <c r="P1552" t="e">
        <f t="shared" ca="1" si="447"/>
        <v>#VALUE!</v>
      </c>
      <c r="Q1552" t="e">
        <f t="shared" ca="1" si="448"/>
        <v>#VALUE!</v>
      </c>
      <c r="R1552" t="e">
        <f t="shared" ca="1" si="449"/>
        <v>#VALUE!</v>
      </c>
      <c r="U1552" s="485" t="str">
        <f t="shared" ca="1" si="502"/>
        <v/>
      </c>
      <c r="V1552" s="486" t="str">
        <f t="shared" ca="1" si="503"/>
        <v/>
      </c>
      <c r="W1552" s="486" t="str">
        <f t="shared" ca="1" si="504"/>
        <v/>
      </c>
      <c r="X1552" s="486" t="str">
        <f t="shared" ca="1" si="505"/>
        <v/>
      </c>
      <c r="Y1552" s="485" t="str">
        <f t="shared" ca="1" si="506"/>
        <v/>
      </c>
      <c r="Z1552" s="486" t="str">
        <f t="shared" ca="1" si="507"/>
        <v/>
      </c>
      <c r="AA1552" s="486" t="str">
        <f t="shared" ca="1" si="508"/>
        <v/>
      </c>
      <c r="AB1552" s="486" t="str">
        <f t="shared" ca="1" si="509"/>
        <v/>
      </c>
      <c r="AC1552" s="485" t="str">
        <f t="shared" ca="1" si="510"/>
        <v/>
      </c>
      <c r="AD1552" s="486" t="str">
        <f t="shared" ca="1" si="511"/>
        <v/>
      </c>
      <c r="AE1552" s="486" t="str">
        <f t="shared" ca="1" si="512"/>
        <v/>
      </c>
      <c r="AF1552" s="486" t="str">
        <f t="shared" ca="1" si="513"/>
        <v/>
      </c>
      <c r="AG1552" s="485" t="str">
        <f t="shared" ca="1" si="514"/>
        <v/>
      </c>
      <c r="AH1552" s="486" t="str">
        <f t="shared" ca="1" si="515"/>
        <v/>
      </c>
      <c r="AI1552" s="486" t="str">
        <f t="shared" ca="1" si="516"/>
        <v/>
      </c>
      <c r="AJ1552" s="486" t="str">
        <f t="shared" ca="1" si="517"/>
        <v/>
      </c>
      <c r="AK1552" s="474" t="str">
        <f t="shared" ca="1" si="451"/>
        <v/>
      </c>
      <c r="AL1552" s="480" t="str">
        <f t="shared" ca="1" si="452"/>
        <v>-</v>
      </c>
      <c r="AM1552" s="476" t="str">
        <f t="shared" ca="1" si="453"/>
        <v/>
      </c>
      <c r="AN1552" s="475" t="str">
        <f t="shared" ca="1" si="454"/>
        <v>-</v>
      </c>
      <c r="AO1552" s="460" t="str">
        <f t="shared" ca="1" si="455"/>
        <v/>
      </c>
      <c r="AP1552" s="480" t="str">
        <f t="shared" ca="1" si="456"/>
        <v>-</v>
      </c>
      <c r="AQ1552" s="477" t="str">
        <f t="shared" ca="1" si="457"/>
        <v/>
      </c>
      <c r="AR1552" s="480" t="str">
        <f t="shared" ca="1" si="458"/>
        <v>-</v>
      </c>
      <c r="AS1552" s="34"/>
      <c r="AT1552" s="490" t="str">
        <f t="shared" ca="1" si="518"/>
        <v/>
      </c>
      <c r="AU1552" s="491" t="str">
        <f t="shared" ca="1" si="519"/>
        <v/>
      </c>
      <c r="AV1552" s="491" t="str">
        <f t="shared" ca="1" si="520"/>
        <v/>
      </c>
      <c r="AW1552" s="492" t="str">
        <f t="shared" ca="1" si="521"/>
        <v/>
      </c>
      <c r="AY1552" s="474" t="str">
        <f t="shared" ca="1" si="459"/>
        <v/>
      </c>
      <c r="AZ1552" s="480" t="str">
        <f t="shared" ca="1" si="460"/>
        <v>-</v>
      </c>
      <c r="BA1552" s="476" t="str">
        <f t="shared" ca="1" si="461"/>
        <v/>
      </c>
      <c r="BB1552" s="480" t="str">
        <f t="shared" ca="1" si="462"/>
        <v>-</v>
      </c>
      <c r="BC1552" s="460" t="str">
        <f t="shared" ca="1" si="463"/>
        <v/>
      </c>
      <c r="BD1552" s="480" t="str">
        <f t="shared" ca="1" si="464"/>
        <v>-</v>
      </c>
      <c r="BE1552" s="477" t="str">
        <f t="shared" ca="1" si="465"/>
        <v/>
      </c>
      <c r="BF1552" s="480" t="str">
        <f t="shared" ca="1" si="466"/>
        <v>-</v>
      </c>
      <c r="BG1552" s="488" t="str">
        <f t="shared" ca="1" si="522"/>
        <v/>
      </c>
      <c r="BH1552" s="483" t="str">
        <f t="shared" ca="1" si="523"/>
        <v/>
      </c>
      <c r="BI1552" s="483" t="str">
        <f t="shared" ca="1" si="524"/>
        <v/>
      </c>
      <c r="BJ1552" s="489" t="str">
        <f t="shared" ca="1" si="525"/>
        <v/>
      </c>
      <c r="BL1552" t="str">
        <f t="shared" ca="1" si="467"/>
        <v/>
      </c>
      <c r="BM1552" t="str">
        <f t="shared" ca="1" si="468"/>
        <v/>
      </c>
      <c r="BN1552" t="str">
        <f t="shared" ca="1" si="469"/>
        <v/>
      </c>
      <c r="BO1552" t="str">
        <f t="shared" ca="1" si="470"/>
        <v/>
      </c>
      <c r="BP1552" t="str">
        <f t="shared" ca="1" si="471"/>
        <v/>
      </c>
      <c r="BQ1552" t="str">
        <f t="shared" ca="1" si="472"/>
        <v/>
      </c>
      <c r="BR1552" t="str">
        <f t="shared" ca="1" si="473"/>
        <v/>
      </c>
      <c r="BS1552" t="str">
        <f t="shared" ca="1" si="474"/>
        <v/>
      </c>
      <c r="BT1552" t="str">
        <f t="shared" ca="1" si="475"/>
        <v/>
      </c>
      <c r="BU1552" t="str">
        <f t="shared" ca="1" si="476"/>
        <v/>
      </c>
      <c r="BV1552" t="str">
        <f t="shared" ca="1" si="477"/>
        <v/>
      </c>
      <c r="BW1552" t="str">
        <f t="shared" ca="1" si="478"/>
        <v/>
      </c>
      <c r="BX1552" t="str">
        <f t="shared" ca="1" si="479"/>
        <v/>
      </c>
      <c r="BY1552" t="str">
        <f t="shared" ca="1" si="480"/>
        <v/>
      </c>
      <c r="BZ1552" t="str">
        <f t="shared" ca="1" si="481"/>
        <v/>
      </c>
      <c r="CA1552" t="str">
        <f t="shared" ca="1" si="482"/>
        <v/>
      </c>
      <c r="CC1552" s="482" t="str">
        <f t="shared" ca="1" si="483"/>
        <v/>
      </c>
      <c r="CD1552" s="483" t="str">
        <f t="shared" ca="1" si="484"/>
        <v/>
      </c>
      <c r="CE1552" s="483" t="str">
        <f t="shared" ca="1" si="485"/>
        <v/>
      </c>
      <c r="CF1552" s="483" t="str">
        <f t="shared" ca="1" si="486"/>
        <v/>
      </c>
      <c r="CG1552" s="482" t="str">
        <f t="shared" ca="1" si="487"/>
        <v/>
      </c>
      <c r="CH1552" s="483" t="str">
        <f t="shared" ca="1" si="488"/>
        <v/>
      </c>
      <c r="CI1552" s="483" t="str">
        <f t="shared" ca="1" si="489"/>
        <v/>
      </c>
      <c r="CJ1552" s="484" t="str">
        <f t="shared" ca="1" si="490"/>
        <v/>
      </c>
      <c r="CK1552" s="483" t="str">
        <f t="shared" ca="1" si="491"/>
        <v/>
      </c>
      <c r="CL1552" s="483" t="str">
        <f t="shared" ca="1" si="492"/>
        <v/>
      </c>
      <c r="CM1552" s="483" t="str">
        <f t="shared" ca="1" si="493"/>
        <v/>
      </c>
      <c r="CN1552" s="483" t="str">
        <f t="shared" ca="1" si="494"/>
        <v/>
      </c>
      <c r="CO1552" s="482" t="str">
        <f t="shared" ca="1" si="495"/>
        <v/>
      </c>
      <c r="CP1552" s="483" t="str">
        <f t="shared" ca="1" si="496"/>
        <v/>
      </c>
      <c r="CQ1552" s="483" t="str">
        <f t="shared" ca="1" si="497"/>
        <v/>
      </c>
      <c r="CR1552" s="484" t="str">
        <f t="shared" ca="1" si="498"/>
        <v/>
      </c>
      <c r="CV1552" s="454" t="str">
        <f t="array" ref="CV1552">IFERROR(INDEX(Montageplatten[Höhe],LARGE((Montageplatten[konf Rahmenbed]=$L$70)*(ROW(Montageplatten[konf Rahmenbed])-1),COUNTIF(Montageplatten[konf Rahmenbed],$L$70)+1-ROW(A49))),"")</f>
        <v/>
      </c>
      <c r="CW1552" t="str">
        <f t="shared" si="409"/>
        <v/>
      </c>
      <c r="CX1552" s="1057"/>
    </row>
    <row r="1553" spans="1:102" hidden="1" outlineLevel="1" x14ac:dyDescent="0.25">
      <c r="A1553">
        <f t="shared" ca="1" si="435"/>
        <v>0</v>
      </c>
      <c r="B1553" s="170" t="str">
        <f t="shared" ca="1" si="501"/>
        <v>---------</v>
      </c>
      <c r="C1553" t="e">
        <f t="shared" ca="1" si="500"/>
        <v>#VALUE!</v>
      </c>
      <c r="D1553" t="e">
        <f t="shared" ca="1" si="499"/>
        <v>#VALUE!</v>
      </c>
      <c r="E1553" t="e">
        <f t="shared" ca="1" si="436"/>
        <v>#VALUE!</v>
      </c>
      <c r="F1553" t="e">
        <f t="shared" ca="1" si="437"/>
        <v>#VALUE!</v>
      </c>
      <c r="G1553" t="e">
        <f t="shared" ca="1" si="438"/>
        <v>#VALUE!</v>
      </c>
      <c r="H1553" t="e">
        <f t="shared" ca="1" si="439"/>
        <v>#VALUE!</v>
      </c>
      <c r="I1553" t="e">
        <f t="shared" ca="1" si="440"/>
        <v>#VALUE!</v>
      </c>
      <c r="J1553" t="e">
        <f t="shared" ca="1" si="441"/>
        <v>#VALUE!</v>
      </c>
      <c r="K1553" t="e">
        <f t="shared" ca="1" si="442"/>
        <v>#VALUE!</v>
      </c>
      <c r="L1553" t="e">
        <f t="shared" ca="1" si="443"/>
        <v>#VALUE!</v>
      </c>
      <c r="M1553" t="e">
        <f t="shared" ca="1" si="444"/>
        <v>#VALUE!</v>
      </c>
      <c r="N1553" t="e">
        <f t="shared" ca="1" si="445"/>
        <v>#VALUE!</v>
      </c>
      <c r="O1553" t="e">
        <f t="shared" ca="1" si="446"/>
        <v>#VALUE!</v>
      </c>
      <c r="P1553" t="e">
        <f t="shared" ca="1" si="447"/>
        <v>#VALUE!</v>
      </c>
      <c r="Q1553" t="e">
        <f t="shared" ca="1" si="448"/>
        <v>#VALUE!</v>
      </c>
      <c r="R1553" t="e">
        <f t="shared" ca="1" si="449"/>
        <v>#VALUE!</v>
      </c>
      <c r="U1553" s="485" t="str">
        <f t="shared" ca="1" si="502"/>
        <v/>
      </c>
      <c r="V1553" s="486" t="str">
        <f t="shared" ca="1" si="503"/>
        <v/>
      </c>
      <c r="W1553" s="486" t="str">
        <f t="shared" ca="1" si="504"/>
        <v/>
      </c>
      <c r="X1553" s="486" t="str">
        <f t="shared" ca="1" si="505"/>
        <v/>
      </c>
      <c r="Y1553" s="485" t="str">
        <f t="shared" ca="1" si="506"/>
        <v/>
      </c>
      <c r="Z1553" s="486" t="str">
        <f t="shared" ca="1" si="507"/>
        <v/>
      </c>
      <c r="AA1553" s="486" t="str">
        <f t="shared" ca="1" si="508"/>
        <v/>
      </c>
      <c r="AB1553" s="486" t="str">
        <f t="shared" ca="1" si="509"/>
        <v/>
      </c>
      <c r="AC1553" s="485" t="str">
        <f t="shared" ca="1" si="510"/>
        <v/>
      </c>
      <c r="AD1553" s="486" t="str">
        <f t="shared" ca="1" si="511"/>
        <v/>
      </c>
      <c r="AE1553" s="486" t="str">
        <f t="shared" ca="1" si="512"/>
        <v/>
      </c>
      <c r="AF1553" s="486" t="str">
        <f t="shared" ca="1" si="513"/>
        <v/>
      </c>
      <c r="AG1553" s="485" t="str">
        <f t="shared" ca="1" si="514"/>
        <v/>
      </c>
      <c r="AH1553" s="486" t="str">
        <f t="shared" ca="1" si="515"/>
        <v/>
      </c>
      <c r="AI1553" s="486" t="str">
        <f t="shared" ca="1" si="516"/>
        <v/>
      </c>
      <c r="AJ1553" s="486" t="str">
        <f t="shared" ca="1" si="517"/>
        <v/>
      </c>
      <c r="AK1553" s="474" t="str">
        <f t="shared" ca="1" si="451"/>
        <v/>
      </c>
      <c r="AL1553" s="480" t="str">
        <f t="shared" ca="1" si="452"/>
        <v>-</v>
      </c>
      <c r="AM1553" s="476" t="str">
        <f t="shared" ca="1" si="453"/>
        <v/>
      </c>
      <c r="AN1553" s="475" t="str">
        <f t="shared" ca="1" si="454"/>
        <v>-</v>
      </c>
      <c r="AO1553" s="460" t="str">
        <f t="shared" ca="1" si="455"/>
        <v/>
      </c>
      <c r="AP1553" s="480" t="str">
        <f t="shared" ca="1" si="456"/>
        <v>-</v>
      </c>
      <c r="AQ1553" s="477" t="str">
        <f t="shared" ca="1" si="457"/>
        <v/>
      </c>
      <c r="AR1553" s="480" t="str">
        <f t="shared" ca="1" si="458"/>
        <v>-</v>
      </c>
      <c r="AS1553" s="34"/>
      <c r="AT1553" s="490" t="str">
        <f t="shared" ca="1" si="518"/>
        <v/>
      </c>
      <c r="AU1553" s="491" t="str">
        <f t="shared" ca="1" si="519"/>
        <v/>
      </c>
      <c r="AV1553" s="491" t="str">
        <f t="shared" ca="1" si="520"/>
        <v/>
      </c>
      <c r="AW1553" s="492" t="str">
        <f t="shared" ca="1" si="521"/>
        <v/>
      </c>
      <c r="AY1553" s="474" t="str">
        <f t="shared" ca="1" si="459"/>
        <v/>
      </c>
      <c r="AZ1553" s="480" t="str">
        <f t="shared" ca="1" si="460"/>
        <v>-</v>
      </c>
      <c r="BA1553" s="476" t="str">
        <f t="shared" ca="1" si="461"/>
        <v/>
      </c>
      <c r="BB1553" s="480" t="str">
        <f t="shared" ca="1" si="462"/>
        <v>-</v>
      </c>
      <c r="BC1553" s="460" t="str">
        <f t="shared" ca="1" si="463"/>
        <v/>
      </c>
      <c r="BD1553" s="480" t="str">
        <f t="shared" ca="1" si="464"/>
        <v>-</v>
      </c>
      <c r="BE1553" s="477" t="str">
        <f t="shared" ca="1" si="465"/>
        <v/>
      </c>
      <c r="BF1553" s="480" t="str">
        <f t="shared" ca="1" si="466"/>
        <v>-</v>
      </c>
      <c r="BG1553" s="488" t="str">
        <f t="shared" ca="1" si="522"/>
        <v/>
      </c>
      <c r="BH1553" s="483" t="str">
        <f t="shared" ca="1" si="523"/>
        <v/>
      </c>
      <c r="BI1553" s="483" t="str">
        <f t="shared" ca="1" si="524"/>
        <v/>
      </c>
      <c r="BJ1553" s="489" t="str">
        <f t="shared" ca="1" si="525"/>
        <v/>
      </c>
      <c r="BL1553" t="str">
        <f t="shared" ca="1" si="467"/>
        <v/>
      </c>
      <c r="BM1553" t="str">
        <f t="shared" ca="1" si="468"/>
        <v/>
      </c>
      <c r="BN1553" t="str">
        <f t="shared" ca="1" si="469"/>
        <v/>
      </c>
      <c r="BO1553" t="str">
        <f t="shared" ca="1" si="470"/>
        <v/>
      </c>
      <c r="BP1553" t="str">
        <f t="shared" ca="1" si="471"/>
        <v/>
      </c>
      <c r="BQ1553" t="str">
        <f t="shared" ca="1" si="472"/>
        <v/>
      </c>
      <c r="BR1553" t="str">
        <f t="shared" ca="1" si="473"/>
        <v/>
      </c>
      <c r="BS1553" t="str">
        <f t="shared" ca="1" si="474"/>
        <v/>
      </c>
      <c r="BT1553" t="str">
        <f t="shared" ca="1" si="475"/>
        <v/>
      </c>
      <c r="BU1553" t="str">
        <f t="shared" ca="1" si="476"/>
        <v/>
      </c>
      <c r="BV1553" t="str">
        <f t="shared" ca="1" si="477"/>
        <v/>
      </c>
      <c r="BW1553" t="str">
        <f t="shared" ca="1" si="478"/>
        <v/>
      </c>
      <c r="BX1553" t="str">
        <f t="shared" ca="1" si="479"/>
        <v/>
      </c>
      <c r="BY1553" t="str">
        <f t="shared" ca="1" si="480"/>
        <v/>
      </c>
      <c r="BZ1553" t="str">
        <f t="shared" ca="1" si="481"/>
        <v/>
      </c>
      <c r="CA1553" t="str">
        <f t="shared" ca="1" si="482"/>
        <v/>
      </c>
      <c r="CC1553" s="482" t="str">
        <f t="shared" ca="1" si="483"/>
        <v/>
      </c>
      <c r="CD1553" s="483" t="str">
        <f t="shared" ca="1" si="484"/>
        <v/>
      </c>
      <c r="CE1553" s="483" t="str">
        <f t="shared" ca="1" si="485"/>
        <v/>
      </c>
      <c r="CF1553" s="483" t="str">
        <f t="shared" ca="1" si="486"/>
        <v/>
      </c>
      <c r="CG1553" s="482" t="str">
        <f t="shared" ca="1" si="487"/>
        <v/>
      </c>
      <c r="CH1553" s="483" t="str">
        <f t="shared" ca="1" si="488"/>
        <v/>
      </c>
      <c r="CI1553" s="483" t="str">
        <f t="shared" ca="1" si="489"/>
        <v/>
      </c>
      <c r="CJ1553" s="484" t="str">
        <f t="shared" ca="1" si="490"/>
        <v/>
      </c>
      <c r="CK1553" s="483" t="str">
        <f t="shared" ca="1" si="491"/>
        <v/>
      </c>
      <c r="CL1553" s="483" t="str">
        <f t="shared" ca="1" si="492"/>
        <v/>
      </c>
      <c r="CM1553" s="483" t="str">
        <f t="shared" ca="1" si="493"/>
        <v/>
      </c>
      <c r="CN1553" s="483" t="str">
        <f t="shared" ca="1" si="494"/>
        <v/>
      </c>
      <c r="CO1553" s="482" t="str">
        <f t="shared" ca="1" si="495"/>
        <v/>
      </c>
      <c r="CP1553" s="483" t="str">
        <f t="shared" ca="1" si="496"/>
        <v/>
      </c>
      <c r="CQ1553" s="483" t="str">
        <f t="shared" ca="1" si="497"/>
        <v/>
      </c>
      <c r="CR1553" s="484" t="str">
        <f t="shared" ca="1" si="498"/>
        <v/>
      </c>
      <c r="CV1553" s="454" t="str">
        <f t="array" ref="CV1553">IFERROR(INDEX(Montageplatten[Höhe],LARGE((Montageplatten[konf Rahmenbed]=$L$70)*(ROW(Montageplatten[konf Rahmenbed])-1),COUNTIF(Montageplatten[konf Rahmenbed],$L$70)+1-ROW(A50))),"")</f>
        <v/>
      </c>
      <c r="CW1553" t="str">
        <f t="shared" si="409"/>
        <v/>
      </c>
      <c r="CX1553" s="1057"/>
    </row>
    <row r="1554" spans="1:102" hidden="1" outlineLevel="1" x14ac:dyDescent="0.25">
      <c r="A1554">
        <f t="shared" ca="1" si="435"/>
        <v>0</v>
      </c>
      <c r="B1554" s="170" t="str">
        <f t="shared" ca="1" si="501"/>
        <v>---------</v>
      </c>
      <c r="C1554" t="e">
        <f t="shared" ca="1" si="500"/>
        <v>#VALUE!</v>
      </c>
      <c r="D1554" t="e">
        <f t="shared" ca="1" si="499"/>
        <v>#VALUE!</v>
      </c>
      <c r="E1554" t="e">
        <f t="shared" ca="1" si="436"/>
        <v>#VALUE!</v>
      </c>
      <c r="F1554" t="e">
        <f t="shared" ca="1" si="437"/>
        <v>#VALUE!</v>
      </c>
      <c r="G1554" t="e">
        <f t="shared" ca="1" si="438"/>
        <v>#VALUE!</v>
      </c>
      <c r="H1554" t="e">
        <f t="shared" ca="1" si="439"/>
        <v>#VALUE!</v>
      </c>
      <c r="I1554" t="e">
        <f t="shared" ca="1" si="440"/>
        <v>#VALUE!</v>
      </c>
      <c r="J1554" t="e">
        <f t="shared" ca="1" si="441"/>
        <v>#VALUE!</v>
      </c>
      <c r="K1554" t="e">
        <f t="shared" ca="1" si="442"/>
        <v>#VALUE!</v>
      </c>
      <c r="L1554" t="e">
        <f t="shared" ca="1" si="443"/>
        <v>#VALUE!</v>
      </c>
      <c r="M1554" t="e">
        <f t="shared" ca="1" si="444"/>
        <v>#VALUE!</v>
      </c>
      <c r="N1554" t="e">
        <f t="shared" ca="1" si="445"/>
        <v>#VALUE!</v>
      </c>
      <c r="O1554" t="e">
        <f t="shared" ca="1" si="446"/>
        <v>#VALUE!</v>
      </c>
      <c r="P1554" t="e">
        <f t="shared" ca="1" si="447"/>
        <v>#VALUE!</v>
      </c>
      <c r="Q1554" t="e">
        <f t="shared" ca="1" si="448"/>
        <v>#VALUE!</v>
      </c>
      <c r="R1554" t="e">
        <f t="shared" ca="1" si="449"/>
        <v>#VALUE!</v>
      </c>
      <c r="U1554" s="485" t="str">
        <f t="shared" ca="1" si="502"/>
        <v/>
      </c>
      <c r="V1554" s="486" t="str">
        <f t="shared" ca="1" si="503"/>
        <v/>
      </c>
      <c r="W1554" s="486" t="str">
        <f t="shared" ca="1" si="504"/>
        <v/>
      </c>
      <c r="X1554" s="486" t="str">
        <f t="shared" ca="1" si="505"/>
        <v/>
      </c>
      <c r="Y1554" s="485" t="str">
        <f t="shared" ca="1" si="506"/>
        <v/>
      </c>
      <c r="Z1554" s="486" t="str">
        <f t="shared" ca="1" si="507"/>
        <v/>
      </c>
      <c r="AA1554" s="486" t="str">
        <f t="shared" ca="1" si="508"/>
        <v/>
      </c>
      <c r="AB1554" s="486" t="str">
        <f t="shared" ca="1" si="509"/>
        <v/>
      </c>
      <c r="AC1554" s="485" t="str">
        <f t="shared" ca="1" si="510"/>
        <v/>
      </c>
      <c r="AD1554" s="486" t="str">
        <f t="shared" ca="1" si="511"/>
        <v/>
      </c>
      <c r="AE1554" s="486" t="str">
        <f t="shared" ca="1" si="512"/>
        <v/>
      </c>
      <c r="AF1554" s="486" t="str">
        <f t="shared" ca="1" si="513"/>
        <v/>
      </c>
      <c r="AG1554" s="485" t="str">
        <f t="shared" ca="1" si="514"/>
        <v/>
      </c>
      <c r="AH1554" s="486" t="str">
        <f t="shared" ca="1" si="515"/>
        <v/>
      </c>
      <c r="AI1554" s="486" t="str">
        <f t="shared" ca="1" si="516"/>
        <v/>
      </c>
      <c r="AJ1554" s="486" t="str">
        <f t="shared" ca="1" si="517"/>
        <v/>
      </c>
      <c r="AK1554" s="474" t="str">
        <f t="shared" ca="1" si="451"/>
        <v/>
      </c>
      <c r="AL1554" s="480" t="str">
        <f t="shared" ca="1" si="452"/>
        <v>-</v>
      </c>
      <c r="AM1554" s="476" t="str">
        <f t="shared" ca="1" si="453"/>
        <v/>
      </c>
      <c r="AN1554" s="475" t="str">
        <f t="shared" ca="1" si="454"/>
        <v>-</v>
      </c>
      <c r="AO1554" s="460" t="str">
        <f t="shared" ca="1" si="455"/>
        <v/>
      </c>
      <c r="AP1554" s="480" t="str">
        <f t="shared" ca="1" si="456"/>
        <v>-</v>
      </c>
      <c r="AQ1554" s="477" t="str">
        <f t="shared" ca="1" si="457"/>
        <v/>
      </c>
      <c r="AR1554" s="480" t="str">
        <f t="shared" ca="1" si="458"/>
        <v>-</v>
      </c>
      <c r="AS1554" s="34"/>
      <c r="AT1554" s="490" t="str">
        <f t="shared" ca="1" si="518"/>
        <v/>
      </c>
      <c r="AU1554" s="491" t="str">
        <f t="shared" ca="1" si="519"/>
        <v/>
      </c>
      <c r="AV1554" s="491" t="str">
        <f t="shared" ca="1" si="520"/>
        <v/>
      </c>
      <c r="AW1554" s="492" t="str">
        <f t="shared" ca="1" si="521"/>
        <v/>
      </c>
      <c r="AY1554" s="474" t="str">
        <f t="shared" ca="1" si="459"/>
        <v/>
      </c>
      <c r="AZ1554" s="480" t="str">
        <f t="shared" ca="1" si="460"/>
        <v>-</v>
      </c>
      <c r="BA1554" s="476" t="str">
        <f t="shared" ca="1" si="461"/>
        <v/>
      </c>
      <c r="BB1554" s="480" t="str">
        <f t="shared" ca="1" si="462"/>
        <v>-</v>
      </c>
      <c r="BC1554" s="460" t="str">
        <f t="shared" ca="1" si="463"/>
        <v/>
      </c>
      <c r="BD1554" s="480" t="str">
        <f t="shared" ca="1" si="464"/>
        <v>-</v>
      </c>
      <c r="BE1554" s="477" t="str">
        <f t="shared" ca="1" si="465"/>
        <v/>
      </c>
      <c r="BF1554" s="480" t="str">
        <f t="shared" ca="1" si="466"/>
        <v>-</v>
      </c>
      <c r="BG1554" s="488" t="str">
        <f t="shared" ca="1" si="522"/>
        <v/>
      </c>
      <c r="BH1554" s="483" t="str">
        <f t="shared" ca="1" si="523"/>
        <v/>
      </c>
      <c r="BI1554" s="483" t="str">
        <f t="shared" ca="1" si="524"/>
        <v/>
      </c>
      <c r="BJ1554" s="489" t="str">
        <f t="shared" ca="1" si="525"/>
        <v/>
      </c>
      <c r="BL1554" t="str">
        <f t="shared" ca="1" si="467"/>
        <v/>
      </c>
      <c r="BM1554" t="str">
        <f t="shared" ca="1" si="468"/>
        <v/>
      </c>
      <c r="BN1554" t="str">
        <f t="shared" ca="1" si="469"/>
        <v/>
      </c>
      <c r="BO1554" t="str">
        <f t="shared" ca="1" si="470"/>
        <v/>
      </c>
      <c r="BP1554" t="str">
        <f t="shared" ca="1" si="471"/>
        <v/>
      </c>
      <c r="BQ1554" t="str">
        <f t="shared" ca="1" si="472"/>
        <v/>
      </c>
      <c r="BR1554" t="str">
        <f t="shared" ca="1" si="473"/>
        <v/>
      </c>
      <c r="BS1554" t="str">
        <f t="shared" ca="1" si="474"/>
        <v/>
      </c>
      <c r="BT1554" t="str">
        <f t="shared" ca="1" si="475"/>
        <v/>
      </c>
      <c r="BU1554" t="str">
        <f t="shared" ca="1" si="476"/>
        <v/>
      </c>
      <c r="BV1554" t="str">
        <f t="shared" ca="1" si="477"/>
        <v/>
      </c>
      <c r="BW1554" t="str">
        <f t="shared" ca="1" si="478"/>
        <v/>
      </c>
      <c r="BX1554" t="str">
        <f t="shared" ca="1" si="479"/>
        <v/>
      </c>
      <c r="BY1554" t="str">
        <f t="shared" ca="1" si="480"/>
        <v/>
      </c>
      <c r="BZ1554" t="str">
        <f t="shared" ca="1" si="481"/>
        <v/>
      </c>
      <c r="CA1554" t="str">
        <f t="shared" ca="1" si="482"/>
        <v/>
      </c>
      <c r="CC1554" s="482" t="str">
        <f t="shared" ca="1" si="483"/>
        <v/>
      </c>
      <c r="CD1554" s="483" t="str">
        <f t="shared" ca="1" si="484"/>
        <v/>
      </c>
      <c r="CE1554" s="483" t="str">
        <f t="shared" ca="1" si="485"/>
        <v/>
      </c>
      <c r="CF1554" s="483" t="str">
        <f t="shared" ca="1" si="486"/>
        <v/>
      </c>
      <c r="CG1554" s="482" t="str">
        <f t="shared" ca="1" si="487"/>
        <v/>
      </c>
      <c r="CH1554" s="483" t="str">
        <f t="shared" ca="1" si="488"/>
        <v/>
      </c>
      <c r="CI1554" s="483" t="str">
        <f t="shared" ca="1" si="489"/>
        <v/>
      </c>
      <c r="CJ1554" s="484" t="str">
        <f t="shared" ca="1" si="490"/>
        <v/>
      </c>
      <c r="CK1554" s="483" t="str">
        <f t="shared" ca="1" si="491"/>
        <v/>
      </c>
      <c r="CL1554" s="483" t="str">
        <f t="shared" ca="1" si="492"/>
        <v/>
      </c>
      <c r="CM1554" s="483" t="str">
        <f t="shared" ca="1" si="493"/>
        <v/>
      </c>
      <c r="CN1554" s="483" t="str">
        <f t="shared" ca="1" si="494"/>
        <v/>
      </c>
      <c r="CO1554" s="482" t="str">
        <f t="shared" ca="1" si="495"/>
        <v/>
      </c>
      <c r="CP1554" s="483" t="str">
        <f t="shared" ca="1" si="496"/>
        <v/>
      </c>
      <c r="CQ1554" s="483" t="str">
        <f t="shared" ca="1" si="497"/>
        <v/>
      </c>
      <c r="CR1554" s="484" t="str">
        <f t="shared" ca="1" si="498"/>
        <v/>
      </c>
      <c r="CV1554" s="454" t="str">
        <f t="array" ref="CV1554">IFERROR(INDEX(Montageplatten[Höhe],LARGE((Montageplatten[konf Rahmenbed]=$L$70)*(ROW(Montageplatten[konf Rahmenbed])-1),COUNTIF(Montageplatten[konf Rahmenbed],$L$70)+1-ROW(A51))),"")</f>
        <v/>
      </c>
      <c r="CW1554" t="str">
        <f t="shared" si="409"/>
        <v/>
      </c>
      <c r="CX1554" s="1057"/>
    </row>
    <row r="1555" spans="1:102" hidden="1" outlineLevel="1" x14ac:dyDescent="0.25">
      <c r="A1555">
        <f t="shared" ca="1" si="435"/>
        <v>0</v>
      </c>
      <c r="B1555" s="170" t="str">
        <f t="shared" ca="1" si="501"/>
        <v>---------</v>
      </c>
      <c r="C1555" t="e">
        <f t="shared" ca="1" si="500"/>
        <v>#VALUE!</v>
      </c>
      <c r="D1555" t="e">
        <f t="shared" ca="1" si="499"/>
        <v>#VALUE!</v>
      </c>
      <c r="E1555" t="e">
        <f t="shared" ca="1" si="436"/>
        <v>#VALUE!</v>
      </c>
      <c r="F1555" t="e">
        <f t="shared" ca="1" si="437"/>
        <v>#VALUE!</v>
      </c>
      <c r="G1555" t="e">
        <f t="shared" ca="1" si="438"/>
        <v>#VALUE!</v>
      </c>
      <c r="H1555" t="e">
        <f t="shared" ca="1" si="439"/>
        <v>#VALUE!</v>
      </c>
      <c r="I1555" t="e">
        <f t="shared" ca="1" si="440"/>
        <v>#VALUE!</v>
      </c>
      <c r="J1555" t="e">
        <f t="shared" ca="1" si="441"/>
        <v>#VALUE!</v>
      </c>
      <c r="K1555" t="e">
        <f t="shared" ca="1" si="442"/>
        <v>#VALUE!</v>
      </c>
      <c r="L1555" t="e">
        <f t="shared" ca="1" si="443"/>
        <v>#VALUE!</v>
      </c>
      <c r="M1555" t="e">
        <f t="shared" ca="1" si="444"/>
        <v>#VALUE!</v>
      </c>
      <c r="N1555" t="e">
        <f t="shared" ca="1" si="445"/>
        <v>#VALUE!</v>
      </c>
      <c r="O1555" t="e">
        <f t="shared" ca="1" si="446"/>
        <v>#VALUE!</v>
      </c>
      <c r="P1555" t="e">
        <f t="shared" ca="1" si="447"/>
        <v>#VALUE!</v>
      </c>
      <c r="Q1555" t="e">
        <f t="shared" ca="1" si="448"/>
        <v>#VALUE!</v>
      </c>
      <c r="R1555" t="e">
        <f t="shared" ca="1" si="449"/>
        <v>#VALUE!</v>
      </c>
      <c r="U1555" s="485" t="str">
        <f t="shared" ca="1" si="502"/>
        <v/>
      </c>
      <c r="V1555" s="486" t="str">
        <f t="shared" ca="1" si="503"/>
        <v/>
      </c>
      <c r="W1555" s="486" t="str">
        <f t="shared" ca="1" si="504"/>
        <v/>
      </c>
      <c r="X1555" s="486" t="str">
        <f t="shared" ca="1" si="505"/>
        <v/>
      </c>
      <c r="Y1555" s="485" t="str">
        <f t="shared" ca="1" si="506"/>
        <v/>
      </c>
      <c r="Z1555" s="486" t="str">
        <f t="shared" ca="1" si="507"/>
        <v/>
      </c>
      <c r="AA1555" s="486" t="str">
        <f t="shared" ca="1" si="508"/>
        <v/>
      </c>
      <c r="AB1555" s="486" t="str">
        <f t="shared" ca="1" si="509"/>
        <v/>
      </c>
      <c r="AC1555" s="485" t="str">
        <f t="shared" ca="1" si="510"/>
        <v/>
      </c>
      <c r="AD1555" s="486" t="str">
        <f t="shared" ca="1" si="511"/>
        <v/>
      </c>
      <c r="AE1555" s="486" t="str">
        <f t="shared" ca="1" si="512"/>
        <v/>
      </c>
      <c r="AF1555" s="486" t="str">
        <f t="shared" ca="1" si="513"/>
        <v/>
      </c>
      <c r="AG1555" s="485" t="str">
        <f t="shared" ca="1" si="514"/>
        <v/>
      </c>
      <c r="AH1555" s="486" t="str">
        <f t="shared" ca="1" si="515"/>
        <v/>
      </c>
      <c r="AI1555" s="486" t="str">
        <f t="shared" ca="1" si="516"/>
        <v/>
      </c>
      <c r="AJ1555" s="486" t="str">
        <f t="shared" ca="1" si="517"/>
        <v/>
      </c>
      <c r="AK1555" s="474" t="str">
        <f t="shared" ca="1" si="451"/>
        <v/>
      </c>
      <c r="AL1555" s="480" t="str">
        <f t="shared" ca="1" si="452"/>
        <v>-</v>
      </c>
      <c r="AM1555" s="476" t="str">
        <f t="shared" ca="1" si="453"/>
        <v/>
      </c>
      <c r="AN1555" s="475" t="str">
        <f t="shared" ca="1" si="454"/>
        <v>-</v>
      </c>
      <c r="AO1555" s="460" t="str">
        <f t="shared" ca="1" si="455"/>
        <v/>
      </c>
      <c r="AP1555" s="480" t="str">
        <f t="shared" ca="1" si="456"/>
        <v>-</v>
      </c>
      <c r="AQ1555" s="477" t="str">
        <f t="shared" ca="1" si="457"/>
        <v/>
      </c>
      <c r="AR1555" s="480" t="str">
        <f t="shared" ca="1" si="458"/>
        <v>-</v>
      </c>
      <c r="AS1555" s="34"/>
      <c r="AT1555" s="490" t="str">
        <f t="shared" ca="1" si="518"/>
        <v/>
      </c>
      <c r="AU1555" s="491" t="str">
        <f t="shared" ca="1" si="519"/>
        <v/>
      </c>
      <c r="AV1555" s="491" t="str">
        <f t="shared" ca="1" si="520"/>
        <v/>
      </c>
      <c r="AW1555" s="492" t="str">
        <f t="shared" ca="1" si="521"/>
        <v/>
      </c>
      <c r="AY1555" s="474" t="str">
        <f t="shared" ca="1" si="459"/>
        <v/>
      </c>
      <c r="AZ1555" s="480" t="str">
        <f t="shared" ca="1" si="460"/>
        <v>-</v>
      </c>
      <c r="BA1555" s="476" t="str">
        <f t="shared" ca="1" si="461"/>
        <v/>
      </c>
      <c r="BB1555" s="480" t="str">
        <f t="shared" ca="1" si="462"/>
        <v>-</v>
      </c>
      <c r="BC1555" s="460" t="str">
        <f t="shared" ca="1" si="463"/>
        <v/>
      </c>
      <c r="BD1555" s="480" t="str">
        <f t="shared" ca="1" si="464"/>
        <v>-</v>
      </c>
      <c r="BE1555" s="477" t="str">
        <f t="shared" ca="1" si="465"/>
        <v/>
      </c>
      <c r="BF1555" s="480" t="str">
        <f t="shared" ca="1" si="466"/>
        <v>-</v>
      </c>
      <c r="BG1555" s="488" t="str">
        <f t="shared" ca="1" si="522"/>
        <v/>
      </c>
      <c r="BH1555" s="483" t="str">
        <f t="shared" ca="1" si="523"/>
        <v/>
      </c>
      <c r="BI1555" s="483" t="str">
        <f t="shared" ca="1" si="524"/>
        <v/>
      </c>
      <c r="BJ1555" s="489" t="str">
        <f t="shared" ca="1" si="525"/>
        <v/>
      </c>
      <c r="BL1555" t="str">
        <f t="shared" ca="1" si="467"/>
        <v/>
      </c>
      <c r="BM1555" t="str">
        <f t="shared" ca="1" si="468"/>
        <v/>
      </c>
      <c r="BN1555" t="str">
        <f t="shared" ca="1" si="469"/>
        <v/>
      </c>
      <c r="BO1555" t="str">
        <f t="shared" ca="1" si="470"/>
        <v/>
      </c>
      <c r="BP1555" t="str">
        <f t="shared" ca="1" si="471"/>
        <v/>
      </c>
      <c r="BQ1555" t="str">
        <f t="shared" ca="1" si="472"/>
        <v/>
      </c>
      <c r="BR1555" t="str">
        <f t="shared" ca="1" si="473"/>
        <v/>
      </c>
      <c r="BS1555" t="str">
        <f t="shared" ca="1" si="474"/>
        <v/>
      </c>
      <c r="BT1555" t="str">
        <f t="shared" ca="1" si="475"/>
        <v/>
      </c>
      <c r="BU1555" t="str">
        <f t="shared" ca="1" si="476"/>
        <v/>
      </c>
      <c r="BV1555" t="str">
        <f t="shared" ca="1" si="477"/>
        <v/>
      </c>
      <c r="BW1555" t="str">
        <f t="shared" ca="1" si="478"/>
        <v/>
      </c>
      <c r="BX1555" t="str">
        <f t="shared" ca="1" si="479"/>
        <v/>
      </c>
      <c r="BY1555" t="str">
        <f t="shared" ca="1" si="480"/>
        <v/>
      </c>
      <c r="BZ1555" t="str">
        <f t="shared" ca="1" si="481"/>
        <v/>
      </c>
      <c r="CA1555" t="str">
        <f t="shared" ca="1" si="482"/>
        <v/>
      </c>
      <c r="CC1555" s="482" t="str">
        <f t="shared" ca="1" si="483"/>
        <v/>
      </c>
      <c r="CD1555" s="483" t="str">
        <f t="shared" ca="1" si="484"/>
        <v/>
      </c>
      <c r="CE1555" s="483" t="str">
        <f t="shared" ca="1" si="485"/>
        <v/>
      </c>
      <c r="CF1555" s="483" t="str">
        <f t="shared" ca="1" si="486"/>
        <v/>
      </c>
      <c r="CG1555" s="482" t="str">
        <f t="shared" ca="1" si="487"/>
        <v/>
      </c>
      <c r="CH1555" s="483" t="str">
        <f t="shared" ca="1" si="488"/>
        <v/>
      </c>
      <c r="CI1555" s="483" t="str">
        <f t="shared" ca="1" si="489"/>
        <v/>
      </c>
      <c r="CJ1555" s="484" t="str">
        <f t="shared" ca="1" si="490"/>
        <v/>
      </c>
      <c r="CK1555" s="483" t="str">
        <f t="shared" ca="1" si="491"/>
        <v/>
      </c>
      <c r="CL1555" s="483" t="str">
        <f t="shared" ca="1" si="492"/>
        <v/>
      </c>
      <c r="CM1555" s="483" t="str">
        <f t="shared" ca="1" si="493"/>
        <v/>
      </c>
      <c r="CN1555" s="483" t="str">
        <f t="shared" ca="1" si="494"/>
        <v/>
      </c>
      <c r="CO1555" s="482" t="str">
        <f t="shared" ca="1" si="495"/>
        <v/>
      </c>
      <c r="CP1555" s="483" t="str">
        <f t="shared" ca="1" si="496"/>
        <v/>
      </c>
      <c r="CQ1555" s="483" t="str">
        <f t="shared" ca="1" si="497"/>
        <v/>
      </c>
      <c r="CR1555" s="484" t="str">
        <f t="shared" ca="1" si="498"/>
        <v/>
      </c>
      <c r="CV1555" s="454" t="str">
        <f t="array" ref="CV1555">IFERROR(INDEX(Montageplatten[Höhe],LARGE((Montageplatten[konf Rahmenbed]=$L$70)*(ROW(Montageplatten[konf Rahmenbed])-1),COUNTIF(Montageplatten[konf Rahmenbed],$L$70)+1-ROW(A52))),"")</f>
        <v/>
      </c>
      <c r="CW1555" t="str">
        <f t="shared" si="409"/>
        <v/>
      </c>
      <c r="CX1555" s="1057"/>
    </row>
    <row r="1556" spans="1:102" hidden="1" outlineLevel="1" x14ac:dyDescent="0.25">
      <c r="A1556">
        <f t="shared" ca="1" si="435"/>
        <v>0</v>
      </c>
      <c r="B1556" s="170" t="str">
        <f t="shared" ca="1" si="501"/>
        <v>---------</v>
      </c>
      <c r="C1556" t="e">
        <f t="shared" ca="1" si="500"/>
        <v>#VALUE!</v>
      </c>
      <c r="D1556" t="e">
        <f t="shared" ca="1" si="499"/>
        <v>#VALUE!</v>
      </c>
      <c r="E1556" t="e">
        <f t="shared" ca="1" si="436"/>
        <v>#VALUE!</v>
      </c>
      <c r="F1556" t="e">
        <f t="shared" ca="1" si="437"/>
        <v>#VALUE!</v>
      </c>
      <c r="G1556" t="e">
        <f t="shared" ca="1" si="438"/>
        <v>#VALUE!</v>
      </c>
      <c r="H1556" t="e">
        <f t="shared" ca="1" si="439"/>
        <v>#VALUE!</v>
      </c>
      <c r="I1556" t="e">
        <f t="shared" ca="1" si="440"/>
        <v>#VALUE!</v>
      </c>
      <c r="J1556" t="e">
        <f t="shared" ca="1" si="441"/>
        <v>#VALUE!</v>
      </c>
      <c r="K1556" t="e">
        <f t="shared" ca="1" si="442"/>
        <v>#VALUE!</v>
      </c>
      <c r="L1556" t="e">
        <f t="shared" ca="1" si="443"/>
        <v>#VALUE!</v>
      </c>
      <c r="M1556" t="e">
        <f t="shared" ca="1" si="444"/>
        <v>#VALUE!</v>
      </c>
      <c r="N1556" t="e">
        <f t="shared" ca="1" si="445"/>
        <v>#VALUE!</v>
      </c>
      <c r="O1556" t="e">
        <f t="shared" ca="1" si="446"/>
        <v>#VALUE!</v>
      </c>
      <c r="P1556" t="e">
        <f t="shared" ca="1" si="447"/>
        <v>#VALUE!</v>
      </c>
      <c r="Q1556" t="e">
        <f t="shared" ca="1" si="448"/>
        <v>#VALUE!</v>
      </c>
      <c r="R1556" t="e">
        <f t="shared" ca="1" si="449"/>
        <v>#VALUE!</v>
      </c>
      <c r="U1556" s="485" t="str">
        <f t="shared" ca="1" si="502"/>
        <v/>
      </c>
      <c r="V1556" s="486" t="str">
        <f t="shared" ca="1" si="503"/>
        <v/>
      </c>
      <c r="W1556" s="486" t="str">
        <f t="shared" ca="1" si="504"/>
        <v/>
      </c>
      <c r="X1556" s="486" t="str">
        <f t="shared" ca="1" si="505"/>
        <v/>
      </c>
      <c r="Y1556" s="485" t="str">
        <f t="shared" ca="1" si="506"/>
        <v/>
      </c>
      <c r="Z1556" s="486" t="str">
        <f t="shared" ca="1" si="507"/>
        <v/>
      </c>
      <c r="AA1556" s="486" t="str">
        <f t="shared" ca="1" si="508"/>
        <v/>
      </c>
      <c r="AB1556" s="486" t="str">
        <f t="shared" ca="1" si="509"/>
        <v/>
      </c>
      <c r="AC1556" s="485" t="str">
        <f t="shared" ca="1" si="510"/>
        <v/>
      </c>
      <c r="AD1556" s="486" t="str">
        <f t="shared" ca="1" si="511"/>
        <v/>
      </c>
      <c r="AE1556" s="486" t="str">
        <f t="shared" ca="1" si="512"/>
        <v/>
      </c>
      <c r="AF1556" s="486" t="str">
        <f t="shared" ca="1" si="513"/>
        <v/>
      </c>
      <c r="AG1556" s="485" t="str">
        <f t="shared" ca="1" si="514"/>
        <v/>
      </c>
      <c r="AH1556" s="486" t="str">
        <f t="shared" ca="1" si="515"/>
        <v/>
      </c>
      <c r="AI1556" s="486" t="str">
        <f t="shared" ca="1" si="516"/>
        <v/>
      </c>
      <c r="AJ1556" s="486" t="str">
        <f t="shared" ca="1" si="517"/>
        <v/>
      </c>
      <c r="AK1556" s="474" t="str">
        <f t="shared" ca="1" si="451"/>
        <v/>
      </c>
      <c r="AL1556" s="480" t="str">
        <f t="shared" ca="1" si="452"/>
        <v>-</v>
      </c>
      <c r="AM1556" s="476" t="str">
        <f t="shared" ca="1" si="453"/>
        <v/>
      </c>
      <c r="AN1556" s="475" t="str">
        <f t="shared" ca="1" si="454"/>
        <v>-</v>
      </c>
      <c r="AO1556" s="460" t="str">
        <f t="shared" ca="1" si="455"/>
        <v/>
      </c>
      <c r="AP1556" s="480" t="str">
        <f t="shared" ca="1" si="456"/>
        <v>-</v>
      </c>
      <c r="AQ1556" s="477" t="str">
        <f t="shared" ca="1" si="457"/>
        <v/>
      </c>
      <c r="AR1556" s="480" t="str">
        <f t="shared" ca="1" si="458"/>
        <v>-</v>
      </c>
      <c r="AS1556" s="34"/>
      <c r="AT1556" s="490" t="str">
        <f t="shared" ca="1" si="518"/>
        <v/>
      </c>
      <c r="AU1556" s="491" t="str">
        <f t="shared" ca="1" si="519"/>
        <v/>
      </c>
      <c r="AV1556" s="491" t="str">
        <f t="shared" ca="1" si="520"/>
        <v/>
      </c>
      <c r="AW1556" s="492" t="str">
        <f t="shared" ca="1" si="521"/>
        <v/>
      </c>
      <c r="AY1556" s="474" t="str">
        <f t="shared" ca="1" si="459"/>
        <v/>
      </c>
      <c r="AZ1556" s="480" t="str">
        <f t="shared" ca="1" si="460"/>
        <v>-</v>
      </c>
      <c r="BA1556" s="476" t="str">
        <f t="shared" ca="1" si="461"/>
        <v/>
      </c>
      <c r="BB1556" s="480" t="str">
        <f t="shared" ca="1" si="462"/>
        <v>-</v>
      </c>
      <c r="BC1556" s="460" t="str">
        <f t="shared" ca="1" si="463"/>
        <v/>
      </c>
      <c r="BD1556" s="480" t="str">
        <f t="shared" ca="1" si="464"/>
        <v>-</v>
      </c>
      <c r="BE1556" s="477" t="str">
        <f t="shared" ca="1" si="465"/>
        <v/>
      </c>
      <c r="BF1556" s="480" t="str">
        <f t="shared" ca="1" si="466"/>
        <v>-</v>
      </c>
      <c r="BG1556" s="488" t="str">
        <f t="shared" ca="1" si="522"/>
        <v/>
      </c>
      <c r="BH1556" s="483" t="str">
        <f t="shared" ca="1" si="523"/>
        <v/>
      </c>
      <c r="BI1556" s="483" t="str">
        <f t="shared" ca="1" si="524"/>
        <v/>
      </c>
      <c r="BJ1556" s="489" t="str">
        <f t="shared" ca="1" si="525"/>
        <v/>
      </c>
      <c r="BL1556" t="str">
        <f t="shared" ca="1" si="467"/>
        <v/>
      </c>
      <c r="BM1556" t="str">
        <f t="shared" ca="1" si="468"/>
        <v/>
      </c>
      <c r="BN1556" t="str">
        <f t="shared" ca="1" si="469"/>
        <v/>
      </c>
      <c r="BO1556" t="str">
        <f t="shared" ca="1" si="470"/>
        <v/>
      </c>
      <c r="BP1556" t="str">
        <f t="shared" ca="1" si="471"/>
        <v/>
      </c>
      <c r="BQ1556" t="str">
        <f t="shared" ca="1" si="472"/>
        <v/>
      </c>
      <c r="BR1556" t="str">
        <f t="shared" ca="1" si="473"/>
        <v/>
      </c>
      <c r="BS1556" t="str">
        <f t="shared" ca="1" si="474"/>
        <v/>
      </c>
      <c r="BT1556" t="str">
        <f t="shared" ca="1" si="475"/>
        <v/>
      </c>
      <c r="BU1556" t="str">
        <f t="shared" ca="1" si="476"/>
        <v/>
      </c>
      <c r="BV1556" t="str">
        <f t="shared" ca="1" si="477"/>
        <v/>
      </c>
      <c r="BW1556" t="str">
        <f t="shared" ca="1" si="478"/>
        <v/>
      </c>
      <c r="BX1556" t="str">
        <f t="shared" ca="1" si="479"/>
        <v/>
      </c>
      <c r="BY1556" t="str">
        <f t="shared" ca="1" si="480"/>
        <v/>
      </c>
      <c r="BZ1556" t="str">
        <f t="shared" ca="1" si="481"/>
        <v/>
      </c>
      <c r="CA1556" t="str">
        <f t="shared" ca="1" si="482"/>
        <v/>
      </c>
      <c r="CC1556" s="482" t="str">
        <f t="shared" ca="1" si="483"/>
        <v/>
      </c>
      <c r="CD1556" s="483" t="str">
        <f t="shared" ca="1" si="484"/>
        <v/>
      </c>
      <c r="CE1556" s="483" t="str">
        <f t="shared" ca="1" si="485"/>
        <v/>
      </c>
      <c r="CF1556" s="483" t="str">
        <f t="shared" ca="1" si="486"/>
        <v/>
      </c>
      <c r="CG1556" s="482" t="str">
        <f t="shared" ca="1" si="487"/>
        <v/>
      </c>
      <c r="CH1556" s="483" t="str">
        <f t="shared" ca="1" si="488"/>
        <v/>
      </c>
      <c r="CI1556" s="483" t="str">
        <f t="shared" ca="1" si="489"/>
        <v/>
      </c>
      <c r="CJ1556" s="484" t="str">
        <f t="shared" ca="1" si="490"/>
        <v/>
      </c>
      <c r="CK1556" s="483" t="str">
        <f t="shared" ca="1" si="491"/>
        <v/>
      </c>
      <c r="CL1556" s="483" t="str">
        <f t="shared" ca="1" si="492"/>
        <v/>
      </c>
      <c r="CM1556" s="483" t="str">
        <f t="shared" ca="1" si="493"/>
        <v/>
      </c>
      <c r="CN1556" s="483" t="str">
        <f t="shared" ca="1" si="494"/>
        <v/>
      </c>
      <c r="CO1556" s="482" t="str">
        <f t="shared" ca="1" si="495"/>
        <v/>
      </c>
      <c r="CP1556" s="483" t="str">
        <f t="shared" ca="1" si="496"/>
        <v/>
      </c>
      <c r="CQ1556" s="483" t="str">
        <f t="shared" ca="1" si="497"/>
        <v/>
      </c>
      <c r="CR1556" s="484" t="str">
        <f t="shared" ca="1" si="498"/>
        <v/>
      </c>
      <c r="CV1556" s="454" t="str">
        <f t="array" ref="CV1556">IFERROR(INDEX(Montageplatten[Höhe],LARGE((Montageplatten[konf Rahmenbed]=$L$70)*(ROW(Montageplatten[konf Rahmenbed])-1),COUNTIF(Montageplatten[konf Rahmenbed],$L$70)+1-ROW(A53))),"")</f>
        <v/>
      </c>
      <c r="CW1556" t="str">
        <f t="shared" si="409"/>
        <v/>
      </c>
      <c r="CX1556" s="1057"/>
    </row>
    <row r="1557" spans="1:102" hidden="1" outlineLevel="1" x14ac:dyDescent="0.25">
      <c r="A1557">
        <f t="shared" ca="1" si="435"/>
        <v>0</v>
      </c>
      <c r="B1557" s="170" t="str">
        <f t="shared" ca="1" si="501"/>
        <v>---------</v>
      </c>
      <c r="C1557" t="e">
        <f t="shared" ca="1" si="500"/>
        <v>#VALUE!</v>
      </c>
      <c r="D1557" t="e">
        <f t="shared" ca="1" si="499"/>
        <v>#VALUE!</v>
      </c>
      <c r="E1557" t="e">
        <f t="shared" ca="1" si="436"/>
        <v>#VALUE!</v>
      </c>
      <c r="F1557" t="e">
        <f t="shared" ca="1" si="437"/>
        <v>#VALUE!</v>
      </c>
      <c r="G1557" t="e">
        <f t="shared" ca="1" si="438"/>
        <v>#VALUE!</v>
      </c>
      <c r="H1557" t="e">
        <f t="shared" ca="1" si="439"/>
        <v>#VALUE!</v>
      </c>
      <c r="I1557" t="e">
        <f t="shared" ca="1" si="440"/>
        <v>#VALUE!</v>
      </c>
      <c r="J1557" t="e">
        <f t="shared" ca="1" si="441"/>
        <v>#VALUE!</v>
      </c>
      <c r="K1557" t="e">
        <f t="shared" ca="1" si="442"/>
        <v>#VALUE!</v>
      </c>
      <c r="L1557" t="e">
        <f t="shared" ca="1" si="443"/>
        <v>#VALUE!</v>
      </c>
      <c r="M1557" t="e">
        <f t="shared" ca="1" si="444"/>
        <v>#VALUE!</v>
      </c>
      <c r="N1557" t="e">
        <f t="shared" ca="1" si="445"/>
        <v>#VALUE!</v>
      </c>
      <c r="O1557" t="e">
        <f t="shared" ca="1" si="446"/>
        <v>#VALUE!</v>
      </c>
      <c r="P1557" t="e">
        <f t="shared" ca="1" si="447"/>
        <v>#VALUE!</v>
      </c>
      <c r="Q1557" t="e">
        <f t="shared" ca="1" si="448"/>
        <v>#VALUE!</v>
      </c>
      <c r="R1557" t="e">
        <f t="shared" ca="1" si="449"/>
        <v>#VALUE!</v>
      </c>
      <c r="U1557" s="485" t="str">
        <f t="shared" ca="1" si="502"/>
        <v/>
      </c>
      <c r="V1557" s="486" t="str">
        <f t="shared" ca="1" si="503"/>
        <v/>
      </c>
      <c r="W1557" s="486" t="str">
        <f t="shared" ca="1" si="504"/>
        <v/>
      </c>
      <c r="X1557" s="486" t="str">
        <f t="shared" ca="1" si="505"/>
        <v/>
      </c>
      <c r="Y1557" s="485" t="str">
        <f t="shared" ca="1" si="506"/>
        <v/>
      </c>
      <c r="Z1557" s="486" t="str">
        <f t="shared" ca="1" si="507"/>
        <v/>
      </c>
      <c r="AA1557" s="486" t="str">
        <f t="shared" ca="1" si="508"/>
        <v/>
      </c>
      <c r="AB1557" s="486" t="str">
        <f t="shared" ca="1" si="509"/>
        <v/>
      </c>
      <c r="AC1557" s="485" t="str">
        <f t="shared" ca="1" si="510"/>
        <v/>
      </c>
      <c r="AD1557" s="486" t="str">
        <f t="shared" ca="1" si="511"/>
        <v/>
      </c>
      <c r="AE1557" s="486" t="str">
        <f t="shared" ca="1" si="512"/>
        <v/>
      </c>
      <c r="AF1557" s="486" t="str">
        <f t="shared" ca="1" si="513"/>
        <v/>
      </c>
      <c r="AG1557" s="485" t="str">
        <f t="shared" ca="1" si="514"/>
        <v/>
      </c>
      <c r="AH1557" s="486" t="str">
        <f t="shared" ca="1" si="515"/>
        <v/>
      </c>
      <c r="AI1557" s="486" t="str">
        <f t="shared" ca="1" si="516"/>
        <v/>
      </c>
      <c r="AJ1557" s="486" t="str">
        <f t="shared" ca="1" si="517"/>
        <v/>
      </c>
      <c r="AK1557" s="474" t="str">
        <f t="shared" ca="1" si="451"/>
        <v/>
      </c>
      <c r="AL1557" s="480" t="str">
        <f t="shared" ca="1" si="452"/>
        <v>-</v>
      </c>
      <c r="AM1557" s="476" t="str">
        <f t="shared" ca="1" si="453"/>
        <v/>
      </c>
      <c r="AN1557" s="475" t="str">
        <f t="shared" ca="1" si="454"/>
        <v>-</v>
      </c>
      <c r="AO1557" s="460" t="str">
        <f t="shared" ca="1" si="455"/>
        <v/>
      </c>
      <c r="AP1557" s="480" t="str">
        <f t="shared" ca="1" si="456"/>
        <v>-</v>
      </c>
      <c r="AQ1557" s="477" t="str">
        <f t="shared" ca="1" si="457"/>
        <v/>
      </c>
      <c r="AR1557" s="480" t="str">
        <f t="shared" ca="1" si="458"/>
        <v>-</v>
      </c>
      <c r="AS1557" s="34"/>
      <c r="AT1557" s="490" t="str">
        <f t="shared" ca="1" si="518"/>
        <v/>
      </c>
      <c r="AU1557" s="491" t="str">
        <f t="shared" ca="1" si="519"/>
        <v/>
      </c>
      <c r="AV1557" s="491" t="str">
        <f t="shared" ca="1" si="520"/>
        <v/>
      </c>
      <c r="AW1557" s="492" t="str">
        <f t="shared" ca="1" si="521"/>
        <v/>
      </c>
      <c r="AY1557" s="474" t="str">
        <f t="shared" ca="1" si="459"/>
        <v/>
      </c>
      <c r="AZ1557" s="480" t="str">
        <f t="shared" ca="1" si="460"/>
        <v>-</v>
      </c>
      <c r="BA1557" s="476" t="str">
        <f t="shared" ca="1" si="461"/>
        <v/>
      </c>
      <c r="BB1557" s="480" t="str">
        <f t="shared" ca="1" si="462"/>
        <v>-</v>
      </c>
      <c r="BC1557" s="460" t="str">
        <f t="shared" ca="1" si="463"/>
        <v/>
      </c>
      <c r="BD1557" s="480" t="str">
        <f t="shared" ca="1" si="464"/>
        <v>-</v>
      </c>
      <c r="BE1557" s="477" t="str">
        <f t="shared" ca="1" si="465"/>
        <v/>
      </c>
      <c r="BF1557" s="480" t="str">
        <f t="shared" ca="1" si="466"/>
        <v>-</v>
      </c>
      <c r="BG1557" s="488" t="str">
        <f t="shared" ca="1" si="522"/>
        <v/>
      </c>
      <c r="BH1557" s="483" t="str">
        <f t="shared" ca="1" si="523"/>
        <v/>
      </c>
      <c r="BI1557" s="483" t="str">
        <f t="shared" ca="1" si="524"/>
        <v/>
      </c>
      <c r="BJ1557" s="489" t="str">
        <f t="shared" ca="1" si="525"/>
        <v/>
      </c>
      <c r="BL1557" t="str">
        <f t="shared" ca="1" si="467"/>
        <v/>
      </c>
      <c r="BM1557" t="str">
        <f t="shared" ca="1" si="468"/>
        <v/>
      </c>
      <c r="BN1557" t="str">
        <f t="shared" ca="1" si="469"/>
        <v/>
      </c>
      <c r="BO1557" t="str">
        <f t="shared" ca="1" si="470"/>
        <v/>
      </c>
      <c r="BP1557" t="str">
        <f t="shared" ca="1" si="471"/>
        <v/>
      </c>
      <c r="BQ1557" t="str">
        <f t="shared" ca="1" si="472"/>
        <v/>
      </c>
      <c r="BR1557" t="str">
        <f t="shared" ca="1" si="473"/>
        <v/>
      </c>
      <c r="BS1557" t="str">
        <f t="shared" ca="1" si="474"/>
        <v/>
      </c>
      <c r="BT1557" t="str">
        <f t="shared" ca="1" si="475"/>
        <v/>
      </c>
      <c r="BU1557" t="str">
        <f t="shared" ca="1" si="476"/>
        <v/>
      </c>
      <c r="BV1557" t="str">
        <f t="shared" ca="1" si="477"/>
        <v/>
      </c>
      <c r="BW1557" t="str">
        <f t="shared" ca="1" si="478"/>
        <v/>
      </c>
      <c r="BX1557" t="str">
        <f t="shared" ca="1" si="479"/>
        <v/>
      </c>
      <c r="BY1557" t="str">
        <f t="shared" ca="1" si="480"/>
        <v/>
      </c>
      <c r="BZ1557" t="str">
        <f t="shared" ca="1" si="481"/>
        <v/>
      </c>
      <c r="CA1557" t="str">
        <f t="shared" ca="1" si="482"/>
        <v/>
      </c>
      <c r="CC1557" s="482" t="str">
        <f t="shared" ca="1" si="483"/>
        <v/>
      </c>
      <c r="CD1557" s="483" t="str">
        <f t="shared" ca="1" si="484"/>
        <v/>
      </c>
      <c r="CE1557" s="483" t="str">
        <f t="shared" ca="1" si="485"/>
        <v/>
      </c>
      <c r="CF1557" s="483" t="str">
        <f t="shared" ca="1" si="486"/>
        <v/>
      </c>
      <c r="CG1557" s="482" t="str">
        <f t="shared" ca="1" si="487"/>
        <v/>
      </c>
      <c r="CH1557" s="483" t="str">
        <f t="shared" ca="1" si="488"/>
        <v/>
      </c>
      <c r="CI1557" s="483" t="str">
        <f t="shared" ca="1" si="489"/>
        <v/>
      </c>
      <c r="CJ1557" s="484" t="str">
        <f t="shared" ca="1" si="490"/>
        <v/>
      </c>
      <c r="CK1557" s="483" t="str">
        <f t="shared" ca="1" si="491"/>
        <v/>
      </c>
      <c r="CL1557" s="483" t="str">
        <f t="shared" ca="1" si="492"/>
        <v/>
      </c>
      <c r="CM1557" s="483" t="str">
        <f t="shared" ca="1" si="493"/>
        <v/>
      </c>
      <c r="CN1557" s="483" t="str">
        <f t="shared" ca="1" si="494"/>
        <v/>
      </c>
      <c r="CO1557" s="482" t="str">
        <f t="shared" ca="1" si="495"/>
        <v/>
      </c>
      <c r="CP1557" s="483" t="str">
        <f t="shared" ca="1" si="496"/>
        <v/>
      </c>
      <c r="CQ1557" s="483" t="str">
        <f t="shared" ca="1" si="497"/>
        <v/>
      </c>
      <c r="CR1557" s="484" t="str">
        <f t="shared" ca="1" si="498"/>
        <v/>
      </c>
      <c r="CV1557" s="454" t="str">
        <f t="array" ref="CV1557">IFERROR(INDEX(Montageplatten[Höhe],LARGE((Montageplatten[konf Rahmenbed]=$L$70)*(ROW(Montageplatten[konf Rahmenbed])-1),COUNTIF(Montageplatten[konf Rahmenbed],$L$70)+1-ROW(A54))),"")</f>
        <v/>
      </c>
      <c r="CW1557" t="str">
        <f t="shared" si="409"/>
        <v/>
      </c>
      <c r="CX1557" s="1057"/>
    </row>
    <row r="1558" spans="1:102" hidden="1" outlineLevel="1" x14ac:dyDescent="0.25">
      <c r="A1558">
        <f t="shared" ca="1" si="435"/>
        <v>1</v>
      </c>
      <c r="B1558" s="170">
        <f t="shared" ca="1" si="501"/>
        <v>0</v>
      </c>
      <c r="C1558">
        <f t="shared" ca="1" si="500"/>
        <v>20</v>
      </c>
      <c r="D1558">
        <f t="shared" ca="1" si="499"/>
        <v>17</v>
      </c>
      <c r="E1558">
        <f t="shared" ca="1" si="436"/>
        <v>10.5</v>
      </c>
      <c r="F1558">
        <f t="shared" ca="1" si="437"/>
        <v>1</v>
      </c>
      <c r="G1558" t="e">
        <f t="shared" ca="1" si="438"/>
        <v>#VALUE!</v>
      </c>
      <c r="H1558" t="e">
        <f t="shared" ca="1" si="439"/>
        <v>#VALUE!</v>
      </c>
      <c r="I1558" t="e">
        <f t="shared" ca="1" si="440"/>
        <v>#VALUE!</v>
      </c>
      <c r="J1558" t="e">
        <f t="shared" ca="1" si="441"/>
        <v>#VALUE!</v>
      </c>
      <c r="K1558" t="e">
        <f t="shared" ca="1" si="442"/>
        <v>#VALUE!</v>
      </c>
      <c r="L1558" t="e">
        <f t="shared" ca="1" si="443"/>
        <v>#VALUE!</v>
      </c>
      <c r="M1558" t="e">
        <f t="shared" ca="1" si="444"/>
        <v>#VALUE!</v>
      </c>
      <c r="N1558" t="e">
        <f t="shared" ca="1" si="445"/>
        <v>#VALUE!</v>
      </c>
      <c r="O1558">
        <f t="shared" ca="1" si="446"/>
        <v>6</v>
      </c>
      <c r="P1558" t="e">
        <f t="shared" ca="1" si="447"/>
        <v>#VALUE!</v>
      </c>
      <c r="Q1558" t="e">
        <f t="shared" ca="1" si="448"/>
        <v>#VALUE!</v>
      </c>
      <c r="R1558" t="e">
        <f t="shared" ca="1" si="449"/>
        <v>#VALUE!</v>
      </c>
      <c r="U1558" s="485" t="str">
        <f t="shared" ca="1" si="502"/>
        <v/>
      </c>
      <c r="V1558" s="486" t="str">
        <f t="shared" ca="1" si="503"/>
        <v/>
      </c>
      <c r="W1558" s="486" t="str">
        <f t="shared" ca="1" si="504"/>
        <v/>
      </c>
      <c r="X1558" s="486" t="str">
        <f t="shared" ca="1" si="505"/>
        <v/>
      </c>
      <c r="Y1558" s="485" t="str">
        <f t="shared" ca="1" si="506"/>
        <v/>
      </c>
      <c r="Z1558" s="486" t="str">
        <f t="shared" ca="1" si="507"/>
        <v/>
      </c>
      <c r="AA1558" s="486" t="str">
        <f t="shared" ca="1" si="508"/>
        <v/>
      </c>
      <c r="AB1558" s="486" t="str">
        <f t="shared" ca="1" si="509"/>
        <v/>
      </c>
      <c r="AC1558" s="485" t="str">
        <f t="shared" ca="1" si="510"/>
        <v/>
      </c>
      <c r="AD1558" s="486" t="str">
        <f t="shared" ca="1" si="511"/>
        <v/>
      </c>
      <c r="AE1558" s="486" t="str">
        <f t="shared" ca="1" si="512"/>
        <v/>
      </c>
      <c r="AF1558" s="486" t="str">
        <f t="shared" ca="1" si="513"/>
        <v/>
      </c>
      <c r="AG1558" s="485">
        <f t="shared" ca="1" si="514"/>
        <v>1</v>
      </c>
      <c r="AH1558" s="486" t="str">
        <f t="shared" ca="1" si="515"/>
        <v/>
      </c>
      <c r="AI1558" s="486" t="str">
        <f t="shared" ca="1" si="516"/>
        <v/>
      </c>
      <c r="AJ1558" s="486" t="str">
        <f t="shared" ca="1" si="517"/>
        <v/>
      </c>
      <c r="AK1558" s="474" t="str">
        <f t="shared" ca="1" si="451"/>
        <v/>
      </c>
      <c r="AL1558" s="480" t="str">
        <f t="shared" ca="1" si="452"/>
        <v>-</v>
      </c>
      <c r="AM1558" s="476" t="str">
        <f t="shared" ca="1" si="453"/>
        <v/>
      </c>
      <c r="AN1558" s="475" t="str">
        <f t="shared" ca="1" si="454"/>
        <v>-</v>
      </c>
      <c r="AO1558" s="460" t="str">
        <f t="shared" ca="1" si="455"/>
        <v/>
      </c>
      <c r="AP1558" s="480" t="str">
        <f t="shared" ca="1" si="456"/>
        <v>-</v>
      </c>
      <c r="AQ1558" s="477" t="str">
        <f t="shared" ca="1" si="457"/>
        <v/>
      </c>
      <c r="AR1558" s="480" t="str">
        <f t="shared" ca="1" si="458"/>
        <v>-</v>
      </c>
      <c r="AS1558" s="34"/>
      <c r="AT1558" s="490" t="str">
        <f t="shared" ca="1" si="518"/>
        <v/>
      </c>
      <c r="AU1558" s="491" t="str">
        <f t="shared" ca="1" si="519"/>
        <v/>
      </c>
      <c r="AV1558" s="491" t="str">
        <f t="shared" ca="1" si="520"/>
        <v/>
      </c>
      <c r="AW1558" s="492" t="str">
        <f t="shared" ca="1" si="521"/>
        <v/>
      </c>
      <c r="AY1558" s="474" t="str">
        <f t="shared" ca="1" si="459"/>
        <v/>
      </c>
      <c r="AZ1558" s="480" t="str">
        <f t="shared" ca="1" si="460"/>
        <v>-</v>
      </c>
      <c r="BA1558" s="476" t="str">
        <f t="shared" ca="1" si="461"/>
        <v/>
      </c>
      <c r="BB1558" s="480" t="str">
        <f t="shared" ca="1" si="462"/>
        <v>-</v>
      </c>
      <c r="BC1558" s="460" t="str">
        <f t="shared" ca="1" si="463"/>
        <v/>
      </c>
      <c r="BD1558" s="480" t="str">
        <f t="shared" ca="1" si="464"/>
        <v>-</v>
      </c>
      <c r="BE1558" s="477" t="str">
        <f t="shared" ca="1" si="465"/>
        <v/>
      </c>
      <c r="BF1558" s="480" t="str">
        <f t="shared" ca="1" si="466"/>
        <v>-</v>
      </c>
      <c r="BG1558" s="488" t="str">
        <f t="shared" ca="1" si="522"/>
        <v/>
      </c>
      <c r="BH1558" s="483" t="str">
        <f t="shared" ca="1" si="523"/>
        <v/>
      </c>
      <c r="BI1558" s="483" t="str">
        <f t="shared" ca="1" si="524"/>
        <v/>
      </c>
      <c r="BJ1558" s="489" t="str">
        <f t="shared" ca="1" si="525"/>
        <v/>
      </c>
      <c r="BL1558" t="str">
        <f t="shared" ca="1" si="467"/>
        <v/>
      </c>
      <c r="BM1558" t="str">
        <f t="shared" ca="1" si="468"/>
        <v/>
      </c>
      <c r="BN1558" t="str">
        <f t="shared" ca="1" si="469"/>
        <v/>
      </c>
      <c r="BO1558" t="str">
        <f t="shared" ca="1" si="470"/>
        <v/>
      </c>
      <c r="BP1558" t="str">
        <f t="shared" ca="1" si="471"/>
        <v/>
      </c>
      <c r="BQ1558" t="str">
        <f t="shared" ca="1" si="472"/>
        <v/>
      </c>
      <c r="BR1558" t="str">
        <f t="shared" ca="1" si="473"/>
        <v/>
      </c>
      <c r="BS1558" t="str">
        <f t="shared" ca="1" si="474"/>
        <v/>
      </c>
      <c r="BT1558" t="str">
        <f t="shared" ca="1" si="475"/>
        <v/>
      </c>
      <c r="BU1558" t="str">
        <f t="shared" ca="1" si="476"/>
        <v/>
      </c>
      <c r="BV1558" t="str">
        <f t="shared" ca="1" si="477"/>
        <v/>
      </c>
      <c r="BW1558" t="str">
        <f t="shared" ca="1" si="478"/>
        <v/>
      </c>
      <c r="BX1558" t="str">
        <f t="shared" ca="1" si="479"/>
        <v/>
      </c>
      <c r="BY1558" t="str">
        <f t="shared" ca="1" si="480"/>
        <v/>
      </c>
      <c r="BZ1558" t="str">
        <f t="shared" ca="1" si="481"/>
        <v/>
      </c>
      <c r="CA1558" t="str">
        <f t="shared" ca="1" si="482"/>
        <v/>
      </c>
      <c r="CC1558" s="482" t="str">
        <f t="shared" ca="1" si="483"/>
        <v/>
      </c>
      <c r="CD1558" s="483" t="str">
        <f t="shared" ca="1" si="484"/>
        <v/>
      </c>
      <c r="CE1558" s="483" t="str">
        <f t="shared" ca="1" si="485"/>
        <v/>
      </c>
      <c r="CF1558" s="483" t="str">
        <f t="shared" ca="1" si="486"/>
        <v/>
      </c>
      <c r="CG1558" s="482" t="str">
        <f t="shared" ca="1" si="487"/>
        <v/>
      </c>
      <c r="CH1558" s="483" t="str">
        <f t="shared" ca="1" si="488"/>
        <v/>
      </c>
      <c r="CI1558" s="483" t="str">
        <f t="shared" ca="1" si="489"/>
        <v/>
      </c>
      <c r="CJ1558" s="484" t="str">
        <f t="shared" ca="1" si="490"/>
        <v/>
      </c>
      <c r="CK1558" s="483" t="str">
        <f t="shared" ca="1" si="491"/>
        <v/>
      </c>
      <c r="CL1558" s="483" t="str">
        <f t="shared" ca="1" si="492"/>
        <v/>
      </c>
      <c r="CM1558" s="483" t="str">
        <f t="shared" ca="1" si="493"/>
        <v/>
      </c>
      <c r="CN1558" s="483" t="str">
        <f t="shared" ca="1" si="494"/>
        <v/>
      </c>
      <c r="CO1558" s="482" t="str">
        <f t="shared" ca="1" si="495"/>
        <v/>
      </c>
      <c r="CP1558" s="483" t="str">
        <f t="shared" ca="1" si="496"/>
        <v/>
      </c>
      <c r="CQ1558" s="483" t="str">
        <f t="shared" ca="1" si="497"/>
        <v/>
      </c>
      <c r="CR1558" s="484" t="str">
        <f t="shared" ca="1" si="498"/>
        <v/>
      </c>
      <c r="CV1558" s="454" t="str">
        <f t="array" ref="CV1558">IFERROR(INDEX(Montageplatten[Höhe],LARGE((Montageplatten[konf Rahmenbed]=$L$70)*(ROW(Montageplatten[konf Rahmenbed])-1),COUNTIF(Montageplatten[konf Rahmenbed],$L$70)+1-ROW(A55))),"")</f>
        <v/>
      </c>
      <c r="CW1558" t="str">
        <f t="shared" si="409"/>
        <v/>
      </c>
      <c r="CX1558" s="1057"/>
    </row>
    <row r="1559" spans="1:102" hidden="1" outlineLevel="1" x14ac:dyDescent="0.25">
      <c r="A1559">
        <f t="shared" ca="1" si="435"/>
        <v>0</v>
      </c>
      <c r="B1559" s="170">
        <f t="shared" ca="1" si="501"/>
        <v>-0.5</v>
      </c>
      <c r="C1559">
        <f t="shared" ca="1" si="500"/>
        <v>20.5</v>
      </c>
      <c r="D1559">
        <f t="shared" ca="1" si="499"/>
        <v>17.5</v>
      </c>
      <c r="E1559">
        <f t="shared" ca="1" si="436"/>
        <v>11</v>
      </c>
      <c r="F1559">
        <f t="shared" ca="1" si="437"/>
        <v>1.5</v>
      </c>
      <c r="G1559" t="e">
        <f t="shared" ca="1" si="438"/>
        <v>#VALUE!</v>
      </c>
      <c r="H1559" t="e">
        <f t="shared" ca="1" si="439"/>
        <v>#VALUE!</v>
      </c>
      <c r="I1559" t="e">
        <f t="shared" ca="1" si="440"/>
        <v>#VALUE!</v>
      </c>
      <c r="J1559" t="e">
        <f t="shared" ca="1" si="441"/>
        <v>#VALUE!</v>
      </c>
      <c r="K1559" t="e">
        <f t="shared" ca="1" si="442"/>
        <v>#VALUE!</v>
      </c>
      <c r="L1559" t="e">
        <f t="shared" ca="1" si="443"/>
        <v>#VALUE!</v>
      </c>
      <c r="M1559" t="e">
        <f t="shared" ca="1" si="444"/>
        <v>#VALUE!</v>
      </c>
      <c r="N1559" t="e">
        <f t="shared" ca="1" si="445"/>
        <v>#VALUE!</v>
      </c>
      <c r="O1559">
        <f t="shared" ca="1" si="446"/>
        <v>6.5</v>
      </c>
      <c r="P1559" t="e">
        <f t="shared" ca="1" si="447"/>
        <v>#VALUE!</v>
      </c>
      <c r="Q1559" t="e">
        <f t="shared" ca="1" si="448"/>
        <v>#VALUE!</v>
      </c>
      <c r="R1559" t="e">
        <f t="shared" ca="1" si="449"/>
        <v>#VALUE!</v>
      </c>
      <c r="U1559" s="485" t="str">
        <f t="shared" ca="1" si="502"/>
        <v/>
      </c>
      <c r="V1559" s="486" t="str">
        <f t="shared" ca="1" si="503"/>
        <v/>
      </c>
      <c r="W1559" s="486" t="str">
        <f t="shared" ca="1" si="504"/>
        <v/>
      </c>
      <c r="X1559" s="486" t="str">
        <f t="shared" ca="1" si="505"/>
        <v/>
      </c>
      <c r="Y1559" s="485" t="str">
        <f t="shared" ca="1" si="506"/>
        <v/>
      </c>
      <c r="Z1559" s="486" t="str">
        <f t="shared" ca="1" si="507"/>
        <v/>
      </c>
      <c r="AA1559" s="486" t="str">
        <f t="shared" ca="1" si="508"/>
        <v/>
      </c>
      <c r="AB1559" s="486" t="str">
        <f t="shared" ca="1" si="509"/>
        <v/>
      </c>
      <c r="AC1559" s="485" t="str">
        <f t="shared" ca="1" si="510"/>
        <v/>
      </c>
      <c r="AD1559" s="486" t="str">
        <f t="shared" ca="1" si="511"/>
        <v/>
      </c>
      <c r="AE1559" s="486" t="str">
        <f t="shared" ca="1" si="512"/>
        <v/>
      </c>
      <c r="AF1559" s="486" t="str">
        <f t="shared" ca="1" si="513"/>
        <v/>
      </c>
      <c r="AG1559" s="485" t="str">
        <f t="shared" ca="1" si="514"/>
        <v/>
      </c>
      <c r="AH1559" s="486" t="str">
        <f t="shared" ca="1" si="515"/>
        <v/>
      </c>
      <c r="AI1559" s="486" t="str">
        <f t="shared" ca="1" si="516"/>
        <v/>
      </c>
      <c r="AJ1559" s="486" t="str">
        <f t="shared" ca="1" si="517"/>
        <v/>
      </c>
      <c r="AK1559" s="474" t="str">
        <f t="shared" ca="1" si="451"/>
        <v/>
      </c>
      <c r="AL1559" s="480" t="str">
        <f t="shared" ca="1" si="452"/>
        <v>-</v>
      </c>
      <c r="AM1559" s="476" t="str">
        <f t="shared" ca="1" si="453"/>
        <v/>
      </c>
      <c r="AN1559" s="475" t="str">
        <f t="shared" ca="1" si="454"/>
        <v>-</v>
      </c>
      <c r="AO1559" s="460" t="str">
        <f t="shared" ca="1" si="455"/>
        <v/>
      </c>
      <c r="AP1559" s="480" t="str">
        <f t="shared" ca="1" si="456"/>
        <v>-</v>
      </c>
      <c r="AQ1559" s="477" t="str">
        <f t="shared" ca="1" si="457"/>
        <v/>
      </c>
      <c r="AR1559" s="480" t="str">
        <f t="shared" ca="1" si="458"/>
        <v>-</v>
      </c>
      <c r="AS1559" s="34"/>
      <c r="AT1559" s="490" t="str">
        <f t="shared" ca="1" si="518"/>
        <v/>
      </c>
      <c r="AU1559" s="491" t="str">
        <f t="shared" ca="1" si="519"/>
        <v/>
      </c>
      <c r="AV1559" s="491" t="str">
        <f t="shared" ca="1" si="520"/>
        <v/>
      </c>
      <c r="AW1559" s="492" t="str">
        <f t="shared" ca="1" si="521"/>
        <v/>
      </c>
      <c r="AY1559" s="474" t="str">
        <f t="shared" ca="1" si="459"/>
        <v/>
      </c>
      <c r="AZ1559" s="480" t="str">
        <f t="shared" ca="1" si="460"/>
        <v>-</v>
      </c>
      <c r="BA1559" s="476" t="str">
        <f t="shared" ca="1" si="461"/>
        <v/>
      </c>
      <c r="BB1559" s="480" t="str">
        <f t="shared" ca="1" si="462"/>
        <v>-</v>
      </c>
      <c r="BC1559" s="460" t="str">
        <f t="shared" ca="1" si="463"/>
        <v/>
      </c>
      <c r="BD1559" s="480" t="str">
        <f t="shared" ca="1" si="464"/>
        <v>-</v>
      </c>
      <c r="BE1559" s="477" t="str">
        <f t="shared" ca="1" si="465"/>
        <v/>
      </c>
      <c r="BF1559" s="480" t="str">
        <f t="shared" ca="1" si="466"/>
        <v>-</v>
      </c>
      <c r="BG1559" s="488" t="str">
        <f t="shared" ca="1" si="522"/>
        <v/>
      </c>
      <c r="BH1559" s="483" t="str">
        <f t="shared" ca="1" si="523"/>
        <v/>
      </c>
      <c r="BI1559" s="483" t="str">
        <f t="shared" ca="1" si="524"/>
        <v/>
      </c>
      <c r="BJ1559" s="489" t="str">
        <f t="shared" ca="1" si="525"/>
        <v/>
      </c>
      <c r="BL1559" t="str">
        <f t="shared" ca="1" si="467"/>
        <v/>
      </c>
      <c r="BM1559" t="str">
        <f t="shared" ca="1" si="468"/>
        <v/>
      </c>
      <c r="BN1559" t="str">
        <f t="shared" ca="1" si="469"/>
        <v/>
      </c>
      <c r="BO1559" t="str">
        <f t="shared" ca="1" si="470"/>
        <v/>
      </c>
      <c r="BP1559" t="str">
        <f t="shared" ca="1" si="471"/>
        <v/>
      </c>
      <c r="BQ1559" t="str">
        <f t="shared" ca="1" si="472"/>
        <v/>
      </c>
      <c r="BR1559" t="str">
        <f t="shared" ca="1" si="473"/>
        <v/>
      </c>
      <c r="BS1559" t="str">
        <f t="shared" ca="1" si="474"/>
        <v/>
      </c>
      <c r="BT1559" t="str">
        <f t="shared" ca="1" si="475"/>
        <v/>
      </c>
      <c r="BU1559" t="str">
        <f t="shared" ca="1" si="476"/>
        <v/>
      </c>
      <c r="BV1559" t="str">
        <f t="shared" ca="1" si="477"/>
        <v/>
      </c>
      <c r="BW1559" t="str">
        <f t="shared" ca="1" si="478"/>
        <v/>
      </c>
      <c r="BX1559" t="str">
        <f t="shared" ca="1" si="479"/>
        <v/>
      </c>
      <c r="BY1559" t="str">
        <f t="shared" ca="1" si="480"/>
        <v/>
      </c>
      <c r="BZ1559" t="str">
        <f t="shared" ca="1" si="481"/>
        <v/>
      </c>
      <c r="CA1559" t="str">
        <f t="shared" ca="1" si="482"/>
        <v/>
      </c>
      <c r="CC1559" s="482" t="str">
        <f t="shared" ca="1" si="483"/>
        <v/>
      </c>
      <c r="CD1559" s="483" t="str">
        <f t="shared" ca="1" si="484"/>
        <v/>
      </c>
      <c r="CE1559" s="483" t="str">
        <f t="shared" ca="1" si="485"/>
        <v/>
      </c>
      <c r="CF1559" s="483" t="str">
        <f t="shared" ca="1" si="486"/>
        <v/>
      </c>
      <c r="CG1559" s="482" t="str">
        <f t="shared" ca="1" si="487"/>
        <v/>
      </c>
      <c r="CH1559" s="483" t="str">
        <f t="shared" ca="1" si="488"/>
        <v/>
      </c>
      <c r="CI1559" s="483" t="str">
        <f t="shared" ca="1" si="489"/>
        <v/>
      </c>
      <c r="CJ1559" s="484" t="str">
        <f t="shared" ca="1" si="490"/>
        <v/>
      </c>
      <c r="CK1559" s="483" t="str">
        <f t="shared" ca="1" si="491"/>
        <v/>
      </c>
      <c r="CL1559" s="483" t="str">
        <f t="shared" ca="1" si="492"/>
        <v/>
      </c>
      <c r="CM1559" s="483" t="str">
        <f t="shared" ca="1" si="493"/>
        <v/>
      </c>
      <c r="CN1559" s="483" t="str">
        <f t="shared" ca="1" si="494"/>
        <v/>
      </c>
      <c r="CO1559" s="482" t="str">
        <f t="shared" ca="1" si="495"/>
        <v/>
      </c>
      <c r="CP1559" s="483" t="str">
        <f t="shared" ca="1" si="496"/>
        <v/>
      </c>
      <c r="CQ1559" s="483" t="str">
        <f t="shared" ca="1" si="497"/>
        <v/>
      </c>
      <c r="CR1559" s="484" t="str">
        <f t="shared" ca="1" si="498"/>
        <v/>
      </c>
      <c r="CV1559" s="454" t="str">
        <f t="array" ref="CV1559">IFERROR(INDEX(Montageplatten[Höhe],LARGE((Montageplatten[konf Rahmenbed]=$L$70)*(ROW(Montageplatten[konf Rahmenbed])-1),COUNTIF(Montageplatten[konf Rahmenbed],$L$70)+1-ROW(A56))),"")</f>
        <v/>
      </c>
      <c r="CW1559" t="str">
        <f t="shared" si="409"/>
        <v/>
      </c>
      <c r="CX1559" s="1057"/>
    </row>
    <row r="1560" spans="1:102" hidden="1" outlineLevel="1" x14ac:dyDescent="0.25">
      <c r="A1560">
        <f t="shared" ca="1" si="435"/>
        <v>1</v>
      </c>
      <c r="B1560" s="170">
        <f t="shared" ca="1" si="501"/>
        <v>-1</v>
      </c>
      <c r="C1560">
        <f t="shared" ca="1" si="500"/>
        <v>21</v>
      </c>
      <c r="D1560">
        <f t="shared" ca="1" si="499"/>
        <v>18</v>
      </c>
      <c r="E1560">
        <f t="shared" ca="1" si="436"/>
        <v>11.5</v>
      </c>
      <c r="F1560">
        <f t="shared" ca="1" si="437"/>
        <v>2</v>
      </c>
      <c r="G1560" t="e">
        <f t="shared" ca="1" si="438"/>
        <v>#VALUE!</v>
      </c>
      <c r="H1560" t="e">
        <f t="shared" ca="1" si="439"/>
        <v>#VALUE!</v>
      </c>
      <c r="I1560" t="e">
        <f t="shared" ca="1" si="440"/>
        <v>#VALUE!</v>
      </c>
      <c r="J1560" t="e">
        <f t="shared" ca="1" si="441"/>
        <v>#VALUE!</v>
      </c>
      <c r="K1560" t="e">
        <f t="shared" ca="1" si="442"/>
        <v>#VALUE!</v>
      </c>
      <c r="L1560" t="e">
        <f t="shared" ca="1" si="443"/>
        <v>#VALUE!</v>
      </c>
      <c r="M1560" t="e">
        <f t="shared" ca="1" si="444"/>
        <v>#VALUE!</v>
      </c>
      <c r="N1560" t="e">
        <f t="shared" ca="1" si="445"/>
        <v>#VALUE!</v>
      </c>
      <c r="O1560">
        <f t="shared" ca="1" si="446"/>
        <v>7</v>
      </c>
      <c r="P1560" t="e">
        <f t="shared" ca="1" si="447"/>
        <v>#VALUE!</v>
      </c>
      <c r="Q1560" t="e">
        <f t="shared" ca="1" si="448"/>
        <v>#VALUE!</v>
      </c>
      <c r="R1560" t="e">
        <f t="shared" ca="1" si="449"/>
        <v>#VALUE!</v>
      </c>
      <c r="U1560" s="485">
        <f t="shared" ca="1" si="502"/>
        <v>1</v>
      </c>
      <c r="V1560" s="486" t="str">
        <f t="shared" ca="1" si="503"/>
        <v/>
      </c>
      <c r="W1560" s="486" t="str">
        <f t="shared" ca="1" si="504"/>
        <v/>
      </c>
      <c r="X1560" s="486">
        <f t="shared" ca="1" si="505"/>
        <v>1</v>
      </c>
      <c r="Y1560" s="485" t="str">
        <f t="shared" ca="1" si="506"/>
        <v/>
      </c>
      <c r="Z1560" s="486" t="str">
        <f t="shared" ca="1" si="507"/>
        <v/>
      </c>
      <c r="AA1560" s="486" t="str">
        <f t="shared" ca="1" si="508"/>
        <v/>
      </c>
      <c r="AB1560" s="486" t="str">
        <f t="shared" ca="1" si="509"/>
        <v/>
      </c>
      <c r="AC1560" s="485" t="str">
        <f t="shared" ca="1" si="510"/>
        <v/>
      </c>
      <c r="AD1560" s="486" t="str">
        <f t="shared" ca="1" si="511"/>
        <v/>
      </c>
      <c r="AE1560" s="486" t="str">
        <f t="shared" ca="1" si="512"/>
        <v/>
      </c>
      <c r="AF1560" s="486" t="str">
        <f t="shared" ca="1" si="513"/>
        <v/>
      </c>
      <c r="AG1560" s="485" t="str">
        <f t="shared" ca="1" si="514"/>
        <v/>
      </c>
      <c r="AH1560" s="486" t="str">
        <f t="shared" ca="1" si="515"/>
        <v/>
      </c>
      <c r="AI1560" s="486" t="str">
        <f t="shared" ca="1" si="516"/>
        <v/>
      </c>
      <c r="AJ1560" s="486" t="str">
        <f t="shared" ca="1" si="517"/>
        <v/>
      </c>
      <c r="AK1560" s="474" t="str">
        <f t="shared" ca="1" si="451"/>
        <v/>
      </c>
      <c r="AL1560" s="480" t="str">
        <f t="shared" ca="1" si="452"/>
        <v>-</v>
      </c>
      <c r="AM1560" s="476" t="str">
        <f t="shared" ca="1" si="453"/>
        <v/>
      </c>
      <c r="AN1560" s="475" t="str">
        <f t="shared" ca="1" si="454"/>
        <v>-</v>
      </c>
      <c r="AO1560" s="460" t="str">
        <f t="shared" ca="1" si="455"/>
        <v/>
      </c>
      <c r="AP1560" s="480" t="str">
        <f t="shared" ca="1" si="456"/>
        <v>-</v>
      </c>
      <c r="AQ1560" s="477" t="str">
        <f t="shared" ca="1" si="457"/>
        <v/>
      </c>
      <c r="AR1560" s="480" t="str">
        <f t="shared" ca="1" si="458"/>
        <v>-</v>
      </c>
      <c r="AS1560" s="34"/>
      <c r="AT1560" s="490" t="str">
        <f t="shared" ca="1" si="518"/>
        <v/>
      </c>
      <c r="AU1560" s="491" t="str">
        <f t="shared" ca="1" si="519"/>
        <v/>
      </c>
      <c r="AV1560" s="491" t="str">
        <f t="shared" ca="1" si="520"/>
        <v/>
      </c>
      <c r="AW1560" s="492" t="str">
        <f t="shared" ca="1" si="521"/>
        <v/>
      </c>
      <c r="AY1560" s="474" t="str">
        <f t="shared" ca="1" si="459"/>
        <v/>
      </c>
      <c r="AZ1560" s="480" t="str">
        <f t="shared" ca="1" si="460"/>
        <v>-</v>
      </c>
      <c r="BA1560" s="476" t="str">
        <f t="shared" ca="1" si="461"/>
        <v/>
      </c>
      <c r="BB1560" s="480" t="str">
        <f t="shared" ca="1" si="462"/>
        <v>-</v>
      </c>
      <c r="BC1560" s="460" t="str">
        <f t="shared" ca="1" si="463"/>
        <v/>
      </c>
      <c r="BD1560" s="480" t="str">
        <f t="shared" ca="1" si="464"/>
        <v>-</v>
      </c>
      <c r="BE1560" s="477" t="str">
        <f t="shared" ca="1" si="465"/>
        <v/>
      </c>
      <c r="BF1560" s="480" t="str">
        <f t="shared" ca="1" si="466"/>
        <v>-</v>
      </c>
      <c r="BG1560" s="488" t="str">
        <f t="shared" ca="1" si="522"/>
        <v/>
      </c>
      <c r="BH1560" s="483" t="str">
        <f t="shared" ca="1" si="523"/>
        <v/>
      </c>
      <c r="BI1560" s="483" t="str">
        <f t="shared" ca="1" si="524"/>
        <v/>
      </c>
      <c r="BJ1560" s="489" t="str">
        <f t="shared" ca="1" si="525"/>
        <v/>
      </c>
      <c r="BL1560" t="str">
        <f t="shared" ca="1" si="467"/>
        <v/>
      </c>
      <c r="BM1560" t="str">
        <f t="shared" ca="1" si="468"/>
        <v/>
      </c>
      <c r="BN1560" t="str">
        <f t="shared" ca="1" si="469"/>
        <v/>
      </c>
      <c r="BO1560" t="str">
        <f t="shared" ca="1" si="470"/>
        <v/>
      </c>
      <c r="BP1560" t="str">
        <f t="shared" ca="1" si="471"/>
        <v/>
      </c>
      <c r="BQ1560" t="str">
        <f t="shared" ca="1" si="472"/>
        <v/>
      </c>
      <c r="BR1560" t="str">
        <f t="shared" ca="1" si="473"/>
        <v/>
      </c>
      <c r="BS1560" t="str">
        <f t="shared" ca="1" si="474"/>
        <v/>
      </c>
      <c r="BT1560" t="str">
        <f t="shared" ca="1" si="475"/>
        <v/>
      </c>
      <c r="BU1560" t="str">
        <f t="shared" ca="1" si="476"/>
        <v/>
      </c>
      <c r="BV1560" t="str">
        <f t="shared" ca="1" si="477"/>
        <v/>
      </c>
      <c r="BW1560" t="str">
        <f t="shared" ca="1" si="478"/>
        <v/>
      </c>
      <c r="BX1560" t="str">
        <f t="shared" ca="1" si="479"/>
        <v/>
      </c>
      <c r="BY1560" t="str">
        <f t="shared" ca="1" si="480"/>
        <v/>
      </c>
      <c r="BZ1560" t="str">
        <f t="shared" ca="1" si="481"/>
        <v/>
      </c>
      <c r="CA1560" t="str">
        <f t="shared" ca="1" si="482"/>
        <v/>
      </c>
      <c r="CC1560" s="482" t="str">
        <f t="shared" ca="1" si="483"/>
        <v/>
      </c>
      <c r="CD1560" s="483" t="str">
        <f t="shared" ca="1" si="484"/>
        <v/>
      </c>
      <c r="CE1560" s="483" t="str">
        <f t="shared" ca="1" si="485"/>
        <v/>
      </c>
      <c r="CF1560" s="483" t="str">
        <f t="shared" ca="1" si="486"/>
        <v/>
      </c>
      <c r="CG1560" s="482" t="str">
        <f t="shared" ca="1" si="487"/>
        <v/>
      </c>
      <c r="CH1560" s="483" t="str">
        <f t="shared" ca="1" si="488"/>
        <v/>
      </c>
      <c r="CI1560" s="483" t="str">
        <f t="shared" ca="1" si="489"/>
        <v/>
      </c>
      <c r="CJ1560" s="484" t="str">
        <f t="shared" ca="1" si="490"/>
        <v/>
      </c>
      <c r="CK1560" s="483" t="str">
        <f t="shared" ca="1" si="491"/>
        <v/>
      </c>
      <c r="CL1560" s="483" t="str">
        <f t="shared" ca="1" si="492"/>
        <v/>
      </c>
      <c r="CM1560" s="483" t="str">
        <f t="shared" ca="1" si="493"/>
        <v/>
      </c>
      <c r="CN1560" s="483" t="str">
        <f t="shared" ca="1" si="494"/>
        <v/>
      </c>
      <c r="CO1560" s="482" t="str">
        <f t="shared" ca="1" si="495"/>
        <v/>
      </c>
      <c r="CP1560" s="483" t="str">
        <f t="shared" ca="1" si="496"/>
        <v/>
      </c>
      <c r="CQ1560" s="483" t="str">
        <f t="shared" ca="1" si="497"/>
        <v/>
      </c>
      <c r="CR1560" s="484" t="str">
        <f t="shared" ca="1" si="498"/>
        <v/>
      </c>
      <c r="CV1560" s="454" t="str">
        <f t="array" ref="CV1560">IFERROR(INDEX(Montageplatten[Höhe],LARGE((Montageplatten[konf Rahmenbed]=$L$70)*(ROW(Montageplatten[konf Rahmenbed])-1),COUNTIF(Montageplatten[konf Rahmenbed],$L$70)+1-ROW(A57))),"")</f>
        <v/>
      </c>
      <c r="CW1560" t="str">
        <f t="shared" si="409"/>
        <v/>
      </c>
      <c r="CX1560" s="1057"/>
    </row>
    <row r="1561" spans="1:102" hidden="1" outlineLevel="1" x14ac:dyDescent="0.25">
      <c r="A1561">
        <f t="shared" ca="1" si="435"/>
        <v>1</v>
      </c>
      <c r="B1561" s="170">
        <f t="shared" ca="1" si="501"/>
        <v>-1.5</v>
      </c>
      <c r="C1561">
        <f t="shared" ca="1" si="500"/>
        <v>21.5</v>
      </c>
      <c r="D1561">
        <f t="shared" ca="1" si="499"/>
        <v>18.5</v>
      </c>
      <c r="E1561">
        <f t="shared" ca="1" si="436"/>
        <v>12</v>
      </c>
      <c r="F1561">
        <f t="shared" ca="1" si="437"/>
        <v>2.5</v>
      </c>
      <c r="G1561" t="e">
        <f t="shared" ca="1" si="438"/>
        <v>#VALUE!</v>
      </c>
      <c r="H1561" t="e">
        <f t="shared" ca="1" si="439"/>
        <v>#VALUE!</v>
      </c>
      <c r="I1561" t="e">
        <f t="shared" ca="1" si="440"/>
        <v>#VALUE!</v>
      </c>
      <c r="J1561" t="e">
        <f t="shared" ca="1" si="441"/>
        <v>#VALUE!</v>
      </c>
      <c r="K1561" t="e">
        <f t="shared" ca="1" si="442"/>
        <v>#VALUE!</v>
      </c>
      <c r="L1561" t="e">
        <f t="shared" ca="1" si="443"/>
        <v>#VALUE!</v>
      </c>
      <c r="M1561" t="e">
        <f t="shared" ca="1" si="444"/>
        <v>#VALUE!</v>
      </c>
      <c r="N1561" t="e">
        <f t="shared" ca="1" si="445"/>
        <v>#VALUE!</v>
      </c>
      <c r="O1561">
        <f t="shared" ca="1" si="446"/>
        <v>7.5</v>
      </c>
      <c r="P1561" t="e">
        <f t="shared" ca="1" si="447"/>
        <v>#VALUE!</v>
      </c>
      <c r="Q1561" t="e">
        <f t="shared" ca="1" si="448"/>
        <v>#VALUE!</v>
      </c>
      <c r="R1561" t="e">
        <f t="shared" ca="1" si="449"/>
        <v>#VALUE!</v>
      </c>
      <c r="U1561" s="485" t="str">
        <f t="shared" ca="1" si="502"/>
        <v/>
      </c>
      <c r="V1561" s="486" t="str">
        <f t="shared" ca="1" si="503"/>
        <v/>
      </c>
      <c r="W1561" s="486">
        <f t="shared" ca="1" si="504"/>
        <v>1</v>
      </c>
      <c r="X1561" s="486" t="str">
        <f t="shared" ca="1" si="505"/>
        <v/>
      </c>
      <c r="Y1561" s="485" t="str">
        <f t="shared" ca="1" si="506"/>
        <v/>
      </c>
      <c r="Z1561" s="486" t="str">
        <f t="shared" ca="1" si="507"/>
        <v/>
      </c>
      <c r="AA1561" s="486" t="str">
        <f t="shared" ca="1" si="508"/>
        <v/>
      </c>
      <c r="AB1561" s="486" t="str">
        <f t="shared" ca="1" si="509"/>
        <v/>
      </c>
      <c r="AC1561" s="485" t="str">
        <f t="shared" ca="1" si="510"/>
        <v/>
      </c>
      <c r="AD1561" s="486" t="str">
        <f t="shared" ca="1" si="511"/>
        <v/>
      </c>
      <c r="AE1561" s="486" t="str">
        <f t="shared" ca="1" si="512"/>
        <v/>
      </c>
      <c r="AF1561" s="486" t="str">
        <f t="shared" ca="1" si="513"/>
        <v/>
      </c>
      <c r="AG1561" s="485" t="str">
        <f t="shared" ca="1" si="514"/>
        <v/>
      </c>
      <c r="AH1561" s="486" t="str">
        <f t="shared" ca="1" si="515"/>
        <v/>
      </c>
      <c r="AI1561" s="486" t="str">
        <f t="shared" ca="1" si="516"/>
        <v/>
      </c>
      <c r="AJ1561" s="486" t="str">
        <f t="shared" ca="1" si="517"/>
        <v/>
      </c>
      <c r="AK1561" s="474" t="str">
        <f t="shared" ca="1" si="451"/>
        <v/>
      </c>
      <c r="AL1561" s="480" t="str">
        <f t="shared" ca="1" si="452"/>
        <v>-</v>
      </c>
      <c r="AM1561" s="476" t="str">
        <f t="shared" ca="1" si="453"/>
        <v/>
      </c>
      <c r="AN1561" s="475" t="str">
        <f t="shared" ca="1" si="454"/>
        <v>-</v>
      </c>
      <c r="AO1561" s="460" t="str">
        <f t="shared" ca="1" si="455"/>
        <v/>
      </c>
      <c r="AP1561" s="480" t="str">
        <f t="shared" ca="1" si="456"/>
        <v>-</v>
      </c>
      <c r="AQ1561" s="477" t="str">
        <f t="shared" ca="1" si="457"/>
        <v/>
      </c>
      <c r="AR1561" s="480" t="str">
        <f t="shared" ca="1" si="458"/>
        <v>-</v>
      </c>
      <c r="AS1561" s="34"/>
      <c r="AT1561" s="490" t="str">
        <f t="shared" ca="1" si="518"/>
        <v/>
      </c>
      <c r="AU1561" s="491" t="str">
        <f t="shared" ca="1" si="519"/>
        <v/>
      </c>
      <c r="AV1561" s="491" t="str">
        <f t="shared" ca="1" si="520"/>
        <v/>
      </c>
      <c r="AW1561" s="492" t="str">
        <f t="shared" ca="1" si="521"/>
        <v/>
      </c>
      <c r="AY1561" s="474" t="str">
        <f t="shared" ca="1" si="459"/>
        <v/>
      </c>
      <c r="AZ1561" s="480" t="str">
        <f t="shared" ca="1" si="460"/>
        <v>-</v>
      </c>
      <c r="BA1561" s="476" t="str">
        <f t="shared" ca="1" si="461"/>
        <v/>
      </c>
      <c r="BB1561" s="480" t="str">
        <f t="shared" ca="1" si="462"/>
        <v>-</v>
      </c>
      <c r="BC1561" s="460" t="str">
        <f t="shared" ca="1" si="463"/>
        <v/>
      </c>
      <c r="BD1561" s="480" t="str">
        <f t="shared" ca="1" si="464"/>
        <v>-</v>
      </c>
      <c r="BE1561" s="477" t="str">
        <f t="shared" ca="1" si="465"/>
        <v/>
      </c>
      <c r="BF1561" s="480" t="str">
        <f t="shared" ca="1" si="466"/>
        <v>-</v>
      </c>
      <c r="BG1561" s="488" t="str">
        <f t="shared" ca="1" si="522"/>
        <v/>
      </c>
      <c r="BH1561" s="483" t="str">
        <f t="shared" ca="1" si="523"/>
        <v/>
      </c>
      <c r="BI1561" s="483" t="str">
        <f t="shared" ca="1" si="524"/>
        <v/>
      </c>
      <c r="BJ1561" s="489" t="str">
        <f t="shared" ca="1" si="525"/>
        <v/>
      </c>
      <c r="BL1561" t="str">
        <f t="shared" ca="1" si="467"/>
        <v/>
      </c>
      <c r="BM1561" t="str">
        <f t="shared" ca="1" si="468"/>
        <v/>
      </c>
      <c r="BN1561" t="str">
        <f t="shared" ca="1" si="469"/>
        <v/>
      </c>
      <c r="BO1561" t="str">
        <f t="shared" ca="1" si="470"/>
        <v/>
      </c>
      <c r="BP1561" t="str">
        <f t="shared" ca="1" si="471"/>
        <v/>
      </c>
      <c r="BQ1561" t="str">
        <f t="shared" ca="1" si="472"/>
        <v/>
      </c>
      <c r="BR1561" t="str">
        <f t="shared" ca="1" si="473"/>
        <v/>
      </c>
      <c r="BS1561" t="str">
        <f t="shared" ca="1" si="474"/>
        <v/>
      </c>
      <c r="BT1561" t="str">
        <f t="shared" ca="1" si="475"/>
        <v/>
      </c>
      <c r="BU1561" t="str">
        <f t="shared" ca="1" si="476"/>
        <v/>
      </c>
      <c r="BV1561" t="str">
        <f t="shared" ca="1" si="477"/>
        <v/>
      </c>
      <c r="BW1561" t="str">
        <f t="shared" ca="1" si="478"/>
        <v/>
      </c>
      <c r="BX1561" t="str">
        <f t="shared" ca="1" si="479"/>
        <v/>
      </c>
      <c r="BY1561" t="str">
        <f t="shared" ca="1" si="480"/>
        <v/>
      </c>
      <c r="BZ1561" t="str">
        <f t="shared" ca="1" si="481"/>
        <v/>
      </c>
      <c r="CA1561" t="str">
        <f t="shared" ca="1" si="482"/>
        <v/>
      </c>
      <c r="CC1561" s="482" t="str">
        <f t="shared" ca="1" si="483"/>
        <v/>
      </c>
      <c r="CD1561" s="483" t="str">
        <f t="shared" ca="1" si="484"/>
        <v/>
      </c>
      <c r="CE1561" s="483" t="str">
        <f t="shared" ca="1" si="485"/>
        <v/>
      </c>
      <c r="CF1561" s="483" t="str">
        <f t="shared" ca="1" si="486"/>
        <v/>
      </c>
      <c r="CG1561" s="482" t="str">
        <f t="shared" ca="1" si="487"/>
        <v/>
      </c>
      <c r="CH1561" s="483" t="str">
        <f t="shared" ca="1" si="488"/>
        <v/>
      </c>
      <c r="CI1561" s="483" t="str">
        <f t="shared" ca="1" si="489"/>
        <v/>
      </c>
      <c r="CJ1561" s="484" t="str">
        <f t="shared" ca="1" si="490"/>
        <v/>
      </c>
      <c r="CK1561" s="483" t="str">
        <f t="shared" ca="1" si="491"/>
        <v/>
      </c>
      <c r="CL1561" s="483" t="str">
        <f t="shared" ca="1" si="492"/>
        <v/>
      </c>
      <c r="CM1561" s="483" t="str">
        <f t="shared" ca="1" si="493"/>
        <v/>
      </c>
      <c r="CN1561" s="483" t="str">
        <f t="shared" ca="1" si="494"/>
        <v/>
      </c>
      <c r="CO1561" s="482" t="str">
        <f t="shared" ca="1" si="495"/>
        <v/>
      </c>
      <c r="CP1561" s="483" t="str">
        <f t="shared" ca="1" si="496"/>
        <v/>
      </c>
      <c r="CQ1561" s="483" t="str">
        <f t="shared" ca="1" si="497"/>
        <v/>
      </c>
      <c r="CR1561" s="484" t="str">
        <f t="shared" ca="1" si="498"/>
        <v/>
      </c>
      <c r="CV1561" s="454" t="str">
        <f t="array" ref="CV1561">IFERROR(INDEX(Montageplatten[Höhe],LARGE((Montageplatten[konf Rahmenbed]=$L$70)*(ROW(Montageplatten[konf Rahmenbed])-1),COUNTIF(Montageplatten[konf Rahmenbed],$L$70)+1-ROW(A58))),"")</f>
        <v/>
      </c>
      <c r="CW1561" t="str">
        <f t="shared" si="409"/>
        <v/>
      </c>
      <c r="CX1561" s="1057"/>
    </row>
    <row r="1562" spans="1:102" hidden="1" outlineLevel="1" x14ac:dyDescent="0.25">
      <c r="A1562">
        <f t="shared" ca="1" si="435"/>
        <v>1</v>
      </c>
      <c r="B1562" s="170">
        <f t="shared" ca="1" si="501"/>
        <v>-2</v>
      </c>
      <c r="C1562">
        <f t="shared" ca="1" si="500"/>
        <v>22</v>
      </c>
      <c r="D1562">
        <f t="shared" ca="1" si="499"/>
        <v>19</v>
      </c>
      <c r="E1562">
        <f t="shared" ca="1" si="436"/>
        <v>12.5</v>
      </c>
      <c r="F1562">
        <f t="shared" ca="1" si="437"/>
        <v>3</v>
      </c>
      <c r="G1562" t="e">
        <f t="shared" ca="1" si="438"/>
        <v>#VALUE!</v>
      </c>
      <c r="H1562" t="e">
        <f t="shared" ca="1" si="439"/>
        <v>#VALUE!</v>
      </c>
      <c r="I1562" t="e">
        <f t="shared" ca="1" si="440"/>
        <v>#VALUE!</v>
      </c>
      <c r="J1562" t="e">
        <f t="shared" ca="1" si="441"/>
        <v>#VALUE!</v>
      </c>
      <c r="K1562" t="e">
        <f t="shared" ca="1" si="442"/>
        <v>#VALUE!</v>
      </c>
      <c r="L1562" t="e">
        <f t="shared" ca="1" si="443"/>
        <v>#VALUE!</v>
      </c>
      <c r="M1562" t="e">
        <f t="shared" ca="1" si="444"/>
        <v>#VALUE!</v>
      </c>
      <c r="N1562" t="e">
        <f t="shared" ca="1" si="445"/>
        <v>#VALUE!</v>
      </c>
      <c r="O1562">
        <f t="shared" ca="1" si="446"/>
        <v>8</v>
      </c>
      <c r="P1562" t="e">
        <f t="shared" ca="1" si="447"/>
        <v>#VALUE!</v>
      </c>
      <c r="Q1562" t="e">
        <f t="shared" ca="1" si="448"/>
        <v>#VALUE!</v>
      </c>
      <c r="R1562" t="e">
        <f t="shared" ca="1" si="449"/>
        <v>#VALUE!</v>
      </c>
      <c r="U1562" s="485" t="str">
        <f t="shared" ca="1" si="502"/>
        <v/>
      </c>
      <c r="V1562" s="486">
        <f t="shared" ca="1" si="503"/>
        <v>1</v>
      </c>
      <c r="W1562" s="486" t="str">
        <f t="shared" ca="1" si="504"/>
        <v/>
      </c>
      <c r="X1562" s="486">
        <f t="shared" ca="1" si="505"/>
        <v>1</v>
      </c>
      <c r="Y1562" s="485" t="str">
        <f t="shared" ca="1" si="506"/>
        <v/>
      </c>
      <c r="Z1562" s="486" t="str">
        <f t="shared" ca="1" si="507"/>
        <v/>
      </c>
      <c r="AA1562" s="486" t="str">
        <f t="shared" ca="1" si="508"/>
        <v/>
      </c>
      <c r="AB1562" s="486" t="str">
        <f t="shared" ca="1" si="509"/>
        <v/>
      </c>
      <c r="AC1562" s="485" t="str">
        <f t="shared" ca="1" si="510"/>
        <v/>
      </c>
      <c r="AD1562" s="486" t="str">
        <f t="shared" ca="1" si="511"/>
        <v/>
      </c>
      <c r="AE1562" s="486" t="str">
        <f t="shared" ca="1" si="512"/>
        <v/>
      </c>
      <c r="AF1562" s="486" t="str">
        <f t="shared" ca="1" si="513"/>
        <v/>
      </c>
      <c r="AG1562" s="485">
        <f t="shared" ca="1" si="514"/>
        <v>1</v>
      </c>
      <c r="AH1562" s="486" t="str">
        <f t="shared" ca="1" si="515"/>
        <v/>
      </c>
      <c r="AI1562" s="486" t="str">
        <f t="shared" ca="1" si="516"/>
        <v/>
      </c>
      <c r="AJ1562" s="486" t="str">
        <f t="shared" ca="1" si="517"/>
        <v/>
      </c>
      <c r="AK1562" s="474" t="str">
        <f t="shared" ca="1" si="451"/>
        <v/>
      </c>
      <c r="AL1562" s="480" t="str">
        <f t="shared" ca="1" si="452"/>
        <v>-</v>
      </c>
      <c r="AM1562" s="476" t="str">
        <f t="shared" ca="1" si="453"/>
        <v/>
      </c>
      <c r="AN1562" s="475" t="str">
        <f t="shared" ca="1" si="454"/>
        <v>-</v>
      </c>
      <c r="AO1562" s="460" t="str">
        <f t="shared" ca="1" si="455"/>
        <v/>
      </c>
      <c r="AP1562" s="480" t="str">
        <f t="shared" ca="1" si="456"/>
        <v>-</v>
      </c>
      <c r="AQ1562" s="477" t="str">
        <f t="shared" ca="1" si="457"/>
        <v/>
      </c>
      <c r="AR1562" s="480" t="str">
        <f t="shared" ca="1" si="458"/>
        <v>-</v>
      </c>
      <c r="AS1562" s="34"/>
      <c r="AT1562" s="490" t="str">
        <f t="shared" ca="1" si="518"/>
        <v/>
      </c>
      <c r="AU1562" s="491" t="str">
        <f t="shared" ca="1" si="519"/>
        <v/>
      </c>
      <c r="AV1562" s="491" t="str">
        <f t="shared" ca="1" si="520"/>
        <v/>
      </c>
      <c r="AW1562" s="492" t="str">
        <f t="shared" ca="1" si="521"/>
        <v/>
      </c>
      <c r="AY1562" s="474" t="str">
        <f t="shared" ca="1" si="459"/>
        <v/>
      </c>
      <c r="AZ1562" s="480" t="str">
        <f t="shared" ca="1" si="460"/>
        <v>-</v>
      </c>
      <c r="BA1562" s="476" t="str">
        <f t="shared" ca="1" si="461"/>
        <v/>
      </c>
      <c r="BB1562" s="480" t="str">
        <f t="shared" ca="1" si="462"/>
        <v>-</v>
      </c>
      <c r="BC1562" s="460" t="str">
        <f t="shared" ca="1" si="463"/>
        <v/>
      </c>
      <c r="BD1562" s="480" t="str">
        <f t="shared" ca="1" si="464"/>
        <v>-</v>
      </c>
      <c r="BE1562" s="477" t="str">
        <f t="shared" ca="1" si="465"/>
        <v/>
      </c>
      <c r="BF1562" s="480" t="str">
        <f t="shared" ca="1" si="466"/>
        <v>-</v>
      </c>
      <c r="BG1562" s="488" t="str">
        <f t="shared" ca="1" si="522"/>
        <v/>
      </c>
      <c r="BH1562" s="483" t="str">
        <f t="shared" ca="1" si="523"/>
        <v/>
      </c>
      <c r="BI1562" s="483" t="str">
        <f t="shared" ca="1" si="524"/>
        <v/>
      </c>
      <c r="BJ1562" s="489" t="str">
        <f t="shared" ca="1" si="525"/>
        <v/>
      </c>
      <c r="BL1562" t="str">
        <f t="shared" ca="1" si="467"/>
        <v/>
      </c>
      <c r="BM1562" t="str">
        <f t="shared" ca="1" si="468"/>
        <v/>
      </c>
      <c r="BN1562" t="str">
        <f t="shared" ca="1" si="469"/>
        <v/>
      </c>
      <c r="BO1562" t="str">
        <f t="shared" ca="1" si="470"/>
        <v/>
      </c>
      <c r="BP1562" t="str">
        <f t="shared" ca="1" si="471"/>
        <v/>
      </c>
      <c r="BQ1562" t="str">
        <f t="shared" ca="1" si="472"/>
        <v/>
      </c>
      <c r="BR1562" t="str">
        <f t="shared" ca="1" si="473"/>
        <v/>
      </c>
      <c r="BS1562" t="str">
        <f t="shared" ca="1" si="474"/>
        <v/>
      </c>
      <c r="BT1562" t="str">
        <f t="shared" ca="1" si="475"/>
        <v/>
      </c>
      <c r="BU1562" t="str">
        <f t="shared" ca="1" si="476"/>
        <v/>
      </c>
      <c r="BV1562" t="str">
        <f t="shared" ca="1" si="477"/>
        <v/>
      </c>
      <c r="BW1562" t="str">
        <f t="shared" ca="1" si="478"/>
        <v/>
      </c>
      <c r="BX1562" t="str">
        <f t="shared" ca="1" si="479"/>
        <v/>
      </c>
      <c r="BY1562" t="str">
        <f t="shared" ca="1" si="480"/>
        <v/>
      </c>
      <c r="BZ1562" t="str">
        <f t="shared" ca="1" si="481"/>
        <v/>
      </c>
      <c r="CA1562" t="str">
        <f t="shared" ca="1" si="482"/>
        <v/>
      </c>
      <c r="CC1562" s="482" t="str">
        <f t="shared" ca="1" si="483"/>
        <v/>
      </c>
      <c r="CD1562" s="483" t="str">
        <f t="shared" ca="1" si="484"/>
        <v/>
      </c>
      <c r="CE1562" s="483" t="str">
        <f t="shared" ca="1" si="485"/>
        <v/>
      </c>
      <c r="CF1562" s="483" t="str">
        <f t="shared" ca="1" si="486"/>
        <v/>
      </c>
      <c r="CG1562" s="482" t="str">
        <f t="shared" ca="1" si="487"/>
        <v/>
      </c>
      <c r="CH1562" s="483" t="str">
        <f t="shared" ca="1" si="488"/>
        <v/>
      </c>
      <c r="CI1562" s="483" t="str">
        <f t="shared" ca="1" si="489"/>
        <v/>
      </c>
      <c r="CJ1562" s="484" t="str">
        <f t="shared" ca="1" si="490"/>
        <v/>
      </c>
      <c r="CK1562" s="483" t="str">
        <f t="shared" ca="1" si="491"/>
        <v/>
      </c>
      <c r="CL1562" s="483" t="str">
        <f t="shared" ca="1" si="492"/>
        <v/>
      </c>
      <c r="CM1562" s="483" t="str">
        <f t="shared" ca="1" si="493"/>
        <v/>
      </c>
      <c r="CN1562" s="483" t="str">
        <f t="shared" ca="1" si="494"/>
        <v/>
      </c>
      <c r="CO1562" s="482" t="str">
        <f t="shared" ca="1" si="495"/>
        <v/>
      </c>
      <c r="CP1562" s="483" t="str">
        <f t="shared" ca="1" si="496"/>
        <v/>
      </c>
      <c r="CQ1562" s="483" t="str">
        <f t="shared" ca="1" si="497"/>
        <v/>
      </c>
      <c r="CR1562" s="484" t="str">
        <f t="shared" ca="1" si="498"/>
        <v/>
      </c>
    </row>
    <row r="1563" spans="1:102" hidden="1" outlineLevel="1" x14ac:dyDescent="0.25">
      <c r="A1563">
        <f t="shared" ca="1" si="435"/>
        <v>1</v>
      </c>
      <c r="B1563" s="170">
        <f t="shared" ca="1" si="501"/>
        <v>-3</v>
      </c>
      <c r="C1563">
        <f t="shared" ca="1" si="500"/>
        <v>23</v>
      </c>
      <c r="D1563">
        <f t="shared" ca="1" si="499"/>
        <v>20</v>
      </c>
      <c r="E1563">
        <f t="shared" ca="1" si="436"/>
        <v>13.5</v>
      </c>
      <c r="F1563">
        <f t="shared" ca="1" si="437"/>
        <v>4</v>
      </c>
      <c r="G1563" t="e">
        <f t="shared" ca="1" si="438"/>
        <v>#VALUE!</v>
      </c>
      <c r="H1563" t="e">
        <f t="shared" ca="1" si="439"/>
        <v>#VALUE!</v>
      </c>
      <c r="I1563" t="e">
        <f t="shared" ca="1" si="440"/>
        <v>#VALUE!</v>
      </c>
      <c r="J1563" t="e">
        <f t="shared" ca="1" si="441"/>
        <v>#VALUE!</v>
      </c>
      <c r="K1563" t="e">
        <f t="shared" ca="1" si="442"/>
        <v>#VALUE!</v>
      </c>
      <c r="L1563" t="e">
        <f t="shared" ca="1" si="443"/>
        <v>#VALUE!</v>
      </c>
      <c r="M1563" t="e">
        <f t="shared" ca="1" si="444"/>
        <v>#VALUE!</v>
      </c>
      <c r="N1563" t="e">
        <f t="shared" ca="1" si="445"/>
        <v>#VALUE!</v>
      </c>
      <c r="O1563">
        <f t="shared" ca="1" si="446"/>
        <v>9</v>
      </c>
      <c r="P1563" t="e">
        <f t="shared" ca="1" si="447"/>
        <v>#VALUE!</v>
      </c>
      <c r="Q1563" t="e">
        <f t="shared" ca="1" si="448"/>
        <v>#VALUE!</v>
      </c>
      <c r="R1563" t="e">
        <f t="shared" ca="1" si="449"/>
        <v>#VALUE!</v>
      </c>
      <c r="U1563" s="485" t="str">
        <f t="shared" ca="1" si="502"/>
        <v/>
      </c>
      <c r="V1563" s="486" t="str">
        <f t="shared" ca="1" si="503"/>
        <v/>
      </c>
      <c r="W1563" s="486" t="str">
        <f t="shared" ca="1" si="504"/>
        <v/>
      </c>
      <c r="X1563" s="486" t="str">
        <f t="shared" ca="1" si="505"/>
        <v/>
      </c>
      <c r="Y1563" s="485" t="str">
        <f t="shared" ca="1" si="506"/>
        <v/>
      </c>
      <c r="Z1563" s="486" t="str">
        <f t="shared" ca="1" si="507"/>
        <v/>
      </c>
      <c r="AA1563" s="486" t="str">
        <f t="shared" ca="1" si="508"/>
        <v/>
      </c>
      <c r="AB1563" s="486" t="str">
        <f t="shared" ca="1" si="509"/>
        <v/>
      </c>
      <c r="AC1563" s="485" t="str">
        <f t="shared" ca="1" si="510"/>
        <v/>
      </c>
      <c r="AD1563" s="486" t="str">
        <f t="shared" ca="1" si="511"/>
        <v/>
      </c>
      <c r="AE1563" s="486" t="str">
        <f t="shared" ca="1" si="512"/>
        <v/>
      </c>
      <c r="AF1563" s="486" t="str">
        <f t="shared" ca="1" si="513"/>
        <v/>
      </c>
      <c r="AG1563" s="485">
        <f t="shared" ca="1" si="514"/>
        <v>1</v>
      </c>
      <c r="AH1563" s="486" t="str">
        <f t="shared" ca="1" si="515"/>
        <v/>
      </c>
      <c r="AI1563" s="486" t="str">
        <f t="shared" ca="1" si="516"/>
        <v/>
      </c>
      <c r="AJ1563" s="486" t="str">
        <f t="shared" ca="1" si="517"/>
        <v/>
      </c>
      <c r="AK1563" s="474" t="str">
        <f t="shared" ca="1" si="451"/>
        <v/>
      </c>
      <c r="AL1563" s="480" t="str">
        <f t="shared" ca="1" si="452"/>
        <v>-</v>
      </c>
      <c r="AM1563" s="476" t="str">
        <f t="shared" ca="1" si="453"/>
        <v/>
      </c>
      <c r="AN1563" s="475" t="str">
        <f t="shared" ca="1" si="454"/>
        <v>-</v>
      </c>
      <c r="AO1563" s="460" t="str">
        <f t="shared" ca="1" si="455"/>
        <v/>
      </c>
      <c r="AP1563" s="480" t="str">
        <f t="shared" ca="1" si="456"/>
        <v>-</v>
      </c>
      <c r="AQ1563" s="477" t="str">
        <f t="shared" ca="1" si="457"/>
        <v/>
      </c>
      <c r="AR1563" s="480" t="str">
        <f t="shared" ca="1" si="458"/>
        <v>-</v>
      </c>
      <c r="AS1563" s="34"/>
      <c r="AT1563" s="490" t="str">
        <f t="shared" ca="1" si="518"/>
        <v/>
      </c>
      <c r="AU1563" s="491" t="str">
        <f t="shared" ca="1" si="519"/>
        <v/>
      </c>
      <c r="AV1563" s="491" t="str">
        <f t="shared" ca="1" si="520"/>
        <v/>
      </c>
      <c r="AW1563" s="492" t="str">
        <f t="shared" ca="1" si="521"/>
        <v/>
      </c>
      <c r="AY1563" s="474" t="str">
        <f t="shared" ca="1" si="459"/>
        <v/>
      </c>
      <c r="AZ1563" s="480" t="str">
        <f t="shared" ca="1" si="460"/>
        <v>-</v>
      </c>
      <c r="BA1563" s="476" t="str">
        <f t="shared" ca="1" si="461"/>
        <v/>
      </c>
      <c r="BB1563" s="480" t="str">
        <f t="shared" ca="1" si="462"/>
        <v>-</v>
      </c>
      <c r="BC1563" s="460" t="str">
        <f t="shared" ca="1" si="463"/>
        <v/>
      </c>
      <c r="BD1563" s="480" t="str">
        <f t="shared" ca="1" si="464"/>
        <v>-</v>
      </c>
      <c r="BE1563" s="477" t="str">
        <f t="shared" ca="1" si="465"/>
        <v/>
      </c>
      <c r="BF1563" s="480" t="str">
        <f t="shared" ca="1" si="466"/>
        <v>-</v>
      </c>
      <c r="BG1563" s="488" t="str">
        <f t="shared" ca="1" si="522"/>
        <v/>
      </c>
      <c r="BH1563" s="483" t="str">
        <f t="shared" ca="1" si="523"/>
        <v/>
      </c>
      <c r="BI1563" s="483" t="str">
        <f t="shared" ca="1" si="524"/>
        <v/>
      </c>
      <c r="BJ1563" s="489" t="str">
        <f t="shared" ca="1" si="525"/>
        <v/>
      </c>
      <c r="BL1563" t="str">
        <f t="shared" ca="1" si="467"/>
        <v/>
      </c>
      <c r="BM1563" t="str">
        <f t="shared" ca="1" si="468"/>
        <v/>
      </c>
      <c r="BN1563" t="str">
        <f t="shared" ca="1" si="469"/>
        <v/>
      </c>
      <c r="BO1563" t="str">
        <f t="shared" ca="1" si="470"/>
        <v/>
      </c>
      <c r="BP1563" t="str">
        <f t="shared" ca="1" si="471"/>
        <v/>
      </c>
      <c r="BQ1563" t="str">
        <f t="shared" ca="1" si="472"/>
        <v/>
      </c>
      <c r="BR1563" t="str">
        <f t="shared" ca="1" si="473"/>
        <v/>
      </c>
      <c r="BS1563" t="str">
        <f t="shared" ca="1" si="474"/>
        <v/>
      </c>
      <c r="BT1563" t="str">
        <f t="shared" ca="1" si="475"/>
        <v/>
      </c>
      <c r="BU1563" t="str">
        <f t="shared" ca="1" si="476"/>
        <v/>
      </c>
      <c r="BV1563" t="str">
        <f t="shared" ca="1" si="477"/>
        <v/>
      </c>
      <c r="BW1563" t="str">
        <f t="shared" ca="1" si="478"/>
        <v/>
      </c>
      <c r="BX1563" t="str">
        <f t="shared" ca="1" si="479"/>
        <v/>
      </c>
      <c r="BY1563" t="str">
        <f t="shared" ca="1" si="480"/>
        <v/>
      </c>
      <c r="BZ1563" t="str">
        <f t="shared" ca="1" si="481"/>
        <v/>
      </c>
      <c r="CA1563" t="str">
        <f t="shared" ca="1" si="482"/>
        <v/>
      </c>
      <c r="CC1563" s="482" t="str">
        <f t="shared" ca="1" si="483"/>
        <v/>
      </c>
      <c r="CD1563" s="483" t="str">
        <f t="shared" ca="1" si="484"/>
        <v/>
      </c>
      <c r="CE1563" s="483" t="str">
        <f t="shared" ca="1" si="485"/>
        <v/>
      </c>
      <c r="CF1563" s="483" t="str">
        <f t="shared" ca="1" si="486"/>
        <v/>
      </c>
      <c r="CG1563" s="482" t="str">
        <f t="shared" ca="1" si="487"/>
        <v/>
      </c>
      <c r="CH1563" s="483" t="str">
        <f t="shared" ca="1" si="488"/>
        <v/>
      </c>
      <c r="CI1563" s="483" t="str">
        <f t="shared" ca="1" si="489"/>
        <v/>
      </c>
      <c r="CJ1563" s="484" t="str">
        <f t="shared" ca="1" si="490"/>
        <v/>
      </c>
      <c r="CK1563" s="483" t="str">
        <f t="shared" ca="1" si="491"/>
        <v/>
      </c>
      <c r="CL1563" s="483" t="str">
        <f t="shared" ca="1" si="492"/>
        <v/>
      </c>
      <c r="CM1563" s="483" t="str">
        <f t="shared" ca="1" si="493"/>
        <v/>
      </c>
      <c r="CN1563" s="483" t="str">
        <f t="shared" ca="1" si="494"/>
        <v/>
      </c>
      <c r="CO1563" s="482" t="str">
        <f t="shared" ca="1" si="495"/>
        <v/>
      </c>
      <c r="CP1563" s="483" t="str">
        <f t="shared" ca="1" si="496"/>
        <v/>
      </c>
      <c r="CQ1563" s="483" t="str">
        <f t="shared" ca="1" si="497"/>
        <v/>
      </c>
      <c r="CR1563" s="484" t="str">
        <f t="shared" ca="1" si="498"/>
        <v/>
      </c>
    </row>
    <row r="1564" spans="1:102" hidden="1" outlineLevel="1" x14ac:dyDescent="0.25">
      <c r="A1564">
        <f t="shared" ca="1" si="435"/>
        <v>0</v>
      </c>
      <c r="B1564" s="170" t="str">
        <f t="shared" ca="1" si="501"/>
        <v>---------</v>
      </c>
      <c r="C1564" t="e">
        <f t="shared" ca="1" si="500"/>
        <v>#VALUE!</v>
      </c>
      <c r="D1564" t="e">
        <f t="shared" ca="1" si="499"/>
        <v>#VALUE!</v>
      </c>
      <c r="E1564" t="e">
        <f t="shared" ca="1" si="436"/>
        <v>#VALUE!</v>
      </c>
      <c r="F1564" t="e">
        <f t="shared" ca="1" si="437"/>
        <v>#VALUE!</v>
      </c>
      <c r="G1564" t="e">
        <f t="shared" ca="1" si="438"/>
        <v>#VALUE!</v>
      </c>
      <c r="H1564" t="e">
        <f t="shared" ca="1" si="439"/>
        <v>#VALUE!</v>
      </c>
      <c r="I1564" t="e">
        <f t="shared" ca="1" si="440"/>
        <v>#VALUE!</v>
      </c>
      <c r="J1564" t="e">
        <f t="shared" ca="1" si="441"/>
        <v>#VALUE!</v>
      </c>
      <c r="K1564" t="e">
        <f t="shared" ca="1" si="442"/>
        <v>#VALUE!</v>
      </c>
      <c r="L1564" t="e">
        <f t="shared" ca="1" si="443"/>
        <v>#VALUE!</v>
      </c>
      <c r="M1564" t="e">
        <f t="shared" ca="1" si="444"/>
        <v>#VALUE!</v>
      </c>
      <c r="N1564" t="e">
        <f t="shared" ca="1" si="445"/>
        <v>#VALUE!</v>
      </c>
      <c r="O1564" t="e">
        <f t="shared" ca="1" si="446"/>
        <v>#VALUE!</v>
      </c>
      <c r="P1564" t="e">
        <f t="shared" ca="1" si="447"/>
        <v>#VALUE!</v>
      </c>
      <c r="Q1564" t="e">
        <f t="shared" ca="1" si="448"/>
        <v>#VALUE!</v>
      </c>
      <c r="R1564" t="e">
        <f t="shared" ca="1" si="449"/>
        <v>#VALUE!</v>
      </c>
      <c r="U1564" s="485" t="str">
        <f t="shared" ca="1" si="502"/>
        <v/>
      </c>
      <c r="V1564" s="486" t="str">
        <f t="shared" ca="1" si="503"/>
        <v/>
      </c>
      <c r="W1564" s="486" t="str">
        <f t="shared" ca="1" si="504"/>
        <v/>
      </c>
      <c r="X1564" s="486" t="str">
        <f t="shared" ca="1" si="505"/>
        <v/>
      </c>
      <c r="Y1564" s="485" t="str">
        <f t="shared" ca="1" si="506"/>
        <v/>
      </c>
      <c r="Z1564" s="486" t="str">
        <f t="shared" ca="1" si="507"/>
        <v/>
      </c>
      <c r="AA1564" s="486" t="str">
        <f t="shared" ca="1" si="508"/>
        <v/>
      </c>
      <c r="AB1564" s="486" t="str">
        <f t="shared" ca="1" si="509"/>
        <v/>
      </c>
      <c r="AC1564" s="485" t="str">
        <f t="shared" ca="1" si="510"/>
        <v/>
      </c>
      <c r="AD1564" s="486" t="str">
        <f t="shared" ca="1" si="511"/>
        <v/>
      </c>
      <c r="AE1564" s="486" t="str">
        <f t="shared" ca="1" si="512"/>
        <v/>
      </c>
      <c r="AF1564" s="486" t="str">
        <f t="shared" ca="1" si="513"/>
        <v/>
      </c>
      <c r="AG1564" s="485" t="str">
        <f t="shared" ca="1" si="514"/>
        <v/>
      </c>
      <c r="AH1564" s="487" t="str">
        <f t="shared" ca="1" si="515"/>
        <v/>
      </c>
      <c r="AI1564" s="487" t="str">
        <f t="shared" ca="1" si="516"/>
        <v/>
      </c>
      <c r="AJ1564" s="487" t="str">
        <f t="shared" ca="1" si="517"/>
        <v/>
      </c>
      <c r="AK1564" s="474" t="str">
        <f t="shared" ca="1" si="451"/>
        <v/>
      </c>
      <c r="AL1564" s="480" t="str">
        <f t="shared" ca="1" si="452"/>
        <v>-</v>
      </c>
      <c r="AM1564" s="476" t="str">
        <f t="shared" ca="1" si="453"/>
        <v/>
      </c>
      <c r="AN1564" s="475" t="str">
        <f t="shared" ca="1" si="454"/>
        <v>-</v>
      </c>
      <c r="AO1564" s="460" t="str">
        <f t="shared" ca="1" si="455"/>
        <v/>
      </c>
      <c r="AP1564" s="480" t="str">
        <f t="shared" ca="1" si="456"/>
        <v>-</v>
      </c>
      <c r="AQ1564" s="477" t="str">
        <f t="shared" ca="1" si="457"/>
        <v/>
      </c>
      <c r="AR1564" s="480" t="str">
        <f t="shared" ca="1" si="458"/>
        <v>-</v>
      </c>
      <c r="AS1564" s="34"/>
      <c r="AT1564" s="490" t="str">
        <f t="shared" ca="1" si="518"/>
        <v/>
      </c>
      <c r="AU1564" s="491" t="str">
        <f t="shared" ca="1" si="519"/>
        <v/>
      </c>
      <c r="AV1564" s="491" t="str">
        <f t="shared" ca="1" si="520"/>
        <v/>
      </c>
      <c r="AW1564" s="492" t="str">
        <f t="shared" ca="1" si="521"/>
        <v/>
      </c>
      <c r="AY1564" s="474" t="str">
        <f t="shared" ca="1" si="459"/>
        <v/>
      </c>
      <c r="AZ1564" s="480" t="str">
        <f t="shared" ca="1" si="460"/>
        <v>-</v>
      </c>
      <c r="BA1564" s="476" t="str">
        <f t="shared" ca="1" si="461"/>
        <v/>
      </c>
      <c r="BB1564" s="480" t="str">
        <f t="shared" ca="1" si="462"/>
        <v>-</v>
      </c>
      <c r="BC1564" s="460" t="str">
        <f t="shared" ca="1" si="463"/>
        <v/>
      </c>
      <c r="BD1564" s="480" t="str">
        <f t="shared" ca="1" si="464"/>
        <v>-</v>
      </c>
      <c r="BE1564" s="477" t="str">
        <f t="shared" ca="1" si="465"/>
        <v/>
      </c>
      <c r="BF1564" s="480" t="str">
        <f t="shared" ca="1" si="466"/>
        <v>-</v>
      </c>
      <c r="BG1564" s="488" t="str">
        <f t="shared" ca="1" si="522"/>
        <v/>
      </c>
      <c r="BH1564" s="483" t="str">
        <f t="shared" ca="1" si="523"/>
        <v/>
      </c>
      <c r="BI1564" s="483" t="str">
        <f t="shared" ca="1" si="524"/>
        <v/>
      </c>
      <c r="BJ1564" s="489" t="str">
        <f t="shared" ca="1" si="525"/>
        <v/>
      </c>
      <c r="BL1564" t="str">
        <f t="shared" ca="1" si="467"/>
        <v/>
      </c>
      <c r="BM1564" t="str">
        <f t="shared" ca="1" si="468"/>
        <v/>
      </c>
      <c r="BN1564" t="str">
        <f t="shared" ca="1" si="469"/>
        <v/>
      </c>
      <c r="BO1564" t="str">
        <f t="shared" ca="1" si="470"/>
        <v/>
      </c>
      <c r="BP1564" t="str">
        <f t="shared" ca="1" si="471"/>
        <v/>
      </c>
      <c r="BQ1564" t="str">
        <f t="shared" ca="1" si="472"/>
        <v/>
      </c>
      <c r="BR1564" t="str">
        <f t="shared" ca="1" si="473"/>
        <v/>
      </c>
      <c r="BS1564" t="str">
        <f t="shared" ca="1" si="474"/>
        <v/>
      </c>
      <c r="BT1564" t="str">
        <f t="shared" ca="1" si="475"/>
        <v/>
      </c>
      <c r="BU1564" t="str">
        <f t="shared" ca="1" si="476"/>
        <v/>
      </c>
      <c r="BV1564" t="str">
        <f t="shared" ca="1" si="477"/>
        <v/>
      </c>
      <c r="BW1564" t="str">
        <f t="shared" ca="1" si="478"/>
        <v/>
      </c>
      <c r="BX1564" t="str">
        <f t="shared" ca="1" si="479"/>
        <v/>
      </c>
      <c r="BY1564" t="str">
        <f t="shared" ca="1" si="480"/>
        <v/>
      </c>
      <c r="BZ1564" t="str">
        <f t="shared" ca="1" si="481"/>
        <v/>
      </c>
      <c r="CA1564" t="str">
        <f t="shared" ca="1" si="482"/>
        <v/>
      </c>
      <c r="CC1564" s="482" t="str">
        <f t="shared" ca="1" si="483"/>
        <v/>
      </c>
      <c r="CD1564" s="483" t="str">
        <f t="shared" ca="1" si="484"/>
        <v/>
      </c>
      <c r="CE1564" s="483" t="str">
        <f t="shared" ca="1" si="485"/>
        <v/>
      </c>
      <c r="CF1564" s="483" t="str">
        <f t="shared" ca="1" si="486"/>
        <v/>
      </c>
      <c r="CG1564" s="482" t="str">
        <f t="shared" ca="1" si="487"/>
        <v/>
      </c>
      <c r="CH1564" s="483" t="str">
        <f t="shared" ca="1" si="488"/>
        <v/>
      </c>
      <c r="CI1564" s="483" t="str">
        <f t="shared" ca="1" si="489"/>
        <v/>
      </c>
      <c r="CJ1564" s="484" t="str">
        <f t="shared" ca="1" si="490"/>
        <v/>
      </c>
      <c r="CK1564" s="483" t="str">
        <f t="shared" ca="1" si="491"/>
        <v/>
      </c>
      <c r="CL1564" s="483" t="str">
        <f t="shared" ca="1" si="492"/>
        <v/>
      </c>
      <c r="CM1564" s="483" t="str">
        <f t="shared" ca="1" si="493"/>
        <v/>
      </c>
      <c r="CN1564" s="483" t="str">
        <f t="shared" ca="1" si="494"/>
        <v/>
      </c>
      <c r="CO1564" s="482" t="str">
        <f t="shared" ca="1" si="495"/>
        <v/>
      </c>
      <c r="CP1564" s="483" t="str">
        <f t="shared" ca="1" si="496"/>
        <v/>
      </c>
      <c r="CQ1564" s="483" t="str">
        <f t="shared" ca="1" si="497"/>
        <v/>
      </c>
      <c r="CR1564" s="484" t="str">
        <f t="shared" ca="1" si="498"/>
        <v/>
      </c>
    </row>
    <row r="1565" spans="1:102" hidden="1" outlineLevel="1" x14ac:dyDescent="0.25">
      <c r="A1565">
        <f t="shared" ca="1" si="435"/>
        <v>1</v>
      </c>
      <c r="B1565" s="129">
        <f t="shared" ca="1" si="501"/>
        <v>-4</v>
      </c>
      <c r="C1565">
        <f t="shared" ca="1" si="500"/>
        <v>24</v>
      </c>
      <c r="D1565">
        <f t="shared" ca="1" si="499"/>
        <v>21</v>
      </c>
      <c r="E1565">
        <f t="shared" ca="1" si="436"/>
        <v>14.5</v>
      </c>
      <c r="F1565">
        <f t="shared" ca="1" si="437"/>
        <v>5</v>
      </c>
      <c r="G1565" t="e">
        <f t="shared" ca="1" si="438"/>
        <v>#VALUE!</v>
      </c>
      <c r="H1565" t="e">
        <f t="shared" ca="1" si="439"/>
        <v>#VALUE!</v>
      </c>
      <c r="I1565" t="e">
        <f t="shared" ca="1" si="440"/>
        <v>#VALUE!</v>
      </c>
      <c r="J1565" t="e">
        <f t="shared" ca="1" si="441"/>
        <v>#VALUE!</v>
      </c>
      <c r="K1565" t="e">
        <f t="shared" ca="1" si="442"/>
        <v>#VALUE!</v>
      </c>
      <c r="L1565" t="e">
        <f t="shared" ca="1" si="443"/>
        <v>#VALUE!</v>
      </c>
      <c r="M1565" t="e">
        <f t="shared" ca="1" si="444"/>
        <v>#VALUE!</v>
      </c>
      <c r="N1565" t="e">
        <f t="shared" ca="1" si="445"/>
        <v>#VALUE!</v>
      </c>
      <c r="O1565">
        <f t="shared" ca="1" si="446"/>
        <v>10</v>
      </c>
      <c r="P1565" t="e">
        <f t="shared" ca="1" si="447"/>
        <v>#VALUE!</v>
      </c>
      <c r="Q1565" t="e">
        <f t="shared" ca="1" si="448"/>
        <v>#VALUE!</v>
      </c>
      <c r="R1565" t="e">
        <f t="shared" ca="1" si="449"/>
        <v>#VALUE!</v>
      </c>
      <c r="U1565" s="485" t="str">
        <f t="shared" ca="1" si="502"/>
        <v/>
      </c>
      <c r="V1565" s="486">
        <f t="shared" ca="1" si="503"/>
        <v>1</v>
      </c>
      <c r="W1565" s="486" t="str">
        <f t="shared" ca="1" si="504"/>
        <v/>
      </c>
      <c r="X1565" s="486" t="str">
        <f t="shared" ca="1" si="505"/>
        <v/>
      </c>
      <c r="Y1565" s="485" t="str">
        <f t="shared" ca="1" si="506"/>
        <v/>
      </c>
      <c r="Z1565" s="486" t="str">
        <f t="shared" ca="1" si="507"/>
        <v/>
      </c>
      <c r="AA1565" s="486" t="str">
        <f t="shared" ca="1" si="508"/>
        <v/>
      </c>
      <c r="AB1565" s="486" t="str">
        <f t="shared" ca="1" si="509"/>
        <v/>
      </c>
      <c r="AC1565" s="485" t="str">
        <f t="shared" ca="1" si="510"/>
        <v/>
      </c>
      <c r="AD1565" s="486" t="str">
        <f t="shared" ca="1" si="511"/>
        <v/>
      </c>
      <c r="AE1565" s="486" t="str">
        <f t="shared" ca="1" si="512"/>
        <v/>
      </c>
      <c r="AF1565" s="486" t="str">
        <f t="shared" ca="1" si="513"/>
        <v/>
      </c>
      <c r="AG1565" s="485" t="str">
        <f t="shared" ca="1" si="514"/>
        <v/>
      </c>
      <c r="AH1565" s="487" t="str">
        <f t="shared" ca="1" si="515"/>
        <v/>
      </c>
      <c r="AI1565" s="487" t="str">
        <f t="shared" ca="1" si="516"/>
        <v/>
      </c>
      <c r="AJ1565" s="487" t="str">
        <f t="shared" ca="1" si="517"/>
        <v/>
      </c>
      <c r="AK1565" s="474" t="str">
        <f t="shared" ca="1" si="451"/>
        <v/>
      </c>
      <c r="AL1565" s="480" t="str">
        <f t="shared" ca="1" si="452"/>
        <v>-</v>
      </c>
      <c r="AM1565" s="476" t="str">
        <f t="shared" ca="1" si="453"/>
        <v/>
      </c>
      <c r="AN1565" s="475" t="str">
        <f t="shared" ca="1" si="454"/>
        <v>-</v>
      </c>
      <c r="AO1565" s="460" t="str">
        <f t="shared" ca="1" si="455"/>
        <v/>
      </c>
      <c r="AP1565" s="480" t="str">
        <f t="shared" ca="1" si="456"/>
        <v>-</v>
      </c>
      <c r="AQ1565" s="477" t="str">
        <f t="shared" ca="1" si="457"/>
        <v/>
      </c>
      <c r="AR1565" s="480" t="str">
        <f t="shared" ca="1" si="458"/>
        <v>-</v>
      </c>
      <c r="AS1565" s="34"/>
      <c r="AT1565" s="490" t="str">
        <f t="shared" ca="1" si="518"/>
        <v/>
      </c>
      <c r="AU1565" s="491" t="str">
        <f t="shared" ca="1" si="519"/>
        <v/>
      </c>
      <c r="AV1565" s="491" t="str">
        <f t="shared" ca="1" si="520"/>
        <v/>
      </c>
      <c r="AW1565" s="492" t="str">
        <f t="shared" ca="1" si="521"/>
        <v/>
      </c>
      <c r="AY1565" s="474" t="str">
        <f t="shared" ca="1" si="459"/>
        <v/>
      </c>
      <c r="AZ1565" s="480" t="str">
        <f t="shared" ca="1" si="460"/>
        <v>-</v>
      </c>
      <c r="BA1565" s="476" t="str">
        <f t="shared" ca="1" si="461"/>
        <v/>
      </c>
      <c r="BB1565" s="480" t="str">
        <f t="shared" ca="1" si="462"/>
        <v>-</v>
      </c>
      <c r="BC1565" s="460" t="str">
        <f t="shared" ca="1" si="463"/>
        <v/>
      </c>
      <c r="BD1565" s="480" t="str">
        <f t="shared" ca="1" si="464"/>
        <v>-</v>
      </c>
      <c r="BE1565" s="477" t="str">
        <f t="shared" ca="1" si="465"/>
        <v/>
      </c>
      <c r="BF1565" s="480" t="str">
        <f t="shared" ca="1" si="466"/>
        <v>-</v>
      </c>
      <c r="BG1565" s="488" t="str">
        <f t="shared" ca="1" si="522"/>
        <v/>
      </c>
      <c r="BH1565" s="483" t="str">
        <f t="shared" ca="1" si="523"/>
        <v/>
      </c>
      <c r="BI1565" s="483" t="str">
        <f t="shared" ca="1" si="524"/>
        <v/>
      </c>
      <c r="BJ1565" s="489" t="str">
        <f t="shared" ca="1" si="525"/>
        <v/>
      </c>
      <c r="BL1565" t="str">
        <f t="shared" ca="1" si="467"/>
        <v/>
      </c>
      <c r="BM1565" t="str">
        <f t="shared" ca="1" si="468"/>
        <v/>
      </c>
      <c r="BN1565" t="str">
        <f t="shared" ca="1" si="469"/>
        <v/>
      </c>
      <c r="BO1565" t="str">
        <f t="shared" ca="1" si="470"/>
        <v/>
      </c>
      <c r="BP1565" t="str">
        <f t="shared" ca="1" si="471"/>
        <v/>
      </c>
      <c r="BQ1565" t="str">
        <f t="shared" ca="1" si="472"/>
        <v/>
      </c>
      <c r="BR1565" t="str">
        <f t="shared" ca="1" si="473"/>
        <v/>
      </c>
      <c r="BS1565" t="str">
        <f t="shared" ca="1" si="474"/>
        <v/>
      </c>
      <c r="BT1565" t="str">
        <f t="shared" ca="1" si="475"/>
        <v/>
      </c>
      <c r="BU1565" t="str">
        <f t="shared" ca="1" si="476"/>
        <v/>
      </c>
      <c r="BV1565" t="str">
        <f t="shared" ca="1" si="477"/>
        <v/>
      </c>
      <c r="BW1565" t="str">
        <f t="shared" ca="1" si="478"/>
        <v/>
      </c>
      <c r="BX1565" t="str">
        <f t="shared" ca="1" si="479"/>
        <v/>
      </c>
      <c r="BY1565" t="str">
        <f t="shared" ca="1" si="480"/>
        <v/>
      </c>
      <c r="BZ1565" t="str">
        <f t="shared" ca="1" si="481"/>
        <v/>
      </c>
      <c r="CA1565" t="str">
        <f t="shared" ca="1" si="482"/>
        <v/>
      </c>
      <c r="CC1565" s="482" t="str">
        <f t="shared" ca="1" si="483"/>
        <v/>
      </c>
      <c r="CD1565" s="483" t="str">
        <f t="shared" ca="1" si="484"/>
        <v/>
      </c>
      <c r="CE1565" s="483" t="str">
        <f t="shared" ca="1" si="485"/>
        <v/>
      </c>
      <c r="CF1565" s="483" t="str">
        <f t="shared" ca="1" si="486"/>
        <v/>
      </c>
      <c r="CG1565" s="482" t="str">
        <f t="shared" ca="1" si="487"/>
        <v/>
      </c>
      <c r="CH1565" s="483" t="str">
        <f t="shared" ca="1" si="488"/>
        <v/>
      </c>
      <c r="CI1565" s="483" t="str">
        <f t="shared" ca="1" si="489"/>
        <v/>
      </c>
      <c r="CJ1565" s="484" t="str">
        <f t="shared" ca="1" si="490"/>
        <v/>
      </c>
      <c r="CK1565" s="483" t="str">
        <f t="shared" ca="1" si="491"/>
        <v/>
      </c>
      <c r="CL1565" s="483" t="str">
        <f t="shared" ca="1" si="492"/>
        <v/>
      </c>
      <c r="CM1565" s="483" t="str">
        <f t="shared" ca="1" si="493"/>
        <v/>
      </c>
      <c r="CN1565" s="483" t="str">
        <f t="shared" ca="1" si="494"/>
        <v/>
      </c>
      <c r="CO1565" s="482" t="str">
        <f t="shared" ca="1" si="495"/>
        <v/>
      </c>
      <c r="CP1565" s="483" t="str">
        <f t="shared" ca="1" si="496"/>
        <v/>
      </c>
      <c r="CQ1565" s="483" t="str">
        <f t="shared" ca="1" si="497"/>
        <v/>
      </c>
      <c r="CR1565" s="484" t="str">
        <f t="shared" ca="1" si="498"/>
        <v/>
      </c>
    </row>
    <row r="1566" spans="1:102" hidden="1" outlineLevel="1" x14ac:dyDescent="0.25"/>
    <row r="1567" spans="1:102" hidden="1" outlineLevel="1" x14ac:dyDescent="0.25"/>
    <row r="1568" spans="1:102" s="386" customFormat="1" hidden="1" outlineLevel="1" x14ac:dyDescent="0.25">
      <c r="A1568" s="387" t="s">
        <v>2091</v>
      </c>
    </row>
    <row r="1569" spans="1:22" hidden="1" outlineLevel="1" x14ac:dyDescent="0.25">
      <c r="B1569" s="461"/>
      <c r="E1569" s="24" t="s">
        <v>1400</v>
      </c>
    </row>
    <row r="1570" spans="1:22" hidden="1" outlineLevel="1" x14ac:dyDescent="0.25">
      <c r="A1570" t="s">
        <v>1</v>
      </c>
      <c r="B1570" s="461">
        <f ca="1">E1498</f>
        <v>5</v>
      </c>
      <c r="E1570" s="461">
        <f ca="1">B1388</f>
        <v>16</v>
      </c>
    </row>
    <row r="1571" spans="1:22" hidden="1" outlineLevel="1" x14ac:dyDescent="0.25">
      <c r="C1571" s="6"/>
      <c r="D1571" s="6"/>
      <c r="E1571" s="6"/>
      <c r="F1571" s="6"/>
      <c r="I1571" t="s">
        <v>1418</v>
      </c>
      <c r="J1571" t="s">
        <v>1879</v>
      </c>
      <c r="K1571" t="s">
        <v>1418</v>
      </c>
      <c r="L1571" t="s">
        <v>1879</v>
      </c>
      <c r="M1571" t="s">
        <v>1418</v>
      </c>
      <c r="N1571" t="s">
        <v>1879</v>
      </c>
      <c r="U1571" s="34"/>
      <c r="V1571" s="34"/>
    </row>
    <row r="1572" spans="1:22" hidden="1" outlineLevel="1" x14ac:dyDescent="0.25">
      <c r="B1572" t="s">
        <v>1418</v>
      </c>
      <c r="C1572" s="129" t="str">
        <f ca="1">IF($C$1575=8,I1573,IF($C$1575=10,K1573,IF($C$1575=12,M1573,"")))</f>
        <v/>
      </c>
      <c r="D1572" s="129" t="str">
        <f ca="1">IF($D$1575=8,I1573,IF($D$1575=10,K1573,IF($D$1575=12,M1573,"")))</f>
        <v/>
      </c>
      <c r="E1572" s="129" t="str">
        <f ca="1">IF($E$1575=8,I1573,IF($E$1575=10,K1573,IF($E$1575=12,M1573,"")))</f>
        <v/>
      </c>
      <c r="F1572" s="129" t="str">
        <f ca="1">IF($F$1575=8,I1573,IF($F$1575=10,K1573,IF($F$1575=12,M1573,"")))</f>
        <v/>
      </c>
      <c r="I1572" s="356">
        <f ca="1">VLOOKUP(E1570,$A$674:$F$682,1+B1570-2,FALSE)</f>
        <v>8</v>
      </c>
      <c r="J1572" s="356">
        <f ca="1">IFERROR(VLOOKUP(I1572,$CV$1504:$CW$1561,2,FALSE),"")</f>
        <v>1</v>
      </c>
      <c r="K1572" s="356">
        <f ca="1">VLOOKUP(E1570,$A$697:$F$705,1+B1570-2,FALSE)</f>
        <v>9.5</v>
      </c>
      <c r="L1572" s="356">
        <f ca="1">IFERROR(VLOOKUP(K1572,$CV$1504:$CW$1561,2,FALSE),"")</f>
        <v>1</v>
      </c>
      <c r="M1572" s="356" t="str">
        <f ca="1">VLOOKUP(E1570,$A$720:$F$728,1+B1570-2,FALSE)</f>
        <v>-</v>
      </c>
      <c r="N1572" s="356" t="str">
        <f ca="1">IFERROR(VLOOKUP(M1572,$CV$1504:$CW$1561,2,FALSE),"")</f>
        <v/>
      </c>
      <c r="U1572" s="602"/>
      <c r="V1572" s="34"/>
    </row>
    <row r="1573" spans="1:22" hidden="1" outlineLevel="1" x14ac:dyDescent="0.25">
      <c r="I1573" s="557">
        <f ca="1">IF(J1572=1,I1572,"")</f>
        <v>8</v>
      </c>
      <c r="K1573" s="557">
        <f ca="1">IF(L1572=1,K1572,"")</f>
        <v>9.5</v>
      </c>
      <c r="M1573" s="557" t="str">
        <f ca="1">IF(N1572=1,M1572,"")</f>
        <v/>
      </c>
      <c r="U1573" s="602"/>
      <c r="V1573" s="34"/>
    </row>
    <row r="1574" spans="1:22" hidden="1" outlineLevel="1" x14ac:dyDescent="0.25">
      <c r="B1574" t="s">
        <v>2099</v>
      </c>
      <c r="C1574" t="s">
        <v>2095</v>
      </c>
      <c r="D1574" t="s">
        <v>2096</v>
      </c>
      <c r="E1574" t="s">
        <v>2097</v>
      </c>
      <c r="F1574" t="s">
        <v>2098</v>
      </c>
      <c r="J1574" s="538" t="s">
        <v>1402</v>
      </c>
      <c r="L1574" s="538" t="s">
        <v>2093</v>
      </c>
      <c r="N1574" s="538" t="s">
        <v>2094</v>
      </c>
      <c r="U1574" s="602"/>
      <c r="V1574" s="34"/>
    </row>
    <row r="1575" spans="1:22" hidden="1" outlineLevel="1" x14ac:dyDescent="0.25">
      <c r="C1575" s="544">
        <f ca="1">$Q$1368</f>
        <v>1</v>
      </c>
      <c r="D1575" s="544" t="str">
        <f ca="1">$Q$1369</f>
        <v/>
      </c>
      <c r="E1575" s="544" t="str">
        <f ca="1">$Q$1370</f>
        <v/>
      </c>
      <c r="F1575" s="544">
        <f ca="1">$Q$1371</f>
        <v>19</v>
      </c>
      <c r="G1575" s="656" t="s">
        <v>2092</v>
      </c>
      <c r="J1575">
        <v>8</v>
      </c>
      <c r="L1575">
        <v>10</v>
      </c>
      <c r="N1575">
        <v>12</v>
      </c>
      <c r="U1575" s="602"/>
      <c r="V1575" s="34"/>
    </row>
    <row r="1576" spans="1:22" hidden="1" outlineLevel="1" x14ac:dyDescent="0.25">
      <c r="B1576">
        <f ca="1">SUM(C1576:F1576)</f>
        <v>0</v>
      </c>
      <c r="C1576" s="356" t="str">
        <f ca="1">IF($C$1575=8,J1576,IF($C$1575=10,L1576,IF($C$1575=12,N1576,"")))</f>
        <v/>
      </c>
      <c r="D1576" s="356" t="str">
        <f ca="1">IF($D$1575=8,J1576,IF($D$1575=10,L1576,IF($D$1575=12,N1576,"")))</f>
        <v/>
      </c>
      <c r="E1576" s="356" t="str">
        <f ca="1">IF($E$1575=8,J1576,IF($E$1575=10,L1576,IF($E$1575=12,N1576,"")))</f>
        <v/>
      </c>
      <c r="F1576" s="356" t="str">
        <f ca="1">IF($F$1575=8,J1576,IF($F$1575=10,L1576,IF($F$1575=12,N1576,"")))</f>
        <v/>
      </c>
      <c r="G1576" s="520" t="str">
        <f t="shared" ref="G1576:G1608" ca="1" si="526">C1390</f>
        <v>---------</v>
      </c>
      <c r="I1576" s="448" t="e">
        <f t="shared" ref="I1576:I1608" ca="1" si="527">VLOOKUP(G1576,$A$674:$F$682,1+$B$1570-2,FALSE)</f>
        <v>#N/A</v>
      </c>
      <c r="J1576" s="521" t="str">
        <f t="shared" ref="J1576:J1608" ca="1" si="528">IFERROR(VLOOKUP(I1576,$CV$1504:$CW$1561,2,FALSE),"")</f>
        <v/>
      </c>
      <c r="K1576" s="448" t="e">
        <f t="shared" ref="K1576:K1608" ca="1" si="529">VLOOKUP(G1576,$A$697:$F$705,1+$B$1570-2,FALSE)</f>
        <v>#N/A</v>
      </c>
      <c r="L1576" s="522" t="str">
        <f t="shared" ref="L1576:L1608" ca="1" si="530">IFERROR(VLOOKUP(K1576,$CV$1504:$CW$1561,2,FALSE),"")</f>
        <v/>
      </c>
      <c r="M1576" s="448" t="e">
        <f t="shared" ref="M1576:M1608" ca="1" si="531">VLOOKUP(G1576,$A$720:$F$728,1+$B$1570-2,FALSE)</f>
        <v>#N/A</v>
      </c>
      <c r="N1576" s="522" t="str">
        <f t="shared" ref="N1576:N1608" ca="1" si="532">IFERROR(VLOOKUP(M1576,$CV$1504:$CW$1561,2,FALSE),"")</f>
        <v/>
      </c>
      <c r="U1576" s="602"/>
      <c r="V1576" s="34"/>
    </row>
    <row r="1577" spans="1:22" hidden="1" outlineLevel="1" x14ac:dyDescent="0.25">
      <c r="B1577">
        <f t="shared" ref="B1577:B1608" ca="1" si="533">SUM(C1577:F1577)</f>
        <v>0</v>
      </c>
      <c r="C1577" s="356" t="str">
        <f t="shared" ref="C1577:C1608" ca="1" si="534">IF($C$1575=8,J1577,IF($C$1575=10,L1577,IF($C$1575=12,N1577,"")))</f>
        <v/>
      </c>
      <c r="D1577" s="356" t="str">
        <f ca="1">IF($D$1575=8,J1577,IF($D$1575=10,L1577,IF($D$1575=12,N1577,"")))</f>
        <v/>
      </c>
      <c r="E1577" s="356" t="str">
        <f t="shared" ref="E1577:E1608" ca="1" si="535">IF($E$1575=8,J1577,IF($E$1575=10,L1577,IF($E$1575=12,N1577,"")))</f>
        <v/>
      </c>
      <c r="F1577" s="356" t="str">
        <f t="shared" ref="F1577:F1608" ca="1" si="536">IF($F$1575=8,J1577,IF($F$1575=10,L1577,IF($F$1575=12,N1577,"")))</f>
        <v/>
      </c>
      <c r="G1577" s="204" t="str">
        <f t="shared" ca="1" si="526"/>
        <v>---------</v>
      </c>
      <c r="I1577" s="603" t="e">
        <f t="shared" ca="1" si="527"/>
        <v>#N/A</v>
      </c>
      <c r="J1577" s="521" t="str">
        <f t="shared" ca="1" si="528"/>
        <v/>
      </c>
      <c r="K1577" s="603" t="e">
        <f t="shared" ca="1" si="529"/>
        <v>#N/A</v>
      </c>
      <c r="L1577" s="522" t="str">
        <f t="shared" ca="1" si="530"/>
        <v/>
      </c>
      <c r="M1577" s="603" t="e">
        <f t="shared" ca="1" si="531"/>
        <v>#N/A</v>
      </c>
      <c r="N1577" s="522" t="str">
        <f t="shared" ca="1" si="532"/>
        <v/>
      </c>
    </row>
    <row r="1578" spans="1:22" hidden="1" outlineLevel="1" x14ac:dyDescent="0.25">
      <c r="B1578">
        <f t="shared" ca="1" si="533"/>
        <v>0</v>
      </c>
      <c r="C1578" s="356" t="str">
        <f t="shared" ca="1" si="534"/>
        <v/>
      </c>
      <c r="D1578" s="356" t="str">
        <f t="shared" ref="D1578:D1608" ca="1" si="537">IF($D$1575=8,J1578,IF($D$1575=10,L1578,IF($D$1575=12,N1578,"")))</f>
        <v/>
      </c>
      <c r="E1578" s="356" t="str">
        <f t="shared" ca="1" si="535"/>
        <v/>
      </c>
      <c r="F1578" s="356" t="str">
        <f t="shared" ca="1" si="536"/>
        <v/>
      </c>
      <c r="G1578" s="204" t="str">
        <f t="shared" ca="1" si="526"/>
        <v>---------</v>
      </c>
      <c r="I1578" s="603" t="e">
        <f t="shared" ca="1" si="527"/>
        <v>#N/A</v>
      </c>
      <c r="J1578" s="521" t="str">
        <f t="shared" ca="1" si="528"/>
        <v/>
      </c>
      <c r="K1578" s="603" t="e">
        <f t="shared" ca="1" si="529"/>
        <v>#N/A</v>
      </c>
      <c r="L1578" s="522" t="str">
        <f t="shared" ca="1" si="530"/>
        <v/>
      </c>
      <c r="M1578" s="603" t="e">
        <f t="shared" ca="1" si="531"/>
        <v>#N/A</v>
      </c>
      <c r="N1578" s="522" t="str">
        <f t="shared" ca="1" si="532"/>
        <v/>
      </c>
    </row>
    <row r="1579" spans="1:22" hidden="1" outlineLevel="1" x14ac:dyDescent="0.25">
      <c r="B1579">
        <f t="shared" ca="1" si="533"/>
        <v>0</v>
      </c>
      <c r="C1579" s="356" t="str">
        <f t="shared" ca="1" si="534"/>
        <v/>
      </c>
      <c r="D1579" s="356" t="str">
        <f t="shared" ca="1" si="537"/>
        <v/>
      </c>
      <c r="E1579" s="356" t="str">
        <f t="shared" ca="1" si="535"/>
        <v/>
      </c>
      <c r="F1579" s="356" t="str">
        <f t="shared" ca="1" si="536"/>
        <v/>
      </c>
      <c r="G1579" s="204" t="str">
        <f t="shared" ca="1" si="526"/>
        <v>---------</v>
      </c>
      <c r="I1579" s="603" t="e">
        <f t="shared" ca="1" si="527"/>
        <v>#N/A</v>
      </c>
      <c r="J1579" s="521" t="str">
        <f t="shared" ca="1" si="528"/>
        <v/>
      </c>
      <c r="K1579" s="603" t="e">
        <f t="shared" ca="1" si="529"/>
        <v>#N/A</v>
      </c>
      <c r="L1579" s="522" t="str">
        <f t="shared" ca="1" si="530"/>
        <v/>
      </c>
      <c r="M1579" s="603" t="e">
        <f t="shared" ca="1" si="531"/>
        <v>#N/A</v>
      </c>
      <c r="N1579" s="522" t="str">
        <f t="shared" ca="1" si="532"/>
        <v/>
      </c>
    </row>
    <row r="1580" spans="1:22" hidden="1" outlineLevel="1" x14ac:dyDescent="0.25">
      <c r="B1580">
        <f t="shared" ca="1" si="533"/>
        <v>0</v>
      </c>
      <c r="C1580" s="356" t="str">
        <f t="shared" ca="1" si="534"/>
        <v/>
      </c>
      <c r="D1580" s="356" t="str">
        <f t="shared" ca="1" si="537"/>
        <v/>
      </c>
      <c r="E1580" s="356" t="str">
        <f t="shared" ca="1" si="535"/>
        <v/>
      </c>
      <c r="F1580" s="356" t="str">
        <f t="shared" ca="1" si="536"/>
        <v/>
      </c>
      <c r="G1580" s="204" t="str">
        <f t="shared" ca="1" si="526"/>
        <v>---------</v>
      </c>
      <c r="I1580" s="603" t="e">
        <f t="shared" ca="1" si="527"/>
        <v>#N/A</v>
      </c>
      <c r="J1580" s="521" t="str">
        <f t="shared" ca="1" si="528"/>
        <v/>
      </c>
      <c r="K1580" s="603" t="e">
        <f t="shared" ca="1" si="529"/>
        <v>#N/A</v>
      </c>
      <c r="L1580" s="522" t="str">
        <f t="shared" ca="1" si="530"/>
        <v/>
      </c>
      <c r="M1580" s="603" t="e">
        <f t="shared" ca="1" si="531"/>
        <v>#N/A</v>
      </c>
      <c r="N1580" s="522" t="str">
        <f t="shared" ca="1" si="532"/>
        <v/>
      </c>
    </row>
    <row r="1581" spans="1:22" hidden="1" outlineLevel="1" x14ac:dyDescent="0.25">
      <c r="B1581">
        <f t="shared" ca="1" si="533"/>
        <v>0</v>
      </c>
      <c r="C1581" s="356" t="str">
        <f t="shared" ca="1" si="534"/>
        <v/>
      </c>
      <c r="D1581" s="356" t="str">
        <f t="shared" ca="1" si="537"/>
        <v/>
      </c>
      <c r="E1581" s="356" t="str">
        <f t="shared" ca="1" si="535"/>
        <v/>
      </c>
      <c r="F1581" s="356" t="str">
        <f t="shared" ca="1" si="536"/>
        <v/>
      </c>
      <c r="G1581" s="204" t="str">
        <f t="shared" ca="1" si="526"/>
        <v>---------</v>
      </c>
      <c r="I1581" s="603" t="e">
        <f t="shared" ca="1" si="527"/>
        <v>#N/A</v>
      </c>
      <c r="J1581" s="521" t="str">
        <f t="shared" ca="1" si="528"/>
        <v/>
      </c>
      <c r="K1581" s="603" t="e">
        <f t="shared" ca="1" si="529"/>
        <v>#N/A</v>
      </c>
      <c r="L1581" s="522" t="str">
        <f t="shared" ca="1" si="530"/>
        <v/>
      </c>
      <c r="M1581" s="603" t="e">
        <f t="shared" ca="1" si="531"/>
        <v>#N/A</v>
      </c>
      <c r="N1581" s="522" t="str">
        <f t="shared" ca="1" si="532"/>
        <v/>
      </c>
    </row>
    <row r="1582" spans="1:22" hidden="1" outlineLevel="1" x14ac:dyDescent="0.25">
      <c r="B1582">
        <f t="shared" ca="1" si="533"/>
        <v>0</v>
      </c>
      <c r="C1582" s="356" t="str">
        <f t="shared" ca="1" si="534"/>
        <v/>
      </c>
      <c r="D1582" s="356" t="str">
        <f t="shared" ca="1" si="537"/>
        <v/>
      </c>
      <c r="E1582" s="356" t="str">
        <f t="shared" ca="1" si="535"/>
        <v/>
      </c>
      <c r="F1582" s="356" t="str">
        <f t="shared" ca="1" si="536"/>
        <v/>
      </c>
      <c r="G1582" s="204" t="str">
        <f t="shared" ca="1" si="526"/>
        <v>---------</v>
      </c>
      <c r="I1582" s="603" t="e">
        <f t="shared" ca="1" si="527"/>
        <v>#N/A</v>
      </c>
      <c r="J1582" s="521" t="str">
        <f t="shared" ca="1" si="528"/>
        <v/>
      </c>
      <c r="K1582" s="603" t="e">
        <f t="shared" ca="1" si="529"/>
        <v>#N/A</v>
      </c>
      <c r="L1582" s="522" t="str">
        <f t="shared" ca="1" si="530"/>
        <v/>
      </c>
      <c r="M1582" s="603" t="e">
        <f t="shared" ca="1" si="531"/>
        <v>#N/A</v>
      </c>
      <c r="N1582" s="522" t="str">
        <f t="shared" ca="1" si="532"/>
        <v/>
      </c>
    </row>
    <row r="1583" spans="1:22" hidden="1" outlineLevel="1" x14ac:dyDescent="0.25">
      <c r="B1583">
        <f t="shared" ca="1" si="533"/>
        <v>0</v>
      </c>
      <c r="C1583" s="356" t="str">
        <f t="shared" ca="1" si="534"/>
        <v/>
      </c>
      <c r="D1583" s="356" t="str">
        <f t="shared" ca="1" si="537"/>
        <v/>
      </c>
      <c r="E1583" s="356" t="str">
        <f t="shared" ca="1" si="535"/>
        <v/>
      </c>
      <c r="F1583" s="356" t="str">
        <f t="shared" ca="1" si="536"/>
        <v/>
      </c>
      <c r="G1583" s="204" t="str">
        <f t="shared" ca="1" si="526"/>
        <v>---------</v>
      </c>
      <c r="I1583" s="603" t="e">
        <f t="shared" ca="1" si="527"/>
        <v>#N/A</v>
      </c>
      <c r="J1583" s="521" t="str">
        <f t="shared" ca="1" si="528"/>
        <v/>
      </c>
      <c r="K1583" s="603" t="e">
        <f t="shared" ca="1" si="529"/>
        <v>#N/A</v>
      </c>
      <c r="L1583" s="522" t="str">
        <f t="shared" ca="1" si="530"/>
        <v/>
      </c>
      <c r="M1583" s="603" t="e">
        <f t="shared" ca="1" si="531"/>
        <v>#N/A</v>
      </c>
      <c r="N1583" s="522" t="str">
        <f t="shared" ca="1" si="532"/>
        <v/>
      </c>
    </row>
    <row r="1584" spans="1:22" hidden="1" outlineLevel="1" x14ac:dyDescent="0.25">
      <c r="B1584">
        <f t="shared" ca="1" si="533"/>
        <v>0</v>
      </c>
      <c r="C1584" s="356" t="str">
        <f t="shared" ca="1" si="534"/>
        <v/>
      </c>
      <c r="D1584" s="356" t="str">
        <f t="shared" ca="1" si="537"/>
        <v/>
      </c>
      <c r="E1584" s="356" t="str">
        <f t="shared" ca="1" si="535"/>
        <v/>
      </c>
      <c r="F1584" s="356" t="str">
        <f t="shared" ca="1" si="536"/>
        <v/>
      </c>
      <c r="G1584" s="204">
        <f t="shared" ca="1" si="526"/>
        <v>28</v>
      </c>
      <c r="I1584" s="603" t="e">
        <f t="shared" ca="1" si="527"/>
        <v>#N/A</v>
      </c>
      <c r="J1584" s="521" t="str">
        <f t="shared" ca="1" si="528"/>
        <v/>
      </c>
      <c r="K1584" s="603" t="e">
        <f t="shared" ca="1" si="529"/>
        <v>#N/A</v>
      </c>
      <c r="L1584" s="522" t="str">
        <f t="shared" ca="1" si="530"/>
        <v/>
      </c>
      <c r="M1584" s="603" t="e">
        <f t="shared" ca="1" si="531"/>
        <v>#N/A</v>
      </c>
      <c r="N1584" s="522" t="str">
        <f t="shared" ca="1" si="532"/>
        <v/>
      </c>
    </row>
    <row r="1585" spans="2:21" hidden="1" outlineLevel="1" x14ac:dyDescent="0.25">
      <c r="B1585">
        <f t="shared" ca="1" si="533"/>
        <v>0</v>
      </c>
      <c r="C1585" s="356" t="str">
        <f t="shared" ca="1" si="534"/>
        <v/>
      </c>
      <c r="D1585" s="356" t="str">
        <f t="shared" ca="1" si="537"/>
        <v/>
      </c>
      <c r="E1585" s="356" t="str">
        <f t="shared" ca="1" si="535"/>
        <v/>
      </c>
      <c r="F1585" s="356" t="str">
        <f t="shared" ca="1" si="536"/>
        <v/>
      </c>
      <c r="G1585" s="204" t="str">
        <f t="shared" ca="1" si="526"/>
        <v>---------</v>
      </c>
      <c r="I1585" s="603" t="e">
        <f t="shared" ca="1" si="527"/>
        <v>#N/A</v>
      </c>
      <c r="J1585" s="521" t="str">
        <f t="shared" ca="1" si="528"/>
        <v/>
      </c>
      <c r="K1585" s="603" t="e">
        <f t="shared" ca="1" si="529"/>
        <v>#N/A</v>
      </c>
      <c r="L1585" s="522" t="str">
        <f t="shared" ca="1" si="530"/>
        <v/>
      </c>
      <c r="M1585" s="603" t="e">
        <f t="shared" ca="1" si="531"/>
        <v>#N/A</v>
      </c>
      <c r="N1585" s="522" t="str">
        <f t="shared" ca="1" si="532"/>
        <v/>
      </c>
    </row>
    <row r="1586" spans="2:21" hidden="1" outlineLevel="1" x14ac:dyDescent="0.25">
      <c r="B1586">
        <f t="shared" ca="1" si="533"/>
        <v>0</v>
      </c>
      <c r="C1586" s="356" t="str">
        <f t="shared" ca="1" si="534"/>
        <v/>
      </c>
      <c r="D1586" s="356" t="str">
        <f t="shared" ca="1" si="537"/>
        <v/>
      </c>
      <c r="E1586" s="356" t="str">
        <f t="shared" ca="1" si="535"/>
        <v/>
      </c>
      <c r="F1586" s="356" t="str">
        <f t="shared" ca="1" si="536"/>
        <v/>
      </c>
      <c r="G1586" s="204">
        <f t="shared" ca="1" si="526"/>
        <v>26</v>
      </c>
      <c r="I1586" s="603" t="e">
        <f t="shared" ca="1" si="527"/>
        <v>#N/A</v>
      </c>
      <c r="J1586" s="521" t="str">
        <f t="shared" ca="1" si="528"/>
        <v/>
      </c>
      <c r="K1586" s="603" t="e">
        <f t="shared" ca="1" si="529"/>
        <v>#N/A</v>
      </c>
      <c r="L1586" s="522" t="str">
        <f t="shared" ca="1" si="530"/>
        <v/>
      </c>
      <c r="M1586" s="603" t="e">
        <f t="shared" ca="1" si="531"/>
        <v>#N/A</v>
      </c>
      <c r="N1586" s="522" t="str">
        <f t="shared" ca="1" si="532"/>
        <v/>
      </c>
    </row>
    <row r="1587" spans="2:21" hidden="1" outlineLevel="1" x14ac:dyDescent="0.25">
      <c r="B1587">
        <f t="shared" ca="1" si="533"/>
        <v>0</v>
      </c>
      <c r="C1587" s="356" t="str">
        <f t="shared" ca="1" si="534"/>
        <v/>
      </c>
      <c r="D1587" s="356" t="str">
        <f t="shared" ca="1" si="537"/>
        <v/>
      </c>
      <c r="E1587" s="356" t="str">
        <f t="shared" ca="1" si="535"/>
        <v/>
      </c>
      <c r="F1587" s="356" t="str">
        <f t="shared" ca="1" si="536"/>
        <v/>
      </c>
      <c r="G1587" s="204" t="str">
        <f t="shared" ca="1" si="526"/>
        <v>---------</v>
      </c>
      <c r="I1587" s="603" t="e">
        <f t="shared" ca="1" si="527"/>
        <v>#N/A</v>
      </c>
      <c r="J1587" s="521" t="str">
        <f t="shared" ca="1" si="528"/>
        <v/>
      </c>
      <c r="K1587" s="603" t="e">
        <f t="shared" ca="1" si="529"/>
        <v>#N/A</v>
      </c>
      <c r="L1587" s="522" t="str">
        <f t="shared" ca="1" si="530"/>
        <v/>
      </c>
      <c r="M1587" s="603" t="e">
        <f t="shared" ca="1" si="531"/>
        <v>#N/A</v>
      </c>
      <c r="N1587" s="522" t="str">
        <f t="shared" ca="1" si="532"/>
        <v/>
      </c>
    </row>
    <row r="1588" spans="2:21" hidden="1" outlineLevel="1" x14ac:dyDescent="0.25">
      <c r="B1588">
        <f t="shared" ca="1" si="533"/>
        <v>0</v>
      </c>
      <c r="C1588" s="356" t="str">
        <f t="shared" ca="1" si="534"/>
        <v/>
      </c>
      <c r="D1588" s="356" t="str">
        <f t="shared" ca="1" si="537"/>
        <v/>
      </c>
      <c r="E1588" s="356" t="str">
        <f t="shared" ca="1" si="535"/>
        <v/>
      </c>
      <c r="F1588" s="356" t="str">
        <f t="shared" ca="1" si="536"/>
        <v/>
      </c>
      <c r="G1588" s="204">
        <f t="shared" ca="1" si="526"/>
        <v>24</v>
      </c>
      <c r="I1588" s="603" t="str">
        <f t="shared" ca="1" si="527"/>
        <v>-</v>
      </c>
      <c r="J1588" s="521" t="str">
        <f t="shared" ca="1" si="528"/>
        <v/>
      </c>
      <c r="K1588" s="603" t="str">
        <f t="shared" ca="1" si="529"/>
        <v>-</v>
      </c>
      <c r="L1588" s="522" t="str">
        <f t="shared" ca="1" si="530"/>
        <v/>
      </c>
      <c r="M1588" s="603" t="str">
        <f t="shared" ca="1" si="531"/>
        <v>-</v>
      </c>
      <c r="N1588" s="522" t="str">
        <f t="shared" ca="1" si="532"/>
        <v/>
      </c>
    </row>
    <row r="1589" spans="2:21" hidden="1" outlineLevel="1" x14ac:dyDescent="0.25">
      <c r="B1589">
        <f t="shared" ca="1" si="533"/>
        <v>0</v>
      </c>
      <c r="C1589" s="356" t="str">
        <f t="shared" ca="1" si="534"/>
        <v/>
      </c>
      <c r="D1589" s="356" t="str">
        <f t="shared" ca="1" si="537"/>
        <v/>
      </c>
      <c r="E1589" s="356" t="str">
        <f t="shared" ca="1" si="535"/>
        <v/>
      </c>
      <c r="F1589" s="356" t="str">
        <f t="shared" ca="1" si="536"/>
        <v/>
      </c>
      <c r="G1589" s="204" t="str">
        <f t="shared" ca="1" si="526"/>
        <v>---------</v>
      </c>
      <c r="I1589" s="603" t="e">
        <f t="shared" ca="1" si="527"/>
        <v>#N/A</v>
      </c>
      <c r="J1589" s="521" t="str">
        <f t="shared" ca="1" si="528"/>
        <v/>
      </c>
      <c r="K1589" s="603" t="e">
        <f t="shared" ca="1" si="529"/>
        <v>#N/A</v>
      </c>
      <c r="L1589" s="522" t="str">
        <f t="shared" ca="1" si="530"/>
        <v/>
      </c>
      <c r="M1589" s="603" t="e">
        <f t="shared" ca="1" si="531"/>
        <v>#N/A</v>
      </c>
      <c r="N1589" s="522" t="str">
        <f t="shared" ca="1" si="532"/>
        <v/>
      </c>
    </row>
    <row r="1590" spans="2:21" hidden="1" outlineLevel="1" x14ac:dyDescent="0.25">
      <c r="B1590">
        <f t="shared" ca="1" si="533"/>
        <v>0</v>
      </c>
      <c r="C1590" s="356" t="str">
        <f t="shared" ca="1" si="534"/>
        <v/>
      </c>
      <c r="D1590" s="356" t="str">
        <f t="shared" ca="1" si="537"/>
        <v/>
      </c>
      <c r="E1590" s="356" t="str">
        <f t="shared" ca="1" si="535"/>
        <v/>
      </c>
      <c r="F1590" s="356" t="str">
        <f t="shared" ca="1" si="536"/>
        <v/>
      </c>
      <c r="G1590" s="204">
        <f t="shared" ca="1" si="526"/>
        <v>22</v>
      </c>
      <c r="I1590" s="603" t="str">
        <f t="shared" ca="1" si="527"/>
        <v>-</v>
      </c>
      <c r="J1590" s="521" t="str">
        <f t="shared" ca="1" si="528"/>
        <v/>
      </c>
      <c r="K1590" s="603">
        <f t="shared" ca="1" si="529"/>
        <v>14</v>
      </c>
      <c r="L1590" s="522">
        <f t="shared" ca="1" si="530"/>
        <v>1</v>
      </c>
      <c r="M1590" s="603" t="str">
        <f t="shared" ca="1" si="531"/>
        <v>-</v>
      </c>
      <c r="N1590" s="522" t="str">
        <f t="shared" ca="1" si="532"/>
        <v/>
      </c>
    </row>
    <row r="1591" spans="2:21" hidden="1" outlineLevel="1" x14ac:dyDescent="0.25">
      <c r="B1591">
        <f t="shared" ca="1" si="533"/>
        <v>0</v>
      </c>
      <c r="C1591" s="356" t="str">
        <f t="shared" ca="1" si="534"/>
        <v/>
      </c>
      <c r="D1591" s="356" t="str">
        <f t="shared" ca="1" si="537"/>
        <v/>
      </c>
      <c r="E1591" s="356" t="str">
        <f t="shared" ca="1" si="535"/>
        <v/>
      </c>
      <c r="F1591" s="356" t="str">
        <f t="shared" ca="1" si="536"/>
        <v/>
      </c>
      <c r="G1591" s="204">
        <f t="shared" ca="1" si="526"/>
        <v>21</v>
      </c>
      <c r="I1591" s="603" t="str">
        <f t="shared" ca="1" si="527"/>
        <v>-</v>
      </c>
      <c r="J1591" s="521" t="str">
        <f t="shared" ca="1" si="528"/>
        <v/>
      </c>
      <c r="K1591" s="603" t="str">
        <f t="shared" ca="1" si="529"/>
        <v>-</v>
      </c>
      <c r="L1591" s="522" t="str">
        <f t="shared" ca="1" si="530"/>
        <v/>
      </c>
      <c r="M1591" s="603">
        <f t="shared" ca="1" si="531"/>
        <v>15</v>
      </c>
      <c r="N1591" s="522">
        <f t="shared" ca="1" si="532"/>
        <v>1</v>
      </c>
    </row>
    <row r="1592" spans="2:21" hidden="1" outlineLevel="1" x14ac:dyDescent="0.25">
      <c r="B1592">
        <f t="shared" ca="1" si="533"/>
        <v>0</v>
      </c>
      <c r="C1592" s="356" t="str">
        <f t="shared" ca="1" si="534"/>
        <v/>
      </c>
      <c r="D1592" s="356" t="str">
        <f t="shared" ca="1" si="537"/>
        <v/>
      </c>
      <c r="E1592" s="356" t="str">
        <f t="shared" ca="1" si="535"/>
        <v/>
      </c>
      <c r="F1592" s="356" t="str">
        <f t="shared" ca="1" si="536"/>
        <v/>
      </c>
      <c r="G1592" s="204">
        <f t="shared" ca="1" si="526"/>
        <v>20</v>
      </c>
      <c r="I1592" s="603" t="str">
        <f t="shared" ca="1" si="527"/>
        <v>-</v>
      </c>
      <c r="J1592" s="521" t="str">
        <f t="shared" ca="1" si="528"/>
        <v/>
      </c>
      <c r="K1592" s="603">
        <f t="shared" ca="1" si="529"/>
        <v>12</v>
      </c>
      <c r="L1592" s="522">
        <f t="shared" ca="1" si="530"/>
        <v>1</v>
      </c>
      <c r="M1592" s="603">
        <f t="shared" ca="1" si="531"/>
        <v>14</v>
      </c>
      <c r="N1592" s="522">
        <f t="shared" ca="1" si="532"/>
        <v>1</v>
      </c>
      <c r="R1592" s="8"/>
      <c r="S1592" s="8"/>
      <c r="T1592" s="8"/>
      <c r="U1592" s="8"/>
    </row>
    <row r="1593" spans="2:21" hidden="1" outlineLevel="1" x14ac:dyDescent="0.25">
      <c r="B1593">
        <f t="shared" ca="1" si="533"/>
        <v>0</v>
      </c>
      <c r="C1593" s="356" t="str">
        <f t="shared" ca="1" si="534"/>
        <v/>
      </c>
      <c r="D1593" s="356" t="str">
        <f t="shared" ca="1" si="537"/>
        <v/>
      </c>
      <c r="E1593" s="356" t="str">
        <f t="shared" ca="1" si="535"/>
        <v/>
      </c>
      <c r="F1593" s="356" t="str">
        <f t="shared" ca="1" si="536"/>
        <v/>
      </c>
      <c r="G1593" s="204">
        <f t="shared" ca="1" si="526"/>
        <v>19</v>
      </c>
      <c r="I1593" s="603">
        <f t="shared" ca="1" si="527"/>
        <v>9.5</v>
      </c>
      <c r="J1593" s="521">
        <f t="shared" ca="1" si="528"/>
        <v>1</v>
      </c>
      <c r="K1593" s="603" t="str">
        <f t="shared" ca="1" si="529"/>
        <v>-</v>
      </c>
      <c r="L1593" s="522" t="str">
        <f t="shared" ca="1" si="530"/>
        <v/>
      </c>
      <c r="M1593" s="603" t="str">
        <f t="shared" ca="1" si="531"/>
        <v>-</v>
      </c>
      <c r="N1593" s="522" t="str">
        <f t="shared" ca="1" si="532"/>
        <v/>
      </c>
    </row>
    <row r="1594" spans="2:21" hidden="1" outlineLevel="1" x14ac:dyDescent="0.25">
      <c r="B1594">
        <f t="shared" ca="1" si="533"/>
        <v>0</v>
      </c>
      <c r="C1594" s="356" t="str">
        <f t="shared" ca="1" si="534"/>
        <v/>
      </c>
      <c r="D1594" s="356" t="str">
        <f t="shared" ca="1" si="537"/>
        <v/>
      </c>
      <c r="E1594" s="356" t="str">
        <f t="shared" ca="1" si="535"/>
        <v/>
      </c>
      <c r="F1594" s="356" t="str">
        <f t="shared" ca="1" si="536"/>
        <v/>
      </c>
      <c r="G1594" s="204">
        <f t="shared" ca="1" si="526"/>
        <v>18</v>
      </c>
      <c r="I1594" s="603">
        <f t="shared" ca="1" si="527"/>
        <v>9</v>
      </c>
      <c r="J1594" s="521">
        <f t="shared" ca="1" si="528"/>
        <v>1</v>
      </c>
      <c r="K1594" s="603" t="str">
        <f t="shared" ca="1" si="529"/>
        <v>-</v>
      </c>
      <c r="L1594" s="522" t="str">
        <f t="shared" ca="1" si="530"/>
        <v/>
      </c>
      <c r="M1594" s="603" t="str">
        <f t="shared" ca="1" si="531"/>
        <v>-</v>
      </c>
      <c r="N1594" s="522" t="str">
        <f t="shared" ca="1" si="532"/>
        <v/>
      </c>
    </row>
    <row r="1595" spans="2:21" hidden="1" outlineLevel="1" x14ac:dyDescent="0.25">
      <c r="B1595">
        <f t="shared" ca="1" si="533"/>
        <v>0</v>
      </c>
      <c r="C1595" s="356" t="str">
        <f t="shared" ca="1" si="534"/>
        <v/>
      </c>
      <c r="D1595" s="356" t="str">
        <f t="shared" ca="1" si="537"/>
        <v/>
      </c>
      <c r="E1595" s="356" t="str">
        <f t="shared" ca="1" si="535"/>
        <v/>
      </c>
      <c r="F1595" s="356" t="str">
        <f t="shared" ca="1" si="536"/>
        <v/>
      </c>
      <c r="G1595" s="204">
        <f t="shared" ca="1" si="526"/>
        <v>17</v>
      </c>
      <c r="I1595" s="603" t="str">
        <f t="shared" ca="1" si="527"/>
        <v>-</v>
      </c>
      <c r="J1595" s="521" t="str">
        <f t="shared" ca="1" si="528"/>
        <v/>
      </c>
      <c r="K1595" s="603" t="str">
        <f t="shared" ca="1" si="529"/>
        <v>-</v>
      </c>
      <c r="L1595" s="522" t="str">
        <f t="shared" ca="1" si="530"/>
        <v/>
      </c>
      <c r="M1595" s="603">
        <f t="shared" ca="1" si="531"/>
        <v>12</v>
      </c>
      <c r="N1595" s="522">
        <f t="shared" ca="1" si="532"/>
        <v>1</v>
      </c>
    </row>
    <row r="1596" spans="2:21" hidden="1" outlineLevel="1" x14ac:dyDescent="0.25">
      <c r="B1596">
        <f t="shared" ca="1" si="533"/>
        <v>0</v>
      </c>
      <c r="C1596" s="356" t="str">
        <f t="shared" ca="1" si="534"/>
        <v/>
      </c>
      <c r="D1596" s="356" t="str">
        <f t="shared" ca="1" si="537"/>
        <v/>
      </c>
      <c r="E1596" s="356" t="str">
        <f t="shared" ca="1" si="535"/>
        <v/>
      </c>
      <c r="F1596" s="356" t="str">
        <f t="shared" ca="1" si="536"/>
        <v/>
      </c>
      <c r="G1596" s="204">
        <f t="shared" ca="1" si="526"/>
        <v>16</v>
      </c>
      <c r="I1596" s="603">
        <f t="shared" ca="1" si="527"/>
        <v>8</v>
      </c>
      <c r="J1596" s="521">
        <f t="shared" ca="1" si="528"/>
        <v>1</v>
      </c>
      <c r="K1596" s="603">
        <f t="shared" ca="1" si="529"/>
        <v>9.5</v>
      </c>
      <c r="L1596" s="522">
        <f t="shared" ca="1" si="530"/>
        <v>1</v>
      </c>
      <c r="M1596" s="603" t="str">
        <f t="shared" ca="1" si="531"/>
        <v>-</v>
      </c>
      <c r="N1596" s="522" t="str">
        <f t="shared" ca="1" si="532"/>
        <v/>
      </c>
    </row>
    <row r="1597" spans="2:21" hidden="1" outlineLevel="1" x14ac:dyDescent="0.25">
      <c r="B1597">
        <f t="shared" ca="1" si="533"/>
        <v>0</v>
      </c>
      <c r="C1597" s="356" t="str">
        <f t="shared" ca="1" si="534"/>
        <v/>
      </c>
      <c r="D1597" s="356" t="str">
        <f t="shared" ca="1" si="537"/>
        <v/>
      </c>
      <c r="E1597" s="356" t="str">
        <f t="shared" ca="1" si="535"/>
        <v/>
      </c>
      <c r="F1597" s="356" t="str">
        <f t="shared" ca="1" si="536"/>
        <v/>
      </c>
      <c r="G1597" s="204">
        <f t="shared" ca="1" si="526"/>
        <v>15</v>
      </c>
      <c r="I1597" s="603" t="str">
        <f t="shared" ca="1" si="527"/>
        <v>-</v>
      </c>
      <c r="J1597" s="521" t="str">
        <f t="shared" ca="1" si="528"/>
        <v/>
      </c>
      <c r="K1597" s="603">
        <f t="shared" ca="1" si="529"/>
        <v>9</v>
      </c>
      <c r="L1597" s="522">
        <f t="shared" ca="1" si="530"/>
        <v>1</v>
      </c>
      <c r="M1597" s="603" t="str">
        <f t="shared" ca="1" si="531"/>
        <v>-</v>
      </c>
      <c r="N1597" s="522" t="str">
        <f t="shared" ca="1" si="532"/>
        <v/>
      </c>
    </row>
    <row r="1598" spans="2:21" hidden="1" outlineLevel="1" x14ac:dyDescent="0.25">
      <c r="B1598">
        <f t="shared" ca="1" si="533"/>
        <v>0</v>
      </c>
      <c r="C1598" s="356" t="str">
        <f t="shared" ca="1" si="534"/>
        <v/>
      </c>
      <c r="D1598" s="356" t="str">
        <f t="shared" ca="1" si="537"/>
        <v/>
      </c>
      <c r="E1598" s="356" t="str">
        <f t="shared" ca="1" si="535"/>
        <v/>
      </c>
      <c r="F1598" s="356" t="str">
        <f t="shared" ca="1" si="536"/>
        <v/>
      </c>
      <c r="G1598" s="204">
        <f t="shared" ca="1" si="526"/>
        <v>14</v>
      </c>
      <c r="I1598" s="603" t="e">
        <f t="shared" ca="1" si="527"/>
        <v>#N/A</v>
      </c>
      <c r="J1598" s="521" t="str">
        <f t="shared" ca="1" si="528"/>
        <v/>
      </c>
      <c r="K1598" s="603" t="e">
        <f t="shared" ca="1" si="529"/>
        <v>#N/A</v>
      </c>
      <c r="L1598" s="522" t="str">
        <f t="shared" ca="1" si="530"/>
        <v/>
      </c>
      <c r="M1598" s="603" t="e">
        <f t="shared" ca="1" si="531"/>
        <v>#N/A</v>
      </c>
      <c r="N1598" s="522" t="str">
        <f t="shared" ca="1" si="532"/>
        <v/>
      </c>
    </row>
    <row r="1599" spans="2:21" hidden="1" outlineLevel="1" x14ac:dyDescent="0.25">
      <c r="B1599">
        <f t="shared" ca="1" si="533"/>
        <v>0</v>
      </c>
      <c r="C1599" s="356" t="str">
        <f t="shared" ca="1" si="534"/>
        <v/>
      </c>
      <c r="D1599" s="356" t="str">
        <f t="shared" ca="1" si="537"/>
        <v/>
      </c>
      <c r="E1599" s="356" t="str">
        <f t="shared" ca="1" si="535"/>
        <v/>
      </c>
      <c r="F1599" s="356" t="str">
        <f t="shared" ca="1" si="536"/>
        <v/>
      </c>
      <c r="G1599" s="204">
        <f t="shared" ca="1" si="526"/>
        <v>13</v>
      </c>
      <c r="I1599" s="603" t="e">
        <f t="shared" ca="1" si="527"/>
        <v>#N/A</v>
      </c>
      <c r="J1599" s="521" t="str">
        <f t="shared" ca="1" si="528"/>
        <v/>
      </c>
      <c r="K1599" s="603" t="e">
        <f t="shared" ca="1" si="529"/>
        <v>#N/A</v>
      </c>
      <c r="L1599" s="522" t="str">
        <f t="shared" ca="1" si="530"/>
        <v/>
      </c>
      <c r="M1599" s="603" t="e">
        <f t="shared" ca="1" si="531"/>
        <v>#N/A</v>
      </c>
      <c r="N1599" s="522" t="str">
        <f t="shared" ca="1" si="532"/>
        <v/>
      </c>
    </row>
    <row r="1600" spans="2:21" hidden="1" outlineLevel="1" x14ac:dyDescent="0.25">
      <c r="B1600">
        <f t="shared" ca="1" si="533"/>
        <v>0</v>
      </c>
      <c r="C1600" s="356" t="str">
        <f t="shared" ca="1" si="534"/>
        <v/>
      </c>
      <c r="D1600" s="356" t="str">
        <f t="shared" ca="1" si="537"/>
        <v/>
      </c>
      <c r="E1600" s="356" t="str">
        <f t="shared" ca="1" si="535"/>
        <v/>
      </c>
      <c r="F1600" s="356" t="str">
        <f t="shared" ca="1" si="536"/>
        <v/>
      </c>
      <c r="G1600" s="204">
        <f t="shared" ca="1" si="526"/>
        <v>12</v>
      </c>
      <c r="I1600" s="603" t="e">
        <f t="shared" ca="1" si="527"/>
        <v>#N/A</v>
      </c>
      <c r="J1600" s="521" t="str">
        <f t="shared" ca="1" si="528"/>
        <v/>
      </c>
      <c r="K1600" s="603" t="e">
        <f t="shared" ca="1" si="529"/>
        <v>#N/A</v>
      </c>
      <c r="L1600" s="522" t="str">
        <f t="shared" ca="1" si="530"/>
        <v/>
      </c>
      <c r="M1600" s="603" t="e">
        <f t="shared" ca="1" si="531"/>
        <v>#N/A</v>
      </c>
      <c r="N1600" s="522" t="str">
        <f t="shared" ca="1" si="532"/>
        <v/>
      </c>
    </row>
    <row r="1601" spans="1:14" hidden="1" outlineLevel="1" x14ac:dyDescent="0.25">
      <c r="B1601">
        <f t="shared" ca="1" si="533"/>
        <v>0</v>
      </c>
      <c r="C1601" s="356" t="str">
        <f t="shared" ca="1" si="534"/>
        <v/>
      </c>
      <c r="D1601" s="356" t="str">
        <f t="shared" ca="1" si="537"/>
        <v/>
      </c>
      <c r="E1601" s="356" t="str">
        <f t="shared" ca="1" si="535"/>
        <v/>
      </c>
      <c r="F1601" s="356" t="str">
        <f t="shared" ca="1" si="536"/>
        <v/>
      </c>
      <c r="G1601" s="204" t="str">
        <f t="shared" ca="1" si="526"/>
        <v>---------</v>
      </c>
      <c r="I1601" s="603" t="e">
        <f t="shared" ca="1" si="527"/>
        <v>#N/A</v>
      </c>
      <c r="J1601" s="521" t="str">
        <f t="shared" ca="1" si="528"/>
        <v/>
      </c>
      <c r="K1601" s="603" t="e">
        <f t="shared" ca="1" si="529"/>
        <v>#N/A</v>
      </c>
      <c r="L1601" s="522" t="str">
        <f t="shared" ca="1" si="530"/>
        <v/>
      </c>
      <c r="M1601" s="603" t="e">
        <f t="shared" ca="1" si="531"/>
        <v>#N/A</v>
      </c>
      <c r="N1601" s="522" t="str">
        <f t="shared" ca="1" si="532"/>
        <v/>
      </c>
    </row>
    <row r="1602" spans="1:14" hidden="1" outlineLevel="1" x14ac:dyDescent="0.25">
      <c r="B1602">
        <f t="shared" ca="1" si="533"/>
        <v>0</v>
      </c>
      <c r="C1602" s="356" t="str">
        <f t="shared" ca="1" si="534"/>
        <v/>
      </c>
      <c r="D1602" s="356" t="str">
        <f t="shared" ca="1" si="537"/>
        <v/>
      </c>
      <c r="E1602" s="356" t="str">
        <f t="shared" ca="1" si="535"/>
        <v/>
      </c>
      <c r="F1602" s="356" t="str">
        <f t="shared" ca="1" si="536"/>
        <v/>
      </c>
      <c r="G1602" s="204" t="str">
        <f t="shared" ca="1" si="526"/>
        <v>---------</v>
      </c>
      <c r="I1602" s="603" t="e">
        <f t="shared" ca="1" si="527"/>
        <v>#N/A</v>
      </c>
      <c r="J1602" s="521" t="str">
        <f t="shared" ca="1" si="528"/>
        <v/>
      </c>
      <c r="K1602" s="603" t="e">
        <f t="shared" ca="1" si="529"/>
        <v>#N/A</v>
      </c>
      <c r="L1602" s="522" t="str">
        <f t="shared" ca="1" si="530"/>
        <v/>
      </c>
      <c r="M1602" s="603" t="e">
        <f t="shared" ca="1" si="531"/>
        <v>#N/A</v>
      </c>
      <c r="N1602" s="522" t="str">
        <f t="shared" ca="1" si="532"/>
        <v/>
      </c>
    </row>
    <row r="1603" spans="1:14" hidden="1" outlineLevel="1" x14ac:dyDescent="0.25">
      <c r="B1603">
        <f t="shared" ca="1" si="533"/>
        <v>0</v>
      </c>
      <c r="C1603" s="356" t="str">
        <f t="shared" ca="1" si="534"/>
        <v/>
      </c>
      <c r="D1603" s="356" t="str">
        <f t="shared" ca="1" si="537"/>
        <v/>
      </c>
      <c r="E1603" s="356" t="str">
        <f t="shared" ca="1" si="535"/>
        <v/>
      </c>
      <c r="F1603" s="356" t="str">
        <f t="shared" ca="1" si="536"/>
        <v/>
      </c>
      <c r="G1603" s="204" t="str">
        <f t="shared" ca="1" si="526"/>
        <v>---------</v>
      </c>
      <c r="I1603" s="603" t="e">
        <f t="shared" ca="1" si="527"/>
        <v>#N/A</v>
      </c>
      <c r="J1603" s="521" t="str">
        <f t="shared" ca="1" si="528"/>
        <v/>
      </c>
      <c r="K1603" s="603" t="e">
        <f t="shared" ca="1" si="529"/>
        <v>#N/A</v>
      </c>
      <c r="L1603" s="522" t="str">
        <f t="shared" ca="1" si="530"/>
        <v/>
      </c>
      <c r="M1603" s="603" t="e">
        <f t="shared" ca="1" si="531"/>
        <v>#N/A</v>
      </c>
      <c r="N1603" s="522" t="str">
        <f t="shared" ca="1" si="532"/>
        <v/>
      </c>
    </row>
    <row r="1604" spans="1:14" hidden="1" outlineLevel="1" x14ac:dyDescent="0.25">
      <c r="B1604">
        <f t="shared" ca="1" si="533"/>
        <v>0</v>
      </c>
      <c r="C1604" s="356" t="str">
        <f t="shared" ca="1" si="534"/>
        <v/>
      </c>
      <c r="D1604" s="356" t="str">
        <f t="shared" ca="1" si="537"/>
        <v/>
      </c>
      <c r="E1604" s="356" t="str">
        <f t="shared" ca="1" si="535"/>
        <v/>
      </c>
      <c r="F1604" s="356" t="str">
        <f t="shared" ca="1" si="536"/>
        <v/>
      </c>
      <c r="G1604" s="204" t="str">
        <f t="shared" ca="1" si="526"/>
        <v>---------</v>
      </c>
      <c r="I1604" s="603" t="e">
        <f t="shared" ca="1" si="527"/>
        <v>#N/A</v>
      </c>
      <c r="J1604" s="521" t="str">
        <f t="shared" ca="1" si="528"/>
        <v/>
      </c>
      <c r="K1604" s="603" t="e">
        <f t="shared" ca="1" si="529"/>
        <v>#N/A</v>
      </c>
      <c r="L1604" s="522" t="str">
        <f t="shared" ca="1" si="530"/>
        <v/>
      </c>
      <c r="M1604" s="603" t="e">
        <f t="shared" ca="1" si="531"/>
        <v>#N/A</v>
      </c>
      <c r="N1604" s="522" t="str">
        <f t="shared" ca="1" si="532"/>
        <v/>
      </c>
    </row>
    <row r="1605" spans="1:14" hidden="1" outlineLevel="1" x14ac:dyDescent="0.25">
      <c r="B1605">
        <f t="shared" ca="1" si="533"/>
        <v>0</v>
      </c>
      <c r="C1605" s="356" t="str">
        <f t="shared" ca="1" si="534"/>
        <v/>
      </c>
      <c r="D1605" s="356" t="str">
        <f t="shared" ca="1" si="537"/>
        <v/>
      </c>
      <c r="E1605" s="356" t="str">
        <f t="shared" ca="1" si="535"/>
        <v/>
      </c>
      <c r="F1605" s="356" t="str">
        <f t="shared" ca="1" si="536"/>
        <v/>
      </c>
      <c r="G1605" s="204" t="str">
        <f t="shared" ca="1" si="526"/>
        <v>---------</v>
      </c>
      <c r="I1605" s="603" t="e">
        <f t="shared" ca="1" si="527"/>
        <v>#N/A</v>
      </c>
      <c r="J1605" s="521" t="str">
        <f t="shared" ca="1" si="528"/>
        <v/>
      </c>
      <c r="K1605" s="603" t="e">
        <f t="shared" ca="1" si="529"/>
        <v>#N/A</v>
      </c>
      <c r="L1605" s="522" t="str">
        <f t="shared" ca="1" si="530"/>
        <v/>
      </c>
      <c r="M1605" s="603" t="e">
        <f t="shared" ca="1" si="531"/>
        <v>#N/A</v>
      </c>
      <c r="N1605" s="522" t="str">
        <f t="shared" ca="1" si="532"/>
        <v/>
      </c>
    </row>
    <row r="1606" spans="1:14" hidden="1" outlineLevel="1" x14ac:dyDescent="0.25">
      <c r="B1606">
        <f t="shared" ca="1" si="533"/>
        <v>0</v>
      </c>
      <c r="C1606" s="356" t="str">
        <f t="shared" ca="1" si="534"/>
        <v/>
      </c>
      <c r="D1606" s="356" t="str">
        <f t="shared" ca="1" si="537"/>
        <v/>
      </c>
      <c r="E1606" s="356" t="str">
        <f t="shared" ca="1" si="535"/>
        <v/>
      </c>
      <c r="F1606" s="356" t="str">
        <f t="shared" ca="1" si="536"/>
        <v/>
      </c>
      <c r="G1606" s="204" t="str">
        <f t="shared" ca="1" si="526"/>
        <v>---------</v>
      </c>
      <c r="I1606" s="603" t="e">
        <f t="shared" ca="1" si="527"/>
        <v>#N/A</v>
      </c>
      <c r="J1606" s="521" t="str">
        <f t="shared" ca="1" si="528"/>
        <v/>
      </c>
      <c r="K1606" s="603" t="e">
        <f t="shared" ca="1" si="529"/>
        <v>#N/A</v>
      </c>
      <c r="L1606" s="522" t="str">
        <f t="shared" ca="1" si="530"/>
        <v/>
      </c>
      <c r="M1606" s="603" t="e">
        <f t="shared" ca="1" si="531"/>
        <v>#N/A</v>
      </c>
      <c r="N1606" s="522" t="str">
        <f t="shared" ca="1" si="532"/>
        <v/>
      </c>
    </row>
    <row r="1607" spans="1:14" hidden="1" outlineLevel="1" x14ac:dyDescent="0.25">
      <c r="B1607">
        <f t="shared" ca="1" si="533"/>
        <v>0</v>
      </c>
      <c r="C1607" s="356" t="str">
        <f t="shared" ca="1" si="534"/>
        <v/>
      </c>
      <c r="D1607" s="356" t="str">
        <f t="shared" ca="1" si="537"/>
        <v/>
      </c>
      <c r="E1607" s="356" t="str">
        <f t="shared" ca="1" si="535"/>
        <v/>
      </c>
      <c r="F1607" s="356" t="str">
        <f t="shared" ca="1" si="536"/>
        <v/>
      </c>
      <c r="G1607" s="204" t="str">
        <f t="shared" ca="1" si="526"/>
        <v>---------</v>
      </c>
      <c r="I1607" s="603" t="e">
        <f t="shared" ca="1" si="527"/>
        <v>#N/A</v>
      </c>
      <c r="J1607" s="521" t="str">
        <f t="shared" ca="1" si="528"/>
        <v/>
      </c>
      <c r="K1607" s="603" t="e">
        <f t="shared" ca="1" si="529"/>
        <v>#N/A</v>
      </c>
      <c r="L1607" s="522" t="str">
        <f t="shared" ca="1" si="530"/>
        <v/>
      </c>
      <c r="M1607" s="603" t="e">
        <f t="shared" ca="1" si="531"/>
        <v>#N/A</v>
      </c>
      <c r="N1607" s="522" t="str">
        <f t="shared" ca="1" si="532"/>
        <v/>
      </c>
    </row>
    <row r="1608" spans="1:14" hidden="1" outlineLevel="1" x14ac:dyDescent="0.25">
      <c r="B1608">
        <f t="shared" ca="1" si="533"/>
        <v>0</v>
      </c>
      <c r="C1608" s="356" t="str">
        <f t="shared" ca="1" si="534"/>
        <v/>
      </c>
      <c r="D1608" s="356" t="str">
        <f t="shared" ca="1" si="537"/>
        <v/>
      </c>
      <c r="E1608" s="356" t="str">
        <f t="shared" ca="1" si="535"/>
        <v/>
      </c>
      <c r="F1608" s="356" t="str">
        <f t="shared" ca="1" si="536"/>
        <v/>
      </c>
      <c r="G1608" s="205" t="str">
        <f t="shared" ca="1" si="526"/>
        <v>---------</v>
      </c>
      <c r="I1608" s="603" t="e">
        <f t="shared" ca="1" si="527"/>
        <v>#N/A</v>
      </c>
      <c r="J1608" s="521" t="str">
        <f t="shared" ca="1" si="528"/>
        <v/>
      </c>
      <c r="K1608" s="603" t="e">
        <f t="shared" ca="1" si="529"/>
        <v>#N/A</v>
      </c>
      <c r="L1608" s="522" t="str">
        <f t="shared" ca="1" si="530"/>
        <v/>
      </c>
      <c r="M1608" s="603" t="e">
        <f t="shared" ca="1" si="531"/>
        <v>#N/A</v>
      </c>
      <c r="N1608" s="522" t="str">
        <f t="shared" ca="1" si="532"/>
        <v/>
      </c>
    </row>
    <row r="1609" spans="1:14" hidden="1" outlineLevel="1" x14ac:dyDescent="0.25">
      <c r="B1609" s="76"/>
    </row>
    <row r="1610" spans="1:14" hidden="1" outlineLevel="1" x14ac:dyDescent="0.25">
      <c r="B1610" s="76"/>
    </row>
    <row r="1611" spans="1:14" hidden="1" outlineLevel="1" x14ac:dyDescent="0.25">
      <c r="B1611" s="76"/>
    </row>
    <row r="1612" spans="1:14" hidden="1" outlineLevel="1" x14ac:dyDescent="0.25">
      <c r="B1612" s="76"/>
    </row>
    <row r="1613" spans="1:14" hidden="1" outlineLevel="1" x14ac:dyDescent="0.25">
      <c r="B1613" s="76"/>
    </row>
    <row r="1614" spans="1:14" hidden="1" outlineLevel="1" x14ac:dyDescent="0.25"/>
    <row r="1615" spans="1:14" s="386" customFormat="1" hidden="1" outlineLevel="1" x14ac:dyDescent="0.25">
      <c r="A1615" s="387" t="s">
        <v>2101</v>
      </c>
    </row>
    <row r="1616" spans="1:14" hidden="1" outlineLevel="1" x14ac:dyDescent="0.25">
      <c r="I1616" s="538" t="s">
        <v>2102</v>
      </c>
      <c r="L1616" s="538" t="s">
        <v>2103</v>
      </c>
      <c r="N1616" s="461" t="str">
        <f>E1569</f>
        <v>Türstärke</v>
      </c>
    </row>
    <row r="1617" spans="1:16" hidden="1" outlineLevel="1" x14ac:dyDescent="0.25">
      <c r="I1617">
        <v>5</v>
      </c>
      <c r="L1617">
        <v>6</v>
      </c>
      <c r="N1617" s="461">
        <f ca="1">$E$1570</f>
        <v>16</v>
      </c>
    </row>
    <row r="1618" spans="1:16" hidden="1" outlineLevel="1" x14ac:dyDescent="0.25">
      <c r="B1618" t="s">
        <v>2110</v>
      </c>
      <c r="C1618" s="523" t="str">
        <f ca="1">IF($C$1622=5,I1619,IF($C$1622=6,L1619,""))</f>
        <v/>
      </c>
      <c r="D1618" s="523" t="str">
        <f ca="1">IF($D$1622=5,I1619,IF($D$1622=6,L1619,""))</f>
        <v/>
      </c>
      <c r="E1618" s="523" t="str">
        <f ca="1">IF($E$1622=5,I1619,IF($E$1622=6,L1619,""))</f>
        <v/>
      </c>
      <c r="F1618" s="523" t="str">
        <f ca="1">IF($F$1622=5,I1619,IF($F$1622=6,L1619,""))</f>
        <v/>
      </c>
    </row>
    <row r="1619" spans="1:16" hidden="1" outlineLevel="1" x14ac:dyDescent="0.25">
      <c r="A1619" s="655" t="s">
        <v>1840</v>
      </c>
      <c r="C1619" s="523" t="str">
        <f ca="1">IF($C$1622=5,H1619,IF($C$1622=6,K1619,""))</f>
        <v/>
      </c>
      <c r="D1619" s="523" t="str">
        <f ca="1">IF($D$1622=5,H1619,IF($D$1622=6,K1619,""))</f>
        <v/>
      </c>
      <c r="E1619" s="523" t="str">
        <f ca="1">IF($E$1622=5,H1619,IF($E$1622=6,K1619,""))</f>
        <v/>
      </c>
      <c r="F1619" s="523" t="str">
        <f ca="1">IF($F$1622=5,H1619,IF($F$1622=6,K1619,""))</f>
        <v/>
      </c>
      <c r="H1619" s="287">
        <f>41.5-A1620-22.5</f>
        <v>0</v>
      </c>
      <c r="I1619" s="521">
        <f>IFERROR(VLOOKUP(H1619,$CV$1504:$CW$1561,2,FALSE),"")</f>
        <v>1</v>
      </c>
      <c r="K1619" s="116">
        <f ca="1">$N$1617-A1620</f>
        <v>-3</v>
      </c>
      <c r="L1619" s="521" t="str">
        <f ca="1">IFERROR(VLOOKUP(K1619,$CV$1504:$CW$1561,2,FALSE),"")</f>
        <v/>
      </c>
    </row>
    <row r="1620" spans="1:16" hidden="1" outlineLevel="1" x14ac:dyDescent="0.25">
      <c r="A1620">
        <f>B1434</f>
        <v>19</v>
      </c>
      <c r="P1620" s="8"/>
    </row>
    <row r="1621" spans="1:16" hidden="1" outlineLevel="1" x14ac:dyDescent="0.25">
      <c r="C1621" t="s">
        <v>2095</v>
      </c>
      <c r="D1621" t="s">
        <v>2096</v>
      </c>
      <c r="E1621" t="s">
        <v>2097</v>
      </c>
      <c r="F1621" t="s">
        <v>2098</v>
      </c>
      <c r="P1621" s="8"/>
    </row>
    <row r="1622" spans="1:16" hidden="1" outlineLevel="1" x14ac:dyDescent="0.25">
      <c r="C1622" s="356">
        <f ca="1">$Q$1368</f>
        <v>1</v>
      </c>
      <c r="D1622" s="356" t="str">
        <f ca="1">$Q$1369</f>
        <v/>
      </c>
      <c r="E1622" s="356" t="str">
        <f ca="1">$Q$1370</f>
        <v/>
      </c>
      <c r="F1622" s="356">
        <f ca="1">$Q$1371</f>
        <v>19</v>
      </c>
      <c r="H1622" t="s">
        <v>1418</v>
      </c>
      <c r="I1622" s="8" t="s">
        <v>1879</v>
      </c>
      <c r="K1622" t="s">
        <v>1418</v>
      </c>
      <c r="L1622" s="8" t="s">
        <v>1879</v>
      </c>
      <c r="N1622" s="34"/>
      <c r="P1622" s="8"/>
    </row>
    <row r="1623" spans="1:16" hidden="1" outlineLevel="1" x14ac:dyDescent="0.25">
      <c r="B1623">
        <f ca="1">IF(SUM(C1623:F1623)&gt;0,1,0)</f>
        <v>0</v>
      </c>
      <c r="C1623" s="523" t="str">
        <f ca="1">IF($C$1622=5,I1623,IF($C$1622=6,L1623,""))</f>
        <v/>
      </c>
      <c r="D1623" s="523" t="str">
        <f ca="1">IF($D$1622=5,I1623,IF($D$1622=6,L1623,""))</f>
        <v/>
      </c>
      <c r="E1623" s="523" t="str">
        <f ca="1">IF($E$1622=5,I1623,IF($E$1622=6,L1623,""))</f>
        <v/>
      </c>
      <c r="F1623" s="523" t="str">
        <f ca="1">IF($F$1622=5,I1623,IF($F$1622=6,L1623,""))</f>
        <v/>
      </c>
      <c r="G1623" s="535">
        <f>C1436</f>
        <v>24</v>
      </c>
      <c r="H1623" s="287">
        <f t="shared" ref="H1623:H1630" si="538">41.5-G1623-22.5</f>
        <v>-5</v>
      </c>
      <c r="I1623" s="521" t="str">
        <f t="shared" ref="I1623:I1630" si="539">IFERROR(VLOOKUP(H1623,$CV$1504:$CW$1561,2,FALSE),"")</f>
        <v/>
      </c>
      <c r="K1623" s="116">
        <f t="shared" ref="K1623:K1630" ca="1" si="540">$N$1617-G1623</f>
        <v>-8</v>
      </c>
      <c r="L1623" s="521" t="str">
        <f t="shared" ref="L1623:L1630" ca="1" si="541">IFERROR(VLOOKUP(K1623,$CV$1504:$CW$1561,2,FALSE),"")</f>
        <v/>
      </c>
      <c r="P1623" s="8"/>
    </row>
    <row r="1624" spans="1:16" hidden="1" outlineLevel="1" x14ac:dyDescent="0.25">
      <c r="B1624">
        <f t="shared" ref="B1624:B1630" ca="1" si="542">IF(SUM(C1624:F1624)&gt;0,1,0)</f>
        <v>0</v>
      </c>
      <c r="C1624" s="523" t="str">
        <f t="shared" ref="C1624:C1630" ca="1" si="543">IF(C1623=5,I1624,IF(C1623=6,L1624,""))</f>
        <v/>
      </c>
      <c r="D1624" s="523" t="str">
        <f t="shared" ref="D1624:D1630" ca="1" si="544">IF($D$1622=5,I1624,IF($D$1622=6,L1624,""))</f>
        <v/>
      </c>
      <c r="E1624" s="523" t="str">
        <f t="shared" ref="E1624:E1630" ca="1" si="545">IF($E$1622=5,I1624,IF($E$1622=6,L1624,""))</f>
        <v/>
      </c>
      <c r="F1624" s="523" t="str">
        <f t="shared" ref="F1624:F1630" ca="1" si="546">IF($F$1622=5,I1624,IF($F$1622=6,L1624,""))</f>
        <v/>
      </c>
      <c r="G1624" s="536">
        <f t="shared" ref="G1624:G1630" si="547">C1437</f>
        <v>22</v>
      </c>
      <c r="H1624" s="287">
        <f t="shared" si="538"/>
        <v>-3</v>
      </c>
      <c r="I1624" s="521" t="str">
        <f t="shared" si="539"/>
        <v/>
      </c>
      <c r="K1624" s="116">
        <f t="shared" ca="1" si="540"/>
        <v>-6</v>
      </c>
      <c r="L1624" s="521" t="str">
        <f t="shared" ca="1" si="541"/>
        <v/>
      </c>
      <c r="P1624" s="8"/>
    </row>
    <row r="1625" spans="1:16" hidden="1" outlineLevel="1" x14ac:dyDescent="0.25">
      <c r="B1625">
        <f t="shared" ca="1" si="542"/>
        <v>0</v>
      </c>
      <c r="C1625" s="523" t="str">
        <f ca="1">IF(C1624=5,I1625,IF(C1624=6,L1625,""))</f>
        <v/>
      </c>
      <c r="D1625" s="523" t="str">
        <f t="shared" ca="1" si="544"/>
        <v/>
      </c>
      <c r="E1625" s="523" t="str">
        <f t="shared" ca="1" si="545"/>
        <v/>
      </c>
      <c r="F1625" s="523" t="str">
        <f t="shared" ca="1" si="546"/>
        <v/>
      </c>
      <c r="G1625" s="536">
        <f t="shared" si="547"/>
        <v>21</v>
      </c>
      <c r="H1625" s="287">
        <f t="shared" si="538"/>
        <v>-2</v>
      </c>
      <c r="I1625" s="521">
        <f t="shared" si="539"/>
        <v>1</v>
      </c>
      <c r="K1625" s="116">
        <f t="shared" ca="1" si="540"/>
        <v>-5</v>
      </c>
      <c r="L1625" s="521" t="str">
        <f t="shared" ca="1" si="541"/>
        <v/>
      </c>
      <c r="M1625" s="8"/>
      <c r="N1625" s="8"/>
      <c r="O1625" s="8"/>
      <c r="P1625" s="8"/>
    </row>
    <row r="1626" spans="1:16" hidden="1" outlineLevel="1" x14ac:dyDescent="0.25">
      <c r="B1626">
        <f t="shared" ca="1" si="542"/>
        <v>0</v>
      </c>
      <c r="C1626" s="523" t="str">
        <f t="shared" ca="1" si="543"/>
        <v/>
      </c>
      <c r="D1626" s="523" t="str">
        <f t="shared" ca="1" si="544"/>
        <v/>
      </c>
      <c r="E1626" s="523" t="str">
        <f t="shared" ca="1" si="545"/>
        <v/>
      </c>
      <c r="F1626" s="523" t="str">
        <f t="shared" ca="1" si="546"/>
        <v/>
      </c>
      <c r="G1626" s="536">
        <f t="shared" si="547"/>
        <v>20</v>
      </c>
      <c r="H1626" s="287">
        <f t="shared" si="538"/>
        <v>-1</v>
      </c>
      <c r="I1626" s="521" t="str">
        <f t="shared" si="539"/>
        <v/>
      </c>
      <c r="K1626" s="116">
        <f t="shared" ca="1" si="540"/>
        <v>-4</v>
      </c>
      <c r="L1626" s="521" t="str">
        <f t="shared" ca="1" si="541"/>
        <v/>
      </c>
      <c r="N1626" s="8"/>
      <c r="O1626" s="8"/>
    </row>
    <row r="1627" spans="1:16" hidden="1" outlineLevel="1" x14ac:dyDescent="0.25">
      <c r="B1627">
        <f t="shared" ca="1" si="542"/>
        <v>0</v>
      </c>
      <c r="C1627" s="523" t="str">
        <f t="shared" ca="1" si="543"/>
        <v/>
      </c>
      <c r="D1627" s="523" t="str">
        <f t="shared" ca="1" si="544"/>
        <v/>
      </c>
      <c r="E1627" s="523" t="str">
        <f t="shared" ca="1" si="545"/>
        <v/>
      </c>
      <c r="F1627" s="523" t="str">
        <f t="shared" ca="1" si="546"/>
        <v/>
      </c>
      <c r="G1627" s="536">
        <f t="shared" si="547"/>
        <v>19</v>
      </c>
      <c r="H1627" s="287">
        <f t="shared" si="538"/>
        <v>0</v>
      </c>
      <c r="I1627" s="521">
        <f t="shared" si="539"/>
        <v>1</v>
      </c>
      <c r="K1627" s="116">
        <f t="shared" ca="1" si="540"/>
        <v>-3</v>
      </c>
      <c r="L1627" s="521" t="str">
        <f t="shared" ca="1" si="541"/>
        <v/>
      </c>
      <c r="N1627" s="8"/>
      <c r="O1627" s="8"/>
    </row>
    <row r="1628" spans="1:16" hidden="1" outlineLevel="1" x14ac:dyDescent="0.25">
      <c r="B1628">
        <f t="shared" ca="1" si="542"/>
        <v>0</v>
      </c>
      <c r="C1628" s="523" t="str">
        <f t="shared" ca="1" si="543"/>
        <v/>
      </c>
      <c r="D1628" s="523" t="str">
        <f t="shared" ca="1" si="544"/>
        <v/>
      </c>
      <c r="E1628" s="523" t="str">
        <f t="shared" ca="1" si="545"/>
        <v/>
      </c>
      <c r="F1628" s="523" t="str">
        <f t="shared" ca="1" si="546"/>
        <v/>
      </c>
      <c r="G1628" s="536">
        <f t="shared" si="547"/>
        <v>18</v>
      </c>
      <c r="H1628" s="287">
        <f t="shared" si="538"/>
        <v>1</v>
      </c>
      <c r="I1628" s="521" t="str">
        <f t="shared" si="539"/>
        <v/>
      </c>
      <c r="K1628" s="116">
        <f t="shared" ca="1" si="540"/>
        <v>-2</v>
      </c>
      <c r="L1628" s="521">
        <f t="shared" ca="1" si="541"/>
        <v>1</v>
      </c>
      <c r="M1628" s="8"/>
      <c r="N1628" s="8"/>
      <c r="O1628" s="8"/>
    </row>
    <row r="1629" spans="1:16" hidden="1" outlineLevel="1" x14ac:dyDescent="0.25">
      <c r="B1629">
        <f t="shared" ca="1" si="542"/>
        <v>0</v>
      </c>
      <c r="C1629" s="523" t="str">
        <f t="shared" ca="1" si="543"/>
        <v/>
      </c>
      <c r="D1629" s="523" t="str">
        <f t="shared" ca="1" si="544"/>
        <v/>
      </c>
      <c r="E1629" s="523" t="str">
        <f t="shared" ca="1" si="545"/>
        <v/>
      </c>
      <c r="F1629" s="523" t="str">
        <f t="shared" ca="1" si="546"/>
        <v/>
      </c>
      <c r="G1629" s="536">
        <f t="shared" si="547"/>
        <v>17</v>
      </c>
      <c r="H1629" s="287">
        <f t="shared" si="538"/>
        <v>2</v>
      </c>
      <c r="I1629" s="521">
        <f t="shared" si="539"/>
        <v>1</v>
      </c>
      <c r="K1629" s="116">
        <f t="shared" ca="1" si="540"/>
        <v>-1</v>
      </c>
      <c r="L1629" s="521" t="str">
        <f t="shared" ca="1" si="541"/>
        <v/>
      </c>
      <c r="N1629" s="34"/>
    </row>
    <row r="1630" spans="1:16" hidden="1" outlineLevel="1" x14ac:dyDescent="0.25">
      <c r="B1630">
        <f t="shared" ca="1" si="542"/>
        <v>0</v>
      </c>
      <c r="C1630" s="523" t="str">
        <f t="shared" ca="1" si="543"/>
        <v/>
      </c>
      <c r="D1630" s="523" t="str">
        <f t="shared" ca="1" si="544"/>
        <v/>
      </c>
      <c r="E1630" s="523" t="str">
        <f t="shared" ca="1" si="545"/>
        <v/>
      </c>
      <c r="F1630" s="523" t="str">
        <f t="shared" ca="1" si="546"/>
        <v/>
      </c>
      <c r="G1630" s="537">
        <f t="shared" si="547"/>
        <v>16</v>
      </c>
      <c r="H1630" s="287">
        <f t="shared" si="538"/>
        <v>3</v>
      </c>
      <c r="I1630" s="521">
        <f t="shared" si="539"/>
        <v>1</v>
      </c>
      <c r="K1630" s="116">
        <f t="shared" ca="1" si="540"/>
        <v>0</v>
      </c>
      <c r="L1630" s="521">
        <f t="shared" ca="1" si="541"/>
        <v>1</v>
      </c>
      <c r="N1630" s="34"/>
    </row>
    <row r="1631" spans="1:16" hidden="1" outlineLevel="1" x14ac:dyDescent="0.25">
      <c r="C1631" s="76"/>
      <c r="I1631" s="8"/>
      <c r="L1631" s="8"/>
      <c r="N1631" s="34"/>
    </row>
    <row r="1632" spans="1:16" hidden="1" outlineLevel="1" x14ac:dyDescent="0.25">
      <c r="C1632" s="76"/>
      <c r="I1632" s="8"/>
      <c r="L1632" s="8" t="s">
        <v>1848</v>
      </c>
    </row>
    <row r="1633" spans="1:23" hidden="1" outlineLevel="1" x14ac:dyDescent="0.25">
      <c r="C1633" s="76"/>
      <c r="L1633" s="8" t="s">
        <v>1849</v>
      </c>
    </row>
    <row r="1634" spans="1:23" hidden="1" outlineLevel="1" x14ac:dyDescent="0.25">
      <c r="C1634" s="76"/>
    </row>
    <row r="1635" spans="1:23" hidden="1" outlineLevel="1" x14ac:dyDescent="0.25">
      <c r="C1635" s="76"/>
    </row>
    <row r="1636" spans="1:23" s="386" customFormat="1" hidden="1" outlineLevel="1" x14ac:dyDescent="0.25">
      <c r="A1636" s="387" t="s">
        <v>2104</v>
      </c>
    </row>
    <row r="1637" spans="1:23" hidden="1" outlineLevel="1" x14ac:dyDescent="0.25"/>
    <row r="1638" spans="1:23" hidden="1" outlineLevel="1" x14ac:dyDescent="0.25">
      <c r="A1638" s="461" t="s">
        <v>1418</v>
      </c>
      <c r="C1638" s="538" t="s">
        <v>1858</v>
      </c>
      <c r="E1638" t="s">
        <v>2105</v>
      </c>
    </row>
    <row r="1639" spans="1:23" hidden="1" outlineLevel="1" x14ac:dyDescent="0.25">
      <c r="A1639" s="461">
        <v>0</v>
      </c>
      <c r="C1639">
        <v>17</v>
      </c>
    </row>
    <row r="1640" spans="1:23" hidden="1" outlineLevel="1" x14ac:dyDescent="0.25"/>
    <row r="1641" spans="1:23" hidden="1" outlineLevel="1" x14ac:dyDescent="0.25"/>
    <row r="1642" spans="1:23" s="237" customFormat="1" hidden="1" outlineLevel="1" x14ac:dyDescent="0.25">
      <c r="A1642" s="237" t="s">
        <v>20</v>
      </c>
    </row>
    <row r="1643" spans="1:23" hidden="1" outlineLevel="1" x14ac:dyDescent="0.25">
      <c r="W1643" s="87" t="s">
        <v>2341</v>
      </c>
    </row>
    <row r="1644" spans="1:23" hidden="1" outlineLevel="1" x14ac:dyDescent="0.25">
      <c r="D1644" t="s">
        <v>2129</v>
      </c>
      <c r="E1644" t="s">
        <v>2130</v>
      </c>
      <c r="F1644" t="s">
        <v>2131</v>
      </c>
      <c r="G1644" t="s">
        <v>2132</v>
      </c>
      <c r="H1644" t="s">
        <v>2128</v>
      </c>
      <c r="I1644" t="s">
        <v>1441</v>
      </c>
      <c r="J1644">
        <f>ROW()</f>
        <v>1644</v>
      </c>
      <c r="L1644" t="s">
        <v>54</v>
      </c>
      <c r="M1644" t="s">
        <v>55</v>
      </c>
      <c r="N1644" t="s">
        <v>56</v>
      </c>
      <c r="O1644" t="s">
        <v>40</v>
      </c>
      <c r="P1644" t="s">
        <v>41</v>
      </c>
      <c r="Q1644" t="s">
        <v>1358</v>
      </c>
      <c r="R1644" t="s">
        <v>1361</v>
      </c>
      <c r="S1644" t="s">
        <v>1370</v>
      </c>
      <c r="T1644" t="s">
        <v>42</v>
      </c>
      <c r="V1644">
        <f ca="1">SUM(V1645:V1659)</f>
        <v>0</v>
      </c>
      <c r="W1644" s="131" t="str">
        <f ca="1">IF(V1644&gt;0,Sprache!A188,"")</f>
        <v/>
      </c>
    </row>
    <row r="1645" spans="1:23" hidden="1" outlineLevel="1" x14ac:dyDescent="0.25">
      <c r="D1645" s="571">
        <f ca="1">IFERROR(IF((IF(T1645=$S$1368,1,""))+H1645=2,1,""),"")</f>
        <v>1</v>
      </c>
      <c r="E1645" s="571" t="str">
        <f ca="1">IFERROR(IF((IF(T1645=$S$1369,1,""))+H1645=2,1,""),"")</f>
        <v/>
      </c>
      <c r="F1645" s="571" t="str">
        <f ca="1">IFERROR(IF((IF(T1645=$S$1370,1,""))+H1645=2,1,""),"")</f>
        <v/>
      </c>
      <c r="G1645" s="571" t="str">
        <f ca="1">IFERROR(IF((IF(T1645=$S$1371,1,""))+H1645=2,1,""),"")</f>
        <v/>
      </c>
      <c r="H1645" s="534">
        <f t="shared" ref="H1645:H1659" ca="1" si="548">OFFSET(N1645,0,$A$1472)</f>
        <v>1</v>
      </c>
      <c r="I1645" s="168" t="str">
        <f t="array" aca="1" ref="I1645" ca="1">IFERROR(INDEX(Montageplatten[Spalte1],LARGE((Montageplatten[konf_ges]=$A$195)*(ROW(Montageplatten[konf_ges])-1),COUNTIF(Montageplatten[konf_ges],$A$195)+1-ROW(A1))),"")</f>
        <v>F058</v>
      </c>
      <c r="J1645" s="168" t="str">
        <f t="array" aca="1" ref="J1645" ca="1">IFERROR(INDEX(Montageplatten[Spalte2],LARGE((Montageplatten[konf_ges]=$A$195)*(ROW(Montageplatten[konf_ges])-1),COUNTIF(Montageplatten[konf_ges],$A$195)+1-ROW(A1))),"")</f>
        <v>139</v>
      </c>
      <c r="K1645" s="168" t="str">
        <f t="array" aca="1" ref="K1645" ca="1">IFERROR(INDEX(Montageplatten[Spalte3],LARGE((Montageplatten[konf_ges]=$A$195)*(ROW(Montageplatten[konf_ges])-1),COUNTIF(Montageplatten[konf_ges],$A$195)+1-ROW(A1))),"")</f>
        <v>889</v>
      </c>
      <c r="L1645" s="168" t="str">
        <f t="array" aca="1" ref="L1645" ca="1">IFERROR(INDEX(Montageplatten[Bezeichnung 1],LARGE((Montageplatten[konf_ges]=$A$195)*(ROW(Montageplatten[konf_ges])-1),COUNTIF(Montageplatten[konf_ges],$A$195)+1-ROW(A1))),"")</f>
        <v>1D Kreuz Mtg-Platte</v>
      </c>
      <c r="M1645" s="168" t="str">
        <f t="array" aca="1" ref="M1645" ca="1">IFERROR(INDEX(Montageplatten[Bezeichnung 2],LARGE((Montageplatten[konf_ges]=$A$195)*(ROW(Montageplatten[konf_ges])-1),COUNTIF(Montageplatten[konf_ges],$A$195)+1-ROW(A1))),"")</f>
        <v>H 14, ni /37</v>
      </c>
      <c r="N1645" s="168" t="str">
        <f t="array" aca="1" ref="N1645" ca="1">IFERROR(INDEX(Montageplatten[Bezeichnung TGr],LARGE((Montageplatten[konf_ges]=$A$195)*(ROW(Montageplatten[konf_ges])-1),COUNTIF(Montageplatten[konf_ges],$A$195)+1-ROW(A1))),"")</f>
        <v>Tiomos Montageplatten</v>
      </c>
      <c r="O1645" s="171">
        <f t="array" aca="1" ref="O1645" ca="1">IFERROR(INDEX(Montageplatten[37/32],LARGE((Montageplatten[konf_ges]=$A$195)*(ROW(Montageplatten[konf_ges])-1),COUNTIF(Montageplatten[konf_ges],$A$195)+1-ROW(A1))),"")</f>
        <v>1</v>
      </c>
      <c r="P1645" s="171">
        <f t="array" aca="1" ref="P1645" ca="1">IFERROR(INDEX(Montageplatten[28/32],LARGE((Montageplatten[konf_ges]=$A$195)*(ROW(Montageplatten[konf_ges])-1),COUNTIF(Montageplatten[konf_ges],$A$195)+1-ROW(A1))),"")</f>
        <v>0</v>
      </c>
      <c r="Q1645" s="171">
        <f t="array" aca="1" ref="Q1645" ca="1">IFERROR(INDEX(Montageplatten[20/32],LARGE((Montageplatten[konf_ges]=$A$195)*(ROW(Montageplatten[konf_ges])-1),COUNTIF(Montageplatten[konf_ges],$A$195)+1-ROW(A1))),"")</f>
        <v>0</v>
      </c>
      <c r="R1645" s="171">
        <f t="array" aca="1" ref="R1645" ca="1">IFERROR(INDEX(Montageplatten[9,5/32],LARGE((Montageplatten[konf_ges]=$A$195)*(ROW(Montageplatten[konf_ges])-1),COUNTIF(Montageplatten[konf_ges],$A$195)+1-ROW(A1))),"")</f>
        <v>0</v>
      </c>
      <c r="S1645" s="171">
        <f t="array" aca="1" ref="S1645" ca="1">IFERROR(INDEX(Montageplatten[10/32],LARGE((Montageplatten[konf_ges]=$A$195)*(ROW(Montageplatten[konf_ges])-1),COUNTIF(Montageplatten[konf_ges],$A$195)+1-ROW(A1))),"")</f>
        <v>0</v>
      </c>
      <c r="T1645" s="171">
        <f t="array" aca="1" ref="T1645" ca="1">IFERROR(INDEX(Montageplatten[Höhe],LARGE((Montageplatten[konf_ges]=$A$195)*(ROW(Montageplatten[konf_ges])-1),COUNTIF(Montageplatten[konf_ges],$A$195)+1-ROW(A1))),"-")</f>
        <v>14</v>
      </c>
      <c r="V1645" s="864">
        <f ca="1">IF(T1645=-2,1,0)</f>
        <v>0</v>
      </c>
    </row>
    <row r="1646" spans="1:23" hidden="1" outlineLevel="1" x14ac:dyDescent="0.25">
      <c r="D1646" s="571" t="str">
        <f t="shared" ref="D1646:D1659" ca="1" si="549">IFERROR(IF((IF(T1646=$S$1368,1,""))+H1646=2,1,""),"")</f>
        <v/>
      </c>
      <c r="E1646" s="571" t="str">
        <f t="shared" ref="E1646:E1659" ca="1" si="550">IFERROR(IF((IF(T1646=$S$1369,1,""))+H1646=2,1,""),"")</f>
        <v/>
      </c>
      <c r="F1646" s="571" t="str">
        <f t="shared" ref="F1646:F1658" ca="1" si="551">IFERROR(IF((IF(T1646=$S$1370,1,""))+H1646=2,1,""),"")</f>
        <v/>
      </c>
      <c r="G1646" s="571" t="str">
        <f t="shared" ref="G1646:G1659" ca="1" si="552">IFERROR(IF((IF(T1646=$S$1371,1,""))+H1646=2,1,""),"")</f>
        <v/>
      </c>
      <c r="H1646" s="170" t="str">
        <f t="shared" ca="1" si="548"/>
        <v/>
      </c>
      <c r="I1646" s="168" t="str">
        <f t="array" aca="1" ref="I1646" ca="1">IFERROR(INDEX(Montageplatten[Spalte1],LARGE((Montageplatten[konf_ges]=$A$195)*(ROW(Montageplatten[konf_ges])-1),COUNTIF(Montageplatten[konf_ges],$A$195)+1-ROW(A2))),"")</f>
        <v/>
      </c>
      <c r="J1646" s="168" t="str">
        <f t="array" aca="1" ref="J1646" ca="1">IFERROR(INDEX(Montageplatten[Spalte2],LARGE((Montageplatten[konf_ges]=$A$195)*(ROW(Montageplatten[konf_ges])-1),COUNTIF(Montageplatten[konf_ges],$A$195)+1-ROW(A2))),"")</f>
        <v/>
      </c>
      <c r="K1646" s="168" t="str">
        <f t="array" aca="1" ref="K1646" ca="1">IFERROR(INDEX(Montageplatten[Spalte3],LARGE((Montageplatten[konf_ges]=$A$195)*(ROW(Montageplatten[konf_ges])-1),COUNTIF(Montageplatten[konf_ges],$A$195)+1-ROW(A2))),"")</f>
        <v/>
      </c>
      <c r="L1646" s="168" t="str">
        <f t="array" aca="1" ref="L1646" ca="1">IFERROR(INDEX(Montageplatten[Bezeichnung 1],LARGE((Montageplatten[konf_ges]=$A$195)*(ROW(Montageplatten[konf_ges])-1),COUNTIF(Montageplatten[konf_ges],$A$195)+1-ROW(A2))),"")</f>
        <v/>
      </c>
      <c r="M1646" s="168" t="str">
        <f t="array" aca="1" ref="M1646" ca="1">IFERROR(INDEX(Montageplatten[Bezeichnung 2],LARGE((Montageplatten[konf_ges]=$A$195)*(ROW(Montageplatten[konf_ges])-1),COUNTIF(Montageplatten[konf_ges],$A$195)+1-ROW(A2))),"")</f>
        <v/>
      </c>
      <c r="N1646" s="168" t="str">
        <f t="array" aca="1" ref="N1646" ca="1">IFERROR(INDEX(Montageplatten[Bezeichnung TGr],LARGE((Montageplatten[konf_ges]=$A$195)*(ROW(Montageplatten[konf_ges])-1),COUNTIF(Montageplatten[konf_ges],$A$195)+1-ROW(A2))),"")</f>
        <v/>
      </c>
      <c r="O1646" s="171" t="str">
        <f t="array" aca="1" ref="O1646" ca="1">IFERROR(INDEX(Montageplatten[37/32],LARGE((Montageplatten[konf_ges]=$A$195)*(ROW(Montageplatten[konf_ges])-1),COUNTIF(Montageplatten[konf_ges],$A$195)+1-ROW(A2))),"")</f>
        <v/>
      </c>
      <c r="P1646" s="171" t="str">
        <f t="array" aca="1" ref="P1646" ca="1">IFERROR(INDEX(Montageplatten[28/32],LARGE((Montageplatten[konf_ges]=$A$195)*(ROW(Montageplatten[konf_ges])-1),COUNTIF(Montageplatten[konf_ges],$A$195)+1-ROW(A2))),"")</f>
        <v/>
      </c>
      <c r="Q1646" s="171" t="str">
        <f t="array" aca="1" ref="Q1646" ca="1">IFERROR(INDEX(Montageplatten[20/32],LARGE((Montageplatten[konf_ges]=$A$195)*(ROW(Montageplatten[konf_ges])-1),COUNTIF(Montageplatten[konf_ges],$A$195)+1-ROW(A2))),"")</f>
        <v/>
      </c>
      <c r="R1646" s="171" t="str">
        <f t="array" aca="1" ref="R1646" ca="1">IFERROR(INDEX(Montageplatten[9,5/32],LARGE((Montageplatten[konf_ges]=$A$195)*(ROW(Montageplatten[konf_ges])-1),COUNTIF(Montageplatten[konf_ges],$A$195)+1-ROW(A2))),"")</f>
        <v/>
      </c>
      <c r="S1646" s="171" t="str">
        <f t="array" aca="1" ref="S1646" ca="1">IFERROR(INDEX(Montageplatten[10/32],LARGE((Montageplatten[konf_ges]=$A$195)*(ROW(Montageplatten[konf_ges])-1),COUNTIF(Montageplatten[konf_ges],$A$195)+1-ROW(A2))),"")</f>
        <v/>
      </c>
      <c r="T1646" s="171" t="str">
        <f t="array" aca="1" ref="T1646" ca="1">IFERROR(INDEX(Montageplatten[Höhe],LARGE((Montageplatten[konf_ges]=$A$195)*(ROW(Montageplatten[konf_ges])-1),COUNTIF(Montageplatten[konf_ges],$A$195)+1-ROW(A2))),"-")</f>
        <v>-</v>
      </c>
      <c r="V1646" s="170">
        <f t="shared" ref="V1646:V1659" ca="1" si="553">IF(T1646=-2,1,0)</f>
        <v>0</v>
      </c>
    </row>
    <row r="1647" spans="1:23" hidden="1" outlineLevel="1" x14ac:dyDescent="0.25">
      <c r="D1647" s="571" t="str">
        <f t="shared" ca="1" si="549"/>
        <v/>
      </c>
      <c r="E1647" s="571" t="str">
        <f t="shared" ca="1" si="550"/>
        <v/>
      </c>
      <c r="F1647" s="571" t="str">
        <f t="shared" ca="1" si="551"/>
        <v/>
      </c>
      <c r="G1647" s="571" t="str">
        <f t="shared" ca="1" si="552"/>
        <v/>
      </c>
      <c r="H1647" s="170" t="str">
        <f t="shared" ca="1" si="548"/>
        <v/>
      </c>
      <c r="I1647" s="168" t="str">
        <f t="array" aca="1" ref="I1647" ca="1">IFERROR(INDEX(Montageplatten[Spalte1],LARGE((Montageplatten[konf_ges]=$A$195)*(ROW(Montageplatten[konf_ges])-1),COUNTIF(Montageplatten[konf_ges],$A$195)+1-ROW(A3))),"")</f>
        <v/>
      </c>
      <c r="J1647" s="168" t="str">
        <f t="array" aca="1" ref="J1647" ca="1">IFERROR(INDEX(Montageplatten[Spalte2],LARGE((Montageplatten[konf_ges]=$A$195)*(ROW(Montageplatten[konf_ges])-1),COUNTIF(Montageplatten[konf_ges],$A$195)+1-ROW(A3))),"")</f>
        <v/>
      </c>
      <c r="K1647" s="168" t="str">
        <f t="array" aca="1" ref="K1647" ca="1">IFERROR(INDEX(Montageplatten[Spalte3],LARGE((Montageplatten[konf_ges]=$A$195)*(ROW(Montageplatten[konf_ges])-1),COUNTIF(Montageplatten[konf_ges],$A$195)+1-ROW(A3))),"")</f>
        <v/>
      </c>
      <c r="L1647" s="168" t="str">
        <f t="array" aca="1" ref="L1647" ca="1">IFERROR(INDEX(Montageplatten[Bezeichnung 1],LARGE((Montageplatten[konf_ges]=$A$195)*(ROW(Montageplatten[konf_ges])-1),COUNTIF(Montageplatten[konf_ges],$A$195)+1-ROW(A3))),"")</f>
        <v/>
      </c>
      <c r="M1647" s="168" t="str">
        <f t="array" aca="1" ref="M1647" ca="1">IFERROR(INDEX(Montageplatten[Bezeichnung 2],LARGE((Montageplatten[konf_ges]=$A$195)*(ROW(Montageplatten[konf_ges])-1),COUNTIF(Montageplatten[konf_ges],$A$195)+1-ROW(A3))),"")</f>
        <v/>
      </c>
      <c r="N1647" s="168" t="str">
        <f t="array" aca="1" ref="N1647" ca="1">IFERROR(INDEX(Montageplatten[Bezeichnung TGr],LARGE((Montageplatten[konf_ges]=$A$195)*(ROW(Montageplatten[konf_ges])-1),COUNTIF(Montageplatten[konf_ges],$A$195)+1-ROW(A3))),"")</f>
        <v/>
      </c>
      <c r="O1647" s="171" t="str">
        <f t="array" aca="1" ref="O1647" ca="1">IFERROR(INDEX(Montageplatten[37/32],LARGE((Montageplatten[konf_ges]=$A$195)*(ROW(Montageplatten[konf_ges])-1),COUNTIF(Montageplatten[konf_ges],$A$195)+1-ROW(A3))),"")</f>
        <v/>
      </c>
      <c r="P1647" s="171" t="str">
        <f t="array" aca="1" ref="P1647" ca="1">IFERROR(INDEX(Montageplatten[28/32],LARGE((Montageplatten[konf_ges]=$A$195)*(ROW(Montageplatten[konf_ges])-1),COUNTIF(Montageplatten[konf_ges],$A$195)+1-ROW(A3))),"")</f>
        <v/>
      </c>
      <c r="Q1647" s="171" t="str">
        <f t="array" aca="1" ref="Q1647" ca="1">IFERROR(INDEX(Montageplatten[20/32],LARGE((Montageplatten[konf_ges]=$A$195)*(ROW(Montageplatten[konf_ges])-1),COUNTIF(Montageplatten[konf_ges],$A$195)+1-ROW(A3))),"")</f>
        <v/>
      </c>
      <c r="R1647" s="171" t="str">
        <f t="array" aca="1" ref="R1647" ca="1">IFERROR(INDEX(Montageplatten[9,5/32],LARGE((Montageplatten[konf_ges]=$A$195)*(ROW(Montageplatten[konf_ges])-1),COUNTIF(Montageplatten[konf_ges],$A$195)+1-ROW(A3))),"")</f>
        <v/>
      </c>
      <c r="S1647" s="171" t="str">
        <f t="array" aca="1" ref="S1647" ca="1">IFERROR(INDEX(Montageplatten[10/32],LARGE((Montageplatten[konf_ges]=$A$195)*(ROW(Montageplatten[konf_ges])-1),COUNTIF(Montageplatten[konf_ges],$A$195)+1-ROW(A3))),"")</f>
        <v/>
      </c>
      <c r="T1647" s="171" t="str">
        <f t="array" aca="1" ref="T1647" ca="1">IFERROR(INDEX(Montageplatten[Höhe],LARGE((Montageplatten[konf_ges]=$A$195)*(ROW(Montageplatten[konf_ges])-1),COUNTIF(Montageplatten[konf_ges],$A$195)+1-ROW(A3))),"-")</f>
        <v>-</v>
      </c>
      <c r="V1647" s="170">
        <f t="shared" ca="1" si="553"/>
        <v>0</v>
      </c>
    </row>
    <row r="1648" spans="1:23" hidden="1" outlineLevel="1" x14ac:dyDescent="0.25">
      <c r="D1648" s="571" t="str">
        <f t="shared" ca="1" si="549"/>
        <v/>
      </c>
      <c r="E1648" s="571" t="str">
        <f t="shared" ca="1" si="550"/>
        <v/>
      </c>
      <c r="F1648" s="571" t="str">
        <f t="shared" ca="1" si="551"/>
        <v/>
      </c>
      <c r="G1648" s="571" t="str">
        <f t="shared" ca="1" si="552"/>
        <v/>
      </c>
      <c r="H1648" s="170" t="str">
        <f t="shared" ca="1" si="548"/>
        <v/>
      </c>
      <c r="I1648" s="168" t="str">
        <f t="array" aca="1" ref="I1648" ca="1">IFERROR(INDEX(Montageplatten[Spalte1],LARGE((Montageplatten[konf_ges]=$A$195)*(ROW(Montageplatten[konf_ges])-1),COUNTIF(Montageplatten[konf_ges],$A$195)+1-ROW(A4))),"")</f>
        <v/>
      </c>
      <c r="J1648" s="168" t="str">
        <f t="array" aca="1" ref="J1648" ca="1">IFERROR(INDEX(Montageplatten[Spalte2],LARGE((Montageplatten[konf_ges]=$A$195)*(ROW(Montageplatten[konf_ges])-1),COUNTIF(Montageplatten[konf_ges],$A$195)+1-ROW(A4))),"")</f>
        <v/>
      </c>
      <c r="K1648" s="168" t="str">
        <f t="array" aca="1" ref="K1648" ca="1">IFERROR(INDEX(Montageplatten[Spalte3],LARGE((Montageplatten[konf_ges]=$A$195)*(ROW(Montageplatten[konf_ges])-1),COUNTIF(Montageplatten[konf_ges],$A$195)+1-ROW(A4))),"")</f>
        <v/>
      </c>
      <c r="L1648" s="168" t="str">
        <f t="array" aca="1" ref="L1648" ca="1">IFERROR(INDEX(Montageplatten[Bezeichnung 1],LARGE((Montageplatten[konf_ges]=$A$195)*(ROW(Montageplatten[konf_ges])-1),COUNTIF(Montageplatten[konf_ges],$A$195)+1-ROW(A4))),"")</f>
        <v/>
      </c>
      <c r="M1648" s="168" t="str">
        <f t="array" aca="1" ref="M1648" ca="1">IFERROR(INDEX(Montageplatten[Bezeichnung 2],LARGE((Montageplatten[konf_ges]=$A$195)*(ROW(Montageplatten[konf_ges])-1),COUNTIF(Montageplatten[konf_ges],$A$195)+1-ROW(A4))),"")</f>
        <v/>
      </c>
      <c r="N1648" s="168" t="str">
        <f t="array" aca="1" ref="N1648" ca="1">IFERROR(INDEX(Montageplatten[Bezeichnung TGr],LARGE((Montageplatten[konf_ges]=$A$195)*(ROW(Montageplatten[konf_ges])-1),COUNTIF(Montageplatten[konf_ges],$A$195)+1-ROW(A4))),"")</f>
        <v/>
      </c>
      <c r="O1648" s="171" t="str">
        <f t="array" aca="1" ref="O1648" ca="1">IFERROR(INDEX(Montageplatten[37/32],LARGE((Montageplatten[konf_ges]=$A$195)*(ROW(Montageplatten[konf_ges])-1),COUNTIF(Montageplatten[konf_ges],$A$195)+1-ROW(A4))),"")</f>
        <v/>
      </c>
      <c r="P1648" s="171" t="str">
        <f t="array" aca="1" ref="P1648" ca="1">IFERROR(INDEX(Montageplatten[28/32],LARGE((Montageplatten[konf_ges]=$A$195)*(ROW(Montageplatten[konf_ges])-1),COUNTIF(Montageplatten[konf_ges],$A$195)+1-ROW(A4))),"")</f>
        <v/>
      </c>
      <c r="Q1648" s="171" t="str">
        <f t="array" aca="1" ref="Q1648" ca="1">IFERROR(INDEX(Montageplatten[20/32],LARGE((Montageplatten[konf_ges]=$A$195)*(ROW(Montageplatten[konf_ges])-1),COUNTIF(Montageplatten[konf_ges],$A$195)+1-ROW(A4))),"")</f>
        <v/>
      </c>
      <c r="R1648" s="171" t="str">
        <f t="array" aca="1" ref="R1648" ca="1">IFERROR(INDEX(Montageplatten[9,5/32],LARGE((Montageplatten[konf_ges]=$A$195)*(ROW(Montageplatten[konf_ges])-1),COUNTIF(Montageplatten[konf_ges],$A$195)+1-ROW(A4))),"")</f>
        <v/>
      </c>
      <c r="S1648" s="171" t="str">
        <f t="array" aca="1" ref="S1648" ca="1">IFERROR(INDEX(Montageplatten[10/32],LARGE((Montageplatten[konf_ges]=$A$195)*(ROW(Montageplatten[konf_ges])-1),COUNTIF(Montageplatten[konf_ges],$A$195)+1-ROW(A4))),"")</f>
        <v/>
      </c>
      <c r="T1648" s="171" t="str">
        <f t="array" aca="1" ref="T1648" ca="1">IFERROR(INDEX(Montageplatten[Höhe],LARGE((Montageplatten[konf_ges]=$A$195)*(ROW(Montageplatten[konf_ges])-1),COUNTIF(Montageplatten[konf_ges],$A$195)+1-ROW(A4))),"-")</f>
        <v>-</v>
      </c>
      <c r="V1648" s="170">
        <f t="shared" ca="1" si="553"/>
        <v>0</v>
      </c>
    </row>
    <row r="1649" spans="1:33" hidden="1" outlineLevel="1" x14ac:dyDescent="0.25">
      <c r="D1649" s="571" t="str">
        <f t="shared" ca="1" si="549"/>
        <v/>
      </c>
      <c r="E1649" s="571" t="str">
        <f t="shared" ca="1" si="550"/>
        <v/>
      </c>
      <c r="F1649" s="571" t="str">
        <f t="shared" ca="1" si="551"/>
        <v/>
      </c>
      <c r="G1649" s="571" t="str">
        <f t="shared" ca="1" si="552"/>
        <v/>
      </c>
      <c r="H1649" s="170" t="str">
        <f t="shared" ca="1" si="548"/>
        <v/>
      </c>
      <c r="I1649" s="168" t="str">
        <f t="array" aca="1" ref="I1649" ca="1">IFERROR(INDEX(Montageplatten[Spalte1],LARGE((Montageplatten[konf_ges]=$A$195)*(ROW(Montageplatten[konf_ges])-1),COUNTIF(Montageplatten[konf_ges],$A$195)+1-ROW(A5))),"")</f>
        <v/>
      </c>
      <c r="J1649" s="168" t="str">
        <f t="array" aca="1" ref="J1649" ca="1">IFERROR(INDEX(Montageplatten[Spalte2],LARGE((Montageplatten[konf_ges]=$A$195)*(ROW(Montageplatten[konf_ges])-1),COUNTIF(Montageplatten[konf_ges],$A$195)+1-ROW(A5))),"")</f>
        <v/>
      </c>
      <c r="K1649" s="168" t="str">
        <f t="array" aca="1" ref="K1649" ca="1">IFERROR(INDEX(Montageplatten[Spalte3],LARGE((Montageplatten[konf_ges]=$A$195)*(ROW(Montageplatten[konf_ges])-1),COUNTIF(Montageplatten[konf_ges],$A$195)+1-ROW(A5))),"")</f>
        <v/>
      </c>
      <c r="L1649" s="168" t="str">
        <f t="array" aca="1" ref="L1649" ca="1">IFERROR(INDEX(Montageplatten[Bezeichnung 1],LARGE((Montageplatten[konf_ges]=$A$195)*(ROW(Montageplatten[konf_ges])-1),COUNTIF(Montageplatten[konf_ges],$A$195)+1-ROW(A5))),"")</f>
        <v/>
      </c>
      <c r="M1649" s="168" t="str">
        <f t="array" aca="1" ref="M1649" ca="1">IFERROR(INDEX(Montageplatten[Bezeichnung 2],LARGE((Montageplatten[konf_ges]=$A$195)*(ROW(Montageplatten[konf_ges])-1),COUNTIF(Montageplatten[konf_ges],$A$195)+1-ROW(A5))),"")</f>
        <v/>
      </c>
      <c r="N1649" s="168" t="str">
        <f t="array" aca="1" ref="N1649" ca="1">IFERROR(INDEX(Montageplatten[Bezeichnung TGr],LARGE((Montageplatten[konf_ges]=$A$195)*(ROW(Montageplatten[konf_ges])-1),COUNTIF(Montageplatten[konf_ges],$A$195)+1-ROW(A5))),"")</f>
        <v/>
      </c>
      <c r="O1649" s="171" t="str">
        <f t="array" aca="1" ref="O1649" ca="1">IFERROR(INDEX(Montageplatten[37/32],LARGE((Montageplatten[konf_ges]=$A$195)*(ROW(Montageplatten[konf_ges])-1),COUNTIF(Montageplatten[konf_ges],$A$195)+1-ROW(A5))),"")</f>
        <v/>
      </c>
      <c r="P1649" s="171" t="str">
        <f t="array" aca="1" ref="P1649" ca="1">IFERROR(INDEX(Montageplatten[28/32],LARGE((Montageplatten[konf_ges]=$A$195)*(ROW(Montageplatten[konf_ges])-1),COUNTIF(Montageplatten[konf_ges],$A$195)+1-ROW(A5))),"")</f>
        <v/>
      </c>
      <c r="Q1649" s="171" t="str">
        <f t="array" aca="1" ref="Q1649" ca="1">IFERROR(INDEX(Montageplatten[20/32],LARGE((Montageplatten[konf_ges]=$A$195)*(ROW(Montageplatten[konf_ges])-1),COUNTIF(Montageplatten[konf_ges],$A$195)+1-ROW(A5))),"")</f>
        <v/>
      </c>
      <c r="R1649" s="171" t="str">
        <f t="array" aca="1" ref="R1649" ca="1">IFERROR(INDEX(Montageplatten[9,5/32],LARGE((Montageplatten[konf_ges]=$A$195)*(ROW(Montageplatten[konf_ges])-1),COUNTIF(Montageplatten[konf_ges],$A$195)+1-ROW(A5))),"")</f>
        <v/>
      </c>
      <c r="S1649" s="171" t="str">
        <f t="array" aca="1" ref="S1649" ca="1">IFERROR(INDEX(Montageplatten[10/32],LARGE((Montageplatten[konf_ges]=$A$195)*(ROW(Montageplatten[konf_ges])-1),COUNTIF(Montageplatten[konf_ges],$A$195)+1-ROW(A5))),"")</f>
        <v/>
      </c>
      <c r="T1649" s="171" t="str">
        <f t="array" aca="1" ref="T1649" ca="1">IFERROR(INDEX(Montageplatten[Höhe],LARGE((Montageplatten[konf_ges]=$A$195)*(ROW(Montageplatten[konf_ges])-1),COUNTIF(Montageplatten[konf_ges],$A$195)+1-ROW(A5))),"-")</f>
        <v>-</v>
      </c>
      <c r="V1649" s="170">
        <f t="shared" ca="1" si="553"/>
        <v>0</v>
      </c>
    </row>
    <row r="1650" spans="1:33" hidden="1" outlineLevel="1" x14ac:dyDescent="0.25">
      <c r="D1650" s="571" t="str">
        <f t="shared" ca="1" si="549"/>
        <v/>
      </c>
      <c r="E1650" s="571" t="str">
        <f t="shared" ca="1" si="550"/>
        <v/>
      </c>
      <c r="F1650" s="571" t="str">
        <f t="shared" ca="1" si="551"/>
        <v/>
      </c>
      <c r="G1650" s="571" t="str">
        <f t="shared" ca="1" si="552"/>
        <v/>
      </c>
      <c r="H1650" s="170" t="str">
        <f t="shared" ca="1" si="548"/>
        <v/>
      </c>
      <c r="I1650" s="168" t="str">
        <f t="array" aca="1" ref="I1650" ca="1">IFERROR(INDEX(Montageplatten[Spalte1],LARGE((Montageplatten[konf_ges]=$A$195)*(ROW(Montageplatten[konf_ges])-1),COUNTIF(Montageplatten[konf_ges],$A$195)+1-ROW(A6))),"")</f>
        <v/>
      </c>
      <c r="J1650" s="168" t="str">
        <f t="array" aca="1" ref="J1650" ca="1">IFERROR(INDEX(Montageplatten[Spalte2],LARGE((Montageplatten[konf_ges]=$A$195)*(ROW(Montageplatten[konf_ges])-1),COUNTIF(Montageplatten[konf_ges],$A$195)+1-ROW(A6))),"")</f>
        <v/>
      </c>
      <c r="K1650" s="168" t="str">
        <f t="array" aca="1" ref="K1650" ca="1">IFERROR(INDEX(Montageplatten[Spalte3],LARGE((Montageplatten[konf_ges]=$A$195)*(ROW(Montageplatten[konf_ges])-1),COUNTIF(Montageplatten[konf_ges],$A$195)+1-ROW(A6))),"")</f>
        <v/>
      </c>
      <c r="L1650" s="168" t="str">
        <f t="array" aca="1" ref="L1650" ca="1">IFERROR(INDEX(Montageplatten[Bezeichnung 1],LARGE((Montageplatten[konf_ges]=$A$195)*(ROW(Montageplatten[konf_ges])-1),COUNTIF(Montageplatten[konf_ges],$A$195)+1-ROW(A6))),"")</f>
        <v/>
      </c>
      <c r="M1650" s="168" t="str">
        <f t="array" aca="1" ref="M1650" ca="1">IFERROR(INDEX(Montageplatten[Bezeichnung 2],LARGE((Montageplatten[konf_ges]=$A$195)*(ROW(Montageplatten[konf_ges])-1),COUNTIF(Montageplatten[konf_ges],$A$195)+1-ROW(A6))),"")</f>
        <v/>
      </c>
      <c r="N1650" s="168" t="str">
        <f t="array" aca="1" ref="N1650" ca="1">IFERROR(INDEX(Montageplatten[Bezeichnung TGr],LARGE((Montageplatten[konf_ges]=$A$195)*(ROW(Montageplatten[konf_ges])-1),COUNTIF(Montageplatten[konf_ges],$A$195)+1-ROW(A6))),"")</f>
        <v/>
      </c>
      <c r="O1650" s="171" t="str">
        <f t="array" aca="1" ref="O1650" ca="1">IFERROR(INDEX(Montageplatten[37/32],LARGE((Montageplatten[konf_ges]=$A$195)*(ROW(Montageplatten[konf_ges])-1),COUNTIF(Montageplatten[konf_ges],$A$195)+1-ROW(A6))),"")</f>
        <v/>
      </c>
      <c r="P1650" s="171" t="str">
        <f t="array" aca="1" ref="P1650" ca="1">IFERROR(INDEX(Montageplatten[28/32],LARGE((Montageplatten[konf_ges]=$A$195)*(ROW(Montageplatten[konf_ges])-1),COUNTIF(Montageplatten[konf_ges],$A$195)+1-ROW(A6))),"")</f>
        <v/>
      </c>
      <c r="Q1650" s="171" t="str">
        <f t="array" aca="1" ref="Q1650" ca="1">IFERROR(INDEX(Montageplatten[20/32],LARGE((Montageplatten[konf_ges]=$A$195)*(ROW(Montageplatten[konf_ges])-1),COUNTIF(Montageplatten[konf_ges],$A$195)+1-ROW(A6))),"")</f>
        <v/>
      </c>
      <c r="R1650" s="171" t="str">
        <f t="array" aca="1" ref="R1650" ca="1">IFERROR(INDEX(Montageplatten[9,5/32],LARGE((Montageplatten[konf_ges]=$A$195)*(ROW(Montageplatten[konf_ges])-1),COUNTIF(Montageplatten[konf_ges],$A$195)+1-ROW(A6))),"")</f>
        <v/>
      </c>
      <c r="S1650" s="171" t="str">
        <f t="array" aca="1" ref="S1650" ca="1">IFERROR(INDEX(Montageplatten[10/32],LARGE((Montageplatten[konf_ges]=$A$195)*(ROW(Montageplatten[konf_ges])-1),COUNTIF(Montageplatten[konf_ges],$A$195)+1-ROW(A6))),"")</f>
        <v/>
      </c>
      <c r="T1650" s="171" t="str">
        <f t="array" aca="1" ref="T1650" ca="1">IFERROR(INDEX(Montageplatten[Höhe],LARGE((Montageplatten[konf_ges]=$A$195)*(ROW(Montageplatten[konf_ges])-1),COUNTIF(Montageplatten[konf_ges],$A$195)+1-ROW(A6))),"-")</f>
        <v>-</v>
      </c>
      <c r="V1650" s="170">
        <f t="shared" ca="1" si="553"/>
        <v>0</v>
      </c>
      <c r="AA1650" s="524">
        <f ca="1">DCOUNT(Montageplatten[[#Headers],[#Data],[MPH Winkel]:[Höhe]],Montageplatten[[#Headers],[Höhe]],AA1652:AB1656)</f>
        <v>0</v>
      </c>
      <c r="AB1650" s="534"/>
      <c r="AC1650" s="526">
        <f ca="1">DCOUNT(Montageplatten[[#Headers],[#Data],[MPH Winkel]:[Höhe]],Montageplatten[[#Headers],[Höhe]],AB1652:AC1656)</f>
        <v>2</v>
      </c>
      <c r="AE1650" s="524">
        <f ca="1">DCOUNT(Montageplatten[[#Headers],[#Data],[MPH Winkel]:[Höhe]],Montageplatten[[#Headers],[Höhe]],AE1652:AF1656)</f>
        <v>0</v>
      </c>
      <c r="AF1650" s="534"/>
      <c r="AG1650" s="526">
        <f ca="1">DCOUNT(Montageplatten[[#Headers],[#Data],[MPH Winkel]:[Höhe]],Montageplatten[[#Headers],[Höhe]],AF1652:AG1656)</f>
        <v>0</v>
      </c>
    </row>
    <row r="1651" spans="1:33" hidden="1" outlineLevel="1" x14ac:dyDescent="0.25">
      <c r="D1651" s="571" t="str">
        <f t="shared" ca="1" si="549"/>
        <v/>
      </c>
      <c r="E1651" s="571" t="str">
        <f t="shared" ca="1" si="550"/>
        <v/>
      </c>
      <c r="F1651" s="571" t="str">
        <f t="shared" ca="1" si="551"/>
        <v/>
      </c>
      <c r="G1651" s="571" t="str">
        <f t="shared" ca="1" si="552"/>
        <v/>
      </c>
      <c r="H1651" s="170" t="str">
        <f t="shared" ca="1" si="548"/>
        <v/>
      </c>
      <c r="I1651" s="168" t="str">
        <f t="array" aca="1" ref="I1651" ca="1">IFERROR(INDEX(Montageplatten[Spalte1],LARGE((Montageplatten[konf_ges]=$A$195)*(ROW(Montageplatten[konf_ges])-1),COUNTIF(Montageplatten[konf_ges],$A$195)+1-ROW(A7))),"")</f>
        <v/>
      </c>
      <c r="J1651" s="168" t="str">
        <f t="array" aca="1" ref="J1651" ca="1">IFERROR(INDEX(Montageplatten[Spalte2],LARGE((Montageplatten[konf_ges]=$A$195)*(ROW(Montageplatten[konf_ges])-1),COUNTIF(Montageplatten[konf_ges],$A$195)+1-ROW(A7))),"")</f>
        <v/>
      </c>
      <c r="K1651" s="168" t="str">
        <f t="array" aca="1" ref="K1651" ca="1">IFERROR(INDEX(Montageplatten[Spalte3],LARGE((Montageplatten[konf_ges]=$A$195)*(ROW(Montageplatten[konf_ges])-1),COUNTIF(Montageplatten[konf_ges],$A$195)+1-ROW(A7))),"")</f>
        <v/>
      </c>
      <c r="L1651" s="168" t="str">
        <f t="array" aca="1" ref="L1651" ca="1">IFERROR(INDEX(Montageplatten[Bezeichnung 1],LARGE((Montageplatten[konf_ges]=$A$195)*(ROW(Montageplatten[konf_ges])-1),COUNTIF(Montageplatten[konf_ges],$A$195)+1-ROW(A7))),"")</f>
        <v/>
      </c>
      <c r="M1651" s="168" t="str">
        <f t="array" aca="1" ref="M1651" ca="1">IFERROR(INDEX(Montageplatten[Bezeichnung 2],LARGE((Montageplatten[konf_ges]=$A$195)*(ROW(Montageplatten[konf_ges])-1),COUNTIF(Montageplatten[konf_ges],$A$195)+1-ROW(A7))),"")</f>
        <v/>
      </c>
      <c r="N1651" s="168" t="str">
        <f t="array" aca="1" ref="N1651" ca="1">IFERROR(INDEX(Montageplatten[Bezeichnung TGr],LARGE((Montageplatten[konf_ges]=$A$195)*(ROW(Montageplatten[konf_ges])-1),COUNTIF(Montageplatten[konf_ges],$A$195)+1-ROW(A7))),"")</f>
        <v/>
      </c>
      <c r="O1651" s="171" t="str">
        <f t="array" aca="1" ref="O1651" ca="1">IFERROR(INDEX(Montageplatten[37/32],LARGE((Montageplatten[konf_ges]=$A$195)*(ROW(Montageplatten[konf_ges])-1),COUNTIF(Montageplatten[konf_ges],$A$195)+1-ROW(A7))),"")</f>
        <v/>
      </c>
      <c r="P1651" s="171" t="str">
        <f t="array" aca="1" ref="P1651" ca="1">IFERROR(INDEX(Montageplatten[28/32],LARGE((Montageplatten[konf_ges]=$A$195)*(ROW(Montageplatten[konf_ges])-1),COUNTIF(Montageplatten[konf_ges],$A$195)+1-ROW(A7))),"")</f>
        <v/>
      </c>
      <c r="Q1651" s="171" t="str">
        <f t="array" aca="1" ref="Q1651" ca="1">IFERROR(INDEX(Montageplatten[20/32],LARGE((Montageplatten[konf_ges]=$A$195)*(ROW(Montageplatten[konf_ges])-1),COUNTIF(Montageplatten[konf_ges],$A$195)+1-ROW(A7))),"")</f>
        <v/>
      </c>
      <c r="R1651" s="171" t="str">
        <f t="array" aca="1" ref="R1651" ca="1">IFERROR(INDEX(Montageplatten[9,5/32],LARGE((Montageplatten[konf_ges]=$A$195)*(ROW(Montageplatten[konf_ges])-1),COUNTIF(Montageplatten[konf_ges],$A$195)+1-ROW(A7))),"")</f>
        <v/>
      </c>
      <c r="S1651" s="171" t="str">
        <f t="array" aca="1" ref="S1651" ca="1">IFERROR(INDEX(Montageplatten[10/32],LARGE((Montageplatten[konf_ges]=$A$195)*(ROW(Montageplatten[konf_ges])-1),COUNTIF(Montageplatten[konf_ges],$A$195)+1-ROW(A7))),"")</f>
        <v/>
      </c>
      <c r="T1651" s="171" t="str">
        <f t="array" aca="1" ref="T1651" ca="1">IFERROR(INDEX(Montageplatten[Höhe],LARGE((Montageplatten[konf_ges]=$A$195)*(ROW(Montageplatten[konf_ges])-1),COUNTIF(Montageplatten[konf_ges],$A$195)+1-ROW(A7))),"-")</f>
        <v>-</v>
      </c>
      <c r="V1651" s="170">
        <f t="shared" ca="1" si="553"/>
        <v>0</v>
      </c>
      <c r="AA1651" s="10"/>
      <c r="AB1651" s="170"/>
      <c r="AC1651" s="55"/>
      <c r="AE1651" s="10"/>
      <c r="AF1651" s="170"/>
      <c r="AG1651" s="55"/>
    </row>
    <row r="1652" spans="1:33" hidden="1" outlineLevel="1" x14ac:dyDescent="0.25">
      <c r="D1652" s="571" t="str">
        <f t="shared" ca="1" si="549"/>
        <v/>
      </c>
      <c r="E1652" s="571" t="str">
        <f t="shared" ca="1" si="550"/>
        <v/>
      </c>
      <c r="F1652" s="571" t="str">
        <f t="shared" ca="1" si="551"/>
        <v/>
      </c>
      <c r="G1652" s="571" t="str">
        <f t="shared" ca="1" si="552"/>
        <v/>
      </c>
      <c r="H1652" s="170" t="str">
        <f t="shared" ca="1" si="548"/>
        <v/>
      </c>
      <c r="I1652" s="168" t="str">
        <f t="array" aca="1" ref="I1652" ca="1">IFERROR(INDEX(Montageplatten[Spalte1],LARGE((Montageplatten[konf_ges]=$A$195)*(ROW(Montageplatten[konf_ges])-1),COUNTIF(Montageplatten[konf_ges],$A$195)+1-ROW(A8))),"")</f>
        <v/>
      </c>
      <c r="J1652" s="168" t="str">
        <f t="array" aca="1" ref="J1652" ca="1">IFERROR(INDEX(Montageplatten[Spalte2],LARGE((Montageplatten[konf_ges]=$A$195)*(ROW(Montageplatten[konf_ges])-1),COUNTIF(Montageplatten[konf_ges],$A$195)+1-ROW(A8))),"")</f>
        <v/>
      </c>
      <c r="K1652" s="168" t="str">
        <f t="array" aca="1" ref="K1652" ca="1">IFERROR(INDEX(Montageplatten[Spalte3],LARGE((Montageplatten[konf_ges]=$A$195)*(ROW(Montageplatten[konf_ges])-1),COUNTIF(Montageplatten[konf_ges],$A$195)+1-ROW(A8))),"")</f>
        <v/>
      </c>
      <c r="L1652" s="168" t="str">
        <f t="array" aca="1" ref="L1652" ca="1">IFERROR(INDEX(Montageplatten[Bezeichnung 1],LARGE((Montageplatten[konf_ges]=$A$195)*(ROW(Montageplatten[konf_ges])-1),COUNTIF(Montageplatten[konf_ges],$A$195)+1-ROW(A8))),"")</f>
        <v/>
      </c>
      <c r="M1652" s="168" t="str">
        <f t="array" aca="1" ref="M1652" ca="1">IFERROR(INDEX(Montageplatten[Bezeichnung 2],LARGE((Montageplatten[konf_ges]=$A$195)*(ROW(Montageplatten[konf_ges])-1),COUNTIF(Montageplatten[konf_ges],$A$195)+1-ROW(A8))),"")</f>
        <v/>
      </c>
      <c r="N1652" s="168" t="str">
        <f t="array" aca="1" ref="N1652" ca="1">IFERROR(INDEX(Montageplatten[Bezeichnung TGr],LARGE((Montageplatten[konf_ges]=$A$195)*(ROW(Montageplatten[konf_ges])-1),COUNTIF(Montageplatten[konf_ges],$A$195)+1-ROW(A8))),"")</f>
        <v/>
      </c>
      <c r="O1652" s="171" t="str">
        <f t="array" aca="1" ref="O1652" ca="1">IFERROR(INDEX(Montageplatten[37/32],LARGE((Montageplatten[konf_ges]=$A$195)*(ROW(Montageplatten[konf_ges])-1),COUNTIF(Montageplatten[konf_ges],$A$195)+1-ROW(A8))),"")</f>
        <v/>
      </c>
      <c r="P1652" s="171" t="str">
        <f t="array" aca="1" ref="P1652" ca="1">IFERROR(INDEX(Montageplatten[28/32],LARGE((Montageplatten[konf_ges]=$A$195)*(ROW(Montageplatten[konf_ges])-1),COUNTIF(Montageplatten[konf_ges],$A$195)+1-ROW(A8))),"")</f>
        <v/>
      </c>
      <c r="Q1652" s="171" t="str">
        <f t="array" aca="1" ref="Q1652" ca="1">IFERROR(INDEX(Montageplatten[20/32],LARGE((Montageplatten[konf_ges]=$A$195)*(ROW(Montageplatten[konf_ges])-1),COUNTIF(Montageplatten[konf_ges],$A$195)+1-ROW(A8))),"")</f>
        <v/>
      </c>
      <c r="R1652" s="171" t="str">
        <f t="array" aca="1" ref="R1652" ca="1">IFERROR(INDEX(Montageplatten[9,5/32],LARGE((Montageplatten[konf_ges]=$A$195)*(ROW(Montageplatten[konf_ges])-1),COUNTIF(Montageplatten[konf_ges],$A$195)+1-ROW(A8))),"")</f>
        <v/>
      </c>
      <c r="S1652" s="171" t="str">
        <f t="array" aca="1" ref="S1652" ca="1">IFERROR(INDEX(Montageplatten[10/32],LARGE((Montageplatten[konf_ges]=$A$195)*(ROW(Montageplatten[konf_ges])-1),COUNTIF(Montageplatten[konf_ges],$A$195)+1-ROW(A8))),"")</f>
        <v/>
      </c>
      <c r="T1652" s="171" t="str">
        <f t="array" aca="1" ref="T1652" ca="1">IFERROR(INDEX(Montageplatten[Höhe],LARGE((Montageplatten[konf_ges]=$A$195)*(ROW(Montageplatten[konf_ges])-1),COUNTIF(Montageplatten[konf_ges],$A$195)+1-ROW(A8))),"-")</f>
        <v>-</v>
      </c>
      <c r="V1652" s="170">
        <f t="shared" ca="1" si="553"/>
        <v>0</v>
      </c>
      <c r="AA1652" s="10" t="s">
        <v>51</v>
      </c>
      <c r="AB1652" s="170" t="s">
        <v>42</v>
      </c>
      <c r="AC1652" s="55" t="s">
        <v>52</v>
      </c>
      <c r="AE1652" s="10" t="str">
        <f>Montageplatten[[#Headers],[Delta]]</f>
        <v>Delta</v>
      </c>
      <c r="AF1652" s="170" t="str">
        <f>AB1652</f>
        <v>Höhe</v>
      </c>
      <c r="AG1652" s="55" t="str">
        <f>Montageplatten[[#Headers],[INSET]]</f>
        <v>INSET</v>
      </c>
    </row>
    <row r="1653" spans="1:33" hidden="1" outlineLevel="1" x14ac:dyDescent="0.25">
      <c r="D1653" s="571" t="str">
        <f t="shared" ca="1" si="549"/>
        <v/>
      </c>
      <c r="E1653" s="571" t="str">
        <f t="shared" ca="1" si="550"/>
        <v/>
      </c>
      <c r="F1653" s="571" t="str">
        <f t="shared" ca="1" si="551"/>
        <v/>
      </c>
      <c r="G1653" s="571" t="str">
        <f t="shared" ca="1" si="552"/>
        <v/>
      </c>
      <c r="H1653" s="170" t="str">
        <f t="shared" ca="1" si="548"/>
        <v/>
      </c>
      <c r="I1653" s="168" t="str">
        <f t="array" aca="1" ref="I1653" ca="1">IFERROR(INDEX(Montageplatten[Spalte1],LARGE((Montageplatten[konf_ges]=$A$195)*(ROW(Montageplatten[konf_ges])-1),COUNTIF(Montageplatten[konf_ges],$A$195)+1-ROW(A9))),"")</f>
        <v/>
      </c>
      <c r="J1653" s="168" t="str">
        <f t="array" aca="1" ref="J1653" ca="1">IFERROR(INDEX(Montageplatten[Spalte2],LARGE((Montageplatten[konf_ges]=$A$195)*(ROW(Montageplatten[konf_ges])-1),COUNTIF(Montageplatten[konf_ges],$A$195)+1-ROW(A9))),"")</f>
        <v/>
      </c>
      <c r="K1653" s="168" t="str">
        <f t="array" aca="1" ref="K1653" ca="1">IFERROR(INDEX(Montageplatten[Spalte3],LARGE((Montageplatten[konf_ges]=$A$195)*(ROW(Montageplatten[konf_ges])-1),COUNTIF(Montageplatten[konf_ges],$A$195)+1-ROW(A9))),"")</f>
        <v/>
      </c>
      <c r="L1653" s="168" t="str">
        <f t="array" aca="1" ref="L1653" ca="1">IFERROR(INDEX(Montageplatten[Bezeichnung 1],LARGE((Montageplatten[konf_ges]=$A$195)*(ROW(Montageplatten[konf_ges])-1),COUNTIF(Montageplatten[konf_ges],$A$195)+1-ROW(A9))),"")</f>
        <v/>
      </c>
      <c r="M1653" s="168" t="str">
        <f t="array" aca="1" ref="M1653" ca="1">IFERROR(INDEX(Montageplatten[Bezeichnung 2],LARGE((Montageplatten[konf_ges]=$A$195)*(ROW(Montageplatten[konf_ges])-1),COUNTIF(Montageplatten[konf_ges],$A$195)+1-ROW(A9))),"")</f>
        <v/>
      </c>
      <c r="N1653" s="168" t="str">
        <f t="array" aca="1" ref="N1653" ca="1">IFERROR(INDEX(Montageplatten[Bezeichnung TGr],LARGE((Montageplatten[konf_ges]=$A$195)*(ROW(Montageplatten[konf_ges])-1),COUNTIF(Montageplatten[konf_ges],$A$195)+1-ROW(A9))),"")</f>
        <v/>
      </c>
      <c r="O1653" s="171" t="str">
        <f t="array" aca="1" ref="O1653" ca="1">IFERROR(INDEX(Montageplatten[37/32],LARGE((Montageplatten[konf_ges]=$A$195)*(ROW(Montageplatten[konf_ges])-1),COUNTIF(Montageplatten[konf_ges],$A$195)+1-ROW(A9))),"")</f>
        <v/>
      </c>
      <c r="P1653" s="171" t="str">
        <f t="array" aca="1" ref="P1653" ca="1">IFERROR(INDEX(Montageplatten[28/32],LARGE((Montageplatten[konf_ges]=$A$195)*(ROW(Montageplatten[konf_ges])-1),COUNTIF(Montageplatten[konf_ges],$A$195)+1-ROW(A9))),"")</f>
        <v/>
      </c>
      <c r="Q1653" s="171" t="str">
        <f t="array" aca="1" ref="Q1653" ca="1">IFERROR(INDEX(Montageplatten[20/32],LARGE((Montageplatten[konf_ges]=$A$195)*(ROW(Montageplatten[konf_ges])-1),COUNTIF(Montageplatten[konf_ges],$A$195)+1-ROW(A9))),"")</f>
        <v/>
      </c>
      <c r="R1653" s="171" t="str">
        <f t="array" aca="1" ref="R1653" ca="1">IFERROR(INDEX(Montageplatten[9,5/32],LARGE((Montageplatten[konf_ges]=$A$195)*(ROW(Montageplatten[konf_ges])-1),COUNTIF(Montageplatten[konf_ges],$A$195)+1-ROW(A9))),"")</f>
        <v/>
      </c>
      <c r="S1653" s="171" t="str">
        <f t="array" aca="1" ref="S1653" ca="1">IFERROR(INDEX(Montageplatten[10/32],LARGE((Montageplatten[konf_ges]=$A$195)*(ROW(Montageplatten[konf_ges])-1),COUNTIF(Montageplatten[konf_ges],$A$195)+1-ROW(A9))),"")</f>
        <v/>
      </c>
      <c r="T1653" s="171" t="str">
        <f t="array" aca="1" ref="T1653" ca="1">IFERROR(INDEX(Montageplatten[Höhe],LARGE((Montageplatten[konf_ges]=$A$195)*(ROW(Montageplatten[konf_ges])-1),COUNTIF(Montageplatten[konf_ges],$A$195)+1-ROW(A9))),"-")</f>
        <v>-</v>
      </c>
      <c r="V1653" s="170">
        <f t="shared" ca="1" si="553"/>
        <v>0</v>
      </c>
      <c r="Z1653" t="s">
        <v>2106</v>
      </c>
      <c r="AA1653" s="10">
        <v>1</v>
      </c>
      <c r="AB1653" s="170">
        <f ca="1">S1368</f>
        <v>14</v>
      </c>
      <c r="AC1653" s="55">
        <v>1</v>
      </c>
      <c r="AE1653" s="10">
        <v>1</v>
      </c>
      <c r="AF1653" s="170">
        <f ca="1">AB1653</f>
        <v>14</v>
      </c>
      <c r="AG1653" s="55">
        <v>1</v>
      </c>
    </row>
    <row r="1654" spans="1:33" hidden="1" outlineLevel="1" x14ac:dyDescent="0.25">
      <c r="D1654" s="571" t="str">
        <f t="shared" ca="1" si="549"/>
        <v/>
      </c>
      <c r="E1654" s="571" t="str">
        <f t="shared" ca="1" si="550"/>
        <v/>
      </c>
      <c r="F1654" s="571" t="str">
        <f t="shared" ca="1" si="551"/>
        <v/>
      </c>
      <c r="G1654" s="571" t="str">
        <f t="shared" ca="1" si="552"/>
        <v/>
      </c>
      <c r="H1654" s="170" t="str">
        <f t="shared" ca="1" si="548"/>
        <v/>
      </c>
      <c r="I1654" s="168" t="str">
        <f t="array" aca="1" ref="I1654" ca="1">IFERROR(INDEX(Montageplatten[Spalte1],LARGE((Montageplatten[konf_ges]=$A$195)*(ROW(Montageplatten[konf_ges])-1),COUNTIF(Montageplatten[konf_ges],$A$195)+1-ROW(A10))),"")</f>
        <v/>
      </c>
      <c r="J1654" s="168" t="str">
        <f t="array" aca="1" ref="J1654" ca="1">IFERROR(INDEX(Montageplatten[Spalte2],LARGE((Montageplatten[konf_ges]=$A$195)*(ROW(Montageplatten[konf_ges])-1),COUNTIF(Montageplatten[konf_ges],$A$195)+1-ROW(A10))),"")</f>
        <v/>
      </c>
      <c r="K1654" s="168" t="str">
        <f t="array" aca="1" ref="K1654" ca="1">IFERROR(INDEX(Montageplatten[Spalte3],LARGE((Montageplatten[konf_ges]=$A$195)*(ROW(Montageplatten[konf_ges])-1),COUNTIF(Montageplatten[konf_ges],$A$195)+1-ROW(A10))),"")</f>
        <v/>
      </c>
      <c r="L1654" s="168" t="str">
        <f t="array" aca="1" ref="L1654" ca="1">IFERROR(INDEX(Montageplatten[Bezeichnung 1],LARGE((Montageplatten[konf_ges]=$A$195)*(ROW(Montageplatten[konf_ges])-1),COUNTIF(Montageplatten[konf_ges],$A$195)+1-ROW(A10))),"")</f>
        <v/>
      </c>
      <c r="M1654" s="168" t="str">
        <f t="array" aca="1" ref="M1654" ca="1">IFERROR(INDEX(Montageplatten[Bezeichnung 2],LARGE((Montageplatten[konf_ges]=$A$195)*(ROW(Montageplatten[konf_ges])-1),COUNTIF(Montageplatten[konf_ges],$A$195)+1-ROW(A10))),"")</f>
        <v/>
      </c>
      <c r="N1654" s="168" t="str">
        <f t="array" aca="1" ref="N1654" ca="1">IFERROR(INDEX(Montageplatten[Bezeichnung TGr],LARGE((Montageplatten[konf_ges]=$A$195)*(ROW(Montageplatten[konf_ges])-1),COUNTIF(Montageplatten[konf_ges],$A$195)+1-ROW(A10))),"")</f>
        <v/>
      </c>
      <c r="O1654" s="171" t="str">
        <f t="array" aca="1" ref="O1654" ca="1">IFERROR(INDEX(Montageplatten[37/32],LARGE((Montageplatten[konf_ges]=$A$195)*(ROW(Montageplatten[konf_ges])-1),COUNTIF(Montageplatten[konf_ges],$A$195)+1-ROW(A10))),"")</f>
        <v/>
      </c>
      <c r="P1654" s="171" t="str">
        <f t="array" aca="1" ref="P1654" ca="1">IFERROR(INDEX(Montageplatten[28/32],LARGE((Montageplatten[konf_ges]=$A$195)*(ROW(Montageplatten[konf_ges])-1),COUNTIF(Montageplatten[konf_ges],$A$195)+1-ROW(A10))),"")</f>
        <v/>
      </c>
      <c r="Q1654" s="171" t="str">
        <f t="array" aca="1" ref="Q1654" ca="1">IFERROR(INDEX(Montageplatten[20/32],LARGE((Montageplatten[konf_ges]=$A$195)*(ROW(Montageplatten[konf_ges])-1),COUNTIF(Montageplatten[konf_ges],$A$195)+1-ROW(A10))),"")</f>
        <v/>
      </c>
      <c r="R1654" s="171" t="str">
        <f t="array" aca="1" ref="R1654" ca="1">IFERROR(INDEX(Montageplatten[9,5/32],LARGE((Montageplatten[konf_ges]=$A$195)*(ROW(Montageplatten[konf_ges])-1),COUNTIF(Montageplatten[konf_ges],$A$195)+1-ROW(A10))),"")</f>
        <v/>
      </c>
      <c r="S1654" s="171" t="str">
        <f t="array" aca="1" ref="S1654" ca="1">IFERROR(INDEX(Montageplatten[10/32],LARGE((Montageplatten[konf_ges]=$A$195)*(ROW(Montageplatten[konf_ges])-1),COUNTIF(Montageplatten[konf_ges],$A$195)+1-ROW(A10))),"")</f>
        <v/>
      </c>
      <c r="T1654" s="171" t="str">
        <f t="array" aca="1" ref="T1654" ca="1">IFERROR(INDEX(Montageplatten[Höhe],LARGE((Montageplatten[konf_ges]=$A$195)*(ROW(Montageplatten[konf_ges])-1),COUNTIF(Montageplatten[konf_ges],$A$195)+1-ROW(A10))),"-")</f>
        <v>-</v>
      </c>
      <c r="V1654" s="170">
        <f t="shared" ca="1" si="553"/>
        <v>0</v>
      </c>
      <c r="Z1654" t="s">
        <v>2107</v>
      </c>
      <c r="AA1654" s="10">
        <v>1</v>
      </c>
      <c r="AB1654" s="170" t="str">
        <f ca="1">S1369</f>
        <v/>
      </c>
      <c r="AC1654" s="55">
        <v>1</v>
      </c>
      <c r="AE1654" s="10">
        <v>1</v>
      </c>
      <c r="AF1654" s="170" t="str">
        <f ca="1">AB1654</f>
        <v/>
      </c>
      <c r="AG1654" s="55">
        <v>1</v>
      </c>
    </row>
    <row r="1655" spans="1:33" hidden="1" outlineLevel="1" x14ac:dyDescent="0.25">
      <c r="D1655" s="571" t="str">
        <f t="shared" ca="1" si="549"/>
        <v/>
      </c>
      <c r="E1655" s="571" t="str">
        <f t="shared" ca="1" si="550"/>
        <v/>
      </c>
      <c r="F1655" s="571" t="str">
        <f t="shared" ca="1" si="551"/>
        <v/>
      </c>
      <c r="G1655" s="571" t="str">
        <f t="shared" ca="1" si="552"/>
        <v/>
      </c>
      <c r="H1655" s="170" t="str">
        <f t="shared" ca="1" si="548"/>
        <v/>
      </c>
      <c r="I1655" s="168" t="str">
        <f t="array" aca="1" ref="I1655" ca="1">IFERROR(INDEX(Montageplatten[Spalte1],LARGE((Montageplatten[konf_ges]=$A$195)*(ROW(Montageplatten[konf_ges])-1),COUNTIF(Montageplatten[konf_ges],$A$195)+1-ROW(A11))),"")</f>
        <v/>
      </c>
      <c r="J1655" s="168" t="str">
        <f t="array" aca="1" ref="J1655" ca="1">IFERROR(INDEX(Montageplatten[Spalte2],LARGE((Montageplatten[konf_ges]=$A$195)*(ROW(Montageplatten[konf_ges])-1),COUNTIF(Montageplatten[konf_ges],$A$195)+1-ROW(A11))),"")</f>
        <v/>
      </c>
      <c r="K1655" s="168" t="str">
        <f t="array" aca="1" ref="K1655" ca="1">IFERROR(INDEX(Montageplatten[Spalte3],LARGE((Montageplatten[konf_ges]=$A$195)*(ROW(Montageplatten[konf_ges])-1),COUNTIF(Montageplatten[konf_ges],$A$195)+1-ROW(A11))),"")</f>
        <v/>
      </c>
      <c r="L1655" s="168" t="str">
        <f t="array" aca="1" ref="L1655" ca="1">IFERROR(INDEX(Montageplatten[Bezeichnung 1],LARGE((Montageplatten[konf_ges]=$A$195)*(ROW(Montageplatten[konf_ges])-1),COUNTIF(Montageplatten[konf_ges],$A$195)+1-ROW(A11))),"")</f>
        <v/>
      </c>
      <c r="M1655" s="168" t="str">
        <f t="array" aca="1" ref="M1655" ca="1">IFERROR(INDEX(Montageplatten[Bezeichnung 2],LARGE((Montageplatten[konf_ges]=$A$195)*(ROW(Montageplatten[konf_ges])-1),COUNTIF(Montageplatten[konf_ges],$A$195)+1-ROW(A11))),"")</f>
        <v/>
      </c>
      <c r="N1655" s="168" t="str">
        <f t="array" aca="1" ref="N1655" ca="1">IFERROR(INDEX(Montageplatten[Bezeichnung TGr],LARGE((Montageplatten[konf_ges]=$A$195)*(ROW(Montageplatten[konf_ges])-1),COUNTIF(Montageplatten[konf_ges],$A$195)+1-ROW(A11))),"")</f>
        <v/>
      </c>
      <c r="O1655" s="171" t="str">
        <f t="array" aca="1" ref="O1655" ca="1">IFERROR(INDEX(Montageplatten[37/32],LARGE((Montageplatten[konf_ges]=$A$195)*(ROW(Montageplatten[konf_ges])-1),COUNTIF(Montageplatten[konf_ges],$A$195)+1-ROW(A11))),"")</f>
        <v/>
      </c>
      <c r="P1655" s="171" t="str">
        <f t="array" aca="1" ref="P1655" ca="1">IFERROR(INDEX(Montageplatten[28/32],LARGE((Montageplatten[konf_ges]=$A$195)*(ROW(Montageplatten[konf_ges])-1),COUNTIF(Montageplatten[konf_ges],$A$195)+1-ROW(A11))),"")</f>
        <v/>
      </c>
      <c r="Q1655" s="171" t="str">
        <f t="array" aca="1" ref="Q1655" ca="1">IFERROR(INDEX(Montageplatten[20/32],LARGE((Montageplatten[konf_ges]=$A$195)*(ROW(Montageplatten[konf_ges])-1),COUNTIF(Montageplatten[konf_ges],$A$195)+1-ROW(A11))),"")</f>
        <v/>
      </c>
      <c r="R1655" s="171" t="str">
        <f t="array" aca="1" ref="R1655" ca="1">IFERROR(INDEX(Montageplatten[9,5/32],LARGE((Montageplatten[konf_ges]=$A$195)*(ROW(Montageplatten[konf_ges])-1),COUNTIF(Montageplatten[konf_ges],$A$195)+1-ROW(A11))),"")</f>
        <v/>
      </c>
      <c r="S1655" s="171" t="str">
        <f t="array" aca="1" ref="S1655" ca="1">IFERROR(INDEX(Montageplatten[10/32],LARGE((Montageplatten[konf_ges]=$A$195)*(ROW(Montageplatten[konf_ges])-1),COUNTIF(Montageplatten[konf_ges],$A$195)+1-ROW(A11))),"")</f>
        <v/>
      </c>
      <c r="T1655" s="171" t="str">
        <f t="array" aca="1" ref="T1655" ca="1">IFERROR(INDEX(Montageplatten[Höhe],LARGE((Montageplatten[konf_ges]=$A$195)*(ROW(Montageplatten[konf_ges])-1),COUNTIF(Montageplatten[konf_ges],$A$195)+1-ROW(A11))),"-")</f>
        <v>-</v>
      </c>
      <c r="V1655" s="170">
        <f t="shared" ca="1" si="553"/>
        <v>0</v>
      </c>
      <c r="Z1655" t="s">
        <v>2108</v>
      </c>
      <c r="AA1655" s="10">
        <v>1</v>
      </c>
      <c r="AB1655" s="170" t="str">
        <f ca="1">S1370</f>
        <v/>
      </c>
      <c r="AC1655" s="55">
        <v>1</v>
      </c>
      <c r="AE1655" s="10">
        <v>1</v>
      </c>
      <c r="AF1655" s="170" t="str">
        <f ca="1">AB1655</f>
        <v/>
      </c>
      <c r="AG1655" s="55">
        <v>1</v>
      </c>
    </row>
    <row r="1656" spans="1:33" hidden="1" outlineLevel="1" x14ac:dyDescent="0.25">
      <c r="D1656" s="571" t="str">
        <f t="shared" ca="1" si="549"/>
        <v/>
      </c>
      <c r="E1656" s="571" t="str">
        <f t="shared" ca="1" si="550"/>
        <v/>
      </c>
      <c r="F1656" s="571" t="str">
        <f t="shared" ca="1" si="551"/>
        <v/>
      </c>
      <c r="G1656" s="571" t="str">
        <f t="shared" ca="1" si="552"/>
        <v/>
      </c>
      <c r="H1656" s="170" t="str">
        <f t="shared" ca="1" si="548"/>
        <v/>
      </c>
      <c r="I1656" s="168" t="str">
        <f t="array" aca="1" ref="I1656" ca="1">IFERROR(INDEX(Montageplatten[Spalte1],LARGE((Montageplatten[konf_ges]=$A$195)*(ROW(Montageplatten[konf_ges])-1),COUNTIF(Montageplatten[konf_ges],$A$195)+1-ROW(A12))),"")</f>
        <v/>
      </c>
      <c r="J1656" s="168" t="str">
        <f t="array" aca="1" ref="J1656" ca="1">IFERROR(INDEX(Montageplatten[Spalte2],LARGE((Montageplatten[konf_ges]=$A$195)*(ROW(Montageplatten[konf_ges])-1),COUNTIF(Montageplatten[konf_ges],$A$195)+1-ROW(A12))),"")</f>
        <v/>
      </c>
      <c r="K1656" s="168" t="str">
        <f t="array" aca="1" ref="K1656" ca="1">IFERROR(INDEX(Montageplatten[Spalte3],LARGE((Montageplatten[konf_ges]=$A$195)*(ROW(Montageplatten[konf_ges])-1),COUNTIF(Montageplatten[konf_ges],$A$195)+1-ROW(A12))),"")</f>
        <v/>
      </c>
      <c r="L1656" s="168" t="str">
        <f t="array" aca="1" ref="L1656" ca="1">IFERROR(INDEX(Montageplatten[Bezeichnung 1],LARGE((Montageplatten[konf_ges]=$A$195)*(ROW(Montageplatten[konf_ges])-1),COUNTIF(Montageplatten[konf_ges],$A$195)+1-ROW(A12))),"")</f>
        <v/>
      </c>
      <c r="M1656" s="168" t="str">
        <f t="array" aca="1" ref="M1656" ca="1">IFERROR(INDEX(Montageplatten[Bezeichnung 2],LARGE((Montageplatten[konf_ges]=$A$195)*(ROW(Montageplatten[konf_ges])-1),COUNTIF(Montageplatten[konf_ges],$A$195)+1-ROW(A12))),"")</f>
        <v/>
      </c>
      <c r="N1656" s="168" t="str">
        <f t="array" aca="1" ref="N1656" ca="1">IFERROR(INDEX(Montageplatten[Bezeichnung TGr],LARGE((Montageplatten[konf_ges]=$A$195)*(ROW(Montageplatten[konf_ges])-1),COUNTIF(Montageplatten[konf_ges],$A$195)+1-ROW(A12))),"")</f>
        <v/>
      </c>
      <c r="O1656" s="171" t="str">
        <f t="array" aca="1" ref="O1656" ca="1">IFERROR(INDEX(Montageplatten[37/32],LARGE((Montageplatten[konf_ges]=$A$195)*(ROW(Montageplatten[konf_ges])-1),COUNTIF(Montageplatten[konf_ges],$A$195)+1-ROW(A12))),"")</f>
        <v/>
      </c>
      <c r="P1656" s="171" t="str">
        <f t="array" aca="1" ref="P1656" ca="1">IFERROR(INDEX(Montageplatten[28/32],LARGE((Montageplatten[konf_ges]=$A$195)*(ROW(Montageplatten[konf_ges])-1),COUNTIF(Montageplatten[konf_ges],$A$195)+1-ROW(A12))),"")</f>
        <v/>
      </c>
      <c r="Q1656" s="171" t="str">
        <f t="array" aca="1" ref="Q1656" ca="1">IFERROR(INDEX(Montageplatten[20/32],LARGE((Montageplatten[konf_ges]=$A$195)*(ROW(Montageplatten[konf_ges])-1),COUNTIF(Montageplatten[konf_ges],$A$195)+1-ROW(A12))),"")</f>
        <v/>
      </c>
      <c r="R1656" s="171" t="str">
        <f t="array" aca="1" ref="R1656" ca="1">IFERROR(INDEX(Montageplatten[9,5/32],LARGE((Montageplatten[konf_ges]=$A$195)*(ROW(Montageplatten[konf_ges])-1),COUNTIF(Montageplatten[konf_ges],$A$195)+1-ROW(A12))),"")</f>
        <v/>
      </c>
      <c r="S1656" s="171" t="str">
        <f t="array" aca="1" ref="S1656" ca="1">IFERROR(INDEX(Montageplatten[10/32],LARGE((Montageplatten[konf_ges]=$A$195)*(ROW(Montageplatten[konf_ges])-1),COUNTIF(Montageplatten[konf_ges],$A$195)+1-ROW(A12))),"")</f>
        <v/>
      </c>
      <c r="T1656" s="171" t="str">
        <f t="array" aca="1" ref="T1656" ca="1">IFERROR(INDEX(Montageplatten[Höhe],LARGE((Montageplatten[konf_ges]=$A$195)*(ROW(Montageplatten[konf_ges])-1),COUNTIF(Montageplatten[konf_ges],$A$195)+1-ROW(A12))),"-")</f>
        <v>-</v>
      </c>
      <c r="V1656" s="170">
        <f t="shared" ca="1" si="553"/>
        <v>0</v>
      </c>
      <c r="Z1656" t="s">
        <v>2109</v>
      </c>
      <c r="AA1656" s="92">
        <v>1</v>
      </c>
      <c r="AB1656" s="129" t="str">
        <f ca="1">S1371</f>
        <v/>
      </c>
      <c r="AC1656" s="56">
        <v>1</v>
      </c>
      <c r="AE1656" s="92">
        <v>1</v>
      </c>
      <c r="AF1656" s="129" t="str">
        <f ca="1">AB1656</f>
        <v/>
      </c>
      <c r="AG1656" s="56">
        <v>1</v>
      </c>
    </row>
    <row r="1657" spans="1:33" hidden="1" outlineLevel="1" x14ac:dyDescent="0.25">
      <c r="D1657" s="571" t="str">
        <f t="shared" ca="1" si="549"/>
        <v/>
      </c>
      <c r="E1657" s="571" t="str">
        <f t="shared" ca="1" si="550"/>
        <v/>
      </c>
      <c r="F1657" s="571" t="str">
        <f t="shared" ca="1" si="551"/>
        <v/>
      </c>
      <c r="G1657" s="571" t="str">
        <f t="shared" ca="1" si="552"/>
        <v/>
      </c>
      <c r="H1657" s="170" t="str">
        <f t="shared" ca="1" si="548"/>
        <v/>
      </c>
      <c r="I1657" s="168" t="str">
        <f t="array" aca="1" ref="I1657" ca="1">IFERROR(INDEX(Montageplatten[Spalte1],LARGE((Montageplatten[konf_ges]=$A$195)*(ROW(Montageplatten[konf_ges])-1),COUNTIF(Montageplatten[konf_ges],$A$195)+1-ROW(A13))),"")</f>
        <v/>
      </c>
      <c r="J1657" s="168" t="str">
        <f t="array" aca="1" ref="J1657" ca="1">IFERROR(INDEX(Montageplatten[Spalte2],LARGE((Montageplatten[konf_ges]=$A$195)*(ROW(Montageplatten[konf_ges])-1),COUNTIF(Montageplatten[konf_ges],$A$195)+1-ROW(A13))),"")</f>
        <v/>
      </c>
      <c r="K1657" s="168" t="str">
        <f t="array" aca="1" ref="K1657" ca="1">IFERROR(INDEX(Montageplatten[Spalte3],LARGE((Montageplatten[konf_ges]=$A$195)*(ROW(Montageplatten[konf_ges])-1),COUNTIF(Montageplatten[konf_ges],$A$195)+1-ROW(A13))),"")</f>
        <v/>
      </c>
      <c r="L1657" s="168" t="str">
        <f t="array" aca="1" ref="L1657" ca="1">IFERROR(INDEX(Montageplatten[Bezeichnung 1],LARGE((Montageplatten[konf_ges]=$A$195)*(ROW(Montageplatten[konf_ges])-1),COUNTIF(Montageplatten[konf_ges],$A$195)+1-ROW(A13))),"")</f>
        <v/>
      </c>
      <c r="M1657" s="168" t="str">
        <f t="array" aca="1" ref="M1657" ca="1">IFERROR(INDEX(Montageplatten[Bezeichnung 2],LARGE((Montageplatten[konf_ges]=$A$195)*(ROW(Montageplatten[konf_ges])-1),COUNTIF(Montageplatten[konf_ges],$A$195)+1-ROW(A13))),"")</f>
        <v/>
      </c>
      <c r="N1657" s="168" t="str">
        <f t="array" aca="1" ref="N1657" ca="1">IFERROR(INDEX(Montageplatten[Bezeichnung TGr],LARGE((Montageplatten[konf_ges]=$A$195)*(ROW(Montageplatten[konf_ges])-1),COUNTIF(Montageplatten[konf_ges],$A$195)+1-ROW(A13))),"")</f>
        <v/>
      </c>
      <c r="O1657" s="171" t="str">
        <f t="array" aca="1" ref="O1657" ca="1">IFERROR(INDEX(Montageplatten[37/32],LARGE((Montageplatten[konf_ges]=$A$195)*(ROW(Montageplatten[konf_ges])-1),COUNTIF(Montageplatten[konf_ges],$A$195)+1-ROW(A13))),"")</f>
        <v/>
      </c>
      <c r="P1657" s="171" t="str">
        <f t="array" aca="1" ref="P1657" ca="1">IFERROR(INDEX(Montageplatten[28/32],LARGE((Montageplatten[konf_ges]=$A$195)*(ROW(Montageplatten[konf_ges])-1),COUNTIF(Montageplatten[konf_ges],$A$195)+1-ROW(A13))),"")</f>
        <v/>
      </c>
      <c r="Q1657" s="171" t="str">
        <f t="array" aca="1" ref="Q1657" ca="1">IFERROR(INDEX(Montageplatten[20/32],LARGE((Montageplatten[konf_ges]=$A$195)*(ROW(Montageplatten[konf_ges])-1),COUNTIF(Montageplatten[konf_ges],$A$195)+1-ROW(A13))),"")</f>
        <v/>
      </c>
      <c r="R1657" s="171" t="str">
        <f t="array" aca="1" ref="R1657" ca="1">IFERROR(INDEX(Montageplatten[9,5/32],LARGE((Montageplatten[konf_ges]=$A$195)*(ROW(Montageplatten[konf_ges])-1),COUNTIF(Montageplatten[konf_ges],$A$195)+1-ROW(A13))),"")</f>
        <v/>
      </c>
      <c r="S1657" s="171" t="str">
        <f t="array" aca="1" ref="S1657" ca="1">IFERROR(INDEX(Montageplatten[10/32],LARGE((Montageplatten[konf_ges]=$A$195)*(ROW(Montageplatten[konf_ges])-1),COUNTIF(Montageplatten[konf_ges],$A$195)+1-ROW(A13))),"")</f>
        <v/>
      </c>
      <c r="T1657" s="171" t="str">
        <f t="array" aca="1" ref="T1657" ca="1">IFERROR(INDEX(Montageplatten[Höhe],LARGE((Montageplatten[konf_ges]=$A$195)*(ROW(Montageplatten[konf_ges])-1),COUNTIF(Montageplatten[konf_ges],$A$195)+1-ROW(A13))),"-")</f>
        <v>-</v>
      </c>
      <c r="V1657" s="170">
        <f t="shared" ca="1" si="553"/>
        <v>0</v>
      </c>
    </row>
    <row r="1658" spans="1:33" hidden="1" outlineLevel="1" x14ac:dyDescent="0.25">
      <c r="D1658" s="571" t="str">
        <f t="shared" ca="1" si="549"/>
        <v/>
      </c>
      <c r="E1658" s="571" t="str">
        <f t="shared" ca="1" si="550"/>
        <v/>
      </c>
      <c r="F1658" s="571" t="str">
        <f t="shared" ca="1" si="551"/>
        <v/>
      </c>
      <c r="G1658" s="571" t="str">
        <f t="shared" ca="1" si="552"/>
        <v/>
      </c>
      <c r="H1658" s="170" t="str">
        <f t="shared" ca="1" si="548"/>
        <v/>
      </c>
      <c r="I1658" s="168" t="str">
        <f t="array" aca="1" ref="I1658" ca="1">IFERROR(INDEX(Montageplatten[Spalte1],LARGE((Montageplatten[konf_ges]=$A$195)*(ROW(Montageplatten[konf_ges])-1),COUNTIF(Montageplatten[konf_ges],$A$195)+1-ROW(A14))),"")</f>
        <v/>
      </c>
      <c r="J1658" s="168" t="str">
        <f t="array" aca="1" ref="J1658" ca="1">IFERROR(INDEX(Montageplatten[Spalte2],LARGE((Montageplatten[konf_ges]=$A$195)*(ROW(Montageplatten[konf_ges])-1),COUNTIF(Montageplatten[konf_ges],$A$195)+1-ROW(A14))),"")</f>
        <v/>
      </c>
      <c r="K1658" s="168" t="str">
        <f t="array" aca="1" ref="K1658" ca="1">IFERROR(INDEX(Montageplatten[Spalte3],LARGE((Montageplatten[konf_ges]=$A$195)*(ROW(Montageplatten[konf_ges])-1),COUNTIF(Montageplatten[konf_ges],$A$195)+1-ROW(A14))),"")</f>
        <v/>
      </c>
      <c r="L1658" s="168" t="str">
        <f t="array" aca="1" ref="L1658" ca="1">IFERROR(INDEX(Montageplatten[Bezeichnung 1],LARGE((Montageplatten[konf_ges]=$A$195)*(ROW(Montageplatten[konf_ges])-1),COUNTIF(Montageplatten[konf_ges],$A$195)+1-ROW(A14))),"")</f>
        <v/>
      </c>
      <c r="M1658" s="168" t="str">
        <f t="array" aca="1" ref="M1658" ca="1">IFERROR(INDEX(Montageplatten[Bezeichnung 2],LARGE((Montageplatten[konf_ges]=$A$195)*(ROW(Montageplatten[konf_ges])-1),COUNTIF(Montageplatten[konf_ges],$A$195)+1-ROW(A14))),"")</f>
        <v/>
      </c>
      <c r="N1658" s="168" t="str">
        <f t="array" aca="1" ref="N1658" ca="1">IFERROR(INDEX(Montageplatten[Bezeichnung TGr],LARGE((Montageplatten[konf_ges]=$A$195)*(ROW(Montageplatten[konf_ges])-1),COUNTIF(Montageplatten[konf_ges],$A$195)+1-ROW(A14))),"")</f>
        <v/>
      </c>
      <c r="O1658" s="171" t="str">
        <f t="array" aca="1" ref="O1658" ca="1">IFERROR(INDEX(Montageplatten[37/32],LARGE((Montageplatten[konf_ges]=$A$195)*(ROW(Montageplatten[konf_ges])-1),COUNTIF(Montageplatten[konf_ges],$A$195)+1-ROW(A14))),"")</f>
        <v/>
      </c>
      <c r="P1658" s="171" t="str">
        <f t="array" aca="1" ref="P1658" ca="1">IFERROR(INDEX(Montageplatten[28/32],LARGE((Montageplatten[konf_ges]=$A$195)*(ROW(Montageplatten[konf_ges])-1),COUNTIF(Montageplatten[konf_ges],$A$195)+1-ROW(A14))),"")</f>
        <v/>
      </c>
      <c r="Q1658" s="171" t="str">
        <f t="array" aca="1" ref="Q1658" ca="1">IFERROR(INDEX(Montageplatten[20/32],LARGE((Montageplatten[konf_ges]=$A$195)*(ROW(Montageplatten[konf_ges])-1),COUNTIF(Montageplatten[konf_ges],$A$195)+1-ROW(A14))),"")</f>
        <v/>
      </c>
      <c r="R1658" s="171" t="str">
        <f t="array" aca="1" ref="R1658" ca="1">IFERROR(INDEX(Montageplatten[9,5/32],LARGE((Montageplatten[konf_ges]=$A$195)*(ROW(Montageplatten[konf_ges])-1),COUNTIF(Montageplatten[konf_ges],$A$195)+1-ROW(A14))),"")</f>
        <v/>
      </c>
      <c r="S1658" s="171" t="str">
        <f t="array" aca="1" ref="S1658" ca="1">IFERROR(INDEX(Montageplatten[10/32],LARGE((Montageplatten[konf_ges]=$A$195)*(ROW(Montageplatten[konf_ges])-1),COUNTIF(Montageplatten[konf_ges],$A$195)+1-ROW(A14))),"")</f>
        <v/>
      </c>
      <c r="T1658" s="171" t="str">
        <f t="array" aca="1" ref="T1658" ca="1">IFERROR(INDEX(Montageplatten[Höhe],LARGE((Montageplatten[konf_ges]=$A$195)*(ROW(Montageplatten[konf_ges])-1),COUNTIF(Montageplatten[konf_ges],$A$195)+1-ROW(A14))),"-")</f>
        <v>-</v>
      </c>
      <c r="V1658" s="170">
        <f t="shared" ca="1" si="553"/>
        <v>0</v>
      </c>
    </row>
    <row r="1659" spans="1:33" hidden="1" outlineLevel="1" x14ac:dyDescent="0.25">
      <c r="D1659" s="571" t="str">
        <f t="shared" ca="1" si="549"/>
        <v/>
      </c>
      <c r="E1659" s="571" t="str">
        <f t="shared" ca="1" si="550"/>
        <v/>
      </c>
      <c r="F1659" s="571" t="str">
        <f ca="1">IFERROR(IF((IF(T1659=$S$1370,1,""))+H1659=2,1,""),"")</f>
        <v/>
      </c>
      <c r="G1659" s="571" t="str">
        <f t="shared" ca="1" si="552"/>
        <v/>
      </c>
      <c r="H1659" s="129" t="str">
        <f t="shared" ca="1" si="548"/>
        <v/>
      </c>
      <c r="I1659" s="168" t="str">
        <f t="array" aca="1" ref="I1659" ca="1">IFERROR(INDEX(Montageplatten[Spalte1],LARGE((Montageplatten[konf_ges]=$A$195)*(ROW(Montageplatten[konf_ges])-1),COUNTIF(Montageplatten[konf_ges],$A$195)+1-ROW(A15))),"")</f>
        <v/>
      </c>
      <c r="J1659" s="168" t="str">
        <f t="array" aca="1" ref="J1659" ca="1">IFERROR(INDEX(Montageplatten[Spalte2],LARGE((Montageplatten[konf_ges]=$A$195)*(ROW(Montageplatten[konf_ges])-1),COUNTIF(Montageplatten[konf_ges],$A$195)+1-ROW(A15))),"")</f>
        <v/>
      </c>
      <c r="K1659" s="168" t="str">
        <f t="array" aca="1" ref="K1659" ca="1">IFERROR(INDEX(Montageplatten[Spalte3],LARGE((Montageplatten[konf_ges]=$A$195)*(ROW(Montageplatten[konf_ges])-1),COUNTIF(Montageplatten[konf_ges],$A$195)+1-ROW(A15))),"")</f>
        <v/>
      </c>
      <c r="L1659" s="168" t="str">
        <f t="array" aca="1" ref="L1659" ca="1">IFERROR(INDEX(Montageplatten[Bezeichnung 1],LARGE((Montageplatten[konf_ges]=$A$195)*(ROW(Montageplatten[konf_ges])-1),COUNTIF(Montageplatten[konf_ges],$A$195)+1-ROW(A15))),"")</f>
        <v/>
      </c>
      <c r="M1659" s="168" t="str">
        <f t="array" aca="1" ref="M1659" ca="1">IFERROR(INDEX(Montageplatten[Bezeichnung 2],LARGE((Montageplatten[konf_ges]=$A$195)*(ROW(Montageplatten[konf_ges])-1),COUNTIF(Montageplatten[konf_ges],$A$195)+1-ROW(A15))),"")</f>
        <v/>
      </c>
      <c r="N1659" s="168" t="str">
        <f t="array" aca="1" ref="N1659" ca="1">IFERROR(INDEX(Montageplatten[Bezeichnung TGr],LARGE((Montageplatten[konf_ges]=$A$195)*(ROW(Montageplatten[konf_ges])-1),COUNTIF(Montageplatten[konf_ges],$A$195)+1-ROW(A15))),"")</f>
        <v/>
      </c>
      <c r="O1659" s="171" t="str">
        <f t="array" aca="1" ref="O1659" ca="1">IFERROR(INDEX(Montageplatten[37/32],LARGE((Montageplatten[konf_ges]=$A$195)*(ROW(Montageplatten[konf_ges])-1),COUNTIF(Montageplatten[konf_ges],$A$195)+1-ROW(A15))),"")</f>
        <v/>
      </c>
      <c r="P1659" s="171" t="str">
        <f t="array" aca="1" ref="P1659" ca="1">IFERROR(INDEX(Montageplatten[28/32],LARGE((Montageplatten[konf_ges]=$A$195)*(ROW(Montageplatten[konf_ges])-1),COUNTIF(Montageplatten[konf_ges],$A$195)+1-ROW(A15))),"")</f>
        <v/>
      </c>
      <c r="Q1659" s="171" t="str">
        <f t="array" aca="1" ref="Q1659" ca="1">IFERROR(INDEX(Montageplatten[20/32],LARGE((Montageplatten[konf_ges]=$A$195)*(ROW(Montageplatten[konf_ges])-1),COUNTIF(Montageplatten[konf_ges],$A$195)+1-ROW(A15))),"")</f>
        <v/>
      </c>
      <c r="R1659" s="171" t="str">
        <f t="array" aca="1" ref="R1659" ca="1">IFERROR(INDEX(Montageplatten[9,5/32],LARGE((Montageplatten[konf_ges]=$A$195)*(ROW(Montageplatten[konf_ges])-1),COUNTIF(Montageplatten[konf_ges],$A$195)+1-ROW(A15))),"")</f>
        <v/>
      </c>
      <c r="S1659" s="171" t="str">
        <f t="array" aca="1" ref="S1659" ca="1">IFERROR(INDEX(Montageplatten[10/32],LARGE((Montageplatten[konf_ges]=$A$195)*(ROW(Montageplatten[konf_ges])-1),COUNTIF(Montageplatten[konf_ges],$A$195)+1-ROW(A15))),"")</f>
        <v/>
      </c>
      <c r="T1659" s="171" t="str">
        <f t="array" aca="1" ref="T1659" ca="1">IFERROR(INDEX(Montageplatten[Höhe],LARGE((Montageplatten[konf_ges]=$A$195)*(ROW(Montageplatten[konf_ges])-1),COUNTIF(Montageplatten[konf_ges],$A$195)+1-ROW(A15))),"-")</f>
        <v>-</v>
      </c>
      <c r="V1659" s="129">
        <f t="shared" ca="1" si="553"/>
        <v>0</v>
      </c>
    </row>
    <row r="1660" spans="1:33" hidden="1" outlineLevel="1" x14ac:dyDescent="0.25">
      <c r="O1660" s="164">
        <f ca="1">SUM(O1645:O1659)</f>
        <v>1</v>
      </c>
      <c r="P1660" s="164">
        <f ca="1">SUM(P1645:P1659)</f>
        <v>0</v>
      </c>
      <c r="Q1660" s="164">
        <f ca="1">SUM(Q1645:Q1659)</f>
        <v>0</v>
      </c>
      <c r="R1660" s="164">
        <f ca="1">SUM(R1645:R1659)</f>
        <v>0</v>
      </c>
      <c r="S1660" s="164">
        <f ca="1">SUM(S1645:S1659)</f>
        <v>0</v>
      </c>
    </row>
    <row r="1661" spans="1:33" hidden="1" outlineLevel="1" x14ac:dyDescent="0.25"/>
    <row r="1662" spans="1:33" hidden="1" outlineLevel="1" x14ac:dyDescent="0.25"/>
    <row r="1663" spans="1:33" hidden="1" outlineLevel="1" x14ac:dyDescent="0.25">
      <c r="A1663">
        <f>ROW()</f>
        <v>1663</v>
      </c>
      <c r="J1663" t="s">
        <v>1977</v>
      </c>
      <c r="K1663" t="s">
        <v>2300</v>
      </c>
      <c r="L1663" t="s">
        <v>1418</v>
      </c>
    </row>
    <row r="1664" spans="1:33" hidden="1" outlineLevel="1" x14ac:dyDescent="0.25">
      <c r="A1664" s="623">
        <f ca="1">IF(AND(fehler=0,C1665&lt;&gt;"",C1664&lt;&gt;"")=TRUE,1,"")</f>
        <v>1</v>
      </c>
      <c r="B1664" s="609" t="str">
        <f ca="1">X1368</f>
        <v>Tiomos Click-On Scharniere</v>
      </c>
      <c r="C1664" s="610" t="str">
        <f ca="1">V1368</f>
        <v>Tiomos Scharnier TS Click-on</v>
      </c>
      <c r="D1664" s="610" t="str">
        <f ca="1">W1368</f>
        <v>110°, G-BB, K00, ni</v>
      </c>
      <c r="E1664" s="610" t="str">
        <f ca="1">Z1368</f>
        <v>F028</v>
      </c>
      <c r="F1664" s="610" t="str">
        <f ca="1">AA1368</f>
        <v>138</v>
      </c>
      <c r="G1664" s="612" t="str">
        <f ca="1">AB1368</f>
        <v>337</v>
      </c>
      <c r="H1664" s="623" t="s">
        <v>2274</v>
      </c>
      <c r="J1664" s="844">
        <f ca="1">Q1368</f>
        <v>1</v>
      </c>
      <c r="K1664" s="557" t="b">
        <f ca="1">G1361</f>
        <v>1</v>
      </c>
      <c r="L1664" s="557">
        <f ca="1">S1368</f>
        <v>14</v>
      </c>
    </row>
    <row r="1665" spans="1:22" hidden="1" outlineLevel="1" x14ac:dyDescent="0.25">
      <c r="A1665" s="170">
        <f ca="1">IF(AND(fehler=0,C1665&lt;&gt;"")=TRUE,1,"")</f>
        <v>1</v>
      </c>
      <c r="B1665" s="92" t="str">
        <f ca="1">IFERROR(VLOOKUP(1,D1645:T1659,11,FALSE),"")</f>
        <v>Tiomos Montageplatten</v>
      </c>
      <c r="C1665" s="6" t="str">
        <f ca="1">IFERROR(VLOOKUP(1,D1645:T1659,9,FALSE),"")</f>
        <v>1D Kreuz Mtg-Platte</v>
      </c>
      <c r="D1665" s="6" t="str">
        <f ca="1">IFERROR(VLOOKUP(1,D1645:T1659,10,FALSE),"")</f>
        <v>H 14, ni /37</v>
      </c>
      <c r="E1665" s="6" t="str">
        <f ca="1">IFERROR(VLOOKUP(1,D1645:T1659,6,FALSE),"")</f>
        <v>F058</v>
      </c>
      <c r="F1665" s="6" t="str">
        <f ca="1">IFERROR(VLOOKUP(1,D1645:T1659,7,FALSE),"")</f>
        <v>139</v>
      </c>
      <c r="G1665" s="56" t="str">
        <f ca="1">IFERROR(VLOOKUP(1,D1645:T1659,8,FALSE),"")</f>
        <v>889</v>
      </c>
      <c r="H1665" s="170" t="s">
        <v>2275</v>
      </c>
      <c r="J1665" s="828"/>
    </row>
    <row r="1666" spans="1:22" hidden="1" outlineLevel="1" x14ac:dyDescent="0.25">
      <c r="A1666" s="170" t="str">
        <f ca="1">IF(AND(fehler=0,K1664=FALSE,L1664&lt;&gt;"")=TRUE,1,"")</f>
        <v/>
      </c>
      <c r="B1666" s="711" t="str">
        <f ca="1">VLOOKUP(J1664,M1680:Q1682,2,FALSE)</f>
        <v>Öffnungswinkelbegrenzer</v>
      </c>
      <c r="C1666" s="34" t="str">
        <f ca="1">VLOOKUP(J1664,M1680:Q1682,3,FALSE)</f>
        <v>Tiomos, 85°</v>
      </c>
      <c r="D1666" s="373" t="str">
        <f ca="1">VLOOKUP(J1664,M1680:Q1682,4,FALSE)</f>
        <v>Öffnungswinkelbegrenzer</v>
      </c>
      <c r="E1666" s="34" t="str">
        <f ca="1">LEFT(VLOOKUP(J1664,M1680:Q1682,5,FALSE),4)</f>
        <v>F072</v>
      </c>
      <c r="F1666" s="34" t="str">
        <f ca="1">MID(VLOOKUP(J1664,M1680:Q1682,5,FALSE),5,3)</f>
        <v>135</v>
      </c>
      <c r="G1666" s="55" t="str">
        <f ca="1">RIGHT(VLOOKUP(J1664,M1680:Q1682,5,FALSE),3)</f>
        <v>751</v>
      </c>
      <c r="H1666" s="170" t="s">
        <v>2276</v>
      </c>
      <c r="J1666" s="828"/>
    </row>
    <row r="1667" spans="1:22" hidden="1" outlineLevel="1" x14ac:dyDescent="0.25">
      <c r="A1667" s="623" t="str">
        <f ca="1">IF(AND(fehler=0,C1668&lt;&gt;"",C1667&lt;&gt;"")=TRUE,1,"")</f>
        <v/>
      </c>
      <c r="B1667" s="609" t="str">
        <f ca="1">X1369</f>
        <v/>
      </c>
      <c r="C1667" s="610" t="str">
        <f ca="1">V1369</f>
        <v/>
      </c>
      <c r="D1667" s="610" t="str">
        <f ca="1">W1369</f>
        <v/>
      </c>
      <c r="E1667" s="610" t="str">
        <f ca="1">Z1369</f>
        <v/>
      </c>
      <c r="F1667" s="610" t="str">
        <f ca="1">AA1369</f>
        <v/>
      </c>
      <c r="G1667" s="612" t="str">
        <f ca="1">AB1369</f>
        <v/>
      </c>
      <c r="H1667" s="170" t="s">
        <v>2274</v>
      </c>
      <c r="J1667" s="844" t="str">
        <f ca="1">Q1369</f>
        <v/>
      </c>
      <c r="K1667" s="557" t="b">
        <f ca="1">G1362</f>
        <v>1</v>
      </c>
      <c r="L1667" s="557" t="str">
        <f ca="1">S1369</f>
        <v/>
      </c>
    </row>
    <row r="1668" spans="1:22" hidden="1" outlineLevel="1" x14ac:dyDescent="0.25">
      <c r="A1668" s="170" t="str">
        <f ca="1">IF(AND(fehler=0,C1668&lt;&gt;"")=TRUE,1,"")</f>
        <v/>
      </c>
      <c r="B1668" s="92" t="str">
        <f ca="1">IFERROR(VLOOKUP(1,E1645:T1659,10,FALSE),"")</f>
        <v/>
      </c>
      <c r="C1668" s="6" t="str">
        <f ca="1">IFERROR(VLOOKUP(1,E1645:T1659,8,FALSE),"")</f>
        <v/>
      </c>
      <c r="D1668" s="6" t="str">
        <f ca="1">IFERROR(VLOOKUP(1,E1645:T1659,9,FALSE),"")</f>
        <v/>
      </c>
      <c r="E1668" s="6" t="str">
        <f ca="1">IFERROR(VLOOKUP(1,E1645:T1659,5,FALSE),"")</f>
        <v/>
      </c>
      <c r="F1668" s="6" t="str">
        <f ca="1">IFERROR(VLOOKUP(1,E1645:T1659,6,FALSE),"")</f>
        <v/>
      </c>
      <c r="G1668" s="56" t="str">
        <f ca="1">IFERROR(VLOOKUP(1,E1645:T1659,7,FALSE),"")</f>
        <v/>
      </c>
      <c r="H1668" s="170" t="s">
        <v>2275</v>
      </c>
      <c r="J1668" s="828"/>
    </row>
    <row r="1669" spans="1:22" hidden="1" outlineLevel="1" x14ac:dyDescent="0.25">
      <c r="A1669" s="170" t="str">
        <f ca="1">IF(AND(fehler=0,K1667=FALSE,L1667&lt;&gt;"")=TRUE,1,"")</f>
        <v/>
      </c>
      <c r="B1669" s="71" t="e">
        <f ca="1">VLOOKUP(J1667,L1680:Q1682,3,FALSE)</f>
        <v>#N/A</v>
      </c>
      <c r="C1669" s="34" t="e">
        <f ca="1">VLOOKUP(J1667,L1680:Q1682,4,FALSE)</f>
        <v>#N/A</v>
      </c>
      <c r="D1669" s="373" t="e">
        <f ca="1">VLOOKUP(J1667,L1680:Q1682,5,FALSE)</f>
        <v>#N/A</v>
      </c>
      <c r="E1669" s="34" t="e">
        <f ca="1">LEFT(VLOOKUP(J1667,L1680:Q1682,6,FALSE),4)</f>
        <v>#N/A</v>
      </c>
      <c r="F1669" s="34" t="e">
        <f ca="1">MID(VLOOKUP(J1667,L1680:Q1682,6,FALSE),5,3)</f>
        <v>#N/A</v>
      </c>
      <c r="G1669" s="55" t="e">
        <f ca="1">RIGHT(VLOOKUP(J1667,L1680:Q1682,6,FALSE),3)</f>
        <v>#N/A</v>
      </c>
      <c r="H1669" s="170" t="s">
        <v>2276</v>
      </c>
      <c r="J1669" s="828"/>
    </row>
    <row r="1670" spans="1:22" hidden="1" outlineLevel="1" x14ac:dyDescent="0.25">
      <c r="A1670" s="623" t="str">
        <f ca="1">IF(AND(fehler=0,C1671&lt;&gt;"",C1670&lt;&gt;"")=TRUE,1,"")</f>
        <v/>
      </c>
      <c r="B1670" s="609" t="str">
        <f ca="1">X1370</f>
        <v/>
      </c>
      <c r="C1670" s="610" t="str">
        <f ca="1">V1370</f>
        <v/>
      </c>
      <c r="D1670" s="610" t="str">
        <f ca="1">W1370</f>
        <v/>
      </c>
      <c r="E1670" s="610" t="str">
        <f ca="1">Z1370</f>
        <v/>
      </c>
      <c r="F1670" s="610" t="str">
        <f ca="1">AA1370</f>
        <v/>
      </c>
      <c r="G1670" s="612" t="str">
        <f ca="1">AB1370</f>
        <v/>
      </c>
      <c r="H1670" s="170" t="s">
        <v>2274</v>
      </c>
      <c r="J1670" s="844" t="str">
        <f ca="1">Q1370</f>
        <v/>
      </c>
      <c r="K1670" s="557" t="b">
        <f ca="1">G1363</f>
        <v>1</v>
      </c>
      <c r="L1670" s="557" t="str">
        <f ca="1">S1370</f>
        <v/>
      </c>
    </row>
    <row r="1671" spans="1:22" hidden="1" outlineLevel="1" x14ac:dyDescent="0.25">
      <c r="A1671" s="170" t="str">
        <f ca="1">IF(AND(fehler=0,C1671&lt;&gt;"")=TRUE,1,"")</f>
        <v/>
      </c>
      <c r="B1671" s="92" t="str">
        <f ca="1">IFERROR(VLOOKUP(1,F1645:T1659,9,FALSE),"")</f>
        <v/>
      </c>
      <c r="C1671" s="6" t="str">
        <f ca="1">IFERROR(VLOOKUP(1,F1645:T1659,7,FALSE),"")</f>
        <v/>
      </c>
      <c r="D1671" s="6" t="str">
        <f ca="1">IFERROR(VLOOKUP(1,F1645:T1659,8,FALSE),"")</f>
        <v/>
      </c>
      <c r="E1671" s="6" t="str">
        <f ca="1">IFERROR(VLOOKUP(1,F1645:T1659,4,FALSE),"")</f>
        <v/>
      </c>
      <c r="F1671" s="6" t="str">
        <f ca="1">IFERROR(VLOOKUP(1,F1645:T1659,5,FALSE),"")</f>
        <v/>
      </c>
      <c r="G1671" s="56" t="str">
        <f ca="1">IFERROR(VLOOKUP(1,F1645:T1659,6,FALSE),"")</f>
        <v/>
      </c>
      <c r="H1671" s="170" t="s">
        <v>2275</v>
      </c>
      <c r="J1671" s="828"/>
    </row>
    <row r="1672" spans="1:22" hidden="1" outlineLevel="1" x14ac:dyDescent="0.25">
      <c r="A1672" s="170" t="str">
        <f ca="1">IF(AND(fehler=0,K1670=FALSE,L1670&lt;&gt;"")=TRUE,1,"")</f>
        <v/>
      </c>
      <c r="B1672" s="71" t="e">
        <f ca="1">VLOOKUP(J1670,K1680:Q1682,4,FALSE)</f>
        <v>#N/A</v>
      </c>
      <c r="C1672" s="34" t="e">
        <f ca="1">VLOOKUP(J1670,K1680:Q1682,5,FALSE)</f>
        <v>#N/A</v>
      </c>
      <c r="D1672" s="373" t="e">
        <f ca="1">VLOOKUP(J1670,K1680:Q1682,6,FALSE)</f>
        <v>#N/A</v>
      </c>
      <c r="E1672" s="34" t="e">
        <f ca="1">LEFT(VLOOKUP(J1670,K1680:Q1682,7,FALSE),4)</f>
        <v>#N/A</v>
      </c>
      <c r="F1672" s="34" t="e">
        <f ca="1">MID(VLOOKUP(J1670,K1680:Q1682,7,FALSE),5,3)</f>
        <v>#N/A</v>
      </c>
      <c r="G1672" s="55" t="e">
        <f ca="1">RIGHT(VLOOKUP(J1670,K1680:Q1682,7,FALSE),3)</f>
        <v>#N/A</v>
      </c>
      <c r="H1672" s="170" t="s">
        <v>2276</v>
      </c>
      <c r="J1672" s="828"/>
    </row>
    <row r="1673" spans="1:22" hidden="1" outlineLevel="1" x14ac:dyDescent="0.25">
      <c r="A1673" s="623" t="str">
        <f ca="1">IF(AND(fehler=0,C1674&lt;&gt;"",C1673&lt;&gt;"")=TRUE,1,"")</f>
        <v/>
      </c>
      <c r="B1673" s="609" t="str">
        <f ca="1">X1371</f>
        <v/>
      </c>
      <c r="C1673" s="610" t="str">
        <f ca="1">V1371</f>
        <v/>
      </c>
      <c r="D1673" s="610" t="str">
        <f ca="1">W1371</f>
        <v/>
      </c>
      <c r="E1673" s="610" t="str">
        <f ca="1">Z1371</f>
        <v/>
      </c>
      <c r="F1673" s="610" t="str">
        <f ca="1">AA1371</f>
        <v/>
      </c>
      <c r="G1673" s="612" t="str">
        <f ca="1">AB1371</f>
        <v/>
      </c>
      <c r="H1673" s="170" t="s">
        <v>2274</v>
      </c>
      <c r="J1673" s="844">
        <f ca="1">Q1371</f>
        <v>19</v>
      </c>
      <c r="K1673" s="557" t="b">
        <f ca="1">G1364</f>
        <v>1</v>
      </c>
      <c r="L1673" s="557" t="str">
        <f ca="1">S1371</f>
        <v/>
      </c>
    </row>
    <row r="1674" spans="1:22" hidden="1" outlineLevel="1" x14ac:dyDescent="0.25">
      <c r="A1674" s="170" t="str">
        <f ca="1">IF(AND(fehler=0,C1674&lt;&gt;"")=TRUE,1,"")</f>
        <v/>
      </c>
      <c r="B1674" s="92" t="str">
        <f ca="1">IFERROR(VLOOKUP(1,G1645:T1659,8,FALSE),"")</f>
        <v/>
      </c>
      <c r="C1674" s="6" t="str">
        <f ca="1">IFERROR(VLOOKUP(1,G1645:T1659,6,FALSE),"")</f>
        <v/>
      </c>
      <c r="D1674" s="6" t="str">
        <f ca="1">IFERROR(VLOOKUP(1,G1645:T1659,7,FALSE),"")</f>
        <v/>
      </c>
      <c r="E1674" s="6" t="str">
        <f ca="1">IFERROR(VLOOKUP(1,G1645:T1659,3,FALSE),"")</f>
        <v/>
      </c>
      <c r="F1674" s="6" t="str">
        <f ca="1">IFERROR(VLOOKUP(1,G1645:T1659,4,FALSE),"")</f>
        <v/>
      </c>
      <c r="G1674" s="56" t="str">
        <f ca="1">IFERROR(VLOOKUP(1,G1645:T1659,5,FALSE),"")</f>
        <v/>
      </c>
      <c r="H1674" s="170" t="s">
        <v>2275</v>
      </c>
    </row>
    <row r="1675" spans="1:22" hidden="1" outlineLevel="1" x14ac:dyDescent="0.25">
      <c r="A1675" s="129" t="str">
        <f ca="1">IF(AND(fehler=0,K1673=FALSE,J1673&lt;&gt;"")=TRUE,1,"")</f>
        <v/>
      </c>
      <c r="B1675" s="629" t="str">
        <f ca="1">VLOOKUP(J1673,J1680:Q1682,5,FALSE)</f>
        <v>Tiomos Mirro</v>
      </c>
      <c r="C1675" s="528" t="str">
        <f ca="1">VLOOKUP(J1673,J1680:Q1682,6,FALSE)</f>
        <v>90° Winkelbegrenzer</v>
      </c>
      <c r="D1675" s="802" t="str">
        <f ca="1">VLOOKUP(J1673,J1680:Q1682,7,FALSE)</f>
        <v>Öffnungswinkelbegrenzer</v>
      </c>
      <c r="E1675" s="528" t="str">
        <f ca="1">LEFT(VLOOKUP(J1673,J1680:Q1682,8,FALSE),4)</f>
        <v>F072</v>
      </c>
      <c r="F1675" s="528" t="str">
        <f ca="1">MID(VLOOKUP(J1673,J1680:Q1682,8,FALSE),5,3)</f>
        <v>135</v>
      </c>
      <c r="G1675" s="630" t="str">
        <f ca="1">RIGHT(VLOOKUP(J1673,J1680:Q1682,8,FALSE),3)</f>
        <v>871</v>
      </c>
      <c r="H1675" s="129" t="s">
        <v>2276</v>
      </c>
    </row>
    <row r="1676" spans="1:22" hidden="1" outlineLevel="1" x14ac:dyDescent="0.25"/>
    <row r="1677" spans="1:22" hidden="1" outlineLevel="1" x14ac:dyDescent="0.25">
      <c r="M1677" t="s">
        <v>2272</v>
      </c>
    </row>
    <row r="1678" spans="1:22" hidden="1" outlineLevel="1" x14ac:dyDescent="0.25"/>
    <row r="1679" spans="1:22" hidden="1" outlineLevel="1" x14ac:dyDescent="0.25">
      <c r="J1679" t="s">
        <v>2186</v>
      </c>
      <c r="K1679" t="s">
        <v>2185</v>
      </c>
      <c r="L1679" t="s">
        <v>2184</v>
      </c>
      <c r="M1679" t="s">
        <v>2183</v>
      </c>
      <c r="N1679" t="s">
        <v>54</v>
      </c>
      <c r="O1679" t="s">
        <v>55</v>
      </c>
      <c r="P1679" t="s">
        <v>2311</v>
      </c>
      <c r="Q1679" t="s">
        <v>2263</v>
      </c>
      <c r="V1679" t="s">
        <v>2264</v>
      </c>
    </row>
    <row r="1680" spans="1:22" hidden="1" outlineLevel="1" x14ac:dyDescent="0.25">
      <c r="A1680" s="609">
        <v>1</v>
      </c>
      <c r="B1680" s="609" t="str">
        <f t="array" aca="1" ref="B1680" ca="1">IFERROR(INDEX($B$1664:$B$1675,LARGE(($A$1664:$A$1675=$A$195)*(ROW($A$1664:$A$1675)-$A$1663),COUNTIF($A$1664:$A$1675,$A$195)+1-ROW(C1))),"")</f>
        <v>Tiomos Click-On Scharniere</v>
      </c>
      <c r="C1680" s="609" t="str">
        <f t="array" aca="1" ref="C1680" ca="1">IFERROR(INDEX($C$1664:$C$1675,LARGE(($A$1664:$A$1675=$A$195)*(ROW($A$1664:$A$1675)-$A$1663),COUNTIF($A$1664:$A$1675,$A$195)+1-ROW(A1))),"")</f>
        <v>Tiomos Scharnier TS Click-on</v>
      </c>
      <c r="D1680" s="623" t="str">
        <f t="array" aca="1" ref="D1680" ca="1">IFERROR(INDEX($D$1664:$D$1675,LARGE(($A$1664:$A$1675=$A$195)*(ROW($A$1664:$A$1675)-$A$1663),COUNTIF($A$1664:$A$1675,$A$195)+1-ROW(B1))),"")</f>
        <v>110°, G-BB, K00, ni</v>
      </c>
      <c r="E1680" s="609" t="str">
        <f t="array" aca="1" ref="E1680" ca="1">IFERROR(INDEX($E$1664:$E$1675,LARGE(($A$1664:$A$1675=$A$195)*(ROW($A$1664:$A$1675)-$A$1663),COUNTIF($A$1664:$A$1675,$A$195)+1-ROW(D1))),"")</f>
        <v>F028</v>
      </c>
      <c r="F1680" s="609" t="str">
        <f t="array" aca="1" ref="F1680" ca="1">IFERROR(INDEX($F$1664:$F$1675,LARGE(($A$1664:$A$1675=$A$195)*(ROW($A$1664:$A$1675)-$A$1663),COUNTIF($A$1664:$A$1675,$A$195)+1-ROW(E1))),"")</f>
        <v>138</v>
      </c>
      <c r="G1680" s="623" t="str">
        <f t="array" aca="1" ref="G1680" ca="1">IFERROR(INDEX($G$1664:$G$1675,LARGE(($A$1664:$A$1675=$A$195)*(ROW($A$1664:$A$1675)-$A$1663),COUNTIF($A$1664:$A$1675,$A$195)+1-ROW(F1))),"")</f>
        <v>337</v>
      </c>
      <c r="H1680" s="623" t="str">
        <f t="array" aca="1" ref="H1680" ca="1">IFERROR(INDEX($H$1664:$H$1675,LARGE(($A$1664:$A$1675=$A$195)*(ROW($A$1664:$A$1675)-$A$1663),COUNTIF($A$1664:$A$1675,$A$195)+1-ROW(G1))),"")</f>
        <v>S</v>
      </c>
      <c r="J1680" t="e">
        <f ca="1">HLOOKUP($J$1673,R1680:T1680,1,FALSE)</f>
        <v>#N/A</v>
      </c>
      <c r="K1680" t="e">
        <f ca="1">HLOOKUP($J$1670,R1680:T1680,1,FALSE)</f>
        <v>#N/A</v>
      </c>
      <c r="L1680" t="e">
        <f ca="1">HLOOKUP($J$1667,R1680:T1680,1,FALSE)</f>
        <v>#N/A</v>
      </c>
      <c r="M1680">
        <f ca="1">HLOOKUP($J$1664,R1680:T1680,1,FALSE)</f>
        <v>1</v>
      </c>
      <c r="N1680" t="str">
        <f ca="1">Sprache!A99</f>
        <v>Öffnungswinkelbegrenzer</v>
      </c>
      <c r="O1680" t="str">
        <f ca="1">Sprache!A106</f>
        <v>Tiomos, 85°</v>
      </c>
      <c r="P1680" t="str">
        <f ca="1">Sprache!A109</f>
        <v>Öffnungswinkelbegrenzer</v>
      </c>
      <c r="Q1680" s="18" t="s">
        <v>2303</v>
      </c>
      <c r="R1680">
        <v>1</v>
      </c>
      <c r="S1680">
        <v>2</v>
      </c>
      <c r="V1680" t="s">
        <v>2267</v>
      </c>
    </row>
    <row r="1681" spans="1:22" hidden="1" outlineLevel="1" x14ac:dyDescent="0.25">
      <c r="A1681" s="71">
        <v>2</v>
      </c>
      <c r="B1681" s="71" t="str">
        <f t="array" aca="1" ref="B1681" ca="1">IFERROR(INDEX($B$1664:$B$1675,LARGE(($A$1664:$A$1675=$A$195)*(ROW($A$1664:$A$1675)-$A$1663),COUNTIF($A$1664:$A$1675,$A$195)+1-ROW(C2))),"")</f>
        <v>Tiomos Montageplatten</v>
      </c>
      <c r="C1681" s="71" t="str">
        <f t="array" aca="1" ref="C1681" ca="1">IFERROR(INDEX($C$1664:$C$1675,LARGE(($A$1664:$A$1675=$A$195)*(ROW($A$1664:$A$1675)-$A$1663),COUNTIF($A$1664:$A$1675,$A$195)+1-ROW(A2))),"")</f>
        <v>1D Kreuz Mtg-Platte</v>
      </c>
      <c r="D1681" s="71" t="str">
        <f t="array" aca="1" ref="D1681" ca="1">IFERROR(INDEX($D$1664:$D$1675,LARGE(($A$1664:$A$1675=$A$195)*(ROW($A$1664:$A$1675)-$A$1663),COUNTIF($A$1664:$A$1675,$A$195)+1-ROW(B2))),"")</f>
        <v>H 14, ni /37</v>
      </c>
      <c r="E1681" s="71" t="str">
        <f t="array" aca="1" ref="E1681" ca="1">IFERROR(INDEX($E$1664:$E$1675,LARGE(($A$1664:$A$1675=$A$195)*(ROW($A$1664:$A$1675)-$A$1663),COUNTIF($A$1664:$A$1675,$A$195)+1-ROW(D2))),"")</f>
        <v>F058</v>
      </c>
      <c r="F1681" s="71" t="str">
        <f t="array" aca="1" ref="F1681" ca="1">IFERROR(INDEX($F$1664:$F$1675,LARGE(($A$1664:$A$1675=$A$195)*(ROW($A$1664:$A$1675)-$A$1663),COUNTIF($A$1664:$A$1675,$A$195)+1-ROW(E2))),"")</f>
        <v>139</v>
      </c>
      <c r="G1681" s="170" t="str">
        <f t="array" aca="1" ref="G1681" ca="1">IFERROR(INDEX($G$1664:$G$1675,LARGE(($A$1664:$A$1675=$A$195)*(ROW($A$1664:$A$1675)-$A$1663),COUNTIF($A$1664:$A$1675,$A$195)+1-ROW(F2))),"")</f>
        <v>889</v>
      </c>
      <c r="H1681" s="623" t="str">
        <f t="array" aca="1" ref="H1681" ca="1">IFERROR(INDEX($H$1664:$H$1675,LARGE(($A$1664:$A$1675=$A$195)*(ROW($A$1664:$A$1675)-$A$1663),COUNTIF($A$1664:$A$1675,$A$195)+1-ROW(G2))),"")</f>
        <v>M</v>
      </c>
      <c r="J1681" t="e">
        <f ca="1">HLOOKUP($J$1673,R1681:T1681,1,FALSE)</f>
        <v>#N/A</v>
      </c>
      <c r="K1681" t="e">
        <f ca="1">HLOOKUP($J$1670,R1681:T1681,1,FALSE)</f>
        <v>#N/A</v>
      </c>
      <c r="L1681" t="e">
        <f ca="1">HLOOKUP($J$1667,R1681:T1681,1,FALSE)</f>
        <v>#N/A</v>
      </c>
      <c r="M1681" t="e">
        <f ca="1">HLOOKUP($J$1664,R1681:T1681,1,FALSE)</f>
        <v>#N/A</v>
      </c>
      <c r="N1681" t="str">
        <f ca="1">N1680</f>
        <v>Öffnungswinkelbegrenzer</v>
      </c>
      <c r="O1681" t="str">
        <f ca="1">Sprache!A107</f>
        <v>Tiomos, 120°</v>
      </c>
      <c r="P1681" t="str">
        <f ca="1">P1680</f>
        <v>Öffnungswinkelbegrenzer</v>
      </c>
      <c r="Q1681" s="18" t="s">
        <v>2304</v>
      </c>
      <c r="R1681">
        <v>3</v>
      </c>
      <c r="V1681" t="s">
        <v>2269</v>
      </c>
    </row>
    <row r="1682" spans="1:22" hidden="1" outlineLevel="1" x14ac:dyDescent="0.25">
      <c r="A1682" s="71">
        <v>3</v>
      </c>
      <c r="B1682" s="71" t="str">
        <f t="array" aca="1" ref="B1682" ca="1">IFERROR(INDEX($B$1664:$B$1675,LARGE(($A$1664:$A$1675=$A$195)*(ROW($A$1664:$A$1675)-$A$1663),COUNTIF($A$1664:$A$1675,$A$195)+1-ROW(C3))),"")</f>
        <v/>
      </c>
      <c r="C1682" s="71" t="str">
        <f t="array" aca="1" ref="C1682" ca="1">IFERROR(INDEX($C$1664:$C$1675,LARGE(($A$1664:$A$1675=$A$195)*(ROW($A$1664:$A$1675)-$A$1663),COUNTIF($A$1664:$A$1675,$A$195)+1-ROW(A3))),"")</f>
        <v/>
      </c>
      <c r="D1682" s="71" t="str">
        <f t="array" aca="1" ref="D1682" ca="1">IFERROR(INDEX($D$1664:$D$1675,LARGE(($A$1664:$A$1675=$A$195)*(ROW($A$1664:$A$1675)-$A$1663),COUNTIF($A$1664:$A$1675,$A$195)+1-ROW(B3))),"")</f>
        <v/>
      </c>
      <c r="E1682" s="71" t="str">
        <f t="array" aca="1" ref="E1682" ca="1">IFERROR(INDEX($E$1664:$E$1675,LARGE(($A$1664:$A$1675=$A$195)*(ROW($A$1664:$A$1675)-$A$1663),COUNTIF($A$1664:$A$1675,$A$195)+1-ROW(D3))),"")</f>
        <v/>
      </c>
      <c r="F1682" s="71" t="str">
        <f t="array" aca="1" ref="F1682" ca="1">IFERROR(INDEX($F$1664:$F$1675,LARGE(($A$1664:$A$1675=$A$195)*(ROW($A$1664:$A$1675)-$A$1663),COUNTIF($A$1664:$A$1675,$A$195)+1-ROW(E3))),"")</f>
        <v/>
      </c>
      <c r="G1682" s="170" t="str">
        <f t="array" aca="1" ref="G1682" ca="1">IFERROR(INDEX($G$1664:$G$1675,LARGE(($A$1664:$A$1675=$A$195)*(ROW($A$1664:$A$1675)-$A$1663),COUNTIF($A$1664:$A$1675,$A$195)+1-ROW(F3))),"")</f>
        <v/>
      </c>
      <c r="H1682" s="623" t="str">
        <f t="array" aca="1" ref="H1682" ca="1">IFERROR(INDEX($H$1664:$H$1675,LARGE(($A$1664:$A$1675=$A$195)*(ROW($A$1664:$A$1675)-$A$1663),COUNTIF($A$1664:$A$1675,$A$195)+1-ROW(G3))),"")</f>
        <v/>
      </c>
      <c r="J1682">
        <f ca="1">HLOOKUP($J$1673,R1682:T1682,1,FALSE)</f>
        <v>19</v>
      </c>
      <c r="K1682" t="e">
        <f ca="1">HLOOKUP($J$1670,R1682:T1682,1,FALSE)</f>
        <v>#N/A</v>
      </c>
      <c r="L1682" t="e">
        <f ca="1">HLOOKUP($J$1667,R1682:T1682,1,FALSE)</f>
        <v>#N/A</v>
      </c>
      <c r="M1682" t="e">
        <f ca="1">HLOOKUP($J$1664,R1682:T1682,1,FALSE)</f>
        <v>#N/A</v>
      </c>
      <c r="N1682" t="str">
        <f ca="1">Sprache!A105</f>
        <v>Tiomos Mirro</v>
      </c>
      <c r="O1682" t="str">
        <f ca="1">Sprache!A108</f>
        <v>90° Winkelbegrenzer</v>
      </c>
      <c r="P1682" t="str">
        <f ca="1">P1680</f>
        <v>Öffnungswinkelbegrenzer</v>
      </c>
      <c r="Q1682" s="18" t="s">
        <v>2305</v>
      </c>
      <c r="R1682">
        <v>22</v>
      </c>
      <c r="S1682">
        <v>20</v>
      </c>
      <c r="T1682">
        <v>19</v>
      </c>
      <c r="V1682" t="s">
        <v>2271</v>
      </c>
    </row>
    <row r="1683" spans="1:22" hidden="1" outlineLevel="1" x14ac:dyDescent="0.25">
      <c r="A1683" s="71">
        <v>4</v>
      </c>
      <c r="B1683" s="71" t="str">
        <f t="array" aca="1" ref="B1683" ca="1">IFERROR(INDEX($B$1664:$B$1675,LARGE(($A$1664:$A$1675=$A$195)*(ROW($A$1664:$A$1675)-$A$1663),COUNTIF($A$1664:$A$1675,$A$195)+1-ROW(C4))),"")</f>
        <v/>
      </c>
      <c r="C1683" s="71" t="str">
        <f t="array" aca="1" ref="C1683" ca="1">IFERROR(INDEX($C$1664:$C$1675,LARGE(($A$1664:$A$1675=$A$195)*(ROW($A$1664:$A$1675)-$A$1663),COUNTIF($A$1664:$A$1675,$A$195)+1-ROW(A4))),"")</f>
        <v/>
      </c>
      <c r="D1683" s="71" t="str">
        <f t="array" aca="1" ref="D1683" ca="1">IFERROR(INDEX($D$1664:$D$1675,LARGE(($A$1664:$A$1675=$A$195)*(ROW($A$1664:$A$1675)-$A$1663),COUNTIF($A$1664:$A$1675,$A$195)+1-ROW(B4))),"")</f>
        <v/>
      </c>
      <c r="E1683" s="71" t="str">
        <f t="array" aca="1" ref="E1683" ca="1">IFERROR(INDEX($E$1664:$E$1675,LARGE(($A$1664:$A$1675=$A$195)*(ROW($A$1664:$A$1675)-$A$1663),COUNTIF($A$1664:$A$1675,$A$195)+1-ROW(D4))),"")</f>
        <v/>
      </c>
      <c r="F1683" s="71" t="str">
        <f t="array" aca="1" ref="F1683" ca="1">IFERROR(INDEX($F$1664:$F$1675,LARGE(($A$1664:$A$1675=$A$195)*(ROW($A$1664:$A$1675)-$A$1663),COUNTIF($A$1664:$A$1675,$A$195)+1-ROW(E4))),"")</f>
        <v/>
      </c>
      <c r="G1683" s="170" t="str">
        <f t="array" aca="1" ref="G1683" ca="1">IFERROR(INDEX($G$1664:$G$1675,LARGE(($A$1664:$A$1675=$A$195)*(ROW($A$1664:$A$1675)-$A$1663),COUNTIF($A$1664:$A$1675,$A$195)+1-ROW(F4))),"")</f>
        <v/>
      </c>
      <c r="H1683" s="623" t="str">
        <f t="array" aca="1" ref="H1683" ca="1">IFERROR(INDEX($H$1664:$H$1675,LARGE(($A$1664:$A$1675=$A$195)*(ROW($A$1664:$A$1675)-$A$1663),COUNTIF($A$1664:$A$1675,$A$195)+1-ROW(G4))),"")</f>
        <v/>
      </c>
    </row>
    <row r="1684" spans="1:22" hidden="1" outlineLevel="1" x14ac:dyDescent="0.25">
      <c r="A1684" s="71">
        <v>5</v>
      </c>
      <c r="B1684" s="71" t="str">
        <f t="array" aca="1" ref="B1684" ca="1">IFERROR(INDEX($B$1664:$B$1675,LARGE(($A$1664:$A$1675=$A$195)*(ROW($A$1664:$A$1675)-$A$1663),COUNTIF($A$1664:$A$1675,$A$195)+1-ROW(C5))),"")</f>
        <v/>
      </c>
      <c r="C1684" s="71" t="str">
        <f t="array" aca="1" ref="C1684" ca="1">IFERROR(INDEX($C$1664:$C$1675,LARGE(($A$1664:$A$1675=$A$195)*(ROW($A$1664:$A$1675)-$A$1663),COUNTIF($A$1664:$A$1675,$A$195)+1-ROW(A5))),"")</f>
        <v/>
      </c>
      <c r="D1684" s="71" t="str">
        <f t="array" aca="1" ref="D1684" ca="1">IFERROR(INDEX($D$1664:$D$1675,LARGE(($A$1664:$A$1675=$A$195)*(ROW($A$1664:$A$1675)-$A$1663),COUNTIF($A$1664:$A$1675,$A$195)+1-ROW(B5))),"")</f>
        <v/>
      </c>
      <c r="E1684" s="71" t="str">
        <f t="array" aca="1" ref="E1684" ca="1">IFERROR(INDEX($E$1664:$E$1675,LARGE(($A$1664:$A$1675=$A$195)*(ROW($A$1664:$A$1675)-$A$1663),COUNTIF($A$1664:$A$1675,$A$195)+1-ROW(D5))),"")</f>
        <v/>
      </c>
      <c r="F1684" s="71" t="str">
        <f t="array" aca="1" ref="F1684" ca="1">IFERROR(INDEX($F$1664:$F$1675,LARGE(($A$1664:$A$1675=$A$195)*(ROW($A$1664:$A$1675)-$A$1663),COUNTIF($A$1664:$A$1675,$A$195)+1-ROW(E5))),"")</f>
        <v/>
      </c>
      <c r="G1684" s="170" t="str">
        <f t="array" aca="1" ref="G1684" ca="1">IFERROR(INDEX($G$1664:$G$1675,LARGE(($A$1664:$A$1675=$A$195)*(ROW($A$1664:$A$1675)-$A$1663),COUNTIF($A$1664:$A$1675,$A$195)+1-ROW(F5))),"")</f>
        <v/>
      </c>
      <c r="H1684" s="623" t="str">
        <f t="array" aca="1" ref="H1684" ca="1">IFERROR(INDEX($H$1664:$H$1675,LARGE(($A$1664:$A$1675=$A$195)*(ROW($A$1664:$A$1675)-$A$1663),COUNTIF($A$1664:$A$1675,$A$195)+1-ROW(G5))),"")</f>
        <v/>
      </c>
    </row>
    <row r="1685" spans="1:22" hidden="1" outlineLevel="1" x14ac:dyDescent="0.25">
      <c r="A1685" s="71">
        <v>6</v>
      </c>
      <c r="B1685" s="71" t="str">
        <f t="array" aca="1" ref="B1685" ca="1">IFERROR(INDEX($B$1664:$B$1675,LARGE(($A$1664:$A$1675=$A$195)*(ROW($A$1664:$A$1675)-$A$1663),COUNTIF($A$1664:$A$1675,$A$195)+1-ROW(C6))),"")</f>
        <v/>
      </c>
      <c r="C1685" s="71" t="str">
        <f t="array" aca="1" ref="C1685" ca="1">IFERROR(INDEX($C$1664:$C$1675,LARGE(($A$1664:$A$1675=$A$195)*(ROW($A$1664:$A$1675)-$A$1663),COUNTIF($A$1664:$A$1675,$A$195)+1-ROW(A6))),"")</f>
        <v/>
      </c>
      <c r="D1685" s="71" t="str">
        <f t="array" aca="1" ref="D1685" ca="1">IFERROR(INDEX($D$1664:$D$1675,LARGE(($A$1664:$A$1675=$A$195)*(ROW($A$1664:$A$1675)-$A$1663),COUNTIF($A$1664:$A$1675,$A$195)+1-ROW(B6))),"")</f>
        <v/>
      </c>
      <c r="E1685" s="71" t="str">
        <f t="array" aca="1" ref="E1685" ca="1">IFERROR(INDEX($E$1664:$E$1675,LARGE(($A$1664:$A$1675=$A$195)*(ROW($A$1664:$A$1675)-$A$1663),COUNTIF($A$1664:$A$1675,$A$195)+1-ROW(D6))),"")</f>
        <v/>
      </c>
      <c r="F1685" s="71" t="str">
        <f t="array" aca="1" ref="F1685" ca="1">IFERROR(INDEX($F$1664:$F$1675,LARGE(($A$1664:$A$1675=$A$195)*(ROW($A$1664:$A$1675)-$A$1663),COUNTIF($A$1664:$A$1675,$A$195)+1-ROW(E6))),"")</f>
        <v/>
      </c>
      <c r="G1685" s="170" t="str">
        <f t="array" aca="1" ref="G1685" ca="1">IFERROR(INDEX($G$1664:$G$1675,LARGE(($A$1664:$A$1675=$A$195)*(ROW($A$1664:$A$1675)-$A$1663),COUNTIF($A$1664:$A$1675,$A$195)+1-ROW(F6))),"")</f>
        <v/>
      </c>
      <c r="H1685" s="623" t="str">
        <f t="array" aca="1" ref="H1685" ca="1">IFERROR(INDEX($H$1664:$H$1675,LARGE(($A$1664:$A$1675=$A$195)*(ROW($A$1664:$A$1675)-$A$1663),COUNTIF($A$1664:$A$1675,$A$195)+1-ROW(G6))),"")</f>
        <v/>
      </c>
    </row>
    <row r="1686" spans="1:22" hidden="1" outlineLevel="1" x14ac:dyDescent="0.25">
      <c r="A1686" s="71">
        <v>7</v>
      </c>
      <c r="B1686" s="71" t="str">
        <f t="array" aca="1" ref="B1686" ca="1">IFERROR(INDEX($B$1664:$B$1675,LARGE(($A$1664:$A$1675=$A$195)*(ROW($A$1664:$A$1675)-$A$1663),COUNTIF($A$1664:$A$1675,$A$195)+1-ROW(C7))),"")</f>
        <v/>
      </c>
      <c r="C1686" s="71" t="str">
        <f t="array" aca="1" ref="C1686" ca="1">IFERROR(INDEX($C$1664:$C$1675,LARGE(($A$1664:$A$1675=$A$195)*(ROW($A$1664:$A$1675)-$A$1663),COUNTIF($A$1664:$A$1675,$A$195)+1-ROW(A7))),"")</f>
        <v/>
      </c>
      <c r="D1686" s="71" t="str">
        <f t="array" aca="1" ref="D1686" ca="1">IFERROR(INDEX($D$1664:$D$1675,LARGE(($A$1664:$A$1675=$A$195)*(ROW($A$1664:$A$1675)-$A$1663),COUNTIF($A$1664:$A$1675,$A$195)+1-ROW(B7))),"")</f>
        <v/>
      </c>
      <c r="E1686" s="71" t="str">
        <f t="array" aca="1" ref="E1686" ca="1">IFERROR(INDEX($E$1664:$E$1675,LARGE(($A$1664:$A$1675=$A$195)*(ROW($A$1664:$A$1675)-$A$1663),COUNTIF($A$1664:$A$1675,$A$195)+1-ROW(D7))),"")</f>
        <v/>
      </c>
      <c r="F1686" s="71" t="str">
        <f t="array" aca="1" ref="F1686" ca="1">IFERROR(INDEX($F$1664:$F$1675,LARGE(($A$1664:$A$1675=$A$195)*(ROW($A$1664:$A$1675)-$A$1663),COUNTIF($A$1664:$A$1675,$A$195)+1-ROW(E7))),"")</f>
        <v/>
      </c>
      <c r="G1686" s="170" t="str">
        <f t="array" aca="1" ref="G1686" ca="1">IFERROR(INDEX($G$1664:$G$1675,LARGE(($A$1664:$A$1675=$A$195)*(ROW($A$1664:$A$1675)-$A$1663),COUNTIF($A$1664:$A$1675,$A$195)+1-ROW(F7))),"")</f>
        <v/>
      </c>
      <c r="H1686" s="623" t="str">
        <f t="array" aca="1" ref="H1686" ca="1">IFERROR(INDEX($H$1664:$H$1675,LARGE(($A$1664:$A$1675=$A$195)*(ROW($A$1664:$A$1675)-$A$1663),COUNTIF($A$1664:$A$1675,$A$195)+1-ROW(G7))),"")</f>
        <v/>
      </c>
    </row>
    <row r="1687" spans="1:22" hidden="1" outlineLevel="1" x14ac:dyDescent="0.25">
      <c r="A1687" s="71">
        <v>8</v>
      </c>
      <c r="B1687" s="71" t="str">
        <f t="array" aca="1" ref="B1687" ca="1">IFERROR(INDEX($B$1664:$B$1675,LARGE(($A$1664:$A$1675=$A$195)*(ROW($A$1664:$A$1675)-$A$1663),COUNTIF($A$1664:$A$1675,$A$195)+1-ROW(C8))),"")</f>
        <v/>
      </c>
      <c r="C1687" s="71" t="str">
        <f t="array" aca="1" ref="C1687" ca="1">IFERROR(INDEX($C$1664:$C$1675,LARGE(($A$1664:$A$1675=$A$195)*(ROW($A$1664:$A$1675)-$A$1663),COUNTIF($A$1664:$A$1675,$A$195)+1-ROW(A8))),"")</f>
        <v/>
      </c>
      <c r="D1687" s="71" t="str">
        <f t="array" aca="1" ref="D1687" ca="1">IFERROR(INDEX($D$1664:$D$1675,LARGE(($A$1664:$A$1675=$A$195)*(ROW($A$1664:$A$1675)-$A$1663),COUNTIF($A$1664:$A$1675,$A$195)+1-ROW(B8))),"")</f>
        <v/>
      </c>
      <c r="E1687" s="71" t="str">
        <f t="array" aca="1" ref="E1687" ca="1">IFERROR(INDEX($E$1664:$E$1675,LARGE(($A$1664:$A$1675=$A$195)*(ROW($A$1664:$A$1675)-$A$1663),COUNTIF($A$1664:$A$1675,$A$195)+1-ROW(D8))),"")</f>
        <v/>
      </c>
      <c r="F1687" s="71" t="str">
        <f t="array" aca="1" ref="F1687" ca="1">IFERROR(INDEX($F$1664:$F$1675,LARGE(($A$1664:$A$1675=$A$195)*(ROW($A$1664:$A$1675)-$A$1663),COUNTIF($A$1664:$A$1675,$A$195)+1-ROW(E8))),"")</f>
        <v/>
      </c>
      <c r="G1687" s="170" t="str">
        <f t="array" aca="1" ref="G1687" ca="1">IFERROR(INDEX($G$1664:$G$1675,LARGE(($A$1664:$A$1675=$A$195)*(ROW($A$1664:$A$1675)-$A$1663),COUNTIF($A$1664:$A$1675,$A$195)+1-ROW(F8))),"")</f>
        <v/>
      </c>
      <c r="H1687" s="623" t="str">
        <f t="array" aca="1" ref="H1687" ca="1">IFERROR(INDEX($H$1664:$H$1675,LARGE(($A$1664:$A$1675=$A$195)*(ROW($A$1664:$A$1675)-$A$1663),COUNTIF($A$1664:$A$1675,$A$195)+1-ROW(G8))),"")</f>
        <v/>
      </c>
    </row>
    <row r="1688" spans="1:22" hidden="1" outlineLevel="1" x14ac:dyDescent="0.25">
      <c r="A1688" s="71">
        <v>9</v>
      </c>
      <c r="B1688" s="71" t="str">
        <f t="array" aca="1" ref="B1688" ca="1">IFERROR(INDEX($B$1664:$B$1675,LARGE(($A$1664:$A$1675=$A$195)*(ROW($A$1664:$A$1675)-$A$1663),COUNTIF($A$1664:$A$1675,$A$195)+1-ROW(C9))),"")</f>
        <v/>
      </c>
      <c r="C1688" s="71" t="str">
        <f t="array" aca="1" ref="C1688" ca="1">IFERROR(INDEX($C$1664:$C$1675,LARGE(($A$1664:$A$1675=$A$195)*(ROW($A$1664:$A$1675)-$A$1663),COUNTIF($A$1664:$A$1675,$A$195)+1-ROW(A9))),"")</f>
        <v/>
      </c>
      <c r="D1688" s="71" t="str">
        <f t="array" aca="1" ref="D1688" ca="1">IFERROR(INDEX($D$1664:$D$1675,LARGE(($A$1664:$A$1675=$A$195)*(ROW($A$1664:$A$1675)-$A$1663),COUNTIF($A$1664:$A$1675,$A$195)+1-ROW(B9))),"")</f>
        <v/>
      </c>
      <c r="E1688" s="71" t="str">
        <f t="array" aca="1" ref="E1688" ca="1">IFERROR(INDEX($E$1664:$E$1675,LARGE(($A$1664:$A$1675=$A$195)*(ROW($A$1664:$A$1675)-$A$1663),COUNTIF($A$1664:$A$1675,$A$195)+1-ROW(D9))),"")</f>
        <v/>
      </c>
      <c r="F1688" s="71" t="str">
        <f t="array" aca="1" ref="F1688" ca="1">IFERROR(INDEX($F$1664:$F$1675,LARGE(($A$1664:$A$1675=$A$195)*(ROW($A$1664:$A$1675)-$A$1663),COUNTIF($A$1664:$A$1675,$A$195)+1-ROW(E9))),"")</f>
        <v/>
      </c>
      <c r="G1688" s="170" t="str">
        <f t="array" aca="1" ref="G1688" ca="1">IFERROR(INDEX($G$1664:$G$1675,LARGE(($A$1664:$A$1675=$A$195)*(ROW($A$1664:$A$1675)-$A$1663),COUNTIF($A$1664:$A$1675,$A$195)+1-ROW(F9))),"")</f>
        <v/>
      </c>
      <c r="H1688" s="623" t="str">
        <f t="array" aca="1" ref="H1688" ca="1">IFERROR(INDEX($H$1664:$H$1675,LARGE(($A$1664:$A$1675=$A$195)*(ROW($A$1664:$A$1675)-$A$1663),COUNTIF($A$1664:$A$1675,$A$195)+1-ROW(G9))),"")</f>
        <v/>
      </c>
    </row>
    <row r="1689" spans="1:22" hidden="1" outlineLevel="1" x14ac:dyDescent="0.25">
      <c r="A1689" s="71">
        <v>10</v>
      </c>
      <c r="B1689" s="71" t="str">
        <f t="array" aca="1" ref="B1689" ca="1">IFERROR(INDEX($B$1664:$B$1675,LARGE(($A$1664:$A$1675=$A$195)*(ROW($A$1664:$A$1675)-$A$1663),COUNTIF($A$1664:$A$1675,$A$195)+1-ROW(C10))),"")</f>
        <v/>
      </c>
      <c r="C1689" s="71" t="str">
        <f t="array" aca="1" ref="C1689" ca="1">IFERROR(INDEX($C$1664:$C$1675,LARGE(($A$1664:$A$1675=$A$195)*(ROW($A$1664:$A$1675)-$A$1663),COUNTIF($A$1664:$A$1675,$A$195)+1-ROW(A10))),"")</f>
        <v/>
      </c>
      <c r="D1689" s="71" t="str">
        <f t="array" aca="1" ref="D1689" ca="1">IFERROR(INDEX($D$1664:$D$1675,LARGE(($A$1664:$A$1675=$A$195)*(ROW($A$1664:$A$1675)-$A$1663),COUNTIF($A$1664:$A$1675,$A$195)+1-ROW(B10))),"")</f>
        <v/>
      </c>
      <c r="E1689" s="71" t="str">
        <f t="array" aca="1" ref="E1689" ca="1">IFERROR(INDEX($E$1664:$E$1675,LARGE(($A$1664:$A$1675=$A$195)*(ROW($A$1664:$A$1675)-$A$1663),COUNTIF($A$1664:$A$1675,$A$195)+1-ROW(D10))),"")</f>
        <v/>
      </c>
      <c r="F1689" s="71" t="str">
        <f t="array" aca="1" ref="F1689" ca="1">IFERROR(INDEX($F$1664:$F$1675,LARGE(($A$1664:$A$1675=$A$195)*(ROW($A$1664:$A$1675)-$A$1663),COUNTIF($A$1664:$A$1675,$A$195)+1-ROW(E10))),"")</f>
        <v/>
      </c>
      <c r="G1689" s="170" t="str">
        <f t="array" aca="1" ref="G1689" ca="1">IFERROR(INDEX($G$1664:$G$1675,LARGE(($A$1664:$A$1675=$A$195)*(ROW($A$1664:$A$1675)-$A$1663),COUNTIF($A$1664:$A$1675,$A$195)+1-ROW(F10))),"")</f>
        <v/>
      </c>
      <c r="H1689" s="623" t="str">
        <f t="array" aca="1" ref="H1689" ca="1">IFERROR(INDEX($H$1664:$H$1675,LARGE(($A$1664:$A$1675=$A$195)*(ROW($A$1664:$A$1675)-$A$1663),COUNTIF($A$1664:$A$1675,$A$195)+1-ROW(G10))),"")</f>
        <v/>
      </c>
    </row>
    <row r="1690" spans="1:22" hidden="1" outlineLevel="1" x14ac:dyDescent="0.25">
      <c r="A1690" s="71">
        <v>11</v>
      </c>
      <c r="B1690" s="71" t="str">
        <f t="array" aca="1" ref="B1690" ca="1">IFERROR(INDEX($B$1664:$B$1675,LARGE(($A$1664:$A$1675=$A$195)*(ROW($A$1664:$A$1675)-$A$1663),COUNTIF($A$1664:$A$1675,$A$195)+1-ROW(C11))),"")</f>
        <v/>
      </c>
      <c r="C1690" s="71" t="str">
        <f t="array" aca="1" ref="C1690" ca="1">IFERROR(INDEX($C$1664:$C$1675,LARGE(($A$1664:$A$1675=$A$195)*(ROW($A$1664:$A$1675)-$A$1663),COUNTIF($A$1664:$A$1675,$A$195)+1-ROW(A11))),"")</f>
        <v/>
      </c>
      <c r="D1690" s="71" t="str">
        <f t="array" aca="1" ref="D1690" ca="1">IFERROR(INDEX($D$1664:$D$1675,LARGE(($A$1664:$A$1675=$A$195)*(ROW($A$1664:$A$1675)-$A$1663),COUNTIF($A$1664:$A$1675,$A$195)+1-ROW(B11))),"")</f>
        <v/>
      </c>
      <c r="E1690" s="71" t="str">
        <f t="array" aca="1" ref="E1690" ca="1">IFERROR(INDEX($E$1664:$E$1675,LARGE(($A$1664:$A$1675=$A$195)*(ROW($A$1664:$A$1675)-$A$1663),COUNTIF($A$1664:$A$1675,$A$195)+1-ROW(D11))),"")</f>
        <v/>
      </c>
      <c r="F1690" s="71" t="str">
        <f t="array" aca="1" ref="F1690" ca="1">IFERROR(INDEX($F$1664:$F$1675,LARGE(($A$1664:$A$1675=$A$195)*(ROW($A$1664:$A$1675)-$A$1663),COUNTIF($A$1664:$A$1675,$A$195)+1-ROW(E11))),"")</f>
        <v/>
      </c>
      <c r="G1690" s="170" t="str">
        <f t="array" aca="1" ref="G1690" ca="1">IFERROR(INDEX($G$1664:$G$1675,LARGE(($A$1664:$A$1675=$A$195)*(ROW($A$1664:$A$1675)-$A$1663),COUNTIF($A$1664:$A$1675,$A$195)+1-ROW(F11))),"")</f>
        <v/>
      </c>
      <c r="H1690" s="623" t="str">
        <f t="array" aca="1" ref="H1690" ca="1">IFERROR(INDEX($H$1664:$H$1675,LARGE(($A$1664:$A$1675=$A$195)*(ROW($A$1664:$A$1675)-$A$1663),COUNTIF($A$1664:$A$1675,$A$195)+1-ROW(G11))),"")</f>
        <v/>
      </c>
    </row>
    <row r="1691" spans="1:22" hidden="1" outlineLevel="1" x14ac:dyDescent="0.25">
      <c r="A1691" s="92">
        <v>12</v>
      </c>
      <c r="B1691" s="92" t="str">
        <f t="array" aca="1" ref="B1691" ca="1">IFERROR(INDEX($B$1664:$B$1675,LARGE(($A$1664:$A$1675=$A$195)*(ROW($A$1664:$A$1675)-$A$1663),COUNTIF($A$1664:$A$1675,$A$195)+1-ROW(C12))),"")</f>
        <v/>
      </c>
      <c r="C1691" s="92" t="str">
        <f t="array" aca="1" ref="C1691" ca="1">IFERROR(INDEX($C$1664:$C$1675,LARGE(($A$1664:$A$1675=$A$195)*(ROW($A$1664:$A$1675)-$A$1663),COUNTIF($A$1664:$A$1675,$A$195)+1-ROW(A12))),"")</f>
        <v/>
      </c>
      <c r="D1691" s="92" t="str">
        <f t="array" aca="1" ref="D1691" ca="1">IFERROR(INDEX($D$1664:$D$1675,LARGE(($A$1664:$A$1675=$A$195)*(ROW($A$1664:$A$1675)-$A$1663),COUNTIF($A$1664:$A$1675,$A$195)+1-ROW(B12))),"")</f>
        <v/>
      </c>
      <c r="E1691" s="92" t="str">
        <f t="array" aca="1" ref="E1691" ca="1">IFERROR(INDEX($E$1664:$E$1675,LARGE(($A$1664:$A$1675=$A$195)*(ROW($A$1664:$A$1675)-$A$1663),COUNTIF($A$1664:$A$1675,$A$195)+1-ROW(D12))),"")</f>
        <v/>
      </c>
      <c r="F1691" s="92" t="str">
        <f t="array" aca="1" ref="F1691" ca="1">IFERROR(INDEX($F$1664:$F$1675,LARGE(($A$1664:$A$1675=$A$195)*(ROW($A$1664:$A$1675)-$A$1663),COUNTIF($A$1664:$A$1675,$A$195)+1-ROW(E12))),"")</f>
        <v/>
      </c>
      <c r="G1691" s="129" t="str">
        <f t="array" aca="1" ref="G1691" ca="1">IFERROR(INDEX($G$1664:$G$1675,LARGE(($A$1664:$A$1675=$A$195)*(ROW($A$1664:$A$1675)-$A$1663),COUNTIF($A$1664:$A$1675,$A$195)+1-ROW(F12))),"")</f>
        <v/>
      </c>
      <c r="H1691" s="623" t="str">
        <f t="array" aca="1" ref="H1691" ca="1">IFERROR(INDEX($H$1664:$H$1675,LARGE(($A$1664:$A$1675=$A$195)*(ROW($A$1664:$A$1675)-$A$1663),COUNTIF($A$1664:$A$1675,$A$195)+1-ROW(G12))),"")</f>
        <v/>
      </c>
    </row>
    <row r="1692" spans="1:22" s="248" customFormat="1" hidden="1" outlineLevel="1" x14ac:dyDescent="0.25">
      <c r="A1692" s="622" t="s">
        <v>2182</v>
      </c>
    </row>
    <row r="1693" spans="1:22" hidden="1" outlineLevel="1" x14ac:dyDescent="0.25"/>
    <row r="1694" spans="1:22" hidden="1" outlineLevel="1" x14ac:dyDescent="0.25"/>
    <row r="1695" spans="1:22" hidden="1" outlineLevel="1" x14ac:dyDescent="0.25">
      <c r="A1695" t="s">
        <v>1977</v>
      </c>
      <c r="B1695" t="s">
        <v>1409</v>
      </c>
      <c r="C1695" t="s">
        <v>1462</v>
      </c>
      <c r="D1695" t="s">
        <v>1896</v>
      </c>
      <c r="E1695" s="87" t="s">
        <v>2179</v>
      </c>
      <c r="J1695" s="623" t="str">
        <f>Q1367</f>
        <v>Nr</v>
      </c>
      <c r="K1695" s="24" t="s">
        <v>1462</v>
      </c>
      <c r="L1695" t="s">
        <v>1896</v>
      </c>
      <c r="M1695" s="87" t="s">
        <v>2179</v>
      </c>
      <c r="N1695" t="s">
        <v>2187</v>
      </c>
      <c r="O1695" t="s">
        <v>2188</v>
      </c>
      <c r="P1695" s="24" t="s">
        <v>1896</v>
      </c>
    </row>
    <row r="1696" spans="1:22" hidden="1" outlineLevel="1" x14ac:dyDescent="0.25">
      <c r="A1696" s="609">
        <v>1</v>
      </c>
      <c r="B1696" s="610" t="str">
        <f>suf!A2</f>
        <v>110°</v>
      </c>
      <c r="C1696" s="610">
        <f ca="1">suf!B3</f>
        <v>1</v>
      </c>
      <c r="D1696" s="610">
        <f ca="1">suf!I3</f>
        <v>0.6</v>
      </c>
      <c r="E1696" s="612">
        <f ca="1">suf!P3</f>
        <v>0.6</v>
      </c>
      <c r="I1696" t="s">
        <v>2183</v>
      </c>
      <c r="J1696" s="170">
        <f ca="1">Q1368</f>
        <v>1</v>
      </c>
      <c r="K1696" s="609">
        <f ca="1">IFERROR(VLOOKUP(J1696,$A$1696:$E$1718,3,FALSE),"")</f>
        <v>1</v>
      </c>
      <c r="L1696" s="610">
        <f ca="1">IFERROR(VLOOKUP(J1696,$A$1696:$E$1718,4,FALSE),"")</f>
        <v>0.6</v>
      </c>
      <c r="M1696" s="612">
        <f ca="1">IFERROR(VLOOKUP(J1696,$A$1696:$E$1718,5,FALSE),"")</f>
        <v>0.6</v>
      </c>
      <c r="N1696" s="623" t="str">
        <f ca="1">IF(K1696&lt;&gt;"",IF(K1697&lt;&gt;"",$U$1367,IF(K1698&lt;&gt;"",$U$1367,IF(K1699&lt;&gt;"",$U$1367,""))),"")</f>
        <v xml:space="preserve"> | </v>
      </c>
      <c r="O1696" s="623" t="b">
        <f ca="1">G1361</f>
        <v>1</v>
      </c>
      <c r="P1696" s="813">
        <f ca="1">IF(AND(LEFT(L1696,1)="*",O1696=FALSE)=TRUE,MID(L1696,2,10),IF(O1696=FALSE,M1696,L1696))</f>
        <v>0.6</v>
      </c>
    </row>
    <row r="1697" spans="1:16" hidden="1" outlineLevel="1" x14ac:dyDescent="0.25">
      <c r="A1697" s="71">
        <v>2</v>
      </c>
      <c r="B1697" s="34" t="str">
        <f>suf!A20</f>
        <v>120°</v>
      </c>
      <c r="C1697" s="34">
        <f ca="1">suf!B21</f>
        <v>1</v>
      </c>
      <c r="D1697" s="34">
        <f ca="1">suf!I21</f>
        <v>0.6</v>
      </c>
      <c r="E1697" s="55">
        <f ca="1">suf!P21</f>
        <v>0.6</v>
      </c>
      <c r="I1697" t="s">
        <v>2184</v>
      </c>
      <c r="J1697" s="170" t="str">
        <f ca="1">Q1369</f>
        <v/>
      </c>
      <c r="K1697" s="71" t="str">
        <f t="shared" ref="K1697:K1699" ca="1" si="554">IFERROR(VLOOKUP(J1697,$A$1696:$E$1718,3,FALSE),"")</f>
        <v/>
      </c>
      <c r="L1697" s="34" t="str">
        <f t="shared" ref="L1697:L1699" ca="1" si="555">IFERROR(VLOOKUP(J1697,$A$1696:$E$1718,4,FALSE),"")</f>
        <v/>
      </c>
      <c r="M1697" s="55" t="str">
        <f t="shared" ref="M1697:M1699" ca="1" si="556">IFERROR(VLOOKUP(J1697,$A$1696:$E$1718,5,FALSE),"")</f>
        <v/>
      </c>
      <c r="N1697" t="str">
        <f ca="1">IF(K1697&lt;&gt;"",IF(K1698&lt;&gt;"",$U$1367,IF(K1699&lt;&gt;"",$U$1367,"")),"")</f>
        <v/>
      </c>
      <c r="O1697" s="170" t="b">
        <f ca="1">G1362</f>
        <v>1</v>
      </c>
      <c r="P1697" s="814" t="str">
        <f t="shared" ref="P1697:P1699" ca="1" si="557">IF(AND(LEFT(L1697,1)="*",O1697=FALSE)=TRUE,MID(L1697,2,10),IF(O1697=FALSE,M1697,L1697))</f>
        <v/>
      </c>
    </row>
    <row r="1698" spans="1:16" hidden="1" outlineLevel="1" x14ac:dyDescent="0.25">
      <c r="A1698" s="71">
        <v>3</v>
      </c>
      <c r="B1698" s="34" t="str">
        <f>suf!A36</f>
        <v>160°</v>
      </c>
      <c r="C1698" s="34">
        <f ca="1">suf!B37</f>
        <v>1</v>
      </c>
      <c r="D1698" s="34">
        <f ca="1">suf!L37</f>
        <v>0</v>
      </c>
      <c r="E1698" s="624" t="s">
        <v>1916</v>
      </c>
      <c r="I1698" t="s">
        <v>2185</v>
      </c>
      <c r="J1698" s="170" t="str">
        <f ca="1">Q1370</f>
        <v/>
      </c>
      <c r="K1698" s="71" t="str">
        <f t="shared" ca="1" si="554"/>
        <v/>
      </c>
      <c r="L1698" s="34" t="str">
        <f t="shared" ca="1" si="555"/>
        <v/>
      </c>
      <c r="M1698" s="55" t="str">
        <f t="shared" ca="1" si="556"/>
        <v/>
      </c>
      <c r="N1698" t="str">
        <f ca="1">IF(K1698&lt;&gt;"",IF(K1699&lt;&gt;"",$U$1367,""),"")</f>
        <v/>
      </c>
      <c r="O1698" s="170" t="b">
        <f ca="1">G1363</f>
        <v>1</v>
      </c>
      <c r="P1698" s="814" t="str">
        <f t="shared" ca="1" si="557"/>
        <v/>
      </c>
    </row>
    <row r="1699" spans="1:16" hidden="1" outlineLevel="1" x14ac:dyDescent="0.25">
      <c r="A1699" s="71">
        <v>4</v>
      </c>
      <c r="B1699" s="34" t="str">
        <f>suf!A55</f>
        <v>95°</v>
      </c>
      <c r="C1699" s="34">
        <f ca="1">suf!B37</f>
        <v>1</v>
      </c>
      <c r="D1699" s="34">
        <f ca="1">suf!J56</f>
        <v>0.2</v>
      </c>
      <c r="E1699" s="624" t="s">
        <v>1916</v>
      </c>
      <c r="I1699" t="s">
        <v>2186</v>
      </c>
      <c r="J1699" s="129">
        <f ca="1">Q1371</f>
        <v>19</v>
      </c>
      <c r="K1699" s="92">
        <f t="shared" ca="1" si="554"/>
        <v>1.5</v>
      </c>
      <c r="L1699" s="6">
        <f t="shared" ca="1" si="555"/>
        <v>1</v>
      </c>
      <c r="M1699" s="56" t="str">
        <f t="shared" ca="1" si="556"/>
        <v/>
      </c>
      <c r="N1699" s="129"/>
      <c r="O1699" s="129" t="b">
        <f ca="1">G1364</f>
        <v>1</v>
      </c>
      <c r="P1699" s="815">
        <f t="shared" ca="1" si="557"/>
        <v>1</v>
      </c>
    </row>
    <row r="1700" spans="1:16" hidden="1" outlineLevel="1" x14ac:dyDescent="0.25">
      <c r="A1700" s="71">
        <v>23</v>
      </c>
      <c r="B1700" s="34" t="str">
        <f>suf!A70</f>
        <v>110AL</v>
      </c>
      <c r="C1700" s="34"/>
      <c r="D1700" s="34">
        <f ca="1">suf!B71</f>
        <v>0.6</v>
      </c>
      <c r="E1700" s="624" t="s">
        <v>1916</v>
      </c>
      <c r="F1700" t="s">
        <v>2180</v>
      </c>
    </row>
    <row r="1701" spans="1:16" hidden="1" outlineLevel="1" x14ac:dyDescent="0.25">
      <c r="A1701" s="71">
        <v>5</v>
      </c>
      <c r="B1701" s="34" t="str">
        <f>suf!A83</f>
        <v>110° 90A</v>
      </c>
      <c r="C1701" s="34"/>
      <c r="D1701" s="34">
        <f ca="1">suf!B84</f>
        <v>1</v>
      </c>
      <c r="E1701" s="624" t="s">
        <v>1916</v>
      </c>
      <c r="K1701" s="40" t="str">
        <f ca="1">TEXT(K1696,"0,0")&amp;N1696&amp;TEXT(K1697,"0,0")&amp;N1697&amp;TEXT(K1698,"0,0")&amp;N1698&amp;TEXT(K1699,"0,0")&amp;N1699</f>
        <v>1,0 | 1,5</v>
      </c>
      <c r="P1701" s="40" t="str">
        <f ca="1">TEXT(P1696,"0,0")&amp;N1696&amp;TEXT(P1697,"0,0")&amp;N1697&amp;TEXT(P1698,"0,0")&amp;N1698&amp;TEXT(P1699,"0,0")&amp;N1699</f>
        <v>0,6 | 1,0</v>
      </c>
    </row>
    <row r="1702" spans="1:16" hidden="1" outlineLevel="1" x14ac:dyDescent="0.25">
      <c r="A1702" s="71">
        <v>6</v>
      </c>
      <c r="B1702" s="34" t="str">
        <f>suf!A97</f>
        <v>110° 90E</v>
      </c>
      <c r="C1702" s="34"/>
      <c r="D1702" s="34">
        <f ca="1">suf!B98</f>
        <v>0.6</v>
      </c>
      <c r="E1702" s="624" t="s">
        <v>1916</v>
      </c>
    </row>
    <row r="1703" spans="1:16" hidden="1" outlineLevel="1" x14ac:dyDescent="0.25">
      <c r="A1703" s="71">
        <v>7</v>
      </c>
      <c r="B1703" s="34" t="str">
        <f>suf!A111</f>
        <v>110° 30A</v>
      </c>
      <c r="C1703" s="34">
        <f ca="1">suf!B112</f>
        <v>1</v>
      </c>
      <c r="D1703" s="34">
        <f ca="1">suf!I112</f>
        <v>0.6</v>
      </c>
      <c r="E1703" s="624" t="s">
        <v>1916</v>
      </c>
    </row>
    <row r="1704" spans="1:16" hidden="1" outlineLevel="1" x14ac:dyDescent="0.25">
      <c r="A1704" s="71">
        <v>8</v>
      </c>
      <c r="B1704" s="34" t="str">
        <f>suf!A125</f>
        <v>110° 30E</v>
      </c>
      <c r="C1704" s="34"/>
      <c r="D1704" s="34">
        <f ca="1">suf!B126</f>
        <v>0.6</v>
      </c>
      <c r="E1704" s="624" t="s">
        <v>1916</v>
      </c>
    </row>
    <row r="1705" spans="1:16" hidden="1" outlineLevel="1" x14ac:dyDescent="0.25">
      <c r="A1705" s="71">
        <v>9</v>
      </c>
      <c r="B1705" s="34" t="str">
        <f>suf!A140</f>
        <v>110° 37A</v>
      </c>
      <c r="C1705" s="34">
        <f ca="1">suf!B141</f>
        <v>1</v>
      </c>
      <c r="D1705" s="34">
        <f ca="1">suf!I141</f>
        <v>0.6</v>
      </c>
      <c r="E1705" s="624" t="s">
        <v>1916</v>
      </c>
    </row>
    <row r="1706" spans="1:16" hidden="1" outlineLevel="1" x14ac:dyDescent="0.25">
      <c r="A1706" s="71">
        <v>10</v>
      </c>
      <c r="B1706" s="34" t="str">
        <f>suf!A153</f>
        <v>110° 37E</v>
      </c>
      <c r="C1706" s="34"/>
      <c r="D1706" s="34">
        <f ca="1">suf!B154</f>
        <v>0.6</v>
      </c>
      <c r="E1706" s="624" t="s">
        <v>1916</v>
      </c>
    </row>
    <row r="1707" spans="1:16" hidden="1" outlineLevel="1" x14ac:dyDescent="0.25">
      <c r="A1707" s="71">
        <v>11</v>
      </c>
      <c r="B1707" s="34" t="str">
        <f>suf!A167</f>
        <v>110° 45A</v>
      </c>
      <c r="C1707" s="34">
        <f ca="1">suf!B168</f>
        <v>1</v>
      </c>
      <c r="D1707" s="34">
        <f ca="1">suf!I168</f>
        <v>0.6</v>
      </c>
      <c r="E1707" s="624" t="s">
        <v>1916</v>
      </c>
    </row>
    <row r="1708" spans="1:16" hidden="1" outlineLevel="1" x14ac:dyDescent="0.25">
      <c r="A1708" s="71">
        <v>12</v>
      </c>
      <c r="B1708" s="34" t="str">
        <f>suf!A180</f>
        <v>110° 45E</v>
      </c>
      <c r="C1708" s="34"/>
      <c r="D1708" s="34">
        <f ca="1">suf!B181</f>
        <v>0.6</v>
      </c>
      <c r="E1708" s="624" t="s">
        <v>1916</v>
      </c>
    </row>
    <row r="1709" spans="1:16" hidden="1" outlineLevel="1" x14ac:dyDescent="0.25">
      <c r="A1709" s="71">
        <v>13</v>
      </c>
      <c r="B1709" s="34" t="str">
        <f>suf!A194</f>
        <v>120° -15A</v>
      </c>
      <c r="C1709" s="34"/>
      <c r="D1709" s="34">
        <f ca="1">suf!B195</f>
        <v>1</v>
      </c>
      <c r="E1709" s="624" t="s">
        <v>1916</v>
      </c>
    </row>
    <row r="1710" spans="1:16" hidden="1" outlineLevel="1" x14ac:dyDescent="0.25">
      <c r="A1710" s="71">
        <v>14</v>
      </c>
      <c r="B1710" s="34" t="str">
        <f>suf!A208</f>
        <v>120° -30A</v>
      </c>
      <c r="C1710" s="34"/>
      <c r="D1710" s="34">
        <f ca="1">suf!B209</f>
        <v>1</v>
      </c>
      <c r="E1710" s="624" t="s">
        <v>1916</v>
      </c>
    </row>
    <row r="1711" spans="1:16" hidden="1" outlineLevel="1" x14ac:dyDescent="0.25">
      <c r="A1711" s="71">
        <v>15</v>
      </c>
      <c r="B1711" s="34" t="str">
        <f>suf!A222</f>
        <v>120° -45A</v>
      </c>
      <c r="C1711" s="34"/>
      <c r="D1711" s="34">
        <f ca="1">suf!B223</f>
        <v>1</v>
      </c>
      <c r="E1711" s="624" t="s">
        <v>1916</v>
      </c>
    </row>
    <row r="1712" spans="1:16" hidden="1" outlineLevel="1" x14ac:dyDescent="0.25">
      <c r="A1712" s="71">
        <v>16</v>
      </c>
      <c r="B1712" s="34" t="str">
        <f>suf!A236</f>
        <v>100°</v>
      </c>
      <c r="C1712" s="34">
        <f ca="1">suf!B237</f>
        <v>1</v>
      </c>
      <c r="D1712" s="34">
        <f ca="1">suf!I237</f>
        <v>0.3</v>
      </c>
      <c r="E1712" s="624" t="s">
        <v>1916</v>
      </c>
    </row>
    <row r="1713" spans="1:97" hidden="1" outlineLevel="1" x14ac:dyDescent="0.25">
      <c r="A1713" s="71">
        <v>17</v>
      </c>
      <c r="B1713" s="34" t="str">
        <f>suf!A247</f>
        <v>PCC</v>
      </c>
      <c r="C1713" s="34"/>
      <c r="D1713" s="34">
        <f ca="1">suf!B248</f>
        <v>0.5</v>
      </c>
      <c r="E1713" s="624" t="s">
        <v>1916</v>
      </c>
    </row>
    <row r="1714" spans="1:97" hidden="1" outlineLevel="1" x14ac:dyDescent="0.25">
      <c r="A1714" s="71">
        <v>18</v>
      </c>
      <c r="B1714" s="34" t="str">
        <f>suf!A257</f>
        <v>95° Mini</v>
      </c>
      <c r="C1714" s="34">
        <f ca="1">suf!B258</f>
        <v>1</v>
      </c>
      <c r="D1714" s="34">
        <f ca="1">suf!I258</f>
        <v>1</v>
      </c>
      <c r="E1714" s="624" t="s">
        <v>1916</v>
      </c>
    </row>
    <row r="1715" spans="1:97" hidden="1" outlineLevel="1" x14ac:dyDescent="0.25">
      <c r="A1715" s="71">
        <v>21</v>
      </c>
      <c r="B1715" s="34" t="str">
        <f>suf!A267</f>
        <v>95° GL Mini</v>
      </c>
      <c r="C1715" s="34"/>
      <c r="D1715" s="34"/>
      <c r="E1715" s="624" t="s">
        <v>1916</v>
      </c>
      <c r="F1715" t="s">
        <v>2181</v>
      </c>
    </row>
    <row r="1716" spans="1:97" hidden="1" outlineLevel="1" x14ac:dyDescent="0.25">
      <c r="A1716" s="71">
        <v>22</v>
      </c>
      <c r="B1716" s="34" t="str">
        <f>suf!A271</f>
        <v>Mirro</v>
      </c>
      <c r="C1716" s="34">
        <f ca="1">suf!C272</f>
        <v>1.5</v>
      </c>
      <c r="D1716" s="34">
        <f ca="1">suf!B272</f>
        <v>2</v>
      </c>
      <c r="E1716" s="624" t="s">
        <v>1916</v>
      </c>
    </row>
    <row r="1717" spans="1:97" hidden="1" outlineLevel="1" x14ac:dyDescent="0.25">
      <c r="A1717" s="71">
        <v>19</v>
      </c>
      <c r="B1717" s="34" t="str">
        <f>suf!A285</f>
        <v>M9</v>
      </c>
      <c r="C1717" s="34">
        <f ca="1">suf!C303</f>
        <v>1.5</v>
      </c>
      <c r="D1717" s="34">
        <f ca="1">suf!B303</f>
        <v>1</v>
      </c>
      <c r="E1717" s="624" t="s">
        <v>1916</v>
      </c>
    </row>
    <row r="1718" spans="1:97" hidden="1" outlineLevel="1" x14ac:dyDescent="0.25">
      <c r="A1718" s="92">
        <v>20</v>
      </c>
      <c r="B1718" s="6" t="str">
        <f>suf!A305</f>
        <v>M0</v>
      </c>
      <c r="C1718" s="6" t="e">
        <f ca="1">suf!C320</f>
        <v>#N/A</v>
      </c>
      <c r="D1718" s="6" t="e">
        <f ca="1">suf!B320</f>
        <v>#N/A</v>
      </c>
      <c r="E1718" s="625" t="s">
        <v>1916</v>
      </c>
    </row>
    <row r="1719" spans="1:97" hidden="1" outlineLevel="1" x14ac:dyDescent="0.25"/>
    <row r="1720" spans="1:97" hidden="1" outlineLevel="1" x14ac:dyDescent="0.25"/>
    <row r="1721" spans="1:97" s="632" customFormat="1" hidden="1" outlineLevel="1" x14ac:dyDescent="0.25">
      <c r="A1721" s="633" t="s">
        <v>1</v>
      </c>
      <c r="AY1721" s="632" t="s">
        <v>2100</v>
      </c>
      <c r="BK1721" s="654" t="s">
        <v>2091</v>
      </c>
      <c r="BL1721" s="654"/>
      <c r="BM1721" s="654"/>
      <c r="BN1721" s="654"/>
      <c r="BO1721" s="654"/>
      <c r="BP1721" s="654"/>
      <c r="BQ1721" s="654"/>
      <c r="BR1721" s="654"/>
      <c r="BS1721" s="654"/>
      <c r="BT1721" s="654"/>
      <c r="BU1721" s="654"/>
      <c r="BV1721" s="654"/>
      <c r="BW1721" s="654"/>
      <c r="BX1721" s="654"/>
      <c r="BY1721" s="654"/>
      <c r="BZ1721" s="654"/>
      <c r="CA1721" s="654"/>
      <c r="CB1721" s="654"/>
      <c r="CC1721" s="654"/>
      <c r="CD1721" s="654"/>
      <c r="CE1721" s="654"/>
      <c r="CF1721" s="654"/>
      <c r="CG1721" s="654"/>
      <c r="CH1721" s="654"/>
      <c r="CI1721" s="654"/>
      <c r="CJ1721" s="654"/>
      <c r="CK1721" s="654"/>
      <c r="CL1721" s="654"/>
      <c r="CM1721" s="654"/>
      <c r="CN1721" s="654"/>
      <c r="CO1721" s="654"/>
      <c r="CP1721" s="654"/>
      <c r="CQ1721" s="654"/>
      <c r="CR1721" s="654"/>
      <c r="CS1721" s="654"/>
    </row>
    <row r="1722" spans="1:97" hidden="1" outlineLevel="1" x14ac:dyDescent="0.25">
      <c r="L1722" t="s">
        <v>1922</v>
      </c>
      <c r="AY1722" s="34"/>
      <c r="AZ1722" s="34"/>
      <c r="BA1722" s="34"/>
      <c r="BB1722" s="34"/>
      <c r="BC1722" s="34"/>
      <c r="BD1722" s="34"/>
      <c r="BE1722" s="34"/>
      <c r="BF1722" s="34"/>
      <c r="BG1722" s="34"/>
      <c r="BH1722" s="34"/>
      <c r="BI1722" s="34"/>
      <c r="BK1722" s="34"/>
      <c r="BL1722" s="34"/>
      <c r="BM1722" s="34"/>
      <c r="BN1722" s="34"/>
      <c r="BO1722" s="34"/>
      <c r="BP1722" s="34"/>
      <c r="BQ1722" s="34"/>
      <c r="BR1722" s="34"/>
      <c r="BS1722" s="34"/>
      <c r="BT1722" s="34"/>
      <c r="BU1722" s="34"/>
      <c r="BV1722" s="34"/>
      <c r="BW1722" s="34"/>
      <c r="BX1722" s="34"/>
      <c r="BY1722" s="34"/>
      <c r="BZ1722" s="34"/>
      <c r="CA1722" s="34"/>
      <c r="CB1722" s="34"/>
      <c r="CC1722" s="34"/>
      <c r="CD1722" s="34"/>
      <c r="CE1722" s="34"/>
      <c r="CF1722" s="34"/>
      <c r="CG1722" s="34"/>
      <c r="CH1722" s="34"/>
      <c r="CI1722" s="34"/>
      <c r="CJ1722" s="34"/>
      <c r="CK1722" s="34"/>
      <c r="CL1722" s="34"/>
      <c r="CM1722" s="34"/>
      <c r="CN1722" s="34"/>
      <c r="CO1722" s="34"/>
      <c r="CP1722" s="34"/>
      <c r="CQ1722" s="34"/>
      <c r="CR1722" s="34"/>
      <c r="CS1722" s="34"/>
    </row>
    <row r="1723" spans="1:97" hidden="1" outlineLevel="1" x14ac:dyDescent="0.25">
      <c r="A1723" s="24" t="s">
        <v>0</v>
      </c>
      <c r="B1723">
        <f ca="1">$I$1388</f>
        <v>6</v>
      </c>
      <c r="D1723" t="s">
        <v>1</v>
      </c>
      <c r="E1723" s="449">
        <f ca="1">E1498</f>
        <v>5</v>
      </c>
      <c r="G1723" t="s">
        <v>5</v>
      </c>
      <c r="H1723" s="636">
        <f ca="1">H1498</f>
        <v>0</v>
      </c>
      <c r="I1723" s="637">
        <f t="shared" ref="I1723:K1723" ca="1" si="558">I1498</f>
        <v>3</v>
      </c>
      <c r="J1723" s="637">
        <f t="shared" ca="1" si="558"/>
        <v>9.5</v>
      </c>
      <c r="K1723" s="638">
        <f t="shared" ca="1" si="558"/>
        <v>19</v>
      </c>
      <c r="L1723" s="645">
        <f ca="1">L1498</f>
        <v>1</v>
      </c>
      <c r="AK1723" s="640"/>
      <c r="AL1723" s="640"/>
      <c r="AM1723" s="640"/>
      <c r="AN1723" s="640"/>
      <c r="AO1723" s="34"/>
      <c r="AP1723" s="34"/>
      <c r="AT1723" s="653"/>
      <c r="AU1723" s="653"/>
      <c r="AV1723" s="653"/>
      <c r="AW1723" s="653"/>
      <c r="AY1723" s="34"/>
      <c r="AZ1723" s="34"/>
      <c r="BA1723" s="34"/>
      <c r="BB1723" s="34"/>
      <c r="BC1723" s="34"/>
      <c r="BD1723" s="34"/>
      <c r="BE1723" s="34"/>
      <c r="BF1723" s="34"/>
      <c r="BG1723" s="34"/>
      <c r="BH1723" s="34"/>
      <c r="BI1723" s="34"/>
      <c r="BK1723" s="34"/>
      <c r="BL1723" s="34" t="s">
        <v>1400</v>
      </c>
      <c r="BM1723" s="34">
        <f ca="1">E1570</f>
        <v>16</v>
      </c>
      <c r="BN1723" s="34"/>
      <c r="BO1723" s="34"/>
      <c r="BP1723" s="34"/>
      <c r="BQ1723" s="34"/>
      <c r="BR1723" s="34"/>
      <c r="BS1723" s="34"/>
      <c r="BT1723" s="34"/>
      <c r="BU1723" s="34"/>
      <c r="BV1723" s="34"/>
      <c r="BW1723" s="34"/>
      <c r="BX1723" s="34"/>
      <c r="BY1723" s="34"/>
      <c r="BZ1723" s="34"/>
      <c r="CA1723" s="34"/>
      <c r="CB1723" s="34"/>
      <c r="CC1723" s="34"/>
      <c r="CD1723" s="34"/>
      <c r="CE1723" s="34"/>
      <c r="CF1723" s="34"/>
      <c r="CG1723" s="34"/>
      <c r="CH1723" s="34"/>
      <c r="CI1723" s="34"/>
      <c r="CJ1723" s="34"/>
      <c r="CK1723" s="34"/>
      <c r="CL1723" s="34"/>
      <c r="CM1723" s="34"/>
      <c r="CN1723" s="34"/>
      <c r="CO1723" s="34"/>
      <c r="CP1723" s="34"/>
      <c r="CQ1723" s="34"/>
      <c r="CR1723" s="34"/>
      <c r="CS1723" s="34"/>
    </row>
    <row r="1724" spans="1:97" hidden="1" outlineLevel="1" x14ac:dyDescent="0.25">
      <c r="H1724" s="639" t="str">
        <f ca="1">H1499</f>
        <v/>
      </c>
      <c r="I1724" s="640" t="str">
        <f t="shared" ref="I1724:K1724" ca="1" si="559">I1499</f>
        <v/>
      </c>
      <c r="J1724" s="640" t="str">
        <f t="shared" ca="1" si="559"/>
        <v/>
      </c>
      <c r="K1724" s="648" t="str">
        <f t="shared" ca="1" si="559"/>
        <v/>
      </c>
      <c r="L1724" s="646" t="str">
        <f ca="1">L1499</f>
        <v/>
      </c>
      <c r="AK1724" s="640"/>
      <c r="AL1724" s="640"/>
      <c r="AM1724" s="640"/>
      <c r="AN1724" s="640"/>
      <c r="AO1724" s="34"/>
      <c r="AP1724" s="649"/>
      <c r="AQ1724" s="449"/>
      <c r="AR1724" s="644"/>
      <c r="AT1724" s="653"/>
      <c r="AU1724" s="640"/>
      <c r="AV1724" s="640"/>
      <c r="AW1724" s="640"/>
      <c r="AY1724" s="34"/>
      <c r="AZ1724" s="34"/>
      <c r="BA1724" s="34"/>
      <c r="BB1724" s="34"/>
      <c r="BC1724" s="602"/>
      <c r="BD1724" s="34"/>
      <c r="BE1724" s="34"/>
      <c r="BF1724" s="34"/>
      <c r="BG1724" s="34"/>
      <c r="BH1724" s="34"/>
      <c r="BI1724" s="34"/>
      <c r="BK1724" s="34"/>
      <c r="BL1724" s="34"/>
      <c r="BM1724" s="34"/>
      <c r="BN1724" s="34"/>
      <c r="BO1724" s="34"/>
      <c r="BP1724" s="34"/>
      <c r="BQ1724" s="34"/>
      <c r="BR1724" s="34"/>
      <c r="BS1724" s="34"/>
      <c r="BT1724" s="34"/>
      <c r="BU1724" s="34"/>
      <c r="BV1724" s="34"/>
      <c r="BW1724" s="34"/>
      <c r="BX1724" s="34"/>
      <c r="BY1724" s="34"/>
      <c r="BZ1724" s="34"/>
      <c r="CA1724" s="34"/>
      <c r="CB1724" s="34"/>
      <c r="CC1724" s="34"/>
      <c r="CD1724" s="34"/>
      <c r="CE1724" s="34"/>
      <c r="CF1724" s="34"/>
      <c r="CG1724" s="34"/>
      <c r="CH1724" s="34"/>
      <c r="CI1724" s="34"/>
      <c r="CJ1724" s="34"/>
      <c r="CK1724" s="34"/>
      <c r="CL1724" s="34"/>
      <c r="CM1724" s="34"/>
      <c r="CN1724" s="34"/>
      <c r="CO1724" s="34"/>
      <c r="CP1724" s="34"/>
      <c r="CQ1724" s="34"/>
      <c r="CR1724" s="34"/>
      <c r="CS1724" s="34"/>
    </row>
    <row r="1725" spans="1:97" hidden="1" outlineLevel="1" x14ac:dyDescent="0.25">
      <c r="C1725" s="8"/>
      <c r="H1725" s="639" t="str">
        <f ca="1">H1500</f>
        <v/>
      </c>
      <c r="I1725" s="640" t="str">
        <f t="shared" ref="I1725:K1725" ca="1" si="560">I1500</f>
        <v/>
      </c>
      <c r="J1725" s="640" t="str">
        <f t="shared" ca="1" si="560"/>
        <v/>
      </c>
      <c r="K1725" s="648" t="str">
        <f t="shared" ca="1" si="560"/>
        <v/>
      </c>
      <c r="L1725" s="646" t="str">
        <f ca="1">L1500</f>
        <v/>
      </c>
      <c r="AK1725" s="640"/>
      <c r="AL1725" s="640"/>
      <c r="AM1725" s="640"/>
      <c r="AN1725" s="650"/>
      <c r="AO1725" s="34"/>
      <c r="AP1725" s="651"/>
      <c r="AQ1725" s="449"/>
      <c r="AR1725" s="644"/>
      <c r="AT1725" s="653"/>
      <c r="AU1725" s="640"/>
      <c r="AV1725" s="640"/>
      <c r="AW1725" s="640"/>
      <c r="AY1725" s="34"/>
      <c r="AZ1725" s="34"/>
      <c r="BA1725" s="34"/>
      <c r="BB1725" s="34"/>
      <c r="BC1725" s="602"/>
      <c r="BD1725" s="34"/>
      <c r="BE1725" s="34"/>
      <c r="BF1725" s="34"/>
      <c r="BG1725" s="34"/>
      <c r="BH1725" s="34"/>
      <c r="BI1725" s="34"/>
      <c r="BK1725" s="34"/>
      <c r="BL1725" s="34"/>
      <c r="BM1725" s="34"/>
      <c r="BN1725" s="34"/>
      <c r="BO1725" s="34"/>
      <c r="BP1725" s="34"/>
      <c r="BQ1725" s="34"/>
      <c r="BR1725" s="34"/>
      <c r="BS1725" s="34"/>
      <c r="BT1725" s="34"/>
      <c r="BU1725" s="34"/>
      <c r="BV1725" s="34"/>
      <c r="BW1725" s="34"/>
      <c r="BX1725" s="34"/>
      <c r="BY1725" s="34"/>
      <c r="BZ1725" s="34"/>
      <c r="CA1725" s="34"/>
      <c r="CB1725" s="34"/>
      <c r="CC1725" s="34"/>
      <c r="CD1725" s="34"/>
      <c r="CE1725" s="34"/>
      <c r="CF1725" s="34"/>
      <c r="CG1725" s="34"/>
      <c r="CH1725" s="34"/>
      <c r="CI1725" s="34"/>
      <c r="CJ1725" s="34"/>
      <c r="CK1725" s="34"/>
      <c r="CL1725" s="34"/>
      <c r="CM1725" s="34"/>
      <c r="CN1725" s="34"/>
      <c r="CO1725" s="34"/>
      <c r="CP1725" s="34"/>
      <c r="CQ1725" s="34"/>
      <c r="CR1725" s="34"/>
      <c r="CS1725" s="34"/>
    </row>
    <row r="1726" spans="1:97" hidden="1" outlineLevel="1" x14ac:dyDescent="0.25">
      <c r="H1726" s="641">
        <f ca="1">H1501</f>
        <v>14</v>
      </c>
      <c r="I1726" s="642" t="str">
        <f t="shared" ref="I1726:K1726" ca="1" si="561">I1501</f>
        <v>-</v>
      </c>
      <c r="J1726" s="642" t="str">
        <f t="shared" ca="1" si="561"/>
        <v>-</v>
      </c>
      <c r="K1726" s="643" t="str">
        <f t="shared" ca="1" si="561"/>
        <v>-</v>
      </c>
      <c r="L1726" s="647">
        <f ca="1">L1501</f>
        <v>1</v>
      </c>
      <c r="AK1726" s="640"/>
      <c r="AL1726" s="640"/>
      <c r="AM1726" s="640"/>
      <c r="AN1726" s="652"/>
      <c r="AO1726" s="34"/>
      <c r="AP1726" s="34"/>
      <c r="AT1726" s="653"/>
      <c r="AU1726" s="640"/>
      <c r="AV1726" s="640"/>
      <c r="AW1726" s="640"/>
      <c r="AY1726" s="34"/>
      <c r="AZ1726" s="34"/>
      <c r="BA1726" s="34"/>
      <c r="BB1726" s="34"/>
      <c r="BC1726" s="602"/>
      <c r="BD1726" s="34"/>
      <c r="BE1726" s="34"/>
      <c r="BF1726" s="34"/>
      <c r="BG1726" s="34"/>
      <c r="BH1726" s="34"/>
      <c r="BI1726" s="34"/>
      <c r="BK1726" s="8"/>
      <c r="BL1726" s="289"/>
      <c r="BM1726" s="289"/>
      <c r="BN1726" s="34"/>
      <c r="BO1726" s="34"/>
      <c r="BP1726" s="34"/>
      <c r="BQ1726" s="34"/>
      <c r="BR1726" s="34"/>
      <c r="BS1726" s="34"/>
      <c r="BT1726" s="34"/>
      <c r="BU1726" s="34"/>
      <c r="BV1726" s="34"/>
      <c r="BW1726" s="34"/>
      <c r="BX1726" s="34"/>
      <c r="BY1726" s="34"/>
      <c r="BZ1726" s="34"/>
      <c r="CA1726" s="34"/>
      <c r="CB1726" s="34"/>
      <c r="CC1726" s="34"/>
      <c r="CD1726" s="34"/>
      <c r="CE1726" s="34"/>
      <c r="CF1726" s="34"/>
      <c r="CG1726" s="34"/>
      <c r="CH1726" s="34"/>
      <c r="CI1726" s="34"/>
      <c r="CJ1726" s="34"/>
      <c r="CK1726" s="34"/>
      <c r="CL1726" s="34"/>
      <c r="CM1726" s="34"/>
      <c r="CN1726" s="34"/>
      <c r="CO1726" s="34"/>
      <c r="CP1726" s="34"/>
      <c r="CQ1726" s="34"/>
      <c r="CR1726" s="34"/>
      <c r="CS1726" s="34"/>
    </row>
    <row r="1727" spans="1:97" hidden="1" outlineLevel="1" x14ac:dyDescent="0.25">
      <c r="AK1727" s="640"/>
      <c r="AL1727" s="640"/>
      <c r="AM1727" s="640"/>
      <c r="AN1727" s="640"/>
      <c r="AO1727" s="34"/>
      <c r="AP1727" s="34"/>
      <c r="AT1727" s="653"/>
      <c r="AU1727" s="640"/>
      <c r="AV1727" s="640"/>
      <c r="AW1727" s="640"/>
      <c r="AY1727" s="34"/>
      <c r="AZ1727" s="34"/>
      <c r="BA1727" s="34"/>
      <c r="BB1727" s="34"/>
      <c r="BC1727" s="602"/>
      <c r="BD1727" s="34"/>
      <c r="BE1727" s="34"/>
      <c r="BF1727" s="34"/>
      <c r="BG1727" s="34"/>
      <c r="BH1727" s="34"/>
      <c r="BI1727" s="34"/>
      <c r="BK1727" s="8"/>
      <c r="BL1727" s="1079"/>
      <c r="BM1727" s="1079"/>
      <c r="BN1727" s="34"/>
      <c r="BO1727" s="34"/>
      <c r="BP1727" s="34"/>
      <c r="BQ1727" s="34"/>
      <c r="BR1727" s="34"/>
      <c r="BS1727" s="34"/>
      <c r="BT1727" s="34"/>
      <c r="BU1727" s="34"/>
      <c r="BV1727" s="34"/>
      <c r="BW1727" s="34"/>
      <c r="BX1727" s="34"/>
      <c r="BY1727" s="34"/>
      <c r="BZ1727" s="34"/>
      <c r="CA1727" s="34"/>
      <c r="CB1727" s="34"/>
      <c r="CC1727" s="34"/>
      <c r="CD1727" s="34"/>
      <c r="CE1727" s="34"/>
      <c r="CF1727" s="34"/>
      <c r="CG1727" s="34"/>
      <c r="CH1727" s="34"/>
      <c r="CI1727" s="34"/>
      <c r="CJ1727" s="34"/>
      <c r="CK1727" s="34"/>
      <c r="CL1727" s="34"/>
      <c r="CM1727" s="34"/>
      <c r="CN1727" s="34"/>
      <c r="CO1727" s="34"/>
      <c r="CP1727" s="34"/>
      <c r="CQ1727" s="34"/>
      <c r="CR1727" s="34"/>
      <c r="CS1727" s="34"/>
    </row>
    <row r="1728" spans="1:97" hidden="1" outlineLevel="1" x14ac:dyDescent="0.25">
      <c r="C1728" s="1057" t="s">
        <v>1958</v>
      </c>
      <c r="D1728" s="1057"/>
      <c r="E1728" s="1057"/>
      <c r="F1728" s="1057"/>
      <c r="G1728" s="1057"/>
      <c r="H1728" s="1057"/>
      <c r="I1728" s="1057"/>
      <c r="J1728" s="1057"/>
      <c r="K1728" s="1057"/>
      <c r="L1728" s="1057"/>
      <c r="M1728" s="1057"/>
      <c r="N1728" s="1057"/>
      <c r="O1728" s="1057"/>
      <c r="P1728" s="1057"/>
      <c r="Q1728" s="1057"/>
      <c r="R1728" s="1057"/>
      <c r="S1728" s="1057"/>
      <c r="T1728" s="1057"/>
      <c r="U1728" s="1057"/>
      <c r="V1728" s="1057"/>
      <c r="W1728" s="1057"/>
      <c r="X1728" s="1057"/>
      <c r="Y1728" s="1057"/>
      <c r="Z1728" s="1057"/>
      <c r="AA1728" s="1057"/>
      <c r="AB1728" s="1057"/>
      <c r="AC1728" s="1057"/>
      <c r="AD1728" s="1057"/>
      <c r="AE1728" s="1057"/>
      <c r="AF1728" s="1057"/>
      <c r="AG1728" s="1057"/>
      <c r="AH1728" s="1057"/>
      <c r="AI1728" s="1057"/>
      <c r="AJ1728" s="1057"/>
      <c r="AY1728" s="34"/>
      <c r="AZ1728" s="34"/>
      <c r="BA1728" s="34"/>
      <c r="BB1728" s="34"/>
      <c r="BC1728" s="34"/>
      <c r="BD1728" s="34"/>
      <c r="BE1728" s="34"/>
      <c r="BF1728" s="34"/>
      <c r="BG1728" s="34"/>
      <c r="BH1728" s="34"/>
      <c r="BI1728" s="34"/>
      <c r="BL1728" s="659">
        <v>8</v>
      </c>
      <c r="BM1728" s="660"/>
      <c r="BN1728" s="661">
        <v>10</v>
      </c>
      <c r="BO1728" s="610"/>
      <c r="BP1728" s="610">
        <v>12</v>
      </c>
      <c r="BQ1728" s="612"/>
      <c r="BR1728" s="34" t="s">
        <v>2198</v>
      </c>
      <c r="BS1728" s="34" t="s">
        <v>2199</v>
      </c>
      <c r="BT1728" s="34" t="s">
        <v>2200</v>
      </c>
      <c r="BU1728" s="34" t="s">
        <v>2201</v>
      </c>
      <c r="BV1728" s="34"/>
      <c r="BW1728" s="34"/>
      <c r="BX1728" s="34"/>
      <c r="BY1728" s="34"/>
      <c r="BZ1728" s="34"/>
      <c r="CA1728" s="34"/>
      <c r="CB1728" s="34"/>
      <c r="CC1728" s="34"/>
      <c r="CD1728" s="34"/>
      <c r="CE1728" s="34"/>
      <c r="CF1728" s="34"/>
      <c r="CG1728" s="34"/>
      <c r="CH1728" s="34"/>
      <c r="CI1728" s="34"/>
      <c r="CJ1728" s="34"/>
      <c r="CK1728" s="34"/>
      <c r="CL1728" s="34"/>
      <c r="CM1728" s="34"/>
      <c r="CN1728" s="34"/>
      <c r="CO1728" s="34"/>
      <c r="CP1728" s="34"/>
      <c r="CQ1728" s="34"/>
      <c r="CR1728" s="34"/>
      <c r="CS1728" s="34"/>
    </row>
    <row r="1729" spans="1:97" hidden="1" outlineLevel="1" x14ac:dyDescent="0.25">
      <c r="B1729" t="s">
        <v>2026</v>
      </c>
      <c r="U1729" s="399"/>
      <c r="V1729" s="399"/>
      <c r="W1729" s="399"/>
      <c r="X1729" s="399"/>
      <c r="Y1729" s="399"/>
      <c r="Z1729" s="399"/>
      <c r="AA1729" s="399"/>
      <c r="AB1729" s="399"/>
      <c r="AC1729" s="399"/>
      <c r="AD1729" s="399"/>
      <c r="AE1729" s="399"/>
      <c r="AF1729" s="399"/>
      <c r="AG1729" s="399"/>
      <c r="AH1729" s="399"/>
      <c r="AI1729" s="399"/>
      <c r="AJ1729" s="399"/>
      <c r="AK1729" s="1082" t="s">
        <v>2078</v>
      </c>
      <c r="AL1729" s="1083"/>
      <c r="AM1729" s="1083"/>
      <c r="AN1729" s="1083"/>
      <c r="AO1729" s="1083"/>
      <c r="AP1729" s="1083"/>
      <c r="AQ1729" s="1083"/>
      <c r="AR1729" s="1083"/>
      <c r="AS1729" s="1083"/>
      <c r="AT1729" s="1083"/>
      <c r="AU1729" s="1083"/>
      <c r="AV1729" s="1083"/>
      <c r="AW1729" s="1083"/>
      <c r="AX1729" s="1083"/>
      <c r="AY1729" s="1083"/>
      <c r="AZ1729" s="1083"/>
      <c r="BA1729" s="1083"/>
      <c r="BB1729" s="1083"/>
      <c r="BC1729" s="1083"/>
      <c r="BD1729" s="1083"/>
      <c r="BE1729" s="1083"/>
      <c r="BF1729" s="1083"/>
      <c r="BG1729" s="1083"/>
      <c r="BH1729" s="1083"/>
      <c r="BI1729" s="1083"/>
      <c r="BJ1729" s="1083"/>
      <c r="BL1729" s="662" t="s">
        <v>1402</v>
      </c>
      <c r="BM1729" s="328"/>
      <c r="BN1729" s="328" t="s">
        <v>2196</v>
      </c>
      <c r="BO1729" s="328"/>
      <c r="BP1729" s="328" t="s">
        <v>2197</v>
      </c>
      <c r="BQ1729" s="55"/>
      <c r="BR1729" s="657">
        <f ca="1">C1575</f>
        <v>1</v>
      </c>
      <c r="BS1729" s="657" t="str">
        <f ca="1">D1575</f>
        <v/>
      </c>
      <c r="BT1729" s="657" t="str">
        <f ca="1">E1575</f>
        <v/>
      </c>
      <c r="BU1729" s="658">
        <f ca="1">F1575</f>
        <v>19</v>
      </c>
      <c r="BV1729" s="328"/>
      <c r="BW1729" s="328"/>
      <c r="BX1729" s="328"/>
      <c r="BY1729" s="328"/>
      <c r="BZ1729" s="328"/>
      <c r="CA1729" s="328"/>
      <c r="CB1729" s="328"/>
      <c r="CC1729" s="328"/>
      <c r="CD1729" s="328"/>
      <c r="CE1729" s="328"/>
      <c r="CF1729" s="328"/>
      <c r="CG1729" s="328"/>
      <c r="CH1729" s="328"/>
      <c r="CI1729" s="328"/>
      <c r="CJ1729" s="328"/>
      <c r="CK1729" s="328"/>
      <c r="CL1729" s="328"/>
      <c r="CM1729" s="328"/>
      <c r="CN1729" s="328"/>
      <c r="CO1729" s="328"/>
      <c r="CP1729" s="328"/>
      <c r="CQ1729" s="328"/>
      <c r="CR1729" s="328"/>
      <c r="CS1729" s="328"/>
    </row>
    <row r="1730" spans="1:97" hidden="1" outlineLevel="1" x14ac:dyDescent="0.25">
      <c r="B1730" t="s">
        <v>2195</v>
      </c>
      <c r="C1730" t="s">
        <v>2042</v>
      </c>
      <c r="D1730" t="s">
        <v>2043</v>
      </c>
      <c r="E1730" t="s">
        <v>2044</v>
      </c>
      <c r="F1730" t="s">
        <v>2054</v>
      </c>
      <c r="G1730" s="34" t="s">
        <v>2045</v>
      </c>
      <c r="H1730" s="34" t="s">
        <v>2048</v>
      </c>
      <c r="I1730" s="34" t="s">
        <v>2051</v>
      </c>
      <c r="J1730" s="55" t="s">
        <v>2055</v>
      </c>
      <c r="K1730" t="s">
        <v>2046</v>
      </c>
      <c r="L1730" t="s">
        <v>2049</v>
      </c>
      <c r="M1730" t="s">
        <v>2052</v>
      </c>
      <c r="N1730" t="s">
        <v>2056</v>
      </c>
      <c r="O1730" t="s">
        <v>2047</v>
      </c>
      <c r="P1730" t="s">
        <v>2050</v>
      </c>
      <c r="Q1730" t="s">
        <v>2053</v>
      </c>
      <c r="R1730" t="s">
        <v>2057</v>
      </c>
      <c r="U1730" s="6" t="s">
        <v>2062</v>
      </c>
      <c r="V1730" s="6" t="s">
        <v>2063</v>
      </c>
      <c r="W1730" s="6" t="s">
        <v>2064</v>
      </c>
      <c r="X1730" s="6" t="s">
        <v>2065</v>
      </c>
      <c r="Y1730" s="6" t="s">
        <v>2066</v>
      </c>
      <c r="Z1730" s="6" t="s">
        <v>2067</v>
      </c>
      <c r="AA1730" s="6" t="s">
        <v>2068</v>
      </c>
      <c r="AB1730" s="6" t="s">
        <v>2069</v>
      </c>
      <c r="AC1730" s="6" t="s">
        <v>2070</v>
      </c>
      <c r="AD1730" s="6" t="s">
        <v>2071</v>
      </c>
      <c r="AE1730" s="6" t="s">
        <v>2072</v>
      </c>
      <c r="AF1730" s="6" t="s">
        <v>2073</v>
      </c>
      <c r="AG1730" s="6" t="s">
        <v>2074</v>
      </c>
      <c r="AH1730" s="6" t="s">
        <v>2075</v>
      </c>
      <c r="AI1730" s="6" t="s">
        <v>2076</v>
      </c>
      <c r="AJ1730" s="6" t="s">
        <v>2077</v>
      </c>
      <c r="AK1730" s="8" t="s">
        <v>1418</v>
      </c>
      <c r="AL1730" s="8" t="s">
        <v>2081</v>
      </c>
      <c r="AM1730" s="8" t="s">
        <v>1418</v>
      </c>
      <c r="AN1730" s="8" t="s">
        <v>2082</v>
      </c>
      <c r="AO1730" s="8" t="s">
        <v>1418</v>
      </c>
      <c r="AP1730" s="8" t="s">
        <v>2083</v>
      </c>
      <c r="AQ1730" s="8" t="s">
        <v>1418</v>
      </c>
      <c r="AR1730" s="8" t="s">
        <v>2084</v>
      </c>
      <c r="AS1730" s="8"/>
      <c r="AT1730" s="8"/>
      <c r="AU1730" s="8"/>
      <c r="AV1730" s="8"/>
      <c r="AW1730" s="8"/>
      <c r="AX1730" s="8"/>
      <c r="AY1730" s="8"/>
      <c r="AZ1730" s="34"/>
      <c r="BA1730" s="8"/>
      <c r="BB1730" s="34"/>
      <c r="BC1730" s="8"/>
      <c r="BD1730" s="34"/>
      <c r="BE1730" s="8"/>
      <c r="BF1730" s="34"/>
      <c r="BG1730" s="8"/>
      <c r="BH1730" s="8"/>
      <c r="BI1730" s="8"/>
      <c r="BJ1730" s="8"/>
      <c r="BL1730" s="71" t="s">
        <v>1399</v>
      </c>
      <c r="BM1730" s="34" t="s">
        <v>2202</v>
      </c>
      <c r="BN1730" s="34"/>
      <c r="BO1730" s="34"/>
      <c r="BP1730" s="34"/>
      <c r="BQ1730" s="55"/>
      <c r="BR1730" s="34"/>
      <c r="BS1730" s="34"/>
      <c r="BT1730" s="34"/>
      <c r="BU1730" s="34"/>
      <c r="BV1730" s="34"/>
      <c r="BW1730" s="34"/>
      <c r="BX1730" s="34"/>
      <c r="BY1730" s="34"/>
      <c r="BZ1730" s="34"/>
      <c r="CA1730" s="34"/>
      <c r="CB1730" s="34"/>
      <c r="CC1730" s="34"/>
      <c r="CD1730" s="34"/>
      <c r="CE1730" s="34"/>
      <c r="CF1730" s="34"/>
      <c r="CG1730" s="34"/>
      <c r="CH1730" s="34"/>
      <c r="CI1730" s="34"/>
      <c r="CJ1730" s="34"/>
      <c r="CK1730" s="34"/>
      <c r="CL1730" s="34"/>
      <c r="CM1730" s="34"/>
      <c r="CN1730" s="34"/>
      <c r="CO1730" s="34"/>
      <c r="CP1730" s="34"/>
      <c r="CQ1730" s="34"/>
      <c r="CR1730" s="34"/>
      <c r="CS1730" s="34"/>
    </row>
    <row r="1731" spans="1:97" hidden="1" outlineLevel="1" x14ac:dyDescent="0.25">
      <c r="A1731">
        <f ca="1">IF(SUM(U1731:AJ1731)+SUM(AT1731:AW1731)+SUM(BG1731:BJ1731)+SUM(BR1731:BU1731)&gt;0,1,0)</f>
        <v>0</v>
      </c>
      <c r="B1731" t="str">
        <f t="shared" ref="B1731:B1758" ca="1" si="562">P1390</f>
        <v>---------</v>
      </c>
      <c r="C1731" s="34" t="str">
        <f ca="1">IF(B1731=Sprache!A54,0,IFERROR(IF(OR($L$1723=1,$L$1724=1,$L$1725=1,$L$1726=1)=TRUE,($B$1723-15-B1731)*-1-$H$1723,""),""))</f>
        <v/>
      </c>
      <c r="D1731" s="34" t="str">
        <f ca="1">IFERROR(IF(OR($L$1723=1,$L$1724=1,$L$1725=1,$L$1726=1)=TRUE,($B$1723-15-B1731)*-1-$I$1723,""),"")</f>
        <v/>
      </c>
      <c r="E1731" s="34" t="str">
        <f ca="1">IFERROR(IF(OR($L$1723=1,$L$1724=1,$L$1725=1,$L$1726=1)=TRUE,($B$1723-15-B1731)*-1-$J$1723,""),"")</f>
        <v/>
      </c>
      <c r="F1731" s="55" t="str">
        <f ca="1">IFERROR(IF(OR($L$1723=1,$L$1724=1,$L$1725=1,$L$1726=1)=TRUE,($B$1723-15-B1731)*-1-$K$1723,""),"")</f>
        <v/>
      </c>
      <c r="G1731" s="34" t="str">
        <f ca="1">IFERROR(IF(OR($L$1723=1,$L$1724=1,$L$1725=1,$L$1726=1)=TRUE,($B$1723-15-B1731)*-1-$H$1724,""),"")</f>
        <v/>
      </c>
      <c r="H1731" s="34" t="str">
        <f ca="1">IFERROR(IF(OR($L$1723=1,$L$1724=1,$L$1725=1,$L$1726=1)=TRUE,($B$1723-15-B1731)*-1-$I$1724,""),"")</f>
        <v/>
      </c>
      <c r="I1731" s="34" t="str">
        <f ca="1">IFERROR(IF(OR($L$1723=1,$L$1724=1,$L$1725=1,$L$1726=1)=TRUE,($B$1723-15-B1731)*-1-$J$1724,""),"")</f>
        <v/>
      </c>
      <c r="J1731" s="55" t="str">
        <f ca="1">IFERROR(IF(OR($L$1723=1,$L$1724=1,$L$1725=1,$L$1726=1)=TRUE,($B$1723-15-B1731)*-1-$K$1724,""),"")</f>
        <v/>
      </c>
      <c r="K1731" s="71" t="str">
        <f ca="1">IFERROR(IF(OR($L$1723=1,$L$1724=1,$L$1725=1,$L$1726=1)=TRUE,($B$1723-15-B1731)*-1-$H$1725,""),"")</f>
        <v/>
      </c>
      <c r="L1731" s="34" t="str">
        <f ca="1">IFERROR(IF(OR($L$1723=1,$L$1724=1,$L$1725=1,$L$1726=1)=TRUE,($B$1723-15-B1731)*-1-$I$1725,""),"")</f>
        <v/>
      </c>
      <c r="M1731" s="34" t="str">
        <f ca="1">IFERROR(IF(OR($L$1723=1,$L$1724=1,$L$1725=1,$L$1726=1)=TRUE,($B$1723-15-B1731)*-1-$J$1725,""),"")</f>
        <v/>
      </c>
      <c r="N1731" s="55" t="str">
        <f ca="1">IFERROR(IF(OR($L$1723=1,$L$1724=1,$L$1725=1,$L$1726=1)=TRUE,($B$1723-15-B1731)*-1-$K$1725,""),"")</f>
        <v/>
      </c>
      <c r="O1731" s="71" t="str">
        <f ca="1">IFERROR(IF(OR($L$1723=1,$L$1724=1,$L$1725=1,$L$1726=1)=TRUE,($B$1723-15-B1731)*-1-$H$1726,""),"")</f>
        <v/>
      </c>
      <c r="P1731" s="34" t="str">
        <f ca="1">IFERROR(IF(OR($L$1723=1,$L$1724=1,$L$1725=1,$L$1726=1)=TRUE,($B$1723-15-B1731)*-1-$I$1726,""),"")</f>
        <v/>
      </c>
      <c r="Q1731" s="34" t="str">
        <f ca="1">IFERROR(IF(OR($L$1723=1,$L$1724=1,$L$1725=1,$L$1726=1)=TRUE,($B$1723-15-B1731)*-1-$J$1726,""),"")</f>
        <v/>
      </c>
      <c r="R1731" s="55" t="str">
        <f ca="1">IFERROR(IF(OR($L$1723=1,$L$1724=1,$L$1725=1,$L$1726=1)=TRUE,($B$1723-15-B1731)*-1-$K$1726,""),"")</f>
        <v/>
      </c>
      <c r="U1731" s="485" t="str">
        <f ca="1">IFERROR(VLOOKUP(C1731,$CV$1504:$CW$1561,2,FALSE),"")</f>
        <v/>
      </c>
      <c r="V1731" s="486" t="str">
        <f t="shared" ref="V1731" ca="1" si="563">IFERROR(VLOOKUP(D1731,$CV$1504:$CW$1561,2,FALSE),"")</f>
        <v/>
      </c>
      <c r="W1731" s="486" t="str">
        <f t="shared" ref="W1731" ca="1" si="564">IFERROR(VLOOKUP(E1731,$CV$1504:$CW$1561,2,FALSE),"")</f>
        <v/>
      </c>
      <c r="X1731" s="486" t="str">
        <f t="shared" ref="X1731" ca="1" si="565">IFERROR(VLOOKUP(F1731,$CV$1504:$CW$1561,2,FALSE),"")</f>
        <v/>
      </c>
      <c r="Y1731" s="485" t="str">
        <f t="shared" ref="Y1731" ca="1" si="566">IFERROR(VLOOKUP(G1731,$CV$1504:$CW$1561,2,FALSE),"")</f>
        <v/>
      </c>
      <c r="Z1731" s="486" t="str">
        <f t="shared" ref="Z1731" ca="1" si="567">IFERROR(VLOOKUP(H1731,$CV$1504:$CW$1561,2,FALSE),"")</f>
        <v/>
      </c>
      <c r="AA1731" s="486" t="str">
        <f t="shared" ref="AA1731" ca="1" si="568">IFERROR(VLOOKUP(I1731,$CV$1504:$CW$1561,2,FALSE),"")</f>
        <v/>
      </c>
      <c r="AB1731" s="486" t="str">
        <f t="shared" ref="AB1731" ca="1" si="569">IFERROR(VLOOKUP(J1731,$CV$1504:$CW$1561,2,FALSE),"")</f>
        <v/>
      </c>
      <c r="AC1731" s="485" t="str">
        <f t="shared" ref="AC1731" ca="1" si="570">IFERROR(VLOOKUP(K1731,$CV$1504:$CW$1561,2,FALSE),"")</f>
        <v/>
      </c>
      <c r="AD1731" s="486" t="str">
        <f t="shared" ref="AD1731" ca="1" si="571">IFERROR(VLOOKUP(L1731,$CV$1504:$CW$1561,2,FALSE),"")</f>
        <v/>
      </c>
      <c r="AE1731" s="486" t="str">
        <f t="shared" ref="AE1731" ca="1" si="572">IFERROR(VLOOKUP(M1731,$CV$1504:$CW$1561,2,FALSE),"")</f>
        <v/>
      </c>
      <c r="AF1731" s="486" t="str">
        <f t="shared" ref="AF1731" ca="1" si="573">IFERROR(VLOOKUP(N1731,$CV$1504:$CW$1561,2,FALSE),"")</f>
        <v/>
      </c>
      <c r="AG1731" s="485" t="str">
        <f t="shared" ref="AG1731" ca="1" si="574">IFERROR(VLOOKUP(O1731,$CV$1504:$CW$1561,2,FALSE),"")</f>
        <v/>
      </c>
      <c r="AH1731" s="486" t="str">
        <f t="shared" ref="AH1731" ca="1" si="575">IFERROR(VLOOKUP(P1731,$CV$1504:$CW$1561,2,FALSE),"")</f>
        <v/>
      </c>
      <c r="AI1731" s="486" t="str">
        <f t="shared" ref="AI1731" ca="1" si="576">IFERROR(VLOOKUP(Q1731,$CV$1504:$CW$1561,2,FALSE),"")</f>
        <v/>
      </c>
      <c r="AJ1731" s="486" t="str">
        <f t="shared" ref="AJ1731" ca="1" si="577">IFERROR(VLOOKUP(R1731,$CV$1504:$CW$1561,2,FALSE),"")</f>
        <v/>
      </c>
      <c r="AK1731" s="474" t="str">
        <f t="shared" ref="AK1731:AK1758" ca="1" si="578">IF(OR($L$1498=2,$L$1499=2,$L$1500=2,$L$1501=2)=TRUE,IFERROR($AV$1498-(($B$1723-1.1-B1731)*COS($AU$1498/180*PI())+$AP$1499*SIN($AU$1498/180*PI())),""),"")</f>
        <v/>
      </c>
      <c r="AL1731" s="480" t="str">
        <f ca="1">IFERROR(IF(AK1731&lt;0,(INT(AK1731*-1)+IF(AND(ROUND(((AK1731*-1)-INT(AK1731*-1))*100,0)&gt;=0,ROUND(((AK1731*-1)-INT(AK1731*-1))*100,0)&lt;25)=TRUE,0,IF(AND(ROUND(((AK1731*-1)-INT(AK1731*-1))*100,0)&gt;=25,ROUND(((AK1731*-1)-INT(AK1731*-1))*100,0)&lt;50)=TRUE,0.5,IF(AND(ROUND(((AK1731*-1)-INT(AK1731*-1))*100,0)&gt;=50,ROUND(((AK1731*-1)-INT(AK1731*-1))*100,0)&lt;75)=TRUE,0.5,1))))*-1,(INT(AK1731)+IF(AND(ROUND(((AK1731)-INT(AK1731))*100,0)&gt;=0,ROUND(((AK1731)-INT(AK1731))*100,0)&lt;25)=TRUE,0,IF(AND(ROUND(((AK1731)-INT(AK1731))*100,0)&gt;=25,ROUND(((AK1731)-INT(AK1731))*100,0)&lt;50)=TRUE,0.5,IF(AND(ROUND(((AK1731)-INT(AK1731))*100,0)&gt;=50,ROUND(((AK1731)-INT(AK1731))*100,0)&lt;75)=TRUE,0.5,1))))),"-")</f>
        <v>-</v>
      </c>
      <c r="AM1731" s="476" t="str">
        <f t="shared" ref="AM1731:AM1758" ca="1" si="579">IF(OR($L$1498=2,$L$1499=2,$L$1500=2,$L$1501=2)=TRUE,IFERROR($AV$1499-(($B$1723-1.1-B1731)*COS($AU$1499/180*PI())+$AP$1499*SIN($AU$1499/180*PI())),""),"")</f>
        <v/>
      </c>
      <c r="AN1731" s="480" t="str">
        <f ca="1">IFERROR(IF(AM1731&lt;0,(INT(AM1731*-1)+IF(AND(ROUND(((AM1731*-1)-INT(AM1731*-1))*100,0)&gt;=0,ROUND(((AM1731*-1)-INT(AM1731*-1))*100,0)&lt;25)=TRUE,0,IF(AND(ROUND(((AM1731*-1)-INT(AM1731*-1))*100,0)&gt;=25,ROUND(((AM1731*-1)-INT(AM1731*-1))*100,0)&lt;50)=TRUE,0.5,IF(AND(ROUND(((AM1731*-1)-INT(AM1731*-1))*100,0)&gt;=50,ROUND(((AM1731*-1)-INT(AM1731*-1))*100,0)&lt;75)=TRUE,0.5,1))))*-1,(INT(AM1731)+IF(AND(ROUND(((AM1731)-INT(AM1731))*100,0)&gt;=0,ROUND(((AM1731)-INT(AM1731))*100,0)&lt;25)=TRUE,0,IF(AND(ROUND(((AM1731)-INT(AM1731))*100,0)&gt;=25,ROUND(((AM1731)-INT(AM1731))*100,0)&lt;50)=TRUE,0.5,IF(AND(ROUND(((AM1731)-INT(AM1731))*100,0)&gt;=50,ROUND(((AM1731)-INT(AM1731))*100,0)&lt;75)=TRUE,0.5,1))))),"-")</f>
        <v>-</v>
      </c>
      <c r="AO1731" s="601" t="str">
        <f t="shared" ref="AO1731:AO1758" ca="1" si="580">IF(OR($L$1498=2,$L$1499=2,$L$1500=2,$L$1501=2)=TRUE,IFERROR($AV$1500-(($B$1723-1.1-B1731)*COS($AU$1500/180*PI())+$AP$1499*SIN($AU$1500/180*PI())),""),"")</f>
        <v/>
      </c>
      <c r="AP1731" s="480" t="str">
        <f ca="1">IFERROR(IF(AO1731&lt;0,(INT(AO1731*-1)+IF(AND(ROUND(((AO1731*-1)-INT(AO1731*-1))*100,0)&gt;=0,ROUND(((AO1731*-1)-INT(AO1731*-1))*100,0)&lt;25)=TRUE,0,IF(AND(ROUND(((AO1731*-1)-INT(AO1731*-1))*100,0)&gt;=25,ROUND(((AO1731*-1)-INT(AO1731*-1))*100,0)&lt;50)=TRUE,0.5,IF(AND(ROUND(((AO1731*-1)-INT(AO1731*-1))*100,0)&gt;=50,ROUND(((AO1731*-1)-INT(AO1731*-1))*100,0)&lt;75)=TRUE,0.5,1))))*-1,(INT(AO1731)+IF(AND(ROUND(((AO1731)-INT(AO1731))*100,0)&gt;=0,ROUND(((AO1731)-INT(AO1731))*100,0)&lt;25)=TRUE,0,IF(AND(ROUND(((AO1731)-INT(AO1731))*100,0)&gt;=25,ROUND(((AO1731)-INT(AO1731))*100,0)&lt;50)=TRUE,0.5,IF(AND(ROUND(((AO1731)-INT(AO1731))*100,0)&gt;=50,ROUND(((AO1731)-INT(AO1731))*100,0)&lt;75)=TRUE,0.5,1))))),"-")</f>
        <v>-</v>
      </c>
      <c r="AQ1731" s="477" t="str">
        <f t="shared" ref="AQ1731:AQ1758" ca="1" si="581">IF(OR($L$1498=2,$L$1499=2,$L$1500=2,$L$1501=2)=TRUE,IFERROR($AV$1501-(($B$1723-1.1-B1731)*COS($AU$1501/180*PI())+$AP$1499*SIN($AU$1501/180*PI())),""),"")</f>
        <v/>
      </c>
      <c r="AR1731" s="480" t="str">
        <f ca="1">IFERROR(IF(AQ1731&lt;0,(INT(AQ1731*-1)+IF(AND(ROUND(((AQ1731*-1)-INT(AQ1731*-1))*100,0)&gt;=0,ROUND(((AQ1731*-1)-INT(AQ1731*-1))*100,0)&lt;25)=TRUE,0,IF(AND(ROUND(((AQ1731*-1)-INT(AQ1731*-1))*100,0)&gt;=25,ROUND(((AQ1731*-1)-INT(AQ1731*-1))*100,0)&lt;50)=TRUE,0.5,IF(AND(ROUND(((AQ1731*-1)-INT(AQ1731*-1))*100,0)&gt;=50,ROUND(((AQ1731*-1)-INT(AQ1731*-1))*100,0)&lt;75)=TRUE,0.5,1))))*-1,(INT(AQ1731)+IF(AND(ROUND(((AQ1731)-INT(AQ1731))*100,0)&gt;=0,ROUND(((AQ1731)-INT(AQ1731))*100,0)&lt;25)=TRUE,0,IF(AND(ROUND(((AQ1731)-INT(AQ1731))*100,0)&gt;=25,ROUND(((AQ1731)-INT(AQ1731))*100,0)&lt;50)=TRUE,0.5,IF(AND(ROUND(((AQ1731)-INT(AQ1731))*100,0)&gt;=50,ROUND(((AQ1731)-INT(AQ1731))*100,0)&lt;75)=TRUE,0.5,1))))),"-")</f>
        <v>-</v>
      </c>
      <c r="AT1731" s="490" t="str">
        <f ca="1">IFERROR(VLOOKUP(AL1731,$CV$1504:$CW$1561,2,FALSE),"")</f>
        <v/>
      </c>
      <c r="AU1731" s="491" t="str">
        <f ca="1">IFERROR(VLOOKUP(AN1731,$CV$1504:$CW$1561,2,FALSE),"")</f>
        <v/>
      </c>
      <c r="AV1731" s="491" t="str">
        <f ca="1">IFERROR(VLOOKUP(AP1731,$CV$1504:$CW$1561,2,FALSE),"")</f>
        <v/>
      </c>
      <c r="AW1731" s="492" t="str">
        <f ca="1">IFERROR(VLOOKUP(AR1731,$CV$1504:$CW$1561,2,FALSE),"")</f>
        <v/>
      </c>
      <c r="AX1731" s="34"/>
      <c r="AY1731" s="474" t="str">
        <f t="shared" ref="AY1731:AY1758" ca="1" si="582">IF(OR($L$1498=4,$L$1499=4,$L$1500=4,$L$1501=4)=TRUE,IFERROR(($BG$1498+B1731-$B$1723)*COS(-$BF$1498*PI()/180),""),"")</f>
        <v/>
      </c>
      <c r="AZ1731" s="480" t="str">
        <f ca="1">IFERROR(IF(AY1731&lt;0,(INT(AY1731*-1)+IF(AND(ROUND(((AY1731*-1)-INT(AY1731*-1))*100,0)&gt;=0,ROUND(((AY1731*-1)-INT(AY1731*-1))*100,0)&lt;25)=TRUE,0,IF(AND(ROUND(((AY1731*-1)-INT(AY1731*-1))*100,0)&gt;=25,ROUND(((AY1731*-1)-INT(AY1731*-1))*100,0)&lt;50)=TRUE,0.5,IF(AND(ROUND(((AY1731*-1)-INT(AY1731*-1))*100,0)&gt;=50,ROUND(((AY1731*-1)-INT(AY1731*-1))*100,0)&lt;75)=TRUE,0.5,1))))*-1,(INT(AY1731)+IF(AND(ROUND(((AY1731)-INT(AY1731))*100,0)&gt;=0,ROUND(((AY1731)-INT(AY1731))*100,0)&lt;25)=TRUE,0,IF(AND(ROUND(((AY1731)-INT(AY1731))*100,0)&gt;=25,ROUND(((AY1731)-INT(AY1731))*100,0)&lt;50)=TRUE,0.5,IF(AND(ROUND(((AY1731)-INT(AY1731))*100,0)&gt;=50,ROUND(((AY1731)-INT(AY1731))*100,0)&lt;75)=TRUE,0.5,1))))),"-")</f>
        <v>-</v>
      </c>
      <c r="BA1731" s="476" t="str">
        <f t="shared" ref="BA1731:BA1758" ca="1" si="583">IF(OR($L$1498=4,$L$1499=4,$L$1500=4,$L$1501=4)=TRUE,IFERROR(($BG$1499+B1731-$B$1723)*COS(-$BF$1499*PI()/180),""),"")</f>
        <v/>
      </c>
      <c r="BB1731" s="480" t="str">
        <f ca="1">IFERROR(IF(BA1731&lt;0,(INT(BA1731*-1)+IF(AND(ROUND(((BA1731*-1)-INT(BA1731*-1))*100,0)&gt;=0,ROUND(((BA1731*-1)-INT(BA1731*-1))*100,0)&lt;25)=TRUE,0,IF(AND(ROUND(((BA1731*-1)-INT(BA1731*-1))*100,0)&gt;=25,ROUND(((BA1731*-1)-INT(BA1731*-1))*100,0)&lt;50)=TRUE,0.5,IF(AND(ROUND(((BA1731*-1)-INT(BA1731*-1))*100,0)&gt;=50,ROUND(((BA1731*-1)-INT(BA1731*-1))*100,0)&lt;75)=TRUE,0.5,1))))*-1,(INT(BA1731)+IF(AND(ROUND(((BA1731)-INT(BA1731))*100,0)&gt;=0,ROUND(((BA1731)-INT(BA1731))*100,0)&lt;25)=TRUE,0,IF(AND(ROUND(((BA1731)-INT(BA1731))*100,0)&gt;=25,ROUND(((BA1731)-INT(BA1731))*100,0)&lt;50)=TRUE,0.5,IF(AND(ROUND(((BA1731)-INT(BA1731))*100,0)&gt;=50,ROUND(((BA1731)-INT(BA1731))*100,0)&lt;75)=TRUE,0.5,1))))),"-")</f>
        <v>-</v>
      </c>
      <c r="BC1731" s="601" t="str">
        <f t="shared" ref="BC1731:BC1758" ca="1" si="584">IF(OR($L$1498=4,$L$1499=4,$L$1500=4,$L$1501=4)=TRUE,IFERROR(($BG$1500+B1731-$B$1723)*COS(-$BF$1500*PI()/180),""),"")</f>
        <v/>
      </c>
      <c r="BD1731" s="480" t="str">
        <f ca="1">IFERROR(IF(BC1731&lt;0,(INT(BC1731*-1)+IF(AND(ROUND(((BC1731*-1)-INT(BC1731*-1))*100,0)&gt;=0,ROUND(((BC1731*-1)-INT(BC1731*-1))*100,0)&lt;25)=TRUE,0,IF(AND(ROUND(((BC1731*-1)-INT(BC1731*-1))*100,0)&gt;=25,ROUND(((BC1731*-1)-INT(BC1731*-1))*100,0)&lt;50)=TRUE,0.5,IF(AND(ROUND(((BC1731*-1)-INT(BC1731*-1))*100,0)&gt;=50,ROUND(((BC1731*-1)-INT(BC1731*-1))*100,0)&lt;75)=TRUE,0.5,1))))*-1,(INT(BC1731)+IF(AND(ROUND(((BC1731)-INT(BC1731))*100,0)&gt;=0,ROUND(((BC1731)-INT(BC1731))*100,0)&lt;25)=TRUE,0,IF(AND(ROUND(((BC1731)-INT(BC1731))*100,0)&gt;=25,ROUND(((BC1731)-INT(BC1731))*100,0)&lt;50)=TRUE,0.5,IF(AND(ROUND(((BC1731)-INT(BC1731))*100,0)&gt;=50,ROUND(((BC1731)-INT(BC1731))*100,0)&lt;75)=TRUE,0.5,1))))),"-")</f>
        <v>-</v>
      </c>
      <c r="BE1731" s="477" t="str">
        <f t="shared" ref="BE1731:BE1758" ca="1" si="585">IF(OR($L$1498=4,$L$1499=4,$L$1500=4,$L$1501=4)=TRUE,IFERROR(($BG$1501+B1731-$B$1723)*COS(-$BF$1501*PI()/180),""),"")</f>
        <v/>
      </c>
      <c r="BF1731" s="480" t="str">
        <f ca="1">IFERROR(IF(BE1731&lt;0,(INT(BE1731*-1)+IF(AND(ROUND(((BE1731*-1)-INT(BE1731*-1))*100,0)&gt;=0,ROUND(((BE1731*-1)-INT(BE1731*-1))*100,0)&lt;25)=TRUE,0,IF(AND(ROUND(((BE1731*-1)-INT(BE1731*-1))*100,0)&gt;=25,ROUND(((BE1731*-1)-INT(BE1731*-1))*100,0)&lt;50)=TRUE,0.5,IF(AND(ROUND(((BE1731*-1)-INT(BE1731*-1))*100,0)&gt;=50,ROUND(((BE1731*-1)-INT(BE1731*-1))*100,0)&lt;75)=TRUE,0.5,1))))*-1,(INT(BE1731)+IF(AND(ROUND(((BE1731)-INT(BE1731))*100,0)&gt;=0,ROUND(((BE1731)-INT(BE1731))*100,0)&lt;25)=TRUE,0,IF(AND(ROUND(((BE1731)-INT(BE1731))*100,0)&gt;=25,ROUND(((BE1731)-INT(BE1731))*100,0)&lt;50)=TRUE,0.5,IF(AND(ROUND(((BE1731)-INT(BE1731))*100,0)&gt;=50,ROUND(((BE1731)-INT(BE1731))*100,0)&lt;75)=TRUE,0.5,1))))),"-")</f>
        <v>-</v>
      </c>
      <c r="BG1731" s="488" t="str">
        <f ca="1">IFERROR(VLOOKUP(AZ1731,$CV$1504:$CW$1561,2,FALSE),"")</f>
        <v/>
      </c>
      <c r="BH1731" s="483" t="str">
        <f ca="1">IFERROR(VLOOKUP(BB1731,$CV$1504:$CW$1561,2,FALSE),"")</f>
        <v/>
      </c>
      <c r="BI1731" s="483" t="str">
        <f ca="1">IFERROR(VLOOKUP(BD1731,$CV$1504:$CW$1561,2,FALSE),"")</f>
        <v/>
      </c>
      <c r="BJ1731" s="635" t="str">
        <f ca="1">IFERROR(VLOOKUP(BF1731,$CV$1504:$CW$1561,2,FALSE),"")</f>
        <v/>
      </c>
      <c r="BK1731" s="34" t="str">
        <f ca="1">IF(OR(B1731=3,B1731=4,B1731=5,B1731=6,B1731=7)=TRUE,B1731,"")</f>
        <v/>
      </c>
      <c r="BL1731" s="71" t="e">
        <f t="shared" ref="BL1731:BL1758" ca="1" si="586">VLOOKUP($BM$1723,$A$674:$F$682,BK1731-1,FALSE)</f>
        <v>#VALUE!</v>
      </c>
      <c r="BM1731" s="34" t="str">
        <f ca="1">IFERROR(VLOOKUP(BL1731,$CV$1504:$CW$1561,2,FALSE),"")</f>
        <v/>
      </c>
      <c r="BN1731" s="34" t="e">
        <f t="shared" ref="BN1731:BN1758" ca="1" si="587">VLOOKUP($BM$1723,$A$697:$F$705,BK1731-1,FALSE)</f>
        <v>#VALUE!</v>
      </c>
      <c r="BO1731" s="34" t="str">
        <f ca="1">IFERROR(VLOOKUP(BN1731,$CV$1504:$CW$1561,2,FALSE),"")</f>
        <v/>
      </c>
      <c r="BP1731" s="34" t="e">
        <f t="shared" ref="BP1731:BP1758" ca="1" si="588">VLOOKUP($BM$1723,$A$720:$F$728,BK1731-1,FALSE)</f>
        <v>#VALUE!</v>
      </c>
      <c r="BQ1731" s="55" t="str">
        <f ca="1">IFERROR(VLOOKUP(BP1731,$CV$1504:$CW$1561,2,FALSE),"")</f>
        <v/>
      </c>
      <c r="BR1731" s="663" t="str">
        <f ca="1">IF(BR1729=8,$BM$1731,IF(BR1729=10,$BO$1731,IF(BR1729=12,$BQ$1731,"")))</f>
        <v/>
      </c>
      <c r="BS1731" s="664" t="str">
        <f ca="1">IF($BS$1729=8,BM1731,IF($BS$1729=10,BO1731,IF($BS$1729=12,BQ1731,"")))</f>
        <v/>
      </c>
      <c r="BT1731" s="664" t="str">
        <f ca="1">IF($BT$1729=8,BM1731,IF($BT$1729=10,BO1731,IF($BT$1729=12,BQ1731,"")))</f>
        <v/>
      </c>
      <c r="BU1731" s="665" t="str">
        <f ca="1">IF($BU$1729=8,BM1731,IF($BU$1729=10,BO1731,IF($BU$1729=12,BQ1731,"")))</f>
        <v/>
      </c>
      <c r="BV1731" s="34"/>
      <c r="BW1731" s="34"/>
      <c r="BX1731" s="34"/>
      <c r="BY1731" s="34"/>
      <c r="BZ1731" s="34"/>
      <c r="CA1731" s="34"/>
      <c r="CB1731" s="34"/>
      <c r="CC1731" s="8"/>
      <c r="CD1731" s="8"/>
      <c r="CE1731" s="8"/>
      <c r="CF1731" s="8"/>
      <c r="CG1731" s="8"/>
      <c r="CH1731" s="8"/>
      <c r="CI1731" s="8"/>
      <c r="CJ1731" s="8"/>
      <c r="CK1731" s="8"/>
      <c r="CL1731" s="8"/>
      <c r="CM1731" s="8"/>
      <c r="CN1731" s="8"/>
      <c r="CO1731" s="8"/>
      <c r="CP1731" s="8"/>
      <c r="CQ1731" s="8"/>
      <c r="CR1731" s="8"/>
      <c r="CS1731" s="34"/>
    </row>
    <row r="1732" spans="1:97" hidden="1" outlineLevel="1" x14ac:dyDescent="0.25">
      <c r="A1732">
        <f t="shared" ref="A1732:A1758" ca="1" si="589">IF(SUM(U1732:AJ1732)+SUM(AT1732:AW1732)+SUM(BG1732:BJ1732)+SUM(BR1732:BU1732)&gt;0,1,0)</f>
        <v>1</v>
      </c>
      <c r="B1732">
        <f t="shared" ca="1" si="562"/>
        <v>24</v>
      </c>
      <c r="C1732" s="34">
        <f ca="1">IF(OR($L$1498=1,$L$1499=1,$L$1500=1,$L$1501=1)=TRUE,($B$1723-15-B1732)*-1-$H$1498,"")</f>
        <v>33</v>
      </c>
      <c r="D1732" s="34">
        <f t="shared" ref="D1732:D1758" ca="1" si="590">IFERROR(IF(OR($L$1723=1,$L$1724=1,$L$1725=1,$L$1726=1)=TRUE,($B$1723-15-B1732)*-1-$I$1723,""),"")</f>
        <v>30</v>
      </c>
      <c r="E1732" s="34">
        <f t="shared" ref="E1732:E1758" ca="1" si="591">IFERROR(IF(OR($L$1723=1,$L$1724=1,$L$1725=1,$L$1726=1)=TRUE,($B$1723-15-B1732)*-1-$J$1723,""),"")</f>
        <v>23.5</v>
      </c>
      <c r="F1732" s="55">
        <f t="shared" ref="F1732:F1758" ca="1" si="592">IFERROR(IF(OR($L$1723=1,$L$1724=1,$L$1725=1,$L$1726=1)=TRUE,($B$1723-15-B1732)*-1-$K$1723,""),"")</f>
        <v>14</v>
      </c>
      <c r="G1732" s="34" t="str">
        <f t="shared" ref="G1732:G1758" ca="1" si="593">IFERROR(IF(OR($L$1723=1,$L$1724=1,$L$1725=1,$L$1726=1)=TRUE,($B$1723-15-B1732)*-1-$H$1724,""),"")</f>
        <v/>
      </c>
      <c r="H1732" s="34" t="str">
        <f t="shared" ref="H1732:H1758" ca="1" si="594">IFERROR(IF(OR($L$1723=1,$L$1724=1,$L$1725=1,$L$1726=1)=TRUE,($B$1723-15-B1732)*-1-$I$1724,""),"")</f>
        <v/>
      </c>
      <c r="I1732" s="34" t="str">
        <f t="shared" ref="I1732:I1758" ca="1" si="595">IFERROR(IF(OR($L$1723=1,$L$1724=1,$L$1725=1,$L$1726=1)=TRUE,($B$1723-15-B1732)*-1-$J$1724,""),"")</f>
        <v/>
      </c>
      <c r="J1732" s="55" t="str">
        <f t="shared" ref="J1732:J1758" ca="1" si="596">IFERROR(IF(OR($L$1723=1,$L$1724=1,$L$1725=1,$L$1726=1)=TRUE,($B$1723-15-B1732)*-1-$K$1724,""),"")</f>
        <v/>
      </c>
      <c r="K1732" s="71" t="str">
        <f t="shared" ref="K1732:K1758" ca="1" si="597">IFERROR(IF(OR($L$1723=1,$L$1724=1,$L$1725=1,$L$1726=1)=TRUE,($B$1723-15-B1732)*-1-$H$1725,""),"")</f>
        <v/>
      </c>
      <c r="L1732" s="34" t="str">
        <f t="shared" ref="L1732:L1758" ca="1" si="598">IFERROR(IF(OR($L$1723=1,$L$1724=1,$L$1725=1,$L$1726=1)=TRUE,($B$1723-15-B1732)*-1-$I$1725,""),"")</f>
        <v/>
      </c>
      <c r="M1732" s="34" t="str">
        <f t="shared" ref="M1732:M1758" ca="1" si="599">IFERROR(IF(OR($L$1723=1,$L$1724=1,$L$1725=1,$L$1726=1)=TRUE,($B$1723-15-B1732)*-1-$J$1725,""),"")</f>
        <v/>
      </c>
      <c r="N1732" s="55" t="str">
        <f t="shared" ref="N1732:N1758" ca="1" si="600">IFERROR(IF(OR($L$1723=1,$L$1724=1,$L$1725=1,$L$1726=1)=TRUE,($B$1723-15-B1732)*-1-$K$1725,""),"")</f>
        <v/>
      </c>
      <c r="O1732" s="71">
        <f t="shared" ref="O1732:O1758" ca="1" si="601">IFERROR(IF(OR($L$1723=1,$L$1724=1,$L$1725=1,$L$1726=1)=TRUE,($B$1723-15-B1732)*-1-$H$1726,""),"")</f>
        <v>19</v>
      </c>
      <c r="P1732" s="34" t="str">
        <f t="shared" ref="P1732:P1758" ca="1" si="602">IFERROR(IF(OR($L$1723=1,$L$1724=1,$L$1725=1,$L$1726=1)=TRUE,($B$1723-15-B1732)*-1-$I$1726,""),"")</f>
        <v/>
      </c>
      <c r="Q1732" s="34" t="str">
        <f t="shared" ref="Q1732:Q1758" ca="1" si="603">IFERROR(IF(OR($L$1723=1,$L$1724=1,$L$1725=1,$L$1726=1)=TRUE,($B$1723-15-B1732)*-1-$J$1726,""),"")</f>
        <v/>
      </c>
      <c r="R1732" s="55" t="str">
        <f t="shared" ref="R1732:R1758" ca="1" si="604">IFERROR(IF(OR($L$1723=1,$L$1724=1,$L$1725=1,$L$1726=1)=TRUE,($B$1723-15-B1732)*-1-$K$1726,""),"")</f>
        <v/>
      </c>
      <c r="U1732" s="485" t="str">
        <f ca="1">IFERROR(VLOOKUP(C1732,$CV$1504:$CW$1561,2,FALSE),"")</f>
        <v/>
      </c>
      <c r="V1732" s="486" t="str">
        <f t="shared" ref="V1732:AJ1732" ca="1" si="605">IFERROR(VLOOKUP(D1732,$CV$1504:$CW$1561,2,FALSE),"")</f>
        <v/>
      </c>
      <c r="W1732" s="486" t="str">
        <f t="shared" ca="1" si="605"/>
        <v/>
      </c>
      <c r="X1732" s="486">
        <f t="shared" ca="1" si="605"/>
        <v>1</v>
      </c>
      <c r="Y1732" s="485" t="str">
        <f t="shared" ca="1" si="605"/>
        <v/>
      </c>
      <c r="Z1732" s="486" t="str">
        <f t="shared" ca="1" si="605"/>
        <v/>
      </c>
      <c r="AA1732" s="486" t="str">
        <f t="shared" ca="1" si="605"/>
        <v/>
      </c>
      <c r="AB1732" s="486" t="str">
        <f t="shared" ca="1" si="605"/>
        <v/>
      </c>
      <c r="AC1732" s="485" t="str">
        <f t="shared" ca="1" si="605"/>
        <v/>
      </c>
      <c r="AD1732" s="486" t="str">
        <f t="shared" ca="1" si="605"/>
        <v/>
      </c>
      <c r="AE1732" s="486" t="str">
        <f t="shared" ca="1" si="605"/>
        <v/>
      </c>
      <c r="AF1732" s="486" t="str">
        <f t="shared" ca="1" si="605"/>
        <v/>
      </c>
      <c r="AG1732" s="485">
        <f t="shared" ca="1" si="605"/>
        <v>1</v>
      </c>
      <c r="AH1732" s="486" t="str">
        <f t="shared" ca="1" si="605"/>
        <v/>
      </c>
      <c r="AI1732" s="486" t="str">
        <f t="shared" ca="1" si="605"/>
        <v/>
      </c>
      <c r="AJ1732" s="486" t="str">
        <f t="shared" ca="1" si="605"/>
        <v/>
      </c>
      <c r="AK1732" s="474" t="str">
        <f t="shared" ca="1" si="578"/>
        <v/>
      </c>
      <c r="AL1732" s="480" t="str">
        <f t="shared" ref="AL1732:AL1758" ca="1" si="606">IFERROR(IF(AK1732&lt;0,(INT(AK1732*-1)+IF(AND(ROUND(((AK1732*-1)-INT(AK1732*-1))*100,0)&gt;=0,ROUND(((AK1732*-1)-INT(AK1732*-1))*100,0)&lt;25)=TRUE,0,IF(AND(ROUND(((AK1732*-1)-INT(AK1732*-1))*100,0)&gt;=25,ROUND(((AK1732*-1)-INT(AK1732*-1))*100,0)&lt;50)=TRUE,0.5,IF(AND(ROUND(((AK1732*-1)-INT(AK1732*-1))*100,0)&gt;=50,ROUND(((AK1732*-1)-INT(AK1732*-1))*100,0)&lt;75)=TRUE,0.5,1))))*-1,(INT(AK1732)+IF(AND(ROUND(((AK1732)-INT(AK1732))*100,0)&gt;=0,ROUND(((AK1732)-INT(AK1732))*100,0)&lt;25)=TRUE,0,IF(AND(ROUND(((AK1732)-INT(AK1732))*100,0)&gt;=25,ROUND(((AK1732)-INT(AK1732))*100,0)&lt;50)=TRUE,0.5,IF(AND(ROUND(((AK1732)-INT(AK1732))*100,0)&gt;=50,ROUND(((AK1732)-INT(AK1732))*100,0)&lt;75)=TRUE,0.5,1))))),"-")</f>
        <v>-</v>
      </c>
      <c r="AM1732" s="476" t="str">
        <f t="shared" ca="1" si="579"/>
        <v/>
      </c>
      <c r="AN1732" s="480" t="str">
        <f t="shared" ref="AN1732:AN1758" ca="1" si="607">IFERROR(IF(AM1732&lt;0,(INT(AM1732*-1)+IF(AND(ROUND(((AM1732*-1)-INT(AM1732*-1))*100,0)&gt;=0,ROUND(((AM1732*-1)-INT(AM1732*-1))*100,0)&lt;25)=TRUE,0,IF(AND(ROUND(((AM1732*-1)-INT(AM1732*-1))*100,0)&gt;=25,ROUND(((AM1732*-1)-INT(AM1732*-1))*100,0)&lt;50)=TRUE,0.5,IF(AND(ROUND(((AM1732*-1)-INT(AM1732*-1))*100,0)&gt;=50,ROUND(((AM1732*-1)-INT(AM1732*-1))*100,0)&lt;75)=TRUE,0.5,1))))*-1,(INT(AM1732)+IF(AND(ROUND(((AM1732)-INT(AM1732))*100,0)&gt;=0,ROUND(((AM1732)-INT(AM1732))*100,0)&lt;25)=TRUE,0,IF(AND(ROUND(((AM1732)-INT(AM1732))*100,0)&gt;=25,ROUND(((AM1732)-INT(AM1732))*100,0)&lt;50)=TRUE,0.5,IF(AND(ROUND(((AM1732)-INT(AM1732))*100,0)&gt;=50,ROUND(((AM1732)-INT(AM1732))*100,0)&lt;75)=TRUE,0.5,1))))),"-")</f>
        <v>-</v>
      </c>
      <c r="AO1732" s="601" t="str">
        <f t="shared" ca="1" si="580"/>
        <v/>
      </c>
      <c r="AP1732" s="480" t="str">
        <f t="shared" ref="AP1732:AP1758" ca="1" si="608">IFERROR(IF(AO1732&lt;0,(INT(AO1732*-1)+IF(AND(ROUND(((AO1732*-1)-INT(AO1732*-1))*100,0)&gt;=0,ROUND(((AO1732*-1)-INT(AO1732*-1))*100,0)&lt;25)=TRUE,0,IF(AND(ROUND(((AO1732*-1)-INT(AO1732*-1))*100,0)&gt;=25,ROUND(((AO1732*-1)-INT(AO1732*-1))*100,0)&lt;50)=TRUE,0.5,IF(AND(ROUND(((AO1732*-1)-INT(AO1732*-1))*100,0)&gt;=50,ROUND(((AO1732*-1)-INT(AO1732*-1))*100,0)&lt;75)=TRUE,0.5,1))))*-1,(INT(AO1732)+IF(AND(ROUND(((AO1732)-INT(AO1732))*100,0)&gt;=0,ROUND(((AO1732)-INT(AO1732))*100,0)&lt;25)=TRUE,0,IF(AND(ROUND(((AO1732)-INT(AO1732))*100,0)&gt;=25,ROUND(((AO1732)-INT(AO1732))*100,0)&lt;50)=TRUE,0.5,IF(AND(ROUND(((AO1732)-INT(AO1732))*100,0)&gt;=50,ROUND(((AO1732)-INT(AO1732))*100,0)&lt;75)=TRUE,0.5,1))))),"-")</f>
        <v>-</v>
      </c>
      <c r="AQ1732" s="477" t="str">
        <f t="shared" ca="1" si="581"/>
        <v/>
      </c>
      <c r="AR1732" s="480" t="str">
        <f t="shared" ref="AR1732:AR1758" ca="1" si="609">IFERROR(IF(AQ1732&lt;0,(INT(AQ1732*-1)+IF(AND(ROUND(((AQ1732*-1)-INT(AQ1732*-1))*100,0)&gt;=0,ROUND(((AQ1732*-1)-INT(AQ1732*-1))*100,0)&lt;25)=TRUE,0,IF(AND(ROUND(((AQ1732*-1)-INT(AQ1732*-1))*100,0)&gt;=25,ROUND(((AQ1732*-1)-INT(AQ1732*-1))*100,0)&lt;50)=TRUE,0.5,IF(AND(ROUND(((AQ1732*-1)-INT(AQ1732*-1))*100,0)&gt;=50,ROUND(((AQ1732*-1)-INT(AQ1732*-1))*100,0)&lt;75)=TRUE,0.5,1))))*-1,(INT(AQ1732)+IF(AND(ROUND(((AQ1732)-INT(AQ1732))*100,0)&gt;=0,ROUND(((AQ1732)-INT(AQ1732))*100,0)&lt;25)=TRUE,0,IF(AND(ROUND(((AQ1732)-INT(AQ1732))*100,0)&gt;=25,ROUND(((AQ1732)-INT(AQ1732))*100,0)&lt;50)=TRUE,0.5,IF(AND(ROUND(((AQ1732)-INT(AQ1732))*100,0)&gt;=50,ROUND(((AQ1732)-INT(AQ1732))*100,0)&lt;75)=TRUE,0.5,1))))),"-")</f>
        <v>-</v>
      </c>
      <c r="AT1732" s="490" t="str">
        <f t="shared" ref="AT1732:AT1758" ca="1" si="610">IFERROR(VLOOKUP(AL1732,$CV$1504:$CW$1561,2,FALSE),"")</f>
        <v/>
      </c>
      <c r="AU1732" s="491" t="str">
        <f t="shared" ref="AU1732:AU1758" ca="1" si="611">IFERROR(VLOOKUP(AN1732,$CV$1504:$CW$1561,2,FALSE),"")</f>
        <v/>
      </c>
      <c r="AV1732" s="491" t="str">
        <f t="shared" ref="AV1732:AV1758" ca="1" si="612">IFERROR(VLOOKUP(AP1732,$CV$1504:$CW$1561,2,FALSE),"")</f>
        <v/>
      </c>
      <c r="AW1732" s="492" t="str">
        <f t="shared" ref="AW1732:AW1758" ca="1" si="613">IFERROR(VLOOKUP(AR1732,$CV$1504:$CW$1561,2,FALSE),"")</f>
        <v/>
      </c>
      <c r="AX1732" s="34"/>
      <c r="AY1732" s="474" t="str">
        <f t="shared" ca="1" si="582"/>
        <v/>
      </c>
      <c r="AZ1732" s="480" t="str">
        <f t="shared" ref="AZ1732:AZ1758" ca="1" si="614">IFERROR(IF(AY1732&lt;0,(INT(AY1732*-1)+IF(AND(ROUND(((AY1732*-1)-INT(AY1732*-1))*100,0)&gt;=0,ROUND(((AY1732*-1)-INT(AY1732*-1))*100,0)&lt;25)=TRUE,0,IF(AND(ROUND(((AY1732*-1)-INT(AY1732*-1))*100,0)&gt;=25,ROUND(((AY1732*-1)-INT(AY1732*-1))*100,0)&lt;50)=TRUE,0.5,IF(AND(ROUND(((AY1732*-1)-INT(AY1732*-1))*100,0)&gt;=50,ROUND(((AY1732*-1)-INT(AY1732*-1))*100,0)&lt;75)=TRUE,0.5,1))))*-1,(INT(AY1732)+IF(AND(ROUND(((AY1732)-INT(AY1732))*100,0)&gt;=0,ROUND(((AY1732)-INT(AY1732))*100,0)&lt;25)=TRUE,0,IF(AND(ROUND(((AY1732)-INT(AY1732))*100,0)&gt;=25,ROUND(((AY1732)-INT(AY1732))*100,0)&lt;50)=TRUE,0.5,IF(AND(ROUND(((AY1732)-INT(AY1732))*100,0)&gt;=50,ROUND(((AY1732)-INT(AY1732))*100,0)&lt;75)=TRUE,0.5,1))))),"-")</f>
        <v>-</v>
      </c>
      <c r="BA1732" s="476" t="str">
        <f t="shared" ca="1" si="583"/>
        <v/>
      </c>
      <c r="BB1732" s="480" t="str">
        <f t="shared" ref="BB1732:BB1758" ca="1" si="615">IFERROR(IF(BA1732&lt;0,(INT(BA1732*-1)+IF(AND(ROUND(((BA1732*-1)-INT(BA1732*-1))*100,0)&gt;=0,ROUND(((BA1732*-1)-INT(BA1732*-1))*100,0)&lt;25)=TRUE,0,IF(AND(ROUND(((BA1732*-1)-INT(BA1732*-1))*100,0)&gt;=25,ROUND(((BA1732*-1)-INT(BA1732*-1))*100,0)&lt;50)=TRUE,0.5,IF(AND(ROUND(((BA1732*-1)-INT(BA1732*-1))*100,0)&gt;=50,ROUND(((BA1732*-1)-INT(BA1732*-1))*100,0)&lt;75)=TRUE,0.5,1))))*-1,(INT(BA1732)+IF(AND(ROUND(((BA1732)-INT(BA1732))*100,0)&gt;=0,ROUND(((BA1732)-INT(BA1732))*100,0)&lt;25)=TRUE,0,IF(AND(ROUND(((BA1732)-INT(BA1732))*100,0)&gt;=25,ROUND(((BA1732)-INT(BA1732))*100,0)&lt;50)=TRUE,0.5,IF(AND(ROUND(((BA1732)-INT(BA1732))*100,0)&gt;=50,ROUND(((BA1732)-INT(BA1732))*100,0)&lt;75)=TRUE,0.5,1))))),"-")</f>
        <v>-</v>
      </c>
      <c r="BC1732" s="601" t="str">
        <f t="shared" ca="1" si="584"/>
        <v/>
      </c>
      <c r="BD1732" s="480" t="str">
        <f t="shared" ref="BD1732:BD1758" ca="1" si="616">IFERROR(IF(BC1732&lt;0,(INT(BC1732*-1)+IF(AND(ROUND(((BC1732*-1)-INT(BC1732*-1))*100,0)&gt;=0,ROUND(((BC1732*-1)-INT(BC1732*-1))*100,0)&lt;25)=TRUE,0,IF(AND(ROUND(((BC1732*-1)-INT(BC1732*-1))*100,0)&gt;=25,ROUND(((BC1732*-1)-INT(BC1732*-1))*100,0)&lt;50)=TRUE,0.5,IF(AND(ROUND(((BC1732*-1)-INT(BC1732*-1))*100,0)&gt;=50,ROUND(((BC1732*-1)-INT(BC1732*-1))*100,0)&lt;75)=TRUE,0.5,1))))*-1,(INT(BC1732)+IF(AND(ROUND(((BC1732)-INT(BC1732))*100,0)&gt;=0,ROUND(((BC1732)-INT(BC1732))*100,0)&lt;25)=TRUE,0,IF(AND(ROUND(((BC1732)-INT(BC1732))*100,0)&gt;=25,ROUND(((BC1732)-INT(BC1732))*100,0)&lt;50)=TRUE,0.5,IF(AND(ROUND(((BC1732)-INT(BC1732))*100,0)&gt;=50,ROUND(((BC1732)-INT(BC1732))*100,0)&lt;75)=TRUE,0.5,1))))),"-")</f>
        <v>-</v>
      </c>
      <c r="BE1732" s="477" t="str">
        <f t="shared" ca="1" si="585"/>
        <v/>
      </c>
      <c r="BF1732" s="480" t="str">
        <f t="shared" ref="BF1732:BF1758" ca="1" si="617">IFERROR(IF(BE1732&lt;0,(INT(BE1732*-1)+IF(AND(ROUND(((BE1732*-1)-INT(BE1732*-1))*100,0)&gt;=0,ROUND(((BE1732*-1)-INT(BE1732*-1))*100,0)&lt;25)=TRUE,0,IF(AND(ROUND(((BE1732*-1)-INT(BE1732*-1))*100,0)&gt;=25,ROUND(((BE1732*-1)-INT(BE1732*-1))*100,0)&lt;50)=TRUE,0.5,IF(AND(ROUND(((BE1732*-1)-INT(BE1732*-1))*100,0)&gt;=50,ROUND(((BE1732*-1)-INT(BE1732*-1))*100,0)&lt;75)=TRUE,0.5,1))))*-1,(INT(BE1732)+IF(AND(ROUND(((BE1732)-INT(BE1732))*100,0)&gt;=0,ROUND(((BE1732)-INT(BE1732))*100,0)&lt;25)=TRUE,0,IF(AND(ROUND(((BE1732)-INT(BE1732))*100,0)&gt;=25,ROUND(((BE1732)-INT(BE1732))*100,0)&lt;50)=TRUE,0.5,IF(AND(ROUND(((BE1732)-INT(BE1732))*100,0)&gt;=50,ROUND(((BE1732)-INT(BE1732))*100,0)&lt;75)=TRUE,0.5,1))))),"-")</f>
        <v>-</v>
      </c>
      <c r="BG1732" s="488" t="str">
        <f t="shared" ref="BG1732:BG1758" ca="1" si="618">IFERROR(VLOOKUP(AZ1732,$CV$1504:$CW$1561,2,FALSE),"")</f>
        <v/>
      </c>
      <c r="BH1732" s="483" t="str">
        <f t="shared" ref="BH1732:BH1758" ca="1" si="619">IFERROR(VLOOKUP(BB1732,$CV$1504:$CW$1561,2,FALSE),"")</f>
        <v/>
      </c>
      <c r="BI1732" s="483" t="str">
        <f t="shared" ref="BI1732:BI1758" ca="1" si="620">IFERROR(VLOOKUP(BD1732,$CV$1504:$CW$1561,2,FALSE),"")</f>
        <v/>
      </c>
      <c r="BJ1732" s="635" t="str">
        <f t="shared" ref="BJ1732:BJ1758" ca="1" si="621">IFERROR(VLOOKUP(BF1732,$CV$1504:$CW$1561,2,FALSE),"")</f>
        <v/>
      </c>
      <c r="BK1732" s="34" t="str">
        <f t="shared" ref="BK1732:BK1758" ca="1" si="622">IF(OR(B1732=3,B1732=4,B1732=5,B1732=6,B1732=7)=TRUE,B1732,"")</f>
        <v/>
      </c>
      <c r="BL1732" s="71" t="e">
        <f t="shared" ca="1" si="586"/>
        <v>#VALUE!</v>
      </c>
      <c r="BM1732" s="34" t="str">
        <f t="shared" ref="BM1732:BM1758" ca="1" si="623">IFERROR(VLOOKUP(BL1732,$CV$1504:$CW$1561,2,FALSE),"")</f>
        <v/>
      </c>
      <c r="BN1732" s="34" t="e">
        <f t="shared" ca="1" si="587"/>
        <v>#VALUE!</v>
      </c>
      <c r="BO1732" s="34" t="str">
        <f t="shared" ref="BO1732:BO1758" ca="1" si="624">IFERROR(VLOOKUP(BN1732,$CV$1504:$CW$1561,2,FALSE),"")</f>
        <v/>
      </c>
      <c r="BP1732" s="34" t="e">
        <f t="shared" ca="1" si="588"/>
        <v>#VALUE!</v>
      </c>
      <c r="BQ1732" s="55" t="str">
        <f t="shared" ref="BQ1732:BQ1758" ca="1" si="625">IFERROR(VLOOKUP(BP1732,$CV$1504:$CW$1561,2,FALSE),"")</f>
        <v/>
      </c>
      <c r="BR1732" s="485" t="str">
        <f t="shared" ref="BR1732:BR1758" si="626">IF(BR1730=8,$BM$1731,IF(BR1730=10,$BO$1731,IF(BR1730=12,$BQ$1731,"")))</f>
        <v/>
      </c>
      <c r="BS1732" s="634" t="str">
        <f t="shared" ref="BS1732:BS1758" ca="1" si="627">IF($BS$1729=8,BM1732,IF($BS$1729=10,BO1732,IF($BS$1729=12,BQ1732,"")))</f>
        <v/>
      </c>
      <c r="BT1732" s="634" t="str">
        <f t="shared" ref="BT1732:BT1758" ca="1" si="628">IF($BT$1729=8,BM1732,IF($BT$1729=10,BO1732,IF($BT$1729=12,BQ1732,"")))</f>
        <v/>
      </c>
      <c r="BU1732" s="666" t="str">
        <f t="shared" ref="BU1732:BU1758" ca="1" si="629">IF($BU$1729=8,BM1732,IF($BU$1729=10,BO1732,IF($BU$1729=12,BQ1732,"")))</f>
        <v/>
      </c>
    </row>
    <row r="1733" spans="1:97" hidden="1" outlineLevel="1" x14ac:dyDescent="0.25">
      <c r="A1733">
        <f t="shared" ca="1" si="589"/>
        <v>0</v>
      </c>
      <c r="B1733">
        <f t="shared" ca="1" si="562"/>
        <v>23</v>
      </c>
      <c r="C1733" s="34">
        <f t="shared" ref="C1733:C1758" ca="1" si="630">IFERROR(IF(OR($L$1723=1,$L$1724=1,$L$1725=1,$L$1726=1)=TRUE,($B$1723-15-B1733)*-1-$H$1723,""),"")</f>
        <v>32</v>
      </c>
      <c r="D1733" s="34">
        <f t="shared" ca="1" si="590"/>
        <v>29</v>
      </c>
      <c r="E1733" s="34">
        <f t="shared" ca="1" si="591"/>
        <v>22.5</v>
      </c>
      <c r="F1733" s="55">
        <f t="shared" ca="1" si="592"/>
        <v>13</v>
      </c>
      <c r="G1733" s="34" t="str">
        <f t="shared" ca="1" si="593"/>
        <v/>
      </c>
      <c r="H1733" s="34" t="str">
        <f t="shared" ca="1" si="594"/>
        <v/>
      </c>
      <c r="I1733" s="34" t="str">
        <f t="shared" ca="1" si="595"/>
        <v/>
      </c>
      <c r="J1733" s="55" t="str">
        <f t="shared" ca="1" si="596"/>
        <v/>
      </c>
      <c r="K1733" s="71" t="str">
        <f t="shared" ca="1" si="597"/>
        <v/>
      </c>
      <c r="L1733" s="34" t="str">
        <f t="shared" ca="1" si="598"/>
        <v/>
      </c>
      <c r="M1733" s="34" t="str">
        <f t="shared" ca="1" si="599"/>
        <v/>
      </c>
      <c r="N1733" s="55" t="str">
        <f t="shared" ca="1" si="600"/>
        <v/>
      </c>
      <c r="O1733" s="71">
        <f t="shared" ca="1" si="601"/>
        <v>18</v>
      </c>
      <c r="P1733" s="34" t="str">
        <f t="shared" ca="1" si="602"/>
        <v/>
      </c>
      <c r="Q1733" s="34" t="str">
        <f t="shared" ca="1" si="603"/>
        <v/>
      </c>
      <c r="R1733" s="55" t="str">
        <f t="shared" ca="1" si="604"/>
        <v/>
      </c>
      <c r="U1733" s="485" t="str">
        <f t="shared" ref="U1733:U1758" ca="1" si="631">IFERROR(VLOOKUP(C1733,$CV$1504:$CW$1561,2,FALSE),"")</f>
        <v/>
      </c>
      <c r="V1733" s="486" t="str">
        <f t="shared" ref="V1733:V1758" ca="1" si="632">IFERROR(VLOOKUP(D1733,$CV$1504:$CW$1561,2,FALSE),"")</f>
        <v/>
      </c>
      <c r="W1733" s="486" t="str">
        <f t="shared" ref="W1733:W1758" ca="1" si="633">IFERROR(VLOOKUP(E1733,$CV$1504:$CW$1561,2,FALSE),"")</f>
        <v/>
      </c>
      <c r="X1733" s="486" t="str">
        <f t="shared" ref="X1733:X1758" ca="1" si="634">IFERROR(VLOOKUP(F1733,$CV$1504:$CW$1561,2,FALSE),"")</f>
        <v/>
      </c>
      <c r="Y1733" s="485" t="str">
        <f t="shared" ref="Y1733:Y1758" ca="1" si="635">IFERROR(VLOOKUP(G1733,$CV$1504:$CW$1561,2,FALSE),"")</f>
        <v/>
      </c>
      <c r="Z1733" s="486" t="str">
        <f t="shared" ref="Z1733:Z1758" ca="1" si="636">IFERROR(VLOOKUP(H1733,$CV$1504:$CW$1561,2,FALSE),"")</f>
        <v/>
      </c>
      <c r="AA1733" s="486" t="str">
        <f t="shared" ref="AA1733:AA1758" ca="1" si="637">IFERROR(VLOOKUP(I1733,$CV$1504:$CW$1561,2,FALSE),"")</f>
        <v/>
      </c>
      <c r="AB1733" s="486" t="str">
        <f t="shared" ref="AB1733:AB1758" ca="1" si="638">IFERROR(VLOOKUP(J1733,$CV$1504:$CW$1561,2,FALSE),"")</f>
        <v/>
      </c>
      <c r="AC1733" s="485" t="str">
        <f t="shared" ref="AC1733:AC1758" ca="1" si="639">IFERROR(VLOOKUP(K1733,$CV$1504:$CW$1561,2,FALSE),"")</f>
        <v/>
      </c>
      <c r="AD1733" s="486" t="str">
        <f t="shared" ref="AD1733:AD1758" ca="1" si="640">IFERROR(VLOOKUP(L1733,$CV$1504:$CW$1561,2,FALSE),"")</f>
        <v/>
      </c>
      <c r="AE1733" s="486" t="str">
        <f t="shared" ref="AE1733:AE1758" ca="1" si="641">IFERROR(VLOOKUP(M1733,$CV$1504:$CW$1561,2,FALSE),"")</f>
        <v/>
      </c>
      <c r="AF1733" s="486" t="str">
        <f t="shared" ref="AF1733:AF1758" ca="1" si="642">IFERROR(VLOOKUP(N1733,$CV$1504:$CW$1561,2,FALSE),"")</f>
        <v/>
      </c>
      <c r="AG1733" s="485" t="str">
        <f t="shared" ref="AG1733:AG1758" ca="1" si="643">IFERROR(VLOOKUP(O1733,$CV$1504:$CW$1561,2,FALSE),"")</f>
        <v/>
      </c>
      <c r="AH1733" s="486" t="str">
        <f t="shared" ref="AH1733:AH1758" ca="1" si="644">IFERROR(VLOOKUP(P1733,$CV$1504:$CW$1561,2,FALSE),"")</f>
        <v/>
      </c>
      <c r="AI1733" s="486" t="str">
        <f t="shared" ref="AI1733:AI1758" ca="1" si="645">IFERROR(VLOOKUP(Q1733,$CV$1504:$CW$1561,2,FALSE),"")</f>
        <v/>
      </c>
      <c r="AJ1733" s="486" t="str">
        <f t="shared" ref="AJ1733:AJ1757" ca="1" si="646">IFERROR(VLOOKUP(R1733,$CV$1504:$CW$1561,2,FALSE),"")</f>
        <v/>
      </c>
      <c r="AK1733" s="474" t="str">
        <f t="shared" ca="1" si="578"/>
        <v/>
      </c>
      <c r="AL1733" s="480" t="str">
        <f t="shared" ca="1" si="606"/>
        <v>-</v>
      </c>
      <c r="AM1733" s="476" t="str">
        <f t="shared" ca="1" si="579"/>
        <v/>
      </c>
      <c r="AN1733" s="480" t="str">
        <f t="shared" ca="1" si="607"/>
        <v>-</v>
      </c>
      <c r="AO1733" s="601" t="str">
        <f t="shared" ca="1" si="580"/>
        <v/>
      </c>
      <c r="AP1733" s="480" t="str">
        <f t="shared" ca="1" si="608"/>
        <v>-</v>
      </c>
      <c r="AQ1733" s="477" t="str">
        <f t="shared" ca="1" si="581"/>
        <v/>
      </c>
      <c r="AR1733" s="480" t="str">
        <f t="shared" ca="1" si="609"/>
        <v>-</v>
      </c>
      <c r="AS1733" s="34"/>
      <c r="AT1733" s="490" t="str">
        <f t="shared" ca="1" si="610"/>
        <v/>
      </c>
      <c r="AU1733" s="491" t="str">
        <f t="shared" ca="1" si="611"/>
        <v/>
      </c>
      <c r="AV1733" s="491" t="str">
        <f t="shared" ca="1" si="612"/>
        <v/>
      </c>
      <c r="AW1733" s="492" t="str">
        <f t="shared" ca="1" si="613"/>
        <v/>
      </c>
      <c r="AX1733" s="34"/>
      <c r="AY1733" s="474" t="str">
        <f t="shared" ca="1" si="582"/>
        <v/>
      </c>
      <c r="AZ1733" s="480" t="str">
        <f t="shared" ca="1" si="614"/>
        <v>-</v>
      </c>
      <c r="BA1733" s="476" t="str">
        <f t="shared" ca="1" si="583"/>
        <v/>
      </c>
      <c r="BB1733" s="480" t="str">
        <f t="shared" ca="1" si="615"/>
        <v>-</v>
      </c>
      <c r="BC1733" s="601" t="str">
        <f t="shared" ca="1" si="584"/>
        <v/>
      </c>
      <c r="BD1733" s="480" t="str">
        <f t="shared" ca="1" si="616"/>
        <v>-</v>
      </c>
      <c r="BE1733" s="477" t="str">
        <f t="shared" ca="1" si="585"/>
        <v/>
      </c>
      <c r="BF1733" s="480" t="str">
        <f t="shared" ca="1" si="617"/>
        <v>-</v>
      </c>
      <c r="BG1733" s="488" t="str">
        <f t="shared" ca="1" si="618"/>
        <v/>
      </c>
      <c r="BH1733" s="483" t="str">
        <f t="shared" ca="1" si="619"/>
        <v/>
      </c>
      <c r="BI1733" s="483" t="str">
        <f t="shared" ca="1" si="620"/>
        <v/>
      </c>
      <c r="BJ1733" s="635" t="str">
        <f t="shared" ca="1" si="621"/>
        <v/>
      </c>
      <c r="BK1733" s="34" t="str">
        <f t="shared" ca="1" si="622"/>
        <v/>
      </c>
      <c r="BL1733" s="71" t="e">
        <f t="shared" ca="1" si="586"/>
        <v>#VALUE!</v>
      </c>
      <c r="BM1733" s="34" t="str">
        <f t="shared" ca="1" si="623"/>
        <v/>
      </c>
      <c r="BN1733" s="34" t="e">
        <f t="shared" ca="1" si="587"/>
        <v>#VALUE!</v>
      </c>
      <c r="BO1733" s="34" t="str">
        <f t="shared" ca="1" si="624"/>
        <v/>
      </c>
      <c r="BP1733" s="34" t="e">
        <f t="shared" ca="1" si="588"/>
        <v>#VALUE!</v>
      </c>
      <c r="BQ1733" s="55" t="str">
        <f t="shared" ca="1" si="625"/>
        <v/>
      </c>
      <c r="BR1733" s="485" t="str">
        <f t="shared" ca="1" si="626"/>
        <v/>
      </c>
      <c r="BS1733" s="634" t="str">
        <f t="shared" ca="1" si="627"/>
        <v/>
      </c>
      <c r="BT1733" s="634" t="str">
        <f t="shared" ca="1" si="628"/>
        <v/>
      </c>
      <c r="BU1733" s="666" t="str">
        <f t="shared" ca="1" si="629"/>
        <v/>
      </c>
    </row>
    <row r="1734" spans="1:97" hidden="1" outlineLevel="1" x14ac:dyDescent="0.25">
      <c r="A1734">
        <f t="shared" ca="1" si="589"/>
        <v>1</v>
      </c>
      <c r="B1734">
        <f t="shared" ca="1" si="562"/>
        <v>22</v>
      </c>
      <c r="C1734" s="34">
        <f t="shared" ca="1" si="630"/>
        <v>31</v>
      </c>
      <c r="D1734" s="34">
        <f t="shared" ca="1" si="590"/>
        <v>28</v>
      </c>
      <c r="E1734" s="34">
        <f t="shared" ca="1" si="591"/>
        <v>21.5</v>
      </c>
      <c r="F1734" s="55">
        <f t="shared" ca="1" si="592"/>
        <v>12</v>
      </c>
      <c r="G1734" s="34" t="str">
        <f t="shared" ca="1" si="593"/>
        <v/>
      </c>
      <c r="H1734" s="34" t="str">
        <f t="shared" ca="1" si="594"/>
        <v/>
      </c>
      <c r="I1734" s="34" t="str">
        <f t="shared" ca="1" si="595"/>
        <v/>
      </c>
      <c r="J1734" s="55" t="str">
        <f t="shared" ca="1" si="596"/>
        <v/>
      </c>
      <c r="K1734" s="71" t="str">
        <f t="shared" ca="1" si="597"/>
        <v/>
      </c>
      <c r="L1734" s="34" t="str">
        <f t="shared" ca="1" si="598"/>
        <v/>
      </c>
      <c r="M1734" s="34" t="str">
        <f t="shared" ca="1" si="599"/>
        <v/>
      </c>
      <c r="N1734" s="55" t="str">
        <f t="shared" ca="1" si="600"/>
        <v/>
      </c>
      <c r="O1734" s="71">
        <f t="shared" ca="1" si="601"/>
        <v>17</v>
      </c>
      <c r="P1734" s="34" t="str">
        <f t="shared" ca="1" si="602"/>
        <v/>
      </c>
      <c r="Q1734" s="34" t="str">
        <f t="shared" ca="1" si="603"/>
        <v/>
      </c>
      <c r="R1734" s="55" t="str">
        <f t="shared" ca="1" si="604"/>
        <v/>
      </c>
      <c r="U1734" s="485" t="str">
        <f t="shared" ca="1" si="631"/>
        <v/>
      </c>
      <c r="V1734" s="486" t="str">
        <f t="shared" ca="1" si="632"/>
        <v/>
      </c>
      <c r="W1734" s="486" t="str">
        <f t="shared" ca="1" si="633"/>
        <v/>
      </c>
      <c r="X1734" s="486">
        <f t="shared" ca="1" si="634"/>
        <v>1</v>
      </c>
      <c r="Y1734" s="485" t="str">
        <f t="shared" ca="1" si="635"/>
        <v/>
      </c>
      <c r="Z1734" s="486" t="str">
        <f t="shared" ca="1" si="636"/>
        <v/>
      </c>
      <c r="AA1734" s="486" t="str">
        <f t="shared" ca="1" si="637"/>
        <v/>
      </c>
      <c r="AB1734" s="486" t="str">
        <f t="shared" ca="1" si="638"/>
        <v/>
      </c>
      <c r="AC1734" s="485" t="str">
        <f t="shared" ca="1" si="639"/>
        <v/>
      </c>
      <c r="AD1734" s="486" t="str">
        <f t="shared" ca="1" si="640"/>
        <v/>
      </c>
      <c r="AE1734" s="486" t="str">
        <f t="shared" ca="1" si="641"/>
        <v/>
      </c>
      <c r="AF1734" s="486" t="str">
        <f t="shared" ca="1" si="642"/>
        <v/>
      </c>
      <c r="AG1734" s="485" t="str">
        <f t="shared" ca="1" si="643"/>
        <v/>
      </c>
      <c r="AH1734" s="486" t="str">
        <f t="shared" ca="1" si="644"/>
        <v/>
      </c>
      <c r="AI1734" s="486" t="str">
        <f t="shared" ca="1" si="645"/>
        <v/>
      </c>
      <c r="AJ1734" s="486" t="str">
        <f t="shared" ca="1" si="646"/>
        <v/>
      </c>
      <c r="AK1734" s="474" t="str">
        <f t="shared" ca="1" si="578"/>
        <v/>
      </c>
      <c r="AL1734" s="480" t="str">
        <f t="shared" ca="1" si="606"/>
        <v>-</v>
      </c>
      <c r="AM1734" s="476" t="str">
        <f t="shared" ca="1" si="579"/>
        <v/>
      </c>
      <c r="AN1734" s="480" t="str">
        <f t="shared" ca="1" si="607"/>
        <v>-</v>
      </c>
      <c r="AO1734" s="601" t="str">
        <f t="shared" ca="1" si="580"/>
        <v/>
      </c>
      <c r="AP1734" s="480" t="str">
        <f t="shared" ca="1" si="608"/>
        <v>-</v>
      </c>
      <c r="AQ1734" s="477" t="str">
        <f t="shared" ca="1" si="581"/>
        <v/>
      </c>
      <c r="AR1734" s="480" t="str">
        <f t="shared" ca="1" si="609"/>
        <v>-</v>
      </c>
      <c r="AT1734" s="490" t="str">
        <f t="shared" ca="1" si="610"/>
        <v/>
      </c>
      <c r="AU1734" s="491" t="str">
        <f t="shared" ca="1" si="611"/>
        <v/>
      </c>
      <c r="AV1734" s="491" t="str">
        <f t="shared" ca="1" si="612"/>
        <v/>
      </c>
      <c r="AW1734" s="492" t="str">
        <f t="shared" ca="1" si="613"/>
        <v/>
      </c>
      <c r="AY1734" s="474" t="str">
        <f t="shared" ca="1" si="582"/>
        <v/>
      </c>
      <c r="AZ1734" s="480" t="str">
        <f t="shared" ca="1" si="614"/>
        <v>-</v>
      </c>
      <c r="BA1734" s="476" t="str">
        <f t="shared" ca="1" si="583"/>
        <v/>
      </c>
      <c r="BB1734" s="480" t="str">
        <f t="shared" ca="1" si="615"/>
        <v>-</v>
      </c>
      <c r="BC1734" s="601" t="str">
        <f t="shared" ca="1" si="584"/>
        <v/>
      </c>
      <c r="BD1734" s="480" t="str">
        <f t="shared" ca="1" si="616"/>
        <v>-</v>
      </c>
      <c r="BE1734" s="477" t="str">
        <f t="shared" ca="1" si="585"/>
        <v/>
      </c>
      <c r="BF1734" s="480" t="str">
        <f t="shared" ca="1" si="617"/>
        <v>-</v>
      </c>
      <c r="BG1734" s="488" t="str">
        <f t="shared" ca="1" si="618"/>
        <v/>
      </c>
      <c r="BH1734" s="483" t="str">
        <f t="shared" ca="1" si="619"/>
        <v/>
      </c>
      <c r="BI1734" s="483" t="str">
        <f t="shared" ca="1" si="620"/>
        <v/>
      </c>
      <c r="BJ1734" s="635" t="str">
        <f t="shared" ca="1" si="621"/>
        <v/>
      </c>
      <c r="BK1734" s="34" t="str">
        <f t="shared" ca="1" si="622"/>
        <v/>
      </c>
      <c r="BL1734" s="71" t="e">
        <f t="shared" ca="1" si="586"/>
        <v>#VALUE!</v>
      </c>
      <c r="BM1734" s="34" t="str">
        <f t="shared" ca="1" si="623"/>
        <v/>
      </c>
      <c r="BN1734" s="34" t="e">
        <f t="shared" ca="1" si="587"/>
        <v>#VALUE!</v>
      </c>
      <c r="BO1734" s="34" t="str">
        <f t="shared" ca="1" si="624"/>
        <v/>
      </c>
      <c r="BP1734" s="34" t="e">
        <f t="shared" ca="1" si="588"/>
        <v>#VALUE!</v>
      </c>
      <c r="BQ1734" s="55" t="str">
        <f t="shared" ca="1" si="625"/>
        <v/>
      </c>
      <c r="BR1734" s="485" t="str">
        <f t="shared" si="626"/>
        <v/>
      </c>
      <c r="BS1734" s="634" t="str">
        <f t="shared" ca="1" si="627"/>
        <v/>
      </c>
      <c r="BT1734" s="634" t="str">
        <f t="shared" ca="1" si="628"/>
        <v/>
      </c>
      <c r="BU1734" s="666" t="str">
        <f t="shared" ca="1" si="629"/>
        <v/>
      </c>
    </row>
    <row r="1735" spans="1:97" hidden="1" outlineLevel="1" x14ac:dyDescent="0.25">
      <c r="A1735">
        <f t="shared" ca="1" si="589"/>
        <v>0</v>
      </c>
      <c r="B1735">
        <f t="shared" ca="1" si="562"/>
        <v>21</v>
      </c>
      <c r="C1735" s="34">
        <f t="shared" ca="1" si="630"/>
        <v>30</v>
      </c>
      <c r="D1735" s="34">
        <f t="shared" ca="1" si="590"/>
        <v>27</v>
      </c>
      <c r="E1735" s="34">
        <f t="shared" ca="1" si="591"/>
        <v>20.5</v>
      </c>
      <c r="F1735" s="55">
        <f t="shared" ca="1" si="592"/>
        <v>11</v>
      </c>
      <c r="G1735" s="34" t="str">
        <f t="shared" ca="1" si="593"/>
        <v/>
      </c>
      <c r="H1735" s="34" t="str">
        <f t="shared" ca="1" si="594"/>
        <v/>
      </c>
      <c r="I1735" s="34" t="str">
        <f t="shared" ca="1" si="595"/>
        <v/>
      </c>
      <c r="J1735" s="55" t="str">
        <f t="shared" ca="1" si="596"/>
        <v/>
      </c>
      <c r="K1735" s="71" t="str">
        <f t="shared" ca="1" si="597"/>
        <v/>
      </c>
      <c r="L1735" s="34" t="str">
        <f t="shared" ca="1" si="598"/>
        <v/>
      </c>
      <c r="M1735" s="34" t="str">
        <f t="shared" ca="1" si="599"/>
        <v/>
      </c>
      <c r="N1735" s="55" t="str">
        <f t="shared" ca="1" si="600"/>
        <v/>
      </c>
      <c r="O1735" s="71">
        <f t="shared" ca="1" si="601"/>
        <v>16</v>
      </c>
      <c r="P1735" s="34" t="str">
        <f t="shared" ca="1" si="602"/>
        <v/>
      </c>
      <c r="Q1735" s="34" t="str">
        <f t="shared" ca="1" si="603"/>
        <v/>
      </c>
      <c r="R1735" s="55" t="str">
        <f t="shared" ca="1" si="604"/>
        <v/>
      </c>
      <c r="U1735" s="485" t="str">
        <f t="shared" ca="1" si="631"/>
        <v/>
      </c>
      <c r="V1735" s="486" t="str">
        <f t="shared" ca="1" si="632"/>
        <v/>
      </c>
      <c r="W1735" s="486" t="str">
        <f t="shared" ca="1" si="633"/>
        <v/>
      </c>
      <c r="X1735" s="486" t="str">
        <f t="shared" ca="1" si="634"/>
        <v/>
      </c>
      <c r="Y1735" s="485" t="str">
        <f t="shared" ca="1" si="635"/>
        <v/>
      </c>
      <c r="Z1735" s="486" t="str">
        <f t="shared" ca="1" si="636"/>
        <v/>
      </c>
      <c r="AA1735" s="486" t="str">
        <f t="shared" ca="1" si="637"/>
        <v/>
      </c>
      <c r="AB1735" s="486" t="str">
        <f t="shared" ca="1" si="638"/>
        <v/>
      </c>
      <c r="AC1735" s="485" t="str">
        <f t="shared" ca="1" si="639"/>
        <v/>
      </c>
      <c r="AD1735" s="486" t="str">
        <f t="shared" ca="1" si="640"/>
        <v/>
      </c>
      <c r="AE1735" s="486" t="str">
        <f t="shared" ca="1" si="641"/>
        <v/>
      </c>
      <c r="AF1735" s="486" t="str">
        <f t="shared" ca="1" si="642"/>
        <v/>
      </c>
      <c r="AG1735" s="485" t="str">
        <f t="shared" ca="1" si="643"/>
        <v/>
      </c>
      <c r="AH1735" s="486" t="str">
        <f t="shared" ca="1" si="644"/>
        <v/>
      </c>
      <c r="AI1735" s="486" t="str">
        <f t="shared" ca="1" si="645"/>
        <v/>
      </c>
      <c r="AJ1735" s="486" t="str">
        <f t="shared" ca="1" si="646"/>
        <v/>
      </c>
      <c r="AK1735" s="474" t="str">
        <f t="shared" ca="1" si="578"/>
        <v/>
      </c>
      <c r="AL1735" s="480" t="str">
        <f t="shared" ca="1" si="606"/>
        <v>-</v>
      </c>
      <c r="AM1735" s="476" t="str">
        <f t="shared" ca="1" si="579"/>
        <v/>
      </c>
      <c r="AN1735" s="480" t="str">
        <f t="shared" ca="1" si="607"/>
        <v>-</v>
      </c>
      <c r="AO1735" s="601" t="str">
        <f t="shared" ca="1" si="580"/>
        <v/>
      </c>
      <c r="AP1735" s="480" t="str">
        <f t="shared" ca="1" si="608"/>
        <v>-</v>
      </c>
      <c r="AQ1735" s="477" t="str">
        <f t="shared" ca="1" si="581"/>
        <v/>
      </c>
      <c r="AR1735" s="480" t="str">
        <f t="shared" ca="1" si="609"/>
        <v>-</v>
      </c>
      <c r="AT1735" s="490" t="str">
        <f t="shared" ca="1" si="610"/>
        <v/>
      </c>
      <c r="AU1735" s="491" t="str">
        <f t="shared" ca="1" si="611"/>
        <v/>
      </c>
      <c r="AV1735" s="491" t="str">
        <f t="shared" ca="1" si="612"/>
        <v/>
      </c>
      <c r="AW1735" s="492" t="str">
        <f t="shared" ca="1" si="613"/>
        <v/>
      </c>
      <c r="AY1735" s="474" t="str">
        <f t="shared" ca="1" si="582"/>
        <v/>
      </c>
      <c r="AZ1735" s="480" t="str">
        <f t="shared" ca="1" si="614"/>
        <v>-</v>
      </c>
      <c r="BA1735" s="476" t="str">
        <f t="shared" ca="1" si="583"/>
        <v/>
      </c>
      <c r="BB1735" s="480" t="str">
        <f t="shared" ca="1" si="615"/>
        <v>-</v>
      </c>
      <c r="BC1735" s="601" t="str">
        <f t="shared" ca="1" si="584"/>
        <v/>
      </c>
      <c r="BD1735" s="480" t="str">
        <f t="shared" ca="1" si="616"/>
        <v>-</v>
      </c>
      <c r="BE1735" s="477" t="str">
        <f t="shared" ca="1" si="585"/>
        <v/>
      </c>
      <c r="BF1735" s="480" t="str">
        <f t="shared" ca="1" si="617"/>
        <v>-</v>
      </c>
      <c r="BG1735" s="488" t="str">
        <f t="shared" ca="1" si="618"/>
        <v/>
      </c>
      <c r="BH1735" s="483" t="str">
        <f t="shared" ca="1" si="619"/>
        <v/>
      </c>
      <c r="BI1735" s="483" t="str">
        <f t="shared" ca="1" si="620"/>
        <v/>
      </c>
      <c r="BJ1735" s="635" t="str">
        <f t="shared" ca="1" si="621"/>
        <v/>
      </c>
      <c r="BK1735" s="34" t="str">
        <f t="shared" ca="1" si="622"/>
        <v/>
      </c>
      <c r="BL1735" s="71" t="e">
        <f t="shared" ca="1" si="586"/>
        <v>#VALUE!</v>
      </c>
      <c r="BM1735" s="34" t="str">
        <f t="shared" ca="1" si="623"/>
        <v/>
      </c>
      <c r="BN1735" s="34" t="e">
        <f t="shared" ca="1" si="587"/>
        <v>#VALUE!</v>
      </c>
      <c r="BO1735" s="34" t="str">
        <f t="shared" ca="1" si="624"/>
        <v/>
      </c>
      <c r="BP1735" s="34" t="e">
        <f t="shared" ca="1" si="588"/>
        <v>#VALUE!</v>
      </c>
      <c r="BQ1735" s="55" t="str">
        <f t="shared" ca="1" si="625"/>
        <v/>
      </c>
      <c r="BR1735" s="485" t="str">
        <f t="shared" ca="1" si="626"/>
        <v/>
      </c>
      <c r="BS1735" s="634" t="str">
        <f t="shared" ca="1" si="627"/>
        <v/>
      </c>
      <c r="BT1735" s="634" t="str">
        <f t="shared" ca="1" si="628"/>
        <v/>
      </c>
      <c r="BU1735" s="666" t="str">
        <f t="shared" ca="1" si="629"/>
        <v/>
      </c>
    </row>
    <row r="1736" spans="1:97" hidden="1" outlineLevel="1" x14ac:dyDescent="0.25">
      <c r="A1736">
        <f t="shared" ca="1" si="589"/>
        <v>1</v>
      </c>
      <c r="B1736">
        <f t="shared" ca="1" si="562"/>
        <v>20</v>
      </c>
      <c r="C1736" s="34">
        <f t="shared" ca="1" si="630"/>
        <v>29</v>
      </c>
      <c r="D1736" s="34">
        <f t="shared" ca="1" si="590"/>
        <v>26</v>
      </c>
      <c r="E1736" s="34">
        <f t="shared" ca="1" si="591"/>
        <v>19.5</v>
      </c>
      <c r="F1736" s="55">
        <f t="shared" ca="1" si="592"/>
        <v>10</v>
      </c>
      <c r="G1736" s="34" t="str">
        <f t="shared" ca="1" si="593"/>
        <v/>
      </c>
      <c r="H1736" s="34" t="str">
        <f t="shared" ca="1" si="594"/>
        <v/>
      </c>
      <c r="I1736" s="34" t="str">
        <f t="shared" ca="1" si="595"/>
        <v/>
      </c>
      <c r="J1736" s="55" t="str">
        <f t="shared" ca="1" si="596"/>
        <v/>
      </c>
      <c r="K1736" s="71" t="str">
        <f t="shared" ca="1" si="597"/>
        <v/>
      </c>
      <c r="L1736" s="34" t="str">
        <f t="shared" ca="1" si="598"/>
        <v/>
      </c>
      <c r="M1736" s="34" t="str">
        <f t="shared" ca="1" si="599"/>
        <v/>
      </c>
      <c r="N1736" s="55" t="str">
        <f t="shared" ca="1" si="600"/>
        <v/>
      </c>
      <c r="O1736" s="71">
        <f t="shared" ca="1" si="601"/>
        <v>15</v>
      </c>
      <c r="P1736" s="34" t="str">
        <f t="shared" ca="1" si="602"/>
        <v/>
      </c>
      <c r="Q1736" s="34" t="str">
        <f t="shared" ca="1" si="603"/>
        <v/>
      </c>
      <c r="R1736" s="55" t="str">
        <f t="shared" ca="1" si="604"/>
        <v/>
      </c>
      <c r="U1736" s="485" t="str">
        <f t="shared" ca="1" si="631"/>
        <v/>
      </c>
      <c r="V1736" s="486" t="str">
        <f t="shared" ca="1" si="632"/>
        <v/>
      </c>
      <c r="W1736" s="486" t="str">
        <f t="shared" ca="1" si="633"/>
        <v/>
      </c>
      <c r="X1736" s="486" t="str">
        <f t="shared" ca="1" si="634"/>
        <v/>
      </c>
      <c r="Y1736" s="485" t="str">
        <f t="shared" ca="1" si="635"/>
        <v/>
      </c>
      <c r="Z1736" s="486" t="str">
        <f t="shared" ca="1" si="636"/>
        <v/>
      </c>
      <c r="AA1736" s="486" t="str">
        <f t="shared" ca="1" si="637"/>
        <v/>
      </c>
      <c r="AB1736" s="486" t="str">
        <f t="shared" ca="1" si="638"/>
        <v/>
      </c>
      <c r="AC1736" s="485" t="str">
        <f t="shared" ca="1" si="639"/>
        <v/>
      </c>
      <c r="AD1736" s="486" t="str">
        <f t="shared" ca="1" si="640"/>
        <v/>
      </c>
      <c r="AE1736" s="486" t="str">
        <f t="shared" ca="1" si="641"/>
        <v/>
      </c>
      <c r="AF1736" s="486" t="str">
        <f t="shared" ca="1" si="642"/>
        <v/>
      </c>
      <c r="AG1736" s="485">
        <f t="shared" ca="1" si="643"/>
        <v>1</v>
      </c>
      <c r="AH1736" s="486" t="str">
        <f t="shared" ca="1" si="644"/>
        <v/>
      </c>
      <c r="AI1736" s="486" t="str">
        <f t="shared" ca="1" si="645"/>
        <v/>
      </c>
      <c r="AJ1736" s="486" t="str">
        <f t="shared" ca="1" si="646"/>
        <v/>
      </c>
      <c r="AK1736" s="474" t="str">
        <f t="shared" ca="1" si="578"/>
        <v/>
      </c>
      <c r="AL1736" s="480" t="str">
        <f t="shared" ca="1" si="606"/>
        <v>-</v>
      </c>
      <c r="AM1736" s="476" t="str">
        <f t="shared" ca="1" si="579"/>
        <v/>
      </c>
      <c r="AN1736" s="480" t="str">
        <f t="shared" ca="1" si="607"/>
        <v>-</v>
      </c>
      <c r="AO1736" s="601" t="str">
        <f t="shared" ca="1" si="580"/>
        <v/>
      </c>
      <c r="AP1736" s="480" t="str">
        <f t="shared" ca="1" si="608"/>
        <v>-</v>
      </c>
      <c r="AQ1736" s="477" t="str">
        <f t="shared" ca="1" si="581"/>
        <v/>
      </c>
      <c r="AR1736" s="480" t="str">
        <f t="shared" ca="1" si="609"/>
        <v>-</v>
      </c>
      <c r="AT1736" s="490" t="str">
        <f t="shared" ca="1" si="610"/>
        <v/>
      </c>
      <c r="AU1736" s="491" t="str">
        <f t="shared" ca="1" si="611"/>
        <v/>
      </c>
      <c r="AV1736" s="491" t="str">
        <f t="shared" ca="1" si="612"/>
        <v/>
      </c>
      <c r="AW1736" s="492" t="str">
        <f t="shared" ca="1" si="613"/>
        <v/>
      </c>
      <c r="AY1736" s="474" t="str">
        <f t="shared" ca="1" si="582"/>
        <v/>
      </c>
      <c r="AZ1736" s="480" t="str">
        <f t="shared" ca="1" si="614"/>
        <v>-</v>
      </c>
      <c r="BA1736" s="476" t="str">
        <f t="shared" ca="1" si="583"/>
        <v/>
      </c>
      <c r="BB1736" s="480" t="str">
        <f t="shared" ca="1" si="615"/>
        <v>-</v>
      </c>
      <c r="BC1736" s="601" t="str">
        <f t="shared" ca="1" si="584"/>
        <v/>
      </c>
      <c r="BD1736" s="480" t="str">
        <f t="shared" ca="1" si="616"/>
        <v>-</v>
      </c>
      <c r="BE1736" s="477" t="str">
        <f t="shared" ca="1" si="585"/>
        <v/>
      </c>
      <c r="BF1736" s="480" t="str">
        <f t="shared" ca="1" si="617"/>
        <v>-</v>
      </c>
      <c r="BG1736" s="488" t="str">
        <f t="shared" ca="1" si="618"/>
        <v/>
      </c>
      <c r="BH1736" s="483" t="str">
        <f t="shared" ca="1" si="619"/>
        <v/>
      </c>
      <c r="BI1736" s="483" t="str">
        <f t="shared" ca="1" si="620"/>
        <v/>
      </c>
      <c r="BJ1736" s="635" t="str">
        <f t="shared" ca="1" si="621"/>
        <v/>
      </c>
      <c r="BK1736" s="34" t="str">
        <f t="shared" ca="1" si="622"/>
        <v/>
      </c>
      <c r="BL1736" s="71" t="e">
        <f t="shared" ca="1" si="586"/>
        <v>#VALUE!</v>
      </c>
      <c r="BM1736" s="34" t="str">
        <f t="shared" ca="1" si="623"/>
        <v/>
      </c>
      <c r="BN1736" s="34" t="e">
        <f t="shared" ca="1" si="587"/>
        <v>#VALUE!</v>
      </c>
      <c r="BO1736" s="34" t="str">
        <f t="shared" ca="1" si="624"/>
        <v/>
      </c>
      <c r="BP1736" s="34" t="e">
        <f t="shared" ca="1" si="588"/>
        <v>#VALUE!</v>
      </c>
      <c r="BQ1736" s="55" t="str">
        <f t="shared" ca="1" si="625"/>
        <v/>
      </c>
      <c r="BR1736" s="485" t="str">
        <f t="shared" si="626"/>
        <v/>
      </c>
      <c r="BS1736" s="634" t="str">
        <f t="shared" ca="1" si="627"/>
        <v/>
      </c>
      <c r="BT1736" s="634" t="str">
        <f t="shared" ca="1" si="628"/>
        <v/>
      </c>
      <c r="BU1736" s="666" t="str">
        <f t="shared" ca="1" si="629"/>
        <v/>
      </c>
    </row>
    <row r="1737" spans="1:97" hidden="1" outlineLevel="1" x14ac:dyDescent="0.25">
      <c r="A1737">
        <f t="shared" ca="1" si="589"/>
        <v>1</v>
      </c>
      <c r="B1737">
        <f t="shared" ca="1" si="562"/>
        <v>19</v>
      </c>
      <c r="C1737" s="34">
        <f t="shared" ca="1" si="630"/>
        <v>28</v>
      </c>
      <c r="D1737" s="34">
        <f t="shared" ca="1" si="590"/>
        <v>25</v>
      </c>
      <c r="E1737" s="34">
        <f t="shared" ca="1" si="591"/>
        <v>18.5</v>
      </c>
      <c r="F1737" s="55">
        <f t="shared" ca="1" si="592"/>
        <v>9</v>
      </c>
      <c r="G1737" s="34" t="str">
        <f t="shared" ca="1" si="593"/>
        <v/>
      </c>
      <c r="H1737" s="34" t="str">
        <f t="shared" ca="1" si="594"/>
        <v/>
      </c>
      <c r="I1737" s="34" t="str">
        <f t="shared" ca="1" si="595"/>
        <v/>
      </c>
      <c r="J1737" s="55" t="str">
        <f t="shared" ca="1" si="596"/>
        <v/>
      </c>
      <c r="K1737" s="71" t="str">
        <f t="shared" ca="1" si="597"/>
        <v/>
      </c>
      <c r="L1737" s="34" t="str">
        <f t="shared" ca="1" si="598"/>
        <v/>
      </c>
      <c r="M1737" s="34" t="str">
        <f t="shared" ca="1" si="599"/>
        <v/>
      </c>
      <c r="N1737" s="55" t="str">
        <f t="shared" ca="1" si="600"/>
        <v/>
      </c>
      <c r="O1737" s="71">
        <f t="shared" ca="1" si="601"/>
        <v>14</v>
      </c>
      <c r="P1737" s="34" t="str">
        <f t="shared" ca="1" si="602"/>
        <v/>
      </c>
      <c r="Q1737" s="34" t="str">
        <f t="shared" ca="1" si="603"/>
        <v/>
      </c>
      <c r="R1737" s="55" t="str">
        <f t="shared" ca="1" si="604"/>
        <v/>
      </c>
      <c r="U1737" s="485" t="str">
        <f t="shared" ca="1" si="631"/>
        <v/>
      </c>
      <c r="V1737" s="486" t="str">
        <f t="shared" ca="1" si="632"/>
        <v/>
      </c>
      <c r="W1737" s="486" t="str">
        <f t="shared" ca="1" si="633"/>
        <v/>
      </c>
      <c r="X1737" s="486">
        <f t="shared" ca="1" si="634"/>
        <v>1</v>
      </c>
      <c r="Y1737" s="485" t="str">
        <f t="shared" ca="1" si="635"/>
        <v/>
      </c>
      <c r="Z1737" s="486" t="str">
        <f t="shared" ca="1" si="636"/>
        <v/>
      </c>
      <c r="AA1737" s="486" t="str">
        <f t="shared" ca="1" si="637"/>
        <v/>
      </c>
      <c r="AB1737" s="486" t="str">
        <f t="shared" ca="1" si="638"/>
        <v/>
      </c>
      <c r="AC1737" s="485" t="str">
        <f t="shared" ca="1" si="639"/>
        <v/>
      </c>
      <c r="AD1737" s="486" t="str">
        <f t="shared" ca="1" si="640"/>
        <v/>
      </c>
      <c r="AE1737" s="486" t="str">
        <f t="shared" ca="1" si="641"/>
        <v/>
      </c>
      <c r="AF1737" s="486" t="str">
        <f t="shared" ca="1" si="642"/>
        <v/>
      </c>
      <c r="AG1737" s="485">
        <f t="shared" ca="1" si="643"/>
        <v>1</v>
      </c>
      <c r="AH1737" s="486" t="str">
        <f t="shared" ca="1" si="644"/>
        <v/>
      </c>
      <c r="AI1737" s="486" t="str">
        <f t="shared" ca="1" si="645"/>
        <v/>
      </c>
      <c r="AJ1737" s="486" t="str">
        <f t="shared" ca="1" si="646"/>
        <v/>
      </c>
      <c r="AK1737" s="474" t="str">
        <f t="shared" ca="1" si="578"/>
        <v/>
      </c>
      <c r="AL1737" s="480" t="str">
        <f t="shared" ca="1" si="606"/>
        <v>-</v>
      </c>
      <c r="AM1737" s="476" t="str">
        <f t="shared" ca="1" si="579"/>
        <v/>
      </c>
      <c r="AN1737" s="480" t="str">
        <f t="shared" ca="1" si="607"/>
        <v>-</v>
      </c>
      <c r="AO1737" s="601" t="str">
        <f t="shared" ca="1" si="580"/>
        <v/>
      </c>
      <c r="AP1737" s="480" t="str">
        <f t="shared" ca="1" si="608"/>
        <v>-</v>
      </c>
      <c r="AQ1737" s="477" t="str">
        <f t="shared" ca="1" si="581"/>
        <v/>
      </c>
      <c r="AR1737" s="480" t="str">
        <f t="shared" ca="1" si="609"/>
        <v>-</v>
      </c>
      <c r="AT1737" s="490" t="str">
        <f t="shared" ca="1" si="610"/>
        <v/>
      </c>
      <c r="AU1737" s="491" t="str">
        <f t="shared" ca="1" si="611"/>
        <v/>
      </c>
      <c r="AV1737" s="491" t="str">
        <f t="shared" ca="1" si="612"/>
        <v/>
      </c>
      <c r="AW1737" s="492" t="str">
        <f t="shared" ca="1" si="613"/>
        <v/>
      </c>
      <c r="AY1737" s="474" t="str">
        <f t="shared" ca="1" si="582"/>
        <v/>
      </c>
      <c r="AZ1737" s="480" t="str">
        <f t="shared" ca="1" si="614"/>
        <v>-</v>
      </c>
      <c r="BA1737" s="476" t="str">
        <f t="shared" ca="1" si="583"/>
        <v/>
      </c>
      <c r="BB1737" s="480" t="str">
        <f t="shared" ca="1" si="615"/>
        <v>-</v>
      </c>
      <c r="BC1737" s="601" t="str">
        <f t="shared" ca="1" si="584"/>
        <v/>
      </c>
      <c r="BD1737" s="480" t="str">
        <f t="shared" ca="1" si="616"/>
        <v>-</v>
      </c>
      <c r="BE1737" s="477" t="str">
        <f t="shared" ca="1" si="585"/>
        <v/>
      </c>
      <c r="BF1737" s="480" t="str">
        <f t="shared" ca="1" si="617"/>
        <v>-</v>
      </c>
      <c r="BG1737" s="488" t="str">
        <f t="shared" ca="1" si="618"/>
        <v/>
      </c>
      <c r="BH1737" s="483" t="str">
        <f t="shared" ca="1" si="619"/>
        <v/>
      </c>
      <c r="BI1737" s="483" t="str">
        <f t="shared" ca="1" si="620"/>
        <v/>
      </c>
      <c r="BJ1737" s="635" t="str">
        <f t="shared" ca="1" si="621"/>
        <v/>
      </c>
      <c r="BK1737" s="34" t="str">
        <f t="shared" ca="1" si="622"/>
        <v/>
      </c>
      <c r="BL1737" s="71" t="e">
        <f t="shared" ca="1" si="586"/>
        <v>#VALUE!</v>
      </c>
      <c r="BM1737" s="34" t="str">
        <f t="shared" ca="1" si="623"/>
        <v/>
      </c>
      <c r="BN1737" s="34" t="e">
        <f t="shared" ca="1" si="587"/>
        <v>#VALUE!</v>
      </c>
      <c r="BO1737" s="34" t="str">
        <f t="shared" ca="1" si="624"/>
        <v/>
      </c>
      <c r="BP1737" s="34" t="e">
        <f t="shared" ca="1" si="588"/>
        <v>#VALUE!</v>
      </c>
      <c r="BQ1737" s="55" t="str">
        <f t="shared" ca="1" si="625"/>
        <v/>
      </c>
      <c r="BR1737" s="485" t="str">
        <f t="shared" ca="1" si="626"/>
        <v/>
      </c>
      <c r="BS1737" s="634" t="str">
        <f t="shared" ca="1" si="627"/>
        <v/>
      </c>
      <c r="BT1737" s="634" t="str">
        <f t="shared" ca="1" si="628"/>
        <v/>
      </c>
      <c r="BU1737" s="666" t="str">
        <f t="shared" ca="1" si="629"/>
        <v/>
      </c>
    </row>
    <row r="1738" spans="1:97" hidden="1" outlineLevel="1" x14ac:dyDescent="0.25">
      <c r="A1738">
        <f t="shared" ca="1" si="589"/>
        <v>1</v>
      </c>
      <c r="B1738">
        <f t="shared" ca="1" si="562"/>
        <v>18</v>
      </c>
      <c r="C1738" s="34">
        <f t="shared" ca="1" si="630"/>
        <v>27</v>
      </c>
      <c r="D1738" s="34">
        <f t="shared" ca="1" si="590"/>
        <v>24</v>
      </c>
      <c r="E1738" s="34">
        <f t="shared" ca="1" si="591"/>
        <v>17.5</v>
      </c>
      <c r="F1738" s="55">
        <f t="shared" ca="1" si="592"/>
        <v>8</v>
      </c>
      <c r="G1738" s="34" t="str">
        <f t="shared" ca="1" si="593"/>
        <v/>
      </c>
      <c r="H1738" s="34" t="str">
        <f t="shared" ca="1" si="594"/>
        <v/>
      </c>
      <c r="I1738" s="34" t="str">
        <f t="shared" ca="1" si="595"/>
        <v/>
      </c>
      <c r="J1738" s="55" t="str">
        <f t="shared" ca="1" si="596"/>
        <v/>
      </c>
      <c r="K1738" s="71" t="str">
        <f t="shared" ca="1" si="597"/>
        <v/>
      </c>
      <c r="L1738" s="34" t="str">
        <f t="shared" ca="1" si="598"/>
        <v/>
      </c>
      <c r="M1738" s="34" t="str">
        <f t="shared" ca="1" si="599"/>
        <v/>
      </c>
      <c r="N1738" s="55" t="str">
        <f t="shared" ca="1" si="600"/>
        <v/>
      </c>
      <c r="O1738" s="71">
        <f t="shared" ca="1" si="601"/>
        <v>13</v>
      </c>
      <c r="P1738" s="34" t="str">
        <f t="shared" ca="1" si="602"/>
        <v/>
      </c>
      <c r="Q1738" s="34" t="str">
        <f t="shared" ca="1" si="603"/>
        <v/>
      </c>
      <c r="R1738" s="55" t="str">
        <f t="shared" ca="1" si="604"/>
        <v/>
      </c>
      <c r="U1738" s="485" t="str">
        <f t="shared" ca="1" si="631"/>
        <v/>
      </c>
      <c r="V1738" s="486" t="str">
        <f t="shared" ca="1" si="632"/>
        <v/>
      </c>
      <c r="W1738" s="486" t="str">
        <f t="shared" ca="1" si="633"/>
        <v/>
      </c>
      <c r="X1738" s="486">
        <f t="shared" ca="1" si="634"/>
        <v>1</v>
      </c>
      <c r="Y1738" s="485" t="str">
        <f t="shared" ca="1" si="635"/>
        <v/>
      </c>
      <c r="Z1738" s="486" t="str">
        <f t="shared" ca="1" si="636"/>
        <v/>
      </c>
      <c r="AA1738" s="486" t="str">
        <f t="shared" ca="1" si="637"/>
        <v/>
      </c>
      <c r="AB1738" s="486" t="str">
        <f t="shared" ca="1" si="638"/>
        <v/>
      </c>
      <c r="AC1738" s="485" t="str">
        <f t="shared" ca="1" si="639"/>
        <v/>
      </c>
      <c r="AD1738" s="486" t="str">
        <f t="shared" ca="1" si="640"/>
        <v/>
      </c>
      <c r="AE1738" s="486" t="str">
        <f t="shared" ca="1" si="641"/>
        <v/>
      </c>
      <c r="AF1738" s="486" t="str">
        <f t="shared" ca="1" si="642"/>
        <v/>
      </c>
      <c r="AG1738" s="485" t="str">
        <f t="shared" ca="1" si="643"/>
        <v/>
      </c>
      <c r="AH1738" s="486" t="str">
        <f t="shared" ca="1" si="644"/>
        <v/>
      </c>
      <c r="AI1738" s="486" t="str">
        <f t="shared" ca="1" si="645"/>
        <v/>
      </c>
      <c r="AJ1738" s="486" t="str">
        <f t="shared" ca="1" si="646"/>
        <v/>
      </c>
      <c r="AK1738" s="474" t="str">
        <f t="shared" ca="1" si="578"/>
        <v/>
      </c>
      <c r="AL1738" s="480" t="str">
        <f t="shared" ca="1" si="606"/>
        <v>-</v>
      </c>
      <c r="AM1738" s="476" t="str">
        <f t="shared" ca="1" si="579"/>
        <v/>
      </c>
      <c r="AN1738" s="480" t="str">
        <f t="shared" ca="1" si="607"/>
        <v>-</v>
      </c>
      <c r="AO1738" s="601" t="str">
        <f t="shared" ca="1" si="580"/>
        <v/>
      </c>
      <c r="AP1738" s="480" t="str">
        <f t="shared" ca="1" si="608"/>
        <v>-</v>
      </c>
      <c r="AQ1738" s="477" t="str">
        <f t="shared" ca="1" si="581"/>
        <v/>
      </c>
      <c r="AR1738" s="480" t="str">
        <f t="shared" ca="1" si="609"/>
        <v>-</v>
      </c>
      <c r="AT1738" s="490" t="str">
        <f t="shared" ca="1" si="610"/>
        <v/>
      </c>
      <c r="AU1738" s="491" t="str">
        <f t="shared" ca="1" si="611"/>
        <v/>
      </c>
      <c r="AV1738" s="491" t="str">
        <f t="shared" ca="1" si="612"/>
        <v/>
      </c>
      <c r="AW1738" s="492" t="str">
        <f t="shared" ca="1" si="613"/>
        <v/>
      </c>
      <c r="AY1738" s="474" t="str">
        <f t="shared" ca="1" si="582"/>
        <v/>
      </c>
      <c r="AZ1738" s="480" t="str">
        <f t="shared" ca="1" si="614"/>
        <v>-</v>
      </c>
      <c r="BA1738" s="476" t="str">
        <f t="shared" ca="1" si="583"/>
        <v/>
      </c>
      <c r="BB1738" s="480" t="str">
        <f t="shared" ca="1" si="615"/>
        <v>-</v>
      </c>
      <c r="BC1738" s="601" t="str">
        <f t="shared" ca="1" si="584"/>
        <v/>
      </c>
      <c r="BD1738" s="480" t="str">
        <f t="shared" ca="1" si="616"/>
        <v>-</v>
      </c>
      <c r="BE1738" s="477" t="str">
        <f t="shared" ca="1" si="585"/>
        <v/>
      </c>
      <c r="BF1738" s="480" t="str">
        <f t="shared" ca="1" si="617"/>
        <v>-</v>
      </c>
      <c r="BG1738" s="488" t="str">
        <f t="shared" ca="1" si="618"/>
        <v/>
      </c>
      <c r="BH1738" s="483" t="str">
        <f t="shared" ca="1" si="619"/>
        <v/>
      </c>
      <c r="BI1738" s="483" t="str">
        <f t="shared" ca="1" si="620"/>
        <v/>
      </c>
      <c r="BJ1738" s="635" t="str">
        <f t="shared" ca="1" si="621"/>
        <v/>
      </c>
      <c r="BK1738" s="34" t="str">
        <f t="shared" ca="1" si="622"/>
        <v/>
      </c>
      <c r="BL1738" s="71" t="e">
        <f t="shared" ca="1" si="586"/>
        <v>#VALUE!</v>
      </c>
      <c r="BM1738" s="34" t="str">
        <f t="shared" ca="1" si="623"/>
        <v/>
      </c>
      <c r="BN1738" s="34" t="e">
        <f t="shared" ca="1" si="587"/>
        <v>#VALUE!</v>
      </c>
      <c r="BO1738" s="34" t="str">
        <f t="shared" ca="1" si="624"/>
        <v/>
      </c>
      <c r="BP1738" s="34" t="e">
        <f t="shared" ca="1" si="588"/>
        <v>#VALUE!</v>
      </c>
      <c r="BQ1738" s="55" t="str">
        <f t="shared" ca="1" si="625"/>
        <v/>
      </c>
      <c r="BR1738" s="485" t="str">
        <f t="shared" si="626"/>
        <v/>
      </c>
      <c r="BS1738" s="634" t="str">
        <f t="shared" ca="1" si="627"/>
        <v/>
      </c>
      <c r="BT1738" s="634" t="str">
        <f t="shared" ca="1" si="628"/>
        <v/>
      </c>
      <c r="BU1738" s="666" t="str">
        <f t="shared" ca="1" si="629"/>
        <v/>
      </c>
    </row>
    <row r="1739" spans="1:97" hidden="1" outlineLevel="1" x14ac:dyDescent="0.25">
      <c r="A1739">
        <f t="shared" ca="1" si="589"/>
        <v>1</v>
      </c>
      <c r="B1739">
        <f t="shared" ca="1" si="562"/>
        <v>17</v>
      </c>
      <c r="C1739" s="34">
        <f t="shared" ca="1" si="630"/>
        <v>26</v>
      </c>
      <c r="D1739" s="34">
        <f t="shared" ca="1" si="590"/>
        <v>23</v>
      </c>
      <c r="E1739" s="34">
        <f t="shared" ca="1" si="591"/>
        <v>16.5</v>
      </c>
      <c r="F1739" s="55">
        <f t="shared" ca="1" si="592"/>
        <v>7</v>
      </c>
      <c r="G1739" s="34" t="str">
        <f t="shared" ca="1" si="593"/>
        <v/>
      </c>
      <c r="H1739" s="34" t="str">
        <f t="shared" ca="1" si="594"/>
        <v/>
      </c>
      <c r="I1739" s="34" t="str">
        <f t="shared" ca="1" si="595"/>
        <v/>
      </c>
      <c r="J1739" s="55" t="str">
        <f t="shared" ca="1" si="596"/>
        <v/>
      </c>
      <c r="K1739" s="71" t="str">
        <f t="shared" ca="1" si="597"/>
        <v/>
      </c>
      <c r="L1739" s="34" t="str">
        <f t="shared" ca="1" si="598"/>
        <v/>
      </c>
      <c r="M1739" s="34" t="str">
        <f t="shared" ca="1" si="599"/>
        <v/>
      </c>
      <c r="N1739" s="55" t="str">
        <f t="shared" ca="1" si="600"/>
        <v/>
      </c>
      <c r="O1739" s="71">
        <f t="shared" ca="1" si="601"/>
        <v>12</v>
      </c>
      <c r="P1739" s="34" t="str">
        <f t="shared" ca="1" si="602"/>
        <v/>
      </c>
      <c r="Q1739" s="34" t="str">
        <f t="shared" ca="1" si="603"/>
        <v/>
      </c>
      <c r="R1739" s="55" t="str">
        <f t="shared" ca="1" si="604"/>
        <v/>
      </c>
      <c r="U1739" s="485" t="str">
        <f t="shared" ca="1" si="631"/>
        <v/>
      </c>
      <c r="V1739" s="486" t="str">
        <f t="shared" ca="1" si="632"/>
        <v/>
      </c>
      <c r="W1739" s="486" t="str">
        <f t="shared" ca="1" si="633"/>
        <v/>
      </c>
      <c r="X1739" s="486" t="str">
        <f t="shared" ca="1" si="634"/>
        <v/>
      </c>
      <c r="Y1739" s="485" t="str">
        <f t="shared" ca="1" si="635"/>
        <v/>
      </c>
      <c r="Z1739" s="486" t="str">
        <f t="shared" ca="1" si="636"/>
        <v/>
      </c>
      <c r="AA1739" s="486" t="str">
        <f t="shared" ca="1" si="637"/>
        <v/>
      </c>
      <c r="AB1739" s="486" t="str">
        <f t="shared" ca="1" si="638"/>
        <v/>
      </c>
      <c r="AC1739" s="485" t="str">
        <f t="shared" ca="1" si="639"/>
        <v/>
      </c>
      <c r="AD1739" s="486" t="str">
        <f t="shared" ca="1" si="640"/>
        <v/>
      </c>
      <c r="AE1739" s="486" t="str">
        <f t="shared" ca="1" si="641"/>
        <v/>
      </c>
      <c r="AF1739" s="486" t="str">
        <f t="shared" ca="1" si="642"/>
        <v/>
      </c>
      <c r="AG1739" s="485">
        <f t="shared" ca="1" si="643"/>
        <v>1</v>
      </c>
      <c r="AH1739" s="486" t="str">
        <f t="shared" ca="1" si="644"/>
        <v/>
      </c>
      <c r="AI1739" s="486" t="str">
        <f t="shared" ca="1" si="645"/>
        <v/>
      </c>
      <c r="AJ1739" s="486" t="str">
        <f t="shared" ca="1" si="646"/>
        <v/>
      </c>
      <c r="AK1739" s="474" t="str">
        <f t="shared" ca="1" si="578"/>
        <v/>
      </c>
      <c r="AL1739" s="480" t="str">
        <f t="shared" ca="1" si="606"/>
        <v>-</v>
      </c>
      <c r="AM1739" s="476" t="str">
        <f t="shared" ca="1" si="579"/>
        <v/>
      </c>
      <c r="AN1739" s="480" t="str">
        <f t="shared" ca="1" si="607"/>
        <v>-</v>
      </c>
      <c r="AO1739" s="601" t="str">
        <f t="shared" ca="1" si="580"/>
        <v/>
      </c>
      <c r="AP1739" s="480" t="str">
        <f t="shared" ca="1" si="608"/>
        <v>-</v>
      </c>
      <c r="AQ1739" s="477" t="str">
        <f t="shared" ca="1" si="581"/>
        <v/>
      </c>
      <c r="AR1739" s="480" t="str">
        <f t="shared" ca="1" si="609"/>
        <v>-</v>
      </c>
      <c r="AT1739" s="490" t="str">
        <f t="shared" ca="1" si="610"/>
        <v/>
      </c>
      <c r="AU1739" s="491" t="str">
        <f t="shared" ca="1" si="611"/>
        <v/>
      </c>
      <c r="AV1739" s="491" t="str">
        <f t="shared" ca="1" si="612"/>
        <v/>
      </c>
      <c r="AW1739" s="492" t="str">
        <f t="shared" ca="1" si="613"/>
        <v/>
      </c>
      <c r="AY1739" s="474" t="str">
        <f t="shared" ca="1" si="582"/>
        <v/>
      </c>
      <c r="AZ1739" s="480" t="str">
        <f t="shared" ca="1" si="614"/>
        <v>-</v>
      </c>
      <c r="BA1739" s="476" t="str">
        <f t="shared" ca="1" si="583"/>
        <v/>
      </c>
      <c r="BB1739" s="480" t="str">
        <f t="shared" ca="1" si="615"/>
        <v>-</v>
      </c>
      <c r="BC1739" s="601" t="str">
        <f t="shared" ca="1" si="584"/>
        <v/>
      </c>
      <c r="BD1739" s="480" t="str">
        <f t="shared" ca="1" si="616"/>
        <v>-</v>
      </c>
      <c r="BE1739" s="477" t="str">
        <f t="shared" ca="1" si="585"/>
        <v/>
      </c>
      <c r="BF1739" s="480" t="str">
        <f t="shared" ca="1" si="617"/>
        <v>-</v>
      </c>
      <c r="BG1739" s="488" t="str">
        <f t="shared" ca="1" si="618"/>
        <v/>
      </c>
      <c r="BH1739" s="483" t="str">
        <f t="shared" ca="1" si="619"/>
        <v/>
      </c>
      <c r="BI1739" s="483" t="str">
        <f t="shared" ca="1" si="620"/>
        <v/>
      </c>
      <c r="BJ1739" s="635" t="str">
        <f t="shared" ca="1" si="621"/>
        <v/>
      </c>
      <c r="BK1739" s="34" t="str">
        <f t="shared" ca="1" si="622"/>
        <v/>
      </c>
      <c r="BL1739" s="71" t="e">
        <f t="shared" ca="1" si="586"/>
        <v>#VALUE!</v>
      </c>
      <c r="BM1739" s="34" t="str">
        <f t="shared" ca="1" si="623"/>
        <v/>
      </c>
      <c r="BN1739" s="34" t="e">
        <f t="shared" ca="1" si="587"/>
        <v>#VALUE!</v>
      </c>
      <c r="BO1739" s="34" t="str">
        <f t="shared" ca="1" si="624"/>
        <v/>
      </c>
      <c r="BP1739" s="34" t="e">
        <f t="shared" ca="1" si="588"/>
        <v>#VALUE!</v>
      </c>
      <c r="BQ1739" s="55" t="str">
        <f t="shared" ca="1" si="625"/>
        <v/>
      </c>
      <c r="BR1739" s="485" t="str">
        <f t="shared" ca="1" si="626"/>
        <v/>
      </c>
      <c r="BS1739" s="634" t="str">
        <f t="shared" ca="1" si="627"/>
        <v/>
      </c>
      <c r="BT1739" s="634" t="str">
        <f t="shared" ca="1" si="628"/>
        <v/>
      </c>
      <c r="BU1739" s="666" t="str">
        <f t="shared" ca="1" si="629"/>
        <v/>
      </c>
    </row>
    <row r="1740" spans="1:97" hidden="1" outlineLevel="1" x14ac:dyDescent="0.25">
      <c r="A1740">
        <f t="shared" ca="1" si="589"/>
        <v>1</v>
      </c>
      <c r="B1740">
        <f t="shared" ca="1" si="562"/>
        <v>16</v>
      </c>
      <c r="C1740" s="34">
        <f t="shared" ca="1" si="630"/>
        <v>25</v>
      </c>
      <c r="D1740" s="34">
        <f t="shared" ca="1" si="590"/>
        <v>22</v>
      </c>
      <c r="E1740" s="34">
        <f t="shared" ca="1" si="591"/>
        <v>15.5</v>
      </c>
      <c r="F1740" s="55">
        <f t="shared" ca="1" si="592"/>
        <v>6</v>
      </c>
      <c r="G1740" s="34" t="str">
        <f t="shared" ca="1" si="593"/>
        <v/>
      </c>
      <c r="H1740" s="34" t="str">
        <f t="shared" ca="1" si="594"/>
        <v/>
      </c>
      <c r="I1740" s="34" t="str">
        <f t="shared" ca="1" si="595"/>
        <v/>
      </c>
      <c r="J1740" s="55" t="str">
        <f t="shared" ca="1" si="596"/>
        <v/>
      </c>
      <c r="K1740" s="71" t="str">
        <f t="shared" ca="1" si="597"/>
        <v/>
      </c>
      <c r="L1740" s="34" t="str">
        <f t="shared" ca="1" si="598"/>
        <v/>
      </c>
      <c r="M1740" s="34" t="str">
        <f t="shared" ca="1" si="599"/>
        <v/>
      </c>
      <c r="N1740" s="55" t="str">
        <f t="shared" ca="1" si="600"/>
        <v/>
      </c>
      <c r="O1740" s="71">
        <f t="shared" ca="1" si="601"/>
        <v>11</v>
      </c>
      <c r="P1740" s="34" t="str">
        <f t="shared" ca="1" si="602"/>
        <v/>
      </c>
      <c r="Q1740" s="34" t="str">
        <f t="shared" ca="1" si="603"/>
        <v/>
      </c>
      <c r="R1740" s="55" t="str">
        <f t="shared" ca="1" si="604"/>
        <v/>
      </c>
      <c r="U1740" s="485" t="str">
        <f t="shared" ca="1" si="631"/>
        <v/>
      </c>
      <c r="V1740" s="486" t="str">
        <f t="shared" ca="1" si="632"/>
        <v/>
      </c>
      <c r="W1740" s="486">
        <f t="shared" ca="1" si="633"/>
        <v>1</v>
      </c>
      <c r="X1740" s="486">
        <f t="shared" ca="1" si="634"/>
        <v>1</v>
      </c>
      <c r="Y1740" s="485" t="str">
        <f t="shared" ca="1" si="635"/>
        <v/>
      </c>
      <c r="Z1740" s="486" t="str">
        <f t="shared" ca="1" si="636"/>
        <v/>
      </c>
      <c r="AA1740" s="486" t="str">
        <f t="shared" ca="1" si="637"/>
        <v/>
      </c>
      <c r="AB1740" s="486" t="str">
        <f t="shared" ca="1" si="638"/>
        <v/>
      </c>
      <c r="AC1740" s="485" t="str">
        <f t="shared" ca="1" si="639"/>
        <v/>
      </c>
      <c r="AD1740" s="486" t="str">
        <f t="shared" ca="1" si="640"/>
        <v/>
      </c>
      <c r="AE1740" s="486" t="str">
        <f t="shared" ca="1" si="641"/>
        <v/>
      </c>
      <c r="AF1740" s="486" t="str">
        <f t="shared" ca="1" si="642"/>
        <v/>
      </c>
      <c r="AG1740" s="485" t="str">
        <f t="shared" ca="1" si="643"/>
        <v/>
      </c>
      <c r="AH1740" s="486" t="str">
        <f t="shared" ca="1" si="644"/>
        <v/>
      </c>
      <c r="AI1740" s="486" t="str">
        <f t="shared" ca="1" si="645"/>
        <v/>
      </c>
      <c r="AJ1740" s="486" t="str">
        <f t="shared" ca="1" si="646"/>
        <v/>
      </c>
      <c r="AK1740" s="474" t="str">
        <f t="shared" ca="1" si="578"/>
        <v/>
      </c>
      <c r="AL1740" s="480" t="str">
        <f t="shared" ca="1" si="606"/>
        <v>-</v>
      </c>
      <c r="AM1740" s="476" t="str">
        <f t="shared" ca="1" si="579"/>
        <v/>
      </c>
      <c r="AN1740" s="480" t="str">
        <f t="shared" ca="1" si="607"/>
        <v>-</v>
      </c>
      <c r="AO1740" s="601" t="str">
        <f t="shared" ca="1" si="580"/>
        <v/>
      </c>
      <c r="AP1740" s="480" t="str">
        <f t="shared" ca="1" si="608"/>
        <v>-</v>
      </c>
      <c r="AQ1740" s="477" t="str">
        <f t="shared" ca="1" si="581"/>
        <v/>
      </c>
      <c r="AR1740" s="480" t="str">
        <f t="shared" ca="1" si="609"/>
        <v>-</v>
      </c>
      <c r="AT1740" s="490" t="str">
        <f t="shared" ca="1" si="610"/>
        <v/>
      </c>
      <c r="AU1740" s="491" t="str">
        <f t="shared" ca="1" si="611"/>
        <v/>
      </c>
      <c r="AV1740" s="491" t="str">
        <f t="shared" ca="1" si="612"/>
        <v/>
      </c>
      <c r="AW1740" s="492" t="str">
        <f t="shared" ca="1" si="613"/>
        <v/>
      </c>
      <c r="AY1740" s="474" t="str">
        <f t="shared" ca="1" si="582"/>
        <v/>
      </c>
      <c r="AZ1740" s="480" t="str">
        <f t="shared" ca="1" si="614"/>
        <v>-</v>
      </c>
      <c r="BA1740" s="476" t="str">
        <f t="shared" ca="1" si="583"/>
        <v/>
      </c>
      <c r="BB1740" s="480" t="str">
        <f t="shared" ca="1" si="615"/>
        <v>-</v>
      </c>
      <c r="BC1740" s="601" t="str">
        <f t="shared" ca="1" si="584"/>
        <v/>
      </c>
      <c r="BD1740" s="480" t="str">
        <f t="shared" ca="1" si="616"/>
        <v>-</v>
      </c>
      <c r="BE1740" s="477" t="str">
        <f t="shared" ca="1" si="585"/>
        <v/>
      </c>
      <c r="BF1740" s="480" t="str">
        <f t="shared" ca="1" si="617"/>
        <v>-</v>
      </c>
      <c r="BG1740" s="488" t="str">
        <f t="shared" ca="1" si="618"/>
        <v/>
      </c>
      <c r="BH1740" s="483" t="str">
        <f t="shared" ca="1" si="619"/>
        <v/>
      </c>
      <c r="BI1740" s="483" t="str">
        <f t="shared" ca="1" si="620"/>
        <v/>
      </c>
      <c r="BJ1740" s="635" t="str">
        <f t="shared" ca="1" si="621"/>
        <v/>
      </c>
      <c r="BK1740" s="34" t="str">
        <f t="shared" ca="1" si="622"/>
        <v/>
      </c>
      <c r="BL1740" s="71" t="e">
        <f t="shared" ca="1" si="586"/>
        <v>#VALUE!</v>
      </c>
      <c r="BM1740" s="34" t="str">
        <f t="shared" ca="1" si="623"/>
        <v/>
      </c>
      <c r="BN1740" s="34" t="e">
        <f t="shared" ca="1" si="587"/>
        <v>#VALUE!</v>
      </c>
      <c r="BO1740" s="34" t="str">
        <f t="shared" ca="1" si="624"/>
        <v/>
      </c>
      <c r="BP1740" s="34" t="e">
        <f t="shared" ca="1" si="588"/>
        <v>#VALUE!</v>
      </c>
      <c r="BQ1740" s="55" t="str">
        <f t="shared" ca="1" si="625"/>
        <v/>
      </c>
      <c r="BR1740" s="485" t="str">
        <f t="shared" si="626"/>
        <v/>
      </c>
      <c r="BS1740" s="634" t="str">
        <f t="shared" ca="1" si="627"/>
        <v/>
      </c>
      <c r="BT1740" s="634" t="str">
        <f t="shared" ca="1" si="628"/>
        <v/>
      </c>
      <c r="BU1740" s="666" t="str">
        <f t="shared" ca="1" si="629"/>
        <v/>
      </c>
    </row>
    <row r="1741" spans="1:97" hidden="1" outlineLevel="1" x14ac:dyDescent="0.25">
      <c r="A1741">
        <f t="shared" ca="1" si="589"/>
        <v>1</v>
      </c>
      <c r="B1741">
        <f t="shared" ca="1" si="562"/>
        <v>15</v>
      </c>
      <c r="C1741" s="34">
        <f t="shared" ca="1" si="630"/>
        <v>24</v>
      </c>
      <c r="D1741" s="34">
        <f t="shared" ca="1" si="590"/>
        <v>21</v>
      </c>
      <c r="E1741" s="34">
        <f t="shared" ca="1" si="591"/>
        <v>14.5</v>
      </c>
      <c r="F1741" s="55">
        <f t="shared" ca="1" si="592"/>
        <v>5</v>
      </c>
      <c r="G1741" s="34" t="str">
        <f t="shared" ca="1" si="593"/>
        <v/>
      </c>
      <c r="H1741" s="34" t="str">
        <f t="shared" ca="1" si="594"/>
        <v/>
      </c>
      <c r="I1741" s="34" t="str">
        <f t="shared" ca="1" si="595"/>
        <v/>
      </c>
      <c r="J1741" s="55" t="str">
        <f t="shared" ca="1" si="596"/>
        <v/>
      </c>
      <c r="K1741" s="71" t="str">
        <f t="shared" ca="1" si="597"/>
        <v/>
      </c>
      <c r="L1741" s="34" t="str">
        <f t="shared" ca="1" si="598"/>
        <v/>
      </c>
      <c r="M1741" s="34" t="str">
        <f t="shared" ca="1" si="599"/>
        <v/>
      </c>
      <c r="N1741" s="55" t="str">
        <f t="shared" ca="1" si="600"/>
        <v/>
      </c>
      <c r="O1741" s="71">
        <f t="shared" ca="1" si="601"/>
        <v>10</v>
      </c>
      <c r="P1741" s="34" t="str">
        <f t="shared" ca="1" si="602"/>
        <v/>
      </c>
      <c r="Q1741" s="34" t="str">
        <f t="shared" ca="1" si="603"/>
        <v/>
      </c>
      <c r="R1741" s="55" t="str">
        <f t="shared" ca="1" si="604"/>
        <v/>
      </c>
      <c r="U1741" s="485" t="str">
        <f t="shared" ca="1" si="631"/>
        <v/>
      </c>
      <c r="V1741" s="486">
        <f t="shared" ca="1" si="632"/>
        <v>1</v>
      </c>
      <c r="W1741" s="486" t="str">
        <f t="shared" ca="1" si="633"/>
        <v/>
      </c>
      <c r="X1741" s="486" t="str">
        <f t="shared" ca="1" si="634"/>
        <v/>
      </c>
      <c r="Y1741" s="485" t="str">
        <f t="shared" ca="1" si="635"/>
        <v/>
      </c>
      <c r="Z1741" s="486" t="str">
        <f t="shared" ca="1" si="636"/>
        <v/>
      </c>
      <c r="AA1741" s="486" t="str">
        <f t="shared" ca="1" si="637"/>
        <v/>
      </c>
      <c r="AB1741" s="486" t="str">
        <f t="shared" ca="1" si="638"/>
        <v/>
      </c>
      <c r="AC1741" s="485" t="str">
        <f t="shared" ca="1" si="639"/>
        <v/>
      </c>
      <c r="AD1741" s="486" t="str">
        <f t="shared" ca="1" si="640"/>
        <v/>
      </c>
      <c r="AE1741" s="486" t="str">
        <f t="shared" ca="1" si="641"/>
        <v/>
      </c>
      <c r="AF1741" s="486" t="str">
        <f t="shared" ca="1" si="642"/>
        <v/>
      </c>
      <c r="AG1741" s="485" t="str">
        <f t="shared" ca="1" si="643"/>
        <v/>
      </c>
      <c r="AH1741" s="486" t="str">
        <f t="shared" ca="1" si="644"/>
        <v/>
      </c>
      <c r="AI1741" s="486" t="str">
        <f t="shared" ca="1" si="645"/>
        <v/>
      </c>
      <c r="AJ1741" s="486" t="str">
        <f t="shared" ca="1" si="646"/>
        <v/>
      </c>
      <c r="AK1741" s="474" t="str">
        <f t="shared" ca="1" si="578"/>
        <v/>
      </c>
      <c r="AL1741" s="480" t="str">
        <f t="shared" ca="1" si="606"/>
        <v>-</v>
      </c>
      <c r="AM1741" s="476" t="str">
        <f t="shared" ca="1" si="579"/>
        <v/>
      </c>
      <c r="AN1741" s="480" t="str">
        <f t="shared" ca="1" si="607"/>
        <v>-</v>
      </c>
      <c r="AO1741" s="601" t="str">
        <f t="shared" ca="1" si="580"/>
        <v/>
      </c>
      <c r="AP1741" s="480" t="str">
        <f t="shared" ca="1" si="608"/>
        <v>-</v>
      </c>
      <c r="AQ1741" s="477" t="str">
        <f t="shared" ca="1" si="581"/>
        <v/>
      </c>
      <c r="AR1741" s="480" t="str">
        <f t="shared" ca="1" si="609"/>
        <v>-</v>
      </c>
      <c r="AT1741" s="490" t="str">
        <f t="shared" ca="1" si="610"/>
        <v/>
      </c>
      <c r="AU1741" s="491" t="str">
        <f t="shared" ca="1" si="611"/>
        <v/>
      </c>
      <c r="AV1741" s="491" t="str">
        <f t="shared" ca="1" si="612"/>
        <v/>
      </c>
      <c r="AW1741" s="492" t="str">
        <f t="shared" ca="1" si="613"/>
        <v/>
      </c>
      <c r="AY1741" s="474" t="str">
        <f t="shared" ca="1" si="582"/>
        <v/>
      </c>
      <c r="AZ1741" s="480" t="str">
        <f t="shared" ca="1" si="614"/>
        <v>-</v>
      </c>
      <c r="BA1741" s="476" t="str">
        <f t="shared" ca="1" si="583"/>
        <v/>
      </c>
      <c r="BB1741" s="480" t="str">
        <f t="shared" ca="1" si="615"/>
        <v>-</v>
      </c>
      <c r="BC1741" s="601" t="str">
        <f t="shared" ca="1" si="584"/>
        <v/>
      </c>
      <c r="BD1741" s="480" t="str">
        <f t="shared" ca="1" si="616"/>
        <v>-</v>
      </c>
      <c r="BE1741" s="477" t="str">
        <f t="shared" ca="1" si="585"/>
        <v/>
      </c>
      <c r="BF1741" s="480" t="str">
        <f t="shared" ca="1" si="617"/>
        <v>-</v>
      </c>
      <c r="BG1741" s="488" t="str">
        <f t="shared" ca="1" si="618"/>
        <v/>
      </c>
      <c r="BH1741" s="483" t="str">
        <f t="shared" ca="1" si="619"/>
        <v/>
      </c>
      <c r="BI1741" s="483" t="str">
        <f t="shared" ca="1" si="620"/>
        <v/>
      </c>
      <c r="BJ1741" s="635" t="str">
        <f t="shared" ca="1" si="621"/>
        <v/>
      </c>
      <c r="BK1741" s="34" t="str">
        <f t="shared" ca="1" si="622"/>
        <v/>
      </c>
      <c r="BL1741" s="71" t="e">
        <f t="shared" ca="1" si="586"/>
        <v>#VALUE!</v>
      </c>
      <c r="BM1741" s="34" t="str">
        <f t="shared" ca="1" si="623"/>
        <v/>
      </c>
      <c r="BN1741" s="34" t="e">
        <f t="shared" ca="1" si="587"/>
        <v>#VALUE!</v>
      </c>
      <c r="BO1741" s="34" t="str">
        <f t="shared" ca="1" si="624"/>
        <v/>
      </c>
      <c r="BP1741" s="34" t="e">
        <f t="shared" ca="1" si="588"/>
        <v>#VALUE!</v>
      </c>
      <c r="BQ1741" s="55" t="str">
        <f t="shared" ca="1" si="625"/>
        <v/>
      </c>
      <c r="BR1741" s="485" t="str">
        <f t="shared" ca="1" si="626"/>
        <v/>
      </c>
      <c r="BS1741" s="634" t="str">
        <f t="shared" ca="1" si="627"/>
        <v/>
      </c>
      <c r="BT1741" s="634" t="str">
        <f t="shared" ca="1" si="628"/>
        <v/>
      </c>
      <c r="BU1741" s="666" t="str">
        <f t="shared" ca="1" si="629"/>
        <v/>
      </c>
    </row>
    <row r="1742" spans="1:97" hidden="1" outlineLevel="1" x14ac:dyDescent="0.25">
      <c r="A1742">
        <f t="shared" ca="1" si="589"/>
        <v>1</v>
      </c>
      <c r="B1742">
        <f t="shared" ca="1" si="562"/>
        <v>14</v>
      </c>
      <c r="C1742" s="34">
        <f t="shared" ca="1" si="630"/>
        <v>23</v>
      </c>
      <c r="D1742" s="34">
        <f t="shared" ca="1" si="590"/>
        <v>20</v>
      </c>
      <c r="E1742" s="34">
        <f t="shared" ca="1" si="591"/>
        <v>13.5</v>
      </c>
      <c r="F1742" s="55">
        <f t="shared" ca="1" si="592"/>
        <v>4</v>
      </c>
      <c r="G1742" s="34" t="str">
        <f t="shared" ca="1" si="593"/>
        <v/>
      </c>
      <c r="H1742" s="34" t="str">
        <f t="shared" ca="1" si="594"/>
        <v/>
      </c>
      <c r="I1742" s="34" t="str">
        <f t="shared" ca="1" si="595"/>
        <v/>
      </c>
      <c r="J1742" s="55" t="str">
        <f t="shared" ca="1" si="596"/>
        <v/>
      </c>
      <c r="K1742" s="71" t="str">
        <f t="shared" ca="1" si="597"/>
        <v/>
      </c>
      <c r="L1742" s="34" t="str">
        <f t="shared" ca="1" si="598"/>
        <v/>
      </c>
      <c r="M1742" s="34" t="str">
        <f t="shared" ca="1" si="599"/>
        <v/>
      </c>
      <c r="N1742" s="55" t="str">
        <f t="shared" ca="1" si="600"/>
        <v/>
      </c>
      <c r="O1742" s="71">
        <f t="shared" ca="1" si="601"/>
        <v>9</v>
      </c>
      <c r="P1742" s="34" t="str">
        <f t="shared" ca="1" si="602"/>
        <v/>
      </c>
      <c r="Q1742" s="34" t="str">
        <f t="shared" ca="1" si="603"/>
        <v/>
      </c>
      <c r="R1742" s="55" t="str">
        <f t="shared" ca="1" si="604"/>
        <v/>
      </c>
      <c r="U1742" s="485" t="str">
        <f t="shared" ca="1" si="631"/>
        <v/>
      </c>
      <c r="V1742" s="486" t="str">
        <f t="shared" ca="1" si="632"/>
        <v/>
      </c>
      <c r="W1742" s="486" t="str">
        <f t="shared" ca="1" si="633"/>
        <v/>
      </c>
      <c r="X1742" s="486" t="str">
        <f t="shared" ca="1" si="634"/>
        <v/>
      </c>
      <c r="Y1742" s="485" t="str">
        <f t="shared" ca="1" si="635"/>
        <v/>
      </c>
      <c r="Z1742" s="486" t="str">
        <f t="shared" ca="1" si="636"/>
        <v/>
      </c>
      <c r="AA1742" s="486" t="str">
        <f t="shared" ca="1" si="637"/>
        <v/>
      </c>
      <c r="AB1742" s="486" t="str">
        <f t="shared" ca="1" si="638"/>
        <v/>
      </c>
      <c r="AC1742" s="485" t="str">
        <f t="shared" ca="1" si="639"/>
        <v/>
      </c>
      <c r="AD1742" s="486" t="str">
        <f t="shared" ca="1" si="640"/>
        <v/>
      </c>
      <c r="AE1742" s="486" t="str">
        <f t="shared" ca="1" si="641"/>
        <v/>
      </c>
      <c r="AF1742" s="486" t="str">
        <f t="shared" ca="1" si="642"/>
        <v/>
      </c>
      <c r="AG1742" s="485">
        <f t="shared" ca="1" si="643"/>
        <v>1</v>
      </c>
      <c r="AH1742" s="486" t="str">
        <f t="shared" ca="1" si="644"/>
        <v/>
      </c>
      <c r="AI1742" s="486" t="str">
        <f t="shared" ca="1" si="645"/>
        <v/>
      </c>
      <c r="AJ1742" s="486" t="str">
        <f t="shared" ca="1" si="646"/>
        <v/>
      </c>
      <c r="AK1742" s="474" t="str">
        <f t="shared" ca="1" si="578"/>
        <v/>
      </c>
      <c r="AL1742" s="480" t="str">
        <f t="shared" ca="1" si="606"/>
        <v>-</v>
      </c>
      <c r="AM1742" s="476" t="str">
        <f t="shared" ca="1" si="579"/>
        <v/>
      </c>
      <c r="AN1742" s="480" t="str">
        <f t="shared" ca="1" si="607"/>
        <v>-</v>
      </c>
      <c r="AO1742" s="601" t="str">
        <f t="shared" ca="1" si="580"/>
        <v/>
      </c>
      <c r="AP1742" s="480" t="str">
        <f t="shared" ca="1" si="608"/>
        <v>-</v>
      </c>
      <c r="AQ1742" s="477" t="str">
        <f t="shared" ca="1" si="581"/>
        <v/>
      </c>
      <c r="AR1742" s="480" t="str">
        <f t="shared" ca="1" si="609"/>
        <v>-</v>
      </c>
      <c r="AT1742" s="490" t="str">
        <f t="shared" ca="1" si="610"/>
        <v/>
      </c>
      <c r="AU1742" s="491" t="str">
        <f t="shared" ca="1" si="611"/>
        <v/>
      </c>
      <c r="AV1742" s="491" t="str">
        <f t="shared" ca="1" si="612"/>
        <v/>
      </c>
      <c r="AW1742" s="492" t="str">
        <f t="shared" ca="1" si="613"/>
        <v/>
      </c>
      <c r="AY1742" s="474" t="str">
        <f t="shared" ca="1" si="582"/>
        <v/>
      </c>
      <c r="AZ1742" s="480" t="str">
        <f t="shared" ca="1" si="614"/>
        <v>-</v>
      </c>
      <c r="BA1742" s="476" t="str">
        <f t="shared" ca="1" si="583"/>
        <v/>
      </c>
      <c r="BB1742" s="480" t="str">
        <f t="shared" ca="1" si="615"/>
        <v>-</v>
      </c>
      <c r="BC1742" s="601" t="str">
        <f t="shared" ca="1" si="584"/>
        <v/>
      </c>
      <c r="BD1742" s="480" t="str">
        <f t="shared" ca="1" si="616"/>
        <v>-</v>
      </c>
      <c r="BE1742" s="477" t="str">
        <f t="shared" ca="1" si="585"/>
        <v/>
      </c>
      <c r="BF1742" s="480" t="str">
        <f t="shared" ca="1" si="617"/>
        <v>-</v>
      </c>
      <c r="BG1742" s="488" t="str">
        <f t="shared" ca="1" si="618"/>
        <v/>
      </c>
      <c r="BH1742" s="483" t="str">
        <f t="shared" ca="1" si="619"/>
        <v/>
      </c>
      <c r="BI1742" s="483" t="str">
        <f t="shared" ca="1" si="620"/>
        <v/>
      </c>
      <c r="BJ1742" s="635" t="str">
        <f t="shared" ca="1" si="621"/>
        <v/>
      </c>
      <c r="BK1742" s="34" t="str">
        <f t="shared" ca="1" si="622"/>
        <v/>
      </c>
      <c r="BL1742" s="71" t="e">
        <f t="shared" ca="1" si="586"/>
        <v>#VALUE!</v>
      </c>
      <c r="BM1742" s="34" t="str">
        <f t="shared" ca="1" si="623"/>
        <v/>
      </c>
      <c r="BN1742" s="34" t="e">
        <f t="shared" ca="1" si="587"/>
        <v>#VALUE!</v>
      </c>
      <c r="BO1742" s="34" t="str">
        <f t="shared" ca="1" si="624"/>
        <v/>
      </c>
      <c r="BP1742" s="34" t="e">
        <f t="shared" ca="1" si="588"/>
        <v>#VALUE!</v>
      </c>
      <c r="BQ1742" s="55" t="str">
        <f t="shared" ca="1" si="625"/>
        <v/>
      </c>
      <c r="BR1742" s="485" t="str">
        <f t="shared" si="626"/>
        <v/>
      </c>
      <c r="BS1742" s="634" t="str">
        <f t="shared" ca="1" si="627"/>
        <v/>
      </c>
      <c r="BT1742" s="634" t="str">
        <f t="shared" ca="1" si="628"/>
        <v/>
      </c>
      <c r="BU1742" s="666" t="str">
        <f t="shared" ca="1" si="629"/>
        <v/>
      </c>
    </row>
    <row r="1743" spans="1:97" hidden="1" outlineLevel="1" x14ac:dyDescent="0.25">
      <c r="A1743">
        <f t="shared" ca="1" si="589"/>
        <v>1</v>
      </c>
      <c r="B1743">
        <f t="shared" ca="1" si="562"/>
        <v>13</v>
      </c>
      <c r="C1743" s="34">
        <f t="shared" ca="1" si="630"/>
        <v>22</v>
      </c>
      <c r="D1743" s="34">
        <f t="shared" ca="1" si="590"/>
        <v>19</v>
      </c>
      <c r="E1743" s="34">
        <f t="shared" ca="1" si="591"/>
        <v>12.5</v>
      </c>
      <c r="F1743" s="55">
        <f t="shared" ca="1" si="592"/>
        <v>3</v>
      </c>
      <c r="G1743" s="34" t="str">
        <f t="shared" ca="1" si="593"/>
        <v/>
      </c>
      <c r="H1743" s="34" t="str">
        <f t="shared" ca="1" si="594"/>
        <v/>
      </c>
      <c r="I1743" s="34" t="str">
        <f t="shared" ca="1" si="595"/>
        <v/>
      </c>
      <c r="J1743" s="55" t="str">
        <f t="shared" ca="1" si="596"/>
        <v/>
      </c>
      <c r="K1743" s="71" t="str">
        <f t="shared" ca="1" si="597"/>
        <v/>
      </c>
      <c r="L1743" s="34" t="str">
        <f t="shared" ca="1" si="598"/>
        <v/>
      </c>
      <c r="M1743" s="34" t="str">
        <f t="shared" ca="1" si="599"/>
        <v/>
      </c>
      <c r="N1743" s="55" t="str">
        <f t="shared" ca="1" si="600"/>
        <v/>
      </c>
      <c r="O1743" s="71">
        <f t="shared" ca="1" si="601"/>
        <v>8</v>
      </c>
      <c r="P1743" s="34" t="str">
        <f t="shared" ca="1" si="602"/>
        <v/>
      </c>
      <c r="Q1743" s="34" t="str">
        <f t="shared" ca="1" si="603"/>
        <v/>
      </c>
      <c r="R1743" s="55" t="str">
        <f t="shared" ca="1" si="604"/>
        <v/>
      </c>
      <c r="U1743" s="485" t="str">
        <f t="shared" ca="1" si="631"/>
        <v/>
      </c>
      <c r="V1743" s="486">
        <f t="shared" ca="1" si="632"/>
        <v>1</v>
      </c>
      <c r="W1743" s="486" t="str">
        <f t="shared" ca="1" si="633"/>
        <v/>
      </c>
      <c r="X1743" s="486">
        <f t="shared" ca="1" si="634"/>
        <v>1</v>
      </c>
      <c r="Y1743" s="485" t="str">
        <f t="shared" ca="1" si="635"/>
        <v/>
      </c>
      <c r="Z1743" s="486" t="str">
        <f t="shared" ca="1" si="636"/>
        <v/>
      </c>
      <c r="AA1743" s="486" t="str">
        <f t="shared" ca="1" si="637"/>
        <v/>
      </c>
      <c r="AB1743" s="486" t="str">
        <f t="shared" ca="1" si="638"/>
        <v/>
      </c>
      <c r="AC1743" s="485" t="str">
        <f t="shared" ca="1" si="639"/>
        <v/>
      </c>
      <c r="AD1743" s="486" t="str">
        <f t="shared" ca="1" si="640"/>
        <v/>
      </c>
      <c r="AE1743" s="486" t="str">
        <f t="shared" ca="1" si="641"/>
        <v/>
      </c>
      <c r="AF1743" s="486" t="str">
        <f t="shared" ca="1" si="642"/>
        <v/>
      </c>
      <c r="AG1743" s="485">
        <f t="shared" ca="1" si="643"/>
        <v>1</v>
      </c>
      <c r="AH1743" s="486" t="str">
        <f t="shared" ca="1" si="644"/>
        <v/>
      </c>
      <c r="AI1743" s="486" t="str">
        <f t="shared" ca="1" si="645"/>
        <v/>
      </c>
      <c r="AJ1743" s="486" t="str">
        <f t="shared" ca="1" si="646"/>
        <v/>
      </c>
      <c r="AK1743" s="474" t="str">
        <f t="shared" ca="1" si="578"/>
        <v/>
      </c>
      <c r="AL1743" s="480" t="str">
        <f t="shared" ca="1" si="606"/>
        <v>-</v>
      </c>
      <c r="AM1743" s="476" t="str">
        <f t="shared" ca="1" si="579"/>
        <v/>
      </c>
      <c r="AN1743" s="480" t="str">
        <f t="shared" ca="1" si="607"/>
        <v>-</v>
      </c>
      <c r="AO1743" s="601" t="str">
        <f t="shared" ca="1" si="580"/>
        <v/>
      </c>
      <c r="AP1743" s="480" t="str">
        <f t="shared" ca="1" si="608"/>
        <v>-</v>
      </c>
      <c r="AQ1743" s="477" t="str">
        <f t="shared" ca="1" si="581"/>
        <v/>
      </c>
      <c r="AR1743" s="480" t="str">
        <f t="shared" ca="1" si="609"/>
        <v>-</v>
      </c>
      <c r="AT1743" s="490" t="str">
        <f t="shared" ca="1" si="610"/>
        <v/>
      </c>
      <c r="AU1743" s="491" t="str">
        <f t="shared" ca="1" si="611"/>
        <v/>
      </c>
      <c r="AV1743" s="491" t="str">
        <f t="shared" ca="1" si="612"/>
        <v/>
      </c>
      <c r="AW1743" s="492" t="str">
        <f t="shared" ca="1" si="613"/>
        <v/>
      </c>
      <c r="AY1743" s="474" t="str">
        <f t="shared" ca="1" si="582"/>
        <v/>
      </c>
      <c r="AZ1743" s="480" t="str">
        <f t="shared" ca="1" si="614"/>
        <v>-</v>
      </c>
      <c r="BA1743" s="476" t="str">
        <f t="shared" ca="1" si="583"/>
        <v/>
      </c>
      <c r="BB1743" s="480" t="str">
        <f t="shared" ca="1" si="615"/>
        <v>-</v>
      </c>
      <c r="BC1743" s="601" t="str">
        <f t="shared" ca="1" si="584"/>
        <v/>
      </c>
      <c r="BD1743" s="480" t="str">
        <f t="shared" ca="1" si="616"/>
        <v>-</v>
      </c>
      <c r="BE1743" s="477" t="str">
        <f t="shared" ca="1" si="585"/>
        <v/>
      </c>
      <c r="BF1743" s="480" t="str">
        <f t="shared" ca="1" si="617"/>
        <v>-</v>
      </c>
      <c r="BG1743" s="488" t="str">
        <f t="shared" ca="1" si="618"/>
        <v/>
      </c>
      <c r="BH1743" s="483" t="str">
        <f t="shared" ca="1" si="619"/>
        <v/>
      </c>
      <c r="BI1743" s="483" t="str">
        <f t="shared" ca="1" si="620"/>
        <v/>
      </c>
      <c r="BJ1743" s="635" t="str">
        <f t="shared" ca="1" si="621"/>
        <v/>
      </c>
      <c r="BK1743" s="34" t="str">
        <f t="shared" ca="1" si="622"/>
        <v/>
      </c>
      <c r="BL1743" s="71" t="e">
        <f t="shared" ca="1" si="586"/>
        <v>#VALUE!</v>
      </c>
      <c r="BM1743" s="34" t="str">
        <f t="shared" ca="1" si="623"/>
        <v/>
      </c>
      <c r="BN1743" s="34" t="e">
        <f t="shared" ca="1" si="587"/>
        <v>#VALUE!</v>
      </c>
      <c r="BO1743" s="34" t="str">
        <f t="shared" ca="1" si="624"/>
        <v/>
      </c>
      <c r="BP1743" s="34" t="e">
        <f t="shared" ca="1" si="588"/>
        <v>#VALUE!</v>
      </c>
      <c r="BQ1743" s="55" t="str">
        <f t="shared" ca="1" si="625"/>
        <v/>
      </c>
      <c r="BR1743" s="485" t="str">
        <f t="shared" ca="1" si="626"/>
        <v/>
      </c>
      <c r="BS1743" s="634" t="str">
        <f t="shared" ca="1" si="627"/>
        <v/>
      </c>
      <c r="BT1743" s="634" t="str">
        <f t="shared" ca="1" si="628"/>
        <v/>
      </c>
      <c r="BU1743" s="666" t="str">
        <f t="shared" ca="1" si="629"/>
        <v/>
      </c>
    </row>
    <row r="1744" spans="1:97" hidden="1" outlineLevel="1" x14ac:dyDescent="0.25">
      <c r="A1744">
        <f t="shared" ca="1" si="589"/>
        <v>1</v>
      </c>
      <c r="B1744">
        <f t="shared" ca="1" si="562"/>
        <v>12</v>
      </c>
      <c r="C1744" s="34">
        <f t="shared" ca="1" si="630"/>
        <v>21</v>
      </c>
      <c r="D1744" s="34">
        <f t="shared" ca="1" si="590"/>
        <v>18</v>
      </c>
      <c r="E1744" s="34">
        <f t="shared" ca="1" si="591"/>
        <v>11.5</v>
      </c>
      <c r="F1744" s="55">
        <f t="shared" ca="1" si="592"/>
        <v>2</v>
      </c>
      <c r="G1744" s="34" t="str">
        <f t="shared" ca="1" si="593"/>
        <v/>
      </c>
      <c r="H1744" s="34" t="str">
        <f t="shared" ca="1" si="594"/>
        <v/>
      </c>
      <c r="I1744" s="34" t="str">
        <f t="shared" ca="1" si="595"/>
        <v/>
      </c>
      <c r="J1744" s="55" t="str">
        <f t="shared" ca="1" si="596"/>
        <v/>
      </c>
      <c r="K1744" s="71" t="str">
        <f t="shared" ca="1" si="597"/>
        <v/>
      </c>
      <c r="L1744" s="34" t="str">
        <f t="shared" ca="1" si="598"/>
        <v/>
      </c>
      <c r="M1744" s="34" t="str">
        <f t="shared" ca="1" si="599"/>
        <v/>
      </c>
      <c r="N1744" s="55" t="str">
        <f t="shared" ca="1" si="600"/>
        <v/>
      </c>
      <c r="O1744" s="71">
        <f t="shared" ca="1" si="601"/>
        <v>7</v>
      </c>
      <c r="P1744" s="34" t="str">
        <f t="shared" ca="1" si="602"/>
        <v/>
      </c>
      <c r="Q1744" s="34" t="str">
        <f t="shared" ca="1" si="603"/>
        <v/>
      </c>
      <c r="R1744" s="55" t="str">
        <f t="shared" ca="1" si="604"/>
        <v/>
      </c>
      <c r="U1744" s="485">
        <f t="shared" ca="1" si="631"/>
        <v>1</v>
      </c>
      <c r="V1744" s="486" t="str">
        <f t="shared" ca="1" si="632"/>
        <v/>
      </c>
      <c r="W1744" s="486" t="str">
        <f t="shared" ca="1" si="633"/>
        <v/>
      </c>
      <c r="X1744" s="486">
        <f t="shared" ca="1" si="634"/>
        <v>1</v>
      </c>
      <c r="Y1744" s="485" t="str">
        <f t="shared" ca="1" si="635"/>
        <v/>
      </c>
      <c r="Z1744" s="486" t="str">
        <f t="shared" ca="1" si="636"/>
        <v/>
      </c>
      <c r="AA1744" s="486" t="str">
        <f t="shared" ca="1" si="637"/>
        <v/>
      </c>
      <c r="AB1744" s="486" t="str">
        <f t="shared" ca="1" si="638"/>
        <v/>
      </c>
      <c r="AC1744" s="485" t="str">
        <f t="shared" ca="1" si="639"/>
        <v/>
      </c>
      <c r="AD1744" s="486" t="str">
        <f t="shared" ca="1" si="640"/>
        <v/>
      </c>
      <c r="AE1744" s="486" t="str">
        <f t="shared" ca="1" si="641"/>
        <v/>
      </c>
      <c r="AF1744" s="486" t="str">
        <f t="shared" ca="1" si="642"/>
        <v/>
      </c>
      <c r="AG1744" s="485" t="str">
        <f t="shared" ca="1" si="643"/>
        <v/>
      </c>
      <c r="AH1744" s="486" t="str">
        <f t="shared" ca="1" si="644"/>
        <v/>
      </c>
      <c r="AI1744" s="486" t="str">
        <f t="shared" ca="1" si="645"/>
        <v/>
      </c>
      <c r="AJ1744" s="486" t="str">
        <f t="shared" ca="1" si="646"/>
        <v/>
      </c>
      <c r="AK1744" s="474" t="str">
        <f t="shared" ca="1" si="578"/>
        <v/>
      </c>
      <c r="AL1744" s="480" t="str">
        <f t="shared" ca="1" si="606"/>
        <v>-</v>
      </c>
      <c r="AM1744" s="476" t="str">
        <f t="shared" ca="1" si="579"/>
        <v/>
      </c>
      <c r="AN1744" s="480" t="str">
        <f t="shared" ca="1" si="607"/>
        <v>-</v>
      </c>
      <c r="AO1744" s="601" t="str">
        <f t="shared" ca="1" si="580"/>
        <v/>
      </c>
      <c r="AP1744" s="480" t="str">
        <f t="shared" ca="1" si="608"/>
        <v>-</v>
      </c>
      <c r="AQ1744" s="477" t="str">
        <f t="shared" ca="1" si="581"/>
        <v/>
      </c>
      <c r="AR1744" s="480" t="str">
        <f t="shared" ca="1" si="609"/>
        <v>-</v>
      </c>
      <c r="AT1744" s="490" t="str">
        <f t="shared" ca="1" si="610"/>
        <v/>
      </c>
      <c r="AU1744" s="491" t="str">
        <f t="shared" ca="1" si="611"/>
        <v/>
      </c>
      <c r="AV1744" s="491" t="str">
        <f t="shared" ca="1" si="612"/>
        <v/>
      </c>
      <c r="AW1744" s="492" t="str">
        <f t="shared" ca="1" si="613"/>
        <v/>
      </c>
      <c r="AY1744" s="474" t="str">
        <f t="shared" ca="1" si="582"/>
        <v/>
      </c>
      <c r="AZ1744" s="480" t="str">
        <f t="shared" ca="1" si="614"/>
        <v>-</v>
      </c>
      <c r="BA1744" s="476" t="str">
        <f t="shared" ca="1" si="583"/>
        <v/>
      </c>
      <c r="BB1744" s="480" t="str">
        <f t="shared" ca="1" si="615"/>
        <v>-</v>
      </c>
      <c r="BC1744" s="601" t="str">
        <f t="shared" ca="1" si="584"/>
        <v/>
      </c>
      <c r="BD1744" s="480" t="str">
        <f t="shared" ca="1" si="616"/>
        <v>-</v>
      </c>
      <c r="BE1744" s="477" t="str">
        <f t="shared" ca="1" si="585"/>
        <v/>
      </c>
      <c r="BF1744" s="480" t="str">
        <f t="shared" ca="1" si="617"/>
        <v>-</v>
      </c>
      <c r="BG1744" s="488" t="str">
        <f t="shared" ca="1" si="618"/>
        <v/>
      </c>
      <c r="BH1744" s="483" t="str">
        <f t="shared" ca="1" si="619"/>
        <v/>
      </c>
      <c r="BI1744" s="483" t="str">
        <f t="shared" ca="1" si="620"/>
        <v/>
      </c>
      <c r="BJ1744" s="635" t="str">
        <f t="shared" ca="1" si="621"/>
        <v/>
      </c>
      <c r="BK1744" s="34" t="str">
        <f t="shared" ca="1" si="622"/>
        <v/>
      </c>
      <c r="BL1744" s="71" t="e">
        <f t="shared" ca="1" si="586"/>
        <v>#VALUE!</v>
      </c>
      <c r="BM1744" s="34" t="str">
        <f t="shared" ca="1" si="623"/>
        <v/>
      </c>
      <c r="BN1744" s="34" t="e">
        <f t="shared" ca="1" si="587"/>
        <v>#VALUE!</v>
      </c>
      <c r="BO1744" s="34" t="str">
        <f t="shared" ca="1" si="624"/>
        <v/>
      </c>
      <c r="BP1744" s="34" t="e">
        <f t="shared" ca="1" si="588"/>
        <v>#VALUE!</v>
      </c>
      <c r="BQ1744" s="55" t="str">
        <f t="shared" ca="1" si="625"/>
        <v/>
      </c>
      <c r="BR1744" s="485" t="str">
        <f t="shared" si="626"/>
        <v/>
      </c>
      <c r="BS1744" s="634" t="str">
        <f t="shared" ca="1" si="627"/>
        <v/>
      </c>
      <c r="BT1744" s="634" t="str">
        <f t="shared" ca="1" si="628"/>
        <v/>
      </c>
      <c r="BU1744" s="666" t="str">
        <f t="shared" ca="1" si="629"/>
        <v/>
      </c>
    </row>
    <row r="1745" spans="1:73" hidden="1" outlineLevel="1" x14ac:dyDescent="0.25">
      <c r="A1745">
        <f t="shared" ca="1" si="589"/>
        <v>1</v>
      </c>
      <c r="B1745">
        <f t="shared" ca="1" si="562"/>
        <v>11</v>
      </c>
      <c r="C1745" s="34">
        <f t="shared" ca="1" si="630"/>
        <v>20</v>
      </c>
      <c r="D1745" s="34">
        <f t="shared" ca="1" si="590"/>
        <v>17</v>
      </c>
      <c r="E1745" s="34">
        <f t="shared" ca="1" si="591"/>
        <v>10.5</v>
      </c>
      <c r="F1745" s="55">
        <f t="shared" ca="1" si="592"/>
        <v>1</v>
      </c>
      <c r="G1745" s="34" t="str">
        <f t="shared" ca="1" si="593"/>
        <v/>
      </c>
      <c r="H1745" s="34" t="str">
        <f t="shared" ca="1" si="594"/>
        <v/>
      </c>
      <c r="I1745" s="34" t="str">
        <f t="shared" ca="1" si="595"/>
        <v/>
      </c>
      <c r="J1745" s="55" t="str">
        <f t="shared" ca="1" si="596"/>
        <v/>
      </c>
      <c r="K1745" s="71" t="str">
        <f t="shared" ca="1" si="597"/>
        <v/>
      </c>
      <c r="L1745" s="34" t="str">
        <f t="shared" ca="1" si="598"/>
        <v/>
      </c>
      <c r="M1745" s="34" t="str">
        <f t="shared" ca="1" si="599"/>
        <v/>
      </c>
      <c r="N1745" s="55" t="str">
        <f t="shared" ca="1" si="600"/>
        <v/>
      </c>
      <c r="O1745" s="71">
        <f t="shared" ca="1" si="601"/>
        <v>6</v>
      </c>
      <c r="P1745" s="34" t="str">
        <f t="shared" ca="1" si="602"/>
        <v/>
      </c>
      <c r="Q1745" s="34" t="str">
        <f t="shared" ca="1" si="603"/>
        <v/>
      </c>
      <c r="R1745" s="55" t="str">
        <f t="shared" ca="1" si="604"/>
        <v/>
      </c>
      <c r="U1745" s="485" t="str">
        <f t="shared" ca="1" si="631"/>
        <v/>
      </c>
      <c r="V1745" s="486" t="str">
        <f t="shared" ca="1" si="632"/>
        <v/>
      </c>
      <c r="W1745" s="486" t="str">
        <f t="shared" ca="1" si="633"/>
        <v/>
      </c>
      <c r="X1745" s="486" t="str">
        <f t="shared" ca="1" si="634"/>
        <v/>
      </c>
      <c r="Y1745" s="485" t="str">
        <f t="shared" ca="1" si="635"/>
        <v/>
      </c>
      <c r="Z1745" s="486" t="str">
        <f t="shared" ca="1" si="636"/>
        <v/>
      </c>
      <c r="AA1745" s="486" t="str">
        <f t="shared" ca="1" si="637"/>
        <v/>
      </c>
      <c r="AB1745" s="486" t="str">
        <f t="shared" ca="1" si="638"/>
        <v/>
      </c>
      <c r="AC1745" s="485" t="str">
        <f t="shared" ca="1" si="639"/>
        <v/>
      </c>
      <c r="AD1745" s="486" t="str">
        <f t="shared" ca="1" si="640"/>
        <v/>
      </c>
      <c r="AE1745" s="486" t="str">
        <f t="shared" ca="1" si="641"/>
        <v/>
      </c>
      <c r="AF1745" s="486" t="str">
        <f t="shared" ca="1" si="642"/>
        <v/>
      </c>
      <c r="AG1745" s="485">
        <f t="shared" ca="1" si="643"/>
        <v>1</v>
      </c>
      <c r="AH1745" s="486" t="str">
        <f t="shared" ca="1" si="644"/>
        <v/>
      </c>
      <c r="AI1745" s="486" t="str">
        <f t="shared" ca="1" si="645"/>
        <v/>
      </c>
      <c r="AJ1745" s="486" t="str">
        <f t="shared" ca="1" si="646"/>
        <v/>
      </c>
      <c r="AK1745" s="474" t="str">
        <f t="shared" ca="1" si="578"/>
        <v/>
      </c>
      <c r="AL1745" s="480" t="str">
        <f t="shared" ca="1" si="606"/>
        <v>-</v>
      </c>
      <c r="AM1745" s="476" t="str">
        <f t="shared" ca="1" si="579"/>
        <v/>
      </c>
      <c r="AN1745" s="480" t="str">
        <f t="shared" ca="1" si="607"/>
        <v>-</v>
      </c>
      <c r="AO1745" s="601" t="str">
        <f t="shared" ca="1" si="580"/>
        <v/>
      </c>
      <c r="AP1745" s="480" t="str">
        <f t="shared" ca="1" si="608"/>
        <v>-</v>
      </c>
      <c r="AQ1745" s="477" t="str">
        <f t="shared" ca="1" si="581"/>
        <v/>
      </c>
      <c r="AR1745" s="480" t="str">
        <f t="shared" ca="1" si="609"/>
        <v>-</v>
      </c>
      <c r="AT1745" s="490" t="str">
        <f t="shared" ca="1" si="610"/>
        <v/>
      </c>
      <c r="AU1745" s="491" t="str">
        <f t="shared" ca="1" si="611"/>
        <v/>
      </c>
      <c r="AV1745" s="491" t="str">
        <f t="shared" ca="1" si="612"/>
        <v/>
      </c>
      <c r="AW1745" s="492" t="str">
        <f t="shared" ca="1" si="613"/>
        <v/>
      </c>
      <c r="AY1745" s="474" t="str">
        <f t="shared" ca="1" si="582"/>
        <v/>
      </c>
      <c r="AZ1745" s="480" t="str">
        <f t="shared" ca="1" si="614"/>
        <v>-</v>
      </c>
      <c r="BA1745" s="476" t="str">
        <f t="shared" ca="1" si="583"/>
        <v/>
      </c>
      <c r="BB1745" s="480" t="str">
        <f t="shared" ca="1" si="615"/>
        <v>-</v>
      </c>
      <c r="BC1745" s="601" t="str">
        <f t="shared" ca="1" si="584"/>
        <v/>
      </c>
      <c r="BD1745" s="480" t="str">
        <f t="shared" ca="1" si="616"/>
        <v>-</v>
      </c>
      <c r="BE1745" s="477" t="str">
        <f t="shared" ca="1" si="585"/>
        <v/>
      </c>
      <c r="BF1745" s="480" t="str">
        <f t="shared" ca="1" si="617"/>
        <v>-</v>
      </c>
      <c r="BG1745" s="488" t="str">
        <f t="shared" ca="1" si="618"/>
        <v/>
      </c>
      <c r="BH1745" s="483" t="str">
        <f t="shared" ca="1" si="619"/>
        <v/>
      </c>
      <c r="BI1745" s="483" t="str">
        <f t="shared" ca="1" si="620"/>
        <v/>
      </c>
      <c r="BJ1745" s="635" t="str">
        <f t="shared" ca="1" si="621"/>
        <v/>
      </c>
      <c r="BK1745" s="34" t="str">
        <f t="shared" ca="1" si="622"/>
        <v/>
      </c>
      <c r="BL1745" s="71" t="e">
        <f t="shared" ca="1" si="586"/>
        <v>#VALUE!</v>
      </c>
      <c r="BM1745" s="34" t="str">
        <f t="shared" ca="1" si="623"/>
        <v/>
      </c>
      <c r="BN1745" s="34" t="e">
        <f t="shared" ca="1" si="587"/>
        <v>#VALUE!</v>
      </c>
      <c r="BO1745" s="34" t="str">
        <f t="shared" ca="1" si="624"/>
        <v/>
      </c>
      <c r="BP1745" s="34" t="e">
        <f t="shared" ca="1" si="588"/>
        <v>#VALUE!</v>
      </c>
      <c r="BQ1745" s="55" t="str">
        <f t="shared" ca="1" si="625"/>
        <v/>
      </c>
      <c r="BR1745" s="485" t="str">
        <f t="shared" ca="1" si="626"/>
        <v/>
      </c>
      <c r="BS1745" s="634" t="str">
        <f t="shared" ca="1" si="627"/>
        <v/>
      </c>
      <c r="BT1745" s="634" t="str">
        <f t="shared" ca="1" si="628"/>
        <v/>
      </c>
      <c r="BU1745" s="666" t="str">
        <f t="shared" ca="1" si="629"/>
        <v/>
      </c>
    </row>
    <row r="1746" spans="1:73" hidden="1" outlineLevel="1" x14ac:dyDescent="0.25">
      <c r="A1746">
        <f t="shared" ca="1" si="589"/>
        <v>1</v>
      </c>
      <c r="B1746">
        <f t="shared" ca="1" si="562"/>
        <v>10</v>
      </c>
      <c r="C1746" s="34">
        <f t="shared" ca="1" si="630"/>
        <v>19</v>
      </c>
      <c r="D1746" s="34">
        <f t="shared" ca="1" si="590"/>
        <v>16</v>
      </c>
      <c r="E1746" s="34">
        <f t="shared" ca="1" si="591"/>
        <v>9.5</v>
      </c>
      <c r="F1746" s="55">
        <f t="shared" ca="1" si="592"/>
        <v>0</v>
      </c>
      <c r="G1746" s="34" t="str">
        <f t="shared" ca="1" si="593"/>
        <v/>
      </c>
      <c r="H1746" s="34" t="str">
        <f t="shared" ca="1" si="594"/>
        <v/>
      </c>
      <c r="I1746" s="34" t="str">
        <f t="shared" ca="1" si="595"/>
        <v/>
      </c>
      <c r="J1746" s="55" t="str">
        <f t="shared" ca="1" si="596"/>
        <v/>
      </c>
      <c r="K1746" s="71" t="str">
        <f t="shared" ca="1" si="597"/>
        <v/>
      </c>
      <c r="L1746" s="34" t="str">
        <f t="shared" ca="1" si="598"/>
        <v/>
      </c>
      <c r="M1746" s="34" t="str">
        <f t="shared" ca="1" si="599"/>
        <v/>
      </c>
      <c r="N1746" s="55" t="str">
        <f t="shared" ca="1" si="600"/>
        <v/>
      </c>
      <c r="O1746" s="71">
        <f t="shared" ca="1" si="601"/>
        <v>5</v>
      </c>
      <c r="P1746" s="34" t="str">
        <f t="shared" ca="1" si="602"/>
        <v/>
      </c>
      <c r="Q1746" s="34" t="str">
        <f t="shared" ca="1" si="603"/>
        <v/>
      </c>
      <c r="R1746" s="55" t="str">
        <f t="shared" ca="1" si="604"/>
        <v/>
      </c>
      <c r="U1746" s="485">
        <f t="shared" ca="1" si="631"/>
        <v>1</v>
      </c>
      <c r="V1746" s="486" t="str">
        <f t="shared" ca="1" si="632"/>
        <v/>
      </c>
      <c r="W1746" s="486">
        <f t="shared" ca="1" si="633"/>
        <v>1</v>
      </c>
      <c r="X1746" s="486">
        <f t="shared" ca="1" si="634"/>
        <v>1</v>
      </c>
      <c r="Y1746" s="485" t="str">
        <f t="shared" ca="1" si="635"/>
        <v/>
      </c>
      <c r="Z1746" s="486" t="str">
        <f t="shared" ca="1" si="636"/>
        <v/>
      </c>
      <c r="AA1746" s="486" t="str">
        <f t="shared" ca="1" si="637"/>
        <v/>
      </c>
      <c r="AB1746" s="486" t="str">
        <f t="shared" ca="1" si="638"/>
        <v/>
      </c>
      <c r="AC1746" s="485" t="str">
        <f t="shared" ca="1" si="639"/>
        <v/>
      </c>
      <c r="AD1746" s="486" t="str">
        <f t="shared" ca="1" si="640"/>
        <v/>
      </c>
      <c r="AE1746" s="486" t="str">
        <f t="shared" ca="1" si="641"/>
        <v/>
      </c>
      <c r="AF1746" s="486" t="str">
        <f t="shared" ca="1" si="642"/>
        <v/>
      </c>
      <c r="AG1746" s="485" t="str">
        <f t="shared" ca="1" si="643"/>
        <v/>
      </c>
      <c r="AH1746" s="486" t="str">
        <f t="shared" ca="1" si="644"/>
        <v/>
      </c>
      <c r="AI1746" s="486" t="str">
        <f t="shared" ca="1" si="645"/>
        <v/>
      </c>
      <c r="AJ1746" s="486" t="str">
        <f t="shared" ca="1" si="646"/>
        <v/>
      </c>
      <c r="AK1746" s="474" t="str">
        <f t="shared" ca="1" si="578"/>
        <v/>
      </c>
      <c r="AL1746" s="480" t="str">
        <f t="shared" ca="1" si="606"/>
        <v>-</v>
      </c>
      <c r="AM1746" s="476" t="str">
        <f t="shared" ca="1" si="579"/>
        <v/>
      </c>
      <c r="AN1746" s="480" t="str">
        <f t="shared" ca="1" si="607"/>
        <v>-</v>
      </c>
      <c r="AO1746" s="601" t="str">
        <f t="shared" ca="1" si="580"/>
        <v/>
      </c>
      <c r="AP1746" s="480" t="str">
        <f t="shared" ca="1" si="608"/>
        <v>-</v>
      </c>
      <c r="AQ1746" s="477" t="str">
        <f t="shared" ca="1" si="581"/>
        <v/>
      </c>
      <c r="AR1746" s="480" t="str">
        <f t="shared" ca="1" si="609"/>
        <v>-</v>
      </c>
      <c r="AT1746" s="490" t="str">
        <f t="shared" ca="1" si="610"/>
        <v/>
      </c>
      <c r="AU1746" s="491" t="str">
        <f t="shared" ca="1" si="611"/>
        <v/>
      </c>
      <c r="AV1746" s="491" t="str">
        <f t="shared" ca="1" si="612"/>
        <v/>
      </c>
      <c r="AW1746" s="492" t="str">
        <f t="shared" ca="1" si="613"/>
        <v/>
      </c>
      <c r="AY1746" s="474" t="str">
        <f t="shared" ca="1" si="582"/>
        <v/>
      </c>
      <c r="AZ1746" s="480" t="str">
        <f t="shared" ca="1" si="614"/>
        <v>-</v>
      </c>
      <c r="BA1746" s="476" t="str">
        <f t="shared" ca="1" si="583"/>
        <v/>
      </c>
      <c r="BB1746" s="480" t="str">
        <f t="shared" ca="1" si="615"/>
        <v>-</v>
      </c>
      <c r="BC1746" s="601" t="str">
        <f t="shared" ca="1" si="584"/>
        <v/>
      </c>
      <c r="BD1746" s="480" t="str">
        <f t="shared" ca="1" si="616"/>
        <v>-</v>
      </c>
      <c r="BE1746" s="477" t="str">
        <f t="shared" ca="1" si="585"/>
        <v/>
      </c>
      <c r="BF1746" s="480" t="str">
        <f t="shared" ca="1" si="617"/>
        <v>-</v>
      </c>
      <c r="BG1746" s="488" t="str">
        <f t="shared" ca="1" si="618"/>
        <v/>
      </c>
      <c r="BH1746" s="483" t="str">
        <f t="shared" ca="1" si="619"/>
        <v/>
      </c>
      <c r="BI1746" s="483" t="str">
        <f t="shared" ca="1" si="620"/>
        <v/>
      </c>
      <c r="BJ1746" s="635" t="str">
        <f t="shared" ca="1" si="621"/>
        <v/>
      </c>
      <c r="BK1746" s="34" t="str">
        <f t="shared" ca="1" si="622"/>
        <v/>
      </c>
      <c r="BL1746" s="71" t="e">
        <f t="shared" ca="1" si="586"/>
        <v>#VALUE!</v>
      </c>
      <c r="BM1746" s="34" t="str">
        <f t="shared" ca="1" si="623"/>
        <v/>
      </c>
      <c r="BN1746" s="34" t="e">
        <f t="shared" ca="1" si="587"/>
        <v>#VALUE!</v>
      </c>
      <c r="BO1746" s="34" t="str">
        <f t="shared" ca="1" si="624"/>
        <v/>
      </c>
      <c r="BP1746" s="34" t="e">
        <f t="shared" ca="1" si="588"/>
        <v>#VALUE!</v>
      </c>
      <c r="BQ1746" s="55" t="str">
        <f t="shared" ca="1" si="625"/>
        <v/>
      </c>
      <c r="BR1746" s="485" t="str">
        <f t="shared" si="626"/>
        <v/>
      </c>
      <c r="BS1746" s="634" t="str">
        <f t="shared" ca="1" si="627"/>
        <v/>
      </c>
      <c r="BT1746" s="634" t="str">
        <f t="shared" ca="1" si="628"/>
        <v/>
      </c>
      <c r="BU1746" s="666" t="str">
        <f t="shared" ca="1" si="629"/>
        <v/>
      </c>
    </row>
    <row r="1747" spans="1:73" hidden="1" outlineLevel="1" x14ac:dyDescent="0.25">
      <c r="A1747">
        <f t="shared" ca="1" si="589"/>
        <v>1</v>
      </c>
      <c r="B1747">
        <f t="shared" ca="1" si="562"/>
        <v>9</v>
      </c>
      <c r="C1747" s="34">
        <f t="shared" ca="1" si="630"/>
        <v>18</v>
      </c>
      <c r="D1747" s="34">
        <f t="shared" ca="1" si="590"/>
        <v>15</v>
      </c>
      <c r="E1747" s="34">
        <f t="shared" ca="1" si="591"/>
        <v>8.5</v>
      </c>
      <c r="F1747" s="55">
        <f t="shared" ca="1" si="592"/>
        <v>-1</v>
      </c>
      <c r="G1747" s="34" t="str">
        <f t="shared" ca="1" si="593"/>
        <v/>
      </c>
      <c r="H1747" s="34" t="str">
        <f t="shared" ca="1" si="594"/>
        <v/>
      </c>
      <c r="I1747" s="34" t="str">
        <f t="shared" ca="1" si="595"/>
        <v/>
      </c>
      <c r="J1747" s="55" t="str">
        <f t="shared" ca="1" si="596"/>
        <v/>
      </c>
      <c r="K1747" s="71" t="str">
        <f t="shared" ca="1" si="597"/>
        <v/>
      </c>
      <c r="L1747" s="34" t="str">
        <f t="shared" ca="1" si="598"/>
        <v/>
      </c>
      <c r="M1747" s="34" t="str">
        <f t="shared" ca="1" si="599"/>
        <v/>
      </c>
      <c r="N1747" s="55" t="str">
        <f t="shared" ca="1" si="600"/>
        <v/>
      </c>
      <c r="O1747" s="71">
        <f t="shared" ca="1" si="601"/>
        <v>4</v>
      </c>
      <c r="P1747" s="34" t="str">
        <f t="shared" ca="1" si="602"/>
        <v/>
      </c>
      <c r="Q1747" s="34" t="str">
        <f t="shared" ca="1" si="603"/>
        <v/>
      </c>
      <c r="R1747" s="55" t="str">
        <f t="shared" ca="1" si="604"/>
        <v/>
      </c>
      <c r="U1747" s="485" t="str">
        <f t="shared" ca="1" si="631"/>
        <v/>
      </c>
      <c r="V1747" s="486">
        <f t="shared" ca="1" si="632"/>
        <v>1</v>
      </c>
      <c r="W1747" s="486" t="str">
        <f t="shared" ca="1" si="633"/>
        <v/>
      </c>
      <c r="X1747" s="486" t="str">
        <f t="shared" ca="1" si="634"/>
        <v/>
      </c>
      <c r="Y1747" s="485" t="str">
        <f t="shared" ca="1" si="635"/>
        <v/>
      </c>
      <c r="Z1747" s="486" t="str">
        <f t="shared" ca="1" si="636"/>
        <v/>
      </c>
      <c r="AA1747" s="486" t="str">
        <f t="shared" ca="1" si="637"/>
        <v/>
      </c>
      <c r="AB1747" s="486" t="str">
        <f t="shared" ca="1" si="638"/>
        <v/>
      </c>
      <c r="AC1747" s="485" t="str">
        <f t="shared" ca="1" si="639"/>
        <v/>
      </c>
      <c r="AD1747" s="486" t="str">
        <f t="shared" ca="1" si="640"/>
        <v/>
      </c>
      <c r="AE1747" s="486" t="str">
        <f t="shared" ca="1" si="641"/>
        <v/>
      </c>
      <c r="AF1747" s="486" t="str">
        <f t="shared" ca="1" si="642"/>
        <v/>
      </c>
      <c r="AG1747" s="485" t="str">
        <f t="shared" ca="1" si="643"/>
        <v/>
      </c>
      <c r="AH1747" s="486" t="str">
        <f t="shared" ca="1" si="644"/>
        <v/>
      </c>
      <c r="AI1747" s="486" t="str">
        <f t="shared" ca="1" si="645"/>
        <v/>
      </c>
      <c r="AJ1747" s="486" t="str">
        <f t="shared" ca="1" si="646"/>
        <v/>
      </c>
      <c r="AK1747" s="474" t="str">
        <f t="shared" ca="1" si="578"/>
        <v/>
      </c>
      <c r="AL1747" s="480" t="str">
        <f t="shared" ca="1" si="606"/>
        <v>-</v>
      </c>
      <c r="AM1747" s="476" t="str">
        <f t="shared" ca="1" si="579"/>
        <v/>
      </c>
      <c r="AN1747" s="480" t="str">
        <f t="shared" ca="1" si="607"/>
        <v>-</v>
      </c>
      <c r="AO1747" s="601" t="str">
        <f t="shared" ca="1" si="580"/>
        <v/>
      </c>
      <c r="AP1747" s="480" t="str">
        <f t="shared" ca="1" si="608"/>
        <v>-</v>
      </c>
      <c r="AQ1747" s="477" t="str">
        <f t="shared" ca="1" si="581"/>
        <v/>
      </c>
      <c r="AR1747" s="480" t="str">
        <f t="shared" ca="1" si="609"/>
        <v>-</v>
      </c>
      <c r="AT1747" s="490" t="str">
        <f t="shared" ca="1" si="610"/>
        <v/>
      </c>
      <c r="AU1747" s="491" t="str">
        <f t="shared" ca="1" si="611"/>
        <v/>
      </c>
      <c r="AV1747" s="491" t="str">
        <f t="shared" ca="1" si="612"/>
        <v/>
      </c>
      <c r="AW1747" s="492" t="str">
        <f t="shared" ca="1" si="613"/>
        <v/>
      </c>
      <c r="AY1747" s="474" t="str">
        <f t="shared" ca="1" si="582"/>
        <v/>
      </c>
      <c r="AZ1747" s="480" t="str">
        <f t="shared" ca="1" si="614"/>
        <v>-</v>
      </c>
      <c r="BA1747" s="476" t="str">
        <f t="shared" ca="1" si="583"/>
        <v/>
      </c>
      <c r="BB1747" s="480" t="str">
        <f t="shared" ca="1" si="615"/>
        <v>-</v>
      </c>
      <c r="BC1747" s="601" t="str">
        <f t="shared" ca="1" si="584"/>
        <v/>
      </c>
      <c r="BD1747" s="480" t="str">
        <f t="shared" ca="1" si="616"/>
        <v>-</v>
      </c>
      <c r="BE1747" s="477" t="str">
        <f t="shared" ca="1" si="585"/>
        <v/>
      </c>
      <c r="BF1747" s="480" t="str">
        <f t="shared" ca="1" si="617"/>
        <v>-</v>
      </c>
      <c r="BG1747" s="488" t="str">
        <f t="shared" ca="1" si="618"/>
        <v/>
      </c>
      <c r="BH1747" s="483" t="str">
        <f t="shared" ca="1" si="619"/>
        <v/>
      </c>
      <c r="BI1747" s="483" t="str">
        <f t="shared" ca="1" si="620"/>
        <v/>
      </c>
      <c r="BJ1747" s="635" t="str">
        <f t="shared" ca="1" si="621"/>
        <v/>
      </c>
      <c r="BK1747" s="34" t="str">
        <f t="shared" ca="1" si="622"/>
        <v/>
      </c>
      <c r="BL1747" s="71" t="e">
        <f t="shared" ca="1" si="586"/>
        <v>#VALUE!</v>
      </c>
      <c r="BM1747" s="34" t="str">
        <f t="shared" ca="1" si="623"/>
        <v/>
      </c>
      <c r="BN1747" s="34" t="e">
        <f t="shared" ca="1" si="587"/>
        <v>#VALUE!</v>
      </c>
      <c r="BO1747" s="34" t="str">
        <f t="shared" ca="1" si="624"/>
        <v/>
      </c>
      <c r="BP1747" s="34" t="e">
        <f t="shared" ca="1" si="588"/>
        <v>#VALUE!</v>
      </c>
      <c r="BQ1747" s="55" t="str">
        <f t="shared" ca="1" si="625"/>
        <v/>
      </c>
      <c r="BR1747" s="485" t="str">
        <f t="shared" ca="1" si="626"/>
        <v/>
      </c>
      <c r="BS1747" s="634" t="str">
        <f t="shared" ca="1" si="627"/>
        <v/>
      </c>
      <c r="BT1747" s="634" t="str">
        <f t="shared" ca="1" si="628"/>
        <v/>
      </c>
      <c r="BU1747" s="666" t="str">
        <f t="shared" ca="1" si="629"/>
        <v/>
      </c>
    </row>
    <row r="1748" spans="1:73" hidden="1" outlineLevel="1" x14ac:dyDescent="0.25">
      <c r="A1748">
        <f t="shared" ca="1" si="589"/>
        <v>1</v>
      </c>
      <c r="B1748">
        <f t="shared" ca="1" si="562"/>
        <v>8</v>
      </c>
      <c r="C1748" s="34">
        <f t="shared" ca="1" si="630"/>
        <v>17</v>
      </c>
      <c r="D1748" s="34">
        <f t="shared" ca="1" si="590"/>
        <v>14</v>
      </c>
      <c r="E1748" s="34">
        <f t="shared" ca="1" si="591"/>
        <v>7.5</v>
      </c>
      <c r="F1748" s="55">
        <f t="shared" ca="1" si="592"/>
        <v>-2</v>
      </c>
      <c r="G1748" s="34" t="str">
        <f t="shared" ca="1" si="593"/>
        <v/>
      </c>
      <c r="H1748" s="34" t="str">
        <f t="shared" ca="1" si="594"/>
        <v/>
      </c>
      <c r="I1748" s="34" t="str">
        <f t="shared" ca="1" si="595"/>
        <v/>
      </c>
      <c r="J1748" s="55" t="str">
        <f t="shared" ca="1" si="596"/>
        <v/>
      </c>
      <c r="K1748" s="71" t="str">
        <f t="shared" ca="1" si="597"/>
        <v/>
      </c>
      <c r="L1748" s="34" t="str">
        <f t="shared" ca="1" si="598"/>
        <v/>
      </c>
      <c r="M1748" s="34" t="str">
        <f t="shared" ca="1" si="599"/>
        <v/>
      </c>
      <c r="N1748" s="55" t="str">
        <f t="shared" ca="1" si="600"/>
        <v/>
      </c>
      <c r="O1748" s="71">
        <f t="shared" ca="1" si="601"/>
        <v>3</v>
      </c>
      <c r="P1748" s="34" t="str">
        <f t="shared" ca="1" si="602"/>
        <v/>
      </c>
      <c r="Q1748" s="34" t="str">
        <f t="shared" ca="1" si="603"/>
        <v/>
      </c>
      <c r="R1748" s="55" t="str">
        <f t="shared" ca="1" si="604"/>
        <v/>
      </c>
      <c r="U1748" s="485" t="str">
        <f t="shared" ca="1" si="631"/>
        <v/>
      </c>
      <c r="V1748" s="486">
        <f t="shared" ca="1" si="632"/>
        <v>1</v>
      </c>
      <c r="W1748" s="486" t="str">
        <f t="shared" ca="1" si="633"/>
        <v/>
      </c>
      <c r="X1748" s="486">
        <f t="shared" ca="1" si="634"/>
        <v>1</v>
      </c>
      <c r="Y1748" s="485" t="str">
        <f t="shared" ca="1" si="635"/>
        <v/>
      </c>
      <c r="Z1748" s="486" t="str">
        <f t="shared" ca="1" si="636"/>
        <v/>
      </c>
      <c r="AA1748" s="486" t="str">
        <f t="shared" ca="1" si="637"/>
        <v/>
      </c>
      <c r="AB1748" s="486" t="str">
        <f t="shared" ca="1" si="638"/>
        <v/>
      </c>
      <c r="AC1748" s="485" t="str">
        <f t="shared" ca="1" si="639"/>
        <v/>
      </c>
      <c r="AD1748" s="486" t="str">
        <f t="shared" ca="1" si="640"/>
        <v/>
      </c>
      <c r="AE1748" s="486" t="str">
        <f t="shared" ca="1" si="641"/>
        <v/>
      </c>
      <c r="AF1748" s="486" t="str">
        <f t="shared" ca="1" si="642"/>
        <v/>
      </c>
      <c r="AG1748" s="485">
        <f t="shared" ca="1" si="643"/>
        <v>1</v>
      </c>
      <c r="AH1748" s="486" t="str">
        <f t="shared" ca="1" si="644"/>
        <v/>
      </c>
      <c r="AI1748" s="486" t="str">
        <f t="shared" ca="1" si="645"/>
        <v/>
      </c>
      <c r="AJ1748" s="486" t="str">
        <f t="shared" ca="1" si="646"/>
        <v/>
      </c>
      <c r="AK1748" s="474" t="str">
        <f t="shared" ca="1" si="578"/>
        <v/>
      </c>
      <c r="AL1748" s="480" t="str">
        <f t="shared" ca="1" si="606"/>
        <v>-</v>
      </c>
      <c r="AM1748" s="476" t="str">
        <f t="shared" ca="1" si="579"/>
        <v/>
      </c>
      <c r="AN1748" s="480" t="str">
        <f t="shared" ca="1" si="607"/>
        <v>-</v>
      </c>
      <c r="AO1748" s="601" t="str">
        <f t="shared" ca="1" si="580"/>
        <v/>
      </c>
      <c r="AP1748" s="480" t="str">
        <f t="shared" ca="1" si="608"/>
        <v>-</v>
      </c>
      <c r="AQ1748" s="477" t="str">
        <f t="shared" ca="1" si="581"/>
        <v/>
      </c>
      <c r="AR1748" s="480" t="str">
        <f t="shared" ca="1" si="609"/>
        <v>-</v>
      </c>
      <c r="AT1748" s="490" t="str">
        <f t="shared" ca="1" si="610"/>
        <v/>
      </c>
      <c r="AU1748" s="491" t="str">
        <f t="shared" ca="1" si="611"/>
        <v/>
      </c>
      <c r="AV1748" s="491" t="str">
        <f t="shared" ca="1" si="612"/>
        <v/>
      </c>
      <c r="AW1748" s="492" t="str">
        <f t="shared" ca="1" si="613"/>
        <v/>
      </c>
      <c r="AY1748" s="474" t="str">
        <f t="shared" ca="1" si="582"/>
        <v/>
      </c>
      <c r="AZ1748" s="480" t="str">
        <f t="shared" ca="1" si="614"/>
        <v>-</v>
      </c>
      <c r="BA1748" s="476" t="str">
        <f t="shared" ca="1" si="583"/>
        <v/>
      </c>
      <c r="BB1748" s="480" t="str">
        <f t="shared" ca="1" si="615"/>
        <v>-</v>
      </c>
      <c r="BC1748" s="601" t="str">
        <f t="shared" ca="1" si="584"/>
        <v/>
      </c>
      <c r="BD1748" s="480" t="str">
        <f t="shared" ca="1" si="616"/>
        <v>-</v>
      </c>
      <c r="BE1748" s="477" t="str">
        <f t="shared" ca="1" si="585"/>
        <v/>
      </c>
      <c r="BF1748" s="480" t="str">
        <f t="shared" ca="1" si="617"/>
        <v>-</v>
      </c>
      <c r="BG1748" s="488" t="str">
        <f t="shared" ca="1" si="618"/>
        <v/>
      </c>
      <c r="BH1748" s="483" t="str">
        <f t="shared" ca="1" si="619"/>
        <v/>
      </c>
      <c r="BI1748" s="483" t="str">
        <f t="shared" ca="1" si="620"/>
        <v/>
      </c>
      <c r="BJ1748" s="635" t="str">
        <f t="shared" ca="1" si="621"/>
        <v/>
      </c>
      <c r="BK1748" s="34" t="str">
        <f t="shared" ca="1" si="622"/>
        <v/>
      </c>
      <c r="BL1748" s="71" t="e">
        <f t="shared" ca="1" si="586"/>
        <v>#VALUE!</v>
      </c>
      <c r="BM1748" s="34" t="str">
        <f t="shared" ca="1" si="623"/>
        <v/>
      </c>
      <c r="BN1748" s="34" t="e">
        <f t="shared" ca="1" si="587"/>
        <v>#VALUE!</v>
      </c>
      <c r="BO1748" s="34" t="str">
        <f t="shared" ca="1" si="624"/>
        <v/>
      </c>
      <c r="BP1748" s="34" t="e">
        <f t="shared" ca="1" si="588"/>
        <v>#VALUE!</v>
      </c>
      <c r="BQ1748" s="55" t="str">
        <f t="shared" ca="1" si="625"/>
        <v/>
      </c>
      <c r="BR1748" s="485" t="str">
        <f t="shared" si="626"/>
        <v/>
      </c>
      <c r="BS1748" s="634" t="str">
        <f t="shared" ca="1" si="627"/>
        <v/>
      </c>
      <c r="BT1748" s="634" t="str">
        <f t="shared" ca="1" si="628"/>
        <v/>
      </c>
      <c r="BU1748" s="666" t="str">
        <f t="shared" ca="1" si="629"/>
        <v/>
      </c>
    </row>
    <row r="1749" spans="1:73" hidden="1" outlineLevel="1" x14ac:dyDescent="0.25">
      <c r="A1749">
        <f t="shared" ca="1" si="589"/>
        <v>1</v>
      </c>
      <c r="B1749">
        <f t="shared" ca="1" si="562"/>
        <v>7</v>
      </c>
      <c r="C1749" s="34">
        <f t="shared" ca="1" si="630"/>
        <v>16</v>
      </c>
      <c r="D1749" s="34">
        <f t="shared" ca="1" si="590"/>
        <v>13</v>
      </c>
      <c r="E1749" s="34">
        <f t="shared" ca="1" si="591"/>
        <v>6.5</v>
      </c>
      <c r="F1749" s="55">
        <f t="shared" ca="1" si="592"/>
        <v>-3</v>
      </c>
      <c r="G1749" s="34" t="str">
        <f t="shared" ca="1" si="593"/>
        <v/>
      </c>
      <c r="H1749" s="34" t="str">
        <f t="shared" ca="1" si="594"/>
        <v/>
      </c>
      <c r="I1749" s="34" t="str">
        <f t="shared" ca="1" si="595"/>
        <v/>
      </c>
      <c r="J1749" s="55" t="str">
        <f t="shared" ca="1" si="596"/>
        <v/>
      </c>
      <c r="K1749" s="71" t="str">
        <f t="shared" ca="1" si="597"/>
        <v/>
      </c>
      <c r="L1749" s="34" t="str">
        <f t="shared" ca="1" si="598"/>
        <v/>
      </c>
      <c r="M1749" s="34" t="str">
        <f t="shared" ca="1" si="599"/>
        <v/>
      </c>
      <c r="N1749" s="55" t="str">
        <f t="shared" ca="1" si="600"/>
        <v/>
      </c>
      <c r="O1749" s="71">
        <f t="shared" ca="1" si="601"/>
        <v>2</v>
      </c>
      <c r="P1749" s="34" t="str">
        <f t="shared" ca="1" si="602"/>
        <v/>
      </c>
      <c r="Q1749" s="34" t="str">
        <f t="shared" ca="1" si="603"/>
        <v/>
      </c>
      <c r="R1749" s="55" t="str">
        <f t="shared" ca="1" si="604"/>
        <v/>
      </c>
      <c r="U1749" s="485" t="str">
        <f t="shared" ca="1" si="631"/>
        <v/>
      </c>
      <c r="V1749" s="486" t="str">
        <f t="shared" ca="1" si="632"/>
        <v/>
      </c>
      <c r="W1749" s="486" t="str">
        <f t="shared" ca="1" si="633"/>
        <v/>
      </c>
      <c r="X1749" s="486" t="str">
        <f t="shared" ca="1" si="634"/>
        <v/>
      </c>
      <c r="Y1749" s="485" t="str">
        <f t="shared" ca="1" si="635"/>
        <v/>
      </c>
      <c r="Z1749" s="486" t="str">
        <f t="shared" ca="1" si="636"/>
        <v/>
      </c>
      <c r="AA1749" s="486" t="str">
        <f t="shared" ca="1" si="637"/>
        <v/>
      </c>
      <c r="AB1749" s="486" t="str">
        <f t="shared" ca="1" si="638"/>
        <v/>
      </c>
      <c r="AC1749" s="485" t="str">
        <f t="shared" ca="1" si="639"/>
        <v/>
      </c>
      <c r="AD1749" s="486" t="str">
        <f t="shared" ca="1" si="640"/>
        <v/>
      </c>
      <c r="AE1749" s="486" t="str">
        <f t="shared" ca="1" si="641"/>
        <v/>
      </c>
      <c r="AF1749" s="486" t="str">
        <f t="shared" ca="1" si="642"/>
        <v/>
      </c>
      <c r="AG1749" s="485">
        <f t="shared" ca="1" si="643"/>
        <v>1</v>
      </c>
      <c r="AH1749" s="486" t="str">
        <f t="shared" ca="1" si="644"/>
        <v/>
      </c>
      <c r="AI1749" s="486" t="str">
        <f t="shared" ca="1" si="645"/>
        <v/>
      </c>
      <c r="AJ1749" s="486" t="str">
        <f t="shared" ca="1" si="646"/>
        <v/>
      </c>
      <c r="AK1749" s="474" t="str">
        <f t="shared" ca="1" si="578"/>
        <v/>
      </c>
      <c r="AL1749" s="480" t="str">
        <f t="shared" ca="1" si="606"/>
        <v>-</v>
      </c>
      <c r="AM1749" s="476" t="str">
        <f t="shared" ca="1" si="579"/>
        <v/>
      </c>
      <c r="AN1749" s="480" t="str">
        <f t="shared" ca="1" si="607"/>
        <v>-</v>
      </c>
      <c r="AO1749" s="601" t="str">
        <f t="shared" ca="1" si="580"/>
        <v/>
      </c>
      <c r="AP1749" s="480" t="str">
        <f t="shared" ca="1" si="608"/>
        <v>-</v>
      </c>
      <c r="AQ1749" s="477" t="str">
        <f t="shared" ca="1" si="581"/>
        <v/>
      </c>
      <c r="AR1749" s="480" t="str">
        <f t="shared" ca="1" si="609"/>
        <v>-</v>
      </c>
      <c r="AT1749" s="490" t="str">
        <f t="shared" ca="1" si="610"/>
        <v/>
      </c>
      <c r="AU1749" s="491" t="str">
        <f t="shared" ca="1" si="611"/>
        <v/>
      </c>
      <c r="AV1749" s="491" t="str">
        <f t="shared" ca="1" si="612"/>
        <v/>
      </c>
      <c r="AW1749" s="492" t="str">
        <f t="shared" ca="1" si="613"/>
        <v/>
      </c>
      <c r="AY1749" s="474" t="str">
        <f t="shared" ca="1" si="582"/>
        <v/>
      </c>
      <c r="AZ1749" s="480" t="str">
        <f t="shared" ca="1" si="614"/>
        <v>-</v>
      </c>
      <c r="BA1749" s="476" t="str">
        <f t="shared" ca="1" si="583"/>
        <v/>
      </c>
      <c r="BB1749" s="480" t="str">
        <f t="shared" ca="1" si="615"/>
        <v>-</v>
      </c>
      <c r="BC1749" s="601" t="str">
        <f t="shared" ca="1" si="584"/>
        <v/>
      </c>
      <c r="BD1749" s="480" t="str">
        <f t="shared" ca="1" si="616"/>
        <v>-</v>
      </c>
      <c r="BE1749" s="477" t="str">
        <f t="shared" ca="1" si="585"/>
        <v/>
      </c>
      <c r="BF1749" s="480" t="str">
        <f t="shared" ca="1" si="617"/>
        <v>-</v>
      </c>
      <c r="BG1749" s="488" t="str">
        <f t="shared" ca="1" si="618"/>
        <v/>
      </c>
      <c r="BH1749" s="483" t="str">
        <f t="shared" ca="1" si="619"/>
        <v/>
      </c>
      <c r="BI1749" s="483" t="str">
        <f t="shared" ca="1" si="620"/>
        <v/>
      </c>
      <c r="BJ1749" s="635" t="str">
        <f t="shared" ca="1" si="621"/>
        <v/>
      </c>
      <c r="BK1749" s="34">
        <f t="shared" ca="1" si="622"/>
        <v>7</v>
      </c>
      <c r="BL1749" s="71">
        <f t="shared" ca="1" si="586"/>
        <v>9.5</v>
      </c>
      <c r="BM1749" s="34">
        <f t="shared" ca="1" si="623"/>
        <v>1</v>
      </c>
      <c r="BN1749" s="34" t="str">
        <f t="shared" ca="1" si="587"/>
        <v>-</v>
      </c>
      <c r="BO1749" s="34" t="str">
        <f t="shared" ca="1" si="624"/>
        <v/>
      </c>
      <c r="BP1749" s="34" t="str">
        <f t="shared" ca="1" si="588"/>
        <v>-</v>
      </c>
      <c r="BQ1749" s="55" t="str">
        <f t="shared" ca="1" si="625"/>
        <v/>
      </c>
      <c r="BR1749" s="485" t="str">
        <f t="shared" ca="1" si="626"/>
        <v/>
      </c>
      <c r="BS1749" s="634" t="str">
        <f t="shared" ca="1" si="627"/>
        <v/>
      </c>
      <c r="BT1749" s="634" t="str">
        <f t="shared" ca="1" si="628"/>
        <v/>
      </c>
      <c r="BU1749" s="666" t="str">
        <f t="shared" ca="1" si="629"/>
        <v/>
      </c>
    </row>
    <row r="1750" spans="1:73" hidden="1" outlineLevel="1" x14ac:dyDescent="0.25">
      <c r="A1750">
        <f t="shared" ca="1" si="589"/>
        <v>1</v>
      </c>
      <c r="B1750">
        <f t="shared" ca="1" si="562"/>
        <v>6</v>
      </c>
      <c r="C1750" s="34">
        <f t="shared" ca="1" si="630"/>
        <v>15</v>
      </c>
      <c r="D1750" s="34">
        <f t="shared" ca="1" si="590"/>
        <v>12</v>
      </c>
      <c r="E1750" s="34">
        <f t="shared" ca="1" si="591"/>
        <v>5.5</v>
      </c>
      <c r="F1750" s="55">
        <f t="shared" ca="1" si="592"/>
        <v>-4</v>
      </c>
      <c r="G1750" s="34" t="str">
        <f t="shared" ca="1" si="593"/>
        <v/>
      </c>
      <c r="H1750" s="34" t="str">
        <f t="shared" ca="1" si="594"/>
        <v/>
      </c>
      <c r="I1750" s="34" t="str">
        <f t="shared" ca="1" si="595"/>
        <v/>
      </c>
      <c r="J1750" s="55" t="str">
        <f t="shared" ca="1" si="596"/>
        <v/>
      </c>
      <c r="K1750" s="71" t="str">
        <f t="shared" ca="1" si="597"/>
        <v/>
      </c>
      <c r="L1750" s="34" t="str">
        <f t="shared" ca="1" si="598"/>
        <v/>
      </c>
      <c r="M1750" s="34" t="str">
        <f t="shared" ca="1" si="599"/>
        <v/>
      </c>
      <c r="N1750" s="55" t="str">
        <f t="shared" ca="1" si="600"/>
        <v/>
      </c>
      <c r="O1750" s="71">
        <f t="shared" ca="1" si="601"/>
        <v>1</v>
      </c>
      <c r="P1750" s="34" t="str">
        <f t="shared" ca="1" si="602"/>
        <v/>
      </c>
      <c r="Q1750" s="34" t="str">
        <f t="shared" ca="1" si="603"/>
        <v/>
      </c>
      <c r="R1750" s="55" t="str">
        <f t="shared" ca="1" si="604"/>
        <v/>
      </c>
      <c r="U1750" s="485">
        <f t="shared" ca="1" si="631"/>
        <v>1</v>
      </c>
      <c r="V1750" s="486">
        <f t="shared" ca="1" si="632"/>
        <v>1</v>
      </c>
      <c r="W1750" s="486" t="str">
        <f t="shared" ca="1" si="633"/>
        <v/>
      </c>
      <c r="X1750" s="486" t="str">
        <f t="shared" ca="1" si="634"/>
        <v/>
      </c>
      <c r="Y1750" s="485" t="str">
        <f t="shared" ca="1" si="635"/>
        <v/>
      </c>
      <c r="Z1750" s="486" t="str">
        <f t="shared" ca="1" si="636"/>
        <v/>
      </c>
      <c r="AA1750" s="486" t="str">
        <f t="shared" ca="1" si="637"/>
        <v/>
      </c>
      <c r="AB1750" s="486" t="str">
        <f t="shared" ca="1" si="638"/>
        <v/>
      </c>
      <c r="AC1750" s="485" t="str">
        <f t="shared" ca="1" si="639"/>
        <v/>
      </c>
      <c r="AD1750" s="486" t="str">
        <f t="shared" ca="1" si="640"/>
        <v/>
      </c>
      <c r="AE1750" s="486" t="str">
        <f t="shared" ca="1" si="641"/>
        <v/>
      </c>
      <c r="AF1750" s="486" t="str">
        <f t="shared" ca="1" si="642"/>
        <v/>
      </c>
      <c r="AG1750" s="485" t="str">
        <f t="shared" ca="1" si="643"/>
        <v/>
      </c>
      <c r="AH1750" s="486" t="str">
        <f t="shared" ca="1" si="644"/>
        <v/>
      </c>
      <c r="AI1750" s="486" t="str">
        <f t="shared" ca="1" si="645"/>
        <v/>
      </c>
      <c r="AJ1750" s="486" t="str">
        <f t="shared" ca="1" si="646"/>
        <v/>
      </c>
      <c r="AK1750" s="474" t="str">
        <f t="shared" ca="1" si="578"/>
        <v/>
      </c>
      <c r="AL1750" s="480" t="str">
        <f t="shared" ca="1" si="606"/>
        <v>-</v>
      </c>
      <c r="AM1750" s="476" t="str">
        <f t="shared" ca="1" si="579"/>
        <v/>
      </c>
      <c r="AN1750" s="480" t="str">
        <f t="shared" ca="1" si="607"/>
        <v>-</v>
      </c>
      <c r="AO1750" s="601" t="str">
        <f t="shared" ca="1" si="580"/>
        <v/>
      </c>
      <c r="AP1750" s="480" t="str">
        <f t="shared" ca="1" si="608"/>
        <v>-</v>
      </c>
      <c r="AQ1750" s="477" t="str">
        <f t="shared" ca="1" si="581"/>
        <v/>
      </c>
      <c r="AR1750" s="480" t="str">
        <f t="shared" ca="1" si="609"/>
        <v>-</v>
      </c>
      <c r="AT1750" s="490" t="str">
        <f t="shared" ca="1" si="610"/>
        <v/>
      </c>
      <c r="AU1750" s="491" t="str">
        <f t="shared" ca="1" si="611"/>
        <v/>
      </c>
      <c r="AV1750" s="491" t="str">
        <f t="shared" ca="1" si="612"/>
        <v/>
      </c>
      <c r="AW1750" s="492" t="str">
        <f t="shared" ca="1" si="613"/>
        <v/>
      </c>
      <c r="AY1750" s="474" t="str">
        <f t="shared" ca="1" si="582"/>
        <v/>
      </c>
      <c r="AZ1750" s="480" t="str">
        <f t="shared" ca="1" si="614"/>
        <v>-</v>
      </c>
      <c r="BA1750" s="476" t="str">
        <f t="shared" ca="1" si="583"/>
        <v/>
      </c>
      <c r="BB1750" s="480" t="str">
        <f t="shared" ca="1" si="615"/>
        <v>-</v>
      </c>
      <c r="BC1750" s="601" t="str">
        <f t="shared" ca="1" si="584"/>
        <v/>
      </c>
      <c r="BD1750" s="480" t="str">
        <f t="shared" ca="1" si="616"/>
        <v>-</v>
      </c>
      <c r="BE1750" s="477" t="str">
        <f t="shared" ca="1" si="585"/>
        <v/>
      </c>
      <c r="BF1750" s="480" t="str">
        <f t="shared" ca="1" si="617"/>
        <v>-</v>
      </c>
      <c r="BG1750" s="488" t="str">
        <f t="shared" ca="1" si="618"/>
        <v/>
      </c>
      <c r="BH1750" s="483" t="str">
        <f t="shared" ca="1" si="619"/>
        <v/>
      </c>
      <c r="BI1750" s="483" t="str">
        <f t="shared" ca="1" si="620"/>
        <v/>
      </c>
      <c r="BJ1750" s="635" t="str">
        <f t="shared" ca="1" si="621"/>
        <v/>
      </c>
      <c r="BK1750" s="34">
        <f t="shared" ca="1" si="622"/>
        <v>6</v>
      </c>
      <c r="BL1750" s="71" t="str">
        <f t="shared" ca="1" si="586"/>
        <v>-</v>
      </c>
      <c r="BM1750" s="34" t="str">
        <f t="shared" ca="1" si="623"/>
        <v/>
      </c>
      <c r="BN1750" s="34" t="str">
        <f t="shared" ca="1" si="587"/>
        <v>-</v>
      </c>
      <c r="BO1750" s="34" t="str">
        <f t="shared" ca="1" si="624"/>
        <v/>
      </c>
      <c r="BP1750" s="34">
        <f t="shared" ca="1" si="588"/>
        <v>12</v>
      </c>
      <c r="BQ1750" s="55">
        <f t="shared" ca="1" si="625"/>
        <v>1</v>
      </c>
      <c r="BR1750" s="485" t="str">
        <f t="shared" si="626"/>
        <v/>
      </c>
      <c r="BS1750" s="634" t="str">
        <f t="shared" ca="1" si="627"/>
        <v/>
      </c>
      <c r="BT1750" s="634" t="str">
        <f t="shared" ca="1" si="628"/>
        <v/>
      </c>
      <c r="BU1750" s="666" t="str">
        <f t="shared" ca="1" si="629"/>
        <v/>
      </c>
    </row>
    <row r="1751" spans="1:73" hidden="1" outlineLevel="1" x14ac:dyDescent="0.25">
      <c r="A1751">
        <f t="shared" ca="1" si="589"/>
        <v>1</v>
      </c>
      <c r="B1751">
        <f t="shared" ca="1" si="562"/>
        <v>5</v>
      </c>
      <c r="C1751" s="34">
        <f t="shared" ca="1" si="630"/>
        <v>14</v>
      </c>
      <c r="D1751" s="34">
        <f t="shared" ca="1" si="590"/>
        <v>11</v>
      </c>
      <c r="E1751" s="34">
        <f t="shared" ca="1" si="591"/>
        <v>4.5</v>
      </c>
      <c r="F1751" s="55">
        <f t="shared" ca="1" si="592"/>
        <v>-5</v>
      </c>
      <c r="G1751" s="34" t="str">
        <f t="shared" ca="1" si="593"/>
        <v/>
      </c>
      <c r="H1751" s="34" t="str">
        <f t="shared" ca="1" si="594"/>
        <v/>
      </c>
      <c r="I1751" s="34" t="str">
        <f t="shared" ca="1" si="595"/>
        <v/>
      </c>
      <c r="J1751" s="55" t="str">
        <f t="shared" ca="1" si="596"/>
        <v/>
      </c>
      <c r="K1751" s="71" t="str">
        <f t="shared" ca="1" si="597"/>
        <v/>
      </c>
      <c r="L1751" s="34" t="str">
        <f t="shared" ca="1" si="598"/>
        <v/>
      </c>
      <c r="M1751" s="34" t="str">
        <f t="shared" ca="1" si="599"/>
        <v/>
      </c>
      <c r="N1751" s="55" t="str">
        <f t="shared" ca="1" si="600"/>
        <v/>
      </c>
      <c r="O1751" s="71">
        <f t="shared" ca="1" si="601"/>
        <v>0</v>
      </c>
      <c r="P1751" s="34" t="str">
        <f t="shared" ca="1" si="602"/>
        <v/>
      </c>
      <c r="Q1751" s="34" t="str">
        <f t="shared" ca="1" si="603"/>
        <v/>
      </c>
      <c r="R1751" s="55" t="str">
        <f t="shared" ca="1" si="604"/>
        <v/>
      </c>
      <c r="U1751" s="485">
        <f t="shared" ca="1" si="631"/>
        <v>1</v>
      </c>
      <c r="V1751" s="486" t="str">
        <f t="shared" ca="1" si="632"/>
        <v/>
      </c>
      <c r="W1751" s="486" t="str">
        <f t="shared" ca="1" si="633"/>
        <v/>
      </c>
      <c r="X1751" s="486" t="str">
        <f t="shared" ca="1" si="634"/>
        <v/>
      </c>
      <c r="Y1751" s="485" t="str">
        <f t="shared" ca="1" si="635"/>
        <v/>
      </c>
      <c r="Z1751" s="486" t="str">
        <f t="shared" ca="1" si="636"/>
        <v/>
      </c>
      <c r="AA1751" s="486" t="str">
        <f t="shared" ca="1" si="637"/>
        <v/>
      </c>
      <c r="AB1751" s="486" t="str">
        <f t="shared" ca="1" si="638"/>
        <v/>
      </c>
      <c r="AC1751" s="485" t="str">
        <f t="shared" ca="1" si="639"/>
        <v/>
      </c>
      <c r="AD1751" s="486" t="str">
        <f t="shared" ca="1" si="640"/>
        <v/>
      </c>
      <c r="AE1751" s="486" t="str">
        <f t="shared" ca="1" si="641"/>
        <v/>
      </c>
      <c r="AF1751" s="486" t="str">
        <f t="shared" ca="1" si="642"/>
        <v/>
      </c>
      <c r="AG1751" s="485">
        <f t="shared" ca="1" si="643"/>
        <v>1</v>
      </c>
      <c r="AH1751" s="486" t="str">
        <f t="shared" ca="1" si="644"/>
        <v/>
      </c>
      <c r="AI1751" s="486" t="str">
        <f t="shared" ca="1" si="645"/>
        <v/>
      </c>
      <c r="AJ1751" s="486" t="str">
        <f t="shared" ca="1" si="646"/>
        <v/>
      </c>
      <c r="AK1751" s="474" t="str">
        <f t="shared" ca="1" si="578"/>
        <v/>
      </c>
      <c r="AL1751" s="480" t="str">
        <f t="shared" ca="1" si="606"/>
        <v>-</v>
      </c>
      <c r="AM1751" s="476" t="str">
        <f t="shared" ca="1" si="579"/>
        <v/>
      </c>
      <c r="AN1751" s="480" t="str">
        <f t="shared" ca="1" si="607"/>
        <v>-</v>
      </c>
      <c r="AO1751" s="601" t="str">
        <f t="shared" ca="1" si="580"/>
        <v/>
      </c>
      <c r="AP1751" s="480" t="str">
        <f t="shared" ca="1" si="608"/>
        <v>-</v>
      </c>
      <c r="AQ1751" s="477" t="str">
        <f t="shared" ca="1" si="581"/>
        <v/>
      </c>
      <c r="AR1751" s="480" t="str">
        <f t="shared" ca="1" si="609"/>
        <v>-</v>
      </c>
      <c r="AT1751" s="490" t="str">
        <f t="shared" ca="1" si="610"/>
        <v/>
      </c>
      <c r="AU1751" s="491" t="str">
        <f t="shared" ca="1" si="611"/>
        <v/>
      </c>
      <c r="AV1751" s="491" t="str">
        <f t="shared" ca="1" si="612"/>
        <v/>
      </c>
      <c r="AW1751" s="492" t="str">
        <f t="shared" ca="1" si="613"/>
        <v/>
      </c>
      <c r="AY1751" s="474" t="str">
        <f t="shared" ca="1" si="582"/>
        <v/>
      </c>
      <c r="AZ1751" s="480" t="str">
        <f t="shared" ca="1" si="614"/>
        <v>-</v>
      </c>
      <c r="BA1751" s="476" t="str">
        <f t="shared" ca="1" si="583"/>
        <v/>
      </c>
      <c r="BB1751" s="480" t="str">
        <f t="shared" ca="1" si="615"/>
        <v>-</v>
      </c>
      <c r="BC1751" s="601" t="str">
        <f t="shared" ca="1" si="584"/>
        <v/>
      </c>
      <c r="BD1751" s="480" t="str">
        <f t="shared" ca="1" si="616"/>
        <v>-</v>
      </c>
      <c r="BE1751" s="477" t="str">
        <f t="shared" ca="1" si="585"/>
        <v/>
      </c>
      <c r="BF1751" s="480" t="str">
        <f t="shared" ca="1" si="617"/>
        <v>-</v>
      </c>
      <c r="BG1751" s="488" t="str">
        <f t="shared" ca="1" si="618"/>
        <v/>
      </c>
      <c r="BH1751" s="483" t="str">
        <f t="shared" ca="1" si="619"/>
        <v/>
      </c>
      <c r="BI1751" s="483" t="str">
        <f t="shared" ca="1" si="620"/>
        <v/>
      </c>
      <c r="BJ1751" s="635" t="str">
        <f t="shared" ca="1" si="621"/>
        <v/>
      </c>
      <c r="BK1751" s="34">
        <f t="shared" ca="1" si="622"/>
        <v>5</v>
      </c>
      <c r="BL1751" s="71">
        <f t="shared" ca="1" si="586"/>
        <v>8</v>
      </c>
      <c r="BM1751" s="34">
        <f t="shared" ca="1" si="623"/>
        <v>1</v>
      </c>
      <c r="BN1751" s="34">
        <f t="shared" ca="1" si="587"/>
        <v>9.5</v>
      </c>
      <c r="BO1751" s="34">
        <f t="shared" ca="1" si="624"/>
        <v>1</v>
      </c>
      <c r="BP1751" s="34" t="str">
        <f t="shared" ca="1" si="588"/>
        <v>-</v>
      </c>
      <c r="BQ1751" s="55" t="str">
        <f t="shared" ca="1" si="625"/>
        <v/>
      </c>
      <c r="BR1751" s="485" t="str">
        <f t="shared" ca="1" si="626"/>
        <v/>
      </c>
      <c r="BS1751" s="634" t="str">
        <f t="shared" ca="1" si="627"/>
        <v/>
      </c>
      <c r="BT1751" s="634" t="str">
        <f t="shared" ca="1" si="628"/>
        <v/>
      </c>
      <c r="BU1751" s="666" t="str">
        <f t="shared" ca="1" si="629"/>
        <v/>
      </c>
    </row>
    <row r="1752" spans="1:73" hidden="1" outlineLevel="1" x14ac:dyDescent="0.25">
      <c r="A1752">
        <f t="shared" ca="1" si="589"/>
        <v>1</v>
      </c>
      <c r="B1752">
        <f t="shared" ca="1" si="562"/>
        <v>4</v>
      </c>
      <c r="C1752" s="34">
        <f t="shared" ca="1" si="630"/>
        <v>13</v>
      </c>
      <c r="D1752" s="34">
        <f t="shared" ca="1" si="590"/>
        <v>10</v>
      </c>
      <c r="E1752" s="34">
        <f t="shared" ca="1" si="591"/>
        <v>3.5</v>
      </c>
      <c r="F1752" s="55">
        <f t="shared" ca="1" si="592"/>
        <v>-6</v>
      </c>
      <c r="G1752" s="34" t="str">
        <f t="shared" ca="1" si="593"/>
        <v/>
      </c>
      <c r="H1752" s="34" t="str">
        <f t="shared" ca="1" si="594"/>
        <v/>
      </c>
      <c r="I1752" s="34" t="str">
        <f t="shared" ca="1" si="595"/>
        <v/>
      </c>
      <c r="J1752" s="55" t="str">
        <f t="shared" ca="1" si="596"/>
        <v/>
      </c>
      <c r="K1752" s="71" t="str">
        <f t="shared" ca="1" si="597"/>
        <v/>
      </c>
      <c r="L1752" s="34" t="str">
        <f t="shared" ca="1" si="598"/>
        <v/>
      </c>
      <c r="M1752" s="34" t="str">
        <f t="shared" ca="1" si="599"/>
        <v/>
      </c>
      <c r="N1752" s="55" t="str">
        <f t="shared" ca="1" si="600"/>
        <v/>
      </c>
      <c r="O1752" s="71">
        <f t="shared" ca="1" si="601"/>
        <v>-1</v>
      </c>
      <c r="P1752" s="34" t="str">
        <f t="shared" ca="1" si="602"/>
        <v/>
      </c>
      <c r="Q1752" s="34" t="str">
        <f t="shared" ca="1" si="603"/>
        <v/>
      </c>
      <c r="R1752" s="55" t="str">
        <f t="shared" ca="1" si="604"/>
        <v/>
      </c>
      <c r="U1752" s="485" t="str">
        <f t="shared" ca="1" si="631"/>
        <v/>
      </c>
      <c r="V1752" s="486" t="str">
        <f t="shared" ca="1" si="632"/>
        <v/>
      </c>
      <c r="W1752" s="486">
        <f t="shared" ca="1" si="633"/>
        <v>1</v>
      </c>
      <c r="X1752" s="486" t="str">
        <f t="shared" ca="1" si="634"/>
        <v/>
      </c>
      <c r="Y1752" s="485" t="str">
        <f t="shared" ca="1" si="635"/>
        <v/>
      </c>
      <c r="Z1752" s="486" t="str">
        <f t="shared" ca="1" si="636"/>
        <v/>
      </c>
      <c r="AA1752" s="486" t="str">
        <f t="shared" ca="1" si="637"/>
        <v/>
      </c>
      <c r="AB1752" s="486" t="str">
        <f t="shared" ca="1" si="638"/>
        <v/>
      </c>
      <c r="AC1752" s="485" t="str">
        <f t="shared" ca="1" si="639"/>
        <v/>
      </c>
      <c r="AD1752" s="486" t="str">
        <f t="shared" ca="1" si="640"/>
        <v/>
      </c>
      <c r="AE1752" s="486" t="str">
        <f t="shared" ca="1" si="641"/>
        <v/>
      </c>
      <c r="AF1752" s="486" t="str">
        <f t="shared" ca="1" si="642"/>
        <v/>
      </c>
      <c r="AG1752" s="485" t="str">
        <f t="shared" ca="1" si="643"/>
        <v/>
      </c>
      <c r="AH1752" s="486" t="str">
        <f t="shared" ca="1" si="644"/>
        <v/>
      </c>
      <c r="AI1752" s="486" t="str">
        <f t="shared" ca="1" si="645"/>
        <v/>
      </c>
      <c r="AJ1752" s="486" t="str">
        <f t="shared" ca="1" si="646"/>
        <v/>
      </c>
      <c r="AK1752" s="474" t="str">
        <f t="shared" ca="1" si="578"/>
        <v/>
      </c>
      <c r="AL1752" s="480" t="str">
        <f t="shared" ca="1" si="606"/>
        <v>-</v>
      </c>
      <c r="AM1752" s="476" t="str">
        <f t="shared" ca="1" si="579"/>
        <v/>
      </c>
      <c r="AN1752" s="480" t="str">
        <f t="shared" ca="1" si="607"/>
        <v>-</v>
      </c>
      <c r="AO1752" s="601" t="str">
        <f t="shared" ca="1" si="580"/>
        <v/>
      </c>
      <c r="AP1752" s="480" t="str">
        <f t="shared" ca="1" si="608"/>
        <v>-</v>
      </c>
      <c r="AQ1752" s="477" t="str">
        <f t="shared" ca="1" si="581"/>
        <v/>
      </c>
      <c r="AR1752" s="480" t="str">
        <f t="shared" ca="1" si="609"/>
        <v>-</v>
      </c>
      <c r="AT1752" s="490" t="str">
        <f t="shared" ca="1" si="610"/>
        <v/>
      </c>
      <c r="AU1752" s="491" t="str">
        <f t="shared" ca="1" si="611"/>
        <v/>
      </c>
      <c r="AV1752" s="491" t="str">
        <f t="shared" ca="1" si="612"/>
        <v/>
      </c>
      <c r="AW1752" s="492" t="str">
        <f t="shared" ca="1" si="613"/>
        <v/>
      </c>
      <c r="AY1752" s="474" t="str">
        <f t="shared" ca="1" si="582"/>
        <v/>
      </c>
      <c r="AZ1752" s="480" t="str">
        <f t="shared" ca="1" si="614"/>
        <v>-</v>
      </c>
      <c r="BA1752" s="476" t="str">
        <f t="shared" ca="1" si="583"/>
        <v/>
      </c>
      <c r="BB1752" s="480" t="str">
        <f t="shared" ca="1" si="615"/>
        <v>-</v>
      </c>
      <c r="BC1752" s="601" t="str">
        <f t="shared" ca="1" si="584"/>
        <v/>
      </c>
      <c r="BD1752" s="480" t="str">
        <f t="shared" ca="1" si="616"/>
        <v>-</v>
      </c>
      <c r="BE1752" s="477" t="str">
        <f t="shared" ca="1" si="585"/>
        <v/>
      </c>
      <c r="BF1752" s="480" t="str">
        <f t="shared" ca="1" si="617"/>
        <v>-</v>
      </c>
      <c r="BG1752" s="488" t="str">
        <f t="shared" ca="1" si="618"/>
        <v/>
      </c>
      <c r="BH1752" s="483" t="str">
        <f t="shared" ca="1" si="619"/>
        <v/>
      </c>
      <c r="BI1752" s="483" t="str">
        <f t="shared" ca="1" si="620"/>
        <v/>
      </c>
      <c r="BJ1752" s="635" t="str">
        <f t="shared" ca="1" si="621"/>
        <v/>
      </c>
      <c r="BK1752" s="34">
        <f t="shared" ca="1" si="622"/>
        <v>4</v>
      </c>
      <c r="BL1752" s="71" t="str">
        <f t="shared" ca="1" si="586"/>
        <v>-</v>
      </c>
      <c r="BM1752" s="34" t="str">
        <f t="shared" ca="1" si="623"/>
        <v/>
      </c>
      <c r="BN1752" s="34">
        <f t="shared" ca="1" si="587"/>
        <v>9</v>
      </c>
      <c r="BO1752" s="34">
        <f t="shared" ca="1" si="624"/>
        <v>1</v>
      </c>
      <c r="BP1752" s="34" t="str">
        <f t="shared" ca="1" si="588"/>
        <v>-</v>
      </c>
      <c r="BQ1752" s="55" t="str">
        <f t="shared" ca="1" si="625"/>
        <v/>
      </c>
      <c r="BR1752" s="485" t="str">
        <f t="shared" si="626"/>
        <v/>
      </c>
      <c r="BS1752" s="634" t="str">
        <f t="shared" ca="1" si="627"/>
        <v/>
      </c>
      <c r="BT1752" s="634" t="str">
        <f t="shared" ca="1" si="628"/>
        <v/>
      </c>
      <c r="BU1752" s="666" t="str">
        <f t="shared" ca="1" si="629"/>
        <v/>
      </c>
    </row>
    <row r="1753" spans="1:73" hidden="1" outlineLevel="1" x14ac:dyDescent="0.25">
      <c r="A1753">
        <f t="shared" ca="1" si="589"/>
        <v>0</v>
      </c>
      <c r="B1753" t="str">
        <f t="shared" ca="1" si="562"/>
        <v>---------</v>
      </c>
      <c r="C1753" s="34" t="str">
        <f t="shared" ca="1" si="630"/>
        <v/>
      </c>
      <c r="D1753" s="34" t="str">
        <f t="shared" ca="1" si="590"/>
        <v/>
      </c>
      <c r="E1753" s="34" t="str">
        <f t="shared" ca="1" si="591"/>
        <v/>
      </c>
      <c r="F1753" s="55" t="str">
        <f t="shared" ca="1" si="592"/>
        <v/>
      </c>
      <c r="G1753" s="34" t="str">
        <f t="shared" ca="1" si="593"/>
        <v/>
      </c>
      <c r="H1753" s="34" t="str">
        <f t="shared" ca="1" si="594"/>
        <v/>
      </c>
      <c r="I1753" s="34" t="str">
        <f t="shared" ca="1" si="595"/>
        <v/>
      </c>
      <c r="J1753" s="55" t="str">
        <f t="shared" ca="1" si="596"/>
        <v/>
      </c>
      <c r="K1753" s="71" t="str">
        <f t="shared" ca="1" si="597"/>
        <v/>
      </c>
      <c r="L1753" s="34" t="str">
        <f t="shared" ca="1" si="598"/>
        <v/>
      </c>
      <c r="M1753" s="34" t="str">
        <f t="shared" ca="1" si="599"/>
        <v/>
      </c>
      <c r="N1753" s="55" t="str">
        <f t="shared" ca="1" si="600"/>
        <v/>
      </c>
      <c r="O1753" s="71" t="str">
        <f t="shared" ca="1" si="601"/>
        <v/>
      </c>
      <c r="P1753" s="34" t="str">
        <f t="shared" ca="1" si="602"/>
        <v/>
      </c>
      <c r="Q1753" s="34" t="str">
        <f t="shared" ca="1" si="603"/>
        <v/>
      </c>
      <c r="R1753" s="55" t="str">
        <f t="shared" ca="1" si="604"/>
        <v/>
      </c>
      <c r="U1753" s="485" t="str">
        <f t="shared" ca="1" si="631"/>
        <v/>
      </c>
      <c r="V1753" s="486" t="str">
        <f t="shared" ca="1" si="632"/>
        <v/>
      </c>
      <c r="W1753" s="486" t="str">
        <f t="shared" ca="1" si="633"/>
        <v/>
      </c>
      <c r="X1753" s="486" t="str">
        <f t="shared" ca="1" si="634"/>
        <v/>
      </c>
      <c r="Y1753" s="485" t="str">
        <f t="shared" ca="1" si="635"/>
        <v/>
      </c>
      <c r="Z1753" s="486" t="str">
        <f t="shared" ca="1" si="636"/>
        <v/>
      </c>
      <c r="AA1753" s="486" t="str">
        <f t="shared" ca="1" si="637"/>
        <v/>
      </c>
      <c r="AB1753" s="486" t="str">
        <f t="shared" ca="1" si="638"/>
        <v/>
      </c>
      <c r="AC1753" s="485" t="str">
        <f t="shared" ca="1" si="639"/>
        <v/>
      </c>
      <c r="AD1753" s="486" t="str">
        <f t="shared" ca="1" si="640"/>
        <v/>
      </c>
      <c r="AE1753" s="486" t="str">
        <f t="shared" ca="1" si="641"/>
        <v/>
      </c>
      <c r="AF1753" s="486" t="str">
        <f t="shared" ca="1" si="642"/>
        <v/>
      </c>
      <c r="AG1753" s="485" t="str">
        <f t="shared" ca="1" si="643"/>
        <v/>
      </c>
      <c r="AH1753" s="486" t="str">
        <f t="shared" ca="1" si="644"/>
        <v/>
      </c>
      <c r="AI1753" s="486" t="str">
        <f t="shared" ca="1" si="645"/>
        <v/>
      </c>
      <c r="AJ1753" s="486" t="str">
        <f t="shared" ca="1" si="646"/>
        <v/>
      </c>
      <c r="AK1753" s="474" t="str">
        <f t="shared" ca="1" si="578"/>
        <v/>
      </c>
      <c r="AL1753" s="480" t="str">
        <f t="shared" ca="1" si="606"/>
        <v>-</v>
      </c>
      <c r="AM1753" s="476" t="str">
        <f t="shared" ca="1" si="579"/>
        <v/>
      </c>
      <c r="AN1753" s="480" t="str">
        <f t="shared" ca="1" si="607"/>
        <v>-</v>
      </c>
      <c r="AO1753" s="601" t="str">
        <f t="shared" ca="1" si="580"/>
        <v/>
      </c>
      <c r="AP1753" s="480" t="str">
        <f t="shared" ca="1" si="608"/>
        <v>-</v>
      </c>
      <c r="AQ1753" s="477" t="str">
        <f t="shared" ca="1" si="581"/>
        <v/>
      </c>
      <c r="AR1753" s="480" t="str">
        <f t="shared" ca="1" si="609"/>
        <v>-</v>
      </c>
      <c r="AT1753" s="490" t="str">
        <f t="shared" ca="1" si="610"/>
        <v/>
      </c>
      <c r="AU1753" s="491" t="str">
        <f t="shared" ca="1" si="611"/>
        <v/>
      </c>
      <c r="AV1753" s="491" t="str">
        <f t="shared" ca="1" si="612"/>
        <v/>
      </c>
      <c r="AW1753" s="492" t="str">
        <f t="shared" ca="1" si="613"/>
        <v/>
      </c>
      <c r="AY1753" s="474" t="str">
        <f t="shared" ca="1" si="582"/>
        <v/>
      </c>
      <c r="AZ1753" s="480" t="str">
        <f t="shared" ca="1" si="614"/>
        <v>-</v>
      </c>
      <c r="BA1753" s="476" t="str">
        <f t="shared" ca="1" si="583"/>
        <v/>
      </c>
      <c r="BB1753" s="480" t="str">
        <f t="shared" ca="1" si="615"/>
        <v>-</v>
      </c>
      <c r="BC1753" s="601" t="str">
        <f t="shared" ca="1" si="584"/>
        <v/>
      </c>
      <c r="BD1753" s="480" t="str">
        <f t="shared" ca="1" si="616"/>
        <v>-</v>
      </c>
      <c r="BE1753" s="477" t="str">
        <f t="shared" ca="1" si="585"/>
        <v/>
      </c>
      <c r="BF1753" s="480" t="str">
        <f t="shared" ca="1" si="617"/>
        <v>-</v>
      </c>
      <c r="BG1753" s="488" t="str">
        <f t="shared" ca="1" si="618"/>
        <v/>
      </c>
      <c r="BH1753" s="483" t="str">
        <f t="shared" ca="1" si="619"/>
        <v/>
      </c>
      <c r="BI1753" s="483" t="str">
        <f t="shared" ca="1" si="620"/>
        <v/>
      </c>
      <c r="BJ1753" s="635" t="str">
        <f t="shared" ca="1" si="621"/>
        <v/>
      </c>
      <c r="BK1753" s="34" t="str">
        <f t="shared" ca="1" si="622"/>
        <v/>
      </c>
      <c r="BL1753" s="71" t="e">
        <f t="shared" ca="1" si="586"/>
        <v>#VALUE!</v>
      </c>
      <c r="BM1753" s="34" t="str">
        <f t="shared" ca="1" si="623"/>
        <v/>
      </c>
      <c r="BN1753" s="34" t="e">
        <f t="shared" ca="1" si="587"/>
        <v>#VALUE!</v>
      </c>
      <c r="BO1753" s="34" t="str">
        <f t="shared" ca="1" si="624"/>
        <v/>
      </c>
      <c r="BP1753" s="34" t="e">
        <f t="shared" ca="1" si="588"/>
        <v>#VALUE!</v>
      </c>
      <c r="BQ1753" s="55" t="str">
        <f t="shared" ca="1" si="625"/>
        <v/>
      </c>
      <c r="BR1753" s="485" t="str">
        <f t="shared" ca="1" si="626"/>
        <v/>
      </c>
      <c r="BS1753" s="634" t="str">
        <f t="shared" ca="1" si="627"/>
        <v/>
      </c>
      <c r="BT1753" s="634" t="str">
        <f t="shared" ca="1" si="628"/>
        <v/>
      </c>
      <c r="BU1753" s="666" t="str">
        <f t="shared" ca="1" si="629"/>
        <v/>
      </c>
    </row>
    <row r="1754" spans="1:73" hidden="1" outlineLevel="1" x14ac:dyDescent="0.25">
      <c r="A1754">
        <f t="shared" ca="1" si="589"/>
        <v>1</v>
      </c>
      <c r="B1754">
        <f t="shared" ca="1" si="562"/>
        <v>3</v>
      </c>
      <c r="C1754" s="34">
        <f t="shared" ca="1" si="630"/>
        <v>12</v>
      </c>
      <c r="D1754" s="34">
        <f t="shared" ca="1" si="590"/>
        <v>9</v>
      </c>
      <c r="E1754" s="34">
        <f t="shared" ca="1" si="591"/>
        <v>2.5</v>
      </c>
      <c r="F1754" s="55">
        <f t="shared" ca="1" si="592"/>
        <v>-7</v>
      </c>
      <c r="G1754" s="34" t="str">
        <f t="shared" ca="1" si="593"/>
        <v/>
      </c>
      <c r="H1754" s="34" t="str">
        <f t="shared" ca="1" si="594"/>
        <v/>
      </c>
      <c r="I1754" s="34" t="str">
        <f t="shared" ca="1" si="595"/>
        <v/>
      </c>
      <c r="J1754" s="55" t="str">
        <f t="shared" ca="1" si="596"/>
        <v/>
      </c>
      <c r="K1754" s="71" t="str">
        <f t="shared" ca="1" si="597"/>
        <v/>
      </c>
      <c r="L1754" s="34" t="str">
        <f t="shared" ca="1" si="598"/>
        <v/>
      </c>
      <c r="M1754" s="34" t="str">
        <f t="shared" ca="1" si="599"/>
        <v/>
      </c>
      <c r="N1754" s="55" t="str">
        <f t="shared" ca="1" si="600"/>
        <v/>
      </c>
      <c r="O1754" s="71">
        <f t="shared" ca="1" si="601"/>
        <v>-2</v>
      </c>
      <c r="P1754" s="34" t="str">
        <f t="shared" ca="1" si="602"/>
        <v/>
      </c>
      <c r="Q1754" s="34" t="str">
        <f t="shared" ca="1" si="603"/>
        <v/>
      </c>
      <c r="R1754" s="55" t="str">
        <f t="shared" ca="1" si="604"/>
        <v/>
      </c>
      <c r="U1754" s="485">
        <f t="shared" ca="1" si="631"/>
        <v>1</v>
      </c>
      <c r="V1754" s="486">
        <f t="shared" ca="1" si="632"/>
        <v>1</v>
      </c>
      <c r="W1754" s="486" t="str">
        <f t="shared" ca="1" si="633"/>
        <v/>
      </c>
      <c r="X1754" s="486" t="str">
        <f t="shared" ca="1" si="634"/>
        <v/>
      </c>
      <c r="Y1754" s="485" t="str">
        <f t="shared" ca="1" si="635"/>
        <v/>
      </c>
      <c r="Z1754" s="486" t="str">
        <f t="shared" ca="1" si="636"/>
        <v/>
      </c>
      <c r="AA1754" s="486" t="str">
        <f t="shared" ca="1" si="637"/>
        <v/>
      </c>
      <c r="AB1754" s="486" t="str">
        <f t="shared" ca="1" si="638"/>
        <v/>
      </c>
      <c r="AC1754" s="485" t="str">
        <f t="shared" ca="1" si="639"/>
        <v/>
      </c>
      <c r="AD1754" s="486" t="str">
        <f t="shared" ca="1" si="640"/>
        <v/>
      </c>
      <c r="AE1754" s="486" t="str">
        <f t="shared" ca="1" si="641"/>
        <v/>
      </c>
      <c r="AF1754" s="486" t="str">
        <f t="shared" ca="1" si="642"/>
        <v/>
      </c>
      <c r="AG1754" s="485">
        <f t="shared" ca="1" si="643"/>
        <v>1</v>
      </c>
      <c r="AH1754" s="486" t="str">
        <f t="shared" ca="1" si="644"/>
        <v/>
      </c>
      <c r="AI1754" s="486" t="str">
        <f t="shared" ca="1" si="645"/>
        <v/>
      </c>
      <c r="AJ1754" s="486" t="str">
        <f t="shared" ca="1" si="646"/>
        <v/>
      </c>
      <c r="AK1754" s="474" t="str">
        <f t="shared" ca="1" si="578"/>
        <v/>
      </c>
      <c r="AL1754" s="480" t="str">
        <f t="shared" ca="1" si="606"/>
        <v>-</v>
      </c>
      <c r="AM1754" s="476" t="str">
        <f t="shared" ca="1" si="579"/>
        <v/>
      </c>
      <c r="AN1754" s="480" t="str">
        <f t="shared" ca="1" si="607"/>
        <v>-</v>
      </c>
      <c r="AO1754" s="601" t="str">
        <f t="shared" ca="1" si="580"/>
        <v/>
      </c>
      <c r="AP1754" s="480" t="str">
        <f t="shared" ca="1" si="608"/>
        <v>-</v>
      </c>
      <c r="AQ1754" s="477" t="str">
        <f t="shared" ca="1" si="581"/>
        <v/>
      </c>
      <c r="AR1754" s="480" t="str">
        <f t="shared" ca="1" si="609"/>
        <v>-</v>
      </c>
      <c r="AT1754" s="490" t="str">
        <f t="shared" ca="1" si="610"/>
        <v/>
      </c>
      <c r="AU1754" s="491" t="str">
        <f t="shared" ca="1" si="611"/>
        <v/>
      </c>
      <c r="AV1754" s="491" t="str">
        <f t="shared" ca="1" si="612"/>
        <v/>
      </c>
      <c r="AW1754" s="492" t="str">
        <f t="shared" ca="1" si="613"/>
        <v/>
      </c>
      <c r="AY1754" s="474" t="str">
        <f t="shared" ca="1" si="582"/>
        <v/>
      </c>
      <c r="AZ1754" s="480" t="str">
        <f t="shared" ca="1" si="614"/>
        <v>-</v>
      </c>
      <c r="BA1754" s="476" t="str">
        <f t="shared" ca="1" si="583"/>
        <v/>
      </c>
      <c r="BB1754" s="480" t="str">
        <f t="shared" ca="1" si="615"/>
        <v>-</v>
      </c>
      <c r="BC1754" s="601" t="str">
        <f t="shared" ca="1" si="584"/>
        <v/>
      </c>
      <c r="BD1754" s="480" t="str">
        <f t="shared" ca="1" si="616"/>
        <v>-</v>
      </c>
      <c r="BE1754" s="477" t="str">
        <f t="shared" ca="1" si="585"/>
        <v/>
      </c>
      <c r="BF1754" s="480" t="str">
        <f t="shared" ca="1" si="617"/>
        <v>-</v>
      </c>
      <c r="BG1754" s="488" t="str">
        <f t="shared" ca="1" si="618"/>
        <v/>
      </c>
      <c r="BH1754" s="483" t="str">
        <f t="shared" ca="1" si="619"/>
        <v/>
      </c>
      <c r="BI1754" s="483" t="str">
        <f t="shared" ca="1" si="620"/>
        <v/>
      </c>
      <c r="BJ1754" s="635" t="str">
        <f t="shared" ca="1" si="621"/>
        <v/>
      </c>
      <c r="BK1754" s="34">
        <f t="shared" ca="1" si="622"/>
        <v>3</v>
      </c>
      <c r="BL1754" s="71" t="str">
        <f t="shared" ca="1" si="586"/>
        <v>-</v>
      </c>
      <c r="BM1754" s="34" t="str">
        <f t="shared" ca="1" si="623"/>
        <v/>
      </c>
      <c r="BN1754" s="34">
        <f t="shared" ca="1" si="587"/>
        <v>8</v>
      </c>
      <c r="BO1754" s="34">
        <f t="shared" ca="1" si="624"/>
        <v>1</v>
      </c>
      <c r="BP1754" s="34" t="str">
        <f t="shared" ca="1" si="588"/>
        <v>-</v>
      </c>
      <c r="BQ1754" s="55" t="str">
        <f t="shared" ca="1" si="625"/>
        <v/>
      </c>
      <c r="BR1754" s="485" t="str">
        <f t="shared" si="626"/>
        <v/>
      </c>
      <c r="BS1754" s="634" t="str">
        <f t="shared" ca="1" si="627"/>
        <v/>
      </c>
      <c r="BT1754" s="634" t="str">
        <f t="shared" ca="1" si="628"/>
        <v/>
      </c>
      <c r="BU1754" s="666" t="str">
        <f t="shared" ca="1" si="629"/>
        <v/>
      </c>
    </row>
    <row r="1755" spans="1:73" hidden="1" outlineLevel="1" x14ac:dyDescent="0.25">
      <c r="A1755">
        <f t="shared" ca="1" si="589"/>
        <v>0</v>
      </c>
      <c r="B1755" t="str">
        <f t="shared" ca="1" si="562"/>
        <v>---------</v>
      </c>
      <c r="C1755" s="34" t="str">
        <f t="shared" ca="1" si="630"/>
        <v/>
      </c>
      <c r="D1755" s="34" t="str">
        <f t="shared" ca="1" si="590"/>
        <v/>
      </c>
      <c r="E1755" s="34" t="str">
        <f t="shared" ca="1" si="591"/>
        <v/>
      </c>
      <c r="F1755" s="55" t="str">
        <f t="shared" ca="1" si="592"/>
        <v/>
      </c>
      <c r="G1755" s="34" t="str">
        <f t="shared" ca="1" si="593"/>
        <v/>
      </c>
      <c r="H1755" s="34" t="str">
        <f t="shared" ca="1" si="594"/>
        <v/>
      </c>
      <c r="I1755" s="34" t="str">
        <f t="shared" ca="1" si="595"/>
        <v/>
      </c>
      <c r="J1755" s="55" t="str">
        <f t="shared" ca="1" si="596"/>
        <v/>
      </c>
      <c r="K1755" s="71" t="str">
        <f t="shared" ca="1" si="597"/>
        <v/>
      </c>
      <c r="L1755" s="34" t="str">
        <f t="shared" ca="1" si="598"/>
        <v/>
      </c>
      <c r="M1755" s="34" t="str">
        <f t="shared" ca="1" si="599"/>
        <v/>
      </c>
      <c r="N1755" s="55" t="str">
        <f t="shared" ca="1" si="600"/>
        <v/>
      </c>
      <c r="O1755" s="71" t="str">
        <f t="shared" ca="1" si="601"/>
        <v/>
      </c>
      <c r="P1755" s="34" t="str">
        <f t="shared" ca="1" si="602"/>
        <v/>
      </c>
      <c r="Q1755" s="34" t="str">
        <f t="shared" ca="1" si="603"/>
        <v/>
      </c>
      <c r="R1755" s="55" t="str">
        <f t="shared" ca="1" si="604"/>
        <v/>
      </c>
      <c r="U1755" s="485" t="str">
        <f t="shared" ca="1" si="631"/>
        <v/>
      </c>
      <c r="V1755" s="486" t="str">
        <f t="shared" ca="1" si="632"/>
        <v/>
      </c>
      <c r="W1755" s="486" t="str">
        <f t="shared" ca="1" si="633"/>
        <v/>
      </c>
      <c r="X1755" s="486" t="str">
        <f t="shared" ca="1" si="634"/>
        <v/>
      </c>
      <c r="Y1755" s="485" t="str">
        <f t="shared" ca="1" si="635"/>
        <v/>
      </c>
      <c r="Z1755" s="486" t="str">
        <f t="shared" ca="1" si="636"/>
        <v/>
      </c>
      <c r="AA1755" s="486" t="str">
        <f t="shared" ca="1" si="637"/>
        <v/>
      </c>
      <c r="AB1755" s="486" t="str">
        <f t="shared" ca="1" si="638"/>
        <v/>
      </c>
      <c r="AC1755" s="485" t="str">
        <f t="shared" ca="1" si="639"/>
        <v/>
      </c>
      <c r="AD1755" s="486" t="str">
        <f t="shared" ca="1" si="640"/>
        <v/>
      </c>
      <c r="AE1755" s="486" t="str">
        <f t="shared" ca="1" si="641"/>
        <v/>
      </c>
      <c r="AF1755" s="486" t="str">
        <f t="shared" ca="1" si="642"/>
        <v/>
      </c>
      <c r="AG1755" s="485" t="str">
        <f t="shared" ca="1" si="643"/>
        <v/>
      </c>
      <c r="AH1755" s="486" t="str">
        <f t="shared" ca="1" si="644"/>
        <v/>
      </c>
      <c r="AI1755" s="486" t="str">
        <f t="shared" ca="1" si="645"/>
        <v/>
      </c>
      <c r="AJ1755" s="486" t="str">
        <f t="shared" ca="1" si="646"/>
        <v/>
      </c>
      <c r="AK1755" s="474" t="str">
        <f t="shared" ca="1" si="578"/>
        <v/>
      </c>
      <c r="AL1755" s="480" t="str">
        <f t="shared" ca="1" si="606"/>
        <v>-</v>
      </c>
      <c r="AM1755" s="476" t="str">
        <f t="shared" ca="1" si="579"/>
        <v/>
      </c>
      <c r="AN1755" s="480" t="str">
        <f t="shared" ca="1" si="607"/>
        <v>-</v>
      </c>
      <c r="AO1755" s="601" t="str">
        <f t="shared" ca="1" si="580"/>
        <v/>
      </c>
      <c r="AP1755" s="480" t="str">
        <f t="shared" ca="1" si="608"/>
        <v>-</v>
      </c>
      <c r="AQ1755" s="477" t="str">
        <f t="shared" ca="1" si="581"/>
        <v/>
      </c>
      <c r="AR1755" s="480" t="str">
        <f t="shared" ca="1" si="609"/>
        <v>-</v>
      </c>
      <c r="AT1755" s="490" t="str">
        <f t="shared" ca="1" si="610"/>
        <v/>
      </c>
      <c r="AU1755" s="491" t="str">
        <f t="shared" ca="1" si="611"/>
        <v/>
      </c>
      <c r="AV1755" s="491" t="str">
        <f t="shared" ca="1" si="612"/>
        <v/>
      </c>
      <c r="AW1755" s="492" t="str">
        <f t="shared" ca="1" si="613"/>
        <v/>
      </c>
      <c r="AY1755" s="474" t="str">
        <f t="shared" ca="1" si="582"/>
        <v/>
      </c>
      <c r="AZ1755" s="480" t="str">
        <f t="shared" ca="1" si="614"/>
        <v>-</v>
      </c>
      <c r="BA1755" s="476" t="str">
        <f t="shared" ca="1" si="583"/>
        <v/>
      </c>
      <c r="BB1755" s="480" t="str">
        <f t="shared" ca="1" si="615"/>
        <v>-</v>
      </c>
      <c r="BC1755" s="601" t="str">
        <f t="shared" ca="1" si="584"/>
        <v/>
      </c>
      <c r="BD1755" s="480" t="str">
        <f t="shared" ca="1" si="616"/>
        <v>-</v>
      </c>
      <c r="BE1755" s="477" t="str">
        <f t="shared" ca="1" si="585"/>
        <v/>
      </c>
      <c r="BF1755" s="480" t="str">
        <f t="shared" ca="1" si="617"/>
        <v>-</v>
      </c>
      <c r="BG1755" s="488" t="str">
        <f t="shared" ca="1" si="618"/>
        <v/>
      </c>
      <c r="BH1755" s="483" t="str">
        <f t="shared" ca="1" si="619"/>
        <v/>
      </c>
      <c r="BI1755" s="483" t="str">
        <f t="shared" ca="1" si="620"/>
        <v/>
      </c>
      <c r="BJ1755" s="635" t="str">
        <f t="shared" ca="1" si="621"/>
        <v/>
      </c>
      <c r="BK1755" s="34" t="str">
        <f t="shared" ca="1" si="622"/>
        <v/>
      </c>
      <c r="BL1755" s="71" t="e">
        <f t="shared" ca="1" si="586"/>
        <v>#VALUE!</v>
      </c>
      <c r="BM1755" s="34" t="str">
        <f t="shared" ca="1" si="623"/>
        <v/>
      </c>
      <c r="BN1755" s="34" t="e">
        <f t="shared" ca="1" si="587"/>
        <v>#VALUE!</v>
      </c>
      <c r="BO1755" s="34" t="str">
        <f t="shared" ca="1" si="624"/>
        <v/>
      </c>
      <c r="BP1755" s="34" t="e">
        <f t="shared" ca="1" si="588"/>
        <v>#VALUE!</v>
      </c>
      <c r="BQ1755" s="55" t="str">
        <f t="shared" ca="1" si="625"/>
        <v/>
      </c>
      <c r="BR1755" s="485" t="str">
        <f t="shared" ca="1" si="626"/>
        <v/>
      </c>
      <c r="BS1755" s="634" t="str">
        <f t="shared" ca="1" si="627"/>
        <v/>
      </c>
      <c r="BT1755" s="634" t="str">
        <f t="shared" ca="1" si="628"/>
        <v/>
      </c>
      <c r="BU1755" s="666" t="str">
        <f t="shared" ca="1" si="629"/>
        <v/>
      </c>
    </row>
    <row r="1756" spans="1:73" hidden="1" outlineLevel="1" x14ac:dyDescent="0.25">
      <c r="A1756">
        <f t="shared" ca="1" si="589"/>
        <v>0</v>
      </c>
      <c r="B1756" t="str">
        <f t="shared" ca="1" si="562"/>
        <v>---------</v>
      </c>
      <c r="C1756" s="34" t="str">
        <f t="shared" ca="1" si="630"/>
        <v/>
      </c>
      <c r="D1756" s="34" t="str">
        <f t="shared" ca="1" si="590"/>
        <v/>
      </c>
      <c r="E1756" s="34" t="str">
        <f t="shared" ca="1" si="591"/>
        <v/>
      </c>
      <c r="F1756" s="55" t="str">
        <f t="shared" ca="1" si="592"/>
        <v/>
      </c>
      <c r="G1756" s="34" t="str">
        <f t="shared" ca="1" si="593"/>
        <v/>
      </c>
      <c r="H1756" s="34" t="str">
        <f t="shared" ca="1" si="594"/>
        <v/>
      </c>
      <c r="I1756" s="34" t="str">
        <f t="shared" ca="1" si="595"/>
        <v/>
      </c>
      <c r="J1756" s="55" t="str">
        <f t="shared" ca="1" si="596"/>
        <v/>
      </c>
      <c r="K1756" s="71" t="str">
        <f t="shared" ca="1" si="597"/>
        <v/>
      </c>
      <c r="L1756" s="34" t="str">
        <f t="shared" ca="1" si="598"/>
        <v/>
      </c>
      <c r="M1756" s="34" t="str">
        <f t="shared" ca="1" si="599"/>
        <v/>
      </c>
      <c r="N1756" s="55" t="str">
        <f t="shared" ca="1" si="600"/>
        <v/>
      </c>
      <c r="O1756" s="71" t="str">
        <f t="shared" ca="1" si="601"/>
        <v/>
      </c>
      <c r="P1756" s="34" t="str">
        <f t="shared" ca="1" si="602"/>
        <v/>
      </c>
      <c r="Q1756" s="34" t="str">
        <f t="shared" ca="1" si="603"/>
        <v/>
      </c>
      <c r="R1756" s="55" t="str">
        <f t="shared" ca="1" si="604"/>
        <v/>
      </c>
      <c r="U1756" s="485" t="str">
        <f t="shared" ca="1" si="631"/>
        <v/>
      </c>
      <c r="V1756" s="486" t="str">
        <f t="shared" ca="1" si="632"/>
        <v/>
      </c>
      <c r="W1756" s="486" t="str">
        <f t="shared" ca="1" si="633"/>
        <v/>
      </c>
      <c r="X1756" s="486" t="str">
        <f t="shared" ca="1" si="634"/>
        <v/>
      </c>
      <c r="Y1756" s="485" t="str">
        <f t="shared" ca="1" si="635"/>
        <v/>
      </c>
      <c r="Z1756" s="486" t="str">
        <f t="shared" ca="1" si="636"/>
        <v/>
      </c>
      <c r="AA1756" s="486" t="str">
        <f t="shared" ca="1" si="637"/>
        <v/>
      </c>
      <c r="AB1756" s="486" t="str">
        <f t="shared" ca="1" si="638"/>
        <v/>
      </c>
      <c r="AC1756" s="485" t="str">
        <f t="shared" ca="1" si="639"/>
        <v/>
      </c>
      <c r="AD1756" s="486" t="str">
        <f t="shared" ca="1" si="640"/>
        <v/>
      </c>
      <c r="AE1756" s="486" t="str">
        <f t="shared" ca="1" si="641"/>
        <v/>
      </c>
      <c r="AF1756" s="486" t="str">
        <f t="shared" ca="1" si="642"/>
        <v/>
      </c>
      <c r="AG1756" s="485" t="str">
        <f t="shared" ca="1" si="643"/>
        <v/>
      </c>
      <c r="AH1756" s="486" t="str">
        <f t="shared" ca="1" si="644"/>
        <v/>
      </c>
      <c r="AI1756" s="486" t="str">
        <f t="shared" ca="1" si="645"/>
        <v/>
      </c>
      <c r="AJ1756" s="486" t="str">
        <f t="shared" ca="1" si="646"/>
        <v/>
      </c>
      <c r="AK1756" s="474" t="str">
        <f t="shared" ca="1" si="578"/>
        <v/>
      </c>
      <c r="AL1756" s="480" t="str">
        <f t="shared" ca="1" si="606"/>
        <v>-</v>
      </c>
      <c r="AM1756" s="476" t="str">
        <f t="shared" ca="1" si="579"/>
        <v/>
      </c>
      <c r="AN1756" s="480" t="str">
        <f t="shared" ca="1" si="607"/>
        <v>-</v>
      </c>
      <c r="AO1756" s="601" t="str">
        <f t="shared" ca="1" si="580"/>
        <v/>
      </c>
      <c r="AP1756" s="480" t="str">
        <f t="shared" ca="1" si="608"/>
        <v>-</v>
      </c>
      <c r="AQ1756" s="477" t="str">
        <f t="shared" ca="1" si="581"/>
        <v/>
      </c>
      <c r="AR1756" s="480" t="str">
        <f t="shared" ca="1" si="609"/>
        <v>-</v>
      </c>
      <c r="AT1756" s="490" t="str">
        <f t="shared" ca="1" si="610"/>
        <v/>
      </c>
      <c r="AU1756" s="491" t="str">
        <f t="shared" ca="1" si="611"/>
        <v/>
      </c>
      <c r="AV1756" s="491" t="str">
        <f t="shared" ca="1" si="612"/>
        <v/>
      </c>
      <c r="AW1756" s="492" t="str">
        <f t="shared" ca="1" si="613"/>
        <v/>
      </c>
      <c r="AY1756" s="474" t="str">
        <f t="shared" ca="1" si="582"/>
        <v/>
      </c>
      <c r="AZ1756" s="480" t="str">
        <f t="shared" ca="1" si="614"/>
        <v>-</v>
      </c>
      <c r="BA1756" s="476" t="str">
        <f t="shared" ca="1" si="583"/>
        <v/>
      </c>
      <c r="BB1756" s="480" t="str">
        <f t="shared" ca="1" si="615"/>
        <v>-</v>
      </c>
      <c r="BC1756" s="601" t="str">
        <f t="shared" ca="1" si="584"/>
        <v/>
      </c>
      <c r="BD1756" s="480" t="str">
        <f t="shared" ca="1" si="616"/>
        <v>-</v>
      </c>
      <c r="BE1756" s="477" t="str">
        <f t="shared" ca="1" si="585"/>
        <v/>
      </c>
      <c r="BF1756" s="480" t="str">
        <f t="shared" ca="1" si="617"/>
        <v>-</v>
      </c>
      <c r="BG1756" s="488" t="str">
        <f t="shared" ca="1" si="618"/>
        <v/>
      </c>
      <c r="BH1756" s="483" t="str">
        <f t="shared" ca="1" si="619"/>
        <v/>
      </c>
      <c r="BI1756" s="483" t="str">
        <f t="shared" ca="1" si="620"/>
        <v/>
      </c>
      <c r="BJ1756" s="635" t="str">
        <f t="shared" ca="1" si="621"/>
        <v/>
      </c>
      <c r="BK1756" s="34" t="str">
        <f t="shared" ca="1" si="622"/>
        <v/>
      </c>
      <c r="BL1756" s="71" t="e">
        <f t="shared" ca="1" si="586"/>
        <v>#VALUE!</v>
      </c>
      <c r="BM1756" s="34" t="str">
        <f t="shared" ca="1" si="623"/>
        <v/>
      </c>
      <c r="BN1756" s="34" t="e">
        <f t="shared" ca="1" si="587"/>
        <v>#VALUE!</v>
      </c>
      <c r="BO1756" s="34" t="str">
        <f t="shared" ca="1" si="624"/>
        <v/>
      </c>
      <c r="BP1756" s="34" t="e">
        <f t="shared" ca="1" si="588"/>
        <v>#VALUE!</v>
      </c>
      <c r="BQ1756" s="55" t="str">
        <f t="shared" ca="1" si="625"/>
        <v/>
      </c>
      <c r="BR1756" s="485" t="str">
        <f t="shared" si="626"/>
        <v/>
      </c>
      <c r="BS1756" s="634" t="str">
        <f t="shared" ca="1" si="627"/>
        <v/>
      </c>
      <c r="BT1756" s="634" t="str">
        <f t="shared" ca="1" si="628"/>
        <v/>
      </c>
      <c r="BU1756" s="666" t="str">
        <f t="shared" ca="1" si="629"/>
        <v/>
      </c>
    </row>
    <row r="1757" spans="1:73" hidden="1" outlineLevel="1" x14ac:dyDescent="0.25">
      <c r="A1757">
        <f t="shared" ca="1" si="589"/>
        <v>0</v>
      </c>
      <c r="B1757" t="str">
        <f t="shared" ca="1" si="562"/>
        <v>---------</v>
      </c>
      <c r="C1757" s="34" t="str">
        <f t="shared" ca="1" si="630"/>
        <v/>
      </c>
      <c r="D1757" s="34" t="str">
        <f t="shared" ca="1" si="590"/>
        <v/>
      </c>
      <c r="E1757" s="34" t="str">
        <f t="shared" ca="1" si="591"/>
        <v/>
      </c>
      <c r="F1757" s="55" t="str">
        <f t="shared" ca="1" si="592"/>
        <v/>
      </c>
      <c r="G1757" s="34" t="str">
        <f t="shared" ca="1" si="593"/>
        <v/>
      </c>
      <c r="H1757" s="34" t="str">
        <f t="shared" ca="1" si="594"/>
        <v/>
      </c>
      <c r="I1757" s="34" t="str">
        <f t="shared" ca="1" si="595"/>
        <v/>
      </c>
      <c r="J1757" s="55" t="str">
        <f t="shared" ca="1" si="596"/>
        <v/>
      </c>
      <c r="K1757" s="71" t="str">
        <f t="shared" ca="1" si="597"/>
        <v/>
      </c>
      <c r="L1757" s="34" t="str">
        <f t="shared" ca="1" si="598"/>
        <v/>
      </c>
      <c r="M1757" s="34" t="str">
        <f t="shared" ca="1" si="599"/>
        <v/>
      </c>
      <c r="N1757" s="55" t="str">
        <f t="shared" ca="1" si="600"/>
        <v/>
      </c>
      <c r="O1757" s="71" t="str">
        <f t="shared" ca="1" si="601"/>
        <v/>
      </c>
      <c r="P1757" s="34" t="str">
        <f t="shared" ca="1" si="602"/>
        <v/>
      </c>
      <c r="Q1757" s="34" t="str">
        <f t="shared" ca="1" si="603"/>
        <v/>
      </c>
      <c r="R1757" s="55" t="str">
        <f t="shared" ca="1" si="604"/>
        <v/>
      </c>
      <c r="U1757" s="485" t="str">
        <f t="shared" ca="1" si="631"/>
        <v/>
      </c>
      <c r="V1757" s="486" t="str">
        <f t="shared" ca="1" si="632"/>
        <v/>
      </c>
      <c r="W1757" s="486" t="str">
        <f t="shared" ca="1" si="633"/>
        <v/>
      </c>
      <c r="X1757" s="486" t="str">
        <f t="shared" ca="1" si="634"/>
        <v/>
      </c>
      <c r="Y1757" s="485" t="str">
        <f t="shared" ca="1" si="635"/>
        <v/>
      </c>
      <c r="Z1757" s="486" t="str">
        <f t="shared" ca="1" si="636"/>
        <v/>
      </c>
      <c r="AA1757" s="486" t="str">
        <f t="shared" ca="1" si="637"/>
        <v/>
      </c>
      <c r="AB1757" s="486" t="str">
        <f t="shared" ca="1" si="638"/>
        <v/>
      </c>
      <c r="AC1757" s="485" t="str">
        <f t="shared" ca="1" si="639"/>
        <v/>
      </c>
      <c r="AD1757" s="486" t="str">
        <f t="shared" ca="1" si="640"/>
        <v/>
      </c>
      <c r="AE1757" s="486" t="str">
        <f t="shared" ca="1" si="641"/>
        <v/>
      </c>
      <c r="AF1757" s="486" t="str">
        <f t="shared" ca="1" si="642"/>
        <v/>
      </c>
      <c r="AG1757" s="485" t="str">
        <f t="shared" ca="1" si="643"/>
        <v/>
      </c>
      <c r="AH1757" s="486" t="str">
        <f t="shared" ca="1" si="644"/>
        <v/>
      </c>
      <c r="AI1757" s="486" t="str">
        <f t="shared" ca="1" si="645"/>
        <v/>
      </c>
      <c r="AJ1757" s="486" t="str">
        <f t="shared" ca="1" si="646"/>
        <v/>
      </c>
      <c r="AK1757" s="474" t="str">
        <f t="shared" ca="1" si="578"/>
        <v/>
      </c>
      <c r="AL1757" s="480" t="str">
        <f t="shared" ca="1" si="606"/>
        <v>-</v>
      </c>
      <c r="AM1757" s="476" t="str">
        <f t="shared" ca="1" si="579"/>
        <v/>
      </c>
      <c r="AN1757" s="480" t="str">
        <f t="shared" ca="1" si="607"/>
        <v>-</v>
      </c>
      <c r="AO1757" s="601" t="str">
        <f t="shared" ca="1" si="580"/>
        <v/>
      </c>
      <c r="AP1757" s="480" t="str">
        <f t="shared" ca="1" si="608"/>
        <v>-</v>
      </c>
      <c r="AQ1757" s="477" t="str">
        <f t="shared" ca="1" si="581"/>
        <v/>
      </c>
      <c r="AR1757" s="480" t="str">
        <f t="shared" ca="1" si="609"/>
        <v>-</v>
      </c>
      <c r="AT1757" s="490" t="str">
        <f t="shared" ca="1" si="610"/>
        <v/>
      </c>
      <c r="AU1757" s="491" t="str">
        <f t="shared" ca="1" si="611"/>
        <v/>
      </c>
      <c r="AV1757" s="491" t="str">
        <f t="shared" ca="1" si="612"/>
        <v/>
      </c>
      <c r="AW1757" s="492" t="str">
        <f t="shared" ca="1" si="613"/>
        <v/>
      </c>
      <c r="AY1757" s="474" t="str">
        <f t="shared" ca="1" si="582"/>
        <v/>
      </c>
      <c r="AZ1757" s="480" t="str">
        <f t="shared" ca="1" si="614"/>
        <v>-</v>
      </c>
      <c r="BA1757" s="476" t="str">
        <f t="shared" ca="1" si="583"/>
        <v/>
      </c>
      <c r="BB1757" s="480" t="str">
        <f t="shared" ca="1" si="615"/>
        <v>-</v>
      </c>
      <c r="BC1757" s="601" t="str">
        <f t="shared" ca="1" si="584"/>
        <v/>
      </c>
      <c r="BD1757" s="480" t="str">
        <f t="shared" ca="1" si="616"/>
        <v>-</v>
      </c>
      <c r="BE1757" s="477" t="str">
        <f t="shared" ca="1" si="585"/>
        <v/>
      </c>
      <c r="BF1757" s="480" t="str">
        <f t="shared" ca="1" si="617"/>
        <v>-</v>
      </c>
      <c r="BG1757" s="488" t="str">
        <f t="shared" ca="1" si="618"/>
        <v/>
      </c>
      <c r="BH1757" s="483" t="str">
        <f t="shared" ca="1" si="619"/>
        <v/>
      </c>
      <c r="BI1757" s="483" t="str">
        <f t="shared" ca="1" si="620"/>
        <v/>
      </c>
      <c r="BJ1757" s="635" t="str">
        <f t="shared" ca="1" si="621"/>
        <v/>
      </c>
      <c r="BK1757" s="34" t="str">
        <f t="shared" ca="1" si="622"/>
        <v/>
      </c>
      <c r="BL1757" s="71" t="e">
        <f t="shared" ca="1" si="586"/>
        <v>#VALUE!</v>
      </c>
      <c r="BM1757" s="34" t="str">
        <f t="shared" ca="1" si="623"/>
        <v/>
      </c>
      <c r="BN1757" s="34" t="e">
        <f t="shared" ca="1" si="587"/>
        <v>#VALUE!</v>
      </c>
      <c r="BO1757" s="34" t="str">
        <f t="shared" ca="1" si="624"/>
        <v/>
      </c>
      <c r="BP1757" s="34" t="e">
        <f t="shared" ca="1" si="588"/>
        <v>#VALUE!</v>
      </c>
      <c r="BQ1757" s="55" t="str">
        <f t="shared" ca="1" si="625"/>
        <v/>
      </c>
      <c r="BR1757" s="485" t="str">
        <f t="shared" ca="1" si="626"/>
        <v/>
      </c>
      <c r="BS1757" s="634" t="str">
        <f t="shared" ca="1" si="627"/>
        <v/>
      </c>
      <c r="BT1757" s="634" t="str">
        <f t="shared" ca="1" si="628"/>
        <v/>
      </c>
      <c r="BU1757" s="666" t="str">
        <f t="shared" ca="1" si="629"/>
        <v/>
      </c>
    </row>
    <row r="1758" spans="1:73" hidden="1" outlineLevel="1" x14ac:dyDescent="0.25">
      <c r="A1758">
        <f t="shared" ca="1" si="589"/>
        <v>0</v>
      </c>
      <c r="B1758" t="str">
        <f t="shared" ca="1" si="562"/>
        <v>---------</v>
      </c>
      <c r="C1758" s="34" t="str">
        <f t="shared" ca="1" si="630"/>
        <v/>
      </c>
      <c r="D1758" s="34" t="str">
        <f t="shared" ca="1" si="590"/>
        <v/>
      </c>
      <c r="E1758" s="34" t="str">
        <f t="shared" ca="1" si="591"/>
        <v/>
      </c>
      <c r="F1758" s="55" t="str">
        <f t="shared" ca="1" si="592"/>
        <v/>
      </c>
      <c r="G1758" s="34" t="str">
        <f t="shared" ca="1" si="593"/>
        <v/>
      </c>
      <c r="H1758" s="34" t="str">
        <f t="shared" ca="1" si="594"/>
        <v/>
      </c>
      <c r="I1758" s="34" t="str">
        <f t="shared" ca="1" si="595"/>
        <v/>
      </c>
      <c r="J1758" s="55" t="str">
        <f t="shared" ca="1" si="596"/>
        <v/>
      </c>
      <c r="K1758" s="71" t="str">
        <f t="shared" ca="1" si="597"/>
        <v/>
      </c>
      <c r="L1758" s="34" t="str">
        <f t="shared" ca="1" si="598"/>
        <v/>
      </c>
      <c r="M1758" s="34" t="str">
        <f t="shared" ca="1" si="599"/>
        <v/>
      </c>
      <c r="N1758" s="55" t="str">
        <f t="shared" ca="1" si="600"/>
        <v/>
      </c>
      <c r="O1758" s="71" t="str">
        <f t="shared" ca="1" si="601"/>
        <v/>
      </c>
      <c r="P1758" s="34" t="str">
        <f t="shared" ca="1" si="602"/>
        <v/>
      </c>
      <c r="Q1758" s="34" t="str">
        <f t="shared" ca="1" si="603"/>
        <v/>
      </c>
      <c r="R1758" s="55" t="str">
        <f t="shared" ca="1" si="604"/>
        <v/>
      </c>
      <c r="U1758" s="485" t="str">
        <f t="shared" ca="1" si="631"/>
        <v/>
      </c>
      <c r="V1758" s="486" t="str">
        <f t="shared" ca="1" si="632"/>
        <v/>
      </c>
      <c r="W1758" s="486" t="str">
        <f t="shared" ca="1" si="633"/>
        <v/>
      </c>
      <c r="X1758" s="486" t="str">
        <f t="shared" ca="1" si="634"/>
        <v/>
      </c>
      <c r="Y1758" s="485" t="str">
        <f t="shared" ca="1" si="635"/>
        <v/>
      </c>
      <c r="Z1758" s="486" t="str">
        <f t="shared" ca="1" si="636"/>
        <v/>
      </c>
      <c r="AA1758" s="486" t="str">
        <f t="shared" ca="1" si="637"/>
        <v/>
      </c>
      <c r="AB1758" s="486" t="str">
        <f t="shared" ca="1" si="638"/>
        <v/>
      </c>
      <c r="AC1758" s="485" t="str">
        <f t="shared" ca="1" si="639"/>
        <v/>
      </c>
      <c r="AD1758" s="486" t="str">
        <f t="shared" ca="1" si="640"/>
        <v/>
      </c>
      <c r="AE1758" s="486" t="str">
        <f t="shared" ca="1" si="641"/>
        <v/>
      </c>
      <c r="AF1758" s="486" t="str">
        <f t="shared" ca="1" si="642"/>
        <v/>
      </c>
      <c r="AG1758" s="485" t="str">
        <f t="shared" ca="1" si="643"/>
        <v/>
      </c>
      <c r="AH1758" s="486" t="str">
        <f t="shared" ca="1" si="644"/>
        <v/>
      </c>
      <c r="AI1758" s="486" t="str">
        <f t="shared" ca="1" si="645"/>
        <v/>
      </c>
      <c r="AJ1758" s="486" t="str">
        <f ca="1">IFERROR(VLOOKUP(R1758,$CV$1504:$CW$1561,2,FALSE),"")</f>
        <v/>
      </c>
      <c r="AK1758" s="474" t="str">
        <f t="shared" ca="1" si="578"/>
        <v/>
      </c>
      <c r="AL1758" s="480" t="str">
        <f t="shared" ca="1" si="606"/>
        <v>-</v>
      </c>
      <c r="AM1758" s="476" t="str">
        <f t="shared" ca="1" si="579"/>
        <v/>
      </c>
      <c r="AN1758" s="480" t="str">
        <f t="shared" ca="1" si="607"/>
        <v>-</v>
      </c>
      <c r="AO1758" s="601" t="str">
        <f t="shared" ca="1" si="580"/>
        <v/>
      </c>
      <c r="AP1758" s="480" t="str">
        <f t="shared" ca="1" si="608"/>
        <v>-</v>
      </c>
      <c r="AQ1758" s="477" t="str">
        <f t="shared" ca="1" si="581"/>
        <v/>
      </c>
      <c r="AR1758" s="480" t="str">
        <f t="shared" ca="1" si="609"/>
        <v>-</v>
      </c>
      <c r="AT1758" s="490" t="str">
        <f t="shared" ca="1" si="610"/>
        <v/>
      </c>
      <c r="AU1758" s="491" t="str">
        <f t="shared" ca="1" si="611"/>
        <v/>
      </c>
      <c r="AV1758" s="491" t="str">
        <f t="shared" ca="1" si="612"/>
        <v/>
      </c>
      <c r="AW1758" s="492" t="str">
        <f t="shared" ca="1" si="613"/>
        <v/>
      </c>
      <c r="AY1758" s="474" t="str">
        <f t="shared" ca="1" si="582"/>
        <v/>
      </c>
      <c r="AZ1758" s="480" t="str">
        <f t="shared" ca="1" si="614"/>
        <v>-</v>
      </c>
      <c r="BA1758" s="476" t="str">
        <f t="shared" ca="1" si="583"/>
        <v/>
      </c>
      <c r="BB1758" s="480" t="str">
        <f t="shared" ca="1" si="615"/>
        <v>-</v>
      </c>
      <c r="BC1758" s="601" t="str">
        <f t="shared" ca="1" si="584"/>
        <v/>
      </c>
      <c r="BD1758" s="480" t="str">
        <f t="shared" ca="1" si="616"/>
        <v>-</v>
      </c>
      <c r="BE1758" s="477" t="str">
        <f t="shared" ca="1" si="585"/>
        <v/>
      </c>
      <c r="BF1758" s="480" t="str">
        <f t="shared" ca="1" si="617"/>
        <v>-</v>
      </c>
      <c r="BG1758" s="488" t="str">
        <f t="shared" ca="1" si="618"/>
        <v/>
      </c>
      <c r="BH1758" s="483" t="str">
        <f t="shared" ca="1" si="619"/>
        <v/>
      </c>
      <c r="BI1758" s="483" t="str">
        <f t="shared" ca="1" si="620"/>
        <v/>
      </c>
      <c r="BJ1758" s="635" t="str">
        <f t="shared" ca="1" si="621"/>
        <v/>
      </c>
      <c r="BK1758" s="34" t="str">
        <f t="shared" ca="1" si="622"/>
        <v/>
      </c>
      <c r="BL1758" s="92" t="e">
        <f t="shared" ca="1" si="586"/>
        <v>#VALUE!</v>
      </c>
      <c r="BM1758" s="6" t="str">
        <f t="shared" ca="1" si="623"/>
        <v/>
      </c>
      <c r="BN1758" s="6" t="e">
        <f t="shared" ca="1" si="587"/>
        <v>#VALUE!</v>
      </c>
      <c r="BO1758" s="6" t="str">
        <f t="shared" ca="1" si="624"/>
        <v/>
      </c>
      <c r="BP1758" s="6" t="e">
        <f t="shared" ca="1" si="588"/>
        <v>#VALUE!</v>
      </c>
      <c r="BQ1758" s="56" t="str">
        <f t="shared" ca="1" si="625"/>
        <v/>
      </c>
      <c r="BR1758" s="667" t="str">
        <f t="shared" si="626"/>
        <v/>
      </c>
      <c r="BS1758" s="487" t="str">
        <f t="shared" ca="1" si="627"/>
        <v/>
      </c>
      <c r="BT1758" s="487" t="str">
        <f t="shared" ca="1" si="628"/>
        <v/>
      </c>
      <c r="BU1758" s="668" t="str">
        <f t="shared" ca="1" si="629"/>
        <v/>
      </c>
    </row>
    <row r="1759" spans="1:73" hidden="1" outlineLevel="1" x14ac:dyDescent="0.25"/>
    <row r="1760" spans="1:73" collapsed="1" x14ac:dyDescent="0.25"/>
  </sheetData>
  <sortState ref="M1370:Q1392">
    <sortCondition ref="Q1386:Q1408"/>
  </sortState>
  <mergeCells count="72">
    <mergeCell ref="CX1503:CX1561"/>
    <mergeCell ref="AK1503:AW1503"/>
    <mergeCell ref="O1216:O1259"/>
    <mergeCell ref="C1211:D1211"/>
    <mergeCell ref="E1211:F1211"/>
    <mergeCell ref="G1211:H1211"/>
    <mergeCell ref="I1211:J1211"/>
    <mergeCell ref="C1503:AJ1503"/>
    <mergeCell ref="BL1501:BM1501"/>
    <mergeCell ref="W1365:AF1365"/>
    <mergeCell ref="BK1503:CS1503"/>
    <mergeCell ref="BI506:BM506"/>
    <mergeCell ref="BN506:BR506"/>
    <mergeCell ref="B562:B610"/>
    <mergeCell ref="B614:B662"/>
    <mergeCell ref="T561:T604"/>
    <mergeCell ref="BD506:BH506"/>
    <mergeCell ref="AT506:AX506"/>
    <mergeCell ref="AY506:BC506"/>
    <mergeCell ref="Y373:Z373"/>
    <mergeCell ref="AA373:AB373"/>
    <mergeCell ref="AC373:AD373"/>
    <mergeCell ref="AE373:AF373"/>
    <mergeCell ref="AG373:AH373"/>
    <mergeCell ref="A71:A118"/>
    <mergeCell ref="A123:A170"/>
    <mergeCell ref="AA319:AB319"/>
    <mergeCell ref="AK369:AL369"/>
    <mergeCell ref="AM369:AN369"/>
    <mergeCell ref="AF330:AG330"/>
    <mergeCell ref="AC319:AD319"/>
    <mergeCell ref="AE319:AF319"/>
    <mergeCell ref="AG319:AH319"/>
    <mergeCell ref="Y319:Z319"/>
    <mergeCell ref="N71:N114"/>
    <mergeCell ref="AO369:AP369"/>
    <mergeCell ref="Y332:Z332"/>
    <mergeCell ref="AA332:AB332"/>
    <mergeCell ref="AC332:AD332"/>
    <mergeCell ref="AE332:AF332"/>
    <mergeCell ref="AG332:AH332"/>
    <mergeCell ref="Y369:Z369"/>
    <mergeCell ref="AA369:AB369"/>
    <mergeCell ref="AC369:AD369"/>
    <mergeCell ref="AE369:AF369"/>
    <mergeCell ref="AG369:AH369"/>
    <mergeCell ref="AI369:AJ369"/>
    <mergeCell ref="T364:AZ364"/>
    <mergeCell ref="AF384:AG384"/>
    <mergeCell ref="Y386:Z386"/>
    <mergeCell ref="AA386:AB386"/>
    <mergeCell ref="AC386:AD386"/>
    <mergeCell ref="AE386:AF386"/>
    <mergeCell ref="AG386:AH386"/>
    <mergeCell ref="AI473:AJ473"/>
    <mergeCell ref="AO506:AS506"/>
    <mergeCell ref="A1039:A1086"/>
    <mergeCell ref="H1040:H1083"/>
    <mergeCell ref="G1036:G1037"/>
    <mergeCell ref="Q447:Q490"/>
    <mergeCell ref="B448:B496"/>
    <mergeCell ref="B500:B548"/>
    <mergeCell ref="A850:A897"/>
    <mergeCell ref="A799:A846"/>
    <mergeCell ref="H800:H843"/>
    <mergeCell ref="BL1727:BM1727"/>
    <mergeCell ref="K1207:K1208"/>
    <mergeCell ref="A1090:A1137"/>
    <mergeCell ref="C1728:AJ1728"/>
    <mergeCell ref="AK1729:AW1729"/>
    <mergeCell ref="AX1503:BJ1503"/>
    <mergeCell ref="AX1729:BJ1729"/>
  </mergeCells>
  <conditionalFormatting sqref="D1264:D1311">
    <cfRule type="cellIs" dxfId="41" priority="41" operator="equal">
      <formula>1</formula>
    </cfRule>
  </conditionalFormatting>
  <conditionalFormatting sqref="C1090:C1137">
    <cfRule type="cellIs" dxfId="40" priority="37" operator="equal">
      <formula>1</formula>
    </cfRule>
  </conditionalFormatting>
  <conditionalFormatting sqref="F1264:F1311">
    <cfRule type="cellIs" dxfId="39" priority="40" operator="equal">
      <formula>1</formula>
    </cfRule>
  </conditionalFormatting>
  <conditionalFormatting sqref="J1264:J1311">
    <cfRule type="cellIs" dxfId="38" priority="38" operator="equal">
      <formula>1</formula>
    </cfRule>
  </conditionalFormatting>
  <conditionalFormatting sqref="H1264:H1311">
    <cfRule type="cellIs" dxfId="37" priority="39" operator="equal">
      <formula>1</formula>
    </cfRule>
  </conditionalFormatting>
  <conditionalFormatting sqref="C1038:C1086">
    <cfRule type="cellIs" dxfId="36" priority="36" operator="equal">
      <formula>1</formula>
    </cfRule>
  </conditionalFormatting>
  <conditionalFormatting sqref="BM1502">
    <cfRule type="cellIs" dxfId="35" priority="35" operator="equal">
      <formula>1</formula>
    </cfRule>
  </conditionalFormatting>
  <conditionalFormatting sqref="BN1728">
    <cfRule type="cellIs" dxfId="34" priority="34" operator="equal">
      <formula>1</formula>
    </cfRule>
  </conditionalFormatting>
  <conditionalFormatting sqref="M1054:M1067">
    <cfRule type="cellIs" dxfId="33" priority="33" operator="equal">
      <formula>1</formula>
    </cfRule>
  </conditionalFormatting>
  <conditionalFormatting sqref="C71">
    <cfRule type="cellIs" dxfId="32" priority="32" operator="equal">
      <formula>1</formula>
    </cfRule>
  </conditionalFormatting>
  <conditionalFormatting sqref="C72:C118">
    <cfRule type="cellIs" dxfId="31" priority="31" operator="equal">
      <formula>1</formula>
    </cfRule>
  </conditionalFormatting>
  <conditionalFormatting sqref="E71:E118">
    <cfRule type="cellIs" dxfId="30" priority="30" operator="equal">
      <formula>1</formula>
    </cfRule>
  </conditionalFormatting>
  <conditionalFormatting sqref="G71:G118">
    <cfRule type="cellIs" dxfId="29" priority="29" operator="equal">
      <formula>1</formula>
    </cfRule>
  </conditionalFormatting>
  <conditionalFormatting sqref="I71:I118">
    <cfRule type="cellIs" dxfId="28" priority="28" operator="equal">
      <formula>1</formula>
    </cfRule>
  </conditionalFormatting>
  <conditionalFormatting sqref="R77:R91">
    <cfRule type="cellIs" dxfId="27" priority="27" operator="equal">
      <formula>1</formula>
    </cfRule>
  </conditionalFormatting>
  <conditionalFormatting sqref="T77:T91">
    <cfRule type="cellIs" dxfId="26" priority="26" operator="equal">
      <formula>1</formula>
    </cfRule>
  </conditionalFormatting>
  <conditionalFormatting sqref="V77:V91">
    <cfRule type="cellIs" dxfId="25" priority="25" operator="equal">
      <formula>1</formula>
    </cfRule>
  </conditionalFormatting>
  <conditionalFormatting sqref="X77:X91">
    <cfRule type="cellIs" dxfId="24" priority="24" operator="equal">
      <formula>1</formula>
    </cfRule>
  </conditionalFormatting>
  <conditionalFormatting sqref="I123:I170">
    <cfRule type="cellIs" dxfId="23" priority="23" operator="equal">
      <formula>1</formula>
    </cfRule>
  </conditionalFormatting>
  <conditionalFormatting sqref="G123:G170">
    <cfRule type="cellIs" dxfId="22" priority="22" operator="equal">
      <formula>1</formula>
    </cfRule>
  </conditionalFormatting>
  <conditionalFormatting sqref="E123:E170">
    <cfRule type="cellIs" dxfId="21" priority="21" operator="equal">
      <formula>1</formula>
    </cfRule>
  </conditionalFormatting>
  <conditionalFormatting sqref="C123:C170">
    <cfRule type="cellIs" dxfId="20" priority="20" operator="equal">
      <formula>1</formula>
    </cfRule>
  </conditionalFormatting>
  <conditionalFormatting sqref="D447:D496">
    <cfRule type="cellIs" dxfId="19" priority="19" operator="equal">
      <formula>1</formula>
    </cfRule>
  </conditionalFormatting>
  <conditionalFormatting sqref="D500:D548">
    <cfRule type="cellIs" dxfId="18" priority="18" operator="equal">
      <formula>1</formula>
    </cfRule>
  </conditionalFormatting>
  <conditionalFormatting sqref="D561:D610">
    <cfRule type="cellIs" dxfId="17" priority="17" operator="equal">
      <formula>1</formula>
    </cfRule>
  </conditionalFormatting>
  <conditionalFormatting sqref="D614:D662">
    <cfRule type="cellIs" dxfId="16" priority="16" operator="equal">
      <formula>1</formula>
    </cfRule>
  </conditionalFormatting>
  <conditionalFormatting sqref="C798:C846">
    <cfRule type="cellIs" dxfId="15" priority="15" operator="equal">
      <formula>1</formula>
    </cfRule>
  </conditionalFormatting>
  <conditionalFormatting sqref="C850:C897">
    <cfRule type="cellIs" dxfId="14" priority="14" operator="equal">
      <formula>1</formula>
    </cfRule>
  </conditionalFormatting>
  <conditionalFormatting sqref="D1212:D1260">
    <cfRule type="cellIs" dxfId="13" priority="13" operator="equal">
      <formula>1</formula>
    </cfRule>
  </conditionalFormatting>
  <conditionalFormatting sqref="F1212:F1260">
    <cfRule type="cellIs" dxfId="12" priority="12" operator="equal">
      <formula>1</formula>
    </cfRule>
  </conditionalFormatting>
  <conditionalFormatting sqref="H1212:H1260">
    <cfRule type="cellIs" dxfId="11" priority="11" operator="equal">
      <formula>1</formula>
    </cfRule>
  </conditionalFormatting>
  <conditionalFormatting sqref="J1212:J1260">
    <cfRule type="cellIs" dxfId="10" priority="10" operator="equal">
      <formula>1</formula>
    </cfRule>
  </conditionalFormatting>
  <conditionalFormatting sqref="I70">
    <cfRule type="cellIs" dxfId="9" priority="9" operator="equal">
      <formula>1</formula>
    </cfRule>
  </conditionalFormatting>
  <conditionalFormatting sqref="G70">
    <cfRule type="cellIs" dxfId="8" priority="8" operator="equal">
      <formula>1</formula>
    </cfRule>
  </conditionalFormatting>
  <conditionalFormatting sqref="E70">
    <cfRule type="cellIs" dxfId="7" priority="7" operator="equal">
      <formula>1</formula>
    </cfRule>
  </conditionalFormatting>
  <conditionalFormatting sqref="C70">
    <cfRule type="cellIs" dxfId="6" priority="6" operator="equal">
      <formula>1</formula>
    </cfRule>
  </conditionalFormatting>
  <conditionalFormatting sqref="S1211:S1214">
    <cfRule type="cellIs" dxfId="5" priority="5" operator="equal">
      <formula>1</formula>
    </cfRule>
  </conditionalFormatting>
  <conditionalFormatting sqref="U1211:U1214">
    <cfRule type="cellIs" dxfId="4" priority="4" operator="equal">
      <formula>1</formula>
    </cfRule>
  </conditionalFormatting>
  <conditionalFormatting sqref="W1211:W1214">
    <cfRule type="cellIs" dxfId="3" priority="3" operator="equal">
      <formula>1</formula>
    </cfRule>
  </conditionalFormatting>
  <conditionalFormatting sqref="Y1211:Y1214">
    <cfRule type="cellIs" dxfId="2" priority="2" operator="equal">
      <formula>1</formula>
    </cfRule>
  </conditionalFormatting>
  <conditionalFormatting sqref="AA1211:AA1214">
    <cfRule type="cellIs" dxfId="1" priority="1" operator="equal">
      <formula>1</formula>
    </cfRule>
  </conditionalFormatting>
  <printOptions gridLines="1"/>
  <pageMargins left="0.7" right="0.7" top="0.78740157499999996" bottom="0.78740157499999996" header="0.3" footer="0.3"/>
  <pageSetup paperSize="9" orientation="portrait" horizontalDpi="0" verticalDpi="0" r:id="rId1"/>
  <ignoredErrors>
    <ignoredError sqref="K907" twoDigitTextYear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8">
    <tabColor rgb="FFFFC000"/>
  </sheetPr>
  <dimension ref="A1:BZ159"/>
  <sheetViews>
    <sheetView zoomScaleNormal="100" workbookViewId="0">
      <pane xSplit="3" ySplit="3" topLeftCell="AV4" activePane="bottomRight" state="frozen"/>
      <selection pane="topRight" activeCell="D1" sqref="D1"/>
      <selection pane="bottomLeft" activeCell="A4" sqref="A4"/>
      <selection pane="bottomRight" activeCell="Q4" sqref="Q4"/>
    </sheetView>
  </sheetViews>
  <sheetFormatPr baseColWidth="10" defaultColWidth="6.5703125" defaultRowHeight="15" x14ac:dyDescent="0.25"/>
  <cols>
    <col min="2" max="2" width="6.5703125" style="416"/>
    <col min="3" max="3" width="6.5703125" style="413"/>
    <col min="4" max="4" width="8.7109375" style="71" bestFit="1" customWidth="1"/>
    <col min="5" max="5" width="6.5703125" style="71"/>
    <col min="6" max="6" width="7.7109375" style="71" bestFit="1" customWidth="1"/>
    <col min="7" max="7" width="7.7109375" style="71" customWidth="1"/>
    <col min="8" max="15" width="7.7109375" style="71" hidden="1" customWidth="1"/>
    <col min="16" max="16" width="6.5703125" style="71" customWidth="1"/>
    <col min="17" max="17" width="6.85546875" style="374" customWidth="1"/>
    <col min="18" max="31" width="6.5703125" style="374"/>
    <col min="32" max="38" width="11.5703125" style="374" customWidth="1"/>
    <col min="39" max="39" width="11.5703125" style="514" customWidth="1"/>
    <col min="40" max="43" width="6.5703125" style="18" customWidth="1"/>
    <col min="44" max="44" width="6.5703125" style="415" customWidth="1"/>
    <col min="45" max="45" width="6.5703125" style="416" customWidth="1"/>
    <col min="46" max="46" width="6.5703125" style="18" customWidth="1"/>
    <col min="47" max="48" width="6.5703125" style="493" customWidth="1"/>
    <col min="49" max="49" width="6.5703125" style="499" customWidth="1"/>
    <col min="50" max="51" width="6.5703125" style="493" customWidth="1"/>
    <col min="52" max="52" width="6.5703125" style="499" customWidth="1"/>
    <col min="53" max="55" width="6.5703125" style="493" customWidth="1"/>
    <col min="56" max="56" width="6.5703125" style="499" customWidth="1"/>
    <col min="57" max="57" width="6.5703125" style="503" customWidth="1"/>
    <col min="58" max="65" width="6.5703125" style="493" customWidth="1"/>
    <col min="66" max="66" width="6.5703125" style="499" customWidth="1"/>
    <col min="67" max="74" width="6.5703125" style="503" customWidth="1"/>
    <col min="75" max="75" width="6.5703125" style="504" customWidth="1"/>
    <col min="76" max="77" width="6.5703125" style="498" customWidth="1"/>
    <col min="78" max="78" width="6.5703125" style="499" customWidth="1"/>
  </cols>
  <sheetData>
    <row r="1" spans="1:78" x14ac:dyDescent="0.25">
      <c r="Q1" s="374">
        <v>1</v>
      </c>
      <c r="R1" s="374">
        <v>2</v>
      </c>
      <c r="S1" s="374">
        <v>3</v>
      </c>
      <c r="T1" s="374">
        <v>4</v>
      </c>
      <c r="U1" s="374">
        <v>5</v>
      </c>
      <c r="V1" s="374">
        <v>6</v>
      </c>
      <c r="W1" s="374">
        <v>7</v>
      </c>
      <c r="X1" s="374">
        <v>8</v>
      </c>
      <c r="Y1" s="374">
        <v>9</v>
      </c>
      <c r="Z1" s="374">
        <v>10</v>
      </c>
      <c r="AA1" s="374">
        <v>11</v>
      </c>
      <c r="AB1" s="374">
        <v>12</v>
      </c>
      <c r="AC1" s="374">
        <v>13</v>
      </c>
      <c r="AD1" s="374">
        <v>14</v>
      </c>
      <c r="AE1" s="374">
        <v>15</v>
      </c>
      <c r="AF1" s="374">
        <v>16</v>
      </c>
      <c r="AG1" s="374">
        <v>17</v>
      </c>
      <c r="AH1" s="374">
        <v>18</v>
      </c>
      <c r="AI1" s="374">
        <v>19</v>
      </c>
      <c r="AJ1" s="374">
        <v>20</v>
      </c>
      <c r="AK1" s="374">
        <v>21</v>
      </c>
      <c r="AL1" s="374">
        <v>22</v>
      </c>
      <c r="AM1" s="514">
        <v>23</v>
      </c>
    </row>
    <row r="2" spans="1:78" ht="104.25" x14ac:dyDescent="0.25">
      <c r="D2" s="397" t="s">
        <v>1972</v>
      </c>
      <c r="E2" s="397" t="s">
        <v>1973</v>
      </c>
      <c r="F2" s="397" t="s">
        <v>1974</v>
      </c>
      <c r="G2" s="397" t="s">
        <v>1975</v>
      </c>
      <c r="H2" s="397" t="s">
        <v>2010</v>
      </c>
      <c r="I2" s="581" t="s">
        <v>2011</v>
      </c>
      <c r="J2" s="397" t="s">
        <v>2012</v>
      </c>
      <c r="K2" s="397" t="s">
        <v>2013</v>
      </c>
      <c r="L2" s="397" t="s">
        <v>1264</v>
      </c>
      <c r="M2" s="397" t="s">
        <v>2014</v>
      </c>
      <c r="N2" s="397" t="s">
        <v>2015</v>
      </c>
      <c r="O2" s="397" t="s">
        <v>2016</v>
      </c>
      <c r="P2" s="397" t="s">
        <v>1976</v>
      </c>
      <c r="Q2" s="515" t="str">
        <f>select!J10</f>
        <v>Tiomos 110°</v>
      </c>
      <c r="R2" s="515" t="str">
        <f>select!J11</f>
        <v>Tiomos 120°</v>
      </c>
      <c r="S2" s="515" t="str">
        <f>select!J12</f>
        <v>Tiomos 160°</v>
      </c>
      <c r="T2" s="515" t="str">
        <f>select!J13</f>
        <v>Tiomos 95°</v>
      </c>
      <c r="U2" s="515" t="str">
        <f>select!J14</f>
        <v>Tiomos 110/90A</v>
      </c>
      <c r="V2" s="515" t="str">
        <f>select!J15</f>
        <v>Tiomos 110/90E</v>
      </c>
      <c r="W2" s="515" t="str">
        <f>select!J16</f>
        <v>Tiomos 110/30A</v>
      </c>
      <c r="X2" s="515" t="str">
        <f>select!J17</f>
        <v>Tiomos 110/30E</v>
      </c>
      <c r="Y2" s="515" t="str">
        <f>select!J18</f>
        <v>Tiomos 110/37A</v>
      </c>
      <c r="Z2" s="515" t="str">
        <f>select!J19</f>
        <v>Tiomos 110/37E</v>
      </c>
      <c r="AA2" s="515" t="str">
        <f>select!J20</f>
        <v>Tiomos 110/45A</v>
      </c>
      <c r="AB2" s="515" t="str">
        <f>select!J21</f>
        <v>Tiomos 110/45E</v>
      </c>
      <c r="AC2" s="515" t="str">
        <f>select!J22</f>
        <v>Tiomos 120/-15A</v>
      </c>
      <c r="AD2" s="515" t="str">
        <f>select!J23</f>
        <v>Tiomos 120/-30A</v>
      </c>
      <c r="AE2" s="515" t="str">
        <f>select!J24</f>
        <v>Tiomos 120/-45A</v>
      </c>
      <c r="AF2" s="515" t="str">
        <f>select!J25</f>
        <v>Tiomos 100</v>
      </c>
      <c r="AG2" s="515" t="str">
        <f>select!J26</f>
        <v>Tiomos PCC</v>
      </c>
      <c r="AH2" s="515" t="str">
        <f>select!J27</f>
        <v>Tiomos 95 Mini</v>
      </c>
      <c r="AI2" s="515" t="str">
        <f>select!J28</f>
        <v>Tiomos M9</v>
      </c>
      <c r="AJ2" s="515" t="str">
        <f>select!J29</f>
        <v>Tiomos M0</v>
      </c>
      <c r="AK2" s="515" t="str">
        <f>select!J30</f>
        <v>Tiomos 95 GL  Mini</v>
      </c>
      <c r="AL2" s="515" t="str">
        <f>select!J31</f>
        <v>Tiomos Mirro Spiegel</v>
      </c>
      <c r="AM2" s="516" t="str">
        <f>select!J32</f>
        <v>Tiomos 110 AL</v>
      </c>
      <c r="AN2" s="417" t="s">
        <v>1967</v>
      </c>
      <c r="AO2" s="417" t="s">
        <v>1968</v>
      </c>
      <c r="AP2" s="417" t="s">
        <v>1969</v>
      </c>
      <c r="AQ2" s="417" t="s">
        <v>1970</v>
      </c>
      <c r="AR2" s="418" t="s">
        <v>1966</v>
      </c>
      <c r="AS2" s="419" t="s">
        <v>1978</v>
      </c>
      <c r="AT2" s="419" t="s">
        <v>1979</v>
      </c>
      <c r="AU2" s="494" t="s">
        <v>1980</v>
      </c>
      <c r="AV2" s="494" t="s">
        <v>1981</v>
      </c>
      <c r="AW2" s="500" t="s">
        <v>1982</v>
      </c>
      <c r="AX2" s="494" t="s">
        <v>1984</v>
      </c>
      <c r="AY2" s="494" t="s">
        <v>1985</v>
      </c>
      <c r="AZ2" s="500" t="s">
        <v>1986</v>
      </c>
      <c r="BA2" s="494" t="s">
        <v>1987</v>
      </c>
      <c r="BB2" s="494" t="s">
        <v>1988</v>
      </c>
      <c r="BC2" s="494" t="s">
        <v>1989</v>
      </c>
      <c r="BD2" s="500" t="s">
        <v>1990</v>
      </c>
      <c r="BE2" s="505" t="s">
        <v>1983</v>
      </c>
      <c r="BF2" s="494" t="s">
        <v>1991</v>
      </c>
      <c r="BG2" s="494" t="s">
        <v>1992</v>
      </c>
      <c r="BH2" s="494" t="s">
        <v>1993</v>
      </c>
      <c r="BI2" s="494" t="s">
        <v>1994</v>
      </c>
      <c r="BJ2" s="494" t="s">
        <v>1995</v>
      </c>
      <c r="BK2" s="494" t="s">
        <v>1996</v>
      </c>
      <c r="BL2" s="494" t="s">
        <v>1997</v>
      </c>
      <c r="BM2" s="494" t="s">
        <v>1998</v>
      </c>
      <c r="BN2" s="500" t="s">
        <v>1999</v>
      </c>
      <c r="BO2" s="505" t="s">
        <v>2000</v>
      </c>
      <c r="BP2" s="505" t="s">
        <v>1788</v>
      </c>
      <c r="BQ2" s="505" t="s">
        <v>1858</v>
      </c>
      <c r="BR2" s="505" t="s">
        <v>2001</v>
      </c>
      <c r="BS2" s="505" t="s">
        <v>1860</v>
      </c>
      <c r="BT2" s="505" t="s">
        <v>1861</v>
      </c>
      <c r="BU2" s="505" t="s">
        <v>2002</v>
      </c>
      <c r="BV2" s="505" t="s">
        <v>2003</v>
      </c>
      <c r="BW2" s="506" t="s">
        <v>2004</v>
      </c>
      <c r="BX2" s="494" t="s">
        <v>2005</v>
      </c>
      <c r="BY2" s="494" t="s">
        <v>2006</v>
      </c>
      <c r="BZ2" s="500" t="s">
        <v>2007</v>
      </c>
    </row>
    <row r="3" spans="1:78" s="303" customFormat="1" x14ac:dyDescent="0.25">
      <c r="B3" s="409"/>
      <c r="C3" s="408">
        <f>ROW()</f>
        <v>3</v>
      </c>
      <c r="D3" s="410">
        <f ca="1">VLOOKUP(select!B1388,rand!C4:G36,2,FALSE)</f>
        <v>1</v>
      </c>
      <c r="E3" s="410">
        <f ca="1">VLOOKUP(select!B1388,rand!C4:G36,3,FALSE)</f>
        <v>1</v>
      </c>
      <c r="F3" s="410">
        <f ca="1">VLOOKUP(select!B1388,rand!C4:G36,4,FALSE)</f>
        <v>1</v>
      </c>
      <c r="G3" s="410">
        <f ca="1">VLOOKUP(select!B1388,rand!C4:G36,5,FALSE)</f>
        <v>1</v>
      </c>
      <c r="H3" s="410"/>
      <c r="I3" s="410"/>
      <c r="J3" s="410"/>
      <c r="K3" s="410"/>
      <c r="L3" s="410"/>
      <c r="M3" s="410"/>
      <c r="N3" s="410"/>
      <c r="O3" s="410"/>
      <c r="P3" s="412"/>
      <c r="Q3" s="517" t="str">
        <f ca="1">Sprache!A160</f>
        <v>Türstärke</v>
      </c>
      <c r="R3" s="517" t="str">
        <f t="shared" ref="R3:AL3" ca="1" si="0">Q3</f>
        <v>Türstärke</v>
      </c>
      <c r="S3" s="517" t="str">
        <f t="shared" ca="1" si="0"/>
        <v>Türstärke</v>
      </c>
      <c r="T3" s="517" t="str">
        <f t="shared" ca="1" si="0"/>
        <v>Türstärke</v>
      </c>
      <c r="U3" s="517" t="str">
        <f t="shared" ca="1" si="0"/>
        <v>Türstärke</v>
      </c>
      <c r="V3" s="517" t="str">
        <f t="shared" ca="1" si="0"/>
        <v>Türstärke</v>
      </c>
      <c r="W3" s="517" t="str">
        <f t="shared" ca="1" si="0"/>
        <v>Türstärke</v>
      </c>
      <c r="X3" s="517" t="str">
        <f t="shared" ca="1" si="0"/>
        <v>Türstärke</v>
      </c>
      <c r="Y3" s="517" t="str">
        <f t="shared" ca="1" si="0"/>
        <v>Türstärke</v>
      </c>
      <c r="Z3" s="517" t="str">
        <f t="shared" ca="1" si="0"/>
        <v>Türstärke</v>
      </c>
      <c r="AA3" s="517" t="str">
        <f t="shared" ca="1" si="0"/>
        <v>Türstärke</v>
      </c>
      <c r="AB3" s="517" t="str">
        <f t="shared" ca="1" si="0"/>
        <v>Türstärke</v>
      </c>
      <c r="AC3" s="517" t="str">
        <f t="shared" ca="1" si="0"/>
        <v>Türstärke</v>
      </c>
      <c r="AD3" s="517" t="str">
        <f t="shared" ca="1" si="0"/>
        <v>Türstärke</v>
      </c>
      <c r="AE3" s="517" t="str">
        <f t="shared" ca="1" si="0"/>
        <v>Türstärke</v>
      </c>
      <c r="AF3" s="517" t="str">
        <f t="shared" ca="1" si="0"/>
        <v>Türstärke</v>
      </c>
      <c r="AG3" s="517" t="str">
        <f t="shared" ca="1" si="0"/>
        <v>Türstärke</v>
      </c>
      <c r="AH3" s="517" t="str">
        <f t="shared" ca="1" si="0"/>
        <v>Türstärke</v>
      </c>
      <c r="AI3" s="517" t="str">
        <f t="shared" ca="1" si="0"/>
        <v>Türstärke</v>
      </c>
      <c r="AJ3" s="517" t="str">
        <f t="shared" ca="1" si="0"/>
        <v>Türstärke</v>
      </c>
      <c r="AK3" s="517" t="str">
        <f t="shared" ca="1" si="0"/>
        <v>Türstärke</v>
      </c>
      <c r="AL3" s="517" t="str">
        <f t="shared" ca="1" si="0"/>
        <v>Türstärke</v>
      </c>
      <c r="AM3" s="517" t="str">
        <f ca="1">Sprache!A162</f>
        <v>Rahmenstärke</v>
      </c>
      <c r="AN3" s="403"/>
      <c r="AO3" s="403"/>
      <c r="AP3" s="403"/>
      <c r="AQ3" s="403"/>
      <c r="AR3" s="404"/>
      <c r="AS3" s="405"/>
      <c r="AT3" s="405"/>
      <c r="AU3" s="507"/>
      <c r="AV3" s="507"/>
      <c r="AW3" s="508"/>
      <c r="AX3" s="495"/>
      <c r="AY3" s="495"/>
      <c r="AZ3" s="501"/>
      <c r="BA3" s="495"/>
      <c r="BB3" s="495"/>
      <c r="BC3" s="495"/>
      <c r="BD3" s="501"/>
      <c r="BE3" s="509"/>
      <c r="BF3" s="495"/>
      <c r="BG3" s="495"/>
      <c r="BH3" s="495"/>
      <c r="BI3" s="495"/>
      <c r="BJ3" s="495"/>
      <c r="BK3" s="495"/>
      <c r="BL3" s="495"/>
      <c r="BM3" s="495"/>
      <c r="BN3" s="501"/>
      <c r="BO3" s="510"/>
      <c r="BP3" s="510"/>
      <c r="BQ3" s="510"/>
      <c r="BR3" s="510"/>
      <c r="BS3" s="510"/>
      <c r="BT3" s="510"/>
      <c r="BU3" s="510"/>
      <c r="BV3" s="510"/>
      <c r="BW3" s="511"/>
      <c r="BX3" s="497"/>
      <c r="BY3" s="497"/>
      <c r="BZ3" s="501"/>
    </row>
    <row r="4" spans="1:78" x14ac:dyDescent="0.25">
      <c r="A4" s="1095" t="s">
        <v>2166</v>
      </c>
      <c r="B4" s="551" t="str">
        <f ca="1">IFERROR(IF(P4&lt;&gt;1,select!$A$8,rand!C4),"")</f>
        <v>---------</v>
      </c>
      <c r="C4" s="413">
        <v>36</v>
      </c>
      <c r="D4" s="71" t="str">
        <f ca="1">IFERROR(OFFSET(P4,0,select!$M$1361),"")</f>
        <v/>
      </c>
      <c r="E4" s="71" t="str">
        <f ca="1">IFERROR(OFFSET(P4,0,select!$M$1362),"")</f>
        <v/>
      </c>
      <c r="F4" s="71" t="str">
        <f ca="1">IFERROR(OFFSET(P4,0,select!$M$1363),"")</f>
        <v/>
      </c>
      <c r="G4" s="71" t="str">
        <f ca="1">IFERROR(OFFSET(P4,0,select!$M$1364),"")</f>
        <v/>
      </c>
      <c r="P4" s="71" t="str">
        <f ca="1">IF(SUM(D4:G4)&gt;0,1,"")</f>
        <v/>
      </c>
      <c r="Q4" s="374" t="str">
        <f ca="1">IF(OR(select!$L$1347=110,select!$L$1347=120)=TRUE,IF(SUM(AN4:AQ4)&gt;0,1,""),IF(SUM(AN4:AR4)&gt;0,1,""))</f>
        <v/>
      </c>
      <c r="R4" s="374" t="str">
        <f ca="1">IF(OR(select!$L$1347=110,select!$L$1347=120)=TRUE,IF(SUM(AS4:AV4)&gt;0,1,""),IF(SUM(AS4:AW4)&gt;0,1,""))</f>
        <v/>
      </c>
      <c r="S4" s="374" t="str">
        <f>IF(SUM(AX4:AZ4)&gt;0,1,"")</f>
        <v/>
      </c>
      <c r="T4" s="374">
        <f>IF(SUM(BA4:BD4)&gt;0,1,"")</f>
        <v>1</v>
      </c>
      <c r="U4" s="374" t="str">
        <f t="shared" ref="U4:AL4" si="1">IF(SUM(BE4)&gt;0,1,"")</f>
        <v/>
      </c>
      <c r="V4" s="374" t="str">
        <f t="shared" si="1"/>
        <v/>
      </c>
      <c r="W4" s="374" t="str">
        <f t="shared" si="1"/>
        <v/>
      </c>
      <c r="X4" s="374" t="str">
        <f t="shared" si="1"/>
        <v/>
      </c>
      <c r="Y4" s="374" t="str">
        <f t="shared" si="1"/>
        <v/>
      </c>
      <c r="Z4" s="374" t="str">
        <f t="shared" si="1"/>
        <v/>
      </c>
      <c r="AA4" s="374" t="str">
        <f t="shared" si="1"/>
        <v/>
      </c>
      <c r="AB4" s="374" t="str">
        <f t="shared" si="1"/>
        <v/>
      </c>
      <c r="AC4" s="374" t="str">
        <f t="shared" si="1"/>
        <v/>
      </c>
      <c r="AD4" s="374" t="str">
        <f t="shared" si="1"/>
        <v/>
      </c>
      <c r="AE4" s="374" t="str">
        <f t="shared" si="1"/>
        <v/>
      </c>
      <c r="AF4" s="374" t="str">
        <f t="shared" si="1"/>
        <v/>
      </c>
      <c r="AG4" s="374" t="str">
        <f t="shared" si="1"/>
        <v/>
      </c>
      <c r="AH4" s="374" t="str">
        <f t="shared" si="1"/>
        <v/>
      </c>
      <c r="AI4" s="374" t="str">
        <f t="shared" si="1"/>
        <v/>
      </c>
      <c r="AJ4" s="374" t="str">
        <f t="shared" si="1"/>
        <v/>
      </c>
      <c r="AK4" s="374" t="str">
        <f t="shared" si="1"/>
        <v/>
      </c>
      <c r="AL4" s="374" t="str">
        <f t="shared" si="1"/>
        <v/>
      </c>
      <c r="AM4" s="514" t="str">
        <f>IF(SUM(BW4:BZ4)&gt;0,1,"")</f>
        <v/>
      </c>
      <c r="AR4" s="415">
        <v>1</v>
      </c>
      <c r="AW4" s="499">
        <v>1</v>
      </c>
      <c r="BA4" s="493">
        <v>1</v>
      </c>
    </row>
    <row r="5" spans="1:78" x14ac:dyDescent="0.25">
      <c r="A5" s="1095"/>
      <c r="B5" s="551" t="str">
        <f ca="1">IFERROR(IF(P5&lt;&gt;1,select!$A$8,rand!C5),"")</f>
        <v>---------</v>
      </c>
      <c r="C5" s="413">
        <v>35</v>
      </c>
      <c r="D5" s="71" t="str">
        <f ca="1">IFERROR(OFFSET(P5,0,select!$M$1361),"")</f>
        <v/>
      </c>
      <c r="E5" s="71" t="str">
        <f ca="1">IFERROR(OFFSET(P5,0,select!$M$1362),"")</f>
        <v/>
      </c>
      <c r="F5" s="71" t="str">
        <f ca="1">IFERROR(OFFSET(P5,0,select!$M$1363),"")</f>
        <v/>
      </c>
      <c r="G5" s="71" t="str">
        <f ca="1">IFERROR(OFFSET(P5,0,select!$M$1364),"")</f>
        <v/>
      </c>
      <c r="P5" s="71" t="str">
        <f t="shared" ref="P5:P36" ca="1" si="2">IF(SUM(D5:G5)&gt;0,1,"")</f>
        <v/>
      </c>
      <c r="Q5" s="374" t="str">
        <f ca="1">IF(OR(select!$L$1347=110,select!$L$1347=120)=TRUE,IF(SUM(AN5:AQ5)&gt;0,1,""),IF(SUM(AN5:AR5)&gt;0,1,""))</f>
        <v/>
      </c>
      <c r="R5" s="374" t="str">
        <f ca="1">IF(OR(select!$L$1347=110,select!$L$1347=120)=TRUE,IF(SUM(AS5:AV5)&gt;0,1,""),IF(SUM(AS5:AW5)&gt;0,1,""))</f>
        <v/>
      </c>
      <c r="S5" s="374" t="str">
        <f t="shared" ref="S5:S72" si="3">IF(SUM(AX5:AZ5)&gt;0,1,"")</f>
        <v/>
      </c>
      <c r="T5" s="374" t="str">
        <f t="shared" ref="T5:T72" si="4">IF(SUM(BA5:BD5)&gt;0,1,"")</f>
        <v/>
      </c>
      <c r="U5" s="374" t="str">
        <f t="shared" ref="U5:U71" si="5">IF(SUM(BE5)&gt;0,1,"")</f>
        <v/>
      </c>
      <c r="V5" s="374" t="str">
        <f t="shared" ref="V5:V72" si="6">IF(SUM(BF5)&gt;0,1,"")</f>
        <v/>
      </c>
      <c r="W5" s="374" t="str">
        <f t="shared" ref="W5:W72" si="7">IF(SUM(BG5)&gt;0,1,"")</f>
        <v/>
      </c>
      <c r="X5" s="374" t="str">
        <f t="shared" ref="X5:X72" si="8">IF(SUM(BH5)&gt;0,1,"")</f>
        <v/>
      </c>
      <c r="Y5" s="374" t="str">
        <f t="shared" ref="Y5:Y72" si="9">IF(SUM(BI5)&gt;0,1,"")</f>
        <v/>
      </c>
      <c r="Z5" s="374" t="str">
        <f t="shared" ref="Z5:Z70" si="10">IF(SUM(BJ5)&gt;0,1,"")</f>
        <v/>
      </c>
      <c r="AA5" s="374" t="str">
        <f t="shared" ref="AA5:AA70" si="11">IF(SUM(BK5)&gt;0,1,"")</f>
        <v/>
      </c>
      <c r="AB5" s="374" t="str">
        <f t="shared" ref="AB5:AB70" si="12">IF(SUM(BL5)&gt;0,1,"")</f>
        <v/>
      </c>
      <c r="AC5" s="374" t="str">
        <f t="shared" ref="AC5:AC70" si="13">IF(SUM(BM5)&gt;0,1,"")</f>
        <v/>
      </c>
      <c r="AD5" s="374" t="str">
        <f t="shared" ref="AD5:AD70" si="14">IF(SUM(BN5)&gt;0,1,"")</f>
        <v/>
      </c>
      <c r="AE5" s="374" t="str">
        <f t="shared" ref="AE5:AE70" si="15">IF(SUM(BO5)&gt;0,1,"")</f>
        <v/>
      </c>
      <c r="AF5" s="374" t="str">
        <f t="shared" ref="AF5:AF70" si="16">IF(SUM(BP5)&gt;0,1,"")</f>
        <v/>
      </c>
      <c r="AG5" s="374" t="str">
        <f t="shared" ref="AG5:AG70" si="17">IF(SUM(BQ5)&gt;0,1,"")</f>
        <v/>
      </c>
      <c r="AH5" s="374" t="str">
        <f t="shared" ref="AH5:AH70" si="18">IF(SUM(BR5)&gt;0,1,"")</f>
        <v/>
      </c>
      <c r="AI5" s="374" t="str">
        <f t="shared" ref="AI5:AI70" si="19">IF(SUM(BS5)&gt;0,1,"")</f>
        <v/>
      </c>
      <c r="AJ5" s="374" t="str">
        <f t="shared" ref="AJ5:AJ70" si="20">IF(SUM(BT5)&gt;0,1,"")</f>
        <v/>
      </c>
      <c r="AK5" s="374" t="str">
        <f t="shared" ref="AK5:AK70" si="21">IF(SUM(BU5)&gt;0,1,"")</f>
        <v/>
      </c>
      <c r="AL5" s="374" t="str">
        <f t="shared" ref="AL5:AL70" si="22">IF(SUM(BV5)&gt;0,1,"")</f>
        <v/>
      </c>
      <c r="AM5" s="514" t="str">
        <f t="shared" ref="AM5:AM70" si="23">IF(SUM(BW5:BZ5)&gt;0,1,"")</f>
        <v/>
      </c>
    </row>
    <row r="6" spans="1:78" x14ac:dyDescent="0.25">
      <c r="A6" s="1095"/>
      <c r="B6" s="551" t="str">
        <f ca="1">IFERROR(IF(P6&lt;&gt;1,select!$A$8,rand!C6),"")</f>
        <v>---------</v>
      </c>
      <c r="C6" s="413">
        <v>34</v>
      </c>
      <c r="D6" s="71" t="str">
        <f ca="1">IFERROR(OFFSET(P6,0,select!$M$1361),"")</f>
        <v/>
      </c>
      <c r="E6" s="71" t="str">
        <f ca="1">IFERROR(OFFSET(P6,0,select!$M$1362),"")</f>
        <v/>
      </c>
      <c r="F6" s="71" t="str">
        <f ca="1">IFERROR(OFFSET(P6,0,select!$M$1363),"")</f>
        <v/>
      </c>
      <c r="G6" s="71" t="str">
        <f ca="1">IFERROR(OFFSET(P6,0,select!$M$1364),"")</f>
        <v/>
      </c>
      <c r="P6" s="71" t="str">
        <f t="shared" ca="1" si="2"/>
        <v/>
      </c>
      <c r="Q6" s="374" t="str">
        <f ca="1">IF(OR(select!$L$1347=110,select!$L$1347=120)=TRUE,IF(SUM(AN6:AQ6)&gt;0,1,""),IF(SUM(AN6:AR6)&gt;0,1,""))</f>
        <v/>
      </c>
      <c r="R6" s="374" t="str">
        <f ca="1">IF(OR(select!$L$1347=110,select!$L$1347=120)=TRUE,IF(SUM(AS6:AV6)&gt;0,1,""),IF(SUM(AS6:AW6)&gt;0,1,""))</f>
        <v/>
      </c>
      <c r="S6" s="374" t="str">
        <f t="shared" si="3"/>
        <v/>
      </c>
      <c r="T6" s="374" t="str">
        <f t="shared" si="4"/>
        <v/>
      </c>
      <c r="U6" s="374" t="str">
        <f t="shared" si="5"/>
        <v/>
      </c>
      <c r="V6" s="374" t="str">
        <f t="shared" si="6"/>
        <v/>
      </c>
      <c r="W6" s="374" t="str">
        <f t="shared" si="7"/>
        <v/>
      </c>
      <c r="X6" s="374" t="str">
        <f t="shared" si="8"/>
        <v/>
      </c>
      <c r="Y6" s="374" t="str">
        <f t="shared" si="9"/>
        <v/>
      </c>
      <c r="Z6" s="374" t="str">
        <f t="shared" si="10"/>
        <v/>
      </c>
      <c r="AA6" s="374" t="str">
        <f t="shared" si="11"/>
        <v/>
      </c>
      <c r="AB6" s="374" t="str">
        <f t="shared" si="12"/>
        <v/>
      </c>
      <c r="AC6" s="374" t="str">
        <f t="shared" si="13"/>
        <v/>
      </c>
      <c r="AD6" s="374" t="str">
        <f t="shared" si="14"/>
        <v/>
      </c>
      <c r="AE6" s="374" t="str">
        <f t="shared" si="15"/>
        <v/>
      </c>
      <c r="AF6" s="374" t="str">
        <f t="shared" si="16"/>
        <v/>
      </c>
      <c r="AG6" s="374" t="str">
        <f t="shared" si="17"/>
        <v/>
      </c>
      <c r="AH6" s="374" t="str">
        <f t="shared" si="18"/>
        <v/>
      </c>
      <c r="AI6" s="374" t="str">
        <f t="shared" si="19"/>
        <v/>
      </c>
      <c r="AJ6" s="374" t="str">
        <f t="shared" si="20"/>
        <v/>
      </c>
      <c r="AK6" s="374" t="str">
        <f t="shared" si="21"/>
        <v/>
      </c>
      <c r="AL6" s="374" t="str">
        <f t="shared" si="22"/>
        <v/>
      </c>
      <c r="AM6" s="514" t="str">
        <f t="shared" si="23"/>
        <v/>
      </c>
    </row>
    <row r="7" spans="1:78" x14ac:dyDescent="0.25">
      <c r="A7" s="1095"/>
      <c r="B7" s="551" t="str">
        <f ca="1">IFERROR(IF(P7&lt;&gt;1,select!$A$8,rand!C7),"")</f>
        <v>---------</v>
      </c>
      <c r="C7" s="413">
        <v>33</v>
      </c>
      <c r="D7" s="71" t="str">
        <f ca="1">IFERROR(OFFSET(P7,0,select!$M$1361),"")</f>
        <v/>
      </c>
      <c r="E7" s="71" t="str">
        <f ca="1">IFERROR(OFFSET(P7,0,select!$M$1362),"")</f>
        <v/>
      </c>
      <c r="F7" s="71" t="str">
        <f ca="1">IFERROR(OFFSET(P7,0,select!$M$1363),"")</f>
        <v/>
      </c>
      <c r="G7" s="71" t="str">
        <f ca="1">IFERROR(OFFSET(P7,0,select!$M$1364),"")</f>
        <v/>
      </c>
      <c r="P7" s="71" t="str">
        <f t="shared" ca="1" si="2"/>
        <v/>
      </c>
      <c r="Q7" s="374" t="str">
        <f ca="1">IF(OR(select!$L$1347=110,select!$L$1347=120)=TRUE,IF(SUM(AN7:AQ7)&gt;0,1,""),IF(SUM(AN7:AR7)&gt;0,1,""))</f>
        <v/>
      </c>
      <c r="R7" s="374" t="str">
        <f ca="1">IF(OR(select!$L$1347=110,select!$L$1347=120)=TRUE,IF(SUM(AS7:AV7)&gt;0,1,""),IF(SUM(AS7:AW7)&gt;0,1,""))</f>
        <v/>
      </c>
      <c r="S7" s="374" t="str">
        <f t="shared" si="3"/>
        <v/>
      </c>
      <c r="T7" s="374" t="str">
        <f t="shared" si="4"/>
        <v/>
      </c>
      <c r="U7" s="374" t="str">
        <f t="shared" si="5"/>
        <v/>
      </c>
      <c r="V7" s="374" t="str">
        <f t="shared" si="6"/>
        <v/>
      </c>
      <c r="W7" s="374" t="str">
        <f t="shared" si="7"/>
        <v/>
      </c>
      <c r="X7" s="374" t="str">
        <f t="shared" si="8"/>
        <v/>
      </c>
      <c r="Y7" s="374" t="str">
        <f t="shared" si="9"/>
        <v/>
      </c>
      <c r="Z7" s="374" t="str">
        <f t="shared" si="10"/>
        <v/>
      </c>
      <c r="AA7" s="374" t="str">
        <f t="shared" si="11"/>
        <v/>
      </c>
      <c r="AB7" s="374" t="str">
        <f t="shared" si="12"/>
        <v/>
      </c>
      <c r="AC7" s="374" t="str">
        <f t="shared" si="13"/>
        <v/>
      </c>
      <c r="AD7" s="374" t="str">
        <f t="shared" si="14"/>
        <v/>
      </c>
      <c r="AE7" s="374" t="str">
        <f t="shared" si="15"/>
        <v/>
      </c>
      <c r="AF7" s="374" t="str">
        <f t="shared" si="16"/>
        <v/>
      </c>
      <c r="AG7" s="374" t="str">
        <f t="shared" si="17"/>
        <v/>
      </c>
      <c r="AH7" s="374" t="str">
        <f t="shared" si="18"/>
        <v/>
      </c>
      <c r="AI7" s="374" t="str">
        <f t="shared" si="19"/>
        <v/>
      </c>
      <c r="AJ7" s="374" t="str">
        <f t="shared" si="20"/>
        <v/>
      </c>
      <c r="AK7" s="374" t="str">
        <f t="shared" si="21"/>
        <v/>
      </c>
      <c r="AL7" s="374" t="str">
        <f t="shared" si="22"/>
        <v/>
      </c>
      <c r="AM7" s="514" t="str">
        <f t="shared" si="23"/>
        <v/>
      </c>
    </row>
    <row r="8" spans="1:78" x14ac:dyDescent="0.25">
      <c r="A8" s="1095"/>
      <c r="B8" s="551" t="str">
        <f ca="1">IFERROR(IF(P8&lt;&gt;1,select!$A$8,rand!C8),"")</f>
        <v>---------</v>
      </c>
      <c r="C8" s="413">
        <v>32</v>
      </c>
      <c r="D8" s="71" t="str">
        <f ca="1">IFERROR(OFFSET(P8,0,select!$M$1361),"")</f>
        <v/>
      </c>
      <c r="E8" s="71" t="str">
        <f ca="1">IFERROR(OFFSET(P8,0,select!$M$1362),"")</f>
        <v/>
      </c>
      <c r="F8" s="71" t="str">
        <f ca="1">IFERROR(OFFSET(P8,0,select!$M$1363),"")</f>
        <v/>
      </c>
      <c r="G8" s="71" t="str">
        <f ca="1">IFERROR(OFFSET(P8,0,select!$M$1364),"")</f>
        <v/>
      </c>
      <c r="P8" s="71" t="str">
        <f t="shared" ca="1" si="2"/>
        <v/>
      </c>
      <c r="Q8" s="374" t="str">
        <f ca="1">IF(OR(select!$L$1347=110,select!$L$1347=120)=TRUE,IF(SUM(AN8:AQ8)&gt;0,1,""),IF(SUM(AN8:AR8)&gt;0,1,""))</f>
        <v/>
      </c>
      <c r="R8" s="374" t="str">
        <f ca="1">IF(OR(select!$L$1347=110,select!$L$1347=120)=TRUE,IF(SUM(AS8:AV8)&gt;0,1,""),IF(SUM(AS8:AW8)&gt;0,1,""))</f>
        <v/>
      </c>
      <c r="S8" s="374">
        <f t="shared" si="3"/>
        <v>1</v>
      </c>
      <c r="T8" s="374" t="str">
        <f t="shared" si="4"/>
        <v/>
      </c>
      <c r="U8" s="374" t="str">
        <f t="shared" si="5"/>
        <v/>
      </c>
      <c r="V8" s="374" t="str">
        <f t="shared" si="6"/>
        <v/>
      </c>
      <c r="W8" s="374" t="str">
        <f t="shared" si="7"/>
        <v/>
      </c>
      <c r="X8" s="374" t="str">
        <f t="shared" si="8"/>
        <v/>
      </c>
      <c r="Y8" s="374" t="str">
        <f t="shared" si="9"/>
        <v/>
      </c>
      <c r="Z8" s="374" t="str">
        <f t="shared" si="10"/>
        <v/>
      </c>
      <c r="AA8" s="374" t="str">
        <f t="shared" si="11"/>
        <v/>
      </c>
      <c r="AB8" s="374" t="str">
        <f t="shared" si="12"/>
        <v/>
      </c>
      <c r="AC8" s="374" t="str">
        <f t="shared" si="13"/>
        <v/>
      </c>
      <c r="AD8" s="374" t="str">
        <f t="shared" si="14"/>
        <v/>
      </c>
      <c r="AE8" s="374" t="str">
        <f t="shared" si="15"/>
        <v/>
      </c>
      <c r="AF8" s="374" t="str">
        <f t="shared" si="16"/>
        <v/>
      </c>
      <c r="AG8" s="374" t="str">
        <f t="shared" si="17"/>
        <v/>
      </c>
      <c r="AH8" s="374" t="str">
        <f t="shared" si="18"/>
        <v/>
      </c>
      <c r="AI8" s="374" t="str">
        <f t="shared" si="19"/>
        <v/>
      </c>
      <c r="AJ8" s="374" t="str">
        <f t="shared" si="20"/>
        <v/>
      </c>
      <c r="AK8" s="374" t="str">
        <f t="shared" si="21"/>
        <v/>
      </c>
      <c r="AL8" s="374" t="str">
        <f t="shared" si="22"/>
        <v/>
      </c>
      <c r="AM8" s="514" t="str">
        <f t="shared" si="23"/>
        <v/>
      </c>
      <c r="AX8" s="493">
        <v>1</v>
      </c>
    </row>
    <row r="9" spans="1:78" x14ac:dyDescent="0.25">
      <c r="A9" s="1095"/>
      <c r="B9" s="551" t="str">
        <f ca="1">IFERROR(IF(P9&lt;&gt;1,select!$A$8,rand!C9),"")</f>
        <v>---------</v>
      </c>
      <c r="C9" s="413">
        <v>31</v>
      </c>
      <c r="D9" s="71" t="str">
        <f ca="1">IFERROR(OFFSET(P9,0,select!$M$1361),"")</f>
        <v/>
      </c>
      <c r="E9" s="71" t="str">
        <f ca="1">IFERROR(OFFSET(P9,0,select!$M$1362),"")</f>
        <v/>
      </c>
      <c r="F9" s="71" t="str">
        <f ca="1">IFERROR(OFFSET(P9,0,select!$M$1363),"")</f>
        <v/>
      </c>
      <c r="G9" s="71" t="str">
        <f ca="1">IFERROR(OFFSET(P9,0,select!$M$1364),"")</f>
        <v/>
      </c>
      <c r="P9" s="71" t="str">
        <f t="shared" ca="1" si="2"/>
        <v/>
      </c>
      <c r="Q9" s="374" t="str">
        <f ca="1">IF(OR(select!$L$1347=110,select!$L$1347=120)=TRUE,IF(SUM(AN9:AQ9)&gt;0,1,""),IF(SUM(AN9:AR9)&gt;0,1,""))</f>
        <v/>
      </c>
      <c r="R9" s="374" t="str">
        <f ca="1">IF(OR(select!$L$1347=110,select!$L$1347=120)=TRUE,IF(SUM(AS9:AV9)&gt;0,1,""),IF(SUM(AS9:AW9)&gt;0,1,""))</f>
        <v/>
      </c>
      <c r="S9" s="374">
        <f t="shared" si="3"/>
        <v>1</v>
      </c>
      <c r="T9" s="374" t="str">
        <f t="shared" si="4"/>
        <v/>
      </c>
      <c r="U9" s="374" t="str">
        <f t="shared" si="5"/>
        <v/>
      </c>
      <c r="V9" s="374" t="str">
        <f t="shared" si="6"/>
        <v/>
      </c>
      <c r="W9" s="374" t="str">
        <f t="shared" si="7"/>
        <v/>
      </c>
      <c r="X9" s="374" t="str">
        <f t="shared" si="8"/>
        <v/>
      </c>
      <c r="Y9" s="374" t="str">
        <f t="shared" si="9"/>
        <v/>
      </c>
      <c r="Z9" s="374" t="str">
        <f t="shared" si="10"/>
        <v/>
      </c>
      <c r="AA9" s="374" t="str">
        <f t="shared" si="11"/>
        <v/>
      </c>
      <c r="AB9" s="374" t="str">
        <f t="shared" si="12"/>
        <v/>
      </c>
      <c r="AC9" s="374" t="str">
        <f t="shared" si="13"/>
        <v/>
      </c>
      <c r="AD9" s="374" t="str">
        <f t="shared" si="14"/>
        <v/>
      </c>
      <c r="AE9" s="374" t="str">
        <f t="shared" si="15"/>
        <v/>
      </c>
      <c r="AF9" s="374" t="str">
        <f t="shared" si="16"/>
        <v/>
      </c>
      <c r="AG9" s="374" t="str">
        <f t="shared" si="17"/>
        <v/>
      </c>
      <c r="AH9" s="374" t="str">
        <f t="shared" si="18"/>
        <v/>
      </c>
      <c r="AI9" s="374" t="str">
        <f t="shared" si="19"/>
        <v/>
      </c>
      <c r="AJ9" s="374" t="str">
        <f t="shared" si="20"/>
        <v/>
      </c>
      <c r="AK9" s="374" t="str">
        <f t="shared" si="21"/>
        <v/>
      </c>
      <c r="AL9" s="374" t="str">
        <f t="shared" si="22"/>
        <v/>
      </c>
      <c r="AM9" s="514" t="str">
        <f t="shared" si="23"/>
        <v/>
      </c>
      <c r="AX9" s="493">
        <v>1</v>
      </c>
    </row>
    <row r="10" spans="1:78" x14ac:dyDescent="0.25">
      <c r="A10" s="1095"/>
      <c r="B10" s="551" t="str">
        <f ca="1">IFERROR(IF(P10&lt;&gt;1,select!$A$8,rand!C10),"")</f>
        <v>---------</v>
      </c>
      <c r="C10" s="413">
        <v>30</v>
      </c>
      <c r="D10" s="71" t="str">
        <f ca="1">IFERROR(OFFSET(P10,0,select!$M$1361),"")</f>
        <v/>
      </c>
      <c r="E10" s="71" t="str">
        <f ca="1">IFERROR(OFFSET(P10,0,select!$M$1362),"")</f>
        <v/>
      </c>
      <c r="F10" s="71" t="str">
        <f ca="1">IFERROR(OFFSET(P10,0,select!$M$1363),"")</f>
        <v/>
      </c>
      <c r="G10" s="71" t="str">
        <f ca="1">IFERROR(OFFSET(P10,0,select!$M$1364),"")</f>
        <v/>
      </c>
      <c r="P10" s="71" t="str">
        <f t="shared" ca="1" si="2"/>
        <v/>
      </c>
      <c r="Q10" s="374" t="str">
        <f ca="1">IF(OR(select!$L$1347=110,select!$L$1347=120)=TRUE,IF(SUM(AN10:AQ10)&gt;0,1,""),IF(SUM(AN10:AR10)&gt;0,1,""))</f>
        <v/>
      </c>
      <c r="R10" s="374" t="str">
        <f ca="1">IF(OR(select!$L$1347=110,select!$L$1347=120)=TRUE,IF(SUM(AS10:AV10)&gt;0,1,""),IF(SUM(AS10:AW10)&gt;0,1,""))</f>
        <v/>
      </c>
      <c r="S10" s="374">
        <f t="shared" si="3"/>
        <v>1</v>
      </c>
      <c r="T10" s="374">
        <f t="shared" si="4"/>
        <v>1</v>
      </c>
      <c r="U10" s="374" t="str">
        <f t="shared" si="5"/>
        <v/>
      </c>
      <c r="V10" s="374" t="str">
        <f t="shared" si="6"/>
        <v/>
      </c>
      <c r="W10" s="374" t="str">
        <f t="shared" si="7"/>
        <v/>
      </c>
      <c r="X10" s="374" t="str">
        <f t="shared" si="8"/>
        <v/>
      </c>
      <c r="Y10" s="374" t="str">
        <f t="shared" si="9"/>
        <v/>
      </c>
      <c r="Z10" s="374" t="str">
        <f t="shared" si="10"/>
        <v/>
      </c>
      <c r="AA10" s="374" t="str">
        <f t="shared" si="11"/>
        <v/>
      </c>
      <c r="AB10" s="374" t="str">
        <f t="shared" si="12"/>
        <v/>
      </c>
      <c r="AC10" s="374" t="str">
        <f t="shared" si="13"/>
        <v/>
      </c>
      <c r="AD10" s="374" t="str">
        <f t="shared" si="14"/>
        <v/>
      </c>
      <c r="AE10" s="374" t="str">
        <f t="shared" si="15"/>
        <v/>
      </c>
      <c r="AF10" s="374" t="str">
        <f t="shared" si="16"/>
        <v/>
      </c>
      <c r="AG10" s="374" t="str">
        <f t="shared" si="17"/>
        <v/>
      </c>
      <c r="AH10" s="374" t="str">
        <f t="shared" si="18"/>
        <v/>
      </c>
      <c r="AI10" s="374" t="str">
        <f t="shared" si="19"/>
        <v/>
      </c>
      <c r="AJ10" s="374" t="str">
        <f t="shared" si="20"/>
        <v/>
      </c>
      <c r="AK10" s="374" t="str">
        <f t="shared" si="21"/>
        <v/>
      </c>
      <c r="AL10" s="374" t="str">
        <f t="shared" si="22"/>
        <v/>
      </c>
      <c r="AM10" s="514" t="str">
        <f t="shared" si="23"/>
        <v/>
      </c>
      <c r="AR10" s="415">
        <v>1</v>
      </c>
      <c r="AW10" s="499">
        <v>1</v>
      </c>
      <c r="AX10" s="493">
        <v>1</v>
      </c>
      <c r="BA10" s="493">
        <v>1</v>
      </c>
    </row>
    <row r="11" spans="1:78" x14ac:dyDescent="0.25">
      <c r="A11" s="1095"/>
      <c r="B11" s="551" t="str">
        <f ca="1">IFERROR(IF(P11&lt;&gt;1,select!$A$8,rand!C11),"")</f>
        <v>---------</v>
      </c>
      <c r="C11" s="413">
        <v>29</v>
      </c>
      <c r="D11" s="71" t="str">
        <f ca="1">IFERROR(OFFSET(P11,0,select!$M$1361),"")</f>
        <v/>
      </c>
      <c r="E11" s="71" t="str">
        <f ca="1">IFERROR(OFFSET(P11,0,select!$M$1362),"")</f>
        <v/>
      </c>
      <c r="F11" s="71" t="str">
        <f ca="1">IFERROR(OFFSET(P11,0,select!$M$1363),"")</f>
        <v/>
      </c>
      <c r="G11" s="71" t="str">
        <f ca="1">IFERROR(OFFSET(P11,0,select!$M$1364),"")</f>
        <v/>
      </c>
      <c r="P11" s="71" t="str">
        <f t="shared" ca="1" si="2"/>
        <v/>
      </c>
      <c r="Q11" s="374" t="str">
        <f ca="1">IF(OR(select!$L$1347=110,select!$L$1347=120)=TRUE,IF(SUM(AN11:AQ11)&gt;0,1,""),IF(SUM(AN11:AR11)&gt;0,1,""))</f>
        <v/>
      </c>
      <c r="R11" s="374" t="str">
        <f ca="1">IF(OR(select!$L$1347=110,select!$L$1347=120)=TRUE,IF(SUM(AS11:AV11)&gt;0,1,""),IF(SUM(AS11:AW11)&gt;0,1,""))</f>
        <v/>
      </c>
      <c r="S11" s="374">
        <f t="shared" si="3"/>
        <v>1</v>
      </c>
      <c r="T11" s="374" t="str">
        <f t="shared" si="4"/>
        <v/>
      </c>
      <c r="U11" s="374" t="str">
        <f t="shared" si="5"/>
        <v/>
      </c>
      <c r="V11" s="374" t="str">
        <f t="shared" si="6"/>
        <v/>
      </c>
      <c r="W11" s="374" t="str">
        <f t="shared" si="7"/>
        <v/>
      </c>
      <c r="X11" s="374" t="str">
        <f t="shared" si="8"/>
        <v/>
      </c>
      <c r="Y11" s="374" t="str">
        <f t="shared" si="9"/>
        <v/>
      </c>
      <c r="Z11" s="374" t="str">
        <f t="shared" si="10"/>
        <v/>
      </c>
      <c r="AA11" s="374" t="str">
        <f t="shared" si="11"/>
        <v/>
      </c>
      <c r="AB11" s="374" t="str">
        <f t="shared" si="12"/>
        <v/>
      </c>
      <c r="AC11" s="374" t="str">
        <f t="shared" si="13"/>
        <v/>
      </c>
      <c r="AD11" s="374" t="str">
        <f t="shared" si="14"/>
        <v/>
      </c>
      <c r="AE11" s="374" t="str">
        <f t="shared" si="15"/>
        <v/>
      </c>
      <c r="AF11" s="374" t="str">
        <f t="shared" si="16"/>
        <v/>
      </c>
      <c r="AG11" s="374" t="str">
        <f t="shared" si="17"/>
        <v/>
      </c>
      <c r="AH11" s="374" t="str">
        <f t="shared" si="18"/>
        <v/>
      </c>
      <c r="AI11" s="374" t="str">
        <f t="shared" si="19"/>
        <v/>
      </c>
      <c r="AJ11" s="374" t="str">
        <f t="shared" si="20"/>
        <v/>
      </c>
      <c r="AK11" s="374" t="str">
        <f t="shared" si="21"/>
        <v/>
      </c>
      <c r="AL11" s="374" t="str">
        <f t="shared" si="22"/>
        <v/>
      </c>
      <c r="AM11" s="514" t="str">
        <f t="shared" si="23"/>
        <v/>
      </c>
      <c r="AX11" s="493">
        <v>1</v>
      </c>
    </row>
    <row r="12" spans="1:78" x14ac:dyDescent="0.25">
      <c r="A12" s="1095"/>
      <c r="B12" s="551">
        <f ca="1">IFERROR(IF(P12&lt;&gt;1,select!$A$8,rand!C12),"")</f>
        <v>28</v>
      </c>
      <c r="C12" s="413">
        <v>28</v>
      </c>
      <c r="D12" s="71" t="str">
        <f ca="1">IFERROR(OFFSET(P12,0,select!$M$1361),"")</f>
        <v/>
      </c>
      <c r="E12" s="71" t="str">
        <f ca="1">IFERROR(OFFSET(P12,0,select!$M$1362),"")</f>
        <v/>
      </c>
      <c r="F12" s="71" t="str">
        <f ca="1">IFERROR(OFFSET(P12,0,select!$M$1363),"")</f>
        <v/>
      </c>
      <c r="G12" s="71">
        <f ca="1">IFERROR(OFFSET(P12,0,select!$M$1364),"")</f>
        <v>1</v>
      </c>
      <c r="P12" s="71">
        <f t="shared" ca="1" si="2"/>
        <v>1</v>
      </c>
      <c r="Q12" s="374" t="str">
        <f ca="1">IF(OR(select!$L$1347=110,select!$L$1347=120)=TRUE,IF(SUM(AN12:AQ12)&gt;0,1,""),IF(SUM(AN12:AR12)&gt;0,1,""))</f>
        <v/>
      </c>
      <c r="R12" s="374" t="str">
        <f ca="1">IF(OR(select!$L$1347=110,select!$L$1347=120)=TRUE,IF(SUM(AS12:AV12)&gt;0,1,""),IF(SUM(AS12:AW12)&gt;0,1,""))</f>
        <v/>
      </c>
      <c r="S12" s="374">
        <f t="shared" si="3"/>
        <v>1</v>
      </c>
      <c r="T12" s="374">
        <f t="shared" si="4"/>
        <v>1</v>
      </c>
      <c r="U12" s="374" t="str">
        <f t="shared" si="5"/>
        <v/>
      </c>
      <c r="V12" s="374" t="str">
        <f t="shared" si="6"/>
        <v/>
      </c>
      <c r="W12" s="374" t="str">
        <f t="shared" si="7"/>
        <v/>
      </c>
      <c r="X12" s="374" t="str">
        <f t="shared" si="8"/>
        <v/>
      </c>
      <c r="Y12" s="374" t="str">
        <f t="shared" si="9"/>
        <v/>
      </c>
      <c r="Z12" s="374" t="str">
        <f t="shared" si="10"/>
        <v/>
      </c>
      <c r="AA12" s="374" t="str">
        <f t="shared" si="11"/>
        <v/>
      </c>
      <c r="AB12" s="374" t="str">
        <f t="shared" si="12"/>
        <v/>
      </c>
      <c r="AC12" s="374" t="str">
        <f t="shared" si="13"/>
        <v/>
      </c>
      <c r="AD12" s="374" t="str">
        <f t="shared" si="14"/>
        <v/>
      </c>
      <c r="AE12" s="374" t="str">
        <f t="shared" si="15"/>
        <v/>
      </c>
      <c r="AF12" s="374" t="str">
        <f t="shared" si="16"/>
        <v/>
      </c>
      <c r="AG12" s="374" t="str">
        <f t="shared" si="17"/>
        <v/>
      </c>
      <c r="AH12" s="374" t="str">
        <f t="shared" si="18"/>
        <v/>
      </c>
      <c r="AI12" s="374">
        <f t="shared" si="19"/>
        <v>1</v>
      </c>
      <c r="AJ12" s="374" t="str">
        <f t="shared" si="20"/>
        <v/>
      </c>
      <c r="AK12" s="374" t="str">
        <f t="shared" si="21"/>
        <v/>
      </c>
      <c r="AL12" s="374" t="str">
        <f t="shared" si="22"/>
        <v/>
      </c>
      <c r="AM12" s="514" t="str">
        <f t="shared" si="23"/>
        <v/>
      </c>
      <c r="AR12" s="415">
        <v>1</v>
      </c>
      <c r="AW12" s="499">
        <v>1</v>
      </c>
      <c r="AX12" s="493">
        <v>1</v>
      </c>
      <c r="BA12" s="493">
        <v>1</v>
      </c>
      <c r="BS12" s="503">
        <v>1</v>
      </c>
    </row>
    <row r="13" spans="1:78" x14ac:dyDescent="0.25">
      <c r="A13" s="1095"/>
      <c r="B13" s="551" t="str">
        <f ca="1">IFERROR(IF(P13&lt;&gt;1,select!$A$8,rand!C13),"")</f>
        <v>---------</v>
      </c>
      <c r="C13" s="413">
        <v>27</v>
      </c>
      <c r="D13" s="71" t="str">
        <f ca="1">IFERROR(OFFSET(P13,0,select!$M$1361),"")</f>
        <v/>
      </c>
      <c r="E13" s="71" t="str">
        <f ca="1">IFERROR(OFFSET(P13,0,select!$M$1362),"")</f>
        <v/>
      </c>
      <c r="F13" s="71" t="str">
        <f ca="1">IFERROR(OFFSET(P13,0,select!$M$1363),"")</f>
        <v/>
      </c>
      <c r="G13" s="71" t="str">
        <f ca="1">IFERROR(OFFSET(P13,0,select!$M$1364),"")</f>
        <v/>
      </c>
      <c r="P13" s="71" t="str">
        <f t="shared" ca="1" si="2"/>
        <v/>
      </c>
      <c r="Q13" s="374" t="str">
        <f ca="1">IF(OR(select!$L$1347=110,select!$L$1347=120)=TRUE,IF(SUM(AN13:AQ13)&gt;0,1,""),IF(SUM(AN13:AR13)&gt;0,1,""))</f>
        <v/>
      </c>
      <c r="R13" s="374" t="str">
        <f ca="1">IF(OR(select!$L$1347=110,select!$L$1347=120)=TRUE,IF(SUM(AS13:AV13)&gt;0,1,""),IF(SUM(AS13:AW13)&gt;0,1,""))</f>
        <v/>
      </c>
      <c r="S13" s="374" t="str">
        <f t="shared" si="3"/>
        <v/>
      </c>
      <c r="T13" s="374" t="str">
        <f t="shared" si="4"/>
        <v/>
      </c>
      <c r="U13" s="374" t="str">
        <f t="shared" si="5"/>
        <v/>
      </c>
      <c r="V13" s="374" t="str">
        <f t="shared" si="6"/>
        <v/>
      </c>
      <c r="W13" s="374" t="str">
        <f t="shared" si="7"/>
        <v/>
      </c>
      <c r="X13" s="374" t="str">
        <f t="shared" si="8"/>
        <v/>
      </c>
      <c r="Y13" s="374" t="str">
        <f t="shared" si="9"/>
        <v/>
      </c>
      <c r="Z13" s="374" t="str">
        <f t="shared" si="10"/>
        <v/>
      </c>
      <c r="AA13" s="374" t="str">
        <f t="shared" si="11"/>
        <v/>
      </c>
      <c r="AB13" s="374" t="str">
        <f t="shared" si="12"/>
        <v/>
      </c>
      <c r="AC13" s="374" t="str">
        <f t="shared" si="13"/>
        <v/>
      </c>
      <c r="AD13" s="374" t="str">
        <f t="shared" si="14"/>
        <v/>
      </c>
      <c r="AE13" s="374" t="str">
        <f t="shared" si="15"/>
        <v/>
      </c>
      <c r="AF13" s="374" t="str">
        <f t="shared" si="16"/>
        <v/>
      </c>
      <c r="AG13" s="374" t="str">
        <f t="shared" si="17"/>
        <v/>
      </c>
      <c r="AH13" s="374" t="str">
        <f t="shared" si="18"/>
        <v/>
      </c>
      <c r="AI13" s="374" t="str">
        <f t="shared" si="19"/>
        <v/>
      </c>
      <c r="AJ13" s="374" t="str">
        <f t="shared" si="20"/>
        <v/>
      </c>
      <c r="AK13" s="374" t="str">
        <f t="shared" si="21"/>
        <v/>
      </c>
      <c r="AL13" s="374" t="str">
        <f t="shared" si="22"/>
        <v/>
      </c>
      <c r="AM13" s="514" t="str">
        <f t="shared" si="23"/>
        <v/>
      </c>
    </row>
    <row r="14" spans="1:78" x14ac:dyDescent="0.25">
      <c r="A14" s="1095"/>
      <c r="B14" s="551">
        <f ca="1">IFERROR(IF(P14&lt;&gt;1,select!$A$8,rand!C14),"")</f>
        <v>26</v>
      </c>
      <c r="C14" s="413">
        <v>26</v>
      </c>
      <c r="D14" s="71" t="str">
        <f ca="1">IFERROR(OFFSET(P14,0,select!$M$1361),"")</f>
        <v/>
      </c>
      <c r="E14" s="71" t="str">
        <f ca="1">IFERROR(OFFSET(P14,0,select!$M$1362),"")</f>
        <v/>
      </c>
      <c r="F14" s="71" t="str">
        <f ca="1">IFERROR(OFFSET(P14,0,select!$M$1363),"")</f>
        <v/>
      </c>
      <c r="G14" s="71">
        <f ca="1">IFERROR(OFFSET(P14,0,select!$M$1364),"")</f>
        <v>1</v>
      </c>
      <c r="P14" s="71">
        <f t="shared" ca="1" si="2"/>
        <v>1</v>
      </c>
      <c r="Q14" s="374" t="str">
        <f ca="1">IF(OR(select!$L$1347=110,select!$L$1347=120)=TRUE,IF(SUM(AN14:AQ14)&gt;0,1,""),IF(SUM(AN14:AR14)&gt;0,1,""))</f>
        <v/>
      </c>
      <c r="R14" s="374" t="str">
        <f ca="1">IF(OR(select!$L$1347=110,select!$L$1347=120)=TRUE,IF(SUM(AS14:AV14)&gt;0,1,""),IF(SUM(AS14:AW14)&gt;0,1,""))</f>
        <v/>
      </c>
      <c r="S14" s="374">
        <f t="shared" si="3"/>
        <v>1</v>
      </c>
      <c r="T14" s="374">
        <f t="shared" si="4"/>
        <v>1</v>
      </c>
      <c r="U14" s="374" t="str">
        <f t="shared" si="5"/>
        <v/>
      </c>
      <c r="V14" s="374" t="str">
        <f t="shared" si="6"/>
        <v/>
      </c>
      <c r="W14" s="374" t="str">
        <f t="shared" si="7"/>
        <v/>
      </c>
      <c r="X14" s="374" t="str">
        <f t="shared" si="8"/>
        <v/>
      </c>
      <c r="Y14" s="374" t="str">
        <f t="shared" si="9"/>
        <v/>
      </c>
      <c r="Z14" s="374" t="str">
        <f t="shared" si="10"/>
        <v/>
      </c>
      <c r="AA14" s="374" t="str">
        <f t="shared" si="11"/>
        <v/>
      </c>
      <c r="AB14" s="374" t="str">
        <f t="shared" si="12"/>
        <v/>
      </c>
      <c r="AC14" s="374" t="str">
        <f t="shared" si="13"/>
        <v/>
      </c>
      <c r="AD14" s="374" t="str">
        <f t="shared" si="14"/>
        <v/>
      </c>
      <c r="AE14" s="374" t="str">
        <f t="shared" si="15"/>
        <v/>
      </c>
      <c r="AF14" s="374">
        <f t="shared" si="16"/>
        <v>1</v>
      </c>
      <c r="AG14" s="374" t="str">
        <f t="shared" si="17"/>
        <v/>
      </c>
      <c r="AH14" s="374" t="str">
        <f t="shared" si="18"/>
        <v/>
      </c>
      <c r="AI14" s="374">
        <f t="shared" si="19"/>
        <v>1</v>
      </c>
      <c r="AJ14" s="374" t="str">
        <f t="shared" si="20"/>
        <v/>
      </c>
      <c r="AK14" s="374" t="str">
        <f t="shared" si="21"/>
        <v/>
      </c>
      <c r="AL14" s="374" t="str">
        <f t="shared" si="22"/>
        <v/>
      </c>
      <c r="AM14" s="514" t="str">
        <f t="shared" si="23"/>
        <v/>
      </c>
      <c r="AR14" s="415">
        <v>1</v>
      </c>
      <c r="AW14" s="499">
        <v>1</v>
      </c>
      <c r="AX14" s="493">
        <v>1</v>
      </c>
      <c r="BA14" s="493">
        <v>1</v>
      </c>
      <c r="BP14" s="503">
        <v>1</v>
      </c>
      <c r="BS14" s="503">
        <v>1</v>
      </c>
    </row>
    <row r="15" spans="1:78" x14ac:dyDescent="0.25">
      <c r="A15" s="1095"/>
      <c r="B15" s="551" t="str">
        <f ca="1">IFERROR(IF(P15&lt;&gt;1,select!$A$8,rand!C15),"")</f>
        <v>---------</v>
      </c>
      <c r="C15" s="413">
        <v>25</v>
      </c>
      <c r="D15" s="71" t="str">
        <f ca="1">IFERROR(OFFSET(P15,0,select!$M$1361),"")</f>
        <v/>
      </c>
      <c r="E15" s="71" t="str">
        <f ca="1">IFERROR(OFFSET(P15,0,select!$M$1362),"")</f>
        <v/>
      </c>
      <c r="F15" s="71" t="str">
        <f ca="1">IFERROR(OFFSET(P15,0,select!$M$1363),"")</f>
        <v/>
      </c>
      <c r="G15" s="71" t="str">
        <f ca="1">IFERROR(OFFSET(P15,0,select!$M$1364),"")</f>
        <v/>
      </c>
      <c r="P15" s="71" t="str">
        <f t="shared" ca="1" si="2"/>
        <v/>
      </c>
      <c r="Q15" s="374" t="str">
        <f ca="1">IF(OR(select!$L$1347=110,select!$L$1347=120)=TRUE,IF(SUM(AN15:AQ15)&gt;0,1,""),IF(SUM(AN15:AR15)&gt;0,1,""))</f>
        <v/>
      </c>
      <c r="R15" s="374" t="str">
        <f ca="1">IF(OR(select!$L$1347=110,select!$L$1347=120)=TRUE,IF(SUM(AS15:AV15)&gt;0,1,""),IF(SUM(AS15:AW15)&gt;0,1,""))</f>
        <v/>
      </c>
      <c r="S15" s="374">
        <f t="shared" si="3"/>
        <v>1</v>
      </c>
      <c r="T15" s="374" t="str">
        <f t="shared" si="4"/>
        <v/>
      </c>
      <c r="U15" s="374" t="str">
        <f t="shared" si="5"/>
        <v/>
      </c>
      <c r="V15" s="374" t="str">
        <f t="shared" si="6"/>
        <v/>
      </c>
      <c r="W15" s="374" t="str">
        <f t="shared" si="7"/>
        <v/>
      </c>
      <c r="X15" s="374" t="str">
        <f t="shared" si="8"/>
        <v/>
      </c>
      <c r="Y15" s="374" t="str">
        <f t="shared" si="9"/>
        <v/>
      </c>
      <c r="Z15" s="374" t="str">
        <f t="shared" si="10"/>
        <v/>
      </c>
      <c r="AA15" s="374" t="str">
        <f t="shared" si="11"/>
        <v/>
      </c>
      <c r="AB15" s="374" t="str">
        <f t="shared" si="12"/>
        <v/>
      </c>
      <c r="AC15" s="374" t="str">
        <f t="shared" si="13"/>
        <v/>
      </c>
      <c r="AD15" s="374" t="str">
        <f t="shared" si="14"/>
        <v/>
      </c>
      <c r="AE15" s="374" t="str">
        <f t="shared" si="15"/>
        <v/>
      </c>
      <c r="AF15" s="374" t="str">
        <f t="shared" si="16"/>
        <v/>
      </c>
      <c r="AG15" s="374" t="str">
        <f t="shared" si="17"/>
        <v/>
      </c>
      <c r="AH15" s="374" t="str">
        <f t="shared" si="18"/>
        <v/>
      </c>
      <c r="AI15" s="374" t="str">
        <f t="shared" si="19"/>
        <v/>
      </c>
      <c r="AJ15" s="374" t="str">
        <f t="shared" si="20"/>
        <v/>
      </c>
      <c r="AK15" s="374" t="str">
        <f t="shared" si="21"/>
        <v/>
      </c>
      <c r="AL15" s="374" t="str">
        <f t="shared" si="22"/>
        <v/>
      </c>
      <c r="AM15" s="514" t="str">
        <f t="shared" si="23"/>
        <v/>
      </c>
      <c r="AX15" s="493">
        <v>1</v>
      </c>
    </row>
    <row r="16" spans="1:78" x14ac:dyDescent="0.25">
      <c r="A16" s="1095"/>
      <c r="B16" s="551">
        <f ca="1">IFERROR(IF(P16&lt;&gt;1,select!$A$8,rand!C16),"")</f>
        <v>24</v>
      </c>
      <c r="C16" s="413">
        <v>24</v>
      </c>
      <c r="D16" s="71">
        <f ca="1">IFERROR(OFFSET(P16,0,select!$M$1361),"")</f>
        <v>1</v>
      </c>
      <c r="E16" s="71">
        <f ca="1">IFERROR(OFFSET(P16,0,select!$M$1362),"")</f>
        <v>1</v>
      </c>
      <c r="F16" s="71">
        <f ca="1">IFERROR(OFFSET(P16,0,select!$M$1363),"")</f>
        <v>1</v>
      </c>
      <c r="G16" s="71">
        <f ca="1">IFERROR(OFFSET(P16,0,select!$M$1364),"")</f>
        <v>1</v>
      </c>
      <c r="P16" s="71">
        <f t="shared" ca="1" si="2"/>
        <v>1</v>
      </c>
      <c r="Q16" s="374">
        <f ca="1">IF(OR(select!$L$1347=110,select!$L$1347=120)=TRUE,IF(SUM(AN16:AQ16)&gt;0,1,""),IF(SUM(AN16:AR16)&gt;0,1,""))</f>
        <v>1</v>
      </c>
      <c r="R16" s="374">
        <f ca="1">IF(OR(select!$L$1347=110,select!$L$1347=120)=TRUE,IF(SUM(AS16:AV16)&gt;0,1,""),IF(SUM(AS16:AW16)&gt;0,1,""))</f>
        <v>1</v>
      </c>
      <c r="S16" s="374">
        <f t="shared" si="3"/>
        <v>1</v>
      </c>
      <c r="T16" s="374">
        <f t="shared" si="4"/>
        <v>1</v>
      </c>
      <c r="U16" s="374">
        <f t="shared" si="5"/>
        <v>1</v>
      </c>
      <c r="V16" s="374">
        <f t="shared" si="6"/>
        <v>1</v>
      </c>
      <c r="W16" s="374">
        <f t="shared" si="7"/>
        <v>1</v>
      </c>
      <c r="X16" s="374">
        <f t="shared" si="8"/>
        <v>1</v>
      </c>
      <c r="Y16" s="374">
        <f t="shared" si="9"/>
        <v>1</v>
      </c>
      <c r="Z16" s="374">
        <f t="shared" si="10"/>
        <v>1</v>
      </c>
      <c r="AA16" s="374">
        <f t="shared" si="11"/>
        <v>1</v>
      </c>
      <c r="AB16" s="374">
        <f t="shared" si="12"/>
        <v>1</v>
      </c>
      <c r="AC16" s="374">
        <f t="shared" si="13"/>
        <v>1</v>
      </c>
      <c r="AD16" s="374">
        <f t="shared" si="14"/>
        <v>1</v>
      </c>
      <c r="AE16" s="374">
        <f t="shared" si="15"/>
        <v>1</v>
      </c>
      <c r="AF16" s="374">
        <f t="shared" si="16"/>
        <v>1</v>
      </c>
      <c r="AG16" s="374">
        <f t="shared" si="17"/>
        <v>1</v>
      </c>
      <c r="AH16" s="374" t="str">
        <f t="shared" si="18"/>
        <v/>
      </c>
      <c r="AI16" s="374">
        <f t="shared" si="19"/>
        <v>1</v>
      </c>
      <c r="AJ16" s="374" t="str">
        <f t="shared" si="20"/>
        <v/>
      </c>
      <c r="AK16" s="374" t="str">
        <f t="shared" si="21"/>
        <v/>
      </c>
      <c r="AL16" s="374" t="str">
        <f t="shared" si="22"/>
        <v/>
      </c>
      <c r="AM16" s="514">
        <f t="shared" si="23"/>
        <v>1</v>
      </c>
      <c r="AN16" s="18">
        <v>1</v>
      </c>
      <c r="AR16" s="415">
        <v>1</v>
      </c>
      <c r="AS16" s="416">
        <v>1</v>
      </c>
      <c r="AW16" s="499">
        <v>1</v>
      </c>
      <c r="AX16" s="493">
        <v>1</v>
      </c>
      <c r="BA16" s="493">
        <v>1</v>
      </c>
      <c r="BE16" s="503">
        <v>1</v>
      </c>
      <c r="BF16" s="493">
        <v>1</v>
      </c>
      <c r="BG16" s="493">
        <v>1</v>
      </c>
      <c r="BH16" s="493">
        <v>1</v>
      </c>
      <c r="BI16" s="493">
        <v>1</v>
      </c>
      <c r="BJ16" s="493">
        <v>1</v>
      </c>
      <c r="BK16" s="493">
        <v>1</v>
      </c>
      <c r="BL16" s="493">
        <v>1</v>
      </c>
      <c r="BM16" s="493">
        <v>1</v>
      </c>
      <c r="BN16" s="499">
        <v>1</v>
      </c>
      <c r="BO16" s="503">
        <v>1</v>
      </c>
      <c r="BP16" s="503">
        <v>1</v>
      </c>
      <c r="BQ16" s="503">
        <v>1</v>
      </c>
      <c r="BS16" s="503">
        <v>1</v>
      </c>
      <c r="BW16" s="504">
        <v>1</v>
      </c>
    </row>
    <row r="17" spans="1:75" x14ac:dyDescent="0.25">
      <c r="A17" s="1095"/>
      <c r="B17" s="551" t="str">
        <f ca="1">IFERROR(IF(P17&lt;&gt;1,select!$A$8,rand!C17),"")</f>
        <v>---------</v>
      </c>
      <c r="C17" s="413">
        <v>23</v>
      </c>
      <c r="D17" s="71" t="str">
        <f ca="1">IFERROR(OFFSET(P17,0,select!$M$1361),"")</f>
        <v/>
      </c>
      <c r="E17" s="71" t="str">
        <f ca="1">IFERROR(OFFSET(P17,0,select!$M$1362),"")</f>
        <v/>
      </c>
      <c r="F17" s="71" t="str">
        <f ca="1">IFERROR(OFFSET(P17,0,select!$M$1363),"")</f>
        <v/>
      </c>
      <c r="G17" s="71" t="str">
        <f ca="1">IFERROR(OFFSET(P17,0,select!$M$1364),"")</f>
        <v/>
      </c>
      <c r="P17" s="71" t="str">
        <f t="shared" ca="1" si="2"/>
        <v/>
      </c>
      <c r="Q17" s="374" t="str">
        <f ca="1">IF(OR(select!$L$1347=110,select!$L$1347=120)=TRUE,IF(SUM(AN17:AQ17)&gt;0,1,""),IF(SUM(AN17:AR17)&gt;0,1,""))</f>
        <v/>
      </c>
      <c r="R17" s="374" t="str">
        <f ca="1">IF(OR(select!$L$1347=110,select!$L$1347=120)=TRUE,IF(SUM(AS17:AV17)&gt;0,1,""),IF(SUM(AS17:AW17)&gt;0,1,""))</f>
        <v/>
      </c>
      <c r="S17" s="374" t="str">
        <f t="shared" si="3"/>
        <v/>
      </c>
      <c r="T17" s="374" t="str">
        <f t="shared" si="4"/>
        <v/>
      </c>
      <c r="U17" s="374" t="str">
        <f t="shared" si="5"/>
        <v/>
      </c>
      <c r="V17" s="374" t="str">
        <f t="shared" si="6"/>
        <v/>
      </c>
      <c r="W17" s="374" t="str">
        <f t="shared" si="7"/>
        <v/>
      </c>
      <c r="X17" s="374" t="str">
        <f t="shared" si="8"/>
        <v/>
      </c>
      <c r="Y17" s="374" t="str">
        <f t="shared" si="9"/>
        <v/>
      </c>
      <c r="Z17" s="374" t="str">
        <f t="shared" si="10"/>
        <v/>
      </c>
      <c r="AA17" s="374" t="str">
        <f t="shared" si="11"/>
        <v/>
      </c>
      <c r="AB17" s="374" t="str">
        <f t="shared" si="12"/>
        <v/>
      </c>
      <c r="AC17" s="374" t="str">
        <f t="shared" si="13"/>
        <v/>
      </c>
      <c r="AD17" s="374" t="str">
        <f t="shared" si="14"/>
        <v/>
      </c>
      <c r="AE17" s="374" t="str">
        <f t="shared" si="15"/>
        <v/>
      </c>
      <c r="AF17" s="374" t="str">
        <f t="shared" si="16"/>
        <v/>
      </c>
      <c r="AG17" s="374" t="str">
        <f t="shared" si="17"/>
        <v/>
      </c>
      <c r="AH17" s="374" t="str">
        <f t="shared" si="18"/>
        <v/>
      </c>
      <c r="AI17" s="374" t="str">
        <f t="shared" si="19"/>
        <v/>
      </c>
      <c r="AJ17" s="374" t="str">
        <f t="shared" si="20"/>
        <v/>
      </c>
      <c r="AK17" s="374" t="str">
        <f t="shared" si="21"/>
        <v/>
      </c>
      <c r="AL17" s="374" t="str">
        <f t="shared" si="22"/>
        <v/>
      </c>
      <c r="AM17" s="514" t="str">
        <f t="shared" si="23"/>
        <v/>
      </c>
    </row>
    <row r="18" spans="1:75" x14ac:dyDescent="0.25">
      <c r="A18" s="1095"/>
      <c r="B18" s="551">
        <f ca="1">IFERROR(IF(P18&lt;&gt;1,select!$A$8,rand!C18),"")</f>
        <v>22</v>
      </c>
      <c r="C18" s="413">
        <v>22</v>
      </c>
      <c r="D18" s="71">
        <f ca="1">IFERROR(OFFSET(P18,0,select!$M$1361),"")</f>
        <v>1</v>
      </c>
      <c r="E18" s="71">
        <f ca="1">IFERROR(OFFSET(P18,0,select!$M$1362),"")</f>
        <v>1</v>
      </c>
      <c r="F18" s="71">
        <f ca="1">IFERROR(OFFSET(P18,0,select!$M$1363),"")</f>
        <v>1</v>
      </c>
      <c r="G18" s="71">
        <f ca="1">IFERROR(OFFSET(P18,0,select!$M$1364),"")</f>
        <v>1</v>
      </c>
      <c r="P18" s="71">
        <f t="shared" ca="1" si="2"/>
        <v>1</v>
      </c>
      <c r="Q18" s="374">
        <f ca="1">IF(OR(select!$L$1347=110,select!$L$1347=120)=TRUE,IF(SUM(AN18:AQ18)&gt;0,1,""),IF(SUM(AN18:AR18)&gt;0,1,""))</f>
        <v>1</v>
      </c>
      <c r="R18" s="374">
        <f ca="1">IF(OR(select!$L$1347=110,select!$L$1347=120)=TRUE,IF(SUM(AS18:AV18)&gt;0,1,""),IF(SUM(AS18:AW18)&gt;0,1,""))</f>
        <v>1</v>
      </c>
      <c r="S18" s="374">
        <f t="shared" si="3"/>
        <v>1</v>
      </c>
      <c r="T18" s="374">
        <f t="shared" si="4"/>
        <v>1</v>
      </c>
      <c r="U18" s="374">
        <f t="shared" si="5"/>
        <v>1</v>
      </c>
      <c r="V18" s="374">
        <f t="shared" si="6"/>
        <v>1</v>
      </c>
      <c r="W18" s="374">
        <f t="shared" si="7"/>
        <v>1</v>
      </c>
      <c r="X18" s="374">
        <f t="shared" si="8"/>
        <v>1</v>
      </c>
      <c r="Y18" s="374">
        <f t="shared" si="9"/>
        <v>1</v>
      </c>
      <c r="Z18" s="374">
        <f t="shared" si="10"/>
        <v>1</v>
      </c>
      <c r="AA18" s="374">
        <f t="shared" si="11"/>
        <v>1</v>
      </c>
      <c r="AB18" s="374">
        <f t="shared" si="12"/>
        <v>1</v>
      </c>
      <c r="AC18" s="374">
        <f t="shared" si="13"/>
        <v>1</v>
      </c>
      <c r="AD18" s="374">
        <f t="shared" si="14"/>
        <v>1</v>
      </c>
      <c r="AE18" s="374">
        <f t="shared" si="15"/>
        <v>1</v>
      </c>
      <c r="AF18" s="374">
        <f t="shared" si="16"/>
        <v>1</v>
      </c>
      <c r="AG18" s="374" t="str">
        <f t="shared" si="17"/>
        <v/>
      </c>
      <c r="AH18" s="374">
        <f t="shared" si="18"/>
        <v>1</v>
      </c>
      <c r="AI18" s="374">
        <f t="shared" si="19"/>
        <v>1</v>
      </c>
      <c r="AJ18" s="374" t="str">
        <f t="shared" si="20"/>
        <v/>
      </c>
      <c r="AK18" s="374" t="str">
        <f t="shared" si="21"/>
        <v/>
      </c>
      <c r="AL18" s="374" t="str">
        <f t="shared" si="22"/>
        <v/>
      </c>
      <c r="AM18" s="514">
        <f t="shared" si="23"/>
        <v>1</v>
      </c>
      <c r="AN18" s="18">
        <v>1</v>
      </c>
      <c r="AR18" s="415">
        <v>1</v>
      </c>
      <c r="AS18" s="416">
        <v>1</v>
      </c>
      <c r="AW18" s="499">
        <v>1</v>
      </c>
      <c r="AX18" s="493">
        <v>1</v>
      </c>
      <c r="BA18" s="493">
        <v>1</v>
      </c>
      <c r="BE18" s="503">
        <v>1</v>
      </c>
      <c r="BF18" s="493">
        <v>1</v>
      </c>
      <c r="BG18" s="493">
        <v>1</v>
      </c>
      <c r="BH18" s="493">
        <v>1</v>
      </c>
      <c r="BI18" s="493">
        <v>1</v>
      </c>
      <c r="BJ18" s="493">
        <v>1</v>
      </c>
      <c r="BK18" s="493">
        <v>1</v>
      </c>
      <c r="BL18" s="493">
        <v>1</v>
      </c>
      <c r="BM18" s="493">
        <v>1</v>
      </c>
      <c r="BN18" s="499">
        <v>1</v>
      </c>
      <c r="BO18" s="503">
        <v>1</v>
      </c>
      <c r="BP18" s="503">
        <v>1</v>
      </c>
      <c r="BR18" s="503">
        <v>1</v>
      </c>
      <c r="BS18" s="503">
        <v>1</v>
      </c>
      <c r="BW18" s="504">
        <v>1</v>
      </c>
    </row>
    <row r="19" spans="1:75" x14ac:dyDescent="0.25">
      <c r="A19" s="1095"/>
      <c r="B19" s="551">
        <f ca="1">IFERROR(IF(P19&lt;&gt;1,select!$A$8,rand!C19),"")</f>
        <v>21</v>
      </c>
      <c r="C19" s="413">
        <v>21</v>
      </c>
      <c r="D19" s="71">
        <f ca="1">IFERROR(OFFSET(P19,0,select!$M$1361),"")</f>
        <v>1</v>
      </c>
      <c r="E19" s="71">
        <f ca="1">IFERROR(OFFSET(P19,0,select!$M$1362),"")</f>
        <v>1</v>
      </c>
      <c r="F19" s="71">
        <f ca="1">IFERROR(OFFSET(P19,0,select!$M$1363),"")</f>
        <v>1</v>
      </c>
      <c r="G19" s="71" t="str">
        <f ca="1">IFERROR(OFFSET(P19,0,select!$M$1364),"")</f>
        <v/>
      </c>
      <c r="P19" s="71">
        <f t="shared" ca="1" si="2"/>
        <v>1</v>
      </c>
      <c r="Q19" s="374">
        <f ca="1">IF(OR(select!$L$1347=110,select!$L$1347=120)=TRUE,IF(SUM(AN19:AQ19)&gt;0,1,""),IF(SUM(AN19:AR19)&gt;0,1,""))</f>
        <v>1</v>
      </c>
      <c r="R19" s="374">
        <f ca="1">IF(OR(select!$L$1347=110,select!$L$1347=120)=TRUE,IF(SUM(AS19:AV19)&gt;0,1,""),IF(SUM(AS19:AW19)&gt;0,1,""))</f>
        <v>1</v>
      </c>
      <c r="S19" s="374">
        <f t="shared" si="3"/>
        <v>1</v>
      </c>
      <c r="T19" s="374" t="str">
        <f t="shared" si="4"/>
        <v/>
      </c>
      <c r="U19" s="374">
        <f t="shared" si="5"/>
        <v>1</v>
      </c>
      <c r="V19" s="374">
        <f t="shared" si="6"/>
        <v>1</v>
      </c>
      <c r="W19" s="374">
        <f t="shared" si="7"/>
        <v>1</v>
      </c>
      <c r="X19" s="374">
        <f t="shared" si="8"/>
        <v>1</v>
      </c>
      <c r="Y19" s="374">
        <f t="shared" si="9"/>
        <v>1</v>
      </c>
      <c r="Z19" s="374">
        <f t="shared" si="10"/>
        <v>1</v>
      </c>
      <c r="AA19" s="374">
        <f t="shared" si="11"/>
        <v>1</v>
      </c>
      <c r="AB19" s="374">
        <f t="shared" si="12"/>
        <v>1</v>
      </c>
      <c r="AC19" s="374">
        <f t="shared" si="13"/>
        <v>1</v>
      </c>
      <c r="AD19" s="374">
        <f t="shared" si="14"/>
        <v>1</v>
      </c>
      <c r="AE19" s="374">
        <f t="shared" si="15"/>
        <v>1</v>
      </c>
      <c r="AF19" s="374" t="str">
        <f t="shared" si="16"/>
        <v/>
      </c>
      <c r="AG19" s="374" t="str">
        <f t="shared" si="17"/>
        <v/>
      </c>
      <c r="AH19" s="374" t="str">
        <f t="shared" si="18"/>
        <v/>
      </c>
      <c r="AI19" s="374" t="str">
        <f t="shared" si="19"/>
        <v/>
      </c>
      <c r="AJ19" s="374" t="str">
        <f t="shared" si="20"/>
        <v/>
      </c>
      <c r="AK19" s="374" t="str">
        <f t="shared" si="21"/>
        <v/>
      </c>
      <c r="AL19" s="374" t="str">
        <f t="shared" si="22"/>
        <v/>
      </c>
      <c r="AM19" s="514">
        <f t="shared" si="23"/>
        <v>1</v>
      </c>
      <c r="AN19" s="18">
        <v>1</v>
      </c>
      <c r="AR19" s="415">
        <v>1</v>
      </c>
      <c r="AS19" s="416">
        <v>1</v>
      </c>
      <c r="AW19" s="499">
        <v>1</v>
      </c>
      <c r="AX19" s="493">
        <v>1</v>
      </c>
      <c r="BE19" s="503">
        <v>1</v>
      </c>
      <c r="BF19" s="493">
        <v>1</v>
      </c>
      <c r="BG19" s="493">
        <v>1</v>
      </c>
      <c r="BH19" s="493">
        <v>1</v>
      </c>
      <c r="BI19" s="493">
        <v>1</v>
      </c>
      <c r="BJ19" s="493">
        <v>1</v>
      </c>
      <c r="BK19" s="493">
        <v>1</v>
      </c>
      <c r="BL19" s="493">
        <v>1</v>
      </c>
      <c r="BM19" s="493">
        <v>1</v>
      </c>
      <c r="BN19" s="499">
        <v>1</v>
      </c>
      <c r="BO19" s="503">
        <v>1</v>
      </c>
      <c r="BW19" s="504">
        <v>1</v>
      </c>
    </row>
    <row r="20" spans="1:75" x14ac:dyDescent="0.25">
      <c r="A20" s="1095"/>
      <c r="B20" s="551">
        <f ca="1">IFERROR(IF(P20&lt;&gt;1,select!$A$8,rand!C20),"")</f>
        <v>20</v>
      </c>
      <c r="C20" s="413">
        <v>20</v>
      </c>
      <c r="D20" s="71">
        <f ca="1">IFERROR(OFFSET(P20,0,select!$M$1361),"")</f>
        <v>1</v>
      </c>
      <c r="E20" s="71">
        <f ca="1">IFERROR(OFFSET(P20,0,select!$M$1362),"")</f>
        <v>1</v>
      </c>
      <c r="F20" s="71">
        <f ca="1">IFERROR(OFFSET(P20,0,select!$M$1363),"")</f>
        <v>1</v>
      </c>
      <c r="G20" s="71">
        <f ca="1">IFERROR(OFFSET(P20,0,select!$M$1364),"")</f>
        <v>1</v>
      </c>
      <c r="P20" s="71">
        <f t="shared" ca="1" si="2"/>
        <v>1</v>
      </c>
      <c r="Q20" s="374">
        <f ca="1">IF(OR(select!$L$1347=110,select!$L$1347=120)=TRUE,IF(SUM(AN20:AQ20)&gt;0,1,""),IF(SUM(AN20:AR20)&gt;0,1,""))</f>
        <v>1</v>
      </c>
      <c r="R20" s="374">
        <f ca="1">IF(OR(select!$L$1347=110,select!$L$1347=120)=TRUE,IF(SUM(AS20:AV20)&gt;0,1,""),IF(SUM(AS20:AW20)&gt;0,1,""))</f>
        <v>1</v>
      </c>
      <c r="S20" s="374">
        <f t="shared" si="3"/>
        <v>1</v>
      </c>
      <c r="T20" s="374">
        <f t="shared" si="4"/>
        <v>1</v>
      </c>
      <c r="U20" s="374">
        <f t="shared" si="5"/>
        <v>1</v>
      </c>
      <c r="V20" s="374">
        <f t="shared" si="6"/>
        <v>1</v>
      </c>
      <c r="W20" s="374">
        <f t="shared" si="7"/>
        <v>1</v>
      </c>
      <c r="X20" s="374">
        <f t="shared" si="8"/>
        <v>1</v>
      </c>
      <c r="Y20" s="374">
        <f t="shared" si="9"/>
        <v>1</v>
      </c>
      <c r="Z20" s="374">
        <f t="shared" si="10"/>
        <v>1</v>
      </c>
      <c r="AA20" s="374">
        <f t="shared" si="11"/>
        <v>1</v>
      </c>
      <c r="AB20" s="374">
        <f t="shared" si="12"/>
        <v>1</v>
      </c>
      <c r="AC20" s="374">
        <f t="shared" si="13"/>
        <v>1</v>
      </c>
      <c r="AD20" s="374">
        <f t="shared" si="14"/>
        <v>1</v>
      </c>
      <c r="AE20" s="374">
        <f t="shared" si="15"/>
        <v>1</v>
      </c>
      <c r="AF20" s="374">
        <f t="shared" si="16"/>
        <v>1</v>
      </c>
      <c r="AG20" s="374" t="str">
        <f t="shared" si="17"/>
        <v/>
      </c>
      <c r="AH20" s="374">
        <f t="shared" si="18"/>
        <v>1</v>
      </c>
      <c r="AI20" s="374">
        <f t="shared" si="19"/>
        <v>1</v>
      </c>
      <c r="AJ20" s="374" t="str">
        <f t="shared" si="20"/>
        <v/>
      </c>
      <c r="AK20" s="374" t="str">
        <f t="shared" si="21"/>
        <v/>
      </c>
      <c r="AL20" s="374" t="str">
        <f t="shared" si="22"/>
        <v/>
      </c>
      <c r="AM20" s="514">
        <f t="shared" si="23"/>
        <v>1</v>
      </c>
      <c r="AN20" s="18">
        <v>1</v>
      </c>
      <c r="AR20" s="415">
        <v>1</v>
      </c>
      <c r="AS20" s="416">
        <v>1</v>
      </c>
      <c r="AW20" s="499">
        <v>1</v>
      </c>
      <c r="AX20" s="493">
        <v>1</v>
      </c>
      <c r="BA20" s="493">
        <v>1</v>
      </c>
      <c r="BE20" s="503">
        <v>1</v>
      </c>
      <c r="BF20" s="493">
        <v>1</v>
      </c>
      <c r="BG20" s="493">
        <v>1</v>
      </c>
      <c r="BH20" s="493">
        <v>1</v>
      </c>
      <c r="BI20" s="493">
        <v>1</v>
      </c>
      <c r="BJ20" s="493">
        <v>1</v>
      </c>
      <c r="BK20" s="493">
        <v>1</v>
      </c>
      <c r="BL20" s="493">
        <v>1</v>
      </c>
      <c r="BM20" s="493">
        <v>1</v>
      </c>
      <c r="BN20" s="499">
        <v>1</v>
      </c>
      <c r="BO20" s="503">
        <v>1</v>
      </c>
      <c r="BP20" s="503">
        <v>1</v>
      </c>
      <c r="BR20" s="503">
        <v>1</v>
      </c>
      <c r="BS20" s="503">
        <v>1</v>
      </c>
      <c r="BW20" s="504">
        <v>1</v>
      </c>
    </row>
    <row r="21" spans="1:75" x14ac:dyDescent="0.25">
      <c r="A21" s="1095"/>
      <c r="B21" s="551">
        <f ca="1">IFERROR(IF(P21&lt;&gt;1,select!$A$8,rand!C21),"")</f>
        <v>19</v>
      </c>
      <c r="C21" s="413">
        <v>19</v>
      </c>
      <c r="D21" s="71">
        <f ca="1">IFERROR(OFFSET(P21,0,select!$M$1361),"")</f>
        <v>1</v>
      </c>
      <c r="E21" s="71">
        <f ca="1">IFERROR(OFFSET(P21,0,select!$M$1362),"")</f>
        <v>1</v>
      </c>
      <c r="F21" s="71">
        <f ca="1">IFERROR(OFFSET(P21,0,select!$M$1363),"")</f>
        <v>1</v>
      </c>
      <c r="G21" s="71">
        <f ca="1">IFERROR(OFFSET(P21,0,select!$M$1364),"")</f>
        <v>1</v>
      </c>
      <c r="P21" s="71">
        <f t="shared" ca="1" si="2"/>
        <v>1</v>
      </c>
      <c r="Q21" s="374">
        <f ca="1">IF(OR(select!$L$1347=110,select!$L$1347=120)=TRUE,IF(SUM(AN21:AQ21)&gt;0,1,""),IF(SUM(AN21:AR21)&gt;0,1,""))</f>
        <v>1</v>
      </c>
      <c r="R21" s="374">
        <f ca="1">IF(OR(select!$L$1347=110,select!$L$1347=120)=TRUE,IF(SUM(AS21:AV21)&gt;0,1,""),IF(SUM(AS21:AW21)&gt;0,1,""))</f>
        <v>1</v>
      </c>
      <c r="S21" s="374" t="str">
        <f t="shared" si="3"/>
        <v/>
      </c>
      <c r="T21" s="374" t="str">
        <f t="shared" si="4"/>
        <v/>
      </c>
      <c r="U21" s="374">
        <f t="shared" si="5"/>
        <v>1</v>
      </c>
      <c r="V21" s="374">
        <f t="shared" si="6"/>
        <v>1</v>
      </c>
      <c r="W21" s="374">
        <f t="shared" si="7"/>
        <v>1</v>
      </c>
      <c r="X21" s="374">
        <f t="shared" si="8"/>
        <v>1</v>
      </c>
      <c r="Y21" s="374">
        <f t="shared" si="9"/>
        <v>1</v>
      </c>
      <c r="Z21" s="374">
        <f t="shared" si="10"/>
        <v>1</v>
      </c>
      <c r="AA21" s="374">
        <f t="shared" si="11"/>
        <v>1</v>
      </c>
      <c r="AB21" s="374">
        <f t="shared" si="12"/>
        <v>1</v>
      </c>
      <c r="AC21" s="374">
        <f t="shared" si="13"/>
        <v>1</v>
      </c>
      <c r="AD21" s="374">
        <f t="shared" si="14"/>
        <v>1</v>
      </c>
      <c r="AE21" s="374">
        <f t="shared" si="15"/>
        <v>1</v>
      </c>
      <c r="AF21" s="374" t="str">
        <f t="shared" si="16"/>
        <v/>
      </c>
      <c r="AG21" s="374">
        <f t="shared" si="17"/>
        <v>1</v>
      </c>
      <c r="AH21" s="374" t="str">
        <f t="shared" si="18"/>
        <v/>
      </c>
      <c r="AI21" s="374">
        <f t="shared" si="19"/>
        <v>1</v>
      </c>
      <c r="AJ21" s="374" t="str">
        <f t="shared" si="20"/>
        <v/>
      </c>
      <c r="AK21" s="374" t="str">
        <f t="shared" si="21"/>
        <v/>
      </c>
      <c r="AL21" s="374" t="str">
        <f t="shared" si="22"/>
        <v/>
      </c>
      <c r="AM21" s="514">
        <f t="shared" si="23"/>
        <v>1</v>
      </c>
      <c r="AN21" s="18">
        <v>1</v>
      </c>
      <c r="AR21" s="415">
        <v>1</v>
      </c>
      <c r="AS21" s="416">
        <v>1</v>
      </c>
      <c r="AW21" s="499">
        <v>1</v>
      </c>
      <c r="BE21" s="503">
        <v>1</v>
      </c>
      <c r="BF21" s="493">
        <v>1</v>
      </c>
      <c r="BG21" s="493">
        <v>1</v>
      </c>
      <c r="BH21" s="493">
        <v>1</v>
      </c>
      <c r="BI21" s="493">
        <v>1</v>
      </c>
      <c r="BJ21" s="493">
        <v>1</v>
      </c>
      <c r="BK21" s="493">
        <v>1</v>
      </c>
      <c r="BL21" s="493">
        <v>1</v>
      </c>
      <c r="BM21" s="493">
        <v>1</v>
      </c>
      <c r="BN21" s="499">
        <v>1</v>
      </c>
      <c r="BO21" s="503">
        <v>1</v>
      </c>
      <c r="BQ21" s="503">
        <v>1</v>
      </c>
      <c r="BS21" s="503">
        <v>1</v>
      </c>
      <c r="BW21" s="504">
        <v>1</v>
      </c>
    </row>
    <row r="22" spans="1:75" x14ac:dyDescent="0.25">
      <c r="A22" s="1095"/>
      <c r="B22" s="551">
        <f ca="1">IFERROR(IF(P22&lt;&gt;1,select!$A$8,rand!C22),"")</f>
        <v>18</v>
      </c>
      <c r="C22" s="413">
        <v>18</v>
      </c>
      <c r="D22" s="71">
        <f ca="1">IFERROR(OFFSET(P22,0,select!$M$1361),"")</f>
        <v>1</v>
      </c>
      <c r="E22" s="71">
        <f ca="1">IFERROR(OFFSET(P22,0,select!$M$1362),"")</f>
        <v>1</v>
      </c>
      <c r="F22" s="71">
        <f ca="1">IFERROR(OFFSET(P22,0,select!$M$1363),"")</f>
        <v>1</v>
      </c>
      <c r="G22" s="71">
        <f ca="1">IFERROR(OFFSET(P22,0,select!$M$1364),"")</f>
        <v>1</v>
      </c>
      <c r="P22" s="71">
        <f t="shared" ca="1" si="2"/>
        <v>1</v>
      </c>
      <c r="Q22" s="374">
        <f ca="1">IF(OR(select!$L$1347=110,select!$L$1347=120)=TRUE,IF(SUM(AN22:AQ22)&gt;0,1,""),IF(SUM(AN22:AR22)&gt;0,1,""))</f>
        <v>1</v>
      </c>
      <c r="R22" s="374">
        <f ca="1">IF(OR(select!$L$1347=110,select!$L$1347=120)=TRUE,IF(SUM(AS22:AV22)&gt;0,1,""),IF(SUM(AS22:AW22)&gt;0,1,""))</f>
        <v>1</v>
      </c>
      <c r="S22" s="374">
        <f t="shared" si="3"/>
        <v>1</v>
      </c>
      <c r="T22" s="374">
        <f t="shared" si="4"/>
        <v>1</v>
      </c>
      <c r="U22" s="374">
        <f t="shared" si="5"/>
        <v>1</v>
      </c>
      <c r="V22" s="374">
        <f t="shared" si="6"/>
        <v>1</v>
      </c>
      <c r="W22" s="374">
        <f t="shared" si="7"/>
        <v>1</v>
      </c>
      <c r="X22" s="374">
        <f t="shared" si="8"/>
        <v>1</v>
      </c>
      <c r="Y22" s="374">
        <f t="shared" si="9"/>
        <v>1</v>
      </c>
      <c r="Z22" s="374">
        <f t="shared" si="10"/>
        <v>1</v>
      </c>
      <c r="AA22" s="374">
        <f t="shared" si="11"/>
        <v>1</v>
      </c>
      <c r="AB22" s="374">
        <f t="shared" si="12"/>
        <v>1</v>
      </c>
      <c r="AC22" s="374">
        <f t="shared" si="13"/>
        <v>1</v>
      </c>
      <c r="AD22" s="374">
        <f t="shared" si="14"/>
        <v>1</v>
      </c>
      <c r="AE22" s="374">
        <f t="shared" si="15"/>
        <v>1</v>
      </c>
      <c r="AF22" s="374">
        <f t="shared" si="16"/>
        <v>1</v>
      </c>
      <c r="AG22" s="374" t="str">
        <f t="shared" si="17"/>
        <v/>
      </c>
      <c r="AH22" s="374">
        <f t="shared" si="18"/>
        <v>1</v>
      </c>
      <c r="AI22" s="374">
        <f t="shared" si="19"/>
        <v>1</v>
      </c>
      <c r="AJ22" s="374" t="str">
        <f t="shared" si="20"/>
        <v/>
      </c>
      <c r="AK22" s="374" t="str">
        <f t="shared" si="21"/>
        <v/>
      </c>
      <c r="AL22" s="374" t="str">
        <f t="shared" si="22"/>
        <v/>
      </c>
      <c r="AM22" s="514">
        <f t="shared" si="23"/>
        <v>1</v>
      </c>
      <c r="AN22" s="18">
        <v>1</v>
      </c>
      <c r="AR22" s="415">
        <v>1</v>
      </c>
      <c r="AS22" s="416">
        <v>1</v>
      </c>
      <c r="AW22" s="499">
        <v>1</v>
      </c>
      <c r="AX22" s="493">
        <v>1</v>
      </c>
      <c r="BA22" s="493">
        <v>1</v>
      </c>
      <c r="BE22" s="503">
        <v>1</v>
      </c>
      <c r="BF22" s="493">
        <v>1</v>
      </c>
      <c r="BG22" s="493">
        <v>1</v>
      </c>
      <c r="BH22" s="493">
        <v>1</v>
      </c>
      <c r="BI22" s="493">
        <v>1</v>
      </c>
      <c r="BJ22" s="493">
        <v>1</v>
      </c>
      <c r="BK22" s="493">
        <v>1</v>
      </c>
      <c r="BL22" s="493">
        <v>1</v>
      </c>
      <c r="BM22" s="493">
        <v>1</v>
      </c>
      <c r="BN22" s="499">
        <v>1</v>
      </c>
      <c r="BO22" s="503">
        <v>1</v>
      </c>
      <c r="BP22" s="503">
        <v>1</v>
      </c>
      <c r="BR22" s="503">
        <v>1</v>
      </c>
      <c r="BS22" s="503">
        <v>1</v>
      </c>
      <c r="BW22" s="504">
        <v>1</v>
      </c>
    </row>
    <row r="23" spans="1:75" x14ac:dyDescent="0.25">
      <c r="A23" s="1095"/>
      <c r="B23" s="551">
        <f ca="1">IFERROR(IF(P23&lt;&gt;1,select!$A$8,rand!C23),"")</f>
        <v>17</v>
      </c>
      <c r="C23" s="413">
        <v>17</v>
      </c>
      <c r="D23" s="71">
        <f ca="1">IFERROR(OFFSET(P23,0,select!$M$1361),"")</f>
        <v>1</v>
      </c>
      <c r="E23" s="71">
        <f ca="1">IFERROR(OFFSET(P23,0,select!$M$1362),"")</f>
        <v>1</v>
      </c>
      <c r="F23" s="71">
        <f ca="1">IFERROR(OFFSET(P23,0,select!$M$1363),"")</f>
        <v>1</v>
      </c>
      <c r="G23" s="71">
        <f ca="1">IFERROR(OFFSET(P23,0,select!$M$1364),"")</f>
        <v>1</v>
      </c>
      <c r="P23" s="71">
        <f t="shared" ca="1" si="2"/>
        <v>1</v>
      </c>
      <c r="Q23" s="374">
        <f ca="1">IF(OR(select!$L$1347=110,select!$L$1347=120)=TRUE,IF(SUM(AN23:AQ23)&gt;0,1,""),IF(SUM(AN23:AR23)&gt;0,1,""))</f>
        <v>1</v>
      </c>
      <c r="R23" s="374">
        <f ca="1">IF(OR(select!$L$1347=110,select!$L$1347=120)=TRUE,IF(SUM(AS23:AV23)&gt;0,1,""),IF(SUM(AS23:AW23)&gt;0,1,""))</f>
        <v>1</v>
      </c>
      <c r="S23" s="374" t="str">
        <f t="shared" si="3"/>
        <v/>
      </c>
      <c r="T23" s="374" t="str">
        <f t="shared" si="4"/>
        <v/>
      </c>
      <c r="U23" s="374">
        <f t="shared" si="5"/>
        <v>1</v>
      </c>
      <c r="V23" s="374">
        <f t="shared" si="6"/>
        <v>1</v>
      </c>
      <c r="W23" s="374">
        <f t="shared" si="7"/>
        <v>1</v>
      </c>
      <c r="X23" s="374">
        <f t="shared" si="8"/>
        <v>1</v>
      </c>
      <c r="Y23" s="374">
        <f t="shared" si="9"/>
        <v>1</v>
      </c>
      <c r="Z23" s="374">
        <f t="shared" si="10"/>
        <v>1</v>
      </c>
      <c r="AA23" s="374">
        <f t="shared" si="11"/>
        <v>1</v>
      </c>
      <c r="AB23" s="374">
        <f t="shared" si="12"/>
        <v>1</v>
      </c>
      <c r="AC23" s="374">
        <f t="shared" si="13"/>
        <v>1</v>
      </c>
      <c r="AD23" s="374">
        <f t="shared" si="14"/>
        <v>1</v>
      </c>
      <c r="AE23" s="374">
        <f t="shared" si="15"/>
        <v>1</v>
      </c>
      <c r="AF23" s="374" t="str">
        <f t="shared" si="16"/>
        <v/>
      </c>
      <c r="AG23" s="374" t="str">
        <f t="shared" si="17"/>
        <v/>
      </c>
      <c r="AH23" s="374" t="str">
        <f t="shared" si="18"/>
        <v/>
      </c>
      <c r="AI23" s="374">
        <f t="shared" si="19"/>
        <v>1</v>
      </c>
      <c r="AJ23" s="374" t="str">
        <f t="shared" si="20"/>
        <v/>
      </c>
      <c r="AK23" s="374" t="str">
        <f t="shared" si="21"/>
        <v/>
      </c>
      <c r="AL23" s="374" t="str">
        <f t="shared" si="22"/>
        <v/>
      </c>
      <c r="AM23" s="514">
        <f t="shared" si="23"/>
        <v>1</v>
      </c>
      <c r="AN23" s="18">
        <v>1</v>
      </c>
      <c r="AS23" s="416">
        <v>1</v>
      </c>
      <c r="BE23" s="503">
        <v>1</v>
      </c>
      <c r="BF23" s="493">
        <v>1</v>
      </c>
      <c r="BG23" s="493">
        <v>1</v>
      </c>
      <c r="BH23" s="493">
        <v>1</v>
      </c>
      <c r="BI23" s="493">
        <v>1</v>
      </c>
      <c r="BJ23" s="493">
        <v>1</v>
      </c>
      <c r="BK23" s="493">
        <v>1</v>
      </c>
      <c r="BL23" s="493">
        <v>1</v>
      </c>
      <c r="BM23" s="493">
        <v>1</v>
      </c>
      <c r="BN23" s="499">
        <v>1</v>
      </c>
      <c r="BO23" s="503">
        <v>1</v>
      </c>
      <c r="BS23" s="503">
        <v>1</v>
      </c>
      <c r="BW23" s="504">
        <v>1</v>
      </c>
    </row>
    <row r="24" spans="1:75" x14ac:dyDescent="0.25">
      <c r="A24" s="1095"/>
      <c r="B24" s="551">
        <f ca="1">IFERROR(IF(P24&lt;&gt;1,select!$A$8,rand!C24),"")</f>
        <v>16</v>
      </c>
      <c r="C24" s="413">
        <v>16</v>
      </c>
      <c r="D24" s="71">
        <f ca="1">IFERROR(OFFSET(P24,0,select!$M$1361),"")</f>
        <v>1</v>
      </c>
      <c r="E24" s="71">
        <f ca="1">IFERROR(OFFSET(P24,0,select!$M$1362),"")</f>
        <v>1</v>
      </c>
      <c r="F24" s="71">
        <f ca="1">IFERROR(OFFSET(P24,0,select!$M$1363),"")</f>
        <v>1</v>
      </c>
      <c r="G24" s="71">
        <f ca="1">IFERROR(OFFSET(P24,0,select!$M$1364),"")</f>
        <v>1</v>
      </c>
      <c r="P24" s="71">
        <f t="shared" ca="1" si="2"/>
        <v>1</v>
      </c>
      <c r="Q24" s="374">
        <f ca="1">IF(OR(select!$L$1347=110,select!$L$1347=120)=TRUE,IF(SUM(AN24:AQ24)&gt;0,1,""),IF(SUM(AN24:AR24)&gt;0,1,""))</f>
        <v>1</v>
      </c>
      <c r="R24" s="374">
        <f ca="1">IF(OR(select!$L$1347=110,select!$L$1347=120)=TRUE,IF(SUM(AS24:AV24)&gt;0,1,""),IF(SUM(AS24:AW24)&gt;0,1,""))</f>
        <v>1</v>
      </c>
      <c r="S24" s="374">
        <f t="shared" si="3"/>
        <v>1</v>
      </c>
      <c r="T24" s="374">
        <f t="shared" si="4"/>
        <v>1</v>
      </c>
      <c r="U24" s="374">
        <f t="shared" si="5"/>
        <v>1</v>
      </c>
      <c r="V24" s="374">
        <f t="shared" si="6"/>
        <v>1</v>
      </c>
      <c r="W24" s="374">
        <f t="shared" si="7"/>
        <v>1</v>
      </c>
      <c r="X24" s="374">
        <f t="shared" si="8"/>
        <v>1</v>
      </c>
      <c r="Y24" s="374">
        <f t="shared" si="9"/>
        <v>1</v>
      </c>
      <c r="Z24" s="374">
        <f t="shared" si="10"/>
        <v>1</v>
      </c>
      <c r="AA24" s="374">
        <f t="shared" si="11"/>
        <v>1</v>
      </c>
      <c r="AB24" s="374">
        <f t="shared" si="12"/>
        <v>1</v>
      </c>
      <c r="AC24" s="374">
        <f t="shared" si="13"/>
        <v>1</v>
      </c>
      <c r="AD24" s="374">
        <f t="shared" si="14"/>
        <v>1</v>
      </c>
      <c r="AE24" s="374">
        <f t="shared" si="15"/>
        <v>1</v>
      </c>
      <c r="AF24" s="374">
        <f t="shared" si="16"/>
        <v>1</v>
      </c>
      <c r="AG24" s="374">
        <f t="shared" si="17"/>
        <v>1</v>
      </c>
      <c r="AH24" s="374">
        <f t="shared" si="18"/>
        <v>1</v>
      </c>
      <c r="AI24" s="374">
        <f t="shared" si="19"/>
        <v>1</v>
      </c>
      <c r="AJ24" s="374" t="str">
        <f t="shared" si="20"/>
        <v/>
      </c>
      <c r="AK24" s="374" t="str">
        <f t="shared" si="21"/>
        <v/>
      </c>
      <c r="AL24" s="374" t="str">
        <f t="shared" si="22"/>
        <v/>
      </c>
      <c r="AM24" s="514">
        <f t="shared" si="23"/>
        <v>1</v>
      </c>
      <c r="AN24" s="18">
        <v>1</v>
      </c>
      <c r="AR24" s="415">
        <v>1</v>
      </c>
      <c r="AS24" s="416">
        <v>1</v>
      </c>
      <c r="AW24" s="499">
        <v>1</v>
      </c>
      <c r="AX24" s="493">
        <v>1</v>
      </c>
      <c r="BA24" s="493">
        <v>1</v>
      </c>
      <c r="BE24" s="503">
        <v>1</v>
      </c>
      <c r="BF24" s="493">
        <v>1</v>
      </c>
      <c r="BG24" s="493">
        <v>1</v>
      </c>
      <c r="BH24" s="493">
        <v>1</v>
      </c>
      <c r="BI24" s="493">
        <v>1</v>
      </c>
      <c r="BJ24" s="493">
        <v>1</v>
      </c>
      <c r="BK24" s="493">
        <v>1</v>
      </c>
      <c r="BL24" s="493">
        <v>1</v>
      </c>
      <c r="BM24" s="493">
        <v>1</v>
      </c>
      <c r="BN24" s="499">
        <v>1</v>
      </c>
      <c r="BO24" s="503">
        <v>1</v>
      </c>
      <c r="BP24" s="503">
        <v>1</v>
      </c>
      <c r="BQ24" s="503">
        <v>1</v>
      </c>
      <c r="BR24" s="503">
        <v>1</v>
      </c>
      <c r="BS24" s="503">
        <v>1</v>
      </c>
      <c r="BW24" s="504">
        <v>1</v>
      </c>
    </row>
    <row r="25" spans="1:75" x14ac:dyDescent="0.25">
      <c r="A25" s="1095"/>
      <c r="B25" s="551">
        <f ca="1">IFERROR(IF(P25&lt;&gt;1,select!$A$8,rand!C25),"")</f>
        <v>15</v>
      </c>
      <c r="C25" s="413">
        <v>15</v>
      </c>
      <c r="D25" s="71" t="str">
        <f ca="1">IFERROR(OFFSET(P25,0,select!$M$1361),"")</f>
        <v/>
      </c>
      <c r="E25" s="71" t="str">
        <f ca="1">IFERROR(OFFSET(P25,0,select!$M$1362),"")</f>
        <v/>
      </c>
      <c r="F25" s="71" t="str">
        <f ca="1">IFERROR(OFFSET(P25,0,select!$M$1363),"")</f>
        <v/>
      </c>
      <c r="G25" s="71">
        <f ca="1">IFERROR(OFFSET(P25,0,select!$M$1364),"")</f>
        <v>1</v>
      </c>
      <c r="P25" s="71">
        <f t="shared" ca="1" si="2"/>
        <v>1</v>
      </c>
      <c r="Q25" s="374" t="str">
        <f ca="1">IF(OR(select!$L$1347=110,select!$L$1347=120)=TRUE,IF(SUM(AN25:AQ25)&gt;0,1,""),IF(SUM(AN25:AR25)&gt;0,1,""))</f>
        <v/>
      </c>
      <c r="R25" s="374" t="str">
        <f ca="1">IF(OR(select!$L$1347=110,select!$L$1347=120)=TRUE,IF(SUM(AS25:AV25)&gt;0,1,""),IF(SUM(AS25:AW25)&gt;0,1,""))</f>
        <v/>
      </c>
      <c r="S25" s="374" t="str">
        <f t="shared" si="3"/>
        <v/>
      </c>
      <c r="T25" s="374" t="str">
        <f t="shared" si="4"/>
        <v/>
      </c>
      <c r="U25" s="374" t="str">
        <f t="shared" si="5"/>
        <v/>
      </c>
      <c r="V25" s="374" t="str">
        <f t="shared" si="6"/>
        <v/>
      </c>
      <c r="W25" s="374" t="str">
        <f t="shared" si="7"/>
        <v/>
      </c>
      <c r="X25" s="374">
        <f t="shared" si="8"/>
        <v>1</v>
      </c>
      <c r="Y25" s="374" t="str">
        <f t="shared" si="9"/>
        <v/>
      </c>
      <c r="Z25" s="374">
        <f t="shared" si="10"/>
        <v>1</v>
      </c>
      <c r="AA25" s="374" t="str">
        <f t="shared" si="11"/>
        <v/>
      </c>
      <c r="AB25" s="374">
        <f t="shared" si="12"/>
        <v>1</v>
      </c>
      <c r="AC25" s="374" t="str">
        <f t="shared" si="13"/>
        <v/>
      </c>
      <c r="AD25" s="374" t="str">
        <f t="shared" si="14"/>
        <v/>
      </c>
      <c r="AE25" s="374" t="str">
        <f t="shared" si="15"/>
        <v/>
      </c>
      <c r="AF25" s="374" t="str">
        <f t="shared" si="16"/>
        <v/>
      </c>
      <c r="AG25" s="374">
        <f t="shared" si="17"/>
        <v>1</v>
      </c>
      <c r="AH25" s="374" t="str">
        <f t="shared" si="18"/>
        <v/>
      </c>
      <c r="AI25" s="374">
        <f t="shared" si="19"/>
        <v>1</v>
      </c>
      <c r="AJ25" s="374" t="str">
        <f t="shared" si="20"/>
        <v/>
      </c>
      <c r="AK25" s="374" t="str">
        <f t="shared" si="21"/>
        <v/>
      </c>
      <c r="AL25" s="374" t="str">
        <f t="shared" si="22"/>
        <v/>
      </c>
      <c r="AM25" s="514" t="str">
        <f t="shared" si="23"/>
        <v/>
      </c>
      <c r="BH25" s="493">
        <v>1</v>
      </c>
      <c r="BJ25" s="493">
        <v>1</v>
      </c>
      <c r="BL25" s="493">
        <v>1</v>
      </c>
      <c r="BQ25" s="503">
        <v>1</v>
      </c>
      <c r="BS25" s="503">
        <v>1</v>
      </c>
    </row>
    <row r="26" spans="1:75" x14ac:dyDescent="0.25">
      <c r="A26" s="1095"/>
      <c r="B26" s="551">
        <f ca="1">IFERROR(IF(P26&lt;&gt;1,select!$A$8,rand!C26),"")</f>
        <v>14</v>
      </c>
      <c r="C26" s="413">
        <v>14</v>
      </c>
      <c r="D26" s="71" t="str">
        <f ca="1">IFERROR(OFFSET(P26,0,select!$M$1361),"")</f>
        <v/>
      </c>
      <c r="E26" s="71" t="str">
        <f ca="1">IFERROR(OFFSET(P26,0,select!$M$1362),"")</f>
        <v/>
      </c>
      <c r="F26" s="71" t="str">
        <f ca="1">IFERROR(OFFSET(P26,0,select!$M$1363),"")</f>
        <v/>
      </c>
      <c r="G26" s="71">
        <f ca="1">IFERROR(OFFSET(P26,0,select!$M$1364),"")</f>
        <v>1</v>
      </c>
      <c r="P26" s="71">
        <f t="shared" ca="1" si="2"/>
        <v>1</v>
      </c>
      <c r="Q26" s="374" t="str">
        <f ca="1">IF(OR(select!$L$1347=110,select!$L$1347=120)=TRUE,IF(SUM(AN26:AQ26)&gt;0,1,""),IF(SUM(AN26:AR26)&gt;0,1,""))</f>
        <v/>
      </c>
      <c r="R26" s="374" t="str">
        <f ca="1">IF(OR(select!$L$1347=110,select!$L$1347=120)=TRUE,IF(SUM(AS26:AV26)&gt;0,1,""),IF(SUM(AS26:AW26)&gt;0,1,""))</f>
        <v/>
      </c>
      <c r="S26" s="374" t="str">
        <f t="shared" si="3"/>
        <v/>
      </c>
      <c r="T26" s="374" t="str">
        <f t="shared" si="4"/>
        <v/>
      </c>
      <c r="U26" s="374" t="str">
        <f t="shared" si="5"/>
        <v/>
      </c>
      <c r="V26" s="374" t="str">
        <f t="shared" si="6"/>
        <v/>
      </c>
      <c r="W26" s="374" t="str">
        <f t="shared" si="7"/>
        <v/>
      </c>
      <c r="X26" s="374" t="str">
        <f t="shared" si="8"/>
        <v/>
      </c>
      <c r="Y26" s="374" t="str">
        <f t="shared" si="9"/>
        <v/>
      </c>
      <c r="Z26" s="374" t="str">
        <f t="shared" si="10"/>
        <v/>
      </c>
      <c r="AA26" s="374" t="str">
        <f t="shared" si="11"/>
        <v/>
      </c>
      <c r="AB26" s="374" t="str">
        <f t="shared" si="12"/>
        <v/>
      </c>
      <c r="AC26" s="374" t="str">
        <f t="shared" si="13"/>
        <v/>
      </c>
      <c r="AD26" s="374" t="str">
        <f t="shared" si="14"/>
        <v/>
      </c>
      <c r="AE26" s="374" t="str">
        <f t="shared" si="15"/>
        <v/>
      </c>
      <c r="AF26" s="374" t="str">
        <f t="shared" si="16"/>
        <v/>
      </c>
      <c r="AG26" s="374">
        <f t="shared" si="17"/>
        <v>1</v>
      </c>
      <c r="AH26" s="374" t="str">
        <f t="shared" si="18"/>
        <v/>
      </c>
      <c r="AI26" s="374">
        <f t="shared" si="19"/>
        <v>1</v>
      </c>
      <c r="AJ26" s="374" t="str">
        <f t="shared" si="20"/>
        <v/>
      </c>
      <c r="AK26" s="374" t="str">
        <f t="shared" si="21"/>
        <v/>
      </c>
      <c r="AL26" s="374" t="str">
        <f t="shared" si="22"/>
        <v/>
      </c>
      <c r="AM26" s="514" t="str">
        <f t="shared" si="23"/>
        <v/>
      </c>
      <c r="BQ26" s="503">
        <v>1</v>
      </c>
      <c r="BS26" s="503">
        <v>1</v>
      </c>
    </row>
    <row r="27" spans="1:75" x14ac:dyDescent="0.25">
      <c r="A27" s="1095"/>
      <c r="B27" s="551">
        <f ca="1">IFERROR(IF(P27&lt;&gt;1,select!$A$8,rand!C27),"")</f>
        <v>13</v>
      </c>
      <c r="C27" s="413">
        <v>13</v>
      </c>
      <c r="D27" s="71" t="str">
        <f ca="1">IFERROR(OFFSET(P27,0,select!$M$1361),"")</f>
        <v/>
      </c>
      <c r="E27" s="71" t="str">
        <f ca="1">IFERROR(OFFSET(P27,0,select!$M$1362),"")</f>
        <v/>
      </c>
      <c r="F27" s="71" t="str">
        <f ca="1">IFERROR(OFFSET(P27,0,select!$M$1363),"")</f>
        <v/>
      </c>
      <c r="G27" s="71">
        <f ca="1">IFERROR(OFFSET(P27,0,select!$M$1364),"")</f>
        <v>1</v>
      </c>
      <c r="P27" s="71">
        <f t="shared" ca="1" si="2"/>
        <v>1</v>
      </c>
      <c r="Q27" s="374" t="str">
        <f ca="1">IF(OR(select!$L$1347=110,select!$L$1347=120)=TRUE,IF(SUM(AN27:AQ27)&gt;0,1,""),IF(SUM(AN27:AR27)&gt;0,1,""))</f>
        <v/>
      </c>
      <c r="R27" s="374" t="str">
        <f ca="1">IF(OR(select!$L$1347=110,select!$L$1347=120)=TRUE,IF(SUM(AS27:AV27)&gt;0,1,""),IF(SUM(AS27:AW27)&gt;0,1,""))</f>
        <v/>
      </c>
      <c r="S27" s="374" t="str">
        <f t="shared" si="3"/>
        <v/>
      </c>
      <c r="T27" s="374" t="str">
        <f t="shared" si="4"/>
        <v/>
      </c>
      <c r="U27" s="374" t="str">
        <f t="shared" si="5"/>
        <v/>
      </c>
      <c r="V27" s="374" t="str">
        <f t="shared" si="6"/>
        <v/>
      </c>
      <c r="W27" s="374" t="str">
        <f t="shared" si="7"/>
        <v/>
      </c>
      <c r="X27" s="374" t="str">
        <f t="shared" si="8"/>
        <v/>
      </c>
      <c r="Y27" s="374" t="str">
        <f t="shared" si="9"/>
        <v/>
      </c>
      <c r="Z27" s="374" t="str">
        <f t="shared" si="10"/>
        <v/>
      </c>
      <c r="AA27" s="374" t="str">
        <f t="shared" si="11"/>
        <v/>
      </c>
      <c r="AB27" s="374" t="str">
        <f t="shared" si="12"/>
        <v/>
      </c>
      <c r="AC27" s="374" t="str">
        <f t="shared" si="13"/>
        <v/>
      </c>
      <c r="AD27" s="374" t="str">
        <f t="shared" si="14"/>
        <v/>
      </c>
      <c r="AE27" s="374" t="str">
        <f t="shared" si="15"/>
        <v/>
      </c>
      <c r="AF27" s="374" t="str">
        <f t="shared" si="16"/>
        <v/>
      </c>
      <c r="AG27" s="374" t="str">
        <f t="shared" si="17"/>
        <v/>
      </c>
      <c r="AH27" s="374" t="str">
        <f t="shared" si="18"/>
        <v/>
      </c>
      <c r="AI27" s="374">
        <f t="shared" si="19"/>
        <v>1</v>
      </c>
      <c r="AJ27" s="374" t="str">
        <f t="shared" si="20"/>
        <v/>
      </c>
      <c r="AK27" s="374" t="str">
        <f t="shared" si="21"/>
        <v/>
      </c>
      <c r="AL27" s="374" t="str">
        <f t="shared" si="22"/>
        <v/>
      </c>
      <c r="AM27" s="514" t="str">
        <f t="shared" si="23"/>
        <v/>
      </c>
      <c r="BS27" s="503">
        <v>1</v>
      </c>
    </row>
    <row r="28" spans="1:75" x14ac:dyDescent="0.25">
      <c r="A28" s="1095"/>
      <c r="B28" s="551">
        <f ca="1">IFERROR(IF(P28&lt;&gt;1,select!$A$8,rand!C28),"")</f>
        <v>12</v>
      </c>
      <c r="C28" s="413">
        <v>12</v>
      </c>
      <c r="D28" s="71" t="str">
        <f ca="1">IFERROR(OFFSET(P28,0,select!$M$1361),"")</f>
        <v/>
      </c>
      <c r="E28" s="71" t="str">
        <f ca="1">IFERROR(OFFSET(P28,0,select!$M$1362),"")</f>
        <v/>
      </c>
      <c r="F28" s="71" t="str">
        <f ca="1">IFERROR(OFFSET(P28,0,select!$M$1363),"")</f>
        <v/>
      </c>
      <c r="G28" s="71">
        <f ca="1">IFERROR(OFFSET(P28,0,select!$M$1364),"")</f>
        <v>1</v>
      </c>
      <c r="P28" s="71">
        <f t="shared" ca="1" si="2"/>
        <v>1</v>
      </c>
      <c r="Q28" s="374" t="str">
        <f ca="1">IF(OR(select!$L$1347=110,select!$L$1347=120)=TRUE,IF(SUM(AN28:AQ28)&gt;0,1,""),IF(SUM(AN28:AR28)&gt;0,1,""))</f>
        <v/>
      </c>
      <c r="R28" s="374" t="str">
        <f ca="1">IF(OR(select!$L$1347=110,select!$L$1347=120)=TRUE,IF(SUM(AS28:AV28)&gt;0,1,""),IF(SUM(AS28:AW28)&gt;0,1,""))</f>
        <v/>
      </c>
      <c r="S28" s="374" t="str">
        <f t="shared" si="3"/>
        <v/>
      </c>
      <c r="T28" s="374" t="str">
        <f t="shared" si="4"/>
        <v/>
      </c>
      <c r="U28" s="374" t="str">
        <f t="shared" si="5"/>
        <v/>
      </c>
      <c r="V28" s="374" t="str">
        <f t="shared" si="6"/>
        <v/>
      </c>
      <c r="W28" s="374" t="str">
        <f t="shared" si="7"/>
        <v/>
      </c>
      <c r="X28" s="374" t="str">
        <f t="shared" si="8"/>
        <v/>
      </c>
      <c r="Y28" s="374" t="str">
        <f t="shared" si="9"/>
        <v/>
      </c>
      <c r="Z28" s="374" t="str">
        <f t="shared" si="10"/>
        <v/>
      </c>
      <c r="AA28" s="374" t="str">
        <f t="shared" si="11"/>
        <v/>
      </c>
      <c r="AB28" s="374" t="str">
        <f t="shared" si="12"/>
        <v/>
      </c>
      <c r="AC28" s="374" t="str">
        <f t="shared" si="13"/>
        <v/>
      </c>
      <c r="AD28" s="374" t="str">
        <f t="shared" si="14"/>
        <v/>
      </c>
      <c r="AE28" s="374" t="str">
        <f t="shared" si="15"/>
        <v/>
      </c>
      <c r="AF28" s="374" t="str">
        <f t="shared" si="16"/>
        <v/>
      </c>
      <c r="AG28" s="374" t="str">
        <f t="shared" si="17"/>
        <v/>
      </c>
      <c r="AH28" s="374" t="str">
        <f t="shared" si="18"/>
        <v/>
      </c>
      <c r="AI28" s="374">
        <f t="shared" si="19"/>
        <v>1</v>
      </c>
      <c r="AJ28" s="374" t="str">
        <f t="shared" si="20"/>
        <v/>
      </c>
      <c r="AK28" s="374" t="str">
        <f t="shared" si="21"/>
        <v/>
      </c>
      <c r="AL28" s="374" t="str">
        <f t="shared" si="22"/>
        <v/>
      </c>
      <c r="AM28" s="514" t="str">
        <f t="shared" si="23"/>
        <v/>
      </c>
      <c r="BS28" s="503">
        <v>1</v>
      </c>
    </row>
    <row r="29" spans="1:75" x14ac:dyDescent="0.25">
      <c r="A29" s="1095"/>
      <c r="B29" s="551" t="str">
        <f ca="1">IFERROR(IF(P29&lt;&gt;1,select!$A$8,rand!C29),"")</f>
        <v>---------</v>
      </c>
      <c r="C29" s="413">
        <v>10</v>
      </c>
      <c r="D29" s="71" t="str">
        <f ca="1">IFERROR(OFFSET(P29,0,select!$M$1361),"")</f>
        <v/>
      </c>
      <c r="E29" s="71" t="str">
        <f ca="1">IFERROR(OFFSET(P29,0,select!$M$1362),"")</f>
        <v/>
      </c>
      <c r="F29" s="71" t="str">
        <f ca="1">IFERROR(OFFSET(P29,0,select!$M$1363),"")</f>
        <v/>
      </c>
      <c r="G29" s="71" t="str">
        <f ca="1">IFERROR(OFFSET(P29,0,select!$M$1364),"")</f>
        <v/>
      </c>
      <c r="P29" s="71" t="str">
        <f t="shared" ca="1" si="2"/>
        <v/>
      </c>
      <c r="Q29" s="374" t="str">
        <f ca="1">IF(OR(select!$L$1347=110,select!$L$1347=120)=TRUE,IF(SUM(AN29:AQ29)&gt;0,1,""),IF(SUM(AN29:AR29)&gt;0,1,""))</f>
        <v/>
      </c>
      <c r="R29" s="374" t="str">
        <f ca="1">IF(OR(select!$L$1347=110,select!$L$1347=120)=TRUE,IF(SUM(AS29:AV29)&gt;0,1,""),IF(SUM(AS29:AW29)&gt;0,1,""))</f>
        <v/>
      </c>
      <c r="S29" s="374" t="str">
        <f t="shared" ref="S29:S34" si="24">IF(SUM(AX29:AZ29)&gt;0,1,"")</f>
        <v/>
      </c>
      <c r="T29" s="374" t="str">
        <f t="shared" ref="T29:T34" si="25">IF(SUM(BA29:BD29)&gt;0,1,"")</f>
        <v/>
      </c>
      <c r="U29" s="374" t="str">
        <f t="shared" ref="U29:U34" si="26">IF(SUM(BE29)&gt;0,1,"")</f>
        <v/>
      </c>
      <c r="V29" s="374" t="str">
        <f t="shared" ref="V29:V34" si="27">IF(SUM(BF29)&gt;0,1,"")</f>
        <v/>
      </c>
      <c r="W29" s="374" t="str">
        <f t="shared" ref="W29:W34" si="28">IF(SUM(BG29)&gt;0,1,"")</f>
        <v/>
      </c>
      <c r="X29" s="374" t="str">
        <f t="shared" ref="X29:X34" si="29">IF(SUM(BH29)&gt;0,1,"")</f>
        <v/>
      </c>
      <c r="Y29" s="374" t="str">
        <f t="shared" ref="Y29:Y34" si="30">IF(SUM(BI29)&gt;0,1,"")</f>
        <v/>
      </c>
      <c r="Z29" s="374" t="str">
        <f t="shared" si="10"/>
        <v/>
      </c>
      <c r="AA29" s="374" t="str">
        <f t="shared" si="11"/>
        <v/>
      </c>
      <c r="AB29" s="374" t="str">
        <f t="shared" si="12"/>
        <v/>
      </c>
      <c r="AC29" s="374" t="str">
        <f t="shared" si="13"/>
        <v/>
      </c>
      <c r="AD29" s="374" t="str">
        <f t="shared" si="14"/>
        <v/>
      </c>
      <c r="AE29" s="374" t="str">
        <f t="shared" si="15"/>
        <v/>
      </c>
      <c r="AF29" s="374" t="str">
        <f t="shared" si="16"/>
        <v/>
      </c>
      <c r="AG29" s="374" t="str">
        <f t="shared" si="17"/>
        <v/>
      </c>
      <c r="AH29" s="374" t="str">
        <f t="shared" si="18"/>
        <v/>
      </c>
      <c r="AI29" s="374" t="str">
        <f t="shared" si="19"/>
        <v/>
      </c>
      <c r="AJ29" s="374">
        <f t="shared" si="20"/>
        <v>1</v>
      </c>
      <c r="AK29" s="374" t="str">
        <f t="shared" si="21"/>
        <v/>
      </c>
      <c r="AL29" s="374" t="str">
        <f t="shared" si="22"/>
        <v/>
      </c>
      <c r="AM29" s="514" t="str">
        <f t="shared" si="23"/>
        <v/>
      </c>
      <c r="BT29" s="503">
        <v>1</v>
      </c>
    </row>
    <row r="30" spans="1:75" x14ac:dyDescent="0.25">
      <c r="A30" s="1095"/>
      <c r="B30" s="551" t="str">
        <f ca="1">IFERROR(IF(P30&lt;&gt;1,select!$A$8,rand!C30),"")</f>
        <v>---------</v>
      </c>
      <c r="C30" s="413">
        <v>9</v>
      </c>
      <c r="D30" s="71" t="str">
        <f ca="1">IFERROR(OFFSET(P30,0,select!$M$1361),"")</f>
        <v/>
      </c>
      <c r="E30" s="71" t="str">
        <f ca="1">IFERROR(OFFSET(P30,0,select!$M$1362),"")</f>
        <v/>
      </c>
      <c r="F30" s="71" t="str">
        <f ca="1">IFERROR(OFFSET(P30,0,select!$M$1363),"")</f>
        <v/>
      </c>
      <c r="G30" s="71" t="str">
        <f ca="1">IFERROR(OFFSET(P30,0,select!$M$1364),"")</f>
        <v/>
      </c>
      <c r="P30" s="71" t="str">
        <f t="shared" ca="1" si="2"/>
        <v/>
      </c>
      <c r="Q30" s="374" t="str">
        <f ca="1">IF(OR(select!$L$1347=110,select!$L$1347=120)=TRUE,IF(SUM(AN30:AQ30)&gt;0,1,""),IF(SUM(AN30:AR30)&gt;0,1,""))</f>
        <v/>
      </c>
      <c r="R30" s="374" t="str">
        <f ca="1">IF(OR(select!$L$1347=110,select!$L$1347=120)=TRUE,IF(SUM(AS30:AV30)&gt;0,1,""),IF(SUM(AS30:AW30)&gt;0,1,""))</f>
        <v/>
      </c>
      <c r="S30" s="374" t="str">
        <f t="shared" si="24"/>
        <v/>
      </c>
      <c r="T30" s="374" t="str">
        <f t="shared" si="25"/>
        <v/>
      </c>
      <c r="U30" s="374" t="str">
        <f t="shared" si="26"/>
        <v/>
      </c>
      <c r="V30" s="374" t="str">
        <f t="shared" si="27"/>
        <v/>
      </c>
      <c r="W30" s="374" t="str">
        <f t="shared" si="28"/>
        <v/>
      </c>
      <c r="X30" s="374" t="str">
        <f t="shared" si="29"/>
        <v/>
      </c>
      <c r="Y30" s="374" t="str">
        <f t="shared" si="30"/>
        <v/>
      </c>
      <c r="Z30" s="374" t="str">
        <f t="shared" si="10"/>
        <v/>
      </c>
      <c r="AA30" s="374" t="str">
        <f t="shared" si="11"/>
        <v/>
      </c>
      <c r="AB30" s="374" t="str">
        <f t="shared" si="12"/>
        <v/>
      </c>
      <c r="AC30" s="374" t="str">
        <f t="shared" si="13"/>
        <v/>
      </c>
      <c r="AD30" s="374" t="str">
        <f t="shared" si="14"/>
        <v/>
      </c>
      <c r="AE30" s="374" t="str">
        <f t="shared" si="15"/>
        <v/>
      </c>
      <c r="AF30" s="374" t="str">
        <f t="shared" si="16"/>
        <v/>
      </c>
      <c r="AG30" s="374" t="str">
        <f t="shared" si="17"/>
        <v/>
      </c>
      <c r="AH30" s="374" t="str">
        <f t="shared" si="18"/>
        <v/>
      </c>
      <c r="AI30" s="374" t="str">
        <f t="shared" si="19"/>
        <v/>
      </c>
      <c r="AJ30" s="374">
        <f t="shared" si="20"/>
        <v>1</v>
      </c>
      <c r="AK30" s="374" t="str">
        <f t="shared" si="21"/>
        <v/>
      </c>
      <c r="AL30" s="374" t="str">
        <f t="shared" si="22"/>
        <v/>
      </c>
      <c r="AM30" s="514" t="str">
        <f t="shared" si="23"/>
        <v/>
      </c>
      <c r="BT30" s="503">
        <v>1</v>
      </c>
    </row>
    <row r="31" spans="1:75" x14ac:dyDescent="0.25">
      <c r="A31" s="1095"/>
      <c r="B31" s="551" t="str">
        <f ca="1">IFERROR(IF(P31&lt;&gt;1,select!$A$8,rand!C31),"")</f>
        <v>---------</v>
      </c>
      <c r="C31" s="413">
        <v>8</v>
      </c>
      <c r="D31" s="71" t="str">
        <f ca="1">IFERROR(OFFSET(P31,0,select!$M$1361),"")</f>
        <v/>
      </c>
      <c r="E31" s="71" t="str">
        <f ca="1">IFERROR(OFFSET(P31,0,select!$M$1362),"")</f>
        <v/>
      </c>
      <c r="F31" s="71" t="str">
        <f ca="1">IFERROR(OFFSET(P31,0,select!$M$1363),"")</f>
        <v/>
      </c>
      <c r="G31" s="71" t="str">
        <f ca="1">IFERROR(OFFSET(P31,0,select!$M$1364),"")</f>
        <v/>
      </c>
      <c r="P31" s="71" t="str">
        <f t="shared" ca="1" si="2"/>
        <v/>
      </c>
      <c r="Q31" s="374" t="str">
        <f ca="1">IF(OR(select!$L$1347=110,select!$L$1347=120)=TRUE,IF(SUM(AN31:AQ31)&gt;0,1,""),IF(SUM(AN31:AR31)&gt;0,1,""))</f>
        <v/>
      </c>
      <c r="R31" s="374" t="str">
        <f ca="1">IF(OR(select!$L$1347=110,select!$L$1347=120)=TRUE,IF(SUM(AS31:AV31)&gt;0,1,""),IF(SUM(AS31:AW31)&gt;0,1,""))</f>
        <v/>
      </c>
      <c r="S31" s="374" t="str">
        <f t="shared" si="24"/>
        <v/>
      </c>
      <c r="T31" s="374" t="str">
        <f t="shared" si="25"/>
        <v/>
      </c>
      <c r="U31" s="374" t="str">
        <f t="shared" si="26"/>
        <v/>
      </c>
      <c r="V31" s="374" t="str">
        <f t="shared" si="27"/>
        <v/>
      </c>
      <c r="W31" s="374" t="str">
        <f t="shared" si="28"/>
        <v/>
      </c>
      <c r="X31" s="374" t="str">
        <f t="shared" si="29"/>
        <v/>
      </c>
      <c r="Y31" s="374" t="str">
        <f t="shared" si="30"/>
        <v/>
      </c>
      <c r="Z31" s="374" t="str">
        <f t="shared" si="10"/>
        <v/>
      </c>
      <c r="AA31" s="374" t="str">
        <f t="shared" si="11"/>
        <v/>
      </c>
      <c r="AB31" s="374" t="str">
        <f t="shared" si="12"/>
        <v/>
      </c>
      <c r="AC31" s="374" t="str">
        <f t="shared" si="13"/>
        <v/>
      </c>
      <c r="AD31" s="374" t="str">
        <f t="shared" si="14"/>
        <v/>
      </c>
      <c r="AE31" s="374" t="str">
        <f t="shared" si="15"/>
        <v/>
      </c>
      <c r="AF31" s="374" t="str">
        <f t="shared" si="16"/>
        <v/>
      </c>
      <c r="AG31" s="374" t="str">
        <f t="shared" si="17"/>
        <v/>
      </c>
      <c r="AH31" s="374" t="str">
        <f t="shared" si="18"/>
        <v/>
      </c>
      <c r="AI31" s="374" t="str">
        <f t="shared" si="19"/>
        <v/>
      </c>
      <c r="AJ31" s="374">
        <f t="shared" si="20"/>
        <v>1</v>
      </c>
      <c r="AK31" s="374" t="str">
        <f t="shared" si="21"/>
        <v/>
      </c>
      <c r="AL31" s="374">
        <f t="shared" si="22"/>
        <v>1</v>
      </c>
      <c r="AM31" s="514" t="str">
        <f t="shared" si="23"/>
        <v/>
      </c>
      <c r="BT31" s="503">
        <v>1</v>
      </c>
      <c r="BV31" s="503">
        <v>1</v>
      </c>
    </row>
    <row r="32" spans="1:75" x14ac:dyDescent="0.25">
      <c r="A32" s="1095"/>
      <c r="B32" s="551" t="str">
        <f ca="1">IFERROR(IF(P32&lt;&gt;1,select!$A$8,rand!C32),"")</f>
        <v>---------</v>
      </c>
      <c r="C32" s="413">
        <v>7</v>
      </c>
      <c r="D32" s="71" t="str">
        <f ca="1">IFERROR(OFFSET(P32,0,select!$M$1361),"")</f>
        <v/>
      </c>
      <c r="E32" s="71" t="str">
        <f ca="1">IFERROR(OFFSET(P32,0,select!$M$1362),"")</f>
        <v/>
      </c>
      <c r="F32" s="71" t="str">
        <f ca="1">IFERROR(OFFSET(P32,0,select!$M$1363),"")</f>
        <v/>
      </c>
      <c r="G32" s="71" t="str">
        <f ca="1">IFERROR(OFFSET(P32,0,select!$M$1364),"")</f>
        <v/>
      </c>
      <c r="P32" s="71" t="str">
        <f t="shared" ca="1" si="2"/>
        <v/>
      </c>
      <c r="Q32" s="374" t="str">
        <f ca="1">IF(OR(select!$L$1347=110,select!$L$1347=120)=TRUE,IF(SUM(AN32:AQ32)&gt;0,1,""),IF(SUM(AN32:AR32)&gt;0,1,""))</f>
        <v/>
      </c>
      <c r="R32" s="374" t="str">
        <f ca="1">IF(OR(select!$L$1347=110,select!$L$1347=120)=TRUE,IF(SUM(AS32:AV32)&gt;0,1,""),IF(SUM(AS32:AW32)&gt;0,1,""))</f>
        <v/>
      </c>
      <c r="S32" s="374" t="str">
        <f t="shared" si="24"/>
        <v/>
      </c>
      <c r="T32" s="374" t="str">
        <f t="shared" si="25"/>
        <v/>
      </c>
      <c r="U32" s="374" t="str">
        <f t="shared" si="26"/>
        <v/>
      </c>
      <c r="V32" s="374" t="str">
        <f t="shared" si="27"/>
        <v/>
      </c>
      <c r="W32" s="374" t="str">
        <f t="shared" si="28"/>
        <v/>
      </c>
      <c r="X32" s="374" t="str">
        <f t="shared" si="29"/>
        <v/>
      </c>
      <c r="Y32" s="374" t="str">
        <f t="shared" si="30"/>
        <v/>
      </c>
      <c r="Z32" s="374" t="str">
        <f t="shared" si="10"/>
        <v/>
      </c>
      <c r="AA32" s="374" t="str">
        <f t="shared" si="11"/>
        <v/>
      </c>
      <c r="AB32" s="374" t="str">
        <f t="shared" si="12"/>
        <v/>
      </c>
      <c r="AC32" s="374" t="str">
        <f t="shared" si="13"/>
        <v/>
      </c>
      <c r="AD32" s="374" t="str">
        <f t="shared" si="14"/>
        <v/>
      </c>
      <c r="AE32" s="374" t="str">
        <f t="shared" si="15"/>
        <v/>
      </c>
      <c r="AF32" s="374" t="str">
        <f t="shared" si="16"/>
        <v/>
      </c>
      <c r="AG32" s="374" t="str">
        <f t="shared" si="17"/>
        <v/>
      </c>
      <c r="AH32" s="374" t="str">
        <f t="shared" si="18"/>
        <v/>
      </c>
      <c r="AI32" s="374" t="str">
        <f t="shared" si="19"/>
        <v/>
      </c>
      <c r="AJ32" s="374">
        <f t="shared" si="20"/>
        <v>1</v>
      </c>
      <c r="AK32" s="374" t="str">
        <f t="shared" si="21"/>
        <v/>
      </c>
      <c r="AL32" s="374">
        <f t="shared" si="22"/>
        <v>1</v>
      </c>
      <c r="AM32" s="514" t="str">
        <f t="shared" si="23"/>
        <v/>
      </c>
      <c r="BT32" s="503">
        <v>1</v>
      </c>
      <c r="BV32" s="503">
        <v>1</v>
      </c>
    </row>
    <row r="33" spans="1:78" x14ac:dyDescent="0.25">
      <c r="A33" s="1095"/>
      <c r="B33" s="551" t="str">
        <f ca="1">IFERROR(IF(P33&lt;&gt;1,select!$A$8,rand!C33),"")</f>
        <v>---------</v>
      </c>
      <c r="C33" s="413">
        <v>6</v>
      </c>
      <c r="D33" s="71" t="str">
        <f ca="1">IFERROR(OFFSET(P33,0,select!$M$1361),"")</f>
        <v/>
      </c>
      <c r="E33" s="71" t="str">
        <f ca="1">IFERROR(OFFSET(P33,0,select!$M$1362),"")</f>
        <v/>
      </c>
      <c r="F33" s="71" t="str">
        <f ca="1">IFERROR(OFFSET(P33,0,select!$M$1363),"")</f>
        <v/>
      </c>
      <c r="G33" s="71" t="str">
        <f ca="1">IFERROR(OFFSET(P33,0,select!$M$1364),"")</f>
        <v/>
      </c>
      <c r="P33" s="71" t="str">
        <f t="shared" ca="1" si="2"/>
        <v/>
      </c>
      <c r="Q33" s="374" t="str">
        <f ca="1">IF(OR(select!$L$1347=110,select!$L$1347=120)=TRUE,IF(SUM(AN33:AQ33)&gt;0,1,""),IF(SUM(AN33:AR33)&gt;0,1,""))</f>
        <v/>
      </c>
      <c r="R33" s="374" t="str">
        <f ca="1">IF(OR(select!$L$1347=110,select!$L$1347=120)=TRUE,IF(SUM(AS33:AV33)&gt;0,1,""),IF(SUM(AS33:AW33)&gt;0,1,""))</f>
        <v/>
      </c>
      <c r="S33" s="374" t="str">
        <f t="shared" si="24"/>
        <v/>
      </c>
      <c r="T33" s="374" t="str">
        <f t="shared" si="25"/>
        <v/>
      </c>
      <c r="U33" s="374" t="str">
        <f t="shared" si="26"/>
        <v/>
      </c>
      <c r="V33" s="374" t="str">
        <f t="shared" si="27"/>
        <v/>
      </c>
      <c r="W33" s="374" t="str">
        <f t="shared" si="28"/>
        <v/>
      </c>
      <c r="X33" s="374" t="str">
        <f t="shared" si="29"/>
        <v/>
      </c>
      <c r="Y33" s="374" t="str">
        <f t="shared" si="30"/>
        <v/>
      </c>
      <c r="Z33" s="374" t="str">
        <f t="shared" si="10"/>
        <v/>
      </c>
      <c r="AA33" s="374" t="str">
        <f t="shared" si="11"/>
        <v/>
      </c>
      <c r="AB33" s="374" t="str">
        <f t="shared" si="12"/>
        <v/>
      </c>
      <c r="AC33" s="374" t="str">
        <f t="shared" si="13"/>
        <v/>
      </c>
      <c r="AD33" s="374" t="str">
        <f t="shared" si="14"/>
        <v/>
      </c>
      <c r="AE33" s="374" t="str">
        <f t="shared" si="15"/>
        <v/>
      </c>
      <c r="AF33" s="374" t="str">
        <f t="shared" si="16"/>
        <v/>
      </c>
      <c r="AG33" s="374" t="str">
        <f t="shared" si="17"/>
        <v/>
      </c>
      <c r="AH33" s="374" t="str">
        <f t="shared" si="18"/>
        <v/>
      </c>
      <c r="AI33" s="374" t="str">
        <f t="shared" si="19"/>
        <v/>
      </c>
      <c r="AJ33" s="374">
        <f t="shared" si="20"/>
        <v>1</v>
      </c>
      <c r="AK33" s="374">
        <f t="shared" si="21"/>
        <v>1</v>
      </c>
      <c r="AL33" s="374">
        <f t="shared" si="22"/>
        <v>1</v>
      </c>
      <c r="AM33" s="514" t="str">
        <f t="shared" si="23"/>
        <v/>
      </c>
      <c r="BT33" s="503">
        <v>1</v>
      </c>
      <c r="BU33" s="503">
        <v>1</v>
      </c>
      <c r="BV33" s="503">
        <v>1</v>
      </c>
    </row>
    <row r="34" spans="1:78" x14ac:dyDescent="0.25">
      <c r="A34" s="1095"/>
      <c r="B34" s="551" t="str">
        <f ca="1">IFERROR(IF(P34&lt;&gt;1,select!$A$8,rand!C34),"")</f>
        <v>---------</v>
      </c>
      <c r="C34" s="413">
        <v>5</v>
      </c>
      <c r="D34" s="71" t="str">
        <f ca="1">IFERROR(OFFSET(P34,0,select!$M$1361),"")</f>
        <v/>
      </c>
      <c r="E34" s="71" t="str">
        <f ca="1">IFERROR(OFFSET(P34,0,select!$M$1362),"")</f>
        <v/>
      </c>
      <c r="F34" s="71" t="str">
        <f ca="1">IFERROR(OFFSET(P34,0,select!$M$1363),"")</f>
        <v/>
      </c>
      <c r="G34" s="71" t="str">
        <f ca="1">IFERROR(OFFSET(P34,0,select!$M$1364),"")</f>
        <v/>
      </c>
      <c r="P34" s="71" t="str">
        <f t="shared" ca="1" si="2"/>
        <v/>
      </c>
      <c r="Q34" s="374" t="str">
        <f ca="1">IF(OR(select!$L$1347=110,select!$L$1347=120)=TRUE,IF(SUM(AN34:AQ34)&gt;0,1,""),IF(SUM(AN34:AR34)&gt;0,1,""))</f>
        <v/>
      </c>
      <c r="R34" s="374" t="str">
        <f ca="1">IF(OR(select!$L$1347=110,select!$L$1347=120)=TRUE,IF(SUM(AS34:AV34)&gt;0,1,""),IF(SUM(AS34:AW34)&gt;0,1,""))</f>
        <v/>
      </c>
      <c r="S34" s="374" t="str">
        <f t="shared" si="24"/>
        <v/>
      </c>
      <c r="T34" s="374" t="str">
        <f t="shared" si="25"/>
        <v/>
      </c>
      <c r="U34" s="374" t="str">
        <f t="shared" si="26"/>
        <v/>
      </c>
      <c r="V34" s="374" t="str">
        <f t="shared" si="27"/>
        <v/>
      </c>
      <c r="W34" s="374" t="str">
        <f t="shared" si="28"/>
        <v/>
      </c>
      <c r="X34" s="374" t="str">
        <f t="shared" si="29"/>
        <v/>
      </c>
      <c r="Y34" s="374" t="str">
        <f t="shared" si="30"/>
        <v/>
      </c>
      <c r="Z34" s="374" t="str">
        <f t="shared" si="10"/>
        <v/>
      </c>
      <c r="AA34" s="374" t="str">
        <f t="shared" si="11"/>
        <v/>
      </c>
      <c r="AB34" s="374" t="str">
        <f t="shared" si="12"/>
        <v/>
      </c>
      <c r="AC34" s="374" t="str">
        <f t="shared" si="13"/>
        <v/>
      </c>
      <c r="AD34" s="374" t="str">
        <f t="shared" si="14"/>
        <v/>
      </c>
      <c r="AE34" s="374" t="str">
        <f t="shared" si="15"/>
        <v/>
      </c>
      <c r="AF34" s="374" t="str">
        <f t="shared" si="16"/>
        <v/>
      </c>
      <c r="AG34" s="374" t="str">
        <f t="shared" si="17"/>
        <v/>
      </c>
      <c r="AH34" s="374" t="str">
        <f t="shared" si="18"/>
        <v/>
      </c>
      <c r="AI34" s="374" t="str">
        <f t="shared" si="19"/>
        <v/>
      </c>
      <c r="AJ34" s="374" t="str">
        <f t="shared" si="20"/>
        <v/>
      </c>
      <c r="AK34" s="374">
        <f t="shared" si="21"/>
        <v>1</v>
      </c>
      <c r="AL34" s="374">
        <f t="shared" si="22"/>
        <v>1</v>
      </c>
      <c r="AM34" s="514" t="str">
        <f t="shared" si="23"/>
        <v/>
      </c>
      <c r="BU34" s="503">
        <v>1</v>
      </c>
      <c r="BV34" s="503">
        <v>1</v>
      </c>
    </row>
    <row r="35" spans="1:78" x14ac:dyDescent="0.25">
      <c r="A35" s="1095"/>
      <c r="B35" s="551" t="str">
        <f ca="1">IFERROR(IF(P35&lt;&gt;1,select!$A$8,rand!C35),"")</f>
        <v>---------</v>
      </c>
      <c r="C35" s="413">
        <v>4</v>
      </c>
      <c r="D35" s="71" t="str">
        <f ca="1">IFERROR(OFFSET(P35,0,select!$M$1361),"")</f>
        <v/>
      </c>
      <c r="E35" s="71" t="str">
        <f ca="1">IFERROR(OFFSET(P35,0,select!$M$1362),"")</f>
        <v/>
      </c>
      <c r="F35" s="71" t="str">
        <f ca="1">IFERROR(OFFSET(P35,0,select!$M$1363),"")</f>
        <v/>
      </c>
      <c r="G35" s="71" t="str">
        <f ca="1">IFERROR(OFFSET(P35,0,select!$M$1364),"")</f>
        <v/>
      </c>
      <c r="P35" s="71" t="str">
        <f t="shared" ca="1" si="2"/>
        <v/>
      </c>
      <c r="Q35" s="374" t="str">
        <f ca="1">IF(OR(select!$L$1347=110,select!$L$1347=120)=TRUE,IF(SUM(AN35:AQ35)&gt;0,1,""),IF(SUM(AN35:AR35)&gt;0,1,""))</f>
        <v/>
      </c>
      <c r="R35" s="374" t="str">
        <f ca="1">IF(OR(select!$L$1347=110,select!$L$1347=120)=TRUE,IF(SUM(AS35:AV35)&gt;0,1,""),IF(SUM(AS35:AW35)&gt;0,1,""))</f>
        <v/>
      </c>
      <c r="S35" s="374" t="str">
        <f t="shared" si="3"/>
        <v/>
      </c>
      <c r="T35" s="374" t="str">
        <f t="shared" si="4"/>
        <v/>
      </c>
      <c r="U35" s="374" t="str">
        <f t="shared" si="5"/>
        <v/>
      </c>
      <c r="V35" s="374" t="str">
        <f t="shared" si="6"/>
        <v/>
      </c>
      <c r="W35" s="374" t="str">
        <f t="shared" si="7"/>
        <v/>
      </c>
      <c r="X35" s="374" t="str">
        <f t="shared" si="8"/>
        <v/>
      </c>
      <c r="Y35" s="374" t="str">
        <f t="shared" si="9"/>
        <v/>
      </c>
      <c r="Z35" s="374" t="str">
        <f t="shared" si="10"/>
        <v/>
      </c>
      <c r="AA35" s="374" t="str">
        <f t="shared" si="11"/>
        <v/>
      </c>
      <c r="AB35" s="374" t="str">
        <f t="shared" si="12"/>
        <v/>
      </c>
      <c r="AC35" s="374" t="str">
        <f t="shared" si="13"/>
        <v/>
      </c>
      <c r="AD35" s="374" t="str">
        <f t="shared" si="14"/>
        <v/>
      </c>
      <c r="AE35" s="374" t="str">
        <f t="shared" si="15"/>
        <v/>
      </c>
      <c r="AF35" s="374" t="str">
        <f t="shared" si="16"/>
        <v/>
      </c>
      <c r="AG35" s="374" t="str">
        <f t="shared" si="17"/>
        <v/>
      </c>
      <c r="AH35" s="374" t="str">
        <f t="shared" si="18"/>
        <v/>
      </c>
      <c r="AI35" s="374" t="str">
        <f t="shared" si="19"/>
        <v/>
      </c>
      <c r="AJ35" s="374" t="str">
        <f t="shared" si="20"/>
        <v/>
      </c>
      <c r="AK35" s="374">
        <f t="shared" si="21"/>
        <v>1</v>
      </c>
      <c r="AL35" s="374">
        <f t="shared" si="22"/>
        <v>1</v>
      </c>
      <c r="AM35" s="514" t="str">
        <f t="shared" si="23"/>
        <v/>
      </c>
      <c r="BU35" s="503">
        <v>1</v>
      </c>
      <c r="BV35" s="503">
        <v>1</v>
      </c>
    </row>
    <row r="36" spans="1:78" s="6" customFormat="1" x14ac:dyDescent="0.25">
      <c r="A36" s="1095"/>
      <c r="B36" s="551" t="str">
        <f ca="1">IFERROR(IF(P36&lt;&gt;1,select!$A$8,rand!C36),"")</f>
        <v>---------</v>
      </c>
      <c r="C36" s="414">
        <v>3</v>
      </c>
      <c r="D36" s="71" t="str">
        <f ca="1">IFERROR(OFFSET(P36,0,select!$M$1361),"")</f>
        <v/>
      </c>
      <c r="E36" s="71" t="str">
        <f ca="1">IFERROR(OFFSET(P36,0,select!$M$1362),"")</f>
        <v/>
      </c>
      <c r="F36" s="71" t="str">
        <f ca="1">IFERROR(OFFSET(P36,0,select!$M$1363),"")</f>
        <v/>
      </c>
      <c r="G36" s="71" t="str">
        <f ca="1">IFERROR(OFFSET(P36,0,select!$M$1364),"")</f>
        <v/>
      </c>
      <c r="H36" s="71"/>
      <c r="I36" s="71"/>
      <c r="J36" s="71"/>
      <c r="K36" s="71"/>
      <c r="L36" s="71"/>
      <c r="M36" s="71"/>
      <c r="N36" s="71"/>
      <c r="O36" s="71"/>
      <c r="P36" s="92" t="str">
        <f t="shared" ca="1" si="2"/>
        <v/>
      </c>
      <c r="Q36" s="380" t="str">
        <f ca="1">IF(OR(select!$L$1347=110,select!$L$1347=120)=TRUE,IF(SUM(AN36:AQ36)&gt;0,1,""),IF(SUM(AN36:AR36)&gt;0,1,""))</f>
        <v/>
      </c>
      <c r="R36" s="374" t="str">
        <f ca="1">IF(OR(select!$L$1347=110,select!$L$1347=120)=TRUE,IF(SUM(AS36:AV36)&gt;0,1,""),IF(SUM(AS36:AW36)&gt;0,1,""))</f>
        <v/>
      </c>
      <c r="S36" s="380" t="str">
        <f t="shared" si="3"/>
        <v/>
      </c>
      <c r="T36" s="380" t="str">
        <f t="shared" si="4"/>
        <v/>
      </c>
      <c r="U36" s="380" t="str">
        <f t="shared" si="5"/>
        <v/>
      </c>
      <c r="V36" s="380" t="str">
        <f t="shared" si="6"/>
        <v/>
      </c>
      <c r="W36" s="380" t="str">
        <f t="shared" si="7"/>
        <v/>
      </c>
      <c r="X36" s="380" t="str">
        <f t="shared" si="8"/>
        <v/>
      </c>
      <c r="Y36" s="380" t="str">
        <f t="shared" si="9"/>
        <v/>
      </c>
      <c r="Z36" s="380" t="str">
        <f t="shared" si="10"/>
        <v/>
      </c>
      <c r="AA36" s="380" t="str">
        <f t="shared" si="11"/>
        <v/>
      </c>
      <c r="AB36" s="380" t="str">
        <f t="shared" si="12"/>
        <v/>
      </c>
      <c r="AC36" s="380" t="str">
        <f t="shared" si="13"/>
        <v/>
      </c>
      <c r="AD36" s="380" t="str">
        <f t="shared" si="14"/>
        <v/>
      </c>
      <c r="AE36" s="380" t="str">
        <f t="shared" si="15"/>
        <v/>
      </c>
      <c r="AF36" s="380" t="str">
        <f t="shared" si="16"/>
        <v/>
      </c>
      <c r="AG36" s="380" t="str">
        <f t="shared" si="17"/>
        <v/>
      </c>
      <c r="AH36" s="380" t="str">
        <f t="shared" si="18"/>
        <v/>
      </c>
      <c r="AI36" s="380" t="str">
        <f t="shared" si="19"/>
        <v/>
      </c>
      <c r="AJ36" s="380" t="str">
        <f t="shared" si="20"/>
        <v/>
      </c>
      <c r="AK36" s="380" t="str">
        <f t="shared" si="21"/>
        <v/>
      </c>
      <c r="AL36" s="380">
        <f t="shared" si="22"/>
        <v>1</v>
      </c>
      <c r="AM36" s="518" t="str">
        <f t="shared" si="23"/>
        <v/>
      </c>
      <c r="AN36" s="420"/>
      <c r="AO36" s="420"/>
      <c r="AP36" s="420"/>
      <c r="AQ36" s="420"/>
      <c r="AR36" s="421"/>
      <c r="AS36" s="420"/>
      <c r="AT36" s="420"/>
      <c r="AU36" s="496"/>
      <c r="AV36" s="496"/>
      <c r="AW36" s="502"/>
      <c r="AX36" s="496"/>
      <c r="AY36" s="496"/>
      <c r="AZ36" s="502"/>
      <c r="BA36" s="496"/>
      <c r="BB36" s="496"/>
      <c r="BC36" s="496"/>
      <c r="BD36" s="502"/>
      <c r="BE36" s="512"/>
      <c r="BF36" s="496"/>
      <c r="BG36" s="496"/>
      <c r="BH36" s="496"/>
      <c r="BI36" s="496"/>
      <c r="BJ36" s="496"/>
      <c r="BK36" s="496"/>
      <c r="BL36" s="496"/>
      <c r="BM36" s="496"/>
      <c r="BN36" s="502"/>
      <c r="BO36" s="512"/>
      <c r="BP36" s="512"/>
      <c r="BQ36" s="512"/>
      <c r="BR36" s="512"/>
      <c r="BS36" s="512"/>
      <c r="BT36" s="512"/>
      <c r="BU36" s="512"/>
      <c r="BV36" s="512">
        <v>1</v>
      </c>
      <c r="BW36" s="513"/>
      <c r="BX36" s="496"/>
      <c r="BY36" s="496"/>
      <c r="BZ36" s="502"/>
    </row>
    <row r="37" spans="1:78" s="409" customFormat="1" ht="15.75" x14ac:dyDescent="0.25">
      <c r="A37" s="422" t="s">
        <v>2009</v>
      </c>
      <c r="C37" s="408">
        <f>ROW()</f>
        <v>37</v>
      </c>
      <c r="D37" s="410">
        <f ca="1">VLOOKUP(select!I1388,rand!C38:G95,2,FALSE)</f>
        <v>1</v>
      </c>
      <c r="E37" s="410" t="str">
        <f ca="1">VLOOKUP(select!I1388,rand!C38:G95,3,FALSE)</f>
        <v/>
      </c>
      <c r="F37" s="410" t="str">
        <f ca="1">VLOOKUP(select!I1388,rand!C38:O95,4,FALSE)</f>
        <v/>
      </c>
      <c r="G37" s="410">
        <f ca="1">VLOOKUP(select!I1388,rand!C38:O95,5,FALSE)</f>
        <v>1</v>
      </c>
      <c r="H37" s="410"/>
      <c r="I37" s="410"/>
      <c r="J37" s="410"/>
      <c r="K37" s="410" t="str">
        <f ca="1">IFERROR(SMALL(K39:K95,1),"")</f>
        <v/>
      </c>
      <c r="L37" s="410"/>
      <c r="M37" s="410">
        <f ca="1">IFERROR(LARGE(M38:M95,1),"")</f>
        <v>25</v>
      </c>
      <c r="N37" s="410"/>
      <c r="O37" s="410">
        <f ca="1">SUM(O38:O95)</f>
        <v>0</v>
      </c>
      <c r="P37" s="408"/>
      <c r="Q37" s="517" t="str">
        <f ca="1">Sprache!A154</f>
        <v>Türauflage</v>
      </c>
      <c r="R37" s="517" t="str">
        <f ca="1">Q37</f>
        <v>Türauflage</v>
      </c>
      <c r="S37" s="517" t="str">
        <f ca="1">R37</f>
        <v>Türauflage</v>
      </c>
      <c r="T37" s="517" t="str">
        <f ca="1">S37</f>
        <v>Türauflage</v>
      </c>
      <c r="U37" s="517" t="s">
        <v>1916</v>
      </c>
      <c r="V37" s="517" t="s">
        <v>1916</v>
      </c>
      <c r="W37" s="517" t="str">
        <f ca="1">T37</f>
        <v>Türauflage</v>
      </c>
      <c r="X37" s="517" t="s">
        <v>1916</v>
      </c>
      <c r="Y37" s="517" t="str">
        <f ca="1">W37</f>
        <v>Türauflage</v>
      </c>
      <c r="Z37" s="517" t="s">
        <v>1916</v>
      </c>
      <c r="AA37" s="517" t="str">
        <f ca="1">Y37</f>
        <v>Türauflage</v>
      </c>
      <c r="AB37" s="517" t="s">
        <v>1916</v>
      </c>
      <c r="AC37" s="517" t="str">
        <f ca="1">AA37</f>
        <v>Türauflage</v>
      </c>
      <c r="AD37" s="517" t="str">
        <f ca="1">AC37</f>
        <v>Türauflage</v>
      </c>
      <c r="AE37" s="517" t="s">
        <v>1916</v>
      </c>
      <c r="AF37" s="517" t="str">
        <f ca="1">AD37</f>
        <v>Türauflage</v>
      </c>
      <c r="AG37" s="517" t="s">
        <v>1916</v>
      </c>
      <c r="AH37" s="517" t="str">
        <f ca="1">AF37</f>
        <v>Türauflage</v>
      </c>
      <c r="AI37" s="517" t="str">
        <f ca="1">AH37</f>
        <v>Türauflage</v>
      </c>
      <c r="AJ37" s="517" t="str">
        <f ca="1">AI37</f>
        <v>Türauflage</v>
      </c>
      <c r="AK37" s="517" t="str">
        <f ca="1">AJ37</f>
        <v>Türauflage</v>
      </c>
      <c r="AL37" s="517" t="str">
        <f ca="1">AK37</f>
        <v>Türauflage</v>
      </c>
      <c r="AM37" s="517" t="str">
        <f ca="1">AL37</f>
        <v>Türauflage</v>
      </c>
      <c r="AR37" s="407"/>
      <c r="AU37" s="497"/>
      <c r="AV37" s="497"/>
      <c r="AW37" s="501"/>
      <c r="AX37" s="497"/>
      <c r="AY37" s="497"/>
      <c r="AZ37" s="501"/>
      <c r="BA37" s="497"/>
      <c r="BB37" s="497"/>
      <c r="BC37" s="497"/>
      <c r="BD37" s="501"/>
      <c r="BE37" s="510"/>
      <c r="BF37" s="497"/>
      <c r="BG37" s="497"/>
      <c r="BH37" s="497"/>
      <c r="BI37" s="497"/>
      <c r="BJ37" s="497"/>
      <c r="BK37" s="497"/>
      <c r="BL37" s="497"/>
      <c r="BM37" s="497"/>
      <c r="BN37" s="501"/>
      <c r="BO37" s="510"/>
      <c r="BP37" s="510"/>
      <c r="BQ37" s="510"/>
      <c r="BR37" s="510"/>
      <c r="BS37" s="510"/>
      <c r="BT37" s="510"/>
      <c r="BU37" s="510"/>
      <c r="BV37" s="510"/>
      <c r="BW37" s="511"/>
      <c r="BX37" s="497"/>
      <c r="BY37" s="497"/>
      <c r="BZ37" s="501"/>
    </row>
    <row r="38" spans="1:78" ht="15" customHeight="1" x14ac:dyDescent="0.25">
      <c r="A38" s="1099" t="s">
        <v>0</v>
      </c>
      <c r="B38" s="551" t="str">
        <f ca="1">IFERROR(IF(P38&lt;&gt;1,select!$A$8,rand!C38),"")</f>
        <v>ohne</v>
      </c>
      <c r="C38" s="519" t="str">
        <f ca="1">Sprache!A54</f>
        <v>ohne</v>
      </c>
      <c r="D38" s="71" t="str">
        <f ca="1">IF($D$96=1,IF($D$3=1,IFERROR(OFFSET(P38,0,select!$M$1361),""),""),"")</f>
        <v/>
      </c>
      <c r="E38" s="71">
        <f ca="1">IF($E$96=1,IF($E$3=1,IFERROR(OFFSET(P38,0,select!$M$1362),""),""),"")</f>
        <v>1</v>
      </c>
      <c r="F38" s="71">
        <f ca="1">IF($F$96=1,IF($F$3=1,IFERROR(OFFSET(P38,0,select!$M$1363),""),""),"")</f>
        <v>1</v>
      </c>
      <c r="G38" s="71" t="str">
        <f ca="1">IF($G$96=1,IF($G$3=1,IFERROR(OFFSET(P38,0,select!$M$1364),""),""),"")</f>
        <v/>
      </c>
      <c r="H38" s="71">
        <f t="shared" ref="H38:H69" ca="1" si="31">IF(SUM(D38:G38)&gt;0,1,0)</f>
        <v>1</v>
      </c>
      <c r="I38" s="71">
        <f ca="1">IF(C38=Konfig!$O$25,1,0)</f>
        <v>0</v>
      </c>
      <c r="J38" s="71">
        <f ca="1">IF(Konfig!$O$25&lt;=rand!C38,1,0)</f>
        <v>1</v>
      </c>
      <c r="K38" s="71" t="str">
        <f t="shared" ref="K38:K69" ca="1" si="32">IF(AND(J38+H38=2,H39=0)=TRUE,C38,"")</f>
        <v>ohne</v>
      </c>
      <c r="L38" s="71">
        <f ca="1">IF(Konfig!$O$25&gt;=rand!C38,1,0)</f>
        <v>0</v>
      </c>
      <c r="M38" s="71" t="str">
        <f t="shared" ref="M38:M69" ca="1" si="33">IF(AND(L38+H38=2,H37=0)=TRUE,C38,"")</f>
        <v/>
      </c>
      <c r="N38" s="71" t="str">
        <f t="shared" ref="N38:N69" ca="1" si="34">IF(OR(C38=$K$37,C38=$M$37)=TRUE,1,"")</f>
        <v/>
      </c>
      <c r="O38" s="71">
        <f t="shared" ref="O38:O69" ca="1" si="35">IF(H38+I38=2,1,0)</f>
        <v>0</v>
      </c>
      <c r="P38" s="71">
        <f ca="1">IF(Konfig!$O$25="*",H38,IF($O$37=1,O38,N38))</f>
        <v>1</v>
      </c>
      <c r="Q38" s="374" t="str">
        <f>IF(SUM(AN38:AR38)&gt;0,1,"")</f>
        <v/>
      </c>
      <c r="R38" s="374" t="str">
        <f>IF(SUM(AS38:AW38)&gt;0,1,"")</f>
        <v/>
      </c>
      <c r="S38" s="374" t="str">
        <f>IF(SUM(AX38:AZ38)&gt;0,1,"")</f>
        <v/>
      </c>
      <c r="T38" s="374" t="str">
        <f>IF(SUM(BA38:BD38)&gt;0,1,"")</f>
        <v/>
      </c>
      <c r="U38" s="374">
        <f t="shared" ref="U38:AL38" si="36">IF(SUM(BE38)&gt;0,1,"")</f>
        <v>1</v>
      </c>
      <c r="V38" s="374">
        <f t="shared" si="36"/>
        <v>1</v>
      </c>
      <c r="W38" s="374" t="str">
        <f t="shared" si="36"/>
        <v/>
      </c>
      <c r="X38" s="374">
        <f t="shared" si="36"/>
        <v>1</v>
      </c>
      <c r="Y38" s="374" t="str">
        <f t="shared" si="36"/>
        <v/>
      </c>
      <c r="Z38" s="374">
        <f t="shared" si="36"/>
        <v>1</v>
      </c>
      <c r="AA38" s="374" t="str">
        <f t="shared" si="36"/>
        <v/>
      </c>
      <c r="AB38" s="374">
        <f t="shared" si="36"/>
        <v>1</v>
      </c>
      <c r="AC38" s="374" t="str">
        <f t="shared" si="36"/>
        <v/>
      </c>
      <c r="AD38" s="374" t="str">
        <f t="shared" si="36"/>
        <v/>
      </c>
      <c r="AE38" s="374" t="str">
        <f t="shared" si="36"/>
        <v/>
      </c>
      <c r="AF38" s="374" t="str">
        <f t="shared" si="36"/>
        <v/>
      </c>
      <c r="AG38" s="374">
        <f t="shared" si="36"/>
        <v>1</v>
      </c>
      <c r="AH38" s="374" t="str">
        <f t="shared" si="36"/>
        <v/>
      </c>
      <c r="AI38" s="374" t="str">
        <f t="shared" si="36"/>
        <v/>
      </c>
      <c r="AJ38" s="374" t="str">
        <f t="shared" si="36"/>
        <v/>
      </c>
      <c r="AK38" s="374" t="str">
        <f t="shared" si="36"/>
        <v/>
      </c>
      <c r="AL38" s="374" t="str">
        <f t="shared" si="36"/>
        <v/>
      </c>
      <c r="AM38" s="514" t="str">
        <f>IF(SUM(BW38:BZ38)&gt;0,1,"")</f>
        <v/>
      </c>
      <c r="BE38" s="503">
        <v>1</v>
      </c>
      <c r="BF38" s="493">
        <v>1</v>
      </c>
      <c r="BH38" s="493">
        <v>1</v>
      </c>
      <c r="BJ38" s="493">
        <v>1</v>
      </c>
      <c r="BL38" s="493">
        <v>1</v>
      </c>
      <c r="BQ38" s="503">
        <v>1</v>
      </c>
    </row>
    <row r="39" spans="1:78" ht="15" customHeight="1" x14ac:dyDescent="0.25">
      <c r="A39" s="1099"/>
      <c r="B39" s="551" t="str">
        <f ca="1">IFERROR(IF(P39&lt;&gt;1,select!$A$8,rand!C39),"")</f>
        <v>---------</v>
      </c>
      <c r="C39" s="413">
        <v>27</v>
      </c>
      <c r="D39" s="71" t="str">
        <f ca="1">IF($D$96=1,IF($D$3=1,IFERROR(OFFSET(P39,0,select!$M$1361),""),""),"")</f>
        <v/>
      </c>
      <c r="E39" s="71" t="str">
        <f ca="1">IF($E$96=1,IF($E$3=1,IFERROR(OFFSET(P39,0,select!$M$1362),""),""),"")</f>
        <v/>
      </c>
      <c r="F39" s="71" t="str">
        <f ca="1">IF($F$96=1,IF($F$3=1,IFERROR(OFFSET(P39,0,select!$M$1363),""),""),"")</f>
        <v/>
      </c>
      <c r="G39" s="71" t="str">
        <f ca="1">IF($G$96=1,IF($G$3=1,IFERROR(OFFSET(P39,0,select!$M$1364),""),""),"")</f>
        <v/>
      </c>
      <c r="H39" s="71">
        <f t="shared" ca="1" si="31"/>
        <v>0</v>
      </c>
      <c r="I39" s="71">
        <f>IF(C39=Konfig!$O$25,1,0)</f>
        <v>0</v>
      </c>
      <c r="J39" s="71">
        <f>IF(Konfig!$O$25&lt;=rand!C39,1,0)</f>
        <v>0</v>
      </c>
      <c r="K39" s="71" t="str">
        <f t="shared" ca="1" si="32"/>
        <v/>
      </c>
      <c r="L39" s="71">
        <f>IF(Konfig!$O$25&gt;=rand!C39,1,0)</f>
        <v>1</v>
      </c>
      <c r="M39" s="71" t="str">
        <f t="shared" ca="1" si="33"/>
        <v/>
      </c>
      <c r="N39" s="71" t="str">
        <f t="shared" ca="1" si="34"/>
        <v/>
      </c>
      <c r="O39" s="71">
        <f t="shared" ca="1" si="35"/>
        <v>0</v>
      </c>
      <c r="P39" s="71">
        <f ca="1">IF(Konfig!$O$25="*",H39,IF($O$37=1,O39,N39))</f>
        <v>0</v>
      </c>
      <c r="Q39" s="374" t="str">
        <f t="shared" ref="Q39:Q72" si="37">IF(SUM(AN39:AR39)&gt;0,1,"")</f>
        <v/>
      </c>
      <c r="R39" s="374" t="str">
        <f t="shared" ref="R39:R72" si="38">IF(SUM(AS39:AW39)&gt;0,1,"")</f>
        <v/>
      </c>
      <c r="S39" s="374">
        <f t="shared" si="3"/>
        <v>1</v>
      </c>
      <c r="T39" s="374" t="str">
        <f t="shared" si="4"/>
        <v/>
      </c>
      <c r="U39" s="374" t="str">
        <f t="shared" si="5"/>
        <v/>
      </c>
      <c r="V39" s="374" t="str">
        <f t="shared" si="6"/>
        <v/>
      </c>
      <c r="W39" s="374" t="str">
        <f t="shared" si="7"/>
        <v/>
      </c>
      <c r="X39" s="374" t="str">
        <f t="shared" si="8"/>
        <v/>
      </c>
      <c r="Y39" s="374" t="str">
        <f t="shared" si="9"/>
        <v/>
      </c>
      <c r="Z39" s="374" t="str">
        <f t="shared" si="10"/>
        <v/>
      </c>
      <c r="AA39" s="374" t="str">
        <f t="shared" si="11"/>
        <v/>
      </c>
      <c r="AB39" s="374" t="str">
        <f t="shared" si="12"/>
        <v/>
      </c>
      <c r="AC39" s="374" t="str">
        <f t="shared" si="13"/>
        <v/>
      </c>
      <c r="AD39" s="374" t="str">
        <f t="shared" si="14"/>
        <v/>
      </c>
      <c r="AE39" s="374" t="str">
        <f t="shared" si="15"/>
        <v/>
      </c>
      <c r="AF39" s="374" t="str">
        <f t="shared" si="16"/>
        <v/>
      </c>
      <c r="AG39" s="374" t="str">
        <f t="shared" si="17"/>
        <v/>
      </c>
      <c r="AH39" s="374" t="str">
        <f t="shared" si="18"/>
        <v/>
      </c>
      <c r="AI39" s="374" t="str">
        <f t="shared" si="19"/>
        <v/>
      </c>
      <c r="AJ39" s="374" t="str">
        <f t="shared" si="20"/>
        <v/>
      </c>
      <c r="AK39" s="374" t="str">
        <f t="shared" si="21"/>
        <v/>
      </c>
      <c r="AL39" s="374" t="str">
        <f t="shared" si="22"/>
        <v/>
      </c>
      <c r="AM39" s="514" t="str">
        <f t="shared" si="23"/>
        <v/>
      </c>
      <c r="AX39" s="493">
        <v>1</v>
      </c>
    </row>
    <row r="40" spans="1:78" x14ac:dyDescent="0.25">
      <c r="A40" s="1099"/>
      <c r="B40" s="551" t="str">
        <f ca="1">IFERROR(IF(P40&lt;&gt;1,select!$A$8,rand!C40),"")</f>
        <v>---------</v>
      </c>
      <c r="C40" s="413">
        <v>26</v>
      </c>
      <c r="D40" s="71" t="str">
        <f ca="1">IF($D$96=1,IF($D$3=1,IFERROR(OFFSET(P40,0,select!$M$1361),""),""),"")</f>
        <v/>
      </c>
      <c r="E40" s="71" t="str">
        <f ca="1">IF($E$96=1,IF($E$3=1,IFERROR(OFFSET(P40,0,select!$M$1362),""),""),"")</f>
        <v/>
      </c>
      <c r="F40" s="71" t="str">
        <f ca="1">IF($F$96=1,IF($F$3=1,IFERROR(OFFSET(P40,0,select!$M$1363),""),""),"")</f>
        <v/>
      </c>
      <c r="G40" s="71" t="str">
        <f ca="1">IF($G$96=1,IF($G$3=1,IFERROR(OFFSET(P40,0,select!$M$1364),""),""),"")</f>
        <v/>
      </c>
      <c r="H40" s="71">
        <f t="shared" ca="1" si="31"/>
        <v>0</v>
      </c>
      <c r="I40" s="71">
        <f>IF(C40=Konfig!$O$25,1,0)</f>
        <v>0</v>
      </c>
      <c r="J40" s="71">
        <f>IF(Konfig!$O$25&lt;=rand!C40,1,0)</f>
        <v>0</v>
      </c>
      <c r="K40" s="71" t="str">
        <f t="shared" ca="1" si="32"/>
        <v/>
      </c>
      <c r="L40" s="71">
        <f>IF(Konfig!$O$25&gt;=rand!C40,1,0)</f>
        <v>1</v>
      </c>
      <c r="M40" s="71" t="str">
        <f t="shared" ca="1" si="33"/>
        <v/>
      </c>
      <c r="N40" s="71" t="str">
        <f t="shared" ca="1" si="34"/>
        <v/>
      </c>
      <c r="O40" s="71">
        <f t="shared" ca="1" si="35"/>
        <v>0</v>
      </c>
      <c r="P40" s="71">
        <f ca="1">IF(Konfig!$O$25="*",H40,IF($O$37=1,O40,N40))</f>
        <v>0</v>
      </c>
      <c r="Q40" s="374" t="str">
        <f t="shared" si="37"/>
        <v/>
      </c>
      <c r="R40" s="374" t="str">
        <f t="shared" si="38"/>
        <v/>
      </c>
      <c r="S40" s="374">
        <f t="shared" si="3"/>
        <v>1</v>
      </c>
      <c r="T40" s="374" t="str">
        <f t="shared" si="4"/>
        <v/>
      </c>
      <c r="U40" s="374" t="str">
        <f t="shared" si="5"/>
        <v/>
      </c>
      <c r="V40" s="374" t="str">
        <f t="shared" si="6"/>
        <v/>
      </c>
      <c r="W40" s="374" t="str">
        <f t="shared" si="7"/>
        <v/>
      </c>
      <c r="X40" s="374" t="str">
        <f t="shared" si="8"/>
        <v/>
      </c>
      <c r="Y40" s="374" t="str">
        <f t="shared" si="9"/>
        <v/>
      </c>
      <c r="Z40" s="374" t="str">
        <f t="shared" si="10"/>
        <v/>
      </c>
      <c r="AA40" s="374" t="str">
        <f t="shared" si="11"/>
        <v/>
      </c>
      <c r="AB40" s="374" t="str">
        <f t="shared" si="12"/>
        <v/>
      </c>
      <c r="AC40" s="374" t="str">
        <f t="shared" si="13"/>
        <v/>
      </c>
      <c r="AD40" s="374" t="str">
        <f t="shared" si="14"/>
        <v/>
      </c>
      <c r="AE40" s="374" t="str">
        <f t="shared" si="15"/>
        <v/>
      </c>
      <c r="AF40" s="374" t="str">
        <f t="shared" si="16"/>
        <v/>
      </c>
      <c r="AG40" s="374" t="str">
        <f t="shared" si="17"/>
        <v/>
      </c>
      <c r="AH40" s="374" t="str">
        <f t="shared" si="18"/>
        <v/>
      </c>
      <c r="AI40" s="374" t="str">
        <f t="shared" si="19"/>
        <v/>
      </c>
      <c r="AJ40" s="374" t="str">
        <f t="shared" si="20"/>
        <v/>
      </c>
      <c r="AK40" s="374" t="str">
        <f t="shared" si="21"/>
        <v/>
      </c>
      <c r="AL40" s="374" t="str">
        <f t="shared" si="22"/>
        <v/>
      </c>
      <c r="AM40" s="514" t="str">
        <f t="shared" si="23"/>
        <v/>
      </c>
      <c r="AX40" s="493">
        <v>1</v>
      </c>
    </row>
    <row r="41" spans="1:78" x14ac:dyDescent="0.25">
      <c r="A41" s="1099"/>
      <c r="B41" s="551">
        <f ca="1">IFERROR(IF(P41&lt;&gt;1,select!$A$8,rand!C41),"")</f>
        <v>25</v>
      </c>
      <c r="C41" s="413">
        <v>25</v>
      </c>
      <c r="D41" s="71" t="str">
        <f ca="1">IF($D$96=1,IF($D$3=1,IFERROR(OFFSET(P41,0,select!$M$1361),""),""),"")</f>
        <v/>
      </c>
      <c r="E41" s="71" t="str">
        <f ca="1">IF($E$96=1,IF($E$3=1,IFERROR(OFFSET(P41,0,select!$M$1362),""),""),"")</f>
        <v/>
      </c>
      <c r="F41" s="71" t="str">
        <f ca="1">IF($F$96=1,IF($F$3=1,IFERROR(OFFSET(P41,0,select!$M$1363),""),""),"")</f>
        <v/>
      </c>
      <c r="G41" s="71">
        <f ca="1">IF($G$96=1,IF($G$3=1,IFERROR(OFFSET(P41,0,select!$M$1364),""),""),"")</f>
        <v>1</v>
      </c>
      <c r="H41" s="71">
        <f t="shared" ca="1" si="31"/>
        <v>1</v>
      </c>
      <c r="I41" s="71">
        <f>IF(C41=Konfig!$O$25,1,0)</f>
        <v>0</v>
      </c>
      <c r="J41" s="71">
        <f>IF(Konfig!$O$25&lt;=rand!C41,1,0)</f>
        <v>0</v>
      </c>
      <c r="K41" s="71" t="str">
        <f t="shared" ca="1" si="32"/>
        <v/>
      </c>
      <c r="L41" s="71">
        <f>IF(Konfig!$O$25&gt;=rand!C41,1,0)</f>
        <v>1</v>
      </c>
      <c r="M41" s="71">
        <f t="shared" ca="1" si="33"/>
        <v>25</v>
      </c>
      <c r="N41" s="71">
        <f t="shared" ca="1" si="34"/>
        <v>1</v>
      </c>
      <c r="O41" s="71">
        <f t="shared" ca="1" si="35"/>
        <v>0</v>
      </c>
      <c r="P41" s="71">
        <f ca="1">IF(Konfig!$O$25="*",H41,IF($O$37=1,O41,N41))</f>
        <v>1</v>
      </c>
      <c r="Q41" s="374" t="str">
        <f t="shared" si="37"/>
        <v/>
      </c>
      <c r="R41" s="374" t="str">
        <f t="shared" si="38"/>
        <v/>
      </c>
      <c r="S41" s="374">
        <f t="shared" si="3"/>
        <v>1</v>
      </c>
      <c r="T41" s="374" t="str">
        <f t="shared" si="4"/>
        <v/>
      </c>
      <c r="U41" s="374" t="str">
        <f t="shared" si="5"/>
        <v/>
      </c>
      <c r="V41" s="374" t="str">
        <f t="shared" si="6"/>
        <v/>
      </c>
      <c r="W41" s="374" t="str">
        <f t="shared" si="7"/>
        <v/>
      </c>
      <c r="X41" s="374" t="str">
        <f t="shared" si="8"/>
        <v/>
      </c>
      <c r="Y41" s="374" t="str">
        <f t="shared" si="9"/>
        <v/>
      </c>
      <c r="Z41" s="374" t="str">
        <f t="shared" si="10"/>
        <v/>
      </c>
      <c r="AA41" s="374" t="str">
        <f t="shared" si="11"/>
        <v/>
      </c>
      <c r="AB41" s="374" t="str">
        <f t="shared" si="12"/>
        <v/>
      </c>
      <c r="AC41" s="374" t="str">
        <f t="shared" si="13"/>
        <v/>
      </c>
      <c r="AD41" s="374" t="str">
        <f t="shared" si="14"/>
        <v/>
      </c>
      <c r="AE41" s="374" t="str">
        <f t="shared" si="15"/>
        <v/>
      </c>
      <c r="AF41" s="374" t="str">
        <f t="shared" si="16"/>
        <v/>
      </c>
      <c r="AG41" s="374" t="str">
        <f t="shared" si="17"/>
        <v/>
      </c>
      <c r="AH41" s="374" t="str">
        <f t="shared" si="18"/>
        <v/>
      </c>
      <c r="AI41" s="374">
        <f t="shared" si="19"/>
        <v>1</v>
      </c>
      <c r="AJ41" s="374">
        <f t="shared" si="20"/>
        <v>1</v>
      </c>
      <c r="AK41" s="374" t="str">
        <f t="shared" si="21"/>
        <v/>
      </c>
      <c r="AL41" s="374" t="str">
        <f t="shared" si="22"/>
        <v/>
      </c>
      <c r="AM41" s="514" t="str">
        <f t="shared" si="23"/>
        <v/>
      </c>
      <c r="AX41" s="493">
        <v>1</v>
      </c>
      <c r="BS41" s="503">
        <v>1</v>
      </c>
      <c r="BT41" s="503">
        <v>1</v>
      </c>
    </row>
    <row r="42" spans="1:78" x14ac:dyDescent="0.25">
      <c r="A42" s="1099"/>
      <c r="B42" s="551">
        <f ca="1">IFERROR(IF(P42&lt;&gt;1,select!$A$8,rand!C42),"")</f>
        <v>24</v>
      </c>
      <c r="C42" s="413">
        <v>24</v>
      </c>
      <c r="D42" s="71">
        <f ca="1">IF($D$96=1,IF($D$3=1,IFERROR(OFFSET(P42,0,select!$M$1361),""),""),"")</f>
        <v>1</v>
      </c>
      <c r="E42" s="71" t="str">
        <f ca="1">IF($E$96=1,IF($E$3=1,IFERROR(OFFSET(P42,0,select!$M$1362),""),""),"")</f>
        <v/>
      </c>
      <c r="F42" s="71" t="str">
        <f ca="1">IF($F$96=1,IF($F$3=1,IFERROR(OFFSET(P42,0,select!$M$1363),""),""),"")</f>
        <v/>
      </c>
      <c r="G42" s="71">
        <f ca="1">IF($G$96=1,IF($G$3=1,IFERROR(OFFSET(P42,0,select!$M$1364),""),""),"")</f>
        <v>1</v>
      </c>
      <c r="H42" s="71">
        <f t="shared" ca="1" si="31"/>
        <v>1</v>
      </c>
      <c r="I42" s="71">
        <f>IF(C42=Konfig!$O$25,1,0)</f>
        <v>0</v>
      </c>
      <c r="J42" s="71">
        <f>IF(Konfig!$O$25&lt;=rand!C42,1,0)</f>
        <v>0</v>
      </c>
      <c r="K42" s="71" t="str">
        <f t="shared" ca="1" si="32"/>
        <v/>
      </c>
      <c r="L42" s="71">
        <f>IF(Konfig!$O$25&gt;=rand!C42,1,0)</f>
        <v>1</v>
      </c>
      <c r="M42" s="71" t="str">
        <f t="shared" ca="1" si="33"/>
        <v/>
      </c>
      <c r="N42" s="71" t="str">
        <f t="shared" ca="1" si="34"/>
        <v/>
      </c>
      <c r="O42" s="71">
        <f t="shared" ca="1" si="35"/>
        <v>0</v>
      </c>
      <c r="P42" s="71">
        <f ca="1">IF(Konfig!$O$25="*",H42,IF($O$37=1,O42,N42))</f>
        <v>1</v>
      </c>
      <c r="Q42" s="374">
        <f>IF(SUM(AN42:AR42)&gt;0,1,"")</f>
        <v>1</v>
      </c>
      <c r="R42" s="374">
        <f t="shared" si="38"/>
        <v>1</v>
      </c>
      <c r="S42" s="374">
        <f t="shared" si="3"/>
        <v>1</v>
      </c>
      <c r="T42" s="374">
        <f t="shared" si="4"/>
        <v>1</v>
      </c>
      <c r="U42" s="374" t="str">
        <f t="shared" si="5"/>
        <v/>
      </c>
      <c r="V42" s="374" t="str">
        <f t="shared" si="6"/>
        <v/>
      </c>
      <c r="W42" s="374" t="str">
        <f t="shared" si="7"/>
        <v/>
      </c>
      <c r="X42" s="374" t="str">
        <f t="shared" si="8"/>
        <v/>
      </c>
      <c r="Y42" s="374" t="str">
        <f t="shared" si="9"/>
        <v/>
      </c>
      <c r="Z42" s="374" t="str">
        <f t="shared" si="10"/>
        <v/>
      </c>
      <c r="AA42" s="374">
        <f t="shared" si="11"/>
        <v>1</v>
      </c>
      <c r="AB42" s="374" t="str">
        <f t="shared" si="12"/>
        <v/>
      </c>
      <c r="AC42" s="374" t="str">
        <f t="shared" si="13"/>
        <v/>
      </c>
      <c r="AD42" s="374" t="str">
        <f t="shared" si="14"/>
        <v/>
      </c>
      <c r="AE42" s="374" t="str">
        <f t="shared" si="15"/>
        <v/>
      </c>
      <c r="AF42" s="374" t="str">
        <f t="shared" si="16"/>
        <v/>
      </c>
      <c r="AG42" s="374" t="str">
        <f t="shared" si="17"/>
        <v/>
      </c>
      <c r="AH42" s="374" t="str">
        <f t="shared" si="18"/>
        <v/>
      </c>
      <c r="AI42" s="374">
        <f t="shared" si="19"/>
        <v>1</v>
      </c>
      <c r="AJ42" s="374" t="str">
        <f t="shared" si="20"/>
        <v/>
      </c>
      <c r="AK42" s="374" t="str">
        <f t="shared" si="21"/>
        <v/>
      </c>
      <c r="AL42" s="374" t="str">
        <f t="shared" si="22"/>
        <v/>
      </c>
      <c r="AM42" s="514" t="str">
        <f t="shared" si="23"/>
        <v/>
      </c>
      <c r="AN42" s="18">
        <v>1</v>
      </c>
      <c r="AS42" s="416">
        <v>1</v>
      </c>
      <c r="AX42" s="493">
        <v>1</v>
      </c>
      <c r="AY42" s="493">
        <v>1</v>
      </c>
      <c r="BA42" s="493">
        <v>1</v>
      </c>
      <c r="BK42" s="493">
        <v>1</v>
      </c>
      <c r="BS42" s="503">
        <v>1</v>
      </c>
    </row>
    <row r="43" spans="1:78" x14ac:dyDescent="0.25">
      <c r="A43" s="1099"/>
      <c r="B43" s="551">
        <f ca="1">IFERROR(IF(P43&lt;&gt;1,select!$A$8,rand!C43),"")</f>
        <v>23</v>
      </c>
      <c r="C43" s="413">
        <v>23</v>
      </c>
      <c r="D43" s="71">
        <f ca="1">IF($D$96=1,IF($D$3=1,IFERROR(OFFSET(P43,0,select!$M$1361),""),""),"")</f>
        <v>1</v>
      </c>
      <c r="E43" s="71" t="str">
        <f ca="1">IF($E$96=1,IF($E$3=1,IFERROR(OFFSET(P43,0,select!$M$1362),""),""),"")</f>
        <v/>
      </c>
      <c r="F43" s="71" t="str">
        <f ca="1">IF($F$96=1,IF($F$3=1,IFERROR(OFFSET(P43,0,select!$M$1363),""),""),"")</f>
        <v/>
      </c>
      <c r="G43" s="71">
        <f ca="1">IF($G$96=1,IF($G$3=1,IFERROR(OFFSET(P43,0,select!$M$1364),""),""),"")</f>
        <v>1</v>
      </c>
      <c r="H43" s="71">
        <f t="shared" ca="1" si="31"/>
        <v>1</v>
      </c>
      <c r="I43" s="71">
        <f>IF(C43=Konfig!$O$25,1,0)</f>
        <v>0</v>
      </c>
      <c r="J43" s="71">
        <f>IF(Konfig!$O$25&lt;=rand!C43,1,0)</f>
        <v>0</v>
      </c>
      <c r="K43" s="71" t="str">
        <f t="shared" ca="1" si="32"/>
        <v/>
      </c>
      <c r="L43" s="71">
        <f>IF(Konfig!$O$25&gt;=rand!C43,1,0)</f>
        <v>1</v>
      </c>
      <c r="M43" s="71" t="str">
        <f t="shared" ca="1" si="33"/>
        <v/>
      </c>
      <c r="N43" s="71" t="str">
        <f t="shared" ca="1" si="34"/>
        <v/>
      </c>
      <c r="O43" s="71">
        <f t="shared" ca="1" si="35"/>
        <v>0</v>
      </c>
      <c r="P43" s="71">
        <f ca="1">IF(Konfig!$O$25="*",H43,IF($O$37=1,O43,N43))</f>
        <v>1</v>
      </c>
      <c r="Q43" s="374">
        <f t="shared" si="37"/>
        <v>1</v>
      </c>
      <c r="R43" s="374">
        <f t="shared" si="38"/>
        <v>1</v>
      </c>
      <c r="S43" s="374">
        <f t="shared" si="3"/>
        <v>1</v>
      </c>
      <c r="T43" s="374">
        <f t="shared" si="4"/>
        <v>1</v>
      </c>
      <c r="U43" s="374" t="str">
        <f t="shared" si="5"/>
        <v/>
      </c>
      <c r="V43" s="374" t="str">
        <f t="shared" si="6"/>
        <v/>
      </c>
      <c r="W43" s="374" t="str">
        <f t="shared" si="7"/>
        <v/>
      </c>
      <c r="X43" s="374" t="str">
        <f t="shared" si="8"/>
        <v/>
      </c>
      <c r="Y43" s="374" t="str">
        <f t="shared" si="9"/>
        <v/>
      </c>
      <c r="Z43" s="374" t="str">
        <f t="shared" si="10"/>
        <v/>
      </c>
      <c r="AA43" s="374" t="str">
        <f t="shared" si="11"/>
        <v/>
      </c>
      <c r="AB43" s="374" t="str">
        <f t="shared" si="12"/>
        <v/>
      </c>
      <c r="AC43" s="374" t="str">
        <f t="shared" si="13"/>
        <v/>
      </c>
      <c r="AD43" s="374" t="str">
        <f t="shared" si="14"/>
        <v/>
      </c>
      <c r="AE43" s="374" t="str">
        <f t="shared" si="15"/>
        <v/>
      </c>
      <c r="AF43" s="374" t="str">
        <f t="shared" si="16"/>
        <v/>
      </c>
      <c r="AG43" s="374" t="str">
        <f t="shared" si="17"/>
        <v/>
      </c>
      <c r="AH43" s="374" t="str">
        <f t="shared" si="18"/>
        <v/>
      </c>
      <c r="AI43" s="374">
        <f t="shared" si="19"/>
        <v>1</v>
      </c>
      <c r="AJ43" s="374">
        <f t="shared" si="20"/>
        <v>1</v>
      </c>
      <c r="AK43" s="374" t="str">
        <f t="shared" si="21"/>
        <v/>
      </c>
      <c r="AL43" s="374" t="str">
        <f t="shared" si="22"/>
        <v/>
      </c>
      <c r="AM43" s="514" t="str">
        <f t="shared" si="23"/>
        <v/>
      </c>
      <c r="AN43" s="18">
        <v>1</v>
      </c>
      <c r="AS43" s="416">
        <v>1</v>
      </c>
      <c r="AX43" s="493">
        <v>1</v>
      </c>
      <c r="AY43" s="493">
        <v>1</v>
      </c>
      <c r="BA43" s="493">
        <v>1</v>
      </c>
      <c r="BS43" s="503">
        <v>1</v>
      </c>
      <c r="BT43" s="503">
        <v>1</v>
      </c>
    </row>
    <row r="44" spans="1:78" x14ac:dyDescent="0.25">
      <c r="A44" s="1099"/>
      <c r="B44" s="551">
        <f ca="1">IFERROR(IF(P44&lt;&gt;1,select!$A$8,rand!C44),"")</f>
        <v>22</v>
      </c>
      <c r="C44" s="413">
        <v>22</v>
      </c>
      <c r="D44" s="71">
        <f ca="1">IF($D$96=1,IF($D$3=1,IFERROR(OFFSET(P44,0,select!$M$1361),""),""),"")</f>
        <v>1</v>
      </c>
      <c r="E44" s="71" t="str">
        <f ca="1">IF($E$96=1,IF($E$3=1,IFERROR(OFFSET(P44,0,select!$M$1362),""),""),"")</f>
        <v/>
      </c>
      <c r="F44" s="71" t="str">
        <f ca="1">IF($F$96=1,IF($F$3=1,IFERROR(OFFSET(P44,0,select!$M$1363),""),""),"")</f>
        <v/>
      </c>
      <c r="G44" s="71">
        <f ca="1">IF($G$96=1,IF($G$3=1,IFERROR(OFFSET(P44,0,select!$M$1364),""),""),"")</f>
        <v>1</v>
      </c>
      <c r="H44" s="71">
        <f t="shared" ca="1" si="31"/>
        <v>1</v>
      </c>
      <c r="I44" s="71">
        <f>IF(C44=Konfig!$O$25,1,0)</f>
        <v>0</v>
      </c>
      <c r="J44" s="71">
        <f>IF(Konfig!$O$25&lt;=rand!C44,1,0)</f>
        <v>0</v>
      </c>
      <c r="K44" s="71" t="str">
        <f t="shared" ca="1" si="32"/>
        <v/>
      </c>
      <c r="L44" s="71">
        <f>IF(Konfig!$O$25&gt;=rand!C44,1,0)</f>
        <v>1</v>
      </c>
      <c r="M44" s="71" t="str">
        <f t="shared" ca="1" si="33"/>
        <v/>
      </c>
      <c r="N44" s="71" t="str">
        <f t="shared" ca="1" si="34"/>
        <v/>
      </c>
      <c r="O44" s="71">
        <f t="shared" ca="1" si="35"/>
        <v>0</v>
      </c>
      <c r="P44" s="71">
        <f ca="1">IF(Konfig!$O$25="*",H44,IF($O$37=1,O44,N44))</f>
        <v>1</v>
      </c>
      <c r="Q44" s="374">
        <f t="shared" si="37"/>
        <v>1</v>
      </c>
      <c r="R44" s="374">
        <f t="shared" si="38"/>
        <v>1</v>
      </c>
      <c r="S44" s="374">
        <f t="shared" si="3"/>
        <v>1</v>
      </c>
      <c r="T44" s="374">
        <f t="shared" si="4"/>
        <v>1</v>
      </c>
      <c r="U44" s="374" t="str">
        <f t="shared" si="5"/>
        <v/>
      </c>
      <c r="V44" s="374" t="str">
        <f t="shared" si="6"/>
        <v/>
      </c>
      <c r="W44" s="374" t="str">
        <f t="shared" si="7"/>
        <v/>
      </c>
      <c r="X44" s="374" t="str">
        <f t="shared" si="8"/>
        <v/>
      </c>
      <c r="Y44" s="374" t="str">
        <f t="shared" si="9"/>
        <v/>
      </c>
      <c r="Z44" s="374" t="str">
        <f t="shared" si="10"/>
        <v/>
      </c>
      <c r="AA44" s="374">
        <f t="shared" si="11"/>
        <v>1</v>
      </c>
      <c r="AB44" s="374" t="str">
        <f t="shared" si="12"/>
        <v/>
      </c>
      <c r="AC44" s="374" t="str">
        <f t="shared" si="13"/>
        <v/>
      </c>
      <c r="AD44" s="374" t="str">
        <f t="shared" si="14"/>
        <v/>
      </c>
      <c r="AE44" s="374" t="str">
        <f t="shared" si="15"/>
        <v/>
      </c>
      <c r="AF44" s="374" t="str">
        <f t="shared" si="16"/>
        <v/>
      </c>
      <c r="AG44" s="374" t="str">
        <f t="shared" si="17"/>
        <v/>
      </c>
      <c r="AH44" s="374" t="str">
        <f t="shared" si="18"/>
        <v/>
      </c>
      <c r="AI44" s="374">
        <f t="shared" si="19"/>
        <v>1</v>
      </c>
      <c r="AJ44" s="374">
        <f t="shared" si="20"/>
        <v>1</v>
      </c>
      <c r="AK44" s="374" t="str">
        <f t="shared" si="21"/>
        <v/>
      </c>
      <c r="AL44" s="374" t="str">
        <f t="shared" si="22"/>
        <v/>
      </c>
      <c r="AM44" s="514" t="str">
        <f t="shared" si="23"/>
        <v/>
      </c>
      <c r="AN44" s="18">
        <v>1</v>
      </c>
      <c r="AS44" s="416">
        <v>1</v>
      </c>
      <c r="AX44" s="493">
        <v>1</v>
      </c>
      <c r="AY44" s="493">
        <v>1</v>
      </c>
      <c r="BA44" s="493">
        <v>1</v>
      </c>
      <c r="BK44" s="493">
        <v>1</v>
      </c>
      <c r="BS44" s="503">
        <v>1</v>
      </c>
      <c r="BT44" s="503">
        <v>1</v>
      </c>
    </row>
    <row r="45" spans="1:78" x14ac:dyDescent="0.25">
      <c r="A45" s="1099"/>
      <c r="B45" s="551" t="str">
        <f ca="1">IFERROR(IF(P45&lt;&gt;1,select!$A$8,rand!C45),"")</f>
        <v>---------</v>
      </c>
      <c r="C45" s="413">
        <v>21.5</v>
      </c>
      <c r="D45" s="71" t="str">
        <f ca="1">IF($D$96=1,IF($D$3=1,IFERROR(OFFSET(P45,0,select!$M$1361),""),""),"")</f>
        <v/>
      </c>
      <c r="E45" s="71" t="str">
        <f ca="1">IF($E$96=1,IF($E$3=1,IFERROR(OFFSET(P45,0,select!$M$1362),""),""),"")</f>
        <v/>
      </c>
      <c r="F45" s="71" t="str">
        <f ca="1">IF($F$96=1,IF($F$3=1,IFERROR(OFFSET(P45,0,select!$M$1363),""),""),"")</f>
        <v/>
      </c>
      <c r="G45" s="71" t="str">
        <f ca="1">IF($G$96=1,IF($G$3=1,IFERROR(OFFSET(P45,0,select!$M$1364),""),""),"")</f>
        <v/>
      </c>
      <c r="H45" s="71">
        <f t="shared" ca="1" si="31"/>
        <v>0</v>
      </c>
      <c r="I45" s="71">
        <f>IF(C45=Konfig!$O$25,1,0)</f>
        <v>0</v>
      </c>
      <c r="J45" s="71">
        <f>IF(Konfig!$O$25&lt;=rand!C45,1,0)</f>
        <v>0</v>
      </c>
      <c r="K45" s="71" t="str">
        <f t="shared" ca="1" si="32"/>
        <v/>
      </c>
      <c r="L45" s="71">
        <f>IF(Konfig!$O$25&gt;=rand!C45,1,0)</f>
        <v>1</v>
      </c>
      <c r="M45" s="71" t="str">
        <f t="shared" ca="1" si="33"/>
        <v/>
      </c>
      <c r="N45" s="71" t="str">
        <f t="shared" ca="1" si="34"/>
        <v/>
      </c>
      <c r="O45" s="71">
        <f t="shared" ca="1" si="35"/>
        <v>0</v>
      </c>
      <c r="P45" s="71">
        <f ca="1">IF(Konfig!$O$25="*",H45,IF($O$37=1,O45,N45))</f>
        <v>0</v>
      </c>
      <c r="Q45" s="374" t="str">
        <f t="shared" si="37"/>
        <v/>
      </c>
      <c r="R45" s="374" t="str">
        <f t="shared" si="38"/>
        <v/>
      </c>
      <c r="S45" s="374" t="str">
        <f t="shared" si="3"/>
        <v/>
      </c>
      <c r="T45" s="374" t="str">
        <f t="shared" si="4"/>
        <v/>
      </c>
      <c r="U45" s="374" t="str">
        <f t="shared" si="5"/>
        <v/>
      </c>
      <c r="V45" s="374" t="str">
        <f t="shared" si="6"/>
        <v/>
      </c>
      <c r="W45" s="374" t="str">
        <f t="shared" si="7"/>
        <v/>
      </c>
      <c r="X45" s="374" t="str">
        <f t="shared" si="8"/>
        <v/>
      </c>
      <c r="Y45" s="374">
        <f t="shared" si="9"/>
        <v>1</v>
      </c>
      <c r="Z45" s="374" t="str">
        <f t="shared" si="10"/>
        <v/>
      </c>
      <c r="AA45" s="374" t="str">
        <f t="shared" si="11"/>
        <v/>
      </c>
      <c r="AB45" s="374" t="str">
        <f t="shared" si="12"/>
        <v/>
      </c>
      <c r="AC45" s="374" t="str">
        <f t="shared" si="13"/>
        <v/>
      </c>
      <c r="AD45" s="374" t="str">
        <f t="shared" si="14"/>
        <v/>
      </c>
      <c r="AE45" s="374" t="str">
        <f t="shared" si="15"/>
        <v/>
      </c>
      <c r="AF45" s="374" t="str">
        <f t="shared" si="16"/>
        <v/>
      </c>
      <c r="AG45" s="374" t="str">
        <f t="shared" si="17"/>
        <v/>
      </c>
      <c r="AH45" s="374" t="str">
        <f t="shared" si="18"/>
        <v/>
      </c>
      <c r="AI45" s="374" t="str">
        <f t="shared" si="19"/>
        <v/>
      </c>
      <c r="AJ45" s="374" t="str">
        <f t="shared" si="20"/>
        <v/>
      </c>
      <c r="AK45" s="374" t="str">
        <f t="shared" si="21"/>
        <v/>
      </c>
      <c r="AL45" s="374" t="str">
        <f t="shared" si="22"/>
        <v/>
      </c>
      <c r="AM45" s="514" t="str">
        <f t="shared" si="23"/>
        <v/>
      </c>
      <c r="BI45" s="493">
        <v>1</v>
      </c>
    </row>
    <row r="46" spans="1:78" x14ac:dyDescent="0.25">
      <c r="A46" s="1099"/>
      <c r="B46" s="551">
        <f ca="1">IFERROR(IF(P46&lt;&gt;1,select!$A$8,rand!C46),"")</f>
        <v>21</v>
      </c>
      <c r="C46" s="413">
        <v>21</v>
      </c>
      <c r="D46" s="71">
        <f ca="1">IF($D$96=1,IF($D$3=1,IFERROR(OFFSET(P46,0,select!$M$1361),""),""),"")</f>
        <v>1</v>
      </c>
      <c r="E46" s="71" t="str">
        <f ca="1">IF($E$96=1,IF($E$3=1,IFERROR(OFFSET(P46,0,select!$M$1362),""),""),"")</f>
        <v/>
      </c>
      <c r="F46" s="71" t="str">
        <f ca="1">IF($F$96=1,IF($F$3=1,IFERROR(OFFSET(P46,0,select!$M$1363),""),""),"")</f>
        <v/>
      </c>
      <c r="G46" s="71">
        <f ca="1">IF($G$96=1,IF($G$3=1,IFERROR(OFFSET(P46,0,select!$M$1364),""),""),"")</f>
        <v>1</v>
      </c>
      <c r="H46" s="71">
        <f t="shared" ca="1" si="31"/>
        <v>1</v>
      </c>
      <c r="I46" s="71">
        <f>IF(C46=Konfig!$O$25,1,0)</f>
        <v>0</v>
      </c>
      <c r="J46" s="71">
        <f>IF(Konfig!$O$25&lt;=rand!C46,1,0)</f>
        <v>0</v>
      </c>
      <c r="K46" s="71" t="str">
        <f t="shared" ca="1" si="32"/>
        <v/>
      </c>
      <c r="L46" s="71">
        <f>IF(Konfig!$O$25&gt;=rand!C46,1,0)</f>
        <v>1</v>
      </c>
      <c r="M46" s="71">
        <f t="shared" ca="1" si="33"/>
        <v>21</v>
      </c>
      <c r="N46" s="71" t="str">
        <f t="shared" ca="1" si="34"/>
        <v/>
      </c>
      <c r="O46" s="71">
        <f t="shared" ca="1" si="35"/>
        <v>0</v>
      </c>
      <c r="P46" s="71">
        <f ca="1">IF(Konfig!$O$25="*",H46,IF($O$37=1,O46,N46))</f>
        <v>1</v>
      </c>
      <c r="Q46" s="374">
        <f t="shared" si="37"/>
        <v>1</v>
      </c>
      <c r="R46" s="374">
        <f t="shared" si="38"/>
        <v>1</v>
      </c>
      <c r="S46" s="374">
        <f t="shared" si="3"/>
        <v>1</v>
      </c>
      <c r="T46" s="374">
        <f t="shared" si="4"/>
        <v>1</v>
      </c>
      <c r="U46" s="374" t="str">
        <f t="shared" si="5"/>
        <v/>
      </c>
      <c r="V46" s="374" t="str">
        <f t="shared" si="6"/>
        <v/>
      </c>
      <c r="W46" s="374" t="str">
        <f t="shared" si="7"/>
        <v/>
      </c>
      <c r="X46" s="374" t="str">
        <f t="shared" si="8"/>
        <v/>
      </c>
      <c r="Y46" s="374">
        <f t="shared" si="9"/>
        <v>1</v>
      </c>
      <c r="Z46" s="374" t="str">
        <f t="shared" si="10"/>
        <v/>
      </c>
      <c r="AA46" s="374">
        <f t="shared" si="11"/>
        <v>1</v>
      </c>
      <c r="AB46" s="374" t="str">
        <f t="shared" si="12"/>
        <v/>
      </c>
      <c r="AC46" s="374" t="str">
        <f t="shared" si="13"/>
        <v/>
      </c>
      <c r="AD46" s="374" t="str">
        <f t="shared" si="14"/>
        <v/>
      </c>
      <c r="AE46" s="374" t="str">
        <f t="shared" si="15"/>
        <v/>
      </c>
      <c r="AF46" s="374">
        <f t="shared" si="16"/>
        <v>1</v>
      </c>
      <c r="AG46" s="374" t="str">
        <f t="shared" si="17"/>
        <v/>
      </c>
      <c r="AH46" s="374" t="str">
        <f t="shared" si="18"/>
        <v/>
      </c>
      <c r="AI46" s="374">
        <f t="shared" si="19"/>
        <v>1</v>
      </c>
      <c r="AJ46" s="374" t="str">
        <f t="shared" si="20"/>
        <v/>
      </c>
      <c r="AK46" s="374" t="str">
        <f t="shared" si="21"/>
        <v/>
      </c>
      <c r="AL46" s="374" t="str">
        <f t="shared" si="22"/>
        <v/>
      </c>
      <c r="AM46" s="514" t="str">
        <f t="shared" si="23"/>
        <v/>
      </c>
      <c r="AN46" s="18">
        <v>1</v>
      </c>
      <c r="AO46" s="18">
        <v>1</v>
      </c>
      <c r="AS46" s="416">
        <v>1</v>
      </c>
      <c r="AT46" s="18">
        <v>1</v>
      </c>
      <c r="AX46" s="493">
        <v>1</v>
      </c>
      <c r="AY46" s="493">
        <v>1</v>
      </c>
      <c r="BA46" s="493">
        <v>1</v>
      </c>
      <c r="BB46" s="493">
        <v>1</v>
      </c>
      <c r="BI46" s="493">
        <v>1</v>
      </c>
      <c r="BK46" s="493">
        <v>1</v>
      </c>
      <c r="BP46" s="503">
        <v>1</v>
      </c>
      <c r="BS46" s="503">
        <v>1</v>
      </c>
    </row>
    <row r="47" spans="1:78" x14ac:dyDescent="0.25">
      <c r="A47" s="1099"/>
      <c r="B47" s="551" t="str">
        <f ca="1">IFERROR(IF(P47&lt;&gt;1,select!$A$8,rand!C47),"")</f>
        <v>---------</v>
      </c>
      <c r="C47" s="413">
        <v>20.5</v>
      </c>
      <c r="D47" s="71" t="str">
        <f ca="1">IF($D$96=1,IF($D$3=1,IFERROR(OFFSET(P47,0,select!$M$1361),""),""),"")</f>
        <v/>
      </c>
      <c r="E47" s="71" t="str">
        <f ca="1">IF($E$96=1,IF($E$3=1,IFERROR(OFFSET(P47,0,select!$M$1362),""),""),"")</f>
        <v/>
      </c>
      <c r="F47" s="71" t="str">
        <f ca="1">IF($F$96=1,IF($F$3=1,IFERROR(OFFSET(P47,0,select!$M$1363),""),""),"")</f>
        <v/>
      </c>
      <c r="G47" s="71" t="str">
        <f ca="1">IF($G$96=1,IF($G$3=1,IFERROR(OFFSET(P47,0,select!$M$1364),""),""),"")</f>
        <v/>
      </c>
      <c r="H47" s="71">
        <f t="shared" ca="1" si="31"/>
        <v>0</v>
      </c>
      <c r="I47" s="71">
        <f>IF(C47=Konfig!$O$25,1,0)</f>
        <v>0</v>
      </c>
      <c r="J47" s="71">
        <f>IF(Konfig!$O$25&lt;=rand!C47,1,0)</f>
        <v>0</v>
      </c>
      <c r="K47" s="71" t="str">
        <f t="shared" ca="1" si="32"/>
        <v/>
      </c>
      <c r="L47" s="71">
        <f>IF(Konfig!$O$25&gt;=rand!C47,1,0)</f>
        <v>1</v>
      </c>
      <c r="M47" s="71" t="str">
        <f t="shared" ca="1" si="33"/>
        <v/>
      </c>
      <c r="N47" s="71" t="str">
        <f t="shared" ca="1" si="34"/>
        <v/>
      </c>
      <c r="O47" s="71">
        <f t="shared" ca="1" si="35"/>
        <v>0</v>
      </c>
      <c r="P47" s="71">
        <f ca="1">IF(Konfig!$O$25="*",H47,IF($O$37=1,O47,N47))</f>
        <v>0</v>
      </c>
      <c r="Q47" s="374" t="str">
        <f t="shared" si="37"/>
        <v/>
      </c>
      <c r="R47" s="374" t="str">
        <f t="shared" si="38"/>
        <v/>
      </c>
      <c r="S47" s="374" t="str">
        <f t="shared" si="3"/>
        <v/>
      </c>
      <c r="T47" s="374" t="str">
        <f t="shared" si="4"/>
        <v/>
      </c>
      <c r="U47" s="374" t="str">
        <f t="shared" si="5"/>
        <v/>
      </c>
      <c r="V47" s="374" t="str">
        <f t="shared" si="6"/>
        <v/>
      </c>
      <c r="W47" s="374">
        <f t="shared" si="7"/>
        <v>1</v>
      </c>
      <c r="X47" s="374" t="str">
        <f t="shared" si="8"/>
        <v/>
      </c>
      <c r="Y47" s="374" t="str">
        <f t="shared" si="9"/>
        <v/>
      </c>
      <c r="Z47" s="374" t="str">
        <f t="shared" si="10"/>
        <v/>
      </c>
      <c r="AA47" s="374" t="str">
        <f t="shared" si="11"/>
        <v/>
      </c>
      <c r="AB47" s="374" t="str">
        <f t="shared" si="12"/>
        <v/>
      </c>
      <c r="AC47" s="374" t="str">
        <f t="shared" si="13"/>
        <v/>
      </c>
      <c r="AD47" s="374" t="str">
        <f t="shared" si="14"/>
        <v/>
      </c>
      <c r="AE47" s="374" t="str">
        <f t="shared" si="15"/>
        <v/>
      </c>
      <c r="AF47" s="374" t="str">
        <f t="shared" si="16"/>
        <v/>
      </c>
      <c r="AG47" s="374" t="str">
        <f t="shared" si="17"/>
        <v/>
      </c>
      <c r="AH47" s="374" t="str">
        <f t="shared" si="18"/>
        <v/>
      </c>
      <c r="AI47" s="374" t="str">
        <f t="shared" si="19"/>
        <v/>
      </c>
      <c r="AJ47" s="374" t="str">
        <f t="shared" si="20"/>
        <v/>
      </c>
      <c r="AK47" s="374" t="str">
        <f t="shared" si="21"/>
        <v/>
      </c>
      <c r="AL47" s="374" t="str">
        <f t="shared" si="22"/>
        <v/>
      </c>
      <c r="AM47" s="514" t="str">
        <f t="shared" si="23"/>
        <v/>
      </c>
      <c r="BG47" s="493">
        <v>1</v>
      </c>
    </row>
    <row r="48" spans="1:78" x14ac:dyDescent="0.25">
      <c r="A48" s="1099"/>
      <c r="B48" s="551">
        <f ca="1">IFERROR(IF(P48&lt;&gt;1,select!$A$8,rand!C48),"")</f>
        <v>20</v>
      </c>
      <c r="C48" s="413">
        <v>20</v>
      </c>
      <c r="D48" s="71">
        <f ca="1">IF($D$96=1,IF($D$3=1,IFERROR(OFFSET(P48,0,select!$M$1361),""),""),"")</f>
        <v>1</v>
      </c>
      <c r="E48" s="71" t="str">
        <f ca="1">IF($E$96=1,IF($E$3=1,IFERROR(OFFSET(P48,0,select!$M$1362),""),""),"")</f>
        <v/>
      </c>
      <c r="F48" s="71" t="str">
        <f ca="1">IF($F$96=1,IF($F$3=1,IFERROR(OFFSET(P48,0,select!$M$1363),""),""),"")</f>
        <v/>
      </c>
      <c r="G48" s="71">
        <f ca="1">IF($G$96=1,IF($G$3=1,IFERROR(OFFSET(P48,0,select!$M$1364),""),""),"")</f>
        <v>1</v>
      </c>
      <c r="H48" s="71">
        <f t="shared" ca="1" si="31"/>
        <v>1</v>
      </c>
      <c r="I48" s="71">
        <f>IF(C48=Konfig!$O$25,1,0)</f>
        <v>0</v>
      </c>
      <c r="J48" s="71">
        <f>IF(Konfig!$O$25&lt;=rand!C48,1,0)</f>
        <v>0</v>
      </c>
      <c r="K48" s="71" t="str">
        <f t="shared" ca="1" si="32"/>
        <v/>
      </c>
      <c r="L48" s="71">
        <f>IF(Konfig!$O$25&gt;=rand!C48,1,0)</f>
        <v>1</v>
      </c>
      <c r="M48" s="71">
        <f t="shared" ca="1" si="33"/>
        <v>20</v>
      </c>
      <c r="N48" s="71" t="str">
        <f t="shared" ca="1" si="34"/>
        <v/>
      </c>
      <c r="O48" s="71">
        <f t="shared" ca="1" si="35"/>
        <v>0</v>
      </c>
      <c r="P48" s="71">
        <f ca="1">IF(Konfig!$O$25="*",H48,IF($O$37=1,O48,N48))</f>
        <v>1</v>
      </c>
      <c r="Q48" s="374">
        <f t="shared" si="37"/>
        <v>1</v>
      </c>
      <c r="R48" s="374">
        <f t="shared" si="38"/>
        <v>1</v>
      </c>
      <c r="S48" s="374">
        <f t="shared" si="3"/>
        <v>1</v>
      </c>
      <c r="T48" s="374">
        <f t="shared" si="4"/>
        <v>1</v>
      </c>
      <c r="U48" s="374" t="str">
        <f t="shared" si="5"/>
        <v/>
      </c>
      <c r="V48" s="374" t="str">
        <f t="shared" si="6"/>
        <v/>
      </c>
      <c r="W48" s="374" t="str">
        <f t="shared" si="7"/>
        <v/>
      </c>
      <c r="X48" s="374" t="str">
        <f t="shared" si="8"/>
        <v/>
      </c>
      <c r="Y48" s="374">
        <f t="shared" si="9"/>
        <v>1</v>
      </c>
      <c r="Z48" s="374" t="str">
        <f t="shared" si="10"/>
        <v/>
      </c>
      <c r="AA48" s="374">
        <f t="shared" si="11"/>
        <v>1</v>
      </c>
      <c r="AB48" s="374" t="str">
        <f t="shared" si="12"/>
        <v/>
      </c>
      <c r="AC48" s="374" t="str">
        <f t="shared" si="13"/>
        <v/>
      </c>
      <c r="AD48" s="374" t="str">
        <f t="shared" si="14"/>
        <v/>
      </c>
      <c r="AE48" s="374" t="str">
        <f t="shared" si="15"/>
        <v/>
      </c>
      <c r="AF48" s="374">
        <f t="shared" si="16"/>
        <v>1</v>
      </c>
      <c r="AG48" s="374" t="str">
        <f t="shared" si="17"/>
        <v/>
      </c>
      <c r="AH48" s="374" t="str">
        <f t="shared" si="18"/>
        <v/>
      </c>
      <c r="AI48" s="374">
        <f t="shared" si="19"/>
        <v>1</v>
      </c>
      <c r="AJ48" s="374">
        <f t="shared" si="20"/>
        <v>1</v>
      </c>
      <c r="AK48" s="374" t="str">
        <f t="shared" si="21"/>
        <v/>
      </c>
      <c r="AL48" s="374" t="str">
        <f t="shared" si="22"/>
        <v/>
      </c>
      <c r="AM48" s="514" t="str">
        <f t="shared" si="23"/>
        <v/>
      </c>
      <c r="AN48" s="18">
        <v>1</v>
      </c>
      <c r="AO48" s="18">
        <v>1</v>
      </c>
      <c r="AS48" s="416">
        <v>1</v>
      </c>
      <c r="AT48" s="18">
        <v>1</v>
      </c>
      <c r="AX48" s="493">
        <v>1</v>
      </c>
      <c r="AY48" s="493">
        <v>1</v>
      </c>
      <c r="BA48" s="493">
        <v>1</v>
      </c>
      <c r="BB48" s="493">
        <v>1</v>
      </c>
      <c r="BI48" s="493">
        <v>1</v>
      </c>
      <c r="BK48" s="493">
        <v>1</v>
      </c>
      <c r="BP48" s="503">
        <v>1</v>
      </c>
      <c r="BS48" s="503">
        <v>1</v>
      </c>
      <c r="BT48" s="503">
        <v>1</v>
      </c>
    </row>
    <row r="49" spans="1:76" x14ac:dyDescent="0.25">
      <c r="A49" s="1099"/>
      <c r="B49" s="551" t="str">
        <f ca="1">IFERROR(IF(P49&lt;&gt;1,select!$A$8,rand!C49),"")</f>
        <v>---------</v>
      </c>
      <c r="C49" s="413">
        <v>19.5</v>
      </c>
      <c r="D49" s="71" t="str">
        <f ca="1">IF($D$96=1,IF($D$3=1,IFERROR(OFFSET(P49,0,select!$M$1361),""),""),"")</f>
        <v/>
      </c>
      <c r="E49" s="71" t="str">
        <f ca="1">IF($E$96=1,IF($E$3=1,IFERROR(OFFSET(P49,0,select!$M$1362),""),""),"")</f>
        <v/>
      </c>
      <c r="F49" s="71" t="str">
        <f ca="1">IF($F$96=1,IF($F$3=1,IFERROR(OFFSET(P49,0,select!$M$1363),""),""),"")</f>
        <v/>
      </c>
      <c r="G49" s="71" t="str">
        <f ca="1">IF($G$96=1,IF($G$3=1,IFERROR(OFFSET(P49,0,select!$M$1364),""),""),"")</f>
        <v/>
      </c>
      <c r="H49" s="71">
        <f t="shared" ca="1" si="31"/>
        <v>0</v>
      </c>
      <c r="I49" s="71">
        <f>IF(C49=Konfig!$O$25,1,0)</f>
        <v>0</v>
      </c>
      <c r="J49" s="71">
        <f>IF(Konfig!$O$25&lt;=rand!C49,1,0)</f>
        <v>0</v>
      </c>
      <c r="K49" s="71" t="str">
        <f t="shared" ca="1" si="32"/>
        <v/>
      </c>
      <c r="L49" s="71">
        <f>IF(Konfig!$O$25&gt;=rand!C49,1,0)</f>
        <v>1</v>
      </c>
      <c r="M49" s="71" t="str">
        <f t="shared" ca="1" si="33"/>
        <v/>
      </c>
      <c r="N49" s="71" t="str">
        <f t="shared" ca="1" si="34"/>
        <v/>
      </c>
      <c r="O49" s="71">
        <f t="shared" ca="1" si="35"/>
        <v>0</v>
      </c>
      <c r="P49" s="71">
        <f ca="1">IF(Konfig!$O$25="*",H49,IF($O$37=1,O49,N49))</f>
        <v>0</v>
      </c>
      <c r="Q49" s="374" t="str">
        <f t="shared" si="37"/>
        <v/>
      </c>
      <c r="R49" s="374" t="str">
        <f t="shared" si="38"/>
        <v/>
      </c>
      <c r="S49" s="374" t="str">
        <f t="shared" si="3"/>
        <v/>
      </c>
      <c r="T49" s="374" t="str">
        <f t="shared" si="4"/>
        <v/>
      </c>
      <c r="U49" s="374" t="str">
        <f t="shared" si="5"/>
        <v/>
      </c>
      <c r="V49" s="374" t="str">
        <f t="shared" si="6"/>
        <v/>
      </c>
      <c r="W49" s="374">
        <f t="shared" si="7"/>
        <v>1</v>
      </c>
      <c r="X49" s="374" t="str">
        <f t="shared" si="8"/>
        <v/>
      </c>
      <c r="Y49" s="374" t="str">
        <f t="shared" si="9"/>
        <v/>
      </c>
      <c r="Z49" s="374" t="str">
        <f t="shared" si="10"/>
        <v/>
      </c>
      <c r="AA49" s="374">
        <f t="shared" si="11"/>
        <v>1</v>
      </c>
      <c r="AB49" s="374" t="str">
        <f t="shared" si="12"/>
        <v/>
      </c>
      <c r="AC49" s="374" t="str">
        <f t="shared" si="13"/>
        <v/>
      </c>
      <c r="AD49" s="374" t="str">
        <f t="shared" si="14"/>
        <v/>
      </c>
      <c r="AE49" s="374" t="str">
        <f t="shared" si="15"/>
        <v/>
      </c>
      <c r="AF49" s="374" t="str">
        <f t="shared" si="16"/>
        <v/>
      </c>
      <c r="AG49" s="374" t="str">
        <f t="shared" si="17"/>
        <v/>
      </c>
      <c r="AH49" s="374" t="str">
        <f t="shared" si="18"/>
        <v/>
      </c>
      <c r="AI49" s="374" t="str">
        <f t="shared" si="19"/>
        <v/>
      </c>
      <c r="AJ49" s="374" t="str">
        <f t="shared" si="20"/>
        <v/>
      </c>
      <c r="AK49" s="374" t="str">
        <f t="shared" si="21"/>
        <v/>
      </c>
      <c r="AL49" s="374" t="str">
        <f t="shared" si="22"/>
        <v/>
      </c>
      <c r="AM49" s="514" t="str">
        <f t="shared" si="23"/>
        <v/>
      </c>
      <c r="BG49" s="493">
        <v>1</v>
      </c>
      <c r="BK49" s="493">
        <v>1</v>
      </c>
    </row>
    <row r="50" spans="1:76" x14ac:dyDescent="0.25">
      <c r="A50" s="1099"/>
      <c r="B50" s="551">
        <f ca="1">IFERROR(IF(P50&lt;&gt;1,select!$A$8,rand!C50),"")</f>
        <v>19</v>
      </c>
      <c r="C50" s="413">
        <v>19</v>
      </c>
      <c r="D50" s="71">
        <f ca="1">IF($D$96=1,IF($D$3=1,IFERROR(OFFSET(P50,0,select!$M$1361),""),""),"")</f>
        <v>1</v>
      </c>
      <c r="E50" s="71" t="str">
        <f ca="1">IF($E$96=1,IF($E$3=1,IFERROR(OFFSET(P50,0,select!$M$1362),""),""),"")</f>
        <v/>
      </c>
      <c r="F50" s="71" t="str">
        <f ca="1">IF($F$96=1,IF($F$3=1,IFERROR(OFFSET(P50,0,select!$M$1363),""),""),"")</f>
        <v/>
      </c>
      <c r="G50" s="71">
        <f ca="1">IF($G$96=1,IF($G$3=1,IFERROR(OFFSET(P50,0,select!$M$1364),""),""),"")</f>
        <v>1</v>
      </c>
      <c r="H50" s="71">
        <f t="shared" ca="1" si="31"/>
        <v>1</v>
      </c>
      <c r="I50" s="71">
        <f>IF(C50=Konfig!$O$25,1,0)</f>
        <v>0</v>
      </c>
      <c r="J50" s="71">
        <f>IF(Konfig!$O$25&lt;=rand!C50,1,0)</f>
        <v>0</v>
      </c>
      <c r="K50" s="71" t="str">
        <f t="shared" ca="1" si="32"/>
        <v/>
      </c>
      <c r="L50" s="71">
        <f>IF(Konfig!$O$25&gt;=rand!C50,1,0)</f>
        <v>1</v>
      </c>
      <c r="M50" s="71">
        <f t="shared" ca="1" si="33"/>
        <v>19</v>
      </c>
      <c r="N50" s="71" t="str">
        <f t="shared" ca="1" si="34"/>
        <v/>
      </c>
      <c r="O50" s="71">
        <f t="shared" ca="1" si="35"/>
        <v>0</v>
      </c>
      <c r="P50" s="71">
        <f ca="1">IF(Konfig!$O$25="*",H50,IF($O$37=1,O50,N50))</f>
        <v>1</v>
      </c>
      <c r="Q50" s="374">
        <f t="shared" si="37"/>
        <v>1</v>
      </c>
      <c r="R50" s="374">
        <f t="shared" si="38"/>
        <v>1</v>
      </c>
      <c r="S50" s="374">
        <f t="shared" si="3"/>
        <v>1</v>
      </c>
      <c r="T50" s="374">
        <f t="shared" si="4"/>
        <v>1</v>
      </c>
      <c r="U50" s="374" t="str">
        <f t="shared" si="5"/>
        <v/>
      </c>
      <c r="V50" s="374" t="str">
        <f t="shared" si="6"/>
        <v/>
      </c>
      <c r="W50" s="374" t="str">
        <f t="shared" si="7"/>
        <v/>
      </c>
      <c r="X50" s="374" t="str">
        <f t="shared" si="8"/>
        <v/>
      </c>
      <c r="Y50" s="374">
        <f t="shared" si="9"/>
        <v>1</v>
      </c>
      <c r="Z50" s="374" t="str">
        <f t="shared" si="10"/>
        <v/>
      </c>
      <c r="AA50" s="374">
        <f t="shared" si="11"/>
        <v>1</v>
      </c>
      <c r="AB50" s="374" t="str">
        <f t="shared" si="12"/>
        <v/>
      </c>
      <c r="AC50" s="374" t="str">
        <f t="shared" si="13"/>
        <v/>
      </c>
      <c r="AD50" s="374">
        <f t="shared" si="14"/>
        <v>1</v>
      </c>
      <c r="AE50" s="374" t="str">
        <f t="shared" si="15"/>
        <v/>
      </c>
      <c r="AF50" s="374">
        <f t="shared" si="16"/>
        <v>1</v>
      </c>
      <c r="AG50" s="374" t="str">
        <f t="shared" si="17"/>
        <v/>
      </c>
      <c r="AH50" s="374" t="str">
        <f t="shared" si="18"/>
        <v/>
      </c>
      <c r="AI50" s="374">
        <f t="shared" si="19"/>
        <v>1</v>
      </c>
      <c r="AJ50" s="374">
        <f t="shared" si="20"/>
        <v>1</v>
      </c>
      <c r="AK50" s="374" t="str">
        <f t="shared" si="21"/>
        <v/>
      </c>
      <c r="AL50" s="374">
        <f t="shared" si="22"/>
        <v>1</v>
      </c>
      <c r="AM50" s="514">
        <f t="shared" si="23"/>
        <v>1</v>
      </c>
      <c r="AN50" s="18">
        <v>1</v>
      </c>
      <c r="AO50" s="18">
        <v>1</v>
      </c>
      <c r="AS50" s="416">
        <v>1</v>
      </c>
      <c r="AT50" s="18">
        <v>1</v>
      </c>
      <c r="AX50" s="493">
        <v>1</v>
      </c>
      <c r="AY50" s="493">
        <v>1</v>
      </c>
      <c r="BA50" s="493">
        <v>1</v>
      </c>
      <c r="BB50" s="493">
        <v>1</v>
      </c>
      <c r="BI50" s="493">
        <v>1</v>
      </c>
      <c r="BK50" s="493">
        <v>1</v>
      </c>
      <c r="BN50" s="499">
        <v>1</v>
      </c>
      <c r="BP50" s="503">
        <v>1</v>
      </c>
      <c r="BS50" s="503">
        <v>1</v>
      </c>
      <c r="BT50" s="503">
        <v>1</v>
      </c>
      <c r="BV50" s="503">
        <v>1</v>
      </c>
      <c r="BW50" s="504">
        <v>1</v>
      </c>
    </row>
    <row r="51" spans="1:76" x14ac:dyDescent="0.25">
      <c r="A51" s="1099"/>
      <c r="B51" s="551">
        <f ca="1">IFERROR(IF(P51&lt;&gt;1,select!$A$8,rand!C51),"")</f>
        <v>18.5</v>
      </c>
      <c r="C51" s="413">
        <v>18.5</v>
      </c>
      <c r="D51" s="71">
        <f ca="1">IF($D$96=1,IF($D$3=1,IFERROR(OFFSET(P51,0,select!$M$1361),""),""),"")</f>
        <v>1</v>
      </c>
      <c r="E51" s="71" t="str">
        <f ca="1">IF($E$96=1,IF($E$3=1,IFERROR(OFFSET(P51,0,select!$M$1362),""),""),"")</f>
        <v/>
      </c>
      <c r="F51" s="71" t="str">
        <f ca="1">IF($F$96=1,IF($F$3=1,IFERROR(OFFSET(P51,0,select!$M$1363),""),""),"")</f>
        <v/>
      </c>
      <c r="G51" s="71" t="str">
        <f ca="1">IF($G$96=1,IF($G$3=1,IFERROR(OFFSET(P51,0,select!$M$1364),""),""),"")</f>
        <v/>
      </c>
      <c r="H51" s="71">
        <f t="shared" ca="1" si="31"/>
        <v>1</v>
      </c>
      <c r="I51" s="71">
        <f>IF(C51=Konfig!$O$25,1,0)</f>
        <v>0</v>
      </c>
      <c r="J51" s="71">
        <f>IF(Konfig!$O$25&lt;=rand!C51,1,0)</f>
        <v>0</v>
      </c>
      <c r="K51" s="71" t="str">
        <f t="shared" ca="1" si="32"/>
        <v/>
      </c>
      <c r="L51" s="71">
        <f>IF(Konfig!$O$25&gt;=rand!C51,1,0)</f>
        <v>1</v>
      </c>
      <c r="M51" s="71" t="str">
        <f t="shared" ca="1" si="33"/>
        <v/>
      </c>
      <c r="N51" s="71" t="str">
        <f t="shared" ca="1" si="34"/>
        <v/>
      </c>
      <c r="O51" s="71">
        <f t="shared" ca="1" si="35"/>
        <v>0</v>
      </c>
      <c r="P51" s="71">
        <f ca="1">IF(Konfig!$O$25="*",H51,IF($O$37=1,O51,N51))</f>
        <v>1</v>
      </c>
      <c r="Q51" s="374">
        <f t="shared" si="37"/>
        <v>1</v>
      </c>
      <c r="R51" s="374">
        <f t="shared" si="38"/>
        <v>1</v>
      </c>
      <c r="S51" s="374">
        <f t="shared" si="3"/>
        <v>1</v>
      </c>
      <c r="T51" s="374">
        <f t="shared" si="4"/>
        <v>1</v>
      </c>
      <c r="U51" s="374" t="str">
        <f t="shared" si="5"/>
        <v/>
      </c>
      <c r="V51" s="374" t="str">
        <f t="shared" si="6"/>
        <v/>
      </c>
      <c r="W51" s="374">
        <f t="shared" si="7"/>
        <v>1</v>
      </c>
      <c r="X51" s="374" t="str">
        <f t="shared" si="8"/>
        <v/>
      </c>
      <c r="Y51" s="374">
        <f t="shared" si="9"/>
        <v>1</v>
      </c>
      <c r="Z51" s="374" t="str">
        <f t="shared" si="10"/>
        <v/>
      </c>
      <c r="AA51" s="374">
        <f t="shared" si="11"/>
        <v>1</v>
      </c>
      <c r="AB51" s="374" t="str">
        <f t="shared" si="12"/>
        <v/>
      </c>
      <c r="AC51" s="374" t="str">
        <f t="shared" si="13"/>
        <v/>
      </c>
      <c r="AD51" s="374" t="str">
        <f t="shared" si="14"/>
        <v/>
      </c>
      <c r="AE51" s="374" t="str">
        <f t="shared" si="15"/>
        <v/>
      </c>
      <c r="AF51" s="374" t="str">
        <f t="shared" si="16"/>
        <v/>
      </c>
      <c r="AG51" s="374" t="str">
        <f t="shared" si="17"/>
        <v/>
      </c>
      <c r="AH51" s="374" t="str">
        <f t="shared" si="18"/>
        <v/>
      </c>
      <c r="AI51" s="374" t="str">
        <f t="shared" si="19"/>
        <v/>
      </c>
      <c r="AJ51" s="374" t="str">
        <f t="shared" si="20"/>
        <v/>
      </c>
      <c r="AK51" s="374" t="str">
        <f t="shared" si="21"/>
        <v/>
      </c>
      <c r="AL51" s="374" t="str">
        <f t="shared" si="22"/>
        <v/>
      </c>
      <c r="AM51" s="514" t="str">
        <f t="shared" si="23"/>
        <v/>
      </c>
      <c r="AN51" s="18">
        <v>1</v>
      </c>
      <c r="AS51" s="416">
        <v>1</v>
      </c>
      <c r="AX51" s="493">
        <v>1</v>
      </c>
      <c r="BA51" s="493">
        <v>1</v>
      </c>
      <c r="BG51" s="493">
        <v>1</v>
      </c>
      <c r="BI51" s="493">
        <v>1</v>
      </c>
      <c r="BK51" s="493">
        <v>1</v>
      </c>
    </row>
    <row r="52" spans="1:76" x14ac:dyDescent="0.25">
      <c r="A52" s="1099"/>
      <c r="B52" s="551">
        <f ca="1">IFERROR(IF(P52&lt;&gt;1,select!$A$8,rand!C52),"")</f>
        <v>18</v>
      </c>
      <c r="C52" s="413">
        <v>18</v>
      </c>
      <c r="D52" s="71">
        <f ca="1">IF($D$96=1,IF($D$3=1,IFERROR(OFFSET(P52,0,select!$M$1361),""),""),"")</f>
        <v>1</v>
      </c>
      <c r="E52" s="71" t="str">
        <f ca="1">IF($E$96=1,IF($E$3=1,IFERROR(OFFSET(P52,0,select!$M$1362),""),""),"")</f>
        <v/>
      </c>
      <c r="F52" s="71" t="str">
        <f ca="1">IF($F$96=1,IF($F$3=1,IFERROR(OFFSET(P52,0,select!$M$1363),""),""),"")</f>
        <v/>
      </c>
      <c r="G52" s="71">
        <f ca="1">IF($G$96=1,IF($G$3=1,IFERROR(OFFSET(P52,0,select!$M$1364),""),""),"")</f>
        <v>1</v>
      </c>
      <c r="H52" s="71">
        <f t="shared" ca="1" si="31"/>
        <v>1</v>
      </c>
      <c r="I52" s="71">
        <f>IF(C52=Konfig!$O$25,1,0)</f>
        <v>0</v>
      </c>
      <c r="J52" s="71">
        <f>IF(Konfig!$O$25&lt;=rand!C52,1,0)</f>
        <v>0</v>
      </c>
      <c r="K52" s="71" t="str">
        <f t="shared" ca="1" si="32"/>
        <v/>
      </c>
      <c r="L52" s="71">
        <f>IF(Konfig!$O$25&gt;=rand!C52,1,0)</f>
        <v>1</v>
      </c>
      <c r="M52" s="71" t="str">
        <f t="shared" ca="1" si="33"/>
        <v/>
      </c>
      <c r="N52" s="71" t="str">
        <f t="shared" ca="1" si="34"/>
        <v/>
      </c>
      <c r="O52" s="71">
        <f t="shared" ca="1" si="35"/>
        <v>0</v>
      </c>
      <c r="P52" s="71">
        <f ca="1">IF(Konfig!$O$25="*",H52,IF($O$37=1,O52,N52))</f>
        <v>1</v>
      </c>
      <c r="Q52" s="374">
        <f t="shared" si="37"/>
        <v>1</v>
      </c>
      <c r="R52" s="374">
        <f t="shared" si="38"/>
        <v>1</v>
      </c>
      <c r="S52" s="374">
        <f t="shared" si="3"/>
        <v>1</v>
      </c>
      <c r="T52" s="374">
        <f t="shared" si="4"/>
        <v>1</v>
      </c>
      <c r="U52" s="374" t="str">
        <f t="shared" si="5"/>
        <v/>
      </c>
      <c r="V52" s="374" t="str">
        <f t="shared" si="6"/>
        <v/>
      </c>
      <c r="W52" s="374" t="str">
        <f t="shared" si="7"/>
        <v/>
      </c>
      <c r="X52" s="374" t="str">
        <f t="shared" si="8"/>
        <v/>
      </c>
      <c r="Y52" s="374">
        <f t="shared" si="9"/>
        <v>1</v>
      </c>
      <c r="Z52" s="374" t="str">
        <f t="shared" si="10"/>
        <v/>
      </c>
      <c r="AA52" s="374">
        <f t="shared" si="11"/>
        <v>1</v>
      </c>
      <c r="AB52" s="374" t="str">
        <f t="shared" si="12"/>
        <v/>
      </c>
      <c r="AC52" s="374">
        <f t="shared" si="13"/>
        <v>1</v>
      </c>
      <c r="AD52" s="374">
        <f t="shared" si="14"/>
        <v>1</v>
      </c>
      <c r="AE52" s="374" t="str">
        <f t="shared" si="15"/>
        <v/>
      </c>
      <c r="AF52" s="374">
        <f t="shared" si="16"/>
        <v>1</v>
      </c>
      <c r="AG52" s="374" t="str">
        <f t="shared" si="17"/>
        <v/>
      </c>
      <c r="AH52" s="374">
        <f t="shared" si="18"/>
        <v>1</v>
      </c>
      <c r="AI52" s="374">
        <f t="shared" si="19"/>
        <v>1</v>
      </c>
      <c r="AJ52" s="374" t="str">
        <f t="shared" si="20"/>
        <v/>
      </c>
      <c r="AK52" s="374">
        <f t="shared" si="21"/>
        <v>1</v>
      </c>
      <c r="AL52" s="374" t="str">
        <f t="shared" si="22"/>
        <v/>
      </c>
      <c r="AM52" s="514" t="str">
        <f t="shared" si="23"/>
        <v/>
      </c>
      <c r="AN52" s="18">
        <v>1</v>
      </c>
      <c r="AO52" s="18">
        <v>1</v>
      </c>
      <c r="AS52" s="416">
        <v>1</v>
      </c>
      <c r="AT52" s="18">
        <v>1</v>
      </c>
      <c r="AX52" s="493">
        <v>1</v>
      </c>
      <c r="AY52" s="493">
        <v>1</v>
      </c>
      <c r="BA52" s="493">
        <v>1</v>
      </c>
      <c r="BB52" s="493">
        <v>1</v>
      </c>
      <c r="BI52" s="493">
        <v>1</v>
      </c>
      <c r="BK52" s="493">
        <v>1</v>
      </c>
      <c r="BM52" s="493">
        <v>1</v>
      </c>
      <c r="BN52" s="499">
        <v>1</v>
      </c>
      <c r="BP52" s="503">
        <v>1</v>
      </c>
      <c r="BR52" s="503">
        <v>1</v>
      </c>
      <c r="BS52" s="503">
        <v>1</v>
      </c>
      <c r="BU52" s="503">
        <v>1</v>
      </c>
    </row>
    <row r="53" spans="1:76" x14ac:dyDescent="0.25">
      <c r="A53" s="1099"/>
      <c r="B53" s="551">
        <f ca="1">IFERROR(IF(P53&lt;&gt;1,select!$A$8,rand!C53),"")</f>
        <v>17.5</v>
      </c>
      <c r="C53" s="413">
        <v>17.5</v>
      </c>
      <c r="D53" s="71">
        <f ca="1">IF($D$96=1,IF($D$3=1,IFERROR(OFFSET(P53,0,select!$M$1361),""),""),"")</f>
        <v>1</v>
      </c>
      <c r="E53" s="71" t="str">
        <f ca="1">IF($E$96=1,IF($E$3=1,IFERROR(OFFSET(P53,0,select!$M$1362),""),""),"")</f>
        <v/>
      </c>
      <c r="F53" s="71" t="str">
        <f ca="1">IF($F$96=1,IF($F$3=1,IFERROR(OFFSET(P53,0,select!$M$1363),""),""),"")</f>
        <v/>
      </c>
      <c r="G53" s="71" t="str">
        <f ca="1">IF($G$96=1,IF($G$3=1,IFERROR(OFFSET(P53,0,select!$M$1364),""),""),"")</f>
        <v/>
      </c>
      <c r="H53" s="71">
        <f t="shared" ca="1" si="31"/>
        <v>1</v>
      </c>
      <c r="I53" s="71">
        <f>IF(C53=Konfig!$O$25,1,0)</f>
        <v>0</v>
      </c>
      <c r="J53" s="71">
        <f>IF(Konfig!$O$25&lt;=rand!C53,1,0)</f>
        <v>0</v>
      </c>
      <c r="K53" s="71" t="str">
        <f t="shared" ca="1" si="32"/>
        <v/>
      </c>
      <c r="L53" s="71">
        <f>IF(Konfig!$O$25&gt;=rand!C53,1,0)</f>
        <v>1</v>
      </c>
      <c r="M53" s="71" t="str">
        <f t="shared" ca="1" si="33"/>
        <v/>
      </c>
      <c r="N53" s="71" t="str">
        <f t="shared" ca="1" si="34"/>
        <v/>
      </c>
      <c r="O53" s="71">
        <f t="shared" ca="1" si="35"/>
        <v>0</v>
      </c>
      <c r="P53" s="71">
        <f ca="1">IF(Konfig!$O$25="*",H53,IF($O$37=1,O53,N53))</f>
        <v>1</v>
      </c>
      <c r="Q53" s="374">
        <f t="shared" si="37"/>
        <v>1</v>
      </c>
      <c r="R53" s="374">
        <f t="shared" si="38"/>
        <v>1</v>
      </c>
      <c r="S53" s="374">
        <f t="shared" si="3"/>
        <v>1</v>
      </c>
      <c r="T53" s="374">
        <f t="shared" si="4"/>
        <v>1</v>
      </c>
      <c r="U53" s="374" t="str">
        <f t="shared" si="5"/>
        <v/>
      </c>
      <c r="V53" s="374" t="str">
        <f t="shared" si="6"/>
        <v/>
      </c>
      <c r="W53" s="374">
        <f t="shared" si="7"/>
        <v>1</v>
      </c>
      <c r="X53" s="374" t="str">
        <f t="shared" si="8"/>
        <v/>
      </c>
      <c r="Y53" s="374">
        <f t="shared" si="9"/>
        <v>1</v>
      </c>
      <c r="Z53" s="374" t="str">
        <f t="shared" si="10"/>
        <v/>
      </c>
      <c r="AA53" s="374">
        <f t="shared" si="11"/>
        <v>1</v>
      </c>
      <c r="AB53" s="374" t="str">
        <f t="shared" si="12"/>
        <v/>
      </c>
      <c r="AC53" s="374" t="str">
        <f t="shared" si="13"/>
        <v/>
      </c>
      <c r="AD53" s="374" t="str">
        <f t="shared" si="14"/>
        <v/>
      </c>
      <c r="AE53" s="374" t="str">
        <f t="shared" si="15"/>
        <v/>
      </c>
      <c r="AF53" s="374" t="str">
        <f t="shared" si="16"/>
        <v/>
      </c>
      <c r="AG53" s="374" t="str">
        <f t="shared" si="17"/>
        <v/>
      </c>
      <c r="AH53" s="374" t="str">
        <f t="shared" si="18"/>
        <v/>
      </c>
      <c r="AI53" s="374" t="str">
        <f t="shared" si="19"/>
        <v/>
      </c>
      <c r="AJ53" s="374" t="str">
        <f t="shared" si="20"/>
        <v/>
      </c>
      <c r="AK53" s="374" t="str">
        <f t="shared" si="21"/>
        <v/>
      </c>
      <c r="AL53" s="374" t="str">
        <f t="shared" si="22"/>
        <v/>
      </c>
      <c r="AM53" s="514" t="str">
        <f t="shared" si="23"/>
        <v/>
      </c>
      <c r="AN53" s="18">
        <v>1</v>
      </c>
      <c r="AS53" s="416">
        <v>1</v>
      </c>
      <c r="AX53" s="493">
        <v>1</v>
      </c>
      <c r="AZ53" s="499">
        <v>1</v>
      </c>
      <c r="BA53" s="493">
        <v>1</v>
      </c>
      <c r="BG53" s="493">
        <v>1</v>
      </c>
      <c r="BI53" s="493">
        <v>1</v>
      </c>
      <c r="BK53" s="493">
        <v>1</v>
      </c>
    </row>
    <row r="54" spans="1:76" x14ac:dyDescent="0.25">
      <c r="A54" s="1099"/>
      <c r="B54" s="551">
        <f ca="1">IFERROR(IF(P54&lt;&gt;1,select!$A$8,rand!C54),"")</f>
        <v>17</v>
      </c>
      <c r="C54" s="413">
        <v>17</v>
      </c>
      <c r="D54" s="71">
        <f ca="1">IF($D$96=1,IF($D$3=1,IFERROR(OFFSET(P54,0,select!$M$1361),""),""),"")</f>
        <v>1</v>
      </c>
      <c r="E54" s="71" t="str">
        <f ca="1">IF($E$96=1,IF($E$3=1,IFERROR(OFFSET(P54,0,select!$M$1362),""),""),"")</f>
        <v/>
      </c>
      <c r="F54" s="71" t="str">
        <f ca="1">IF($F$96=1,IF($F$3=1,IFERROR(OFFSET(P54,0,select!$M$1363),""),""),"")</f>
        <v/>
      </c>
      <c r="G54" s="71">
        <f ca="1">IF($G$96=1,IF($G$3=1,IFERROR(OFFSET(P54,0,select!$M$1364),""),""),"")</f>
        <v>1</v>
      </c>
      <c r="H54" s="71">
        <f t="shared" ca="1" si="31"/>
        <v>1</v>
      </c>
      <c r="I54" s="71">
        <f>IF(C54=Konfig!$O$25,1,0)</f>
        <v>0</v>
      </c>
      <c r="J54" s="71">
        <f>IF(Konfig!$O$25&lt;=rand!C54,1,0)</f>
        <v>0</v>
      </c>
      <c r="K54" s="71" t="str">
        <f t="shared" ca="1" si="32"/>
        <v/>
      </c>
      <c r="L54" s="71">
        <f>IF(Konfig!$O$25&gt;=rand!C54,1,0)</f>
        <v>1</v>
      </c>
      <c r="M54" s="71" t="str">
        <f t="shared" ca="1" si="33"/>
        <v/>
      </c>
      <c r="N54" s="71" t="str">
        <f t="shared" ca="1" si="34"/>
        <v/>
      </c>
      <c r="O54" s="71">
        <f t="shared" ca="1" si="35"/>
        <v>0</v>
      </c>
      <c r="P54" s="71">
        <f ca="1">IF(Konfig!$O$25="*",H54,IF($O$37=1,O54,N54))</f>
        <v>1</v>
      </c>
      <c r="Q54" s="374">
        <f t="shared" si="37"/>
        <v>1</v>
      </c>
      <c r="R54" s="374">
        <f t="shared" si="38"/>
        <v>1</v>
      </c>
      <c r="S54" s="374">
        <f t="shared" si="3"/>
        <v>1</v>
      </c>
      <c r="T54" s="374">
        <f t="shared" si="4"/>
        <v>1</v>
      </c>
      <c r="U54" s="374" t="str">
        <f t="shared" si="5"/>
        <v/>
      </c>
      <c r="V54" s="374" t="str">
        <f t="shared" si="6"/>
        <v/>
      </c>
      <c r="W54" s="374" t="str">
        <f t="shared" si="7"/>
        <v/>
      </c>
      <c r="X54" s="374" t="str">
        <f t="shared" si="8"/>
        <v/>
      </c>
      <c r="Y54" s="374">
        <f t="shared" si="9"/>
        <v>1</v>
      </c>
      <c r="Z54" s="374" t="str">
        <f t="shared" si="10"/>
        <v/>
      </c>
      <c r="AA54" s="374">
        <f t="shared" si="11"/>
        <v>1</v>
      </c>
      <c r="AB54" s="374" t="str">
        <f t="shared" si="12"/>
        <v/>
      </c>
      <c r="AC54" s="374">
        <f t="shared" si="13"/>
        <v>1</v>
      </c>
      <c r="AD54" s="374">
        <f t="shared" si="14"/>
        <v>1</v>
      </c>
      <c r="AE54" s="374" t="str">
        <f t="shared" si="15"/>
        <v/>
      </c>
      <c r="AF54" s="374">
        <f t="shared" si="16"/>
        <v>1</v>
      </c>
      <c r="AG54" s="374" t="str">
        <f t="shared" si="17"/>
        <v/>
      </c>
      <c r="AH54" s="374">
        <f t="shared" si="18"/>
        <v>1</v>
      </c>
      <c r="AI54" s="374">
        <f t="shared" si="19"/>
        <v>1</v>
      </c>
      <c r="AJ54" s="374">
        <f t="shared" si="20"/>
        <v>1</v>
      </c>
      <c r="AK54" s="374">
        <f t="shared" si="21"/>
        <v>1</v>
      </c>
      <c r="AL54" s="374">
        <f t="shared" si="22"/>
        <v>1</v>
      </c>
      <c r="AM54" s="514">
        <f t="shared" si="23"/>
        <v>1</v>
      </c>
      <c r="AN54" s="18">
        <v>1</v>
      </c>
      <c r="AO54" s="18">
        <v>1</v>
      </c>
      <c r="AS54" s="416">
        <v>1</v>
      </c>
      <c r="AT54" s="18">
        <v>1</v>
      </c>
      <c r="AX54" s="493">
        <v>1</v>
      </c>
      <c r="AY54" s="493">
        <v>1</v>
      </c>
      <c r="BA54" s="493">
        <v>1</v>
      </c>
      <c r="BB54" s="493">
        <v>1</v>
      </c>
      <c r="BI54" s="493">
        <v>1</v>
      </c>
      <c r="BK54" s="493">
        <v>1</v>
      </c>
      <c r="BM54" s="493">
        <v>1</v>
      </c>
      <c r="BN54" s="499">
        <v>1</v>
      </c>
      <c r="BP54" s="503">
        <v>1</v>
      </c>
      <c r="BR54" s="503">
        <v>1</v>
      </c>
      <c r="BS54" s="503">
        <v>1</v>
      </c>
      <c r="BT54" s="503">
        <v>1</v>
      </c>
      <c r="BU54" s="503">
        <v>1</v>
      </c>
      <c r="BV54" s="503">
        <v>1</v>
      </c>
      <c r="BW54" s="504">
        <v>1</v>
      </c>
    </row>
    <row r="55" spans="1:76" x14ac:dyDescent="0.25">
      <c r="A55" s="1099"/>
      <c r="B55" s="551">
        <f ca="1">IFERROR(IF(P55&lt;&gt;1,select!$A$8,rand!C55),"")</f>
        <v>16.5</v>
      </c>
      <c r="C55" s="413">
        <v>16.5</v>
      </c>
      <c r="D55" s="71">
        <f ca="1">IF($D$96=1,IF($D$3=1,IFERROR(OFFSET(P55,0,select!$M$1361),""),""),"")</f>
        <v>1</v>
      </c>
      <c r="E55" s="71" t="str">
        <f ca="1">IF($E$96=1,IF($E$3=1,IFERROR(OFFSET(P55,0,select!$M$1362),""),""),"")</f>
        <v/>
      </c>
      <c r="F55" s="71" t="str">
        <f ca="1">IF($F$96=1,IF($F$3=1,IFERROR(OFFSET(P55,0,select!$M$1363),""),""),"")</f>
        <v/>
      </c>
      <c r="G55" s="71" t="str">
        <f ca="1">IF($G$96=1,IF($G$3=1,IFERROR(OFFSET(P55,0,select!$M$1364),""),""),"")</f>
        <v/>
      </c>
      <c r="H55" s="71">
        <f t="shared" ca="1" si="31"/>
        <v>1</v>
      </c>
      <c r="I55" s="71">
        <f>IF(C55=Konfig!$O$25,1,0)</f>
        <v>0</v>
      </c>
      <c r="J55" s="71">
        <f>IF(Konfig!$O$25&lt;=rand!C55,1,0)</f>
        <v>0</v>
      </c>
      <c r="K55" s="71" t="str">
        <f t="shared" ca="1" si="32"/>
        <v/>
      </c>
      <c r="L55" s="71">
        <f>IF(Konfig!$O$25&gt;=rand!C55,1,0)</f>
        <v>1</v>
      </c>
      <c r="M55" s="71" t="str">
        <f t="shared" ca="1" si="33"/>
        <v/>
      </c>
      <c r="N55" s="71" t="str">
        <f t="shared" ca="1" si="34"/>
        <v/>
      </c>
      <c r="O55" s="71">
        <f t="shared" ca="1" si="35"/>
        <v>0</v>
      </c>
      <c r="P55" s="71">
        <f ca="1">IF(Konfig!$O$25="*",H55,IF($O$37=1,O55,N55))</f>
        <v>1</v>
      </c>
      <c r="Q55" s="374">
        <f t="shared" si="37"/>
        <v>1</v>
      </c>
      <c r="R55" s="374">
        <f t="shared" si="38"/>
        <v>1</v>
      </c>
      <c r="S55" s="374">
        <f t="shared" si="3"/>
        <v>1</v>
      </c>
      <c r="T55" s="374">
        <f t="shared" si="4"/>
        <v>1</v>
      </c>
      <c r="U55" s="374" t="str">
        <f t="shared" si="5"/>
        <v/>
      </c>
      <c r="V55" s="374" t="str">
        <f t="shared" si="6"/>
        <v/>
      </c>
      <c r="W55" s="374">
        <f t="shared" si="7"/>
        <v>1</v>
      </c>
      <c r="X55" s="374" t="str">
        <f t="shared" si="8"/>
        <v/>
      </c>
      <c r="Y55" s="374">
        <f t="shared" si="9"/>
        <v>1</v>
      </c>
      <c r="Z55" s="374" t="str">
        <f t="shared" si="10"/>
        <v/>
      </c>
      <c r="AA55" s="374">
        <f t="shared" si="11"/>
        <v>1</v>
      </c>
      <c r="AB55" s="374" t="str">
        <f t="shared" si="12"/>
        <v/>
      </c>
      <c r="AC55" s="374" t="str">
        <f t="shared" si="13"/>
        <v/>
      </c>
      <c r="AD55" s="374">
        <f t="shared" si="14"/>
        <v>1</v>
      </c>
      <c r="AE55" s="374" t="str">
        <f t="shared" si="15"/>
        <v/>
      </c>
      <c r="AF55" s="374">
        <f t="shared" si="16"/>
        <v>1</v>
      </c>
      <c r="AG55" s="374" t="str">
        <f t="shared" si="17"/>
        <v/>
      </c>
      <c r="AH55" s="374">
        <f t="shared" si="18"/>
        <v>1</v>
      </c>
      <c r="AI55" s="374" t="str">
        <f t="shared" si="19"/>
        <v/>
      </c>
      <c r="AJ55" s="374" t="str">
        <f t="shared" si="20"/>
        <v/>
      </c>
      <c r="AK55" s="374">
        <f t="shared" si="21"/>
        <v>1</v>
      </c>
      <c r="AL55" s="374" t="str">
        <f t="shared" si="22"/>
        <v/>
      </c>
      <c r="AM55" s="514" t="str">
        <f t="shared" si="23"/>
        <v/>
      </c>
      <c r="AN55" s="18">
        <v>1</v>
      </c>
      <c r="AO55" s="18">
        <v>1</v>
      </c>
      <c r="AS55" s="416">
        <v>1</v>
      </c>
      <c r="AT55" s="18">
        <v>1</v>
      </c>
      <c r="AX55" s="493">
        <v>1</v>
      </c>
      <c r="AY55" s="493">
        <v>1</v>
      </c>
      <c r="AZ55" s="499">
        <v>1</v>
      </c>
      <c r="BA55" s="498">
        <v>1</v>
      </c>
      <c r="BB55" s="498">
        <v>1</v>
      </c>
      <c r="BG55" s="493">
        <v>1</v>
      </c>
      <c r="BI55" s="493">
        <v>1</v>
      </c>
      <c r="BK55" s="493">
        <v>1</v>
      </c>
      <c r="BN55" s="499">
        <v>1</v>
      </c>
      <c r="BP55" s="503">
        <v>1</v>
      </c>
      <c r="BR55" s="503">
        <v>1</v>
      </c>
      <c r="BU55" s="503">
        <v>1</v>
      </c>
    </row>
    <row r="56" spans="1:76" x14ac:dyDescent="0.25">
      <c r="A56" s="1099"/>
      <c r="B56" s="551">
        <f ca="1">IFERROR(IF(P56&lt;&gt;1,select!$A$8,rand!C56),"")</f>
        <v>16</v>
      </c>
      <c r="C56" s="413">
        <v>16</v>
      </c>
      <c r="D56" s="71">
        <f ca="1">IF($D$96=1,IF($D$3=1,IFERROR(OFFSET(P56,0,select!$M$1361),""),""),"")</f>
        <v>1</v>
      </c>
      <c r="E56" s="71" t="str">
        <f ca="1">IF($E$96=1,IF($E$3=1,IFERROR(OFFSET(P56,0,select!$M$1362),""),""),"")</f>
        <v/>
      </c>
      <c r="F56" s="71" t="str">
        <f ca="1">IF($F$96=1,IF($F$3=1,IFERROR(OFFSET(P56,0,select!$M$1363),""),""),"")</f>
        <v/>
      </c>
      <c r="G56" s="71">
        <f ca="1">IF($G$96=1,IF($G$3=1,IFERROR(OFFSET(P56,0,select!$M$1364),""),""),"")</f>
        <v>1</v>
      </c>
      <c r="H56" s="71">
        <f t="shared" ca="1" si="31"/>
        <v>1</v>
      </c>
      <c r="I56" s="71">
        <f>IF(C56=Konfig!$O$25,1,0)</f>
        <v>0</v>
      </c>
      <c r="J56" s="71">
        <f>IF(Konfig!$O$25&lt;=rand!C56,1,0)</f>
        <v>0</v>
      </c>
      <c r="K56" s="71" t="str">
        <f t="shared" ca="1" si="32"/>
        <v/>
      </c>
      <c r="L56" s="71">
        <f>IF(Konfig!$O$25&gt;=rand!C56,1,0)</f>
        <v>1</v>
      </c>
      <c r="M56" s="71" t="str">
        <f t="shared" ca="1" si="33"/>
        <v/>
      </c>
      <c r="N56" s="71" t="str">
        <f t="shared" ca="1" si="34"/>
        <v/>
      </c>
      <c r="O56" s="71">
        <f t="shared" ca="1" si="35"/>
        <v>0</v>
      </c>
      <c r="P56" s="71">
        <f ca="1">IF(Konfig!$O$25="*",H56,IF($O$37=1,O56,N56))</f>
        <v>1</v>
      </c>
      <c r="Q56" s="374">
        <f t="shared" si="37"/>
        <v>1</v>
      </c>
      <c r="R56" s="374">
        <f t="shared" si="38"/>
        <v>1</v>
      </c>
      <c r="S56" s="374">
        <f t="shared" si="3"/>
        <v>1</v>
      </c>
      <c r="T56" s="374">
        <f t="shared" si="4"/>
        <v>1</v>
      </c>
      <c r="U56" s="374" t="str">
        <f t="shared" si="5"/>
        <v/>
      </c>
      <c r="V56" s="374" t="str">
        <f t="shared" si="6"/>
        <v/>
      </c>
      <c r="W56" s="374">
        <f t="shared" si="7"/>
        <v>1</v>
      </c>
      <c r="X56" s="374" t="str">
        <f t="shared" si="8"/>
        <v/>
      </c>
      <c r="Y56" s="374">
        <f t="shared" si="9"/>
        <v>1</v>
      </c>
      <c r="Z56" s="374" t="str">
        <f t="shared" si="10"/>
        <v/>
      </c>
      <c r="AA56" s="374">
        <f t="shared" si="11"/>
        <v>1</v>
      </c>
      <c r="AB56" s="374" t="str">
        <f t="shared" si="12"/>
        <v/>
      </c>
      <c r="AC56" s="374">
        <f t="shared" si="13"/>
        <v>1</v>
      </c>
      <c r="AD56" s="374">
        <f t="shared" si="14"/>
        <v>1</v>
      </c>
      <c r="AE56" s="374" t="str">
        <f t="shared" si="15"/>
        <v/>
      </c>
      <c r="AF56" s="374">
        <f t="shared" si="16"/>
        <v>1</v>
      </c>
      <c r="AG56" s="374" t="str">
        <f t="shared" si="17"/>
        <v/>
      </c>
      <c r="AH56" s="374">
        <f t="shared" si="18"/>
        <v>1</v>
      </c>
      <c r="AI56" s="374">
        <f t="shared" si="19"/>
        <v>1</v>
      </c>
      <c r="AJ56" s="374" t="str">
        <f t="shared" si="20"/>
        <v/>
      </c>
      <c r="AK56" s="374">
        <f t="shared" si="21"/>
        <v>1</v>
      </c>
      <c r="AL56" s="374" t="str">
        <f t="shared" si="22"/>
        <v/>
      </c>
      <c r="AM56" s="514">
        <f t="shared" si="23"/>
        <v>1</v>
      </c>
      <c r="AN56" s="18">
        <v>1</v>
      </c>
      <c r="AO56" s="18">
        <v>1</v>
      </c>
      <c r="AS56" s="416">
        <v>1</v>
      </c>
      <c r="AT56" s="18">
        <v>1</v>
      </c>
      <c r="AX56" s="493">
        <v>1</v>
      </c>
      <c r="AY56" s="493">
        <v>1</v>
      </c>
      <c r="BA56" s="493">
        <v>1</v>
      </c>
      <c r="BB56" s="493">
        <v>1</v>
      </c>
      <c r="BG56" s="493">
        <v>1</v>
      </c>
      <c r="BI56" s="493">
        <v>1</v>
      </c>
      <c r="BK56" s="493">
        <v>1</v>
      </c>
      <c r="BM56" s="493">
        <v>1</v>
      </c>
      <c r="BN56" s="499">
        <v>1</v>
      </c>
      <c r="BP56" s="503">
        <v>1</v>
      </c>
      <c r="BR56" s="503">
        <v>1</v>
      </c>
      <c r="BS56" s="503">
        <v>1</v>
      </c>
      <c r="BU56" s="503">
        <v>1</v>
      </c>
      <c r="BW56" s="504">
        <v>1</v>
      </c>
      <c r="BX56" s="498">
        <v>1</v>
      </c>
    </row>
    <row r="57" spans="1:76" x14ac:dyDescent="0.25">
      <c r="A57" s="1099"/>
      <c r="B57" s="551">
        <f ca="1">IFERROR(IF(P57&lt;&gt;1,select!$A$8,rand!C57),"")</f>
        <v>15.5</v>
      </c>
      <c r="C57" s="413">
        <v>15.5</v>
      </c>
      <c r="D57" s="71">
        <f ca="1">IF($D$96=1,IF($D$3=1,IFERROR(OFFSET(P57,0,select!$M$1361),""),""),"")</f>
        <v>1</v>
      </c>
      <c r="E57" s="71" t="str">
        <f ca="1">IF($E$96=1,IF($E$3=1,IFERROR(OFFSET(P57,0,select!$M$1362),""),""),"")</f>
        <v/>
      </c>
      <c r="F57" s="71" t="str">
        <f ca="1">IF($F$96=1,IF($F$3=1,IFERROR(OFFSET(P57,0,select!$M$1363),""),""),"")</f>
        <v/>
      </c>
      <c r="G57" s="71" t="str">
        <f ca="1">IF($G$96=1,IF($G$3=1,IFERROR(OFFSET(P57,0,select!$M$1364),""),""),"")</f>
        <v/>
      </c>
      <c r="H57" s="71">
        <f t="shared" ca="1" si="31"/>
        <v>1</v>
      </c>
      <c r="I57" s="71">
        <f>IF(C57=Konfig!$O$25,1,0)</f>
        <v>0</v>
      </c>
      <c r="J57" s="71">
        <f>IF(Konfig!$O$25&lt;=rand!C57,1,0)</f>
        <v>0</v>
      </c>
      <c r="K57" s="71" t="str">
        <f t="shared" ca="1" si="32"/>
        <v/>
      </c>
      <c r="L57" s="71">
        <f>IF(Konfig!$O$25&gt;=rand!C57,1,0)</f>
        <v>1</v>
      </c>
      <c r="M57" s="71" t="str">
        <f t="shared" ca="1" si="33"/>
        <v/>
      </c>
      <c r="N57" s="71" t="str">
        <f t="shared" ca="1" si="34"/>
        <v/>
      </c>
      <c r="O57" s="71">
        <f t="shared" ca="1" si="35"/>
        <v>0</v>
      </c>
      <c r="P57" s="71">
        <f ca="1">IF(Konfig!$O$25="*",H57,IF($O$37=1,O57,N57))</f>
        <v>1</v>
      </c>
      <c r="Q57" s="374">
        <f t="shared" si="37"/>
        <v>1</v>
      </c>
      <c r="R57" s="374">
        <f t="shared" si="38"/>
        <v>1</v>
      </c>
      <c r="S57" s="374">
        <f t="shared" si="3"/>
        <v>1</v>
      </c>
      <c r="T57" s="374">
        <f t="shared" si="4"/>
        <v>1</v>
      </c>
      <c r="U57" s="374" t="str">
        <f t="shared" si="5"/>
        <v/>
      </c>
      <c r="V57" s="374" t="str">
        <f t="shared" si="6"/>
        <v/>
      </c>
      <c r="W57" s="374">
        <f t="shared" si="7"/>
        <v>1</v>
      </c>
      <c r="X57" s="374" t="str">
        <f t="shared" si="8"/>
        <v/>
      </c>
      <c r="Y57" s="374">
        <f t="shared" si="9"/>
        <v>1</v>
      </c>
      <c r="Z57" s="374" t="str">
        <f t="shared" si="10"/>
        <v/>
      </c>
      <c r="AA57" s="374">
        <f t="shared" si="11"/>
        <v>1</v>
      </c>
      <c r="AB57" s="374" t="str">
        <f t="shared" si="12"/>
        <v/>
      </c>
      <c r="AC57" s="374" t="str">
        <f t="shared" si="13"/>
        <v/>
      </c>
      <c r="AD57" s="374">
        <f t="shared" si="14"/>
        <v>1</v>
      </c>
      <c r="AE57" s="374" t="str">
        <f t="shared" si="15"/>
        <v/>
      </c>
      <c r="AF57" s="374">
        <f t="shared" si="16"/>
        <v>1</v>
      </c>
      <c r="AG57" s="374" t="str">
        <f t="shared" si="17"/>
        <v/>
      </c>
      <c r="AH57" s="374">
        <f t="shared" si="18"/>
        <v>1</v>
      </c>
      <c r="AI57" s="374" t="str">
        <f t="shared" si="19"/>
        <v/>
      </c>
      <c r="AJ57" s="374" t="str">
        <f t="shared" si="20"/>
        <v/>
      </c>
      <c r="AK57" s="374">
        <f t="shared" si="21"/>
        <v>1</v>
      </c>
      <c r="AL57" s="374" t="str">
        <f t="shared" si="22"/>
        <v/>
      </c>
      <c r="AM57" s="514" t="str">
        <f t="shared" si="23"/>
        <v/>
      </c>
      <c r="AN57" s="18">
        <v>1</v>
      </c>
      <c r="AO57" s="18">
        <v>1</v>
      </c>
      <c r="AS57" s="416">
        <v>1</v>
      </c>
      <c r="AT57" s="18">
        <v>1</v>
      </c>
      <c r="AX57" s="493">
        <v>1</v>
      </c>
      <c r="AY57" s="493">
        <v>1</v>
      </c>
      <c r="AZ57" s="499">
        <v>1</v>
      </c>
      <c r="BA57" s="498">
        <v>1</v>
      </c>
      <c r="BB57" s="498">
        <v>1</v>
      </c>
      <c r="BG57" s="493">
        <v>1</v>
      </c>
      <c r="BI57" s="493">
        <v>1</v>
      </c>
      <c r="BK57" s="493">
        <v>1</v>
      </c>
      <c r="BN57" s="499">
        <v>1</v>
      </c>
      <c r="BP57" s="503">
        <v>1</v>
      </c>
      <c r="BR57" s="503">
        <v>1</v>
      </c>
      <c r="BU57" s="503">
        <v>1</v>
      </c>
    </row>
    <row r="58" spans="1:76" x14ac:dyDescent="0.25">
      <c r="A58" s="1099"/>
      <c r="B58" s="551">
        <f ca="1">IFERROR(IF(P58&lt;&gt;1,select!$A$8,rand!C58),"")</f>
        <v>15</v>
      </c>
      <c r="C58" s="413">
        <v>15</v>
      </c>
      <c r="D58" s="71">
        <f ca="1">IF($D$96=1,IF($D$3=1,IFERROR(OFFSET(P58,0,select!$M$1361),""),""),"")</f>
        <v>1</v>
      </c>
      <c r="E58" s="71" t="str">
        <f ca="1">IF($E$96=1,IF($E$3=1,IFERROR(OFFSET(P58,0,select!$M$1362),""),""),"")</f>
        <v/>
      </c>
      <c r="F58" s="71" t="str">
        <f ca="1">IF($F$96=1,IF($F$3=1,IFERROR(OFFSET(P58,0,select!$M$1363),""),""),"")</f>
        <v/>
      </c>
      <c r="G58" s="71">
        <f ca="1">IF($G$96=1,IF($G$3=1,IFERROR(OFFSET(P58,0,select!$M$1364),""),""),"")</f>
        <v>1</v>
      </c>
      <c r="H58" s="71">
        <f t="shared" ca="1" si="31"/>
        <v>1</v>
      </c>
      <c r="I58" s="71">
        <f>IF(C58=Konfig!$O$25,1,0)</f>
        <v>0</v>
      </c>
      <c r="J58" s="71">
        <f>IF(Konfig!$O$25&lt;=rand!C58,1,0)</f>
        <v>0</v>
      </c>
      <c r="K58" s="71" t="str">
        <f t="shared" ca="1" si="32"/>
        <v/>
      </c>
      <c r="L58" s="71">
        <f>IF(Konfig!$O$25&gt;=rand!C58,1,0)</f>
        <v>1</v>
      </c>
      <c r="M58" s="71" t="str">
        <f t="shared" ca="1" si="33"/>
        <v/>
      </c>
      <c r="N58" s="71" t="str">
        <f t="shared" ca="1" si="34"/>
        <v/>
      </c>
      <c r="O58" s="71">
        <f t="shared" ca="1" si="35"/>
        <v>0</v>
      </c>
      <c r="P58" s="71">
        <f ca="1">IF(Konfig!$O$25="*",H58,IF($O$37=1,O58,N58))</f>
        <v>1</v>
      </c>
      <c r="Q58" s="374">
        <f t="shared" si="37"/>
        <v>1</v>
      </c>
      <c r="R58" s="374">
        <f t="shared" si="38"/>
        <v>1</v>
      </c>
      <c r="S58" s="374">
        <f t="shared" si="3"/>
        <v>1</v>
      </c>
      <c r="T58" s="374">
        <f t="shared" si="4"/>
        <v>1</v>
      </c>
      <c r="U58" s="374" t="str">
        <f t="shared" si="5"/>
        <v/>
      </c>
      <c r="V58" s="374" t="str">
        <f t="shared" si="6"/>
        <v/>
      </c>
      <c r="W58" s="374">
        <f t="shared" si="7"/>
        <v>1</v>
      </c>
      <c r="X58" s="374" t="str">
        <f t="shared" si="8"/>
        <v/>
      </c>
      <c r="Y58" s="374">
        <f t="shared" si="9"/>
        <v>1</v>
      </c>
      <c r="Z58" s="374" t="str">
        <f t="shared" si="10"/>
        <v/>
      </c>
      <c r="AA58" s="374">
        <f t="shared" si="11"/>
        <v>1</v>
      </c>
      <c r="AB58" s="374" t="str">
        <f t="shared" si="12"/>
        <v/>
      </c>
      <c r="AC58" s="374">
        <f t="shared" si="13"/>
        <v>1</v>
      </c>
      <c r="AD58" s="374">
        <f t="shared" si="14"/>
        <v>1</v>
      </c>
      <c r="AE58" s="374" t="str">
        <f t="shared" si="15"/>
        <v/>
      </c>
      <c r="AF58" s="374">
        <f t="shared" si="16"/>
        <v>1</v>
      </c>
      <c r="AG58" s="374" t="str">
        <f t="shared" si="17"/>
        <v/>
      </c>
      <c r="AH58" s="374">
        <f t="shared" si="18"/>
        <v>1</v>
      </c>
      <c r="AI58" s="374">
        <f t="shared" si="19"/>
        <v>1</v>
      </c>
      <c r="AJ58" s="374">
        <f t="shared" si="20"/>
        <v>1</v>
      </c>
      <c r="AK58" s="374">
        <f t="shared" si="21"/>
        <v>1</v>
      </c>
      <c r="AL58" s="374">
        <f t="shared" si="22"/>
        <v>1</v>
      </c>
      <c r="AM58" s="514">
        <f t="shared" si="23"/>
        <v>1</v>
      </c>
      <c r="AN58" s="18">
        <v>1</v>
      </c>
      <c r="AO58" s="18">
        <v>1</v>
      </c>
      <c r="AS58" s="416">
        <v>1</v>
      </c>
      <c r="AT58" s="18">
        <v>1</v>
      </c>
      <c r="AX58" s="493">
        <v>1</v>
      </c>
      <c r="AY58" s="493">
        <v>1</v>
      </c>
      <c r="BA58" s="493">
        <v>1</v>
      </c>
      <c r="BB58" s="493">
        <v>1</v>
      </c>
      <c r="BG58" s="493">
        <v>1</v>
      </c>
      <c r="BI58" s="493">
        <v>1</v>
      </c>
      <c r="BK58" s="493">
        <v>1</v>
      </c>
      <c r="BM58" s="493">
        <v>1</v>
      </c>
      <c r="BN58" s="499">
        <v>1</v>
      </c>
      <c r="BP58" s="503">
        <v>1</v>
      </c>
      <c r="BR58" s="503">
        <v>1</v>
      </c>
      <c r="BS58" s="503">
        <v>1</v>
      </c>
      <c r="BT58" s="503">
        <v>1</v>
      </c>
      <c r="BU58" s="503">
        <v>1</v>
      </c>
      <c r="BV58" s="503">
        <v>1</v>
      </c>
      <c r="BW58" s="504">
        <v>1</v>
      </c>
    </row>
    <row r="59" spans="1:76" x14ac:dyDescent="0.25">
      <c r="A59" s="1099"/>
      <c r="B59" s="551">
        <f ca="1">IFERROR(IF(P59&lt;&gt;1,select!$A$8,rand!C59),"")</f>
        <v>14.5</v>
      </c>
      <c r="C59" s="413">
        <v>14.5</v>
      </c>
      <c r="D59" s="71">
        <f ca="1">IF($D$96=1,IF($D$3=1,IFERROR(OFFSET(P59,0,select!$M$1361),""),""),"")</f>
        <v>1</v>
      </c>
      <c r="E59" s="71" t="str">
        <f ca="1">IF($E$96=1,IF($E$3=1,IFERROR(OFFSET(P59,0,select!$M$1362),""),""),"")</f>
        <v/>
      </c>
      <c r="F59" s="71" t="str">
        <f ca="1">IF($F$96=1,IF($F$3=1,IFERROR(OFFSET(P59,0,select!$M$1363),""),""),"")</f>
        <v/>
      </c>
      <c r="G59" s="71" t="str">
        <f ca="1">IF($G$96=1,IF($G$3=1,IFERROR(OFFSET(P59,0,select!$M$1364),""),""),"")</f>
        <v/>
      </c>
      <c r="H59" s="71">
        <f t="shared" ca="1" si="31"/>
        <v>1</v>
      </c>
      <c r="I59" s="71">
        <f>IF(C59=Konfig!$O$25,1,0)</f>
        <v>0</v>
      </c>
      <c r="J59" s="71">
        <f>IF(Konfig!$O$25&lt;=rand!C59,1,0)</f>
        <v>0</v>
      </c>
      <c r="K59" s="71" t="str">
        <f t="shared" ca="1" si="32"/>
        <v/>
      </c>
      <c r="L59" s="71">
        <f>IF(Konfig!$O$25&gt;=rand!C59,1,0)</f>
        <v>1</v>
      </c>
      <c r="M59" s="71" t="str">
        <f t="shared" ca="1" si="33"/>
        <v/>
      </c>
      <c r="N59" s="71" t="str">
        <f t="shared" ca="1" si="34"/>
        <v/>
      </c>
      <c r="O59" s="71">
        <f t="shared" ca="1" si="35"/>
        <v>0</v>
      </c>
      <c r="P59" s="71">
        <f ca="1">IF(Konfig!$O$25="*",H59,IF($O$37=1,O59,N59))</f>
        <v>1</v>
      </c>
      <c r="Q59" s="374">
        <f t="shared" si="37"/>
        <v>1</v>
      </c>
      <c r="R59" s="374">
        <f t="shared" si="38"/>
        <v>1</v>
      </c>
      <c r="S59" s="374">
        <f t="shared" si="3"/>
        <v>1</v>
      </c>
      <c r="T59" s="374">
        <f t="shared" si="4"/>
        <v>1</v>
      </c>
      <c r="U59" s="374" t="str">
        <f t="shared" si="5"/>
        <v/>
      </c>
      <c r="V59" s="374" t="str">
        <f t="shared" si="6"/>
        <v/>
      </c>
      <c r="W59" s="374">
        <f t="shared" si="7"/>
        <v>1</v>
      </c>
      <c r="X59" s="374" t="str">
        <f t="shared" si="8"/>
        <v/>
      </c>
      <c r="Y59" s="374">
        <f t="shared" si="9"/>
        <v>1</v>
      </c>
      <c r="Z59" s="374" t="str">
        <f t="shared" si="10"/>
        <v/>
      </c>
      <c r="AA59" s="374">
        <f t="shared" si="11"/>
        <v>1</v>
      </c>
      <c r="AB59" s="374" t="str">
        <f t="shared" si="12"/>
        <v/>
      </c>
      <c r="AC59" s="374">
        <f t="shared" si="13"/>
        <v>1</v>
      </c>
      <c r="AD59" s="374">
        <f t="shared" si="14"/>
        <v>1</v>
      </c>
      <c r="AE59" s="374" t="str">
        <f t="shared" si="15"/>
        <v/>
      </c>
      <c r="AF59" s="374">
        <f t="shared" si="16"/>
        <v>1</v>
      </c>
      <c r="AG59" s="374" t="str">
        <f t="shared" si="17"/>
        <v/>
      </c>
      <c r="AH59" s="374">
        <f t="shared" si="18"/>
        <v>1</v>
      </c>
      <c r="AI59" s="374" t="str">
        <f t="shared" si="19"/>
        <v/>
      </c>
      <c r="AJ59" s="374" t="str">
        <f t="shared" si="20"/>
        <v/>
      </c>
      <c r="AK59" s="374">
        <f t="shared" si="21"/>
        <v>1</v>
      </c>
      <c r="AL59" s="374" t="str">
        <f t="shared" si="22"/>
        <v/>
      </c>
      <c r="AM59" s="514" t="str">
        <f t="shared" si="23"/>
        <v/>
      </c>
      <c r="AN59" s="18">
        <v>1</v>
      </c>
      <c r="AO59" s="18">
        <v>1</v>
      </c>
      <c r="AP59" s="18">
        <v>1</v>
      </c>
      <c r="AS59" s="416">
        <v>1</v>
      </c>
      <c r="AT59" s="416">
        <v>1</v>
      </c>
      <c r="AU59" s="498">
        <v>1</v>
      </c>
      <c r="AX59" s="498">
        <v>1</v>
      </c>
      <c r="AY59" s="498">
        <v>1</v>
      </c>
      <c r="AZ59" s="499">
        <v>1</v>
      </c>
      <c r="BA59" s="498">
        <v>1</v>
      </c>
      <c r="BB59" s="498">
        <v>1</v>
      </c>
      <c r="BC59" s="498">
        <v>1</v>
      </c>
      <c r="BG59" s="493">
        <v>1</v>
      </c>
      <c r="BI59" s="493">
        <v>1</v>
      </c>
      <c r="BK59" s="493">
        <v>1</v>
      </c>
      <c r="BM59" s="493">
        <v>1</v>
      </c>
      <c r="BN59" s="499">
        <v>1</v>
      </c>
      <c r="BP59" s="503">
        <v>1</v>
      </c>
      <c r="BR59" s="503">
        <v>1</v>
      </c>
      <c r="BU59" s="503">
        <v>1</v>
      </c>
    </row>
    <row r="60" spans="1:76" x14ac:dyDescent="0.25">
      <c r="A60" s="1099"/>
      <c r="B60" s="551">
        <f ca="1">IFERROR(IF(P60&lt;&gt;1,select!$A$8,rand!C60),"")</f>
        <v>14</v>
      </c>
      <c r="C60" s="413">
        <v>14</v>
      </c>
      <c r="D60" s="71">
        <f ca="1">IF($D$96=1,IF($D$3=1,IFERROR(OFFSET(P60,0,select!$M$1361),""),""),"")</f>
        <v>1</v>
      </c>
      <c r="E60" s="71" t="str">
        <f ca="1">IF($E$96=1,IF($E$3=1,IFERROR(OFFSET(P60,0,select!$M$1362),""),""),"")</f>
        <v/>
      </c>
      <c r="F60" s="71" t="str">
        <f ca="1">IF($F$96=1,IF($F$3=1,IFERROR(OFFSET(P60,0,select!$M$1363),""),""),"")</f>
        <v/>
      </c>
      <c r="G60" s="71">
        <f ca="1">IF($G$96=1,IF($G$3=1,IFERROR(OFFSET(P60,0,select!$M$1364),""),""),"")</f>
        <v>1</v>
      </c>
      <c r="H60" s="71">
        <f t="shared" ca="1" si="31"/>
        <v>1</v>
      </c>
      <c r="I60" s="71">
        <f>IF(C60=Konfig!$O$25,1,0)</f>
        <v>0</v>
      </c>
      <c r="J60" s="71">
        <f>IF(Konfig!$O$25&lt;=rand!C60,1,0)</f>
        <v>0</v>
      </c>
      <c r="K60" s="71" t="str">
        <f t="shared" ca="1" si="32"/>
        <v/>
      </c>
      <c r="L60" s="71">
        <f>IF(Konfig!$O$25&gt;=rand!C60,1,0)</f>
        <v>1</v>
      </c>
      <c r="M60" s="71" t="str">
        <f t="shared" ca="1" si="33"/>
        <v/>
      </c>
      <c r="N60" s="71" t="str">
        <f t="shared" ca="1" si="34"/>
        <v/>
      </c>
      <c r="O60" s="71">
        <f t="shared" ca="1" si="35"/>
        <v>0</v>
      </c>
      <c r="P60" s="71">
        <f ca="1">IF(Konfig!$O$25="*",H60,IF($O$37=1,O60,N60))</f>
        <v>1</v>
      </c>
      <c r="Q60" s="374">
        <f t="shared" si="37"/>
        <v>1</v>
      </c>
      <c r="R60" s="374">
        <f t="shared" si="38"/>
        <v>1</v>
      </c>
      <c r="S60" s="374">
        <f t="shared" si="3"/>
        <v>1</v>
      </c>
      <c r="T60" s="374">
        <f t="shared" si="4"/>
        <v>1</v>
      </c>
      <c r="U60" s="374" t="str">
        <f t="shared" si="5"/>
        <v/>
      </c>
      <c r="V60" s="374" t="str">
        <f t="shared" si="6"/>
        <v/>
      </c>
      <c r="W60" s="374">
        <f t="shared" si="7"/>
        <v>1</v>
      </c>
      <c r="X60" s="374" t="str">
        <f t="shared" si="8"/>
        <v/>
      </c>
      <c r="Y60" s="374">
        <f t="shared" si="9"/>
        <v>1</v>
      </c>
      <c r="Z60" s="374" t="str">
        <f t="shared" si="10"/>
        <v/>
      </c>
      <c r="AA60" s="374">
        <f t="shared" si="11"/>
        <v>1</v>
      </c>
      <c r="AB60" s="374" t="str">
        <f t="shared" si="12"/>
        <v/>
      </c>
      <c r="AC60" s="374">
        <f t="shared" si="13"/>
        <v>1</v>
      </c>
      <c r="AD60" s="374">
        <f t="shared" si="14"/>
        <v>1</v>
      </c>
      <c r="AE60" s="374" t="str">
        <f t="shared" si="15"/>
        <v/>
      </c>
      <c r="AF60" s="374">
        <f t="shared" si="16"/>
        <v>1</v>
      </c>
      <c r="AG60" s="374" t="str">
        <f t="shared" si="17"/>
        <v/>
      </c>
      <c r="AH60" s="374">
        <f t="shared" si="18"/>
        <v>1</v>
      </c>
      <c r="AI60" s="374">
        <f t="shared" si="19"/>
        <v>1</v>
      </c>
      <c r="AJ60" s="374">
        <f t="shared" si="20"/>
        <v>1</v>
      </c>
      <c r="AK60" s="374">
        <f t="shared" si="21"/>
        <v>1</v>
      </c>
      <c r="AL60" s="374">
        <f t="shared" si="22"/>
        <v>1</v>
      </c>
      <c r="AM60" s="514">
        <f t="shared" si="23"/>
        <v>1</v>
      </c>
      <c r="AO60" s="18">
        <v>1</v>
      </c>
      <c r="AT60" s="18">
        <v>1</v>
      </c>
      <c r="AY60" s="493">
        <v>1</v>
      </c>
      <c r="BB60" s="493">
        <v>1</v>
      </c>
      <c r="BG60" s="493">
        <v>1</v>
      </c>
      <c r="BI60" s="493">
        <v>1</v>
      </c>
      <c r="BK60" s="493">
        <v>1</v>
      </c>
      <c r="BM60" s="493">
        <v>1</v>
      </c>
      <c r="BN60" s="499">
        <v>1</v>
      </c>
      <c r="BP60" s="503">
        <v>1</v>
      </c>
      <c r="BR60" s="503">
        <v>1</v>
      </c>
      <c r="BS60" s="503">
        <v>1</v>
      </c>
      <c r="BT60" s="503">
        <v>1</v>
      </c>
      <c r="BU60" s="503">
        <v>1</v>
      </c>
      <c r="BV60" s="503">
        <v>1</v>
      </c>
      <c r="BX60" s="498">
        <v>1</v>
      </c>
    </row>
    <row r="61" spans="1:76" x14ac:dyDescent="0.25">
      <c r="A61" s="1099"/>
      <c r="B61" s="551">
        <f ca="1">IFERROR(IF(P61&lt;&gt;1,select!$A$8,rand!C61),"")</f>
        <v>13.5</v>
      </c>
      <c r="C61" s="413">
        <v>13.5</v>
      </c>
      <c r="D61" s="71">
        <f ca="1">IF($D$96=1,IF($D$3=1,IFERROR(OFFSET(P61,0,select!$M$1361),""),""),"")</f>
        <v>1</v>
      </c>
      <c r="E61" s="71" t="str">
        <f ca="1">IF($E$96=1,IF($E$3=1,IFERROR(OFFSET(P61,0,select!$M$1362),""),""),"")</f>
        <v/>
      </c>
      <c r="F61" s="71" t="str">
        <f ca="1">IF($F$96=1,IF($F$3=1,IFERROR(OFFSET(P61,0,select!$M$1363),""),""),"")</f>
        <v/>
      </c>
      <c r="G61" s="71" t="str">
        <f ca="1">IF($G$96=1,IF($G$3=1,IFERROR(OFFSET(P61,0,select!$M$1364),""),""),"")</f>
        <v/>
      </c>
      <c r="H61" s="71">
        <f t="shared" ca="1" si="31"/>
        <v>1</v>
      </c>
      <c r="I61" s="71">
        <f>IF(C61=Konfig!$O$25,1,0)</f>
        <v>0</v>
      </c>
      <c r="J61" s="71">
        <f>IF(Konfig!$O$25&lt;=rand!C61,1,0)</f>
        <v>0</v>
      </c>
      <c r="K61" s="71" t="str">
        <f t="shared" ca="1" si="32"/>
        <v/>
      </c>
      <c r="L61" s="71">
        <f>IF(Konfig!$O$25&gt;=rand!C61,1,0)</f>
        <v>1</v>
      </c>
      <c r="M61" s="71" t="str">
        <f t="shared" ca="1" si="33"/>
        <v/>
      </c>
      <c r="N61" s="71" t="str">
        <f t="shared" ca="1" si="34"/>
        <v/>
      </c>
      <c r="O61" s="71">
        <f t="shared" ca="1" si="35"/>
        <v>0</v>
      </c>
      <c r="P61" s="71">
        <f ca="1">IF(Konfig!$O$25="*",H61,IF($O$37=1,O61,N61))</f>
        <v>1</v>
      </c>
      <c r="Q61" s="374">
        <f t="shared" si="37"/>
        <v>1</v>
      </c>
      <c r="R61" s="374">
        <f t="shared" si="38"/>
        <v>1</v>
      </c>
      <c r="S61" s="374">
        <f t="shared" si="3"/>
        <v>1</v>
      </c>
      <c r="T61" s="374">
        <f t="shared" si="4"/>
        <v>1</v>
      </c>
      <c r="U61" s="374" t="str">
        <f t="shared" si="5"/>
        <v/>
      </c>
      <c r="V61" s="374" t="str">
        <f t="shared" si="6"/>
        <v/>
      </c>
      <c r="W61" s="374">
        <f t="shared" si="7"/>
        <v>1</v>
      </c>
      <c r="X61" s="374" t="str">
        <f t="shared" si="8"/>
        <v/>
      </c>
      <c r="Y61" s="374" t="str">
        <f t="shared" si="9"/>
        <v/>
      </c>
      <c r="Z61" s="374" t="str">
        <f t="shared" si="10"/>
        <v/>
      </c>
      <c r="AA61" s="374">
        <f t="shared" si="11"/>
        <v>1</v>
      </c>
      <c r="AB61" s="374" t="str">
        <f t="shared" si="12"/>
        <v/>
      </c>
      <c r="AC61" s="374">
        <f t="shared" si="13"/>
        <v>1</v>
      </c>
      <c r="AD61" s="374">
        <f t="shared" si="14"/>
        <v>1</v>
      </c>
      <c r="AE61" s="374" t="str">
        <f t="shared" si="15"/>
        <v/>
      </c>
      <c r="AF61" s="374">
        <f t="shared" si="16"/>
        <v>1</v>
      </c>
      <c r="AG61" s="374" t="str">
        <f t="shared" si="17"/>
        <v/>
      </c>
      <c r="AH61" s="374">
        <f t="shared" si="18"/>
        <v>1</v>
      </c>
      <c r="AI61" s="374" t="str">
        <f t="shared" si="19"/>
        <v/>
      </c>
      <c r="AJ61" s="374" t="str">
        <f t="shared" si="20"/>
        <v/>
      </c>
      <c r="AK61" s="374">
        <f t="shared" si="21"/>
        <v>1</v>
      </c>
      <c r="AL61" s="374" t="str">
        <f t="shared" si="22"/>
        <v/>
      </c>
      <c r="AM61" s="514" t="str">
        <f t="shared" si="23"/>
        <v/>
      </c>
      <c r="AO61" s="18">
        <v>1</v>
      </c>
      <c r="AP61" s="18">
        <v>1</v>
      </c>
      <c r="AT61" s="18">
        <v>1</v>
      </c>
      <c r="AU61" s="493">
        <v>1</v>
      </c>
      <c r="AY61" s="493">
        <v>1</v>
      </c>
      <c r="AZ61" s="499">
        <v>1</v>
      </c>
      <c r="BB61" s="493">
        <v>1</v>
      </c>
      <c r="BC61" s="493">
        <v>1</v>
      </c>
      <c r="BG61" s="493">
        <v>1</v>
      </c>
      <c r="BK61" s="493">
        <v>1</v>
      </c>
      <c r="BM61" s="493">
        <v>1</v>
      </c>
      <c r="BN61" s="499">
        <v>1</v>
      </c>
      <c r="BP61" s="503">
        <v>1</v>
      </c>
      <c r="BR61" s="503">
        <v>1</v>
      </c>
      <c r="BU61" s="503">
        <v>1</v>
      </c>
    </row>
    <row r="62" spans="1:76" x14ac:dyDescent="0.25">
      <c r="A62" s="1099"/>
      <c r="B62" s="551">
        <f ca="1">IFERROR(IF(P62&lt;&gt;1,select!$A$8,rand!C62),"")</f>
        <v>13</v>
      </c>
      <c r="C62" s="413">
        <v>13</v>
      </c>
      <c r="D62" s="71">
        <f ca="1">IF($D$96=1,IF($D$3=1,IFERROR(OFFSET(P62,0,select!$M$1361),""),""),"")</f>
        <v>1</v>
      </c>
      <c r="E62" s="71" t="str">
        <f ca="1">IF($E$96=1,IF($E$3=1,IFERROR(OFFSET(P62,0,select!$M$1362),""),""),"")</f>
        <v/>
      </c>
      <c r="F62" s="71" t="str">
        <f ca="1">IF($F$96=1,IF($F$3=1,IFERROR(OFFSET(P62,0,select!$M$1363),""),""),"")</f>
        <v/>
      </c>
      <c r="G62" s="71">
        <f ca="1">IF($G$96=1,IF($G$3=1,IFERROR(OFFSET(P62,0,select!$M$1364),""),""),"")</f>
        <v>1</v>
      </c>
      <c r="H62" s="71">
        <f t="shared" ca="1" si="31"/>
        <v>1</v>
      </c>
      <c r="I62" s="71">
        <f>IF(C62=Konfig!$O$25,1,0)</f>
        <v>0</v>
      </c>
      <c r="J62" s="71">
        <f>IF(Konfig!$O$25&lt;=rand!C62,1,0)</f>
        <v>0</v>
      </c>
      <c r="K62" s="71" t="str">
        <f t="shared" ca="1" si="32"/>
        <v/>
      </c>
      <c r="L62" s="71">
        <f>IF(Konfig!$O$25&gt;=rand!C62,1,0)</f>
        <v>1</v>
      </c>
      <c r="M62" s="71" t="str">
        <f t="shared" ca="1" si="33"/>
        <v/>
      </c>
      <c r="N62" s="71" t="str">
        <f t="shared" ca="1" si="34"/>
        <v/>
      </c>
      <c r="O62" s="71">
        <f t="shared" ca="1" si="35"/>
        <v>0</v>
      </c>
      <c r="P62" s="71">
        <f ca="1">IF(Konfig!$O$25="*",H62,IF($O$37=1,O62,N62))</f>
        <v>1</v>
      </c>
      <c r="Q62" s="374">
        <f t="shared" si="37"/>
        <v>1</v>
      </c>
      <c r="R62" s="374">
        <f t="shared" si="38"/>
        <v>1</v>
      </c>
      <c r="S62" s="374">
        <f t="shared" si="3"/>
        <v>1</v>
      </c>
      <c r="T62" s="374">
        <f t="shared" si="4"/>
        <v>1</v>
      </c>
      <c r="U62" s="374" t="str">
        <f t="shared" si="5"/>
        <v/>
      </c>
      <c r="V62" s="374" t="str">
        <f t="shared" si="6"/>
        <v/>
      </c>
      <c r="W62" s="374">
        <f t="shared" si="7"/>
        <v>1</v>
      </c>
      <c r="X62" s="374" t="str">
        <f t="shared" si="8"/>
        <v/>
      </c>
      <c r="Y62" s="374">
        <f t="shared" si="9"/>
        <v>1</v>
      </c>
      <c r="Z62" s="374" t="str">
        <f t="shared" si="10"/>
        <v/>
      </c>
      <c r="AA62" s="374">
        <f t="shared" si="11"/>
        <v>1</v>
      </c>
      <c r="AB62" s="374" t="str">
        <f t="shared" si="12"/>
        <v/>
      </c>
      <c r="AC62" s="374">
        <f t="shared" si="13"/>
        <v>1</v>
      </c>
      <c r="AD62" s="374">
        <f t="shared" si="14"/>
        <v>1</v>
      </c>
      <c r="AE62" s="374" t="str">
        <f t="shared" si="15"/>
        <v/>
      </c>
      <c r="AF62" s="374">
        <f t="shared" si="16"/>
        <v>1</v>
      </c>
      <c r="AG62" s="374" t="str">
        <f t="shared" si="17"/>
        <v/>
      </c>
      <c r="AH62" s="374">
        <f t="shared" si="18"/>
        <v>1</v>
      </c>
      <c r="AI62" s="374">
        <f t="shared" si="19"/>
        <v>1</v>
      </c>
      <c r="AJ62" s="374" t="str">
        <f t="shared" si="20"/>
        <v/>
      </c>
      <c r="AK62" s="374">
        <f t="shared" si="21"/>
        <v>1</v>
      </c>
      <c r="AL62" s="374" t="str">
        <f t="shared" si="22"/>
        <v/>
      </c>
      <c r="AM62" s="514">
        <f t="shared" si="23"/>
        <v>1</v>
      </c>
      <c r="AO62" s="18">
        <v>1</v>
      </c>
      <c r="AT62" s="18">
        <v>1</v>
      </c>
      <c r="AY62" s="493">
        <v>1</v>
      </c>
      <c r="BB62" s="493">
        <v>1</v>
      </c>
      <c r="BG62" s="493">
        <v>1</v>
      </c>
      <c r="BI62" s="493">
        <v>1</v>
      </c>
      <c r="BK62" s="493">
        <v>1</v>
      </c>
      <c r="BM62" s="493">
        <v>1</v>
      </c>
      <c r="BN62" s="499">
        <v>1</v>
      </c>
      <c r="BP62" s="503">
        <v>1</v>
      </c>
      <c r="BR62" s="503">
        <v>1</v>
      </c>
      <c r="BS62" s="503">
        <v>1</v>
      </c>
      <c r="BU62" s="503">
        <v>1</v>
      </c>
      <c r="BX62" s="498">
        <v>1</v>
      </c>
    </row>
    <row r="63" spans="1:76" x14ac:dyDescent="0.25">
      <c r="A63" s="1099"/>
      <c r="B63" s="551">
        <f ca="1">IFERROR(IF(P63&lt;&gt;1,select!$A$8,rand!C63),"")</f>
        <v>12.5</v>
      </c>
      <c r="C63" s="413">
        <v>12.5</v>
      </c>
      <c r="D63" s="71">
        <f ca="1">IF($D$96=1,IF($D$3=1,IFERROR(OFFSET(P63,0,select!$M$1361),""),""),"")</f>
        <v>1</v>
      </c>
      <c r="E63" s="71" t="str">
        <f ca="1">IF($E$96=1,IF($E$3=1,IFERROR(OFFSET(P63,0,select!$M$1362),""),""),"")</f>
        <v/>
      </c>
      <c r="F63" s="71" t="str">
        <f ca="1">IF($F$96=1,IF($F$3=1,IFERROR(OFFSET(P63,0,select!$M$1363),""),""),"")</f>
        <v/>
      </c>
      <c r="G63" s="71" t="str">
        <f ca="1">IF($G$96=1,IF($G$3=1,IFERROR(OFFSET(P63,0,select!$M$1364),""),""),"")</f>
        <v/>
      </c>
      <c r="H63" s="71">
        <f t="shared" ca="1" si="31"/>
        <v>1</v>
      </c>
      <c r="I63" s="71">
        <f>IF(C63=Konfig!$O$25,1,0)</f>
        <v>0</v>
      </c>
      <c r="J63" s="71">
        <f>IF(Konfig!$O$25&lt;=rand!C63,1,0)</f>
        <v>0</v>
      </c>
      <c r="K63" s="71" t="str">
        <f t="shared" ca="1" si="32"/>
        <v/>
      </c>
      <c r="L63" s="71">
        <f>IF(Konfig!$O$25&gt;=rand!C63,1,0)</f>
        <v>1</v>
      </c>
      <c r="M63" s="71" t="str">
        <f t="shared" ca="1" si="33"/>
        <v/>
      </c>
      <c r="N63" s="71" t="str">
        <f t="shared" ca="1" si="34"/>
        <v/>
      </c>
      <c r="O63" s="71">
        <f t="shared" ca="1" si="35"/>
        <v>0</v>
      </c>
      <c r="P63" s="71">
        <f ca="1">IF(Konfig!$O$25="*",H63,IF($O$37=1,O63,N63))</f>
        <v>1</v>
      </c>
      <c r="Q63" s="374">
        <f t="shared" si="37"/>
        <v>1</v>
      </c>
      <c r="R63" s="374">
        <f t="shared" si="38"/>
        <v>1</v>
      </c>
      <c r="S63" s="374">
        <f t="shared" si="3"/>
        <v>1</v>
      </c>
      <c r="T63" s="374">
        <f t="shared" si="4"/>
        <v>1</v>
      </c>
      <c r="U63" s="374" t="str">
        <f t="shared" si="5"/>
        <v/>
      </c>
      <c r="V63" s="374" t="str">
        <f t="shared" si="6"/>
        <v/>
      </c>
      <c r="W63" s="374">
        <f t="shared" si="7"/>
        <v>1</v>
      </c>
      <c r="X63" s="374" t="str">
        <f t="shared" si="8"/>
        <v/>
      </c>
      <c r="Y63" s="374" t="str">
        <f t="shared" si="9"/>
        <v/>
      </c>
      <c r="Z63" s="374" t="str">
        <f t="shared" si="10"/>
        <v/>
      </c>
      <c r="AA63" s="374">
        <f t="shared" si="11"/>
        <v>1</v>
      </c>
      <c r="AB63" s="374" t="str">
        <f t="shared" si="12"/>
        <v/>
      </c>
      <c r="AC63" s="374">
        <f t="shared" si="13"/>
        <v>1</v>
      </c>
      <c r="AD63" s="374">
        <f t="shared" si="14"/>
        <v>1</v>
      </c>
      <c r="AE63" s="374" t="str">
        <f t="shared" si="15"/>
        <v/>
      </c>
      <c r="AF63" s="374">
        <f t="shared" si="16"/>
        <v>1</v>
      </c>
      <c r="AG63" s="374" t="str">
        <f t="shared" si="17"/>
        <v/>
      </c>
      <c r="AH63" s="374">
        <f t="shared" si="18"/>
        <v>1</v>
      </c>
      <c r="AI63" s="374" t="str">
        <f t="shared" si="19"/>
        <v/>
      </c>
      <c r="AJ63" s="374" t="str">
        <f t="shared" si="20"/>
        <v/>
      </c>
      <c r="AK63" s="374">
        <f t="shared" si="21"/>
        <v>1</v>
      </c>
      <c r="AL63" s="374" t="str">
        <f t="shared" si="22"/>
        <v/>
      </c>
      <c r="AM63" s="514">
        <f t="shared" si="23"/>
        <v>1</v>
      </c>
      <c r="AO63" s="18">
        <v>1</v>
      </c>
      <c r="AP63" s="18">
        <v>1</v>
      </c>
      <c r="AT63" s="18">
        <v>1</v>
      </c>
      <c r="AU63" s="493">
        <v>1</v>
      </c>
      <c r="AY63" s="493">
        <v>1</v>
      </c>
      <c r="AZ63" s="499">
        <v>1</v>
      </c>
      <c r="BB63" s="493">
        <v>1</v>
      </c>
      <c r="BC63" s="493">
        <v>1</v>
      </c>
      <c r="BG63" s="493">
        <v>1</v>
      </c>
      <c r="BK63" s="493">
        <v>1</v>
      </c>
      <c r="BM63" s="493">
        <v>1</v>
      </c>
      <c r="BN63" s="499">
        <v>1</v>
      </c>
      <c r="BP63" s="503">
        <v>1</v>
      </c>
      <c r="BR63" s="503">
        <v>1</v>
      </c>
      <c r="BU63" s="503">
        <v>1</v>
      </c>
      <c r="BX63" s="498">
        <v>1</v>
      </c>
    </row>
    <row r="64" spans="1:76" x14ac:dyDescent="0.25">
      <c r="A64" s="1099"/>
      <c r="B64" s="551">
        <f ca="1">IFERROR(IF(P64&lt;&gt;1,select!$A$8,rand!C64),"")</f>
        <v>12</v>
      </c>
      <c r="C64" s="413">
        <v>12</v>
      </c>
      <c r="D64" s="71">
        <f ca="1">IF($D$96=1,IF($D$3=1,IFERROR(OFFSET(P64,0,select!$M$1361),""),""),"")</f>
        <v>1</v>
      </c>
      <c r="E64" s="71" t="str">
        <f ca="1">IF($E$96=1,IF($E$3=1,IFERROR(OFFSET(P64,0,select!$M$1362),""),""),"")</f>
        <v/>
      </c>
      <c r="F64" s="71" t="str">
        <f ca="1">IF($F$96=1,IF($F$3=1,IFERROR(OFFSET(P64,0,select!$M$1363),""),""),"")</f>
        <v/>
      </c>
      <c r="G64" s="71">
        <f ca="1">IF($G$96=1,IF($G$3=1,IFERROR(OFFSET(P64,0,select!$M$1364),""),""),"")</f>
        <v>1</v>
      </c>
      <c r="H64" s="71">
        <f t="shared" ca="1" si="31"/>
        <v>1</v>
      </c>
      <c r="I64" s="71">
        <f>IF(C64=Konfig!$O$25,1,0)</f>
        <v>0</v>
      </c>
      <c r="J64" s="71">
        <f>IF(Konfig!$O$25&lt;=rand!C64,1,0)</f>
        <v>0</v>
      </c>
      <c r="K64" s="71" t="str">
        <f t="shared" ca="1" si="32"/>
        <v/>
      </c>
      <c r="L64" s="71">
        <f>IF(Konfig!$O$25&gt;=rand!C64,1,0)</f>
        <v>1</v>
      </c>
      <c r="M64" s="71" t="str">
        <f t="shared" ca="1" si="33"/>
        <v/>
      </c>
      <c r="N64" s="71" t="str">
        <f t="shared" ca="1" si="34"/>
        <v/>
      </c>
      <c r="O64" s="71">
        <f t="shared" ca="1" si="35"/>
        <v>0</v>
      </c>
      <c r="P64" s="71">
        <f ca="1">IF(Konfig!$O$25="*",H64,IF($O$37=1,O64,N64))</f>
        <v>1</v>
      </c>
      <c r="Q64" s="374">
        <f t="shared" si="37"/>
        <v>1</v>
      </c>
      <c r="R64" s="374">
        <f t="shared" si="38"/>
        <v>1</v>
      </c>
      <c r="S64" s="374">
        <f t="shared" si="3"/>
        <v>1</v>
      </c>
      <c r="T64" s="374">
        <f t="shared" si="4"/>
        <v>1</v>
      </c>
      <c r="U64" s="374" t="str">
        <f t="shared" si="5"/>
        <v/>
      </c>
      <c r="V64" s="374" t="str">
        <f t="shared" si="6"/>
        <v/>
      </c>
      <c r="W64" s="374" t="str">
        <f t="shared" si="7"/>
        <v/>
      </c>
      <c r="X64" s="374" t="str">
        <f t="shared" si="8"/>
        <v/>
      </c>
      <c r="Y64" s="374">
        <f t="shared" si="9"/>
        <v>1</v>
      </c>
      <c r="Z64" s="374" t="str">
        <f t="shared" si="10"/>
        <v/>
      </c>
      <c r="AA64" s="374">
        <f t="shared" si="11"/>
        <v>1</v>
      </c>
      <c r="AB64" s="374" t="str">
        <f t="shared" si="12"/>
        <v/>
      </c>
      <c r="AC64" s="374">
        <f t="shared" si="13"/>
        <v>1</v>
      </c>
      <c r="AD64" s="374">
        <f t="shared" si="14"/>
        <v>1</v>
      </c>
      <c r="AE64" s="374">
        <f t="shared" si="15"/>
        <v>1</v>
      </c>
      <c r="AF64" s="374">
        <f t="shared" si="16"/>
        <v>1</v>
      </c>
      <c r="AG64" s="374" t="str">
        <f t="shared" si="17"/>
        <v/>
      </c>
      <c r="AH64" s="374">
        <f t="shared" si="18"/>
        <v>1</v>
      </c>
      <c r="AI64" s="374">
        <f t="shared" si="19"/>
        <v>1</v>
      </c>
      <c r="AJ64" s="374">
        <f t="shared" si="20"/>
        <v>1</v>
      </c>
      <c r="AK64" s="374">
        <f t="shared" si="21"/>
        <v>1</v>
      </c>
      <c r="AL64" s="374">
        <f t="shared" si="22"/>
        <v>1</v>
      </c>
      <c r="AM64" s="514" t="str">
        <f t="shared" si="23"/>
        <v/>
      </c>
      <c r="AO64" s="18">
        <v>1</v>
      </c>
      <c r="AT64" s="18">
        <v>1</v>
      </c>
      <c r="AY64" s="493">
        <v>1</v>
      </c>
      <c r="BB64" s="493">
        <v>1</v>
      </c>
      <c r="BI64" s="493">
        <v>1</v>
      </c>
      <c r="BK64" s="493">
        <v>1</v>
      </c>
      <c r="BM64" s="493">
        <v>1</v>
      </c>
      <c r="BN64" s="499">
        <v>1</v>
      </c>
      <c r="BO64" s="503">
        <v>1</v>
      </c>
      <c r="BP64" s="503">
        <v>1</v>
      </c>
      <c r="BR64" s="503">
        <v>1</v>
      </c>
      <c r="BS64" s="503">
        <v>1</v>
      </c>
      <c r="BT64" s="503">
        <v>1</v>
      </c>
      <c r="BU64" s="503">
        <v>1</v>
      </c>
      <c r="BV64" s="503">
        <v>1</v>
      </c>
    </row>
    <row r="65" spans="1:77" x14ac:dyDescent="0.25">
      <c r="A65" s="1099"/>
      <c r="B65" s="551">
        <f ca="1">IFERROR(IF(P65&lt;&gt;1,select!$A$8,rand!C65),"")</f>
        <v>11.5</v>
      </c>
      <c r="C65" s="413">
        <v>11.5</v>
      </c>
      <c r="D65" s="71">
        <f ca="1">IF($D$96=1,IF($D$3=1,IFERROR(OFFSET(P65,0,select!$M$1361),""),""),"")</f>
        <v>1</v>
      </c>
      <c r="E65" s="71" t="str">
        <f ca="1">IF($E$96=1,IF($E$3=1,IFERROR(OFFSET(P65,0,select!$M$1362),""),""),"")</f>
        <v/>
      </c>
      <c r="F65" s="71" t="str">
        <f ca="1">IF($F$96=1,IF($F$3=1,IFERROR(OFFSET(P65,0,select!$M$1363),""),""),"")</f>
        <v/>
      </c>
      <c r="G65" s="71" t="str">
        <f ca="1">IF($G$96=1,IF($G$3=1,IFERROR(OFFSET(P65,0,select!$M$1364),""),""),"")</f>
        <v/>
      </c>
      <c r="H65" s="71">
        <f t="shared" ca="1" si="31"/>
        <v>1</v>
      </c>
      <c r="I65" s="71">
        <f>IF(C65=Konfig!$O$25,1,0)</f>
        <v>0</v>
      </c>
      <c r="J65" s="71">
        <f>IF(Konfig!$O$25&lt;=rand!C65,1,0)</f>
        <v>0</v>
      </c>
      <c r="K65" s="71" t="str">
        <f t="shared" ca="1" si="32"/>
        <v/>
      </c>
      <c r="L65" s="71">
        <f>IF(Konfig!$O$25&gt;=rand!C65,1,0)</f>
        <v>1</v>
      </c>
      <c r="M65" s="71" t="str">
        <f t="shared" ca="1" si="33"/>
        <v/>
      </c>
      <c r="N65" s="71" t="str">
        <f t="shared" ca="1" si="34"/>
        <v/>
      </c>
      <c r="O65" s="71">
        <f t="shared" ca="1" si="35"/>
        <v>0</v>
      </c>
      <c r="P65" s="71">
        <f ca="1">IF(Konfig!$O$25="*",H65,IF($O$37=1,O65,N65))</f>
        <v>1</v>
      </c>
      <c r="Q65" s="374">
        <f t="shared" si="37"/>
        <v>1</v>
      </c>
      <c r="R65" s="374">
        <f t="shared" si="38"/>
        <v>1</v>
      </c>
      <c r="S65" s="374">
        <f t="shared" si="3"/>
        <v>1</v>
      </c>
      <c r="T65" s="374">
        <f t="shared" si="4"/>
        <v>1</v>
      </c>
      <c r="U65" s="374" t="str">
        <f t="shared" si="5"/>
        <v/>
      </c>
      <c r="V65" s="374" t="str">
        <f t="shared" si="6"/>
        <v/>
      </c>
      <c r="W65" s="374">
        <f t="shared" si="7"/>
        <v>1</v>
      </c>
      <c r="X65" s="374" t="str">
        <f t="shared" si="8"/>
        <v/>
      </c>
      <c r="Y65" s="374" t="str">
        <f t="shared" si="9"/>
        <v/>
      </c>
      <c r="Z65" s="374" t="str">
        <f t="shared" si="10"/>
        <v/>
      </c>
      <c r="AA65" s="374" t="str">
        <f t="shared" si="11"/>
        <v/>
      </c>
      <c r="AB65" s="374" t="str">
        <f t="shared" si="12"/>
        <v/>
      </c>
      <c r="AC65" s="374">
        <f t="shared" si="13"/>
        <v>1</v>
      </c>
      <c r="AD65" s="374">
        <f t="shared" si="14"/>
        <v>1</v>
      </c>
      <c r="AE65" s="374">
        <f t="shared" si="15"/>
        <v>1</v>
      </c>
      <c r="AF65" s="374">
        <f t="shared" si="16"/>
        <v>1</v>
      </c>
      <c r="AG65" s="374" t="str">
        <f t="shared" si="17"/>
        <v/>
      </c>
      <c r="AH65" s="374">
        <f t="shared" si="18"/>
        <v>1</v>
      </c>
      <c r="AI65" s="374" t="str">
        <f t="shared" si="19"/>
        <v/>
      </c>
      <c r="AJ65" s="374" t="str">
        <f t="shared" si="20"/>
        <v/>
      </c>
      <c r="AK65" s="374">
        <f t="shared" si="21"/>
        <v>1</v>
      </c>
      <c r="AL65" s="374" t="str">
        <f t="shared" si="22"/>
        <v/>
      </c>
      <c r="AM65" s="514" t="str">
        <f t="shared" si="23"/>
        <v/>
      </c>
      <c r="AO65" s="18">
        <v>1</v>
      </c>
      <c r="AP65" s="18">
        <v>1</v>
      </c>
      <c r="AT65" s="18">
        <v>1</v>
      </c>
      <c r="AU65" s="493">
        <v>1</v>
      </c>
      <c r="AY65" s="493">
        <v>1</v>
      </c>
      <c r="AZ65" s="499">
        <v>1</v>
      </c>
      <c r="BB65" s="493">
        <v>1</v>
      </c>
      <c r="BC65" s="493">
        <v>1</v>
      </c>
      <c r="BG65" s="493">
        <v>1</v>
      </c>
      <c r="BM65" s="493">
        <v>1</v>
      </c>
      <c r="BN65" s="499">
        <v>1</v>
      </c>
      <c r="BO65" s="503">
        <v>1</v>
      </c>
      <c r="BP65" s="503">
        <v>1</v>
      </c>
      <c r="BR65" s="503">
        <v>1</v>
      </c>
      <c r="BU65" s="503">
        <v>1</v>
      </c>
    </row>
    <row r="66" spans="1:77" x14ac:dyDescent="0.25">
      <c r="A66" s="1099"/>
      <c r="B66" s="551">
        <f ca="1">IFERROR(IF(P66&lt;&gt;1,select!$A$8,rand!C66),"")</f>
        <v>11</v>
      </c>
      <c r="C66" s="413">
        <v>11</v>
      </c>
      <c r="D66" s="71">
        <f ca="1">IF($D$96=1,IF($D$3=1,IFERROR(OFFSET(P66,0,select!$M$1361),""),""),"")</f>
        <v>0</v>
      </c>
      <c r="E66" s="71" t="str">
        <f ca="1">IF($E$96=1,IF($E$3=1,IFERROR(OFFSET(P66,0,select!$M$1362),""),""),"")</f>
        <v/>
      </c>
      <c r="F66" s="71" t="str">
        <f ca="1">IF($F$96=1,IF($F$3=1,IFERROR(OFFSET(P66,0,select!$M$1363),""),""),"")</f>
        <v/>
      </c>
      <c r="G66" s="71">
        <f ca="1">IF($G$96=1,IF($G$3=1,IFERROR(OFFSET(P66,0,select!$M$1364),""),""),"")</f>
        <v>1</v>
      </c>
      <c r="H66" s="71">
        <f t="shared" ca="1" si="31"/>
        <v>1</v>
      </c>
      <c r="I66" s="71">
        <f>IF(C66=Konfig!$O$25,1,0)</f>
        <v>0</v>
      </c>
      <c r="J66" s="71">
        <f>IF(Konfig!$O$25&lt;=rand!C66,1,0)</f>
        <v>0</v>
      </c>
      <c r="K66" s="71" t="str">
        <f t="shared" ca="1" si="32"/>
        <v/>
      </c>
      <c r="L66" s="71">
        <f>IF(Konfig!$O$25&gt;=rand!C66,1,0)</f>
        <v>1</v>
      </c>
      <c r="M66" s="71" t="str">
        <f t="shared" ca="1" si="33"/>
        <v/>
      </c>
      <c r="N66" s="71" t="str">
        <f t="shared" ca="1" si="34"/>
        <v/>
      </c>
      <c r="O66" s="71">
        <f t="shared" ca="1" si="35"/>
        <v>0</v>
      </c>
      <c r="P66" s="71">
        <f ca="1">IF(Konfig!$O$25="*",H66,IF($O$37=1,O66,N66))</f>
        <v>1</v>
      </c>
      <c r="Q66" s="631"/>
      <c r="R66" s="374" t="str">
        <f t="shared" si="38"/>
        <v/>
      </c>
      <c r="S66" s="374" t="str">
        <f t="shared" si="3"/>
        <v/>
      </c>
      <c r="T66" s="374" t="str">
        <f t="shared" si="4"/>
        <v/>
      </c>
      <c r="U66" s="374" t="str">
        <f t="shared" si="5"/>
        <v/>
      </c>
      <c r="V66" s="374" t="str">
        <f t="shared" si="6"/>
        <v/>
      </c>
      <c r="W66" s="374" t="str">
        <f t="shared" si="7"/>
        <v/>
      </c>
      <c r="X66" s="374" t="str">
        <f t="shared" si="8"/>
        <v/>
      </c>
      <c r="Y66" s="374">
        <f t="shared" si="9"/>
        <v>1</v>
      </c>
      <c r="Z66" s="374" t="str">
        <f t="shared" si="10"/>
        <v/>
      </c>
      <c r="AA66" s="374">
        <f t="shared" si="11"/>
        <v>1</v>
      </c>
      <c r="AB66" s="374" t="str">
        <f t="shared" si="12"/>
        <v/>
      </c>
      <c r="AC66" s="374">
        <f t="shared" si="13"/>
        <v>1</v>
      </c>
      <c r="AD66" s="374">
        <f t="shared" si="14"/>
        <v>1</v>
      </c>
      <c r="AE66" s="374" t="str">
        <f t="shared" si="15"/>
        <v/>
      </c>
      <c r="AF66" s="374" t="str">
        <f t="shared" si="16"/>
        <v/>
      </c>
      <c r="AG66" s="374" t="str">
        <f t="shared" si="17"/>
        <v/>
      </c>
      <c r="AH66" s="374" t="str">
        <f t="shared" si="18"/>
        <v/>
      </c>
      <c r="AI66" s="374">
        <f t="shared" si="19"/>
        <v>1</v>
      </c>
      <c r="AJ66" s="374" t="str">
        <f t="shared" si="20"/>
        <v/>
      </c>
      <c r="AK66" s="374" t="str">
        <f t="shared" si="21"/>
        <v/>
      </c>
      <c r="AL66" s="374" t="str">
        <f t="shared" si="22"/>
        <v/>
      </c>
      <c r="AM66" s="514" t="str">
        <f t="shared" si="23"/>
        <v/>
      </c>
      <c r="BI66" s="493">
        <v>1</v>
      </c>
      <c r="BK66" s="493">
        <v>1</v>
      </c>
      <c r="BM66" s="493">
        <v>1</v>
      </c>
      <c r="BN66" s="499">
        <v>1</v>
      </c>
      <c r="BS66" s="503">
        <v>1</v>
      </c>
    </row>
    <row r="67" spans="1:77" x14ac:dyDescent="0.25">
      <c r="A67" s="1099"/>
      <c r="B67" s="551">
        <f ca="1">IFERROR(IF(P67&lt;&gt;1,select!$A$8,rand!C67),"")</f>
        <v>10.5</v>
      </c>
      <c r="C67" s="413">
        <v>10.5</v>
      </c>
      <c r="D67" s="71">
        <f ca="1">IF($D$96=1,IF($D$3=1,IFERROR(OFFSET(P67,0,select!$M$1361),""),""),"")</f>
        <v>1</v>
      </c>
      <c r="E67" s="71" t="str">
        <f ca="1">IF($E$96=1,IF($E$3=1,IFERROR(OFFSET(P67,0,select!$M$1362),""),""),"")</f>
        <v/>
      </c>
      <c r="F67" s="71" t="str">
        <f ca="1">IF($F$96=1,IF($F$3=1,IFERROR(OFFSET(P67,0,select!$M$1363),""),""),"")</f>
        <v/>
      </c>
      <c r="G67" s="71" t="str">
        <f ca="1">IF($G$96=1,IF($G$3=1,IFERROR(OFFSET(P67,0,select!$M$1364),""),""),"")</f>
        <v/>
      </c>
      <c r="H67" s="71">
        <f t="shared" ca="1" si="31"/>
        <v>1</v>
      </c>
      <c r="I67" s="71">
        <f>IF(C67=Konfig!$O$25,1,0)</f>
        <v>0</v>
      </c>
      <c r="J67" s="71">
        <f>IF(Konfig!$O$25&lt;=rand!C67,1,0)</f>
        <v>0</v>
      </c>
      <c r="K67" s="71" t="str">
        <f t="shared" ca="1" si="32"/>
        <v/>
      </c>
      <c r="L67" s="71">
        <f>IF(Konfig!$O$25&gt;=rand!C67,1,0)</f>
        <v>1</v>
      </c>
      <c r="M67" s="71" t="str">
        <f t="shared" ca="1" si="33"/>
        <v/>
      </c>
      <c r="N67" s="71" t="str">
        <f t="shared" ca="1" si="34"/>
        <v/>
      </c>
      <c r="O67" s="71">
        <f t="shared" ca="1" si="35"/>
        <v>0</v>
      </c>
      <c r="P67" s="71">
        <f ca="1">IF(Konfig!$O$25="*",H67,IF($O$37=1,O67,N67))</f>
        <v>1</v>
      </c>
      <c r="Q67" s="374">
        <f t="shared" si="37"/>
        <v>1</v>
      </c>
      <c r="R67" s="374">
        <f t="shared" si="38"/>
        <v>1</v>
      </c>
      <c r="S67" s="374">
        <f t="shared" si="3"/>
        <v>1</v>
      </c>
      <c r="T67" s="374">
        <f t="shared" si="4"/>
        <v>1</v>
      </c>
      <c r="U67" s="374" t="str">
        <f t="shared" si="5"/>
        <v/>
      </c>
      <c r="V67" s="374" t="str">
        <f t="shared" si="6"/>
        <v/>
      </c>
      <c r="W67" s="374">
        <f t="shared" si="7"/>
        <v>1</v>
      </c>
      <c r="X67" s="374" t="str">
        <f t="shared" si="8"/>
        <v/>
      </c>
      <c r="Y67" s="374" t="str">
        <f t="shared" si="9"/>
        <v/>
      </c>
      <c r="Z67" s="374" t="str">
        <f t="shared" si="10"/>
        <v/>
      </c>
      <c r="AA67" s="374" t="str">
        <f t="shared" si="11"/>
        <v/>
      </c>
      <c r="AB67" s="374" t="str">
        <f t="shared" si="12"/>
        <v/>
      </c>
      <c r="AC67" s="374">
        <f t="shared" si="13"/>
        <v>1</v>
      </c>
      <c r="AD67" s="374">
        <f t="shared" si="14"/>
        <v>1</v>
      </c>
      <c r="AE67" s="374">
        <f t="shared" si="15"/>
        <v>1</v>
      </c>
      <c r="AF67" s="374" t="str">
        <f t="shared" si="16"/>
        <v/>
      </c>
      <c r="AG67" s="374" t="str">
        <f t="shared" si="17"/>
        <v/>
      </c>
      <c r="AH67" s="374" t="str">
        <f t="shared" si="18"/>
        <v/>
      </c>
      <c r="AI67" s="374" t="str">
        <f t="shared" si="19"/>
        <v/>
      </c>
      <c r="AJ67" s="374" t="str">
        <f t="shared" si="20"/>
        <v/>
      </c>
      <c r="AK67" s="374" t="str">
        <f t="shared" si="21"/>
        <v/>
      </c>
      <c r="AL67" s="374" t="str">
        <f t="shared" si="22"/>
        <v/>
      </c>
      <c r="AM67" s="514" t="str">
        <f t="shared" si="23"/>
        <v/>
      </c>
      <c r="AP67" s="18">
        <v>1</v>
      </c>
      <c r="AU67" s="493">
        <v>1</v>
      </c>
      <c r="AZ67" s="499">
        <v>1</v>
      </c>
      <c r="BC67" s="493">
        <v>1</v>
      </c>
      <c r="BG67" s="493">
        <v>1</v>
      </c>
      <c r="BM67" s="493">
        <v>1</v>
      </c>
      <c r="BN67" s="499">
        <v>1</v>
      </c>
      <c r="BO67" s="503">
        <v>1</v>
      </c>
    </row>
    <row r="68" spans="1:77" x14ac:dyDescent="0.25">
      <c r="A68" s="1099"/>
      <c r="B68" s="551">
        <f ca="1">IFERROR(IF(P68&lt;&gt;1,select!$A$8,rand!C68),"")</f>
        <v>10</v>
      </c>
      <c r="C68" s="413">
        <v>10</v>
      </c>
      <c r="D68" s="71">
        <f ca="1">IF($D$96=1,IF($D$3=1,IFERROR(OFFSET(P68,0,select!$M$1361),""),""),"")</f>
        <v>1</v>
      </c>
      <c r="E68" s="71" t="str">
        <f ca="1">IF($E$96=1,IF($E$3=1,IFERROR(OFFSET(P68,0,select!$M$1362),""),""),"")</f>
        <v/>
      </c>
      <c r="F68" s="71" t="str">
        <f ca="1">IF($F$96=1,IF($F$3=1,IFERROR(OFFSET(P68,0,select!$M$1363),""),""),"")</f>
        <v/>
      </c>
      <c r="G68" s="71">
        <f ca="1">IF($G$96=1,IF($G$3=1,IFERROR(OFFSET(P68,0,select!$M$1364),""),""),"")</f>
        <v>1</v>
      </c>
      <c r="H68" s="71">
        <f t="shared" ca="1" si="31"/>
        <v>1</v>
      </c>
      <c r="I68" s="71">
        <f>IF(C68=Konfig!$O$25,1,0)</f>
        <v>0</v>
      </c>
      <c r="J68" s="71">
        <f>IF(Konfig!$O$25&lt;=rand!C68,1,0)</f>
        <v>0</v>
      </c>
      <c r="K68" s="71" t="str">
        <f t="shared" ca="1" si="32"/>
        <v/>
      </c>
      <c r="L68" s="71">
        <f>IF(Konfig!$O$25&gt;=rand!C68,1,0)</f>
        <v>1</v>
      </c>
      <c r="M68" s="71" t="str">
        <f t="shared" ca="1" si="33"/>
        <v/>
      </c>
      <c r="N68" s="71" t="str">
        <f t="shared" ca="1" si="34"/>
        <v/>
      </c>
      <c r="O68" s="71">
        <f t="shared" ca="1" si="35"/>
        <v>0</v>
      </c>
      <c r="P68" s="71">
        <f ca="1">IF(Konfig!$O$25="*",H68,IF($O$37=1,O68,N68))</f>
        <v>1</v>
      </c>
      <c r="Q68" s="374">
        <f t="shared" si="37"/>
        <v>1</v>
      </c>
      <c r="R68" s="374">
        <f t="shared" si="38"/>
        <v>1</v>
      </c>
      <c r="S68" s="374">
        <f t="shared" si="3"/>
        <v>1</v>
      </c>
      <c r="T68" s="374">
        <f t="shared" si="4"/>
        <v>1</v>
      </c>
      <c r="U68" s="374" t="str">
        <f t="shared" si="5"/>
        <v/>
      </c>
      <c r="V68" s="374" t="str">
        <f t="shared" si="6"/>
        <v/>
      </c>
      <c r="W68" s="374" t="str">
        <f t="shared" si="7"/>
        <v/>
      </c>
      <c r="X68" s="374" t="str">
        <f t="shared" si="8"/>
        <v/>
      </c>
      <c r="Y68" s="374">
        <f t="shared" si="9"/>
        <v>1</v>
      </c>
      <c r="Z68" s="374" t="str">
        <f t="shared" si="10"/>
        <v/>
      </c>
      <c r="AA68" s="374">
        <f t="shared" si="11"/>
        <v>1</v>
      </c>
      <c r="AB68" s="374" t="str">
        <f t="shared" si="12"/>
        <v/>
      </c>
      <c r="AC68" s="374">
        <f t="shared" si="13"/>
        <v>1</v>
      </c>
      <c r="AD68" s="374">
        <f t="shared" si="14"/>
        <v>1</v>
      </c>
      <c r="AE68" s="374" t="str">
        <f t="shared" si="15"/>
        <v/>
      </c>
      <c r="AF68" s="374" t="str">
        <f t="shared" si="16"/>
        <v/>
      </c>
      <c r="AG68" s="374" t="str">
        <f t="shared" si="17"/>
        <v/>
      </c>
      <c r="AH68" s="374" t="str">
        <f t="shared" si="18"/>
        <v/>
      </c>
      <c r="AI68" s="374">
        <f t="shared" si="19"/>
        <v>1</v>
      </c>
      <c r="AJ68" s="374">
        <f t="shared" si="20"/>
        <v>1</v>
      </c>
      <c r="AK68" s="374" t="str">
        <f t="shared" si="21"/>
        <v/>
      </c>
      <c r="AL68" s="374">
        <f t="shared" si="22"/>
        <v>1</v>
      </c>
      <c r="AM68" s="514" t="str">
        <f t="shared" si="23"/>
        <v/>
      </c>
      <c r="AP68" s="18">
        <v>1</v>
      </c>
      <c r="AU68" s="493">
        <v>1</v>
      </c>
      <c r="AZ68" s="499">
        <v>1</v>
      </c>
      <c r="BC68" s="493">
        <v>1</v>
      </c>
      <c r="BI68" s="493">
        <v>1</v>
      </c>
      <c r="BK68" s="493">
        <v>1</v>
      </c>
      <c r="BM68" s="493">
        <v>1</v>
      </c>
      <c r="BN68" s="499">
        <v>1</v>
      </c>
      <c r="BS68" s="503">
        <v>1</v>
      </c>
      <c r="BT68" s="503">
        <v>1</v>
      </c>
      <c r="BV68" s="503">
        <v>1</v>
      </c>
    </row>
    <row r="69" spans="1:77" x14ac:dyDescent="0.25">
      <c r="A69" s="1099"/>
      <c r="B69" s="551">
        <f ca="1">IFERROR(IF(P69&lt;&gt;1,select!$A$8,rand!C69),"")</f>
        <v>9.5</v>
      </c>
      <c r="C69" s="413">
        <v>9.5</v>
      </c>
      <c r="D69" s="71">
        <f ca="1">IF($D$96=1,IF($D$3=1,IFERROR(OFFSET(P69,0,select!$M$1361),""),""),"")</f>
        <v>1</v>
      </c>
      <c r="E69" s="71" t="str">
        <f ca="1">IF($E$96=1,IF($E$3=1,IFERROR(OFFSET(P69,0,select!$M$1362),""),""),"")</f>
        <v/>
      </c>
      <c r="F69" s="71" t="str">
        <f ca="1">IF($F$96=1,IF($F$3=1,IFERROR(OFFSET(P69,0,select!$M$1363),""),""),"")</f>
        <v/>
      </c>
      <c r="G69" s="71" t="str">
        <f ca="1">IF($G$96=1,IF($G$3=1,IFERROR(OFFSET(P69,0,select!$M$1364),""),""),"")</f>
        <v/>
      </c>
      <c r="H69" s="71">
        <f t="shared" ca="1" si="31"/>
        <v>1</v>
      </c>
      <c r="I69" s="71">
        <f>IF(C69=Konfig!$O$25,1,0)</f>
        <v>0</v>
      </c>
      <c r="J69" s="71">
        <f>IF(Konfig!$O$25&lt;=rand!C69,1,0)</f>
        <v>0</v>
      </c>
      <c r="K69" s="71" t="str">
        <f t="shared" ca="1" si="32"/>
        <v/>
      </c>
      <c r="L69" s="71">
        <f>IF(Konfig!$O$25&gt;=rand!C69,1,0)</f>
        <v>1</v>
      </c>
      <c r="M69" s="71" t="str">
        <f t="shared" ca="1" si="33"/>
        <v/>
      </c>
      <c r="N69" s="71" t="str">
        <f t="shared" ca="1" si="34"/>
        <v/>
      </c>
      <c r="O69" s="71">
        <f t="shared" ca="1" si="35"/>
        <v>0</v>
      </c>
      <c r="P69" s="71">
        <f ca="1">IF(Konfig!$O$25="*",H69,IF($O$37=1,O69,N69))</f>
        <v>1</v>
      </c>
      <c r="Q69" s="374">
        <f t="shared" si="37"/>
        <v>1</v>
      </c>
      <c r="R69" s="374">
        <f t="shared" si="38"/>
        <v>1</v>
      </c>
      <c r="S69" s="374">
        <f t="shared" si="3"/>
        <v>1</v>
      </c>
      <c r="T69" s="374">
        <f t="shared" si="4"/>
        <v>1</v>
      </c>
      <c r="U69" s="374" t="str">
        <f t="shared" si="5"/>
        <v/>
      </c>
      <c r="V69" s="374" t="str">
        <f t="shared" si="6"/>
        <v/>
      </c>
      <c r="W69" s="374" t="str">
        <f t="shared" si="7"/>
        <v/>
      </c>
      <c r="X69" s="374" t="str">
        <f t="shared" si="8"/>
        <v/>
      </c>
      <c r="Y69" s="374" t="str">
        <f t="shared" si="9"/>
        <v/>
      </c>
      <c r="Z69" s="374" t="str">
        <f t="shared" si="10"/>
        <v/>
      </c>
      <c r="AA69" s="374" t="str">
        <f t="shared" si="11"/>
        <v/>
      </c>
      <c r="AB69" s="374" t="str">
        <f t="shared" si="12"/>
        <v/>
      </c>
      <c r="AC69" s="374">
        <f t="shared" si="13"/>
        <v>1</v>
      </c>
      <c r="AD69" s="374" t="str">
        <f t="shared" si="14"/>
        <v/>
      </c>
      <c r="AE69" s="374">
        <f t="shared" si="15"/>
        <v>1</v>
      </c>
      <c r="AF69" s="374" t="str">
        <f t="shared" si="16"/>
        <v/>
      </c>
      <c r="AG69" s="374" t="str">
        <f t="shared" si="17"/>
        <v/>
      </c>
      <c r="AH69" s="374" t="str">
        <f t="shared" si="18"/>
        <v/>
      </c>
      <c r="AI69" s="374" t="str">
        <f t="shared" si="19"/>
        <v/>
      </c>
      <c r="AJ69" s="374" t="str">
        <f t="shared" si="20"/>
        <v/>
      </c>
      <c r="AK69" s="374" t="str">
        <f t="shared" si="21"/>
        <v/>
      </c>
      <c r="AL69" s="374" t="str">
        <f t="shared" si="22"/>
        <v/>
      </c>
      <c r="AM69" s="514">
        <f t="shared" si="23"/>
        <v>1</v>
      </c>
      <c r="AP69" s="18">
        <v>1</v>
      </c>
      <c r="AU69" s="493">
        <v>1</v>
      </c>
      <c r="AZ69" s="499">
        <v>1</v>
      </c>
      <c r="BC69" s="493">
        <v>1</v>
      </c>
      <c r="BM69" s="493">
        <v>1</v>
      </c>
      <c r="BO69" s="503">
        <v>1</v>
      </c>
      <c r="BY69" s="498">
        <v>1</v>
      </c>
    </row>
    <row r="70" spans="1:77" x14ac:dyDescent="0.25">
      <c r="A70" s="1099"/>
      <c r="B70" s="551">
        <f ca="1">IFERROR(IF(P70&lt;&gt;1,select!$A$8,rand!C70),"")</f>
        <v>9</v>
      </c>
      <c r="C70" s="413">
        <v>9</v>
      </c>
      <c r="D70" s="71">
        <f ca="1">IF($D$96=1,IF($D$3=1,IFERROR(OFFSET(P70,0,select!$M$1361),""),""),"")</f>
        <v>1</v>
      </c>
      <c r="E70" s="71" t="str">
        <f ca="1">IF($E$96=1,IF($E$3=1,IFERROR(OFFSET(P70,0,select!$M$1362),""),""),"")</f>
        <v/>
      </c>
      <c r="F70" s="71" t="str">
        <f ca="1">IF($F$96=1,IF($F$3=1,IFERROR(OFFSET(P70,0,select!$M$1363),""),""),"")</f>
        <v/>
      </c>
      <c r="G70" s="71">
        <f ca="1">IF($G$96=1,IF($G$3=1,IFERROR(OFFSET(P70,0,select!$M$1364),""),""),"")</f>
        <v>1</v>
      </c>
      <c r="H70" s="71">
        <f t="shared" ref="H70:H95" ca="1" si="39">IF(SUM(D70:G70)&gt;0,1,0)</f>
        <v>1</v>
      </c>
      <c r="I70" s="71">
        <f>IF(C70=Konfig!$O$25,1,0)</f>
        <v>0</v>
      </c>
      <c r="J70" s="71">
        <f>IF(Konfig!$O$25&lt;=rand!C70,1,0)</f>
        <v>0</v>
      </c>
      <c r="K70" s="71" t="str">
        <f t="shared" ref="K70:K95" ca="1" si="40">IF(AND(J70+H70=2,H71=0)=TRUE,C70,"")</f>
        <v/>
      </c>
      <c r="L70" s="71">
        <f>IF(Konfig!$O$25&gt;=rand!C70,1,0)</f>
        <v>1</v>
      </c>
      <c r="M70" s="71" t="str">
        <f t="shared" ref="M70:M95" ca="1" si="41">IF(AND(L70+H70=2,H69=0)=TRUE,C70,"")</f>
        <v/>
      </c>
      <c r="N70" s="71" t="str">
        <f t="shared" ref="N70:N95" ca="1" si="42">IF(OR(C70=$K$37,C70=$M$37)=TRUE,1,"")</f>
        <v/>
      </c>
      <c r="O70" s="71">
        <f t="shared" ref="O70:O95" ca="1" si="43">IF(H70+I70=2,1,0)</f>
        <v>0</v>
      </c>
      <c r="P70" s="71">
        <f ca="1">IF(Konfig!$O$25="*",H70,IF($O$37=1,O70,N70))</f>
        <v>1</v>
      </c>
      <c r="Q70" s="374">
        <f t="shared" si="37"/>
        <v>1</v>
      </c>
      <c r="R70" s="374">
        <f t="shared" si="38"/>
        <v>1</v>
      </c>
      <c r="S70" s="374">
        <f t="shared" si="3"/>
        <v>1</v>
      </c>
      <c r="T70" s="374">
        <f t="shared" si="4"/>
        <v>1</v>
      </c>
      <c r="U70" s="374" t="str">
        <f t="shared" si="5"/>
        <v/>
      </c>
      <c r="V70" s="374" t="str">
        <f t="shared" si="6"/>
        <v/>
      </c>
      <c r="W70" s="374" t="str">
        <f t="shared" si="7"/>
        <v/>
      </c>
      <c r="X70" s="374" t="str">
        <f t="shared" si="8"/>
        <v/>
      </c>
      <c r="Y70" s="374" t="str">
        <f t="shared" si="9"/>
        <v/>
      </c>
      <c r="Z70" s="374" t="str">
        <f t="shared" si="10"/>
        <v/>
      </c>
      <c r="AA70" s="374" t="str">
        <f t="shared" si="11"/>
        <v/>
      </c>
      <c r="AB70" s="374" t="str">
        <f t="shared" si="12"/>
        <v/>
      </c>
      <c r="AC70" s="374" t="str">
        <f t="shared" si="13"/>
        <v/>
      </c>
      <c r="AD70" s="374">
        <f t="shared" si="14"/>
        <v>1</v>
      </c>
      <c r="AE70" s="374" t="str">
        <f t="shared" si="15"/>
        <v/>
      </c>
      <c r="AF70" s="374" t="str">
        <f t="shared" si="16"/>
        <v/>
      </c>
      <c r="AG70" s="374" t="str">
        <f t="shared" si="17"/>
        <v/>
      </c>
      <c r="AH70" s="374" t="str">
        <f t="shared" si="18"/>
        <v/>
      </c>
      <c r="AI70" s="374">
        <f t="shared" si="19"/>
        <v>1</v>
      </c>
      <c r="AJ70" s="374" t="str">
        <f t="shared" si="20"/>
        <v/>
      </c>
      <c r="AK70" s="374" t="str">
        <f t="shared" si="21"/>
        <v/>
      </c>
      <c r="AL70" s="374" t="str">
        <f t="shared" si="22"/>
        <v/>
      </c>
      <c r="AM70" s="514" t="str">
        <f t="shared" si="23"/>
        <v/>
      </c>
      <c r="AP70" s="18">
        <v>1</v>
      </c>
      <c r="AU70" s="493">
        <v>1</v>
      </c>
      <c r="AZ70" s="499">
        <v>1</v>
      </c>
      <c r="BC70" s="493">
        <v>1</v>
      </c>
      <c r="BN70" s="499">
        <v>1</v>
      </c>
      <c r="BS70" s="503">
        <v>1</v>
      </c>
    </row>
    <row r="71" spans="1:77" x14ac:dyDescent="0.25">
      <c r="A71" s="1099"/>
      <c r="B71" s="551">
        <f ca="1">IFERROR(IF(P71&lt;&gt;1,select!$A$8,rand!C71),"")</f>
        <v>8.5</v>
      </c>
      <c r="C71" s="413">
        <v>8.5</v>
      </c>
      <c r="D71" s="71">
        <f ca="1">IF($D$96=1,IF($D$3=1,IFERROR(OFFSET(P71,0,select!$M$1361),""),""),"")</f>
        <v>1</v>
      </c>
      <c r="E71" s="71" t="str">
        <f ca="1">IF($E$96=1,IF($E$3=1,IFERROR(OFFSET(P71,0,select!$M$1362),""),""),"")</f>
        <v/>
      </c>
      <c r="F71" s="71" t="str">
        <f ca="1">IF($F$96=1,IF($F$3=1,IFERROR(OFFSET(P71,0,select!$M$1363),""),""),"")</f>
        <v/>
      </c>
      <c r="G71" s="71" t="str">
        <f ca="1">IF($G$96=1,IF($G$3=1,IFERROR(OFFSET(P71,0,select!$M$1364),""),""),"")</f>
        <v/>
      </c>
      <c r="H71" s="71">
        <f t="shared" ca="1" si="39"/>
        <v>1</v>
      </c>
      <c r="I71" s="71">
        <f>IF(C71=Konfig!$O$25,1,0)</f>
        <v>0</v>
      </c>
      <c r="J71" s="71">
        <f>IF(Konfig!$O$25&lt;=rand!C71,1,0)</f>
        <v>0</v>
      </c>
      <c r="K71" s="71" t="str">
        <f t="shared" ca="1" si="40"/>
        <v/>
      </c>
      <c r="L71" s="71">
        <f>IF(Konfig!$O$25&gt;=rand!C71,1,0)</f>
        <v>1</v>
      </c>
      <c r="M71" s="71" t="str">
        <f t="shared" ca="1" si="41"/>
        <v/>
      </c>
      <c r="N71" s="71" t="str">
        <f t="shared" ca="1" si="42"/>
        <v/>
      </c>
      <c r="O71" s="71">
        <f t="shared" ca="1" si="43"/>
        <v>0</v>
      </c>
      <c r="P71" s="71">
        <f ca="1">IF(Konfig!$O$25="*",H71,IF($O$37=1,O71,N71))</f>
        <v>1</v>
      </c>
      <c r="Q71" s="374">
        <f t="shared" si="37"/>
        <v>1</v>
      </c>
      <c r="R71" s="374">
        <f t="shared" si="38"/>
        <v>1</v>
      </c>
      <c r="S71" s="374">
        <f t="shared" si="3"/>
        <v>1</v>
      </c>
      <c r="T71" s="374">
        <f t="shared" si="4"/>
        <v>1</v>
      </c>
      <c r="U71" s="374" t="str">
        <f t="shared" si="5"/>
        <v/>
      </c>
      <c r="V71" s="374" t="str">
        <f t="shared" si="6"/>
        <v/>
      </c>
      <c r="W71" s="374" t="str">
        <f t="shared" si="7"/>
        <v/>
      </c>
      <c r="X71" s="374" t="str">
        <f t="shared" si="8"/>
        <v/>
      </c>
      <c r="Y71" s="374" t="str">
        <f t="shared" si="9"/>
        <v/>
      </c>
      <c r="Z71" s="374" t="str">
        <f t="shared" ref="Z71:Z125" si="44">IF(SUM(BJ71)&gt;0,1,"")</f>
        <v/>
      </c>
      <c r="AA71" s="374" t="str">
        <f t="shared" ref="AA71:AA125" si="45">IF(SUM(BK71)&gt;0,1,"")</f>
        <v/>
      </c>
      <c r="AB71" s="374" t="str">
        <f t="shared" ref="AB71:AB125" si="46">IF(SUM(BL71)&gt;0,1,"")</f>
        <v/>
      </c>
      <c r="AC71" s="374">
        <f t="shared" ref="AC71:AC125" si="47">IF(SUM(BM71)&gt;0,1,"")</f>
        <v>1</v>
      </c>
      <c r="AD71" s="374" t="str">
        <f t="shared" ref="AD71:AD125" si="48">IF(SUM(BN71)&gt;0,1,"")</f>
        <v/>
      </c>
      <c r="AE71" s="374">
        <f t="shared" ref="AE71:AE125" si="49">IF(SUM(BO71)&gt;0,1,"")</f>
        <v>1</v>
      </c>
      <c r="AF71" s="374" t="str">
        <f t="shared" ref="AF71:AF125" si="50">IF(SUM(BP71)&gt;0,1,"")</f>
        <v/>
      </c>
      <c r="AG71" s="374" t="str">
        <f t="shared" ref="AG71:AG125" si="51">IF(SUM(BQ71)&gt;0,1,"")</f>
        <v/>
      </c>
      <c r="AH71" s="374" t="str">
        <f t="shared" ref="AH71:AH125" si="52">IF(SUM(BR71)&gt;0,1,"")</f>
        <v/>
      </c>
      <c r="AI71" s="374" t="str">
        <f t="shared" ref="AI71:AI125" si="53">IF(SUM(BS71)&gt;0,1,"")</f>
        <v/>
      </c>
      <c r="AJ71" s="374" t="str">
        <f t="shared" ref="AJ71:AJ125" si="54">IF(SUM(BT71)&gt;0,1,"")</f>
        <v/>
      </c>
      <c r="AK71" s="374" t="str">
        <f t="shared" ref="AK71:AK125" si="55">IF(SUM(BU71)&gt;0,1,"")</f>
        <v/>
      </c>
      <c r="AL71" s="374" t="str">
        <f t="shared" ref="AL71:AL125" si="56">IF(SUM(BV71)&gt;0,1,"")</f>
        <v/>
      </c>
      <c r="AM71" s="514" t="str">
        <f t="shared" ref="AM71:AM125" si="57">IF(SUM(BW71:BZ71)&gt;0,1,"")</f>
        <v/>
      </c>
      <c r="AP71" s="18">
        <v>1</v>
      </c>
      <c r="AU71" s="493">
        <v>1</v>
      </c>
      <c r="AZ71" s="499">
        <v>1</v>
      </c>
      <c r="BC71" s="493">
        <v>1</v>
      </c>
      <c r="BM71" s="493">
        <v>1</v>
      </c>
      <c r="BO71" s="503">
        <v>1</v>
      </c>
    </row>
    <row r="72" spans="1:77" x14ac:dyDescent="0.25">
      <c r="A72" s="1099"/>
      <c r="B72" s="551">
        <f ca="1">IFERROR(IF(P72&lt;&gt;1,select!$A$8,rand!C72),"")</f>
        <v>8</v>
      </c>
      <c r="C72" s="413">
        <v>8</v>
      </c>
      <c r="D72" s="71">
        <f ca="1">IF($D$96=1,IF($D$3=1,IFERROR(OFFSET(P72,0,select!$M$1361),""),""),"")</f>
        <v>1</v>
      </c>
      <c r="E72" s="71" t="str">
        <f ca="1">IF($E$96=1,IF($E$3=1,IFERROR(OFFSET(P72,0,select!$M$1362),""),""),"")</f>
        <v/>
      </c>
      <c r="F72" s="71" t="str">
        <f ca="1">IF($F$96=1,IF($F$3=1,IFERROR(OFFSET(P72,0,select!$M$1363),""),""),"")</f>
        <v/>
      </c>
      <c r="G72" s="71">
        <f ca="1">IF($G$96=1,IF($G$3=1,IFERROR(OFFSET(P72,0,select!$M$1364),""),""),"")</f>
        <v>1</v>
      </c>
      <c r="H72" s="71">
        <f t="shared" ca="1" si="39"/>
        <v>1</v>
      </c>
      <c r="I72" s="71">
        <f>IF(C72=Konfig!$O$25,1,0)</f>
        <v>0</v>
      </c>
      <c r="J72" s="71">
        <f>IF(Konfig!$O$25&lt;=rand!C72,1,0)</f>
        <v>0</v>
      </c>
      <c r="K72" s="71" t="str">
        <f t="shared" ca="1" si="40"/>
        <v/>
      </c>
      <c r="L72" s="71">
        <f>IF(Konfig!$O$25&gt;=rand!C72,1,0)</f>
        <v>1</v>
      </c>
      <c r="M72" s="71" t="str">
        <f t="shared" ca="1" si="41"/>
        <v/>
      </c>
      <c r="N72" s="71" t="str">
        <f t="shared" ca="1" si="42"/>
        <v/>
      </c>
      <c r="O72" s="71">
        <f t="shared" ca="1" si="43"/>
        <v>0</v>
      </c>
      <c r="P72" s="71">
        <f ca="1">IF(Konfig!$O$25="*",H72,IF($O$37=1,O72,N72))</f>
        <v>1</v>
      </c>
      <c r="Q72" s="374">
        <f t="shared" si="37"/>
        <v>1</v>
      </c>
      <c r="R72" s="374">
        <f t="shared" si="38"/>
        <v>1</v>
      </c>
      <c r="S72" s="374">
        <f t="shared" si="3"/>
        <v>1</v>
      </c>
      <c r="T72" s="374">
        <f t="shared" si="4"/>
        <v>1</v>
      </c>
      <c r="U72" s="374" t="str">
        <f t="shared" ref="U72:U85" si="58">IF(SUM(BE72)&gt;0,1,"")</f>
        <v/>
      </c>
      <c r="V72" s="374" t="str">
        <f t="shared" si="6"/>
        <v/>
      </c>
      <c r="W72" s="374" t="str">
        <f t="shared" si="7"/>
        <v/>
      </c>
      <c r="X72" s="374" t="str">
        <f t="shared" si="8"/>
        <v/>
      </c>
      <c r="Y72" s="374" t="str">
        <f t="shared" si="9"/>
        <v/>
      </c>
      <c r="Z72" s="374" t="str">
        <f t="shared" si="44"/>
        <v/>
      </c>
      <c r="AA72" s="374" t="str">
        <f t="shared" si="45"/>
        <v/>
      </c>
      <c r="AB72" s="374" t="str">
        <f t="shared" si="46"/>
        <v/>
      </c>
      <c r="AC72" s="374" t="str">
        <f t="shared" si="47"/>
        <v/>
      </c>
      <c r="AD72" s="374">
        <f t="shared" si="48"/>
        <v>1</v>
      </c>
      <c r="AE72" s="374">
        <f t="shared" si="49"/>
        <v>1</v>
      </c>
      <c r="AF72" s="374" t="str">
        <f t="shared" si="50"/>
        <v/>
      </c>
      <c r="AG72" s="374" t="str">
        <f t="shared" si="51"/>
        <v/>
      </c>
      <c r="AH72" s="374" t="str">
        <f t="shared" si="52"/>
        <v/>
      </c>
      <c r="AI72" s="374">
        <f t="shared" si="53"/>
        <v>1</v>
      </c>
      <c r="AJ72" s="374">
        <f t="shared" si="54"/>
        <v>1</v>
      </c>
      <c r="AK72" s="374" t="str">
        <f t="shared" si="55"/>
        <v/>
      </c>
      <c r="AL72" s="374">
        <f t="shared" si="56"/>
        <v>1</v>
      </c>
      <c r="AM72" s="514" t="str">
        <f t="shared" si="57"/>
        <v/>
      </c>
      <c r="AP72" s="18">
        <v>1</v>
      </c>
      <c r="AU72" s="493">
        <v>1</v>
      </c>
      <c r="AZ72" s="499">
        <v>1</v>
      </c>
      <c r="BC72" s="493">
        <v>1</v>
      </c>
      <c r="BN72" s="499">
        <v>1</v>
      </c>
      <c r="BO72" s="503">
        <v>1</v>
      </c>
      <c r="BS72" s="503">
        <v>1</v>
      </c>
      <c r="BT72" s="503">
        <v>1</v>
      </c>
      <c r="BV72" s="503">
        <v>1</v>
      </c>
    </row>
    <row r="73" spans="1:77" x14ac:dyDescent="0.25">
      <c r="A73" s="1099"/>
      <c r="B73" s="551">
        <f ca="1">IFERROR(IF(P73&lt;&gt;1,select!$A$8,rand!C73),"")</f>
        <v>7.5</v>
      </c>
      <c r="C73" s="413">
        <v>7.5</v>
      </c>
      <c r="D73" s="71">
        <f ca="1">IF($D$96=1,IF($D$3=1,IFERROR(OFFSET(P73,0,select!$M$1361),""),""),"")</f>
        <v>1</v>
      </c>
      <c r="E73" s="71" t="str">
        <f ca="1">IF($E$96=1,IF($E$3=1,IFERROR(OFFSET(P73,0,select!$M$1362),""),""),"")</f>
        <v/>
      </c>
      <c r="F73" s="71" t="str">
        <f ca="1">IF($F$96=1,IF($F$3=1,IFERROR(OFFSET(P73,0,select!$M$1363),""),""),"")</f>
        <v/>
      </c>
      <c r="G73" s="71" t="str">
        <f ca="1">IF($G$96=1,IF($G$3=1,IFERROR(OFFSET(P73,0,select!$M$1364),""),""),"")</f>
        <v/>
      </c>
      <c r="H73" s="71">
        <f t="shared" ca="1" si="39"/>
        <v>1</v>
      </c>
      <c r="I73" s="71">
        <f>IF(C73=Konfig!$O$25,1,0)</f>
        <v>0</v>
      </c>
      <c r="J73" s="71">
        <f>IF(Konfig!$O$25&lt;=rand!C73,1,0)</f>
        <v>0</v>
      </c>
      <c r="K73" s="71" t="str">
        <f t="shared" ca="1" si="40"/>
        <v/>
      </c>
      <c r="L73" s="71">
        <f>IF(Konfig!$O$25&gt;=rand!C73,1,0)</f>
        <v>1</v>
      </c>
      <c r="M73" s="71" t="str">
        <f t="shared" ca="1" si="41"/>
        <v/>
      </c>
      <c r="N73" s="71" t="str">
        <f t="shared" ca="1" si="42"/>
        <v/>
      </c>
      <c r="O73" s="71">
        <f t="shared" ca="1" si="43"/>
        <v>0</v>
      </c>
      <c r="P73" s="71">
        <f ca="1">IF(Konfig!$O$25="*",H73,IF($O$37=1,O73,N73))</f>
        <v>1</v>
      </c>
      <c r="Q73" s="374">
        <f t="shared" ref="Q73:Q121" si="59">IF(SUM(AN73:AR73)&gt;0,1,"")</f>
        <v>1</v>
      </c>
      <c r="R73" s="374">
        <f t="shared" ref="R73:R121" si="60">IF(SUM(AS73:AW73)&gt;0,1,"")</f>
        <v>1</v>
      </c>
      <c r="S73" s="374">
        <f t="shared" ref="S73:S121" si="61">IF(SUM(AX73:AZ73)&gt;0,1,"")</f>
        <v>1</v>
      </c>
      <c r="T73" s="374">
        <f t="shared" ref="T73:T121" si="62">IF(SUM(BA73:BD73)&gt;0,1,"")</f>
        <v>1</v>
      </c>
      <c r="U73" s="374" t="str">
        <f t="shared" si="58"/>
        <v/>
      </c>
      <c r="V73" s="374" t="str">
        <f t="shared" ref="V73:V121" si="63">IF(SUM(BF73)&gt;0,1,"")</f>
        <v/>
      </c>
      <c r="W73" s="374" t="str">
        <f t="shared" ref="W73:W121" si="64">IF(SUM(BG73)&gt;0,1,"")</f>
        <v/>
      </c>
      <c r="X73" s="374" t="str">
        <f t="shared" ref="X73:X121" si="65">IF(SUM(BH73)&gt;0,1,"")</f>
        <v/>
      </c>
      <c r="Y73" s="374" t="str">
        <f t="shared" ref="Y73:Y121" si="66">IF(SUM(BI73)&gt;0,1,"")</f>
        <v/>
      </c>
      <c r="Z73" s="374" t="str">
        <f t="shared" si="44"/>
        <v/>
      </c>
      <c r="AA73" s="374" t="str">
        <f t="shared" si="45"/>
        <v/>
      </c>
      <c r="AB73" s="374" t="str">
        <f t="shared" si="46"/>
        <v/>
      </c>
      <c r="AC73" s="374" t="str">
        <f t="shared" si="47"/>
        <v/>
      </c>
      <c r="AD73" s="374" t="str">
        <f t="shared" si="48"/>
        <v/>
      </c>
      <c r="AE73" s="374">
        <f t="shared" si="49"/>
        <v>1</v>
      </c>
      <c r="AF73" s="374" t="str">
        <f t="shared" si="50"/>
        <v/>
      </c>
      <c r="AG73" s="374" t="str">
        <f t="shared" si="51"/>
        <v/>
      </c>
      <c r="AH73" s="374" t="str">
        <f t="shared" si="52"/>
        <v/>
      </c>
      <c r="AI73" s="374" t="str">
        <f t="shared" si="53"/>
        <v/>
      </c>
      <c r="AJ73" s="374" t="str">
        <f t="shared" si="54"/>
        <v/>
      </c>
      <c r="AK73" s="374" t="str">
        <f t="shared" si="55"/>
        <v/>
      </c>
      <c r="AL73" s="374" t="str">
        <f t="shared" si="56"/>
        <v/>
      </c>
      <c r="AM73" s="514">
        <f t="shared" si="57"/>
        <v>1</v>
      </c>
      <c r="AP73" s="18">
        <v>1</v>
      </c>
      <c r="AU73" s="493">
        <v>1</v>
      </c>
      <c r="AZ73" s="499">
        <v>1</v>
      </c>
      <c r="BC73" s="493">
        <v>1</v>
      </c>
      <c r="BO73" s="503">
        <v>1</v>
      </c>
      <c r="BY73" s="498">
        <v>1</v>
      </c>
    </row>
    <row r="74" spans="1:77" x14ac:dyDescent="0.25">
      <c r="A74" s="1099"/>
      <c r="B74" s="551">
        <f ca="1">IFERROR(IF(P74&lt;&gt;1,select!$A$8,rand!C74),"")</f>
        <v>7</v>
      </c>
      <c r="C74" s="413">
        <v>7</v>
      </c>
      <c r="D74" s="71">
        <f ca="1">IF($D$96=1,IF($D$3=1,IFERROR(OFFSET(P74,0,select!$M$1361),""),""),"")</f>
        <v>1</v>
      </c>
      <c r="E74" s="71" t="str">
        <f ca="1">IF($E$96=1,IF($E$3=1,IFERROR(OFFSET(P74,0,select!$M$1362),""),""),"")</f>
        <v/>
      </c>
      <c r="F74" s="71" t="str">
        <f ca="1">IF($F$96=1,IF($F$3=1,IFERROR(OFFSET(P74,0,select!$M$1363),""),""),"")</f>
        <v/>
      </c>
      <c r="G74" s="71">
        <f ca="1">IF($G$96=1,IF($G$3=1,IFERROR(OFFSET(P74,0,select!$M$1364),""),""),"")</f>
        <v>1</v>
      </c>
      <c r="H74" s="71">
        <f t="shared" ca="1" si="39"/>
        <v>1</v>
      </c>
      <c r="I74" s="71">
        <f>IF(C74=Konfig!$O$25,1,0)</f>
        <v>0</v>
      </c>
      <c r="J74" s="71">
        <f>IF(Konfig!$O$25&lt;=rand!C74,1,0)</f>
        <v>0</v>
      </c>
      <c r="K74" s="71" t="str">
        <f t="shared" ca="1" si="40"/>
        <v/>
      </c>
      <c r="L74" s="71">
        <f>IF(Konfig!$O$25&gt;=rand!C74,1,0)</f>
        <v>1</v>
      </c>
      <c r="M74" s="71" t="str">
        <f t="shared" ca="1" si="41"/>
        <v/>
      </c>
      <c r="N74" s="71" t="str">
        <f t="shared" ca="1" si="42"/>
        <v/>
      </c>
      <c r="O74" s="71">
        <f t="shared" ca="1" si="43"/>
        <v>0</v>
      </c>
      <c r="P74" s="71">
        <f ca="1">IF(Konfig!$O$25="*",H74,IF($O$37=1,O74,N74))</f>
        <v>1</v>
      </c>
      <c r="Q74" s="374">
        <f t="shared" si="59"/>
        <v>1</v>
      </c>
      <c r="R74" s="374">
        <f t="shared" si="60"/>
        <v>1</v>
      </c>
      <c r="S74" s="374">
        <f t="shared" si="61"/>
        <v>1</v>
      </c>
      <c r="T74" s="374">
        <f t="shared" si="62"/>
        <v>1</v>
      </c>
      <c r="U74" s="374" t="str">
        <f t="shared" si="58"/>
        <v/>
      </c>
      <c r="V74" s="374" t="str">
        <f t="shared" si="63"/>
        <v/>
      </c>
      <c r="W74" s="374" t="str">
        <f t="shared" si="64"/>
        <v/>
      </c>
      <c r="X74" s="374" t="str">
        <f t="shared" si="65"/>
        <v/>
      </c>
      <c r="Y74" s="374" t="str">
        <f t="shared" si="66"/>
        <v/>
      </c>
      <c r="Z74" s="374" t="str">
        <f t="shared" si="44"/>
        <v/>
      </c>
      <c r="AA74" s="374" t="str">
        <f t="shared" si="45"/>
        <v/>
      </c>
      <c r="AB74" s="374" t="str">
        <f t="shared" si="46"/>
        <v/>
      </c>
      <c r="AC74" s="374" t="str">
        <f t="shared" si="47"/>
        <v/>
      </c>
      <c r="AD74" s="374" t="str">
        <f t="shared" si="48"/>
        <v/>
      </c>
      <c r="AE74" s="374">
        <f t="shared" si="49"/>
        <v>1</v>
      </c>
      <c r="AF74" s="374" t="str">
        <f t="shared" si="50"/>
        <v/>
      </c>
      <c r="AG74" s="374" t="str">
        <f t="shared" si="51"/>
        <v/>
      </c>
      <c r="AH74" s="374" t="str">
        <f t="shared" si="52"/>
        <v/>
      </c>
      <c r="AI74" s="374">
        <f t="shared" si="53"/>
        <v>1</v>
      </c>
      <c r="AJ74" s="374" t="str">
        <f t="shared" si="54"/>
        <v/>
      </c>
      <c r="AK74" s="374" t="str">
        <f t="shared" si="55"/>
        <v/>
      </c>
      <c r="AL74" s="374" t="str">
        <f t="shared" si="56"/>
        <v/>
      </c>
      <c r="AM74" s="514" t="str">
        <f t="shared" si="57"/>
        <v/>
      </c>
      <c r="AP74" s="18">
        <v>1</v>
      </c>
      <c r="AU74" s="493">
        <v>1</v>
      </c>
      <c r="AZ74" s="499">
        <v>1</v>
      </c>
      <c r="BC74" s="493">
        <v>1</v>
      </c>
      <c r="BO74" s="503">
        <v>1</v>
      </c>
      <c r="BS74" s="503">
        <v>1</v>
      </c>
    </row>
    <row r="75" spans="1:77" x14ac:dyDescent="0.25">
      <c r="A75" s="1099"/>
      <c r="B75" s="551">
        <f ca="1">IFERROR(IF(P75&lt;&gt;1,select!$A$8,rand!C75),"")</f>
        <v>6.5</v>
      </c>
      <c r="C75" s="413">
        <v>6.5</v>
      </c>
      <c r="D75" s="71">
        <f ca="1">IF($D$96=1,IF($D$3=1,IFERROR(OFFSET(P75,0,select!$M$1361),""),""),"")</f>
        <v>1</v>
      </c>
      <c r="E75" s="71" t="str">
        <f ca="1">IF($E$96=1,IF($E$3=1,IFERROR(OFFSET(P75,0,select!$M$1362),""),""),"")</f>
        <v/>
      </c>
      <c r="F75" s="71" t="str">
        <f ca="1">IF($F$96=1,IF($F$3=1,IFERROR(OFFSET(P75,0,select!$M$1363),""),""),"")</f>
        <v/>
      </c>
      <c r="G75" s="71" t="str">
        <f ca="1">IF($G$96=1,IF($G$3=1,IFERROR(OFFSET(P75,0,select!$M$1364),""),""),"")</f>
        <v/>
      </c>
      <c r="H75" s="71">
        <f t="shared" ca="1" si="39"/>
        <v>1</v>
      </c>
      <c r="I75" s="71">
        <f>IF(C75=Konfig!$O$25,1,0)</f>
        <v>0</v>
      </c>
      <c r="J75" s="71">
        <f>IF(Konfig!$O$25&lt;=rand!C75,1,0)</f>
        <v>0</v>
      </c>
      <c r="K75" s="71" t="str">
        <f t="shared" ca="1" si="40"/>
        <v/>
      </c>
      <c r="L75" s="71">
        <f>IF(Konfig!$O$25&gt;=rand!C75,1,0)</f>
        <v>1</v>
      </c>
      <c r="M75" s="71" t="str">
        <f t="shared" ca="1" si="41"/>
        <v/>
      </c>
      <c r="N75" s="71" t="str">
        <f t="shared" ca="1" si="42"/>
        <v/>
      </c>
      <c r="O75" s="71">
        <f t="shared" ca="1" si="43"/>
        <v>0</v>
      </c>
      <c r="P75" s="71">
        <f ca="1">IF(Konfig!$O$25="*",H75,IF($O$37=1,O75,N75))</f>
        <v>1</v>
      </c>
      <c r="Q75" s="374">
        <f t="shared" si="59"/>
        <v>1</v>
      </c>
      <c r="R75" s="374">
        <f t="shared" si="60"/>
        <v>1</v>
      </c>
      <c r="S75" s="374">
        <f t="shared" si="61"/>
        <v>1</v>
      </c>
      <c r="T75" s="374">
        <f t="shared" si="62"/>
        <v>1</v>
      </c>
      <c r="U75" s="374" t="str">
        <f t="shared" si="58"/>
        <v/>
      </c>
      <c r="V75" s="374" t="str">
        <f t="shared" si="63"/>
        <v/>
      </c>
      <c r="W75" s="374" t="str">
        <f t="shared" si="64"/>
        <v/>
      </c>
      <c r="X75" s="374" t="str">
        <f t="shared" si="65"/>
        <v/>
      </c>
      <c r="Y75" s="374" t="str">
        <f t="shared" si="66"/>
        <v/>
      </c>
      <c r="Z75" s="374" t="str">
        <f t="shared" si="44"/>
        <v/>
      </c>
      <c r="AA75" s="374" t="str">
        <f t="shared" si="45"/>
        <v/>
      </c>
      <c r="AB75" s="374" t="str">
        <f t="shared" si="46"/>
        <v/>
      </c>
      <c r="AC75" s="374" t="str">
        <f t="shared" si="47"/>
        <v/>
      </c>
      <c r="AD75" s="374" t="str">
        <f t="shared" si="48"/>
        <v/>
      </c>
      <c r="AE75" s="374">
        <f t="shared" si="49"/>
        <v>1</v>
      </c>
      <c r="AF75" s="374" t="str">
        <f t="shared" si="50"/>
        <v/>
      </c>
      <c r="AG75" s="374" t="str">
        <f t="shared" si="51"/>
        <v/>
      </c>
      <c r="AH75" s="374" t="str">
        <f t="shared" si="52"/>
        <v/>
      </c>
      <c r="AI75" s="374" t="str">
        <f t="shared" si="53"/>
        <v/>
      </c>
      <c r="AJ75" s="374" t="str">
        <f t="shared" si="54"/>
        <v/>
      </c>
      <c r="AK75" s="374" t="str">
        <f t="shared" si="55"/>
        <v/>
      </c>
      <c r="AL75" s="374" t="str">
        <f t="shared" si="56"/>
        <v/>
      </c>
      <c r="AM75" s="514">
        <f t="shared" si="57"/>
        <v>1</v>
      </c>
      <c r="AP75" s="18">
        <v>1</v>
      </c>
      <c r="AU75" s="493">
        <v>1</v>
      </c>
      <c r="AZ75" s="499">
        <v>1</v>
      </c>
      <c r="BC75" s="493">
        <v>1</v>
      </c>
      <c r="BO75" s="503">
        <v>1</v>
      </c>
      <c r="BY75" s="498">
        <v>1</v>
      </c>
    </row>
    <row r="76" spans="1:77" x14ac:dyDescent="0.25">
      <c r="A76" s="1099"/>
      <c r="B76" s="551">
        <f ca="1">IFERROR(IF(P76&lt;&gt;1,select!$A$8,rand!C76),"")</f>
        <v>6</v>
      </c>
      <c r="C76" s="413">
        <v>6</v>
      </c>
      <c r="D76" s="71">
        <f ca="1">IF($D$96=1,IF($D$3=1,IFERROR(OFFSET(P76,0,select!$M$1361),""),""),"")</f>
        <v>1</v>
      </c>
      <c r="E76" s="71" t="str">
        <f ca="1">IF($E$96=1,IF($E$3=1,IFERROR(OFFSET(P76,0,select!$M$1362),""),""),"")</f>
        <v/>
      </c>
      <c r="F76" s="71" t="str">
        <f ca="1">IF($F$96=1,IF($F$3=1,IFERROR(OFFSET(P76,0,select!$M$1363),""),""),"")</f>
        <v/>
      </c>
      <c r="G76" s="71">
        <f ca="1">IF($G$96=1,IF($G$3=1,IFERROR(OFFSET(P76,0,select!$M$1364),""),""),"")</f>
        <v>1</v>
      </c>
      <c r="H76" s="71">
        <f t="shared" ca="1" si="39"/>
        <v>1</v>
      </c>
      <c r="I76" s="71">
        <f>IF(C76=Konfig!$O$25,1,0)</f>
        <v>0</v>
      </c>
      <c r="J76" s="71">
        <f>IF(Konfig!$O$25&lt;=rand!C76,1,0)</f>
        <v>0</v>
      </c>
      <c r="K76" s="71" t="str">
        <f t="shared" ca="1" si="40"/>
        <v/>
      </c>
      <c r="L76" s="71">
        <f>IF(Konfig!$O$25&gt;=rand!C76,1,0)</f>
        <v>1</v>
      </c>
      <c r="M76" s="71" t="str">
        <f t="shared" ca="1" si="41"/>
        <v/>
      </c>
      <c r="N76" s="71" t="str">
        <f t="shared" ca="1" si="42"/>
        <v/>
      </c>
      <c r="O76" s="71">
        <f t="shared" ca="1" si="43"/>
        <v>0</v>
      </c>
      <c r="P76" s="71">
        <f ca="1">IF(Konfig!$O$25="*",H76,IF($O$37=1,O76,N76))</f>
        <v>1</v>
      </c>
      <c r="Q76" s="374">
        <f t="shared" si="59"/>
        <v>1</v>
      </c>
      <c r="R76" s="374">
        <f t="shared" si="60"/>
        <v>1</v>
      </c>
      <c r="S76" s="374">
        <f t="shared" si="61"/>
        <v>1</v>
      </c>
      <c r="T76" s="374">
        <f t="shared" si="62"/>
        <v>1</v>
      </c>
      <c r="U76" s="374" t="str">
        <f t="shared" si="58"/>
        <v/>
      </c>
      <c r="V76" s="374" t="str">
        <f t="shared" si="63"/>
        <v/>
      </c>
      <c r="W76" s="374" t="str">
        <f t="shared" si="64"/>
        <v/>
      </c>
      <c r="X76" s="374" t="str">
        <f t="shared" si="65"/>
        <v/>
      </c>
      <c r="Y76" s="374" t="str">
        <f t="shared" si="66"/>
        <v/>
      </c>
      <c r="Z76" s="374" t="str">
        <f t="shared" si="44"/>
        <v/>
      </c>
      <c r="AA76" s="374" t="str">
        <f t="shared" si="45"/>
        <v/>
      </c>
      <c r="AB76" s="374" t="str">
        <f t="shared" si="46"/>
        <v/>
      </c>
      <c r="AC76" s="374" t="str">
        <f t="shared" si="47"/>
        <v/>
      </c>
      <c r="AD76" s="374" t="str">
        <f t="shared" si="48"/>
        <v/>
      </c>
      <c r="AE76" s="374">
        <f t="shared" si="49"/>
        <v>1</v>
      </c>
      <c r="AF76" s="374" t="str">
        <f t="shared" si="50"/>
        <v/>
      </c>
      <c r="AG76" s="374" t="str">
        <f t="shared" si="51"/>
        <v/>
      </c>
      <c r="AH76" s="374" t="str">
        <f t="shared" si="52"/>
        <v/>
      </c>
      <c r="AI76" s="374">
        <f t="shared" si="53"/>
        <v>1</v>
      </c>
      <c r="AJ76" s="374">
        <f t="shared" si="54"/>
        <v>1</v>
      </c>
      <c r="AK76" s="374" t="str">
        <f t="shared" si="55"/>
        <v/>
      </c>
      <c r="AL76" s="374">
        <f t="shared" si="56"/>
        <v>1</v>
      </c>
      <c r="AM76" s="514">
        <f t="shared" si="57"/>
        <v>1</v>
      </c>
      <c r="AP76" s="18">
        <v>1</v>
      </c>
      <c r="AU76" s="493">
        <v>1</v>
      </c>
      <c r="AZ76" s="499">
        <v>1</v>
      </c>
      <c r="BC76" s="493">
        <v>1</v>
      </c>
      <c r="BO76" s="503">
        <v>1</v>
      </c>
      <c r="BS76" s="503">
        <v>1</v>
      </c>
      <c r="BT76" s="503">
        <v>1</v>
      </c>
      <c r="BV76" s="503">
        <v>1</v>
      </c>
      <c r="BY76" s="498">
        <v>1</v>
      </c>
    </row>
    <row r="77" spans="1:77" x14ac:dyDescent="0.25">
      <c r="A77" s="1099"/>
      <c r="B77" s="551">
        <f ca="1">IFERROR(IF(P77&lt;&gt;1,select!$A$8,rand!C77),"")</f>
        <v>5.5</v>
      </c>
      <c r="C77" s="413">
        <v>5.5</v>
      </c>
      <c r="D77" s="71">
        <f ca="1">IF($D$96=1,IF($D$3=1,IFERROR(OFFSET(P77,0,select!$M$1361),""),""),"")</f>
        <v>1</v>
      </c>
      <c r="E77" s="71" t="str">
        <f ca="1">IF($E$96=1,IF($E$3=1,IFERROR(OFFSET(P77,0,select!$M$1362),""),""),"")</f>
        <v/>
      </c>
      <c r="F77" s="71" t="str">
        <f ca="1">IF($F$96=1,IF($F$3=1,IFERROR(OFFSET(P77,0,select!$M$1363),""),""),"")</f>
        <v/>
      </c>
      <c r="G77" s="71" t="str">
        <f ca="1">IF($G$96=1,IF($G$3=1,IFERROR(OFFSET(P77,0,select!$M$1364),""),""),"")</f>
        <v/>
      </c>
      <c r="H77" s="71">
        <f t="shared" ca="1" si="39"/>
        <v>1</v>
      </c>
      <c r="I77" s="71">
        <f>IF(C77=Konfig!$O$25,1,0)</f>
        <v>0</v>
      </c>
      <c r="J77" s="71">
        <f>IF(Konfig!$O$25&lt;=rand!C77,1,0)</f>
        <v>0</v>
      </c>
      <c r="K77" s="71" t="str">
        <f t="shared" ca="1" si="40"/>
        <v/>
      </c>
      <c r="L77" s="71">
        <f>IF(Konfig!$O$25&gt;=rand!C77,1,0)</f>
        <v>1</v>
      </c>
      <c r="M77" s="71" t="str">
        <f t="shared" ca="1" si="41"/>
        <v/>
      </c>
      <c r="N77" s="71" t="str">
        <f t="shared" ca="1" si="42"/>
        <v/>
      </c>
      <c r="O77" s="71">
        <f t="shared" ca="1" si="43"/>
        <v>0</v>
      </c>
      <c r="P77" s="71">
        <f ca="1">IF(Konfig!$O$25="*",H77,IF($O$37=1,O77,N77))</f>
        <v>1</v>
      </c>
      <c r="Q77" s="374">
        <f t="shared" si="59"/>
        <v>1</v>
      </c>
      <c r="R77" s="374">
        <f t="shared" si="60"/>
        <v>1</v>
      </c>
      <c r="S77" s="374">
        <f t="shared" si="61"/>
        <v>1</v>
      </c>
      <c r="T77" s="374">
        <f t="shared" si="62"/>
        <v>1</v>
      </c>
      <c r="U77" s="374" t="str">
        <f t="shared" si="58"/>
        <v/>
      </c>
      <c r="V77" s="374" t="str">
        <f t="shared" si="63"/>
        <v/>
      </c>
      <c r="W77" s="374" t="str">
        <f t="shared" si="64"/>
        <v/>
      </c>
      <c r="X77" s="374" t="str">
        <f t="shared" si="65"/>
        <v/>
      </c>
      <c r="Y77" s="374" t="str">
        <f t="shared" si="66"/>
        <v/>
      </c>
      <c r="Z77" s="374" t="str">
        <f t="shared" si="44"/>
        <v/>
      </c>
      <c r="AA77" s="374" t="str">
        <f t="shared" si="45"/>
        <v/>
      </c>
      <c r="AB77" s="374" t="str">
        <f t="shared" si="46"/>
        <v/>
      </c>
      <c r="AC77" s="374" t="str">
        <f t="shared" si="47"/>
        <v/>
      </c>
      <c r="AD77" s="374" t="str">
        <f t="shared" si="48"/>
        <v/>
      </c>
      <c r="AE77" s="374">
        <f t="shared" si="49"/>
        <v>1</v>
      </c>
      <c r="AF77" s="374" t="str">
        <f t="shared" si="50"/>
        <v/>
      </c>
      <c r="AG77" s="374" t="str">
        <f t="shared" si="51"/>
        <v/>
      </c>
      <c r="AH77" s="374" t="str">
        <f t="shared" si="52"/>
        <v/>
      </c>
      <c r="AI77" s="374" t="str">
        <f t="shared" si="53"/>
        <v/>
      </c>
      <c r="AJ77" s="374" t="str">
        <f t="shared" si="54"/>
        <v/>
      </c>
      <c r="AK77" s="374" t="str">
        <f t="shared" si="55"/>
        <v/>
      </c>
      <c r="AL77" s="374" t="str">
        <f t="shared" si="56"/>
        <v/>
      </c>
      <c r="AM77" s="514" t="str">
        <f t="shared" si="57"/>
        <v/>
      </c>
      <c r="AP77" s="18">
        <v>1</v>
      </c>
      <c r="AU77" s="493">
        <v>1</v>
      </c>
      <c r="AZ77" s="499">
        <v>1</v>
      </c>
      <c r="BC77" s="493">
        <v>1</v>
      </c>
      <c r="BO77" s="503">
        <v>1</v>
      </c>
    </row>
    <row r="78" spans="1:77" x14ac:dyDescent="0.25">
      <c r="A78" s="1099"/>
      <c r="B78" s="551">
        <f ca="1">IFERROR(IF(P78&lt;&gt;1,select!$A$8,rand!C78),"")</f>
        <v>5</v>
      </c>
      <c r="C78" s="413">
        <v>5</v>
      </c>
      <c r="D78" s="71">
        <f ca="1">IF($D$96=1,IF($D$3=1,IFERROR(OFFSET(P78,0,select!$M$1361),""),""),"")</f>
        <v>1</v>
      </c>
      <c r="E78" s="71" t="str">
        <f ca="1">IF($E$96=1,IF($E$3=1,IFERROR(OFFSET(P78,0,select!$M$1362),""),""),"")</f>
        <v/>
      </c>
      <c r="F78" s="71" t="str">
        <f ca="1">IF($F$96=1,IF($F$3=1,IFERROR(OFFSET(P78,0,select!$M$1363),""),""),"")</f>
        <v/>
      </c>
      <c r="G78" s="71">
        <f ca="1">IF($G$96=1,IF($G$3=1,IFERROR(OFFSET(P78,0,select!$M$1364),""),""),"")</f>
        <v>1</v>
      </c>
      <c r="H78" s="71">
        <f t="shared" ca="1" si="39"/>
        <v>1</v>
      </c>
      <c r="I78" s="71">
        <f>IF(C78=Konfig!$O$25,1,0)</f>
        <v>0</v>
      </c>
      <c r="J78" s="71">
        <f>IF(Konfig!$O$25&lt;=rand!C78,1,0)</f>
        <v>0</v>
      </c>
      <c r="K78" s="71" t="str">
        <f t="shared" ca="1" si="40"/>
        <v/>
      </c>
      <c r="L78" s="71">
        <f>IF(Konfig!$O$25&gt;=rand!C78,1,0)</f>
        <v>1</v>
      </c>
      <c r="M78" s="71" t="str">
        <f t="shared" ca="1" si="41"/>
        <v/>
      </c>
      <c r="N78" s="71" t="str">
        <f t="shared" ca="1" si="42"/>
        <v/>
      </c>
      <c r="O78" s="71">
        <f t="shared" ca="1" si="43"/>
        <v>0</v>
      </c>
      <c r="P78" s="71">
        <f ca="1">IF(Konfig!$O$25="*",H78,IF($O$37=1,O78,N78))</f>
        <v>1</v>
      </c>
      <c r="Q78" s="374">
        <f t="shared" si="59"/>
        <v>1</v>
      </c>
      <c r="R78" s="374">
        <f t="shared" si="60"/>
        <v>1</v>
      </c>
      <c r="S78" s="374">
        <f t="shared" si="61"/>
        <v>1</v>
      </c>
      <c r="T78" s="374">
        <f t="shared" si="62"/>
        <v>1</v>
      </c>
      <c r="U78" s="374" t="str">
        <f t="shared" si="58"/>
        <v/>
      </c>
      <c r="V78" s="374" t="str">
        <f t="shared" si="63"/>
        <v/>
      </c>
      <c r="W78" s="374" t="str">
        <f t="shared" si="64"/>
        <v/>
      </c>
      <c r="X78" s="374" t="str">
        <f t="shared" si="65"/>
        <v/>
      </c>
      <c r="Y78" s="374" t="str">
        <f t="shared" si="66"/>
        <v/>
      </c>
      <c r="Z78" s="374" t="str">
        <f t="shared" si="44"/>
        <v/>
      </c>
      <c r="AA78" s="374" t="str">
        <f t="shared" si="45"/>
        <v/>
      </c>
      <c r="AB78" s="374" t="str">
        <f t="shared" si="46"/>
        <v/>
      </c>
      <c r="AC78" s="374" t="str">
        <f t="shared" si="47"/>
        <v/>
      </c>
      <c r="AD78" s="374" t="str">
        <f t="shared" si="48"/>
        <v/>
      </c>
      <c r="AE78" s="374">
        <f t="shared" si="49"/>
        <v>1</v>
      </c>
      <c r="AF78" s="374" t="str">
        <f t="shared" si="50"/>
        <v/>
      </c>
      <c r="AG78" s="374" t="str">
        <f t="shared" si="51"/>
        <v/>
      </c>
      <c r="AH78" s="374" t="str">
        <f t="shared" si="52"/>
        <v/>
      </c>
      <c r="AI78" s="374">
        <f t="shared" si="53"/>
        <v>1</v>
      </c>
      <c r="AJ78" s="374" t="str">
        <f t="shared" si="54"/>
        <v/>
      </c>
      <c r="AK78" s="374" t="str">
        <f t="shared" si="55"/>
        <v/>
      </c>
      <c r="AL78" s="374" t="str">
        <f t="shared" si="56"/>
        <v/>
      </c>
      <c r="AM78" s="514" t="str">
        <f t="shared" si="57"/>
        <v/>
      </c>
      <c r="AP78" s="18">
        <v>1</v>
      </c>
      <c r="AU78" s="493">
        <v>1</v>
      </c>
      <c r="AZ78" s="499">
        <v>1</v>
      </c>
      <c r="BC78" s="493">
        <v>1</v>
      </c>
      <c r="BO78" s="503">
        <v>1</v>
      </c>
      <c r="BS78" s="503">
        <v>1</v>
      </c>
    </row>
    <row r="79" spans="1:77" x14ac:dyDescent="0.25">
      <c r="A79" s="1099"/>
      <c r="B79" s="551" t="str">
        <f ca="1">IFERROR(IF(P79&lt;&gt;1,select!$A$8,rand!C79),"")</f>
        <v>---------</v>
      </c>
      <c r="C79" s="413">
        <v>4.5</v>
      </c>
      <c r="D79" s="71" t="str">
        <f ca="1">IF($D$96=1,IF($D$3=1,IFERROR(OFFSET(P79,0,select!$M$1361),""),""),"")</f>
        <v/>
      </c>
      <c r="E79" s="71" t="str">
        <f ca="1">IF($E$96=1,IF($E$3=1,IFERROR(OFFSET(P79,0,select!$M$1362),""),""),"")</f>
        <v/>
      </c>
      <c r="F79" s="71" t="str">
        <f ca="1">IF($F$96=1,IF($F$3=1,IFERROR(OFFSET(P79,0,select!$M$1363),""),""),"")</f>
        <v/>
      </c>
      <c r="G79" s="71" t="str">
        <f ca="1">IF($G$96=1,IF($G$3=1,IFERROR(OFFSET(P79,0,select!$M$1364),""),""),"")</f>
        <v/>
      </c>
      <c r="H79" s="71">
        <f t="shared" ca="1" si="39"/>
        <v>0</v>
      </c>
      <c r="I79" s="71">
        <f>IF(C79=Konfig!$O$25,1,0)</f>
        <v>0</v>
      </c>
      <c r="J79" s="71">
        <f>IF(Konfig!$O$25&lt;=rand!C79,1,0)</f>
        <v>0</v>
      </c>
      <c r="K79" s="71" t="str">
        <f t="shared" ca="1" si="40"/>
        <v/>
      </c>
      <c r="L79" s="71">
        <f>IF(Konfig!$O$25&gt;=rand!C79,1,0)</f>
        <v>1</v>
      </c>
      <c r="M79" s="71" t="str">
        <f t="shared" ca="1" si="41"/>
        <v/>
      </c>
      <c r="N79" s="71" t="str">
        <f t="shared" ca="1" si="42"/>
        <v/>
      </c>
      <c r="O79" s="71">
        <f t="shared" ca="1" si="43"/>
        <v>0</v>
      </c>
      <c r="P79" s="71">
        <f ca="1">IF(Konfig!$O$25="*",H79,IF($O$37=1,O79,N79))</f>
        <v>0</v>
      </c>
      <c r="Q79" s="374" t="str">
        <f t="shared" si="59"/>
        <v/>
      </c>
      <c r="R79" s="374" t="str">
        <f t="shared" si="60"/>
        <v/>
      </c>
      <c r="S79" s="374" t="str">
        <f t="shared" si="61"/>
        <v/>
      </c>
      <c r="T79" s="374" t="str">
        <f t="shared" si="62"/>
        <v/>
      </c>
      <c r="U79" s="374" t="str">
        <f t="shared" si="58"/>
        <v/>
      </c>
      <c r="V79" s="374" t="str">
        <f t="shared" si="63"/>
        <v/>
      </c>
      <c r="W79" s="374" t="str">
        <f t="shared" si="64"/>
        <v/>
      </c>
      <c r="X79" s="374" t="str">
        <f t="shared" si="65"/>
        <v/>
      </c>
      <c r="Y79" s="374" t="str">
        <f t="shared" si="66"/>
        <v/>
      </c>
      <c r="Z79" s="374" t="str">
        <f t="shared" si="44"/>
        <v/>
      </c>
      <c r="AA79" s="374" t="str">
        <f t="shared" si="45"/>
        <v/>
      </c>
      <c r="AB79" s="374" t="str">
        <f t="shared" si="46"/>
        <v/>
      </c>
      <c r="AC79" s="374" t="str">
        <f t="shared" si="47"/>
        <v/>
      </c>
      <c r="AD79" s="374" t="str">
        <f t="shared" si="48"/>
        <v/>
      </c>
      <c r="AE79" s="374">
        <f t="shared" si="49"/>
        <v>1</v>
      </c>
      <c r="AF79" s="374" t="str">
        <f t="shared" si="50"/>
        <v/>
      </c>
      <c r="AG79" s="374" t="str">
        <f t="shared" si="51"/>
        <v/>
      </c>
      <c r="AH79" s="374" t="str">
        <f t="shared" si="52"/>
        <v/>
      </c>
      <c r="AI79" s="374" t="str">
        <f t="shared" si="53"/>
        <v/>
      </c>
      <c r="AJ79" s="374" t="str">
        <f t="shared" si="54"/>
        <v/>
      </c>
      <c r="AK79" s="374" t="str">
        <f t="shared" si="55"/>
        <v/>
      </c>
      <c r="AL79" s="374" t="str">
        <f t="shared" si="56"/>
        <v/>
      </c>
      <c r="AM79" s="514" t="str">
        <f t="shared" si="57"/>
        <v/>
      </c>
      <c r="BO79" s="503">
        <v>1</v>
      </c>
    </row>
    <row r="80" spans="1:77" x14ac:dyDescent="0.25">
      <c r="A80" s="1099"/>
      <c r="B80" s="551">
        <f ca="1">IFERROR(IF(P80&lt;&gt;1,select!$A$8,rand!C80),"")</f>
        <v>4</v>
      </c>
      <c r="C80" s="413">
        <v>4</v>
      </c>
      <c r="D80" s="71" t="str">
        <f ca="1">IF($D$96=1,IF($D$3=1,IFERROR(OFFSET(P80,0,select!$M$1361),""),""),"")</f>
        <v/>
      </c>
      <c r="E80" s="71" t="str">
        <f ca="1">IF($E$96=1,IF($E$3=1,IFERROR(OFFSET(P80,0,select!$M$1362),""),""),"")</f>
        <v/>
      </c>
      <c r="F80" s="71" t="str">
        <f ca="1">IF($F$96=1,IF($F$3=1,IFERROR(OFFSET(P80,0,select!$M$1363),""),""),"")</f>
        <v/>
      </c>
      <c r="G80" s="71">
        <f ca="1">IF($G$96=1,IF($G$3=1,IFERROR(OFFSET(P80,0,select!$M$1364),""),""),"")</f>
        <v>1</v>
      </c>
      <c r="H80" s="71">
        <f t="shared" ca="1" si="39"/>
        <v>1</v>
      </c>
      <c r="I80" s="71">
        <f>IF(C80=Konfig!$O$25,1,0)</f>
        <v>0</v>
      </c>
      <c r="J80" s="71">
        <f>IF(Konfig!$O$25&lt;=rand!C80,1,0)</f>
        <v>0</v>
      </c>
      <c r="K80" s="71" t="str">
        <f t="shared" ca="1" si="40"/>
        <v/>
      </c>
      <c r="L80" s="71">
        <f>IF(Konfig!$O$25&gt;=rand!C80,1,0)</f>
        <v>1</v>
      </c>
      <c r="M80" s="71">
        <f t="shared" ca="1" si="41"/>
        <v>4</v>
      </c>
      <c r="N80" s="71" t="str">
        <f t="shared" ca="1" si="42"/>
        <v/>
      </c>
      <c r="O80" s="71">
        <f t="shared" ca="1" si="43"/>
        <v>0</v>
      </c>
      <c r="P80" s="71">
        <f ca="1">IF(Konfig!$O$25="*",H80,IF($O$37=1,O80,N80))</f>
        <v>1</v>
      </c>
      <c r="Q80" s="374" t="str">
        <f t="shared" si="59"/>
        <v/>
      </c>
      <c r="R80" s="374" t="str">
        <f t="shared" si="60"/>
        <v/>
      </c>
      <c r="S80" s="374" t="str">
        <f t="shared" si="61"/>
        <v/>
      </c>
      <c r="T80" s="374" t="str">
        <f t="shared" si="62"/>
        <v/>
      </c>
      <c r="U80" s="374" t="str">
        <f t="shared" si="58"/>
        <v/>
      </c>
      <c r="V80" s="374" t="str">
        <f t="shared" si="63"/>
        <v/>
      </c>
      <c r="W80" s="374" t="str">
        <f t="shared" si="64"/>
        <v/>
      </c>
      <c r="X80" s="374" t="str">
        <f t="shared" si="65"/>
        <v/>
      </c>
      <c r="Y80" s="374" t="str">
        <f t="shared" si="66"/>
        <v/>
      </c>
      <c r="Z80" s="374" t="str">
        <f t="shared" si="44"/>
        <v/>
      </c>
      <c r="AA80" s="374" t="str">
        <f t="shared" si="45"/>
        <v/>
      </c>
      <c r="AB80" s="374" t="str">
        <f t="shared" si="46"/>
        <v/>
      </c>
      <c r="AC80" s="374" t="str">
        <f t="shared" si="47"/>
        <v/>
      </c>
      <c r="AD80" s="374" t="str">
        <f t="shared" si="48"/>
        <v/>
      </c>
      <c r="AE80" s="374">
        <f t="shared" si="49"/>
        <v>1</v>
      </c>
      <c r="AF80" s="374" t="str">
        <f t="shared" si="50"/>
        <v/>
      </c>
      <c r="AG80" s="374" t="str">
        <f t="shared" si="51"/>
        <v/>
      </c>
      <c r="AH80" s="374" t="str">
        <f t="shared" si="52"/>
        <v/>
      </c>
      <c r="AI80" s="374">
        <f t="shared" si="53"/>
        <v>1</v>
      </c>
      <c r="AJ80" s="374" t="str">
        <f t="shared" si="54"/>
        <v/>
      </c>
      <c r="AK80" s="374" t="str">
        <f t="shared" si="55"/>
        <v/>
      </c>
      <c r="AL80" s="374" t="str">
        <f t="shared" si="56"/>
        <v/>
      </c>
      <c r="AM80" s="514" t="str">
        <f t="shared" si="57"/>
        <v/>
      </c>
      <c r="BO80" s="503">
        <v>1</v>
      </c>
      <c r="BS80" s="503">
        <v>1</v>
      </c>
    </row>
    <row r="81" spans="1:78" x14ac:dyDescent="0.25">
      <c r="A81" s="1099"/>
      <c r="B81" s="551" t="str">
        <f ca="1">IFERROR(IF(P81&lt;&gt;1,select!$A$8,rand!C81),"")</f>
        <v>---------</v>
      </c>
      <c r="C81" s="413">
        <v>3.5</v>
      </c>
      <c r="D81" s="71" t="str">
        <f ca="1">IF($D$96=1,IF($D$3=1,IFERROR(OFFSET(P81,0,select!$M$1361),""),""),"")</f>
        <v/>
      </c>
      <c r="E81" s="71" t="str">
        <f ca="1">IF($E$96=1,IF($E$3=1,IFERROR(OFFSET(P81,0,select!$M$1362),""),""),"")</f>
        <v/>
      </c>
      <c r="F81" s="71" t="str">
        <f ca="1">IF($F$96=1,IF($F$3=1,IFERROR(OFFSET(P81,0,select!$M$1363),""),""),"")</f>
        <v/>
      </c>
      <c r="G81" s="71" t="str">
        <f ca="1">IF($G$96=1,IF($G$3=1,IFERROR(OFFSET(P81,0,select!$M$1364),""),""),"")</f>
        <v/>
      </c>
      <c r="H81" s="71">
        <f t="shared" ca="1" si="39"/>
        <v>0</v>
      </c>
      <c r="I81" s="71">
        <f>IF(C81=Konfig!$O$25,1,0)</f>
        <v>0</v>
      </c>
      <c r="J81" s="71">
        <f>IF(Konfig!$O$25&lt;=rand!C81,1,0)</f>
        <v>0</v>
      </c>
      <c r="K81" s="71" t="str">
        <f t="shared" ca="1" si="40"/>
        <v/>
      </c>
      <c r="L81" s="71">
        <f>IF(Konfig!$O$25&gt;=rand!C81,1,0)</f>
        <v>1</v>
      </c>
      <c r="M81" s="71" t="str">
        <f t="shared" ca="1" si="41"/>
        <v/>
      </c>
      <c r="N81" s="71" t="str">
        <f t="shared" ca="1" si="42"/>
        <v/>
      </c>
      <c r="O81" s="71">
        <f t="shared" ca="1" si="43"/>
        <v>0</v>
      </c>
      <c r="P81" s="71">
        <f ca="1">IF(Konfig!$O$25="*",H81,IF($O$37=1,O81,N81))</f>
        <v>0</v>
      </c>
      <c r="Q81" s="374" t="str">
        <f t="shared" si="59"/>
        <v/>
      </c>
      <c r="R81" s="374" t="str">
        <f t="shared" si="60"/>
        <v/>
      </c>
      <c r="S81" s="374" t="str">
        <f t="shared" si="61"/>
        <v/>
      </c>
      <c r="T81" s="374" t="str">
        <f t="shared" si="62"/>
        <v/>
      </c>
      <c r="U81" s="374" t="str">
        <f t="shared" si="58"/>
        <v/>
      </c>
      <c r="V81" s="374" t="str">
        <f t="shared" si="63"/>
        <v/>
      </c>
      <c r="W81" s="374" t="str">
        <f t="shared" si="64"/>
        <v/>
      </c>
      <c r="X81" s="374" t="str">
        <f t="shared" si="65"/>
        <v/>
      </c>
      <c r="Y81" s="374" t="str">
        <f t="shared" si="66"/>
        <v/>
      </c>
      <c r="Z81" s="374" t="str">
        <f t="shared" si="44"/>
        <v/>
      </c>
      <c r="AA81" s="374" t="str">
        <f t="shared" si="45"/>
        <v/>
      </c>
      <c r="AB81" s="374" t="str">
        <f t="shared" si="46"/>
        <v/>
      </c>
      <c r="AC81" s="374" t="str">
        <f t="shared" si="47"/>
        <v/>
      </c>
      <c r="AD81" s="374" t="str">
        <f t="shared" si="48"/>
        <v/>
      </c>
      <c r="AE81" s="374">
        <f t="shared" si="49"/>
        <v>1</v>
      </c>
      <c r="AF81" s="374" t="str">
        <f t="shared" si="50"/>
        <v/>
      </c>
      <c r="AG81" s="374" t="str">
        <f t="shared" si="51"/>
        <v/>
      </c>
      <c r="AH81" s="374" t="str">
        <f t="shared" si="52"/>
        <v/>
      </c>
      <c r="AI81" s="374" t="str">
        <f t="shared" si="53"/>
        <v/>
      </c>
      <c r="AJ81" s="374" t="str">
        <f t="shared" si="54"/>
        <v/>
      </c>
      <c r="AK81" s="374" t="str">
        <f t="shared" si="55"/>
        <v/>
      </c>
      <c r="AL81" s="374" t="str">
        <f t="shared" si="56"/>
        <v/>
      </c>
      <c r="AM81" s="514" t="str">
        <f t="shared" si="57"/>
        <v/>
      </c>
      <c r="BO81" s="503">
        <v>1</v>
      </c>
    </row>
    <row r="82" spans="1:78" x14ac:dyDescent="0.25">
      <c r="A82" s="1099"/>
      <c r="B82" s="551" t="str">
        <f ca="1">IFERROR(IF(P82&lt;&gt;1,select!$A$8,rand!C82),"")</f>
        <v>---------</v>
      </c>
      <c r="C82" s="413">
        <v>3</v>
      </c>
      <c r="D82" s="71" t="str">
        <f ca="1">IF($D$96=1,IF($D$3=1,IFERROR(OFFSET(P82,0,select!$M$1361),""),""),"")</f>
        <v/>
      </c>
      <c r="E82" s="71" t="str">
        <f ca="1">IF($E$96=1,IF($E$3=1,IFERROR(OFFSET(P82,0,select!$M$1362),""),""),"")</f>
        <v/>
      </c>
      <c r="F82" s="71" t="str">
        <f ca="1">IF($F$96=1,IF($F$3=1,IFERROR(OFFSET(P82,0,select!$M$1363),""),""),"")</f>
        <v/>
      </c>
      <c r="G82" s="71" t="str">
        <f ca="1">IF($G$96=1,IF($G$3=1,IFERROR(OFFSET(P82,0,select!$M$1364),""),""),"")</f>
        <v/>
      </c>
      <c r="H82" s="71">
        <f t="shared" ca="1" si="39"/>
        <v>0</v>
      </c>
      <c r="I82" s="71">
        <f>IF(C82=Konfig!$O$25,1,0)</f>
        <v>0</v>
      </c>
      <c r="J82" s="71">
        <f>IF(Konfig!$O$25&lt;=rand!C82,1,0)</f>
        <v>0</v>
      </c>
      <c r="K82" s="71" t="str">
        <f t="shared" ca="1" si="40"/>
        <v/>
      </c>
      <c r="L82" s="71">
        <f>IF(Konfig!$O$25&gt;=rand!C82,1,0)</f>
        <v>1</v>
      </c>
      <c r="M82" s="71" t="str">
        <f t="shared" ca="1" si="41"/>
        <v/>
      </c>
      <c r="N82" s="71" t="str">
        <f t="shared" ca="1" si="42"/>
        <v/>
      </c>
      <c r="O82" s="71">
        <f t="shared" ca="1" si="43"/>
        <v>0</v>
      </c>
      <c r="P82" s="71">
        <f ca="1">IF(Konfig!$O$25="*",H82,IF($O$37=1,O82,N82))</f>
        <v>0</v>
      </c>
      <c r="Q82" s="374" t="str">
        <f t="shared" si="59"/>
        <v/>
      </c>
      <c r="R82" s="374" t="str">
        <f t="shared" si="60"/>
        <v/>
      </c>
      <c r="S82" s="374" t="str">
        <f t="shared" si="61"/>
        <v/>
      </c>
      <c r="T82" s="374" t="str">
        <f t="shared" si="62"/>
        <v/>
      </c>
      <c r="U82" s="374" t="str">
        <f t="shared" si="58"/>
        <v/>
      </c>
      <c r="V82" s="374" t="str">
        <f t="shared" si="63"/>
        <v/>
      </c>
      <c r="W82" s="374" t="str">
        <f t="shared" si="64"/>
        <v/>
      </c>
      <c r="X82" s="374" t="str">
        <f t="shared" si="65"/>
        <v/>
      </c>
      <c r="Y82" s="374" t="str">
        <f t="shared" si="66"/>
        <v/>
      </c>
      <c r="Z82" s="374" t="str">
        <f t="shared" si="44"/>
        <v/>
      </c>
      <c r="AA82" s="374" t="str">
        <f t="shared" si="45"/>
        <v/>
      </c>
      <c r="AB82" s="374" t="str">
        <f t="shared" si="46"/>
        <v/>
      </c>
      <c r="AC82" s="374" t="str">
        <f t="shared" si="47"/>
        <v/>
      </c>
      <c r="AD82" s="374" t="str">
        <f t="shared" si="48"/>
        <v/>
      </c>
      <c r="AE82" s="374">
        <f t="shared" si="49"/>
        <v>1</v>
      </c>
      <c r="AF82" s="374" t="str">
        <f t="shared" si="50"/>
        <v/>
      </c>
      <c r="AG82" s="374" t="str">
        <f t="shared" si="51"/>
        <v/>
      </c>
      <c r="AH82" s="374" t="str">
        <f t="shared" si="52"/>
        <v/>
      </c>
      <c r="AI82" s="374" t="str">
        <f t="shared" si="53"/>
        <v/>
      </c>
      <c r="AJ82" s="374" t="str">
        <f t="shared" si="54"/>
        <v/>
      </c>
      <c r="AK82" s="374" t="str">
        <f t="shared" si="55"/>
        <v/>
      </c>
      <c r="AL82" s="374" t="str">
        <f t="shared" si="56"/>
        <v/>
      </c>
      <c r="AM82" s="514" t="str">
        <f t="shared" si="57"/>
        <v/>
      </c>
      <c r="BO82" s="503">
        <v>1</v>
      </c>
    </row>
    <row r="83" spans="1:78" x14ac:dyDescent="0.25">
      <c r="A83" s="1099"/>
      <c r="B83" s="551" t="str">
        <f ca="1">IFERROR(IF(P83&lt;&gt;1,select!$A$8,rand!C83),"")</f>
        <v>---------</v>
      </c>
      <c r="C83" s="413">
        <v>2.5</v>
      </c>
      <c r="D83" s="71" t="str">
        <f ca="1">IF($D$96=1,IF($D$3=1,IFERROR(OFFSET(P83,0,select!$M$1361),""),""),"")</f>
        <v/>
      </c>
      <c r="E83" s="71" t="str">
        <f ca="1">IF($E$96=1,IF($E$3=1,IFERROR(OFFSET(P83,0,select!$M$1362),""),""),"")</f>
        <v/>
      </c>
      <c r="F83" s="71" t="str">
        <f ca="1">IF($F$96=1,IF($F$3=1,IFERROR(OFFSET(P83,0,select!$M$1363),""),""),"")</f>
        <v/>
      </c>
      <c r="G83" s="71" t="str">
        <f ca="1">IF($G$96=1,IF($G$3=1,IFERROR(OFFSET(P83,0,select!$M$1364),""),""),"")</f>
        <v/>
      </c>
      <c r="H83" s="71">
        <f t="shared" ca="1" si="39"/>
        <v>0</v>
      </c>
      <c r="I83" s="71">
        <f>IF(C83=Konfig!$O$25,1,0)</f>
        <v>0</v>
      </c>
      <c r="J83" s="71">
        <f>IF(Konfig!$O$25&lt;=rand!C83,1,0)</f>
        <v>0</v>
      </c>
      <c r="K83" s="71" t="str">
        <f t="shared" ca="1" si="40"/>
        <v/>
      </c>
      <c r="L83" s="71">
        <f>IF(Konfig!$O$25&gt;=rand!C83,1,0)</f>
        <v>1</v>
      </c>
      <c r="M83" s="71" t="str">
        <f t="shared" ca="1" si="41"/>
        <v/>
      </c>
      <c r="N83" s="71" t="str">
        <f t="shared" ca="1" si="42"/>
        <v/>
      </c>
      <c r="O83" s="71">
        <f t="shared" ca="1" si="43"/>
        <v>0</v>
      </c>
      <c r="P83" s="71">
        <f ca="1">IF(Konfig!$O$25="*",H83,IF($O$37=1,O83,N83))</f>
        <v>0</v>
      </c>
      <c r="Q83" s="374" t="str">
        <f t="shared" si="59"/>
        <v/>
      </c>
      <c r="R83" s="374" t="str">
        <f t="shared" si="60"/>
        <v/>
      </c>
      <c r="S83" s="374" t="str">
        <f t="shared" si="61"/>
        <v/>
      </c>
      <c r="T83" s="374" t="str">
        <f t="shared" si="62"/>
        <v/>
      </c>
      <c r="U83" s="374" t="str">
        <f t="shared" si="58"/>
        <v/>
      </c>
      <c r="V83" s="374" t="str">
        <f t="shared" si="63"/>
        <v/>
      </c>
      <c r="W83" s="374" t="str">
        <f t="shared" si="64"/>
        <v/>
      </c>
      <c r="X83" s="374" t="str">
        <f t="shared" si="65"/>
        <v/>
      </c>
      <c r="Y83" s="374" t="str">
        <f t="shared" si="66"/>
        <v/>
      </c>
      <c r="Z83" s="374" t="str">
        <f t="shared" si="44"/>
        <v/>
      </c>
      <c r="AA83" s="374" t="str">
        <f t="shared" si="45"/>
        <v/>
      </c>
      <c r="AB83" s="374" t="str">
        <f t="shared" si="46"/>
        <v/>
      </c>
      <c r="AC83" s="374" t="str">
        <f t="shared" si="47"/>
        <v/>
      </c>
      <c r="AD83" s="374" t="str">
        <f t="shared" si="48"/>
        <v/>
      </c>
      <c r="AE83" s="374" t="str">
        <f t="shared" si="49"/>
        <v/>
      </c>
      <c r="AF83" s="374" t="str">
        <f t="shared" si="50"/>
        <v/>
      </c>
      <c r="AG83" s="374" t="str">
        <f t="shared" si="51"/>
        <v/>
      </c>
      <c r="AH83" s="374" t="str">
        <f t="shared" si="52"/>
        <v/>
      </c>
      <c r="AI83" s="374" t="str">
        <f t="shared" si="53"/>
        <v/>
      </c>
      <c r="AJ83" s="374" t="str">
        <f t="shared" si="54"/>
        <v/>
      </c>
      <c r="AK83" s="374" t="str">
        <f t="shared" si="55"/>
        <v/>
      </c>
      <c r="AL83" s="374" t="str">
        <f t="shared" si="56"/>
        <v/>
      </c>
      <c r="AM83" s="514" t="str">
        <f t="shared" si="57"/>
        <v/>
      </c>
    </row>
    <row r="84" spans="1:78" x14ac:dyDescent="0.25">
      <c r="A84" s="1099"/>
      <c r="B84" s="551" t="str">
        <f ca="1">IFERROR(IF(P84&lt;&gt;1,select!$A$8,rand!C84),"")</f>
        <v>---------</v>
      </c>
      <c r="C84" s="413">
        <v>2</v>
      </c>
      <c r="D84" s="71" t="str">
        <f ca="1">IF($D$96=1,IF($D$3=1,IFERROR(OFFSET(P84,0,select!$M$1361),""),""),"")</f>
        <v/>
      </c>
      <c r="E84" s="71" t="str">
        <f ca="1">IF($E$96=1,IF($E$3=1,IFERROR(OFFSET(P84,0,select!$M$1362),""),""),"")</f>
        <v/>
      </c>
      <c r="F84" s="71" t="str">
        <f ca="1">IF($F$96=1,IF($F$3=1,IFERROR(OFFSET(P84,0,select!$M$1363),""),""),"")</f>
        <v/>
      </c>
      <c r="G84" s="71" t="str">
        <f ca="1">IF($G$96=1,IF($G$3=1,IFERROR(OFFSET(P84,0,select!$M$1364),""),""),"")</f>
        <v/>
      </c>
      <c r="H84" s="71">
        <f t="shared" ca="1" si="39"/>
        <v>0</v>
      </c>
      <c r="I84" s="71">
        <f>IF(C84=Konfig!$O$25,1,0)</f>
        <v>0</v>
      </c>
      <c r="J84" s="71">
        <f>IF(Konfig!$O$25&lt;=rand!C84,1,0)</f>
        <v>0</v>
      </c>
      <c r="K84" s="71" t="str">
        <f t="shared" ca="1" si="40"/>
        <v/>
      </c>
      <c r="L84" s="71">
        <f>IF(Konfig!$O$25&gt;=rand!C84,1,0)</f>
        <v>1</v>
      </c>
      <c r="M84" s="71" t="str">
        <f t="shared" ca="1" si="41"/>
        <v/>
      </c>
      <c r="N84" s="71" t="str">
        <f t="shared" ca="1" si="42"/>
        <v/>
      </c>
      <c r="O84" s="71">
        <f t="shared" ca="1" si="43"/>
        <v>0</v>
      </c>
      <c r="P84" s="71">
        <f ca="1">IF(Konfig!$O$25="*",H84,IF($O$37=1,O84,N84))</f>
        <v>0</v>
      </c>
      <c r="Q84" s="374" t="str">
        <f t="shared" si="59"/>
        <v/>
      </c>
      <c r="R84" s="374" t="str">
        <f t="shared" si="60"/>
        <v/>
      </c>
      <c r="S84" s="374" t="str">
        <f t="shared" si="61"/>
        <v/>
      </c>
      <c r="T84" s="374" t="str">
        <f t="shared" si="62"/>
        <v/>
      </c>
      <c r="U84" s="374" t="str">
        <f t="shared" si="58"/>
        <v/>
      </c>
      <c r="V84" s="374" t="str">
        <f t="shared" si="63"/>
        <v/>
      </c>
      <c r="W84" s="374" t="str">
        <f t="shared" si="64"/>
        <v/>
      </c>
      <c r="X84" s="374" t="str">
        <f t="shared" si="65"/>
        <v/>
      </c>
      <c r="Y84" s="374" t="str">
        <f t="shared" si="66"/>
        <v/>
      </c>
      <c r="Z84" s="374" t="str">
        <f t="shared" si="44"/>
        <v/>
      </c>
      <c r="AA84" s="374" t="str">
        <f t="shared" si="45"/>
        <v/>
      </c>
      <c r="AB84" s="374" t="str">
        <f t="shared" si="46"/>
        <v/>
      </c>
      <c r="AC84" s="374" t="str">
        <f t="shared" si="47"/>
        <v/>
      </c>
      <c r="AD84" s="374" t="str">
        <f t="shared" si="48"/>
        <v/>
      </c>
      <c r="AE84" s="374">
        <f t="shared" si="49"/>
        <v>1</v>
      </c>
      <c r="AF84" s="374" t="str">
        <f t="shared" si="50"/>
        <v/>
      </c>
      <c r="AG84" s="374" t="str">
        <f t="shared" si="51"/>
        <v/>
      </c>
      <c r="AH84" s="374" t="str">
        <f t="shared" si="52"/>
        <v/>
      </c>
      <c r="AI84" s="374" t="str">
        <f t="shared" si="53"/>
        <v/>
      </c>
      <c r="AJ84" s="374" t="str">
        <f t="shared" si="54"/>
        <v/>
      </c>
      <c r="AK84" s="374" t="str">
        <f t="shared" si="55"/>
        <v/>
      </c>
      <c r="AL84" s="374" t="str">
        <f t="shared" si="56"/>
        <v/>
      </c>
      <c r="AM84" s="514" t="str">
        <f t="shared" si="57"/>
        <v/>
      </c>
      <c r="BO84" s="503">
        <v>1</v>
      </c>
    </row>
    <row r="85" spans="1:78" x14ac:dyDescent="0.25">
      <c r="A85" s="1099"/>
      <c r="B85" s="551" t="str">
        <f ca="1">IFERROR(IF(P85&lt;&gt;1,select!$A$8,rand!C85),"")</f>
        <v>---------</v>
      </c>
      <c r="C85" s="413">
        <v>1.5</v>
      </c>
      <c r="D85" s="71" t="str">
        <f ca="1">IF($D$96=1,IF($D$3=1,IFERROR(OFFSET(P85,0,select!$M$1361),""),""),"")</f>
        <v/>
      </c>
      <c r="E85" s="71" t="str">
        <f ca="1">IF($E$96=1,IF($E$3=1,IFERROR(OFFSET(P85,0,select!$M$1362),""),""),"")</f>
        <v/>
      </c>
      <c r="F85" s="71" t="str">
        <f ca="1">IF($F$96=1,IF($F$3=1,IFERROR(OFFSET(P85,0,select!$M$1363),""),""),"")</f>
        <v/>
      </c>
      <c r="G85" s="71" t="str">
        <f ca="1">IF($G$96=1,IF($G$3=1,IFERROR(OFFSET(P85,0,select!$M$1364),""),""),"")</f>
        <v/>
      </c>
      <c r="H85" s="71">
        <f t="shared" ca="1" si="39"/>
        <v>0</v>
      </c>
      <c r="I85" s="71">
        <f>IF(C85=Konfig!$O$25,1,0)</f>
        <v>0</v>
      </c>
      <c r="J85" s="71">
        <f>IF(Konfig!$O$25&lt;=rand!C85,1,0)</f>
        <v>0</v>
      </c>
      <c r="K85" s="71" t="str">
        <f t="shared" ca="1" si="40"/>
        <v/>
      </c>
      <c r="L85" s="71">
        <f>IF(Konfig!$O$25&gt;=rand!C85,1,0)</f>
        <v>1</v>
      </c>
      <c r="M85" s="71" t="str">
        <f t="shared" ca="1" si="41"/>
        <v/>
      </c>
      <c r="N85" s="71" t="str">
        <f t="shared" ca="1" si="42"/>
        <v/>
      </c>
      <c r="O85" s="71">
        <f t="shared" ca="1" si="43"/>
        <v>0</v>
      </c>
      <c r="P85" s="71">
        <f ca="1">IF(Konfig!$O$25="*",H85,IF($O$37=1,O85,N85))</f>
        <v>0</v>
      </c>
      <c r="Q85" s="374" t="str">
        <f t="shared" si="59"/>
        <v/>
      </c>
      <c r="R85" s="374" t="str">
        <f t="shared" si="60"/>
        <v/>
      </c>
      <c r="S85" s="374" t="str">
        <f t="shared" si="61"/>
        <v/>
      </c>
      <c r="T85" s="374" t="str">
        <f t="shared" si="62"/>
        <v/>
      </c>
      <c r="U85" s="374" t="str">
        <f t="shared" si="58"/>
        <v/>
      </c>
      <c r="V85" s="374" t="str">
        <f t="shared" si="63"/>
        <v/>
      </c>
      <c r="W85" s="374" t="str">
        <f t="shared" si="64"/>
        <v/>
      </c>
      <c r="X85" s="374" t="str">
        <f t="shared" si="65"/>
        <v/>
      </c>
      <c r="Y85" s="374" t="str">
        <f t="shared" si="66"/>
        <v/>
      </c>
      <c r="Z85" s="374" t="str">
        <f t="shared" si="44"/>
        <v/>
      </c>
      <c r="AA85" s="374" t="str">
        <f t="shared" si="45"/>
        <v/>
      </c>
      <c r="AB85" s="374" t="str">
        <f t="shared" si="46"/>
        <v/>
      </c>
      <c r="AC85" s="374" t="str">
        <f t="shared" si="47"/>
        <v/>
      </c>
      <c r="AD85" s="374" t="str">
        <f t="shared" si="48"/>
        <v/>
      </c>
      <c r="AE85" s="374" t="str">
        <f t="shared" si="49"/>
        <v/>
      </c>
      <c r="AF85" s="374" t="str">
        <f t="shared" si="50"/>
        <v/>
      </c>
      <c r="AG85" s="374" t="str">
        <f t="shared" si="51"/>
        <v/>
      </c>
      <c r="AH85" s="374" t="str">
        <f t="shared" si="52"/>
        <v/>
      </c>
      <c r="AI85" s="374" t="str">
        <f t="shared" si="53"/>
        <v/>
      </c>
      <c r="AJ85" s="374" t="str">
        <f t="shared" si="54"/>
        <v/>
      </c>
      <c r="AK85" s="374" t="str">
        <f t="shared" si="55"/>
        <v/>
      </c>
      <c r="AL85" s="374" t="str">
        <f t="shared" si="56"/>
        <v/>
      </c>
      <c r="AM85" s="514" t="str">
        <f t="shared" si="57"/>
        <v/>
      </c>
    </row>
    <row r="86" spans="1:78" x14ac:dyDescent="0.25">
      <c r="A86" s="1099"/>
      <c r="B86" s="551" t="str">
        <f ca="1">IFERROR(IF(P86&lt;&gt;1,select!$A$8,rand!C86),"")</f>
        <v>---------</v>
      </c>
      <c r="C86" s="413">
        <v>1</v>
      </c>
      <c r="D86" s="71" t="str">
        <f ca="1">IF($D$96=1,IF($D$3=1,IFERROR(OFFSET(P86,0,select!$M$1361),""),""),"")</f>
        <v/>
      </c>
      <c r="E86" s="71" t="str">
        <f ca="1">IF($E$96=1,IF($E$3=1,IFERROR(OFFSET(P86,0,select!$M$1362),""),""),"")</f>
        <v/>
      </c>
      <c r="F86" s="71" t="str">
        <f ca="1">IF($F$96=1,IF($F$3=1,IFERROR(OFFSET(P86,0,select!$M$1363),""),""),"")</f>
        <v/>
      </c>
      <c r="G86" s="71" t="str">
        <f ca="1">IF($G$96=1,IF($G$3=1,IFERROR(OFFSET(P86,0,select!$M$1364),""),""),"")</f>
        <v/>
      </c>
      <c r="H86" s="71">
        <f t="shared" ca="1" si="39"/>
        <v>0</v>
      </c>
      <c r="I86" s="71">
        <f>IF(C86=Konfig!$O$25,1,0)</f>
        <v>0</v>
      </c>
      <c r="J86" s="71">
        <f>IF(Konfig!$O$25&lt;=rand!C86,1,0)</f>
        <v>0</v>
      </c>
      <c r="K86" s="71" t="str">
        <f t="shared" ca="1" si="40"/>
        <v/>
      </c>
      <c r="L86" s="71">
        <f>IF(Konfig!$O$25&gt;=rand!C86,1,0)</f>
        <v>1</v>
      </c>
      <c r="M86" s="71" t="str">
        <f t="shared" ca="1" si="41"/>
        <v/>
      </c>
      <c r="N86" s="71" t="str">
        <f t="shared" ca="1" si="42"/>
        <v/>
      </c>
      <c r="O86" s="71">
        <f t="shared" ca="1" si="43"/>
        <v>0</v>
      </c>
      <c r="P86" s="71">
        <f ca="1">IF(Konfig!$O$25="*",H86,IF($O$37=1,O86,N86))</f>
        <v>0</v>
      </c>
      <c r="Q86" s="374" t="str">
        <f t="shared" si="59"/>
        <v/>
      </c>
      <c r="R86" s="374" t="str">
        <f>IF(SUM(AS86:AW86)&gt;0,1,"")</f>
        <v/>
      </c>
      <c r="S86" s="374" t="str">
        <f t="shared" si="61"/>
        <v/>
      </c>
      <c r="T86" s="374" t="str">
        <f t="shared" si="62"/>
        <v/>
      </c>
      <c r="U86" s="374" t="str">
        <f>IF(SUM(BE86)&gt;0,1,"")</f>
        <v/>
      </c>
      <c r="V86" s="374" t="str">
        <f t="shared" si="63"/>
        <v/>
      </c>
      <c r="W86" s="374" t="str">
        <f t="shared" si="64"/>
        <v/>
      </c>
      <c r="X86" s="374" t="str">
        <f t="shared" si="65"/>
        <v/>
      </c>
      <c r="Y86" s="374" t="str">
        <f t="shared" si="66"/>
        <v/>
      </c>
      <c r="Z86" s="374" t="str">
        <f t="shared" si="44"/>
        <v/>
      </c>
      <c r="AA86" s="374" t="str">
        <f t="shared" si="45"/>
        <v/>
      </c>
      <c r="AB86" s="374" t="str">
        <f t="shared" si="46"/>
        <v/>
      </c>
      <c r="AC86" s="374" t="str">
        <f t="shared" si="47"/>
        <v/>
      </c>
      <c r="AD86" s="374" t="str">
        <f t="shared" si="48"/>
        <v/>
      </c>
      <c r="AE86" s="374">
        <f t="shared" si="49"/>
        <v>1</v>
      </c>
      <c r="AF86" s="374" t="str">
        <f t="shared" si="50"/>
        <v/>
      </c>
      <c r="AG86" s="374" t="str">
        <f t="shared" si="51"/>
        <v/>
      </c>
      <c r="AH86" s="374" t="str">
        <f t="shared" si="52"/>
        <v/>
      </c>
      <c r="AI86" s="374" t="str">
        <f t="shared" si="53"/>
        <v/>
      </c>
      <c r="AJ86" s="374" t="str">
        <f t="shared" si="54"/>
        <v/>
      </c>
      <c r="AK86" s="374" t="str">
        <f t="shared" si="55"/>
        <v/>
      </c>
      <c r="AL86" s="374" t="str">
        <f t="shared" si="56"/>
        <v/>
      </c>
      <c r="AM86" s="514" t="str">
        <f t="shared" si="57"/>
        <v/>
      </c>
      <c r="BO86" s="503">
        <v>1</v>
      </c>
    </row>
    <row r="87" spans="1:78" x14ac:dyDescent="0.25">
      <c r="A87" s="1099"/>
      <c r="B87" s="551" t="str">
        <f ca="1">IFERROR(IF(P87&lt;&gt;1,select!$A$8,rand!C87),"")</f>
        <v>---------</v>
      </c>
      <c r="C87" s="413">
        <v>0.5</v>
      </c>
      <c r="D87" s="71" t="str">
        <f ca="1">IF($D$96=1,IF($D$3=1,IFERROR(OFFSET(P87,0,select!$M$1361),""),""),"")</f>
        <v/>
      </c>
      <c r="E87" s="71" t="str">
        <f ca="1">IF($E$96=1,IF($E$3=1,IFERROR(OFFSET(P87,0,select!$M$1362),""),""),"")</f>
        <v/>
      </c>
      <c r="F87" s="71" t="str">
        <f ca="1">IF($F$96=1,IF($F$3=1,IFERROR(OFFSET(P87,0,select!$M$1363),""),""),"")</f>
        <v/>
      </c>
      <c r="G87" s="71" t="str">
        <f ca="1">IF($G$96=1,IF($G$3=1,IFERROR(OFFSET(P87,0,select!$M$1364),""),""),"")</f>
        <v/>
      </c>
      <c r="H87" s="71">
        <f t="shared" ca="1" si="39"/>
        <v>0</v>
      </c>
      <c r="I87" s="71">
        <f>IF(C87=Konfig!$O$25,1,0)</f>
        <v>0</v>
      </c>
      <c r="J87" s="71">
        <f>IF(Konfig!$O$25&lt;=rand!C87,1,0)</f>
        <v>0</v>
      </c>
      <c r="K87" s="71" t="str">
        <f t="shared" ca="1" si="40"/>
        <v/>
      </c>
      <c r="L87" s="71">
        <f>IF(Konfig!$O$25&gt;=rand!C87,1,0)</f>
        <v>1</v>
      </c>
      <c r="M87" s="71" t="str">
        <f t="shared" ca="1" si="41"/>
        <v/>
      </c>
      <c r="N87" s="71" t="str">
        <f t="shared" ca="1" si="42"/>
        <v/>
      </c>
      <c r="O87" s="71">
        <f t="shared" ca="1" si="43"/>
        <v>0</v>
      </c>
      <c r="P87" s="71">
        <f ca="1">IF(Konfig!$O$25="*",H87,IF($O$37=1,O87,N87))</f>
        <v>0</v>
      </c>
      <c r="Q87" s="374" t="str">
        <f t="shared" si="59"/>
        <v/>
      </c>
      <c r="R87" s="374" t="str">
        <f t="shared" si="60"/>
        <v/>
      </c>
      <c r="S87" s="374" t="str">
        <f t="shared" si="61"/>
        <v/>
      </c>
      <c r="T87" s="374" t="str">
        <f t="shared" si="62"/>
        <v/>
      </c>
      <c r="U87" s="374" t="str">
        <f t="shared" ref="U87:U121" si="67">IF(SUM(BE87)&gt;0,1,"")</f>
        <v/>
      </c>
      <c r="V87" s="374" t="str">
        <f t="shared" si="63"/>
        <v/>
      </c>
      <c r="W87" s="374" t="str">
        <f t="shared" si="64"/>
        <v/>
      </c>
      <c r="X87" s="374" t="str">
        <f t="shared" si="65"/>
        <v/>
      </c>
      <c r="Y87" s="374" t="str">
        <f t="shared" si="66"/>
        <v/>
      </c>
      <c r="Z87" s="374" t="str">
        <f t="shared" si="44"/>
        <v/>
      </c>
      <c r="AA87" s="374" t="str">
        <f t="shared" si="45"/>
        <v/>
      </c>
      <c r="AB87" s="374" t="str">
        <f t="shared" si="46"/>
        <v/>
      </c>
      <c r="AC87" s="374" t="str">
        <f t="shared" si="47"/>
        <v/>
      </c>
      <c r="AD87" s="374" t="str">
        <f t="shared" si="48"/>
        <v/>
      </c>
      <c r="AE87" s="374" t="str">
        <f t="shared" si="49"/>
        <v/>
      </c>
      <c r="AF87" s="374" t="str">
        <f t="shared" si="50"/>
        <v/>
      </c>
      <c r="AG87" s="374" t="str">
        <f t="shared" si="51"/>
        <v/>
      </c>
      <c r="AH87" s="374" t="str">
        <f t="shared" si="52"/>
        <v/>
      </c>
      <c r="AI87" s="374" t="str">
        <f t="shared" si="53"/>
        <v/>
      </c>
      <c r="AJ87" s="374" t="str">
        <f t="shared" si="54"/>
        <v/>
      </c>
      <c r="AK87" s="374" t="str">
        <f t="shared" si="55"/>
        <v/>
      </c>
      <c r="AL87" s="374" t="str">
        <f t="shared" si="56"/>
        <v/>
      </c>
      <c r="AM87" s="514" t="str">
        <f t="shared" si="57"/>
        <v/>
      </c>
    </row>
    <row r="88" spans="1:78" x14ac:dyDescent="0.25">
      <c r="A88" s="1099"/>
      <c r="B88" s="551">
        <f ca="1">IFERROR(IF(P88&lt;&gt;1,select!$A$8,rand!C88),"")</f>
        <v>0</v>
      </c>
      <c r="C88" s="413">
        <v>0</v>
      </c>
      <c r="D88" s="71">
        <f ca="1">IF($D$96=1,IF($D$3=1,IFERROR(OFFSET(P88,0,select!$M$1361),""),""),"")</f>
        <v>1</v>
      </c>
      <c r="E88" s="71" t="str">
        <f ca="1">IF($E$96=1,IF($E$3=1,IFERROR(OFFSET(P88,0,select!$M$1362),""),""),"")</f>
        <v/>
      </c>
      <c r="F88" s="71" t="str">
        <f ca="1">IF($F$96=1,IF($F$3=1,IFERROR(OFFSET(P88,0,select!$M$1363),""),""),"")</f>
        <v/>
      </c>
      <c r="G88" s="71" t="str">
        <f ca="1">IF($G$96=1,IF($G$3=1,IFERROR(OFFSET(P88,0,select!$M$1364),""),""),"")</f>
        <v/>
      </c>
      <c r="H88" s="71">
        <f t="shared" ca="1" si="39"/>
        <v>1</v>
      </c>
      <c r="I88" s="71">
        <f>IF(C88=Konfig!$O$25,1,0)</f>
        <v>0</v>
      </c>
      <c r="J88" s="71">
        <f>IF(Konfig!$O$25&lt;=rand!C88,1,0)</f>
        <v>0</v>
      </c>
      <c r="K88" s="71" t="str">
        <f t="shared" ca="1" si="40"/>
        <v/>
      </c>
      <c r="L88" s="71">
        <f>IF(Konfig!$O$25&gt;=rand!C88,1,0)</f>
        <v>1</v>
      </c>
      <c r="M88" s="71">
        <f t="shared" ca="1" si="41"/>
        <v>0</v>
      </c>
      <c r="N88" s="71" t="str">
        <f t="shared" ca="1" si="42"/>
        <v/>
      </c>
      <c r="O88" s="71">
        <f t="shared" ca="1" si="43"/>
        <v>0</v>
      </c>
      <c r="P88" s="71">
        <f ca="1">IF(Konfig!$O$25="*",H88,IF($O$37=1,O88,N88))</f>
        <v>1</v>
      </c>
      <c r="Q88" s="374">
        <f t="shared" si="59"/>
        <v>1</v>
      </c>
      <c r="R88" s="374">
        <f t="shared" si="60"/>
        <v>1</v>
      </c>
      <c r="S88" s="374">
        <f t="shared" si="61"/>
        <v>1</v>
      </c>
      <c r="T88" s="374">
        <f t="shared" si="62"/>
        <v>1</v>
      </c>
      <c r="U88" s="374" t="str">
        <f t="shared" si="67"/>
        <v/>
      </c>
      <c r="V88" s="374" t="str">
        <f t="shared" si="63"/>
        <v/>
      </c>
      <c r="W88" s="374" t="str">
        <f t="shared" si="64"/>
        <v/>
      </c>
      <c r="X88" s="374" t="str">
        <f t="shared" si="65"/>
        <v/>
      </c>
      <c r="Y88" s="374" t="str">
        <f t="shared" si="66"/>
        <v/>
      </c>
      <c r="Z88" s="374" t="str">
        <f t="shared" si="44"/>
        <v/>
      </c>
      <c r="AA88" s="374" t="str">
        <f t="shared" si="45"/>
        <v/>
      </c>
      <c r="AB88" s="374" t="str">
        <f t="shared" si="46"/>
        <v/>
      </c>
      <c r="AC88" s="374" t="str">
        <f t="shared" si="47"/>
        <v/>
      </c>
      <c r="AD88" s="374" t="str">
        <f t="shared" si="48"/>
        <v/>
      </c>
      <c r="AE88" s="374">
        <f t="shared" si="49"/>
        <v>1</v>
      </c>
      <c r="AF88" s="374" t="str">
        <f t="shared" si="50"/>
        <v/>
      </c>
      <c r="AG88" s="374" t="str">
        <f t="shared" si="51"/>
        <v/>
      </c>
      <c r="AH88" s="374" t="str">
        <f t="shared" si="52"/>
        <v/>
      </c>
      <c r="AI88" s="374" t="str">
        <f t="shared" si="53"/>
        <v/>
      </c>
      <c r="AJ88" s="374" t="str">
        <f t="shared" si="54"/>
        <v/>
      </c>
      <c r="AK88" s="374" t="str">
        <f t="shared" si="55"/>
        <v/>
      </c>
      <c r="AL88" s="374" t="str">
        <f t="shared" si="56"/>
        <v/>
      </c>
      <c r="AM88" s="514">
        <f t="shared" si="57"/>
        <v>1</v>
      </c>
      <c r="AQ88" s="18">
        <v>1</v>
      </c>
      <c r="AV88" s="493">
        <v>1</v>
      </c>
      <c r="AX88" s="493">
        <v>1</v>
      </c>
      <c r="BD88" s="499">
        <v>1</v>
      </c>
      <c r="BO88" s="503">
        <v>1</v>
      </c>
      <c r="BZ88" s="499">
        <v>1</v>
      </c>
    </row>
    <row r="89" spans="1:78" x14ac:dyDescent="0.25">
      <c r="A89" s="1099"/>
      <c r="B89" s="551">
        <f ca="1">IFERROR(IF(P89&lt;&gt;1,select!$A$8,rand!C89),"")</f>
        <v>-0.5</v>
      </c>
      <c r="C89" s="413">
        <v>-0.5</v>
      </c>
      <c r="D89" s="71">
        <f ca="1">IF($D$96=1,IF($D$3=1,IFERROR(OFFSET(P89,0,select!$M$1361),""),""),"")</f>
        <v>1</v>
      </c>
      <c r="E89" s="71" t="str">
        <f ca="1">IF($E$96=1,IF($E$3=1,IFERROR(OFFSET(P89,0,select!$M$1362),""),""),"")</f>
        <v/>
      </c>
      <c r="F89" s="71" t="str">
        <f ca="1">IF($F$96=1,IF($F$3=1,IFERROR(OFFSET(P89,0,select!$M$1363),""),""),"")</f>
        <v/>
      </c>
      <c r="G89" s="71" t="str">
        <f ca="1">IF($G$96=1,IF($G$3=1,IFERROR(OFFSET(P89,0,select!$M$1364),""),""),"")</f>
        <v/>
      </c>
      <c r="H89" s="71">
        <f t="shared" ca="1" si="39"/>
        <v>1</v>
      </c>
      <c r="I89" s="71">
        <f>IF(C89=Konfig!$O$25,1,0)</f>
        <v>0</v>
      </c>
      <c r="J89" s="71">
        <f>IF(Konfig!$O$25&lt;=rand!C89,1,0)</f>
        <v>0</v>
      </c>
      <c r="K89" s="71" t="str">
        <f t="shared" ca="1" si="40"/>
        <v/>
      </c>
      <c r="L89" s="71">
        <f>IF(Konfig!$O$25&gt;=rand!C89,1,0)</f>
        <v>1</v>
      </c>
      <c r="M89" s="71" t="str">
        <f t="shared" ca="1" si="41"/>
        <v/>
      </c>
      <c r="N89" s="71" t="str">
        <f t="shared" ca="1" si="42"/>
        <v/>
      </c>
      <c r="O89" s="71">
        <f t="shared" ca="1" si="43"/>
        <v>0</v>
      </c>
      <c r="P89" s="71">
        <f ca="1">IF(Konfig!$O$25="*",H89,IF($O$37=1,O89,N89))</f>
        <v>1</v>
      </c>
      <c r="Q89" s="374">
        <f t="shared" si="59"/>
        <v>1</v>
      </c>
      <c r="R89" s="374">
        <f t="shared" si="60"/>
        <v>1</v>
      </c>
      <c r="S89" s="374">
        <f t="shared" si="61"/>
        <v>1</v>
      </c>
      <c r="T89" s="374">
        <f t="shared" si="62"/>
        <v>1</v>
      </c>
      <c r="U89" s="374" t="str">
        <f t="shared" si="67"/>
        <v/>
      </c>
      <c r="V89" s="374" t="str">
        <f t="shared" si="63"/>
        <v/>
      </c>
      <c r="W89" s="374" t="str">
        <f t="shared" si="64"/>
        <v/>
      </c>
      <c r="X89" s="374" t="str">
        <f t="shared" si="65"/>
        <v/>
      </c>
      <c r="Y89" s="374" t="str">
        <f t="shared" si="66"/>
        <v/>
      </c>
      <c r="Z89" s="374" t="str">
        <f t="shared" si="44"/>
        <v/>
      </c>
      <c r="AA89" s="374" t="str">
        <f t="shared" si="45"/>
        <v/>
      </c>
      <c r="AB89" s="374" t="str">
        <f t="shared" si="46"/>
        <v/>
      </c>
      <c r="AC89" s="374" t="str">
        <f t="shared" si="47"/>
        <v/>
      </c>
      <c r="AD89" s="374" t="str">
        <f t="shared" si="48"/>
        <v/>
      </c>
      <c r="AE89" s="374" t="str">
        <f t="shared" si="49"/>
        <v/>
      </c>
      <c r="AF89" s="374" t="str">
        <f t="shared" si="50"/>
        <v/>
      </c>
      <c r="AG89" s="374" t="str">
        <f t="shared" si="51"/>
        <v/>
      </c>
      <c r="AH89" s="374" t="str">
        <f t="shared" si="52"/>
        <v/>
      </c>
      <c r="AI89" s="374" t="str">
        <f t="shared" si="53"/>
        <v/>
      </c>
      <c r="AJ89" s="374" t="str">
        <f t="shared" si="54"/>
        <v/>
      </c>
      <c r="AK89" s="374" t="str">
        <f t="shared" si="55"/>
        <v/>
      </c>
      <c r="AL89" s="374" t="str">
        <f t="shared" si="56"/>
        <v/>
      </c>
      <c r="AM89" s="514" t="str">
        <f t="shared" si="57"/>
        <v/>
      </c>
      <c r="AQ89" s="18">
        <v>1</v>
      </c>
      <c r="AV89" s="493">
        <v>1</v>
      </c>
      <c r="AX89" s="493">
        <v>1</v>
      </c>
      <c r="BD89" s="499">
        <v>1</v>
      </c>
    </row>
    <row r="90" spans="1:78" x14ac:dyDescent="0.25">
      <c r="A90" s="1099"/>
      <c r="B90" s="551">
        <f ca="1">IFERROR(IF(P90&lt;&gt;1,select!$A$8,rand!C90),"")</f>
        <v>-1</v>
      </c>
      <c r="C90" s="413">
        <v>-1</v>
      </c>
      <c r="D90" s="71">
        <f ca="1">IF($D$96=1,IF($D$3=1,IFERROR(OFFSET(P90,0,select!$M$1361),""),""),"")</f>
        <v>1</v>
      </c>
      <c r="E90" s="71" t="str">
        <f ca="1">IF($E$96=1,IF($E$3=1,IFERROR(OFFSET(P90,0,select!$M$1362),""),""),"")</f>
        <v/>
      </c>
      <c r="F90" s="71" t="str">
        <f ca="1">IF($F$96=1,IF($F$3=1,IFERROR(OFFSET(P90,0,select!$M$1363),""),""),"")</f>
        <v/>
      </c>
      <c r="G90" s="71" t="str">
        <f ca="1">IF($G$96=1,IF($G$3=1,IFERROR(OFFSET(P90,0,select!$M$1364),""),""),"")</f>
        <v/>
      </c>
      <c r="H90" s="71">
        <f t="shared" ca="1" si="39"/>
        <v>1</v>
      </c>
      <c r="I90" s="71">
        <f>IF(C90=Konfig!$O$25,1,0)</f>
        <v>0</v>
      </c>
      <c r="J90" s="71">
        <f>IF(Konfig!$O$25&lt;=rand!C90,1,0)</f>
        <v>0</v>
      </c>
      <c r="K90" s="71" t="str">
        <f t="shared" ca="1" si="40"/>
        <v/>
      </c>
      <c r="L90" s="71">
        <f>IF(Konfig!$O$25&gt;=rand!C90,1,0)</f>
        <v>1</v>
      </c>
      <c r="M90" s="71" t="str">
        <f t="shared" ca="1" si="41"/>
        <v/>
      </c>
      <c r="N90" s="71" t="str">
        <f t="shared" ca="1" si="42"/>
        <v/>
      </c>
      <c r="O90" s="71">
        <f t="shared" ca="1" si="43"/>
        <v>0</v>
      </c>
      <c r="P90" s="71">
        <f ca="1">IF(Konfig!$O$25="*",H90,IF($O$37=1,O90,N90))</f>
        <v>1</v>
      </c>
      <c r="Q90" s="374">
        <f t="shared" si="59"/>
        <v>1</v>
      </c>
      <c r="R90" s="374">
        <f t="shared" si="60"/>
        <v>1</v>
      </c>
      <c r="S90" s="374">
        <f t="shared" si="61"/>
        <v>1</v>
      </c>
      <c r="T90" s="374">
        <f t="shared" si="62"/>
        <v>1</v>
      </c>
      <c r="U90" s="374" t="str">
        <f t="shared" si="67"/>
        <v/>
      </c>
      <c r="V90" s="374" t="str">
        <f t="shared" si="63"/>
        <v/>
      </c>
      <c r="W90" s="374" t="str">
        <f t="shared" si="64"/>
        <v/>
      </c>
      <c r="X90" s="374" t="str">
        <f t="shared" si="65"/>
        <v/>
      </c>
      <c r="Y90" s="374" t="str">
        <f t="shared" si="66"/>
        <v/>
      </c>
      <c r="Z90" s="374" t="str">
        <f t="shared" si="44"/>
        <v/>
      </c>
      <c r="AA90" s="374" t="str">
        <f t="shared" si="45"/>
        <v/>
      </c>
      <c r="AB90" s="374" t="str">
        <f t="shared" si="46"/>
        <v/>
      </c>
      <c r="AC90" s="374" t="str">
        <f t="shared" si="47"/>
        <v/>
      </c>
      <c r="AD90" s="374" t="str">
        <f t="shared" si="48"/>
        <v/>
      </c>
      <c r="AE90" s="374" t="str">
        <f t="shared" si="49"/>
        <v/>
      </c>
      <c r="AF90" s="374" t="str">
        <f t="shared" si="50"/>
        <v/>
      </c>
      <c r="AG90" s="374" t="str">
        <f t="shared" si="51"/>
        <v/>
      </c>
      <c r="AH90" s="374" t="str">
        <f t="shared" si="52"/>
        <v/>
      </c>
      <c r="AI90" s="374" t="str">
        <f t="shared" si="53"/>
        <v/>
      </c>
      <c r="AJ90" s="374" t="str">
        <f t="shared" si="54"/>
        <v/>
      </c>
      <c r="AK90" s="374" t="str">
        <f t="shared" si="55"/>
        <v/>
      </c>
      <c r="AL90" s="374" t="str">
        <f t="shared" si="56"/>
        <v/>
      </c>
      <c r="AM90" s="514" t="str">
        <f t="shared" si="57"/>
        <v/>
      </c>
      <c r="AQ90" s="18">
        <v>1</v>
      </c>
      <c r="AV90" s="493">
        <v>1</v>
      </c>
      <c r="AX90" s="493">
        <v>1</v>
      </c>
      <c r="BD90" s="499">
        <v>1</v>
      </c>
    </row>
    <row r="91" spans="1:78" x14ac:dyDescent="0.25">
      <c r="A91" s="1099"/>
      <c r="B91" s="551">
        <f ca="1">IFERROR(IF(P91&lt;&gt;1,select!$A$8,rand!C91),"")</f>
        <v>-1.5</v>
      </c>
      <c r="C91" s="413">
        <v>-1.5</v>
      </c>
      <c r="D91" s="71">
        <f ca="1">IF($D$96=1,IF($D$3=1,IFERROR(OFFSET(P91,0,select!$M$1361),""),""),"")</f>
        <v>1</v>
      </c>
      <c r="E91" s="71" t="str">
        <f ca="1">IF($E$96=1,IF($E$3=1,IFERROR(OFFSET(P91,0,select!$M$1362),""),""),"")</f>
        <v/>
      </c>
      <c r="F91" s="71" t="str">
        <f ca="1">IF($F$96=1,IF($F$3=1,IFERROR(OFFSET(P91,0,select!$M$1363),""),""),"")</f>
        <v/>
      </c>
      <c r="G91" s="71" t="str">
        <f ca="1">IF($G$96=1,IF($G$3=1,IFERROR(OFFSET(P91,0,select!$M$1364),""),""),"")</f>
        <v/>
      </c>
      <c r="H91" s="71">
        <f t="shared" ca="1" si="39"/>
        <v>1</v>
      </c>
      <c r="I91" s="71">
        <f>IF(C91=Konfig!$O$25,1,0)</f>
        <v>0</v>
      </c>
      <c r="J91" s="71">
        <f>IF(Konfig!$O$25&lt;=rand!C91,1,0)</f>
        <v>0</v>
      </c>
      <c r="K91" s="71" t="str">
        <f t="shared" ca="1" si="40"/>
        <v/>
      </c>
      <c r="L91" s="71">
        <f>IF(Konfig!$O$25&gt;=rand!C91,1,0)</f>
        <v>1</v>
      </c>
      <c r="M91" s="71" t="str">
        <f t="shared" ca="1" si="41"/>
        <v/>
      </c>
      <c r="N91" s="71" t="str">
        <f t="shared" ca="1" si="42"/>
        <v/>
      </c>
      <c r="O91" s="71">
        <f t="shared" ca="1" si="43"/>
        <v>0</v>
      </c>
      <c r="P91" s="71">
        <f ca="1">IF(Konfig!$O$25="*",H91,IF($O$37=1,O91,N91))</f>
        <v>1</v>
      </c>
      <c r="Q91" s="374">
        <f t="shared" si="59"/>
        <v>1</v>
      </c>
      <c r="R91" s="374">
        <f t="shared" si="60"/>
        <v>1</v>
      </c>
      <c r="S91" s="374">
        <f t="shared" si="61"/>
        <v>1</v>
      </c>
      <c r="T91" s="374">
        <f t="shared" si="62"/>
        <v>1</v>
      </c>
      <c r="U91" s="374" t="str">
        <f t="shared" si="67"/>
        <v/>
      </c>
      <c r="V91" s="374" t="str">
        <f t="shared" si="63"/>
        <v/>
      </c>
      <c r="W91" s="374" t="str">
        <f t="shared" si="64"/>
        <v/>
      </c>
      <c r="X91" s="374" t="str">
        <f t="shared" si="65"/>
        <v/>
      </c>
      <c r="Y91" s="374" t="str">
        <f t="shared" si="66"/>
        <v/>
      </c>
      <c r="Z91" s="374" t="str">
        <f t="shared" si="44"/>
        <v/>
      </c>
      <c r="AA91" s="374" t="str">
        <f t="shared" si="45"/>
        <v/>
      </c>
      <c r="AB91" s="374" t="str">
        <f t="shared" si="46"/>
        <v/>
      </c>
      <c r="AC91" s="374" t="str">
        <f t="shared" si="47"/>
        <v/>
      </c>
      <c r="AD91" s="374" t="str">
        <f t="shared" si="48"/>
        <v/>
      </c>
      <c r="AE91" s="374" t="str">
        <f t="shared" si="49"/>
        <v/>
      </c>
      <c r="AF91" s="374" t="str">
        <f t="shared" si="50"/>
        <v/>
      </c>
      <c r="AG91" s="374" t="str">
        <f t="shared" si="51"/>
        <v/>
      </c>
      <c r="AH91" s="374" t="str">
        <f t="shared" si="52"/>
        <v/>
      </c>
      <c r="AI91" s="374" t="str">
        <f t="shared" si="53"/>
        <v/>
      </c>
      <c r="AJ91" s="374" t="str">
        <f t="shared" si="54"/>
        <v/>
      </c>
      <c r="AK91" s="374" t="str">
        <f t="shared" si="55"/>
        <v/>
      </c>
      <c r="AL91" s="374" t="str">
        <f t="shared" si="56"/>
        <v/>
      </c>
      <c r="AM91" s="514" t="str">
        <f t="shared" si="57"/>
        <v/>
      </c>
      <c r="AQ91" s="18">
        <v>1</v>
      </c>
      <c r="AV91" s="493">
        <v>1</v>
      </c>
      <c r="AX91" s="493">
        <v>1</v>
      </c>
      <c r="BD91" s="499">
        <v>1</v>
      </c>
    </row>
    <row r="92" spans="1:78" x14ac:dyDescent="0.25">
      <c r="A92" s="1099"/>
      <c r="B92" s="551">
        <f ca="1">IFERROR(IF(P92&lt;&gt;1,select!$A$8,rand!C92),"")</f>
        <v>-2</v>
      </c>
      <c r="C92" s="413">
        <v>-2</v>
      </c>
      <c r="D92" s="71">
        <f ca="1">IF($D$96=1,IF($D$3=1,IFERROR(OFFSET(P92,0,select!$M$1361),""),""),"")</f>
        <v>1</v>
      </c>
      <c r="E92" s="71" t="str">
        <f ca="1">IF($E$96=1,IF($E$3=1,IFERROR(OFFSET(P92,0,select!$M$1362),""),""),"")</f>
        <v/>
      </c>
      <c r="F92" s="71" t="str">
        <f ca="1">IF($F$96=1,IF($F$3=1,IFERROR(OFFSET(P92,0,select!$M$1363),""),""),"")</f>
        <v/>
      </c>
      <c r="G92" s="71">
        <f ca="1">IF($G$96=1,IF($G$3=1,IFERROR(OFFSET(P92,0,select!$M$1364),""),""),"")</f>
        <v>0</v>
      </c>
      <c r="H92" s="71">
        <f t="shared" ca="1" si="39"/>
        <v>1</v>
      </c>
      <c r="I92" s="71">
        <f>IF(C92=Konfig!$O$25,1,0)</f>
        <v>0</v>
      </c>
      <c r="J92" s="71">
        <f>IF(Konfig!$O$25&lt;=rand!C92,1,0)</f>
        <v>0</v>
      </c>
      <c r="K92" s="71" t="str">
        <f t="shared" ca="1" si="40"/>
        <v/>
      </c>
      <c r="L92" s="71">
        <f>IF(Konfig!$O$25&gt;=rand!C92,1,0)</f>
        <v>1</v>
      </c>
      <c r="M92" s="71" t="str">
        <f t="shared" ca="1" si="41"/>
        <v/>
      </c>
      <c r="N92" s="71" t="str">
        <f t="shared" ca="1" si="42"/>
        <v/>
      </c>
      <c r="O92" s="71">
        <f t="shared" ca="1" si="43"/>
        <v>0</v>
      </c>
      <c r="P92" s="71">
        <f ca="1">IF(Konfig!$O$25="*",H92,IF($O$37=1,O92,N92))</f>
        <v>1</v>
      </c>
      <c r="Q92" s="374">
        <f t="shared" si="59"/>
        <v>1</v>
      </c>
      <c r="R92" s="374">
        <f t="shared" si="60"/>
        <v>1</v>
      </c>
      <c r="S92" s="374">
        <f t="shared" si="61"/>
        <v>1</v>
      </c>
      <c r="T92" s="374">
        <f t="shared" si="62"/>
        <v>1</v>
      </c>
      <c r="U92" s="374" t="str">
        <f t="shared" si="67"/>
        <v/>
      </c>
      <c r="V92" s="374" t="str">
        <f t="shared" si="63"/>
        <v/>
      </c>
      <c r="W92" s="374" t="str">
        <f t="shared" si="64"/>
        <v/>
      </c>
      <c r="X92" s="374" t="str">
        <f t="shared" si="65"/>
        <v/>
      </c>
      <c r="Y92" s="374" t="str">
        <f t="shared" si="66"/>
        <v/>
      </c>
      <c r="Z92" s="374" t="str">
        <f t="shared" si="44"/>
        <v/>
      </c>
      <c r="AA92" s="374" t="str">
        <f t="shared" si="45"/>
        <v/>
      </c>
      <c r="AB92" s="374" t="str">
        <f t="shared" si="46"/>
        <v/>
      </c>
      <c r="AC92" s="374" t="str">
        <f t="shared" si="47"/>
        <v/>
      </c>
      <c r="AD92" s="374" t="str">
        <f t="shared" si="48"/>
        <v/>
      </c>
      <c r="AE92" s="374" t="str">
        <f t="shared" si="49"/>
        <v/>
      </c>
      <c r="AF92" s="374" t="str">
        <f t="shared" si="50"/>
        <v/>
      </c>
      <c r="AG92" s="374" t="str">
        <f t="shared" si="51"/>
        <v/>
      </c>
      <c r="AH92" s="374" t="str">
        <f t="shared" si="52"/>
        <v/>
      </c>
      <c r="AJ92" s="374">
        <f t="shared" si="54"/>
        <v>1</v>
      </c>
      <c r="AK92" s="374" t="str">
        <f t="shared" si="55"/>
        <v/>
      </c>
      <c r="AL92" s="374">
        <f t="shared" si="56"/>
        <v>1</v>
      </c>
      <c r="AM92" s="514">
        <f t="shared" si="57"/>
        <v>1</v>
      </c>
      <c r="AQ92" s="18">
        <v>1</v>
      </c>
      <c r="AV92" s="493">
        <v>1</v>
      </c>
      <c r="AX92" s="493">
        <v>1</v>
      </c>
      <c r="BD92" s="499">
        <v>1</v>
      </c>
      <c r="BT92" s="503">
        <v>1</v>
      </c>
      <c r="BV92" s="503">
        <v>1</v>
      </c>
      <c r="BZ92" s="499">
        <v>1</v>
      </c>
    </row>
    <row r="93" spans="1:78" x14ac:dyDescent="0.25">
      <c r="A93" s="1099"/>
      <c r="B93" s="551">
        <f ca="1">IFERROR(IF(P93&lt;&gt;1,select!$A$8,rand!C93),"")</f>
        <v>-3</v>
      </c>
      <c r="C93" s="413">
        <v>-3</v>
      </c>
      <c r="D93" s="71">
        <f ca="1">IF($D$96=1,IF($D$3=1,IFERROR(OFFSET(P93,0,select!$M$1361),""),""),"")</f>
        <v>1</v>
      </c>
      <c r="E93" s="71" t="str">
        <f ca="1">IF($E$96=1,IF($E$3=1,IFERROR(OFFSET(P93,0,select!$M$1362),""),""),"")</f>
        <v/>
      </c>
      <c r="F93" s="71" t="str">
        <f ca="1">IF($F$96=1,IF($F$3=1,IFERROR(OFFSET(P93,0,select!$M$1363),""),""),"")</f>
        <v/>
      </c>
      <c r="G93" s="71" t="str">
        <f ca="1">IF($G$96=1,IF($G$3=1,IFERROR(OFFSET(P93,0,select!$M$1364),""),""),"")</f>
        <v/>
      </c>
      <c r="H93" s="71">
        <f t="shared" ca="1" si="39"/>
        <v>1</v>
      </c>
      <c r="I93" s="71">
        <f>IF(C93=Konfig!$O$25,1,0)</f>
        <v>0</v>
      </c>
      <c r="J93" s="71">
        <f>IF(Konfig!$O$25&lt;=rand!C93,1,0)</f>
        <v>0</v>
      </c>
      <c r="K93" s="71" t="str">
        <f t="shared" ca="1" si="40"/>
        <v/>
      </c>
      <c r="L93" s="71">
        <f>IF(Konfig!$O$25&gt;=rand!C93,1,0)</f>
        <v>1</v>
      </c>
      <c r="M93" s="71" t="str">
        <f t="shared" ca="1" si="41"/>
        <v/>
      </c>
      <c r="N93" s="71" t="str">
        <f t="shared" ca="1" si="42"/>
        <v/>
      </c>
      <c r="O93" s="71">
        <f t="shared" ca="1" si="43"/>
        <v>0</v>
      </c>
      <c r="P93" s="71">
        <f ca="1">IF(Konfig!$O$25="*",H93,IF($O$37=1,O93,N93))</f>
        <v>1</v>
      </c>
      <c r="Q93" s="374">
        <f t="shared" si="59"/>
        <v>1</v>
      </c>
      <c r="R93" s="374">
        <f t="shared" si="60"/>
        <v>1</v>
      </c>
      <c r="S93" s="374">
        <f t="shared" si="61"/>
        <v>1</v>
      </c>
      <c r="T93" s="374">
        <f t="shared" si="62"/>
        <v>1</v>
      </c>
      <c r="U93" s="374" t="str">
        <f t="shared" si="67"/>
        <v/>
      </c>
      <c r="V93" s="374" t="str">
        <f t="shared" si="63"/>
        <v/>
      </c>
      <c r="W93" s="374" t="str">
        <f t="shared" si="64"/>
        <v/>
      </c>
      <c r="X93" s="374" t="str">
        <f t="shared" si="65"/>
        <v/>
      </c>
      <c r="Y93" s="374" t="str">
        <f t="shared" si="66"/>
        <v/>
      </c>
      <c r="Z93" s="374" t="str">
        <f t="shared" si="44"/>
        <v/>
      </c>
      <c r="AA93" s="374" t="str">
        <f t="shared" si="45"/>
        <v/>
      </c>
      <c r="AB93" s="374" t="str">
        <f t="shared" si="46"/>
        <v/>
      </c>
      <c r="AC93" s="374" t="str">
        <f t="shared" si="47"/>
        <v/>
      </c>
      <c r="AD93" s="374" t="str">
        <f t="shared" si="48"/>
        <v/>
      </c>
      <c r="AE93" s="374" t="str">
        <f t="shared" si="49"/>
        <v/>
      </c>
      <c r="AF93" s="374" t="str">
        <f t="shared" si="50"/>
        <v/>
      </c>
      <c r="AG93" s="374" t="str">
        <f t="shared" si="51"/>
        <v/>
      </c>
      <c r="AH93" s="374" t="str">
        <f t="shared" si="52"/>
        <v/>
      </c>
      <c r="AI93" s="374" t="str">
        <f t="shared" si="53"/>
        <v/>
      </c>
      <c r="AJ93" s="374">
        <f t="shared" si="54"/>
        <v>1</v>
      </c>
      <c r="AK93" s="374" t="str">
        <f t="shared" si="55"/>
        <v/>
      </c>
      <c r="AL93" s="374">
        <f t="shared" si="56"/>
        <v>1</v>
      </c>
      <c r="AM93" s="514">
        <f t="shared" si="57"/>
        <v>1</v>
      </c>
      <c r="AQ93" s="18">
        <v>1</v>
      </c>
      <c r="AV93" s="493">
        <v>1</v>
      </c>
      <c r="AX93" s="493">
        <v>1</v>
      </c>
      <c r="BD93" s="499">
        <v>1</v>
      </c>
      <c r="BT93" s="503">
        <v>1</v>
      </c>
      <c r="BV93" s="503">
        <v>1</v>
      </c>
      <c r="BZ93" s="499">
        <v>1</v>
      </c>
    </row>
    <row r="94" spans="1:78" x14ac:dyDescent="0.25">
      <c r="A94" s="1099"/>
      <c r="B94" s="551" t="str">
        <f ca="1">IFERROR(IF(P94&lt;&gt;1,select!$A$8,rand!C94),"")</f>
        <v>---------</v>
      </c>
      <c r="C94" s="413">
        <v>-3.5</v>
      </c>
      <c r="D94" s="71" t="str">
        <f ca="1">IF($D$96=1,IF($D$3=1,IFERROR(OFFSET(P94,0,select!$M$1361),""),""),"")</f>
        <v/>
      </c>
      <c r="E94" s="71" t="str">
        <f ca="1">IF($E$96=1,IF($E$3=1,IFERROR(OFFSET(P94,0,select!$M$1362),""),""),"")</f>
        <v/>
      </c>
      <c r="F94" s="71" t="str">
        <f ca="1">IF($F$96=1,IF($F$3=1,IFERROR(OFFSET(P94,0,select!$M$1363),""),""),"")</f>
        <v/>
      </c>
      <c r="G94" s="71" t="str">
        <f ca="1">IF($G$96=1,IF($G$3=1,IFERROR(OFFSET(P94,0,select!$M$1364),""),""),"")</f>
        <v/>
      </c>
      <c r="H94" s="71">
        <f t="shared" ca="1" si="39"/>
        <v>0</v>
      </c>
      <c r="I94" s="71">
        <f>IF(C94=Konfig!$O$25,1,0)</f>
        <v>0</v>
      </c>
      <c r="J94" s="71">
        <f>IF(Konfig!$O$25&lt;=rand!C94,1,0)</f>
        <v>0</v>
      </c>
      <c r="K94" s="71" t="str">
        <f t="shared" ca="1" si="40"/>
        <v/>
      </c>
      <c r="L94" s="71">
        <f>IF(Konfig!$O$25&gt;=rand!C94,1,0)</f>
        <v>1</v>
      </c>
      <c r="M94" s="71" t="str">
        <f t="shared" ca="1" si="41"/>
        <v/>
      </c>
      <c r="N94" s="71" t="str">
        <f t="shared" ca="1" si="42"/>
        <v/>
      </c>
      <c r="O94" s="71">
        <f t="shared" ca="1" si="43"/>
        <v>0</v>
      </c>
      <c r="P94" s="71">
        <f ca="1">IF(Konfig!$O$25="*",H94,IF($O$37=1,O94,N94))</f>
        <v>0</v>
      </c>
      <c r="Q94" s="374" t="str">
        <f>IF(SUM(AN94:AR94)&gt;0,1,"")</f>
        <v/>
      </c>
      <c r="R94" s="374" t="str">
        <f>IF(SUM(AS94:AW94)&gt;0,1,"")</f>
        <v/>
      </c>
      <c r="S94" s="374" t="str">
        <f>IF(SUM(AX94:AZ94)&gt;0,1,"")</f>
        <v/>
      </c>
      <c r="T94" s="374" t="str">
        <f>IF(SUM(BA94:BD94)&gt;0,1,"")</f>
        <v/>
      </c>
      <c r="U94" s="374" t="str">
        <f>IF(SUM(BE94)&gt;0,1,"")</f>
        <v/>
      </c>
      <c r="V94" s="374" t="str">
        <f>IF(SUM(BF94)&gt;0,1,"")</f>
        <v/>
      </c>
      <c r="W94" s="374" t="str">
        <f>IF(SUM(BG94)&gt;0,1,"")</f>
        <v/>
      </c>
      <c r="X94" s="374" t="str">
        <f>IF(SUM(BH94)&gt;0,1,"")</f>
        <v/>
      </c>
      <c r="Y94" s="374" t="str">
        <f>IF(SUM(BI94)&gt;0,1,"")</f>
        <v/>
      </c>
      <c r="Z94" s="374" t="str">
        <f t="shared" si="44"/>
        <v/>
      </c>
      <c r="AA94" s="374" t="str">
        <f t="shared" si="45"/>
        <v/>
      </c>
      <c r="AB94" s="374" t="str">
        <f t="shared" si="46"/>
        <v/>
      </c>
      <c r="AC94" s="374" t="str">
        <f t="shared" si="47"/>
        <v/>
      </c>
      <c r="AD94" s="374" t="str">
        <f t="shared" si="48"/>
        <v/>
      </c>
      <c r="AE94" s="374" t="str">
        <f t="shared" si="49"/>
        <v/>
      </c>
      <c r="AF94" s="374" t="str">
        <f t="shared" si="50"/>
        <v/>
      </c>
      <c r="AG94" s="374" t="str">
        <f t="shared" si="51"/>
        <v/>
      </c>
      <c r="AH94" s="374" t="str">
        <f t="shared" si="52"/>
        <v/>
      </c>
      <c r="AI94" s="374" t="str">
        <f t="shared" si="53"/>
        <v/>
      </c>
      <c r="AJ94" s="374" t="str">
        <f t="shared" si="54"/>
        <v/>
      </c>
      <c r="AK94" s="374" t="str">
        <f t="shared" si="55"/>
        <v/>
      </c>
      <c r="AL94" s="374" t="str">
        <f t="shared" si="56"/>
        <v/>
      </c>
      <c r="AM94" s="514">
        <f t="shared" si="57"/>
        <v>1</v>
      </c>
      <c r="BZ94" s="499">
        <v>1</v>
      </c>
    </row>
    <row r="95" spans="1:78" s="6" customFormat="1" x14ac:dyDescent="0.25">
      <c r="A95" s="1100"/>
      <c r="B95" s="551">
        <f ca="1">IFERROR(IF(P95&lt;&gt;1,select!$A$8,rand!C95),"")</f>
        <v>-4</v>
      </c>
      <c r="C95" s="414">
        <v>-4</v>
      </c>
      <c r="D95" s="71">
        <f ca="1">IF($D$96=1,IF($D$3=1,IFERROR(OFFSET(P95,0,select!$M$1361),""),""),"")</f>
        <v>1</v>
      </c>
      <c r="E95" s="71" t="str">
        <f ca="1">IF($E$96=1,IF($E$3=1,IFERROR(OFFSET(P95,0,select!$M$1362),""),""),"")</f>
        <v/>
      </c>
      <c r="F95" s="71" t="str">
        <f ca="1">IF($F$96=1,IF($F$3=1,IFERROR(OFFSET(P95,0,select!$M$1363),""),""),"")</f>
        <v/>
      </c>
      <c r="G95" s="71" t="str">
        <f ca="1">IF($G$96=1,IF($G$3=1,IFERROR(OFFSET(P95,0,select!$M$1364),""),""),"")</f>
        <v/>
      </c>
      <c r="H95" s="71">
        <f t="shared" ca="1" si="39"/>
        <v>1</v>
      </c>
      <c r="I95" s="71">
        <f>IF(C95=Konfig!$O$25,1,0)</f>
        <v>0</v>
      </c>
      <c r="J95" s="71">
        <f>IF(Konfig!$O$25&lt;=rand!C95,1,0)</f>
        <v>0</v>
      </c>
      <c r="K95" s="71" t="str">
        <f t="shared" ca="1" si="40"/>
        <v/>
      </c>
      <c r="L95" s="71">
        <f>IF(Konfig!$O$25&gt;=rand!C95,1,0)</f>
        <v>1</v>
      </c>
      <c r="M95" s="71">
        <f t="shared" ca="1" si="41"/>
        <v>-4</v>
      </c>
      <c r="N95" s="71" t="str">
        <f t="shared" ca="1" si="42"/>
        <v/>
      </c>
      <c r="O95" s="71">
        <f t="shared" ca="1" si="43"/>
        <v>0</v>
      </c>
      <c r="P95" s="71">
        <f ca="1">IF(Konfig!$O$25="*",H95,IF($O$37=1,O95,N95))</f>
        <v>1</v>
      </c>
      <c r="Q95" s="380">
        <f t="shared" si="59"/>
        <v>1</v>
      </c>
      <c r="R95" s="380">
        <f t="shared" si="60"/>
        <v>1</v>
      </c>
      <c r="S95" s="380">
        <f t="shared" si="61"/>
        <v>1</v>
      </c>
      <c r="T95" s="380">
        <f t="shared" si="62"/>
        <v>1</v>
      </c>
      <c r="U95" s="380" t="str">
        <f t="shared" si="67"/>
        <v/>
      </c>
      <c r="V95" s="380" t="str">
        <f t="shared" si="63"/>
        <v/>
      </c>
      <c r="W95" s="380" t="str">
        <f t="shared" si="64"/>
        <v/>
      </c>
      <c r="X95" s="380" t="str">
        <f t="shared" si="65"/>
        <v/>
      </c>
      <c r="Y95" s="380" t="str">
        <f t="shared" si="66"/>
        <v/>
      </c>
      <c r="Z95" s="380" t="str">
        <f t="shared" si="44"/>
        <v/>
      </c>
      <c r="AA95" s="380" t="str">
        <f t="shared" si="45"/>
        <v/>
      </c>
      <c r="AB95" s="380" t="str">
        <f t="shared" si="46"/>
        <v/>
      </c>
      <c r="AC95" s="380" t="str">
        <f t="shared" si="47"/>
        <v/>
      </c>
      <c r="AD95" s="380" t="str">
        <f t="shared" si="48"/>
        <v/>
      </c>
      <c r="AE95" s="380" t="str">
        <f t="shared" si="49"/>
        <v/>
      </c>
      <c r="AF95" s="380" t="str">
        <f t="shared" si="50"/>
        <v/>
      </c>
      <c r="AG95" s="380" t="str">
        <f t="shared" si="51"/>
        <v/>
      </c>
      <c r="AH95" s="380" t="str">
        <f t="shared" si="52"/>
        <v/>
      </c>
      <c r="AI95" s="380" t="str">
        <f t="shared" si="53"/>
        <v/>
      </c>
      <c r="AJ95" s="380" t="str">
        <f t="shared" si="54"/>
        <v/>
      </c>
      <c r="AK95" s="380" t="str">
        <f t="shared" si="55"/>
        <v/>
      </c>
      <c r="AL95" s="380" t="str">
        <f t="shared" si="56"/>
        <v/>
      </c>
      <c r="AM95" s="518" t="str">
        <f t="shared" si="57"/>
        <v/>
      </c>
      <c r="AN95" s="420"/>
      <c r="AO95" s="420"/>
      <c r="AP95" s="420"/>
      <c r="AQ95" s="420">
        <v>1</v>
      </c>
      <c r="AR95" s="421"/>
      <c r="AS95" s="420"/>
      <c r="AT95" s="420"/>
      <c r="AU95" s="496"/>
      <c r="AV95" s="496">
        <v>1</v>
      </c>
      <c r="AW95" s="502"/>
      <c r="AX95" s="496">
        <v>1</v>
      </c>
      <c r="AY95" s="496"/>
      <c r="AZ95" s="502"/>
      <c r="BA95" s="496"/>
      <c r="BB95" s="496"/>
      <c r="BC95" s="496"/>
      <c r="BD95" s="502">
        <v>1</v>
      </c>
      <c r="BE95" s="512"/>
      <c r="BF95" s="496"/>
      <c r="BG95" s="496"/>
      <c r="BH95" s="496"/>
      <c r="BI95" s="496"/>
      <c r="BJ95" s="496"/>
      <c r="BK95" s="496"/>
      <c r="BL95" s="496"/>
      <c r="BM95" s="496"/>
      <c r="BN95" s="502"/>
      <c r="BO95" s="512"/>
      <c r="BP95" s="512"/>
      <c r="BQ95" s="512"/>
      <c r="BR95" s="512"/>
      <c r="BS95" s="512"/>
      <c r="BT95" s="512"/>
      <c r="BU95" s="512"/>
      <c r="BV95" s="512"/>
      <c r="BW95" s="513"/>
      <c r="BX95" s="496"/>
      <c r="BY95" s="496"/>
      <c r="BZ95" s="502"/>
    </row>
    <row r="96" spans="1:78" s="409" customFormat="1" ht="15.75" x14ac:dyDescent="0.25">
      <c r="A96" s="422" t="s">
        <v>2009</v>
      </c>
      <c r="C96" s="408"/>
      <c r="D96" s="410">
        <f ca="1">VLOOKUP(select!O1388,rand!C98:G125,2,FALSE)</f>
        <v>1</v>
      </c>
      <c r="E96" s="410">
        <f ca="1">VLOOKUP(select!O1388,rand!C98:G125,3,FALSE)</f>
        <v>1</v>
      </c>
      <c r="F96" s="410">
        <f ca="1">VLOOKUP(select!O1388,rand!C98:G125,4,FALSE)</f>
        <v>1</v>
      </c>
      <c r="G96" s="410">
        <f ca="1">VLOOKUP(select!O1388,rand!C98:G125,5,FALSE)</f>
        <v>1</v>
      </c>
      <c r="H96" s="410"/>
      <c r="I96" s="410"/>
      <c r="J96" s="410"/>
      <c r="K96" s="410"/>
      <c r="L96" s="410"/>
      <c r="M96" s="410"/>
      <c r="N96" s="410"/>
      <c r="O96" s="410"/>
      <c r="P96" s="408"/>
      <c r="Q96" s="517" t="str">
        <f ca="1">Sprache!A176</f>
        <v>Topfabstand</v>
      </c>
      <c r="R96" s="517" t="str">
        <f t="shared" ref="R96:W96" ca="1" si="68">Q96</f>
        <v>Topfabstand</v>
      </c>
      <c r="S96" s="517" t="str">
        <f t="shared" ca="1" si="68"/>
        <v>Topfabstand</v>
      </c>
      <c r="T96" s="517" t="str">
        <f t="shared" ca="1" si="68"/>
        <v>Topfabstand</v>
      </c>
      <c r="U96" s="517" t="str">
        <f t="shared" ca="1" si="68"/>
        <v>Topfabstand</v>
      </c>
      <c r="V96" s="517" t="str">
        <f t="shared" ca="1" si="68"/>
        <v>Topfabstand</v>
      </c>
      <c r="W96" s="517" t="str">
        <f t="shared" ca="1" si="68"/>
        <v>Topfabstand</v>
      </c>
      <c r="X96" s="517" t="str">
        <f t="shared" ref="X96:AI96" ca="1" si="69">W96</f>
        <v>Topfabstand</v>
      </c>
      <c r="Y96" s="517" t="str">
        <f t="shared" ca="1" si="69"/>
        <v>Topfabstand</v>
      </c>
      <c r="Z96" s="517" t="str">
        <f t="shared" ca="1" si="69"/>
        <v>Topfabstand</v>
      </c>
      <c r="AA96" s="517" t="str">
        <f t="shared" ca="1" si="69"/>
        <v>Topfabstand</v>
      </c>
      <c r="AB96" s="517" t="str">
        <f t="shared" ca="1" si="69"/>
        <v>Topfabstand</v>
      </c>
      <c r="AC96" s="517" t="str">
        <f t="shared" ca="1" si="69"/>
        <v>Topfabstand</v>
      </c>
      <c r="AD96" s="517" t="str">
        <f t="shared" ca="1" si="69"/>
        <v>Topfabstand</v>
      </c>
      <c r="AE96" s="517" t="str">
        <f t="shared" ca="1" si="69"/>
        <v>Topfabstand</v>
      </c>
      <c r="AF96" s="517" t="str">
        <f t="shared" ca="1" si="69"/>
        <v>Topfabstand</v>
      </c>
      <c r="AG96" s="517" t="str">
        <f t="shared" ca="1" si="69"/>
        <v>Topfabstand</v>
      </c>
      <c r="AH96" s="517" t="str">
        <f t="shared" ca="1" si="69"/>
        <v>Topfabstand</v>
      </c>
      <c r="AI96" s="517" t="str">
        <f t="shared" ca="1" si="69"/>
        <v>Topfabstand</v>
      </c>
      <c r="AJ96" s="517" t="str">
        <f ca="1">Sprache!A165</f>
        <v>Anschraubmaß (Z)</v>
      </c>
      <c r="AK96" s="517" t="str">
        <f ca="1">AH96</f>
        <v>Topfabstand</v>
      </c>
      <c r="AL96" s="517" t="str">
        <f ca="1">Sprache!A166</f>
        <v>Klebemaß (Z)</v>
      </c>
      <c r="AM96" s="517" t="str">
        <f ca="1">AI96</f>
        <v>Topfabstand</v>
      </c>
      <c r="AR96" s="407"/>
      <c r="AU96" s="497"/>
      <c r="AV96" s="497"/>
      <c r="AW96" s="501"/>
      <c r="AX96" s="497"/>
      <c r="AY96" s="497"/>
      <c r="AZ96" s="501"/>
      <c r="BA96" s="497"/>
      <c r="BB96" s="497"/>
      <c r="BC96" s="497"/>
      <c r="BD96" s="501"/>
      <c r="BE96" s="510"/>
      <c r="BF96" s="497"/>
      <c r="BG96" s="497"/>
      <c r="BH96" s="497"/>
      <c r="BI96" s="497"/>
      <c r="BJ96" s="497"/>
      <c r="BK96" s="497"/>
      <c r="BL96" s="497"/>
      <c r="BM96" s="497"/>
      <c r="BN96" s="501"/>
      <c r="BO96" s="510"/>
      <c r="BP96" s="510"/>
      <c r="BQ96" s="510"/>
      <c r="BR96" s="510"/>
      <c r="BS96" s="510"/>
      <c r="BT96" s="510"/>
      <c r="BU96" s="510"/>
      <c r="BV96" s="510"/>
      <c r="BW96" s="511"/>
      <c r="BX96" s="497"/>
      <c r="BY96" s="497"/>
      <c r="BZ96" s="501"/>
    </row>
    <row r="97" spans="1:78" s="409" customFormat="1" ht="15.75" x14ac:dyDescent="0.25">
      <c r="A97" s="422" t="s">
        <v>2008</v>
      </c>
      <c r="C97" s="408">
        <f>ROW()</f>
        <v>97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619" t="s">
        <v>1916</v>
      </c>
      <c r="R97" s="619" t="s">
        <v>1916</v>
      </c>
      <c r="S97" s="619" t="s">
        <v>1916</v>
      </c>
      <c r="T97" s="619" t="s">
        <v>1916</v>
      </c>
      <c r="U97" s="619" t="s">
        <v>1916</v>
      </c>
      <c r="V97" s="619" t="s">
        <v>1916</v>
      </c>
      <c r="W97" s="619" t="s">
        <v>1916</v>
      </c>
      <c r="X97" s="619" t="s">
        <v>1916</v>
      </c>
      <c r="Y97" s="619" t="s">
        <v>1916</v>
      </c>
      <c r="Z97" s="619" t="s">
        <v>1916</v>
      </c>
      <c r="AA97" s="619" t="s">
        <v>1916</v>
      </c>
      <c r="AB97" s="619" t="s">
        <v>1916</v>
      </c>
      <c r="AC97" s="619" t="s">
        <v>1916</v>
      </c>
      <c r="AD97" s="619" t="s">
        <v>1916</v>
      </c>
      <c r="AE97" s="619" t="s">
        <v>1916</v>
      </c>
      <c r="AF97" s="619" t="s">
        <v>1916</v>
      </c>
      <c r="AG97" s="619" t="s">
        <v>1916</v>
      </c>
      <c r="AH97" s="619" t="s">
        <v>1916</v>
      </c>
      <c r="AI97" s="619" t="s">
        <v>1916</v>
      </c>
      <c r="AJ97" s="517">
        <v>42</v>
      </c>
      <c r="AK97" s="619" t="s">
        <v>1916</v>
      </c>
      <c r="AL97" s="517">
        <v>8</v>
      </c>
      <c r="AM97" s="619" t="s">
        <v>1916</v>
      </c>
      <c r="AR97" s="407"/>
      <c r="AU97" s="497"/>
      <c r="AV97" s="497"/>
      <c r="AW97" s="501"/>
      <c r="AX97" s="497"/>
      <c r="AY97" s="497"/>
      <c r="AZ97" s="501"/>
      <c r="BA97" s="497"/>
      <c r="BB97" s="497"/>
      <c r="BC97" s="497"/>
      <c r="BD97" s="501"/>
      <c r="BE97" s="510"/>
      <c r="BF97" s="497"/>
      <c r="BG97" s="497"/>
      <c r="BH97" s="497"/>
      <c r="BI97" s="497"/>
      <c r="BJ97" s="497"/>
      <c r="BK97" s="497"/>
      <c r="BL97" s="497"/>
      <c r="BM97" s="497"/>
      <c r="BN97" s="501"/>
      <c r="BO97" s="510"/>
      <c r="BP97" s="510"/>
      <c r="BQ97" s="510"/>
      <c r="BR97" s="510"/>
      <c r="BS97" s="510"/>
      <c r="BT97" s="510"/>
      <c r="BU97" s="510"/>
      <c r="BV97" s="510"/>
      <c r="BW97" s="511"/>
      <c r="BX97" s="497"/>
      <c r="BY97" s="497"/>
      <c r="BZ97" s="501"/>
    </row>
    <row r="98" spans="1:78" ht="15" customHeight="1" x14ac:dyDescent="0.25">
      <c r="A98" s="558"/>
      <c r="B98" s="551" t="str">
        <f ca="1">IFERROR(IF(P98&lt;&gt;1,select!$A$8,rand!C98),"")</f>
        <v>---------</v>
      </c>
      <c r="C98" s="413" t="str">
        <f ca="1">Sprache!A54</f>
        <v>ohne</v>
      </c>
      <c r="D98" s="71" t="str">
        <f ca="1">IF($D$3=1,IFERROR(OFFSET(P98,0,select!$M$1361),""),"")</f>
        <v/>
      </c>
      <c r="E98" s="71" t="str">
        <f ca="1">IF($E$3=1,IFERROR(OFFSET(P98,0,select!$M$1362),""),"")</f>
        <v/>
      </c>
      <c r="F98" s="71" t="str">
        <f ca="1">IF($F$3=1,IFERROR(OFFSET(P98,0,select!$M$1363),""),"")</f>
        <v/>
      </c>
      <c r="G98" s="71" t="str">
        <f ca="1">IF($G$3=1,IFERROR(OFFSET(P98,0,select!$M$1364),""),"")</f>
        <v/>
      </c>
      <c r="H98" s="170"/>
      <c r="P98" s="71" t="str">
        <f t="shared" ref="P98:P125" ca="1" si="70">IF(SUM(D98:G98)&gt;0,1,"")</f>
        <v/>
      </c>
      <c r="Q98" s="376" t="str">
        <f>IF(SUM(AN98:AR98)&gt;0,1,"")</f>
        <v/>
      </c>
      <c r="R98" s="374" t="str">
        <f>IF(SUM(AS98:AW98)&gt;0,1,"")</f>
        <v/>
      </c>
      <c r="S98" s="374" t="str">
        <f>IF(SUM(AX98:AZ98)&gt;0,1,"")</f>
        <v/>
      </c>
      <c r="T98" s="374" t="str">
        <f>IF(SUM(BA98:BD98)&gt;0,1,"")</f>
        <v/>
      </c>
      <c r="U98" s="374" t="str">
        <f t="shared" ref="U98:AL98" si="71">IF(SUM(BE98)&gt;0,1,"")</f>
        <v/>
      </c>
      <c r="V98" s="374" t="str">
        <f t="shared" si="71"/>
        <v/>
      </c>
      <c r="W98" s="374" t="str">
        <f t="shared" si="71"/>
        <v/>
      </c>
      <c r="X98" s="374" t="str">
        <f t="shared" si="71"/>
        <v/>
      </c>
      <c r="Y98" s="374" t="str">
        <f t="shared" si="71"/>
        <v/>
      </c>
      <c r="Z98" s="374" t="str">
        <f t="shared" si="71"/>
        <v/>
      </c>
      <c r="AA98" s="374" t="str">
        <f t="shared" si="71"/>
        <v/>
      </c>
      <c r="AB98" s="374" t="str">
        <f t="shared" si="71"/>
        <v/>
      </c>
      <c r="AC98" s="374" t="str">
        <f t="shared" si="71"/>
        <v/>
      </c>
      <c r="AD98" s="374" t="str">
        <f t="shared" si="71"/>
        <v/>
      </c>
      <c r="AE98" s="374" t="str">
        <f t="shared" si="71"/>
        <v/>
      </c>
      <c r="AF98" s="374" t="str">
        <f t="shared" si="71"/>
        <v/>
      </c>
      <c r="AG98" s="374" t="str">
        <f t="shared" si="71"/>
        <v/>
      </c>
      <c r="AH98" s="374" t="str">
        <f t="shared" si="71"/>
        <v/>
      </c>
      <c r="AI98" s="374" t="str">
        <f t="shared" si="71"/>
        <v/>
      </c>
      <c r="AJ98" s="374" t="str">
        <f t="shared" si="71"/>
        <v/>
      </c>
      <c r="AK98" s="374" t="str">
        <f t="shared" si="71"/>
        <v/>
      </c>
      <c r="AL98" s="374" t="str">
        <f t="shared" si="71"/>
        <v/>
      </c>
      <c r="AM98" s="514">
        <f>IF(SUM(BW98:BZ98)&gt;0,1,"")</f>
        <v>1</v>
      </c>
      <c r="BW98" s="504">
        <v>1</v>
      </c>
      <c r="BX98" s="498">
        <v>1</v>
      </c>
      <c r="BY98" s="498">
        <v>1</v>
      </c>
      <c r="BZ98" s="499">
        <v>1</v>
      </c>
    </row>
    <row r="99" spans="1:78" ht="15" customHeight="1" x14ac:dyDescent="0.25">
      <c r="A99" s="1096" t="s">
        <v>1464</v>
      </c>
      <c r="B99" s="551">
        <f ca="1">IFERROR(IF(P99&lt;&gt;1,select!$A$8,rand!C99),"")</f>
        <v>24</v>
      </c>
      <c r="C99" s="413">
        <v>24</v>
      </c>
      <c r="D99" s="71" t="str">
        <f ca="1">IF($D$3=1,IFERROR(OFFSET(P99,0,select!$M$1361),""),"")</f>
        <v/>
      </c>
      <c r="E99" s="71" t="str">
        <f ca="1">IF($E$3=1,IFERROR(OFFSET(P99,0,select!$M$1362),""),"")</f>
        <v/>
      </c>
      <c r="F99" s="71" t="str">
        <f ca="1">IF($F$3=1,IFERROR(OFFSET(P99,0,select!$M$1363),""),"")</f>
        <v/>
      </c>
      <c r="G99" s="71">
        <f ca="1">IF($G$3=1,IFERROR(OFFSET(P99,0,select!$M$1364),""),"")</f>
        <v>1</v>
      </c>
      <c r="H99" s="170"/>
      <c r="P99" s="71">
        <f t="shared" ca="1" si="70"/>
        <v>1</v>
      </c>
      <c r="Q99" s="376" t="str">
        <f t="shared" si="59"/>
        <v/>
      </c>
      <c r="R99" s="374" t="str">
        <f t="shared" si="60"/>
        <v/>
      </c>
      <c r="S99" s="374" t="str">
        <f t="shared" si="61"/>
        <v/>
      </c>
      <c r="T99" s="374" t="str">
        <f t="shared" si="62"/>
        <v/>
      </c>
      <c r="U99" s="374" t="str">
        <f t="shared" si="67"/>
        <v/>
      </c>
      <c r="V99" s="374" t="str">
        <f t="shared" si="63"/>
        <v/>
      </c>
      <c r="W99" s="374" t="str">
        <f t="shared" si="64"/>
        <v/>
      </c>
      <c r="X99" s="374" t="str">
        <f t="shared" si="65"/>
        <v/>
      </c>
      <c r="Y99" s="374" t="str">
        <f t="shared" si="66"/>
        <v/>
      </c>
      <c r="Z99" s="374" t="str">
        <f t="shared" si="44"/>
        <v/>
      </c>
      <c r="AA99" s="374" t="str">
        <f t="shared" si="45"/>
        <v/>
      </c>
      <c r="AB99" s="374" t="str">
        <f t="shared" si="46"/>
        <v/>
      </c>
      <c r="AC99" s="374" t="str">
        <f t="shared" si="47"/>
        <v/>
      </c>
      <c r="AD99" s="374" t="str">
        <f t="shared" si="48"/>
        <v/>
      </c>
      <c r="AE99" s="374" t="str">
        <f t="shared" si="49"/>
        <v/>
      </c>
      <c r="AF99" s="374" t="str">
        <f t="shared" si="50"/>
        <v/>
      </c>
      <c r="AG99" s="374" t="str">
        <f t="shared" si="51"/>
        <v/>
      </c>
      <c r="AH99" s="374" t="str">
        <f t="shared" si="52"/>
        <v/>
      </c>
      <c r="AI99" s="374">
        <f t="shared" si="53"/>
        <v>1</v>
      </c>
      <c r="AJ99" s="374">
        <f t="shared" si="54"/>
        <v>1</v>
      </c>
      <c r="AK99" s="374" t="str">
        <f t="shared" si="55"/>
        <v/>
      </c>
      <c r="AL99" s="374" t="str">
        <f t="shared" si="56"/>
        <v/>
      </c>
      <c r="AM99" s="514" t="str">
        <f t="shared" si="57"/>
        <v/>
      </c>
      <c r="BS99" s="503">
        <v>1</v>
      </c>
      <c r="BT99" s="503">
        <v>1</v>
      </c>
    </row>
    <row r="100" spans="1:78" x14ac:dyDescent="0.25">
      <c r="A100" s="1097"/>
      <c r="B100" s="551">
        <f ca="1">IFERROR(IF(P100&lt;&gt;1,select!$A$8,rand!C100),"")</f>
        <v>23</v>
      </c>
      <c r="C100" s="413">
        <v>23</v>
      </c>
      <c r="D100" s="71" t="str">
        <f ca="1">IF($D$3=1,IFERROR(OFFSET(P100,0,select!$M$1361),""),"")</f>
        <v/>
      </c>
      <c r="E100" s="71" t="str">
        <f ca="1">IF($E$3=1,IFERROR(OFFSET(P100,0,select!$M$1362),""),"")</f>
        <v/>
      </c>
      <c r="F100" s="71" t="str">
        <f ca="1">IF($F$3=1,IFERROR(OFFSET(P100,0,select!$M$1363),""),"")</f>
        <v/>
      </c>
      <c r="G100" s="71">
        <f ca="1">IF($G$3=1,IFERROR(OFFSET(P100,0,select!$M$1364),""),"")</f>
        <v>1</v>
      </c>
      <c r="P100" s="71">
        <f t="shared" ca="1" si="70"/>
        <v>1</v>
      </c>
      <c r="Q100" s="374" t="str">
        <f t="shared" si="59"/>
        <v/>
      </c>
      <c r="R100" s="374" t="str">
        <f t="shared" si="60"/>
        <v/>
      </c>
      <c r="S100" s="374" t="str">
        <f t="shared" si="61"/>
        <v/>
      </c>
      <c r="T100" s="374" t="str">
        <f t="shared" si="62"/>
        <v/>
      </c>
      <c r="U100" s="374" t="str">
        <f t="shared" si="67"/>
        <v/>
      </c>
      <c r="V100" s="374" t="str">
        <f t="shared" si="63"/>
        <v/>
      </c>
      <c r="W100" s="374" t="str">
        <f t="shared" si="64"/>
        <v/>
      </c>
      <c r="X100" s="374" t="str">
        <f t="shared" si="65"/>
        <v/>
      </c>
      <c r="Y100" s="374" t="str">
        <f t="shared" si="66"/>
        <v/>
      </c>
      <c r="Z100" s="374" t="str">
        <f t="shared" si="44"/>
        <v/>
      </c>
      <c r="AA100" s="374" t="str">
        <f t="shared" si="45"/>
        <v/>
      </c>
      <c r="AB100" s="374" t="str">
        <f t="shared" si="46"/>
        <v/>
      </c>
      <c r="AC100" s="374" t="str">
        <f t="shared" si="47"/>
        <v/>
      </c>
      <c r="AD100" s="374" t="str">
        <f t="shared" si="48"/>
        <v/>
      </c>
      <c r="AE100" s="374" t="str">
        <f t="shared" si="49"/>
        <v/>
      </c>
      <c r="AF100" s="374" t="str">
        <f t="shared" si="50"/>
        <v/>
      </c>
      <c r="AG100" s="374" t="str">
        <f t="shared" si="51"/>
        <v/>
      </c>
      <c r="AH100" s="374" t="str">
        <f t="shared" si="52"/>
        <v/>
      </c>
      <c r="AI100" s="374">
        <f t="shared" si="53"/>
        <v>1</v>
      </c>
      <c r="AJ100" s="374" t="str">
        <f t="shared" si="54"/>
        <v/>
      </c>
      <c r="AK100" s="374" t="str">
        <f t="shared" si="55"/>
        <v/>
      </c>
      <c r="AL100" s="374" t="str">
        <f t="shared" si="56"/>
        <v/>
      </c>
      <c r="AM100" s="514" t="str">
        <f t="shared" si="57"/>
        <v/>
      </c>
      <c r="BS100" s="503">
        <v>1</v>
      </c>
    </row>
    <row r="101" spans="1:78" x14ac:dyDescent="0.25">
      <c r="A101" s="1097"/>
      <c r="B101" s="551">
        <f ca="1">IFERROR(IF(P101&lt;&gt;1,select!$A$8,rand!C101),"")</f>
        <v>22</v>
      </c>
      <c r="C101" s="413">
        <v>22</v>
      </c>
      <c r="D101" s="71" t="str">
        <f ca="1">IF($D$3=1,IFERROR(OFFSET(P101,0,select!$M$1361),""),"")</f>
        <v/>
      </c>
      <c r="E101" s="71" t="str">
        <f ca="1">IF($E$3=1,IFERROR(OFFSET(P101,0,select!$M$1362),""),"")</f>
        <v/>
      </c>
      <c r="F101" s="71" t="str">
        <f ca="1">IF($F$3=1,IFERROR(OFFSET(P101,0,select!$M$1363),""),"")</f>
        <v/>
      </c>
      <c r="G101" s="71">
        <f ca="1">IF($G$3=1,IFERROR(OFFSET(P101,0,select!$M$1364),""),"")</f>
        <v>1</v>
      </c>
      <c r="P101" s="71">
        <f t="shared" ca="1" si="70"/>
        <v>1</v>
      </c>
      <c r="Q101" s="374" t="str">
        <f t="shared" si="59"/>
        <v/>
      </c>
      <c r="R101" s="374" t="str">
        <f t="shared" si="60"/>
        <v/>
      </c>
      <c r="S101" s="374" t="str">
        <f t="shared" si="61"/>
        <v/>
      </c>
      <c r="T101" s="374" t="str">
        <f t="shared" si="62"/>
        <v/>
      </c>
      <c r="U101" s="374" t="str">
        <f t="shared" si="67"/>
        <v/>
      </c>
      <c r="V101" s="374" t="str">
        <f t="shared" si="63"/>
        <v/>
      </c>
      <c r="W101" s="374" t="str">
        <f t="shared" si="64"/>
        <v/>
      </c>
      <c r="X101" s="374" t="str">
        <f t="shared" si="65"/>
        <v/>
      </c>
      <c r="Y101" s="374" t="str">
        <f t="shared" si="66"/>
        <v/>
      </c>
      <c r="Z101" s="374" t="str">
        <f t="shared" si="44"/>
        <v/>
      </c>
      <c r="AA101" s="374" t="str">
        <f t="shared" si="45"/>
        <v/>
      </c>
      <c r="AB101" s="374" t="str">
        <f t="shared" si="46"/>
        <v/>
      </c>
      <c r="AC101" s="374" t="str">
        <f t="shared" si="47"/>
        <v/>
      </c>
      <c r="AD101" s="374" t="str">
        <f t="shared" si="48"/>
        <v/>
      </c>
      <c r="AE101" s="374" t="str">
        <f t="shared" si="49"/>
        <v/>
      </c>
      <c r="AF101" s="374" t="str">
        <f t="shared" si="50"/>
        <v/>
      </c>
      <c r="AG101" s="374" t="str">
        <f t="shared" si="51"/>
        <v/>
      </c>
      <c r="AH101" s="374" t="str">
        <f t="shared" si="52"/>
        <v/>
      </c>
      <c r="AI101" s="374">
        <f t="shared" si="53"/>
        <v>1</v>
      </c>
      <c r="AJ101" s="374">
        <f t="shared" si="54"/>
        <v>1</v>
      </c>
      <c r="AK101" s="374" t="str">
        <f t="shared" si="55"/>
        <v/>
      </c>
      <c r="AL101" s="374" t="str">
        <f t="shared" si="56"/>
        <v/>
      </c>
      <c r="AM101" s="514" t="str">
        <f t="shared" si="57"/>
        <v/>
      </c>
      <c r="BS101" s="503">
        <v>1</v>
      </c>
      <c r="BT101" s="503">
        <v>1</v>
      </c>
    </row>
    <row r="102" spans="1:78" x14ac:dyDescent="0.25">
      <c r="A102" s="1097"/>
      <c r="B102" s="551">
        <f ca="1">IFERROR(IF(P102&lt;&gt;1,select!$A$8,rand!C102),"")</f>
        <v>21</v>
      </c>
      <c r="C102" s="413">
        <v>21</v>
      </c>
      <c r="D102" s="71" t="str">
        <f ca="1">IF($D$3=1,IFERROR(OFFSET(P102,0,select!$M$1361),""),"")</f>
        <v/>
      </c>
      <c r="E102" s="71" t="str">
        <f ca="1">IF($E$3=1,IFERROR(OFFSET(P102,0,select!$M$1362),""),"")</f>
        <v/>
      </c>
      <c r="F102" s="71" t="str">
        <f ca="1">IF($F$3=1,IFERROR(OFFSET(P102,0,select!$M$1363),""),"")</f>
        <v/>
      </c>
      <c r="G102" s="71">
        <f ca="1">IF($G$3=1,IFERROR(OFFSET(P102,0,select!$M$1364),""),"")</f>
        <v>1</v>
      </c>
      <c r="P102" s="71">
        <f t="shared" ca="1" si="70"/>
        <v>1</v>
      </c>
      <c r="Q102" s="374" t="str">
        <f t="shared" si="59"/>
        <v/>
      </c>
      <c r="R102" s="374" t="str">
        <f t="shared" si="60"/>
        <v/>
      </c>
      <c r="S102" s="374" t="str">
        <f t="shared" si="61"/>
        <v/>
      </c>
      <c r="T102" s="374" t="str">
        <f t="shared" si="62"/>
        <v/>
      </c>
      <c r="U102" s="374" t="str">
        <f t="shared" si="67"/>
        <v/>
      </c>
      <c r="V102" s="374" t="str">
        <f t="shared" si="63"/>
        <v/>
      </c>
      <c r="W102" s="374" t="str">
        <f t="shared" si="64"/>
        <v/>
      </c>
      <c r="X102" s="374" t="str">
        <f t="shared" si="65"/>
        <v/>
      </c>
      <c r="Y102" s="374" t="str">
        <f t="shared" si="66"/>
        <v/>
      </c>
      <c r="Z102" s="374" t="str">
        <f t="shared" si="44"/>
        <v/>
      </c>
      <c r="AA102" s="374" t="str">
        <f t="shared" si="45"/>
        <v/>
      </c>
      <c r="AB102" s="374" t="str">
        <f t="shared" si="46"/>
        <v/>
      </c>
      <c r="AC102" s="374" t="str">
        <f t="shared" si="47"/>
        <v/>
      </c>
      <c r="AD102" s="374" t="str">
        <f t="shared" si="48"/>
        <v/>
      </c>
      <c r="AE102" s="374" t="str">
        <f t="shared" si="49"/>
        <v/>
      </c>
      <c r="AF102" s="374" t="str">
        <f t="shared" si="50"/>
        <v/>
      </c>
      <c r="AG102" s="374" t="str">
        <f t="shared" si="51"/>
        <v/>
      </c>
      <c r="AH102" s="374" t="str">
        <f t="shared" si="52"/>
        <v/>
      </c>
      <c r="AI102" s="374">
        <f t="shared" si="53"/>
        <v>1</v>
      </c>
      <c r="AJ102" s="374">
        <f t="shared" si="54"/>
        <v>1</v>
      </c>
      <c r="AK102" s="374" t="str">
        <f t="shared" si="55"/>
        <v/>
      </c>
      <c r="AL102" s="374" t="str">
        <f t="shared" si="56"/>
        <v/>
      </c>
      <c r="AM102" s="514" t="str">
        <f t="shared" si="57"/>
        <v/>
      </c>
      <c r="BS102" s="503">
        <v>1</v>
      </c>
      <c r="BT102" s="503">
        <v>1</v>
      </c>
    </row>
    <row r="103" spans="1:78" x14ac:dyDescent="0.25">
      <c r="A103" s="1097"/>
      <c r="B103" s="551">
        <f ca="1">IFERROR(IF(P103&lt;&gt;1,select!$A$8,rand!C103),"")</f>
        <v>20</v>
      </c>
      <c r="C103" s="413">
        <v>20</v>
      </c>
      <c r="D103" s="71" t="str">
        <f ca="1">IF($D$3=1,IFERROR(OFFSET(P103,0,select!$M$1361),""),"")</f>
        <v/>
      </c>
      <c r="E103" s="71" t="str">
        <f ca="1">IF($E$3=1,IFERROR(OFFSET(P103,0,select!$M$1362),""),"")</f>
        <v/>
      </c>
      <c r="F103" s="71" t="str">
        <f ca="1">IF($F$3=1,IFERROR(OFFSET(P103,0,select!$M$1363),""),"")</f>
        <v/>
      </c>
      <c r="G103" s="71">
        <f ca="1">IF($G$3=1,IFERROR(OFFSET(P103,0,select!$M$1364),""),"")</f>
        <v>1</v>
      </c>
      <c r="P103" s="71">
        <f t="shared" ca="1" si="70"/>
        <v>1</v>
      </c>
      <c r="Q103" s="374" t="str">
        <f t="shared" si="59"/>
        <v/>
      </c>
      <c r="R103" s="374" t="str">
        <f t="shared" si="60"/>
        <v/>
      </c>
      <c r="S103" s="374" t="str">
        <f t="shared" si="61"/>
        <v/>
      </c>
      <c r="T103" s="374" t="str">
        <f t="shared" si="62"/>
        <v/>
      </c>
      <c r="U103" s="374" t="str">
        <f t="shared" si="67"/>
        <v/>
      </c>
      <c r="V103" s="374" t="str">
        <f t="shared" si="63"/>
        <v/>
      </c>
      <c r="W103" s="374" t="str">
        <f t="shared" si="64"/>
        <v/>
      </c>
      <c r="X103" s="374" t="str">
        <f t="shared" si="65"/>
        <v/>
      </c>
      <c r="Y103" s="374" t="str">
        <f t="shared" si="66"/>
        <v/>
      </c>
      <c r="Z103" s="374" t="str">
        <f t="shared" si="44"/>
        <v/>
      </c>
      <c r="AA103" s="374" t="str">
        <f t="shared" si="45"/>
        <v/>
      </c>
      <c r="AB103" s="374" t="str">
        <f t="shared" si="46"/>
        <v/>
      </c>
      <c r="AC103" s="374" t="str">
        <f t="shared" si="47"/>
        <v/>
      </c>
      <c r="AD103" s="374" t="str">
        <f t="shared" si="48"/>
        <v/>
      </c>
      <c r="AE103" s="374" t="str">
        <f t="shared" si="49"/>
        <v/>
      </c>
      <c r="AF103" s="374" t="str">
        <f t="shared" si="50"/>
        <v/>
      </c>
      <c r="AG103" s="374" t="str">
        <f t="shared" si="51"/>
        <v/>
      </c>
      <c r="AH103" s="374" t="str">
        <f t="shared" si="52"/>
        <v/>
      </c>
      <c r="AI103" s="374">
        <f t="shared" si="53"/>
        <v>1</v>
      </c>
      <c r="AJ103" s="374" t="str">
        <f t="shared" si="54"/>
        <v/>
      </c>
      <c r="AK103" s="374" t="str">
        <f t="shared" si="55"/>
        <v/>
      </c>
      <c r="AL103" s="374" t="str">
        <f t="shared" si="56"/>
        <v/>
      </c>
      <c r="AM103" s="514" t="str">
        <f t="shared" si="57"/>
        <v/>
      </c>
      <c r="BS103" s="503">
        <v>1</v>
      </c>
    </row>
    <row r="104" spans="1:78" x14ac:dyDescent="0.25">
      <c r="A104" s="1097"/>
      <c r="B104" s="551">
        <f ca="1">IFERROR(IF(P104&lt;&gt;1,select!$A$8,rand!C104),"")</f>
        <v>19</v>
      </c>
      <c r="C104" s="413">
        <v>19</v>
      </c>
      <c r="D104" s="71" t="str">
        <f ca="1">IF($D$3=1,IFERROR(OFFSET(P104,0,select!$M$1361),""),"")</f>
        <v/>
      </c>
      <c r="E104" s="71" t="str">
        <f ca="1">IF($E$3=1,IFERROR(OFFSET(P104,0,select!$M$1362),""),"")</f>
        <v/>
      </c>
      <c r="F104" s="71" t="str">
        <f ca="1">IF($F$3=1,IFERROR(OFFSET(P104,0,select!$M$1363),""),"")</f>
        <v/>
      </c>
      <c r="G104" s="71">
        <f ca="1">IF($G$3=1,IFERROR(OFFSET(P104,0,select!$M$1364),""),"")</f>
        <v>1</v>
      </c>
      <c r="P104" s="71">
        <f t="shared" ca="1" si="70"/>
        <v>1</v>
      </c>
      <c r="Q104" s="374" t="str">
        <f t="shared" si="59"/>
        <v/>
      </c>
      <c r="R104" s="374" t="str">
        <f t="shared" si="60"/>
        <v/>
      </c>
      <c r="S104" s="374" t="str">
        <f t="shared" si="61"/>
        <v/>
      </c>
      <c r="T104" s="374" t="str">
        <f t="shared" si="62"/>
        <v/>
      </c>
      <c r="U104" s="374" t="str">
        <f t="shared" si="67"/>
        <v/>
      </c>
      <c r="V104" s="374" t="str">
        <f t="shared" si="63"/>
        <v/>
      </c>
      <c r="W104" s="374" t="str">
        <f t="shared" si="64"/>
        <v/>
      </c>
      <c r="X104" s="374" t="str">
        <f t="shared" si="65"/>
        <v/>
      </c>
      <c r="Y104" s="374" t="str">
        <f t="shared" si="66"/>
        <v/>
      </c>
      <c r="Z104" s="374" t="str">
        <f t="shared" si="44"/>
        <v/>
      </c>
      <c r="AA104" s="374" t="str">
        <f t="shared" si="45"/>
        <v/>
      </c>
      <c r="AB104" s="374" t="str">
        <f t="shared" si="46"/>
        <v/>
      </c>
      <c r="AC104" s="374" t="str">
        <f t="shared" si="47"/>
        <v/>
      </c>
      <c r="AD104" s="374" t="str">
        <f t="shared" si="48"/>
        <v/>
      </c>
      <c r="AE104" s="374" t="str">
        <f t="shared" si="49"/>
        <v/>
      </c>
      <c r="AF104" s="374" t="str">
        <f t="shared" si="50"/>
        <v/>
      </c>
      <c r="AG104" s="374" t="str">
        <f t="shared" si="51"/>
        <v/>
      </c>
      <c r="AH104" s="374" t="str">
        <f t="shared" si="52"/>
        <v/>
      </c>
      <c r="AI104" s="374">
        <f t="shared" si="53"/>
        <v>1</v>
      </c>
      <c r="AJ104" s="374">
        <f t="shared" si="54"/>
        <v>1</v>
      </c>
      <c r="AK104" s="374" t="str">
        <f t="shared" si="55"/>
        <v/>
      </c>
      <c r="AL104" s="374" t="str">
        <f t="shared" si="56"/>
        <v/>
      </c>
      <c r="AM104" s="514" t="str">
        <f t="shared" si="57"/>
        <v/>
      </c>
      <c r="BS104" s="503">
        <v>1</v>
      </c>
      <c r="BT104" s="503">
        <v>1</v>
      </c>
    </row>
    <row r="105" spans="1:78" x14ac:dyDescent="0.25">
      <c r="A105" s="1097"/>
      <c r="B105" s="551">
        <f ca="1">IFERROR(IF(P105&lt;&gt;1,select!$A$8,rand!C105),"")</f>
        <v>18</v>
      </c>
      <c r="C105" s="413">
        <v>18</v>
      </c>
      <c r="D105" s="71" t="str">
        <f ca="1">IF($D$3=1,IFERROR(OFFSET(P105,0,select!$M$1361),""),"")</f>
        <v/>
      </c>
      <c r="E105" s="71" t="str">
        <f ca="1">IF($E$3=1,IFERROR(OFFSET(P105,0,select!$M$1362),""),"")</f>
        <v/>
      </c>
      <c r="F105" s="71" t="str">
        <f ca="1">IF($F$3=1,IFERROR(OFFSET(P105,0,select!$M$1363),""),"")</f>
        <v/>
      </c>
      <c r="G105" s="71">
        <f ca="1">IF($G$3=1,IFERROR(OFFSET(P105,0,select!$M$1364),""),"")</f>
        <v>1</v>
      </c>
      <c r="P105" s="71">
        <f t="shared" ca="1" si="70"/>
        <v>1</v>
      </c>
      <c r="Q105" s="374" t="str">
        <f t="shared" si="59"/>
        <v/>
      </c>
      <c r="R105" s="374" t="str">
        <f t="shared" si="60"/>
        <v/>
      </c>
      <c r="S105" s="374" t="str">
        <f t="shared" si="61"/>
        <v/>
      </c>
      <c r="T105" s="374" t="str">
        <f t="shared" si="62"/>
        <v/>
      </c>
      <c r="U105" s="374" t="str">
        <f t="shared" si="67"/>
        <v/>
      </c>
      <c r="V105" s="374" t="str">
        <f t="shared" si="63"/>
        <v/>
      </c>
      <c r="W105" s="374" t="str">
        <f t="shared" si="64"/>
        <v/>
      </c>
      <c r="X105" s="374" t="str">
        <f t="shared" si="65"/>
        <v/>
      </c>
      <c r="Y105" s="374" t="str">
        <f t="shared" si="66"/>
        <v/>
      </c>
      <c r="Z105" s="374" t="str">
        <f t="shared" si="44"/>
        <v/>
      </c>
      <c r="AA105" s="374" t="str">
        <f t="shared" si="45"/>
        <v/>
      </c>
      <c r="AB105" s="374" t="str">
        <f t="shared" si="46"/>
        <v/>
      </c>
      <c r="AC105" s="374" t="str">
        <f t="shared" si="47"/>
        <v/>
      </c>
      <c r="AD105" s="374" t="str">
        <f t="shared" si="48"/>
        <v/>
      </c>
      <c r="AE105" s="374" t="str">
        <f t="shared" si="49"/>
        <v/>
      </c>
      <c r="AF105" s="374" t="str">
        <f t="shared" si="50"/>
        <v/>
      </c>
      <c r="AG105" s="374" t="str">
        <f t="shared" si="51"/>
        <v/>
      </c>
      <c r="AH105" s="374" t="str">
        <f t="shared" si="52"/>
        <v/>
      </c>
      <c r="AI105" s="374">
        <f t="shared" si="53"/>
        <v>1</v>
      </c>
      <c r="AJ105" s="374">
        <f t="shared" si="54"/>
        <v>1</v>
      </c>
      <c r="AK105" s="374" t="str">
        <f t="shared" si="55"/>
        <v/>
      </c>
      <c r="AL105" s="374">
        <f t="shared" si="56"/>
        <v>1</v>
      </c>
      <c r="AM105" s="514" t="str">
        <f t="shared" si="57"/>
        <v/>
      </c>
      <c r="BS105" s="503">
        <v>1</v>
      </c>
      <c r="BT105" s="503">
        <v>1</v>
      </c>
      <c r="BV105" s="503">
        <v>1</v>
      </c>
    </row>
    <row r="106" spans="1:78" x14ac:dyDescent="0.25">
      <c r="A106" s="1097"/>
      <c r="B106" s="551">
        <f ca="1">IFERROR(IF(P106&lt;&gt;1,select!$A$8,rand!C106),"")</f>
        <v>17</v>
      </c>
      <c r="C106" s="413">
        <v>17</v>
      </c>
      <c r="D106" s="71" t="str">
        <f ca="1">IF($D$3=1,IFERROR(OFFSET(P106,0,select!$M$1361),""),"")</f>
        <v/>
      </c>
      <c r="E106" s="71" t="str">
        <f ca="1">IF($E$3=1,IFERROR(OFFSET(P106,0,select!$M$1362),""),"")</f>
        <v/>
      </c>
      <c r="F106" s="71" t="str">
        <f ca="1">IF($F$3=1,IFERROR(OFFSET(P106,0,select!$M$1363),""),"")</f>
        <v/>
      </c>
      <c r="G106" s="71">
        <f ca="1">IF($G$3=1,IFERROR(OFFSET(P106,0,select!$M$1364),""),"")</f>
        <v>1</v>
      </c>
      <c r="P106" s="71">
        <f t="shared" ca="1" si="70"/>
        <v>1</v>
      </c>
      <c r="Q106" s="374" t="str">
        <f t="shared" si="59"/>
        <v/>
      </c>
      <c r="R106" s="374" t="str">
        <f t="shared" si="60"/>
        <v/>
      </c>
      <c r="S106" s="374" t="str">
        <f t="shared" si="61"/>
        <v/>
      </c>
      <c r="T106" s="374" t="str">
        <f t="shared" si="62"/>
        <v/>
      </c>
      <c r="U106" s="374" t="str">
        <f t="shared" si="67"/>
        <v/>
      </c>
      <c r="V106" s="374" t="str">
        <f t="shared" si="63"/>
        <v/>
      </c>
      <c r="W106" s="374" t="str">
        <f t="shared" si="64"/>
        <v/>
      </c>
      <c r="X106" s="374" t="str">
        <f t="shared" si="65"/>
        <v/>
      </c>
      <c r="Y106" s="374" t="str">
        <f t="shared" si="66"/>
        <v/>
      </c>
      <c r="Z106" s="374" t="str">
        <f t="shared" si="44"/>
        <v/>
      </c>
      <c r="AA106" s="374" t="str">
        <f t="shared" si="45"/>
        <v/>
      </c>
      <c r="AB106" s="374" t="str">
        <f t="shared" si="46"/>
        <v/>
      </c>
      <c r="AC106" s="374" t="str">
        <f t="shared" si="47"/>
        <v/>
      </c>
      <c r="AD106" s="374" t="str">
        <f t="shared" si="48"/>
        <v/>
      </c>
      <c r="AE106" s="374" t="str">
        <f t="shared" si="49"/>
        <v/>
      </c>
      <c r="AF106" s="374" t="str">
        <f t="shared" si="50"/>
        <v/>
      </c>
      <c r="AG106" s="374" t="str">
        <f t="shared" si="51"/>
        <v/>
      </c>
      <c r="AH106" s="374" t="str">
        <f t="shared" si="52"/>
        <v/>
      </c>
      <c r="AI106" s="374">
        <f t="shared" si="53"/>
        <v>1</v>
      </c>
      <c r="AJ106" s="374" t="str">
        <f t="shared" si="54"/>
        <v/>
      </c>
      <c r="AK106" s="374" t="str">
        <f t="shared" si="55"/>
        <v/>
      </c>
      <c r="AL106" s="374" t="str">
        <f t="shared" si="56"/>
        <v/>
      </c>
      <c r="AM106" s="514" t="str">
        <f t="shared" si="57"/>
        <v/>
      </c>
      <c r="BS106" s="503">
        <v>1</v>
      </c>
    </row>
    <row r="107" spans="1:78" x14ac:dyDescent="0.25">
      <c r="A107" s="1097"/>
      <c r="B107" s="551">
        <f ca="1">IFERROR(IF(P107&lt;&gt;1,select!$A$8,rand!C107),"")</f>
        <v>16</v>
      </c>
      <c r="C107" s="413">
        <v>16</v>
      </c>
      <c r="D107" s="71" t="str">
        <f ca="1">IF($D$3=1,IFERROR(OFFSET(P107,0,select!$M$1361),""),"")</f>
        <v/>
      </c>
      <c r="E107" s="71" t="str">
        <f ca="1">IF($E$3=1,IFERROR(OFFSET(P107,0,select!$M$1362),""),"")</f>
        <v/>
      </c>
      <c r="F107" s="71" t="str">
        <f ca="1">IF($F$3=1,IFERROR(OFFSET(P107,0,select!$M$1363),""),"")</f>
        <v/>
      </c>
      <c r="G107" s="71">
        <f ca="1">IF($G$3=1,IFERROR(OFFSET(P107,0,select!$M$1364),""),"")</f>
        <v>1</v>
      </c>
      <c r="P107" s="71">
        <f t="shared" ca="1" si="70"/>
        <v>1</v>
      </c>
      <c r="Q107" s="374" t="str">
        <f t="shared" si="59"/>
        <v/>
      </c>
      <c r="R107" s="374" t="str">
        <f t="shared" si="60"/>
        <v/>
      </c>
      <c r="S107" s="374" t="str">
        <f t="shared" si="61"/>
        <v/>
      </c>
      <c r="T107" s="374" t="str">
        <f t="shared" si="62"/>
        <v/>
      </c>
      <c r="U107" s="374" t="str">
        <f t="shared" si="67"/>
        <v/>
      </c>
      <c r="V107" s="374" t="str">
        <f t="shared" si="63"/>
        <v/>
      </c>
      <c r="W107" s="374" t="str">
        <f t="shared" si="64"/>
        <v/>
      </c>
      <c r="X107" s="374" t="str">
        <f t="shared" si="65"/>
        <v/>
      </c>
      <c r="Y107" s="374" t="str">
        <f t="shared" si="66"/>
        <v/>
      </c>
      <c r="Z107" s="374" t="str">
        <f t="shared" si="44"/>
        <v/>
      </c>
      <c r="AA107" s="374" t="str">
        <f t="shared" si="45"/>
        <v/>
      </c>
      <c r="AB107" s="374" t="str">
        <f t="shared" si="46"/>
        <v/>
      </c>
      <c r="AC107" s="374" t="str">
        <f t="shared" si="47"/>
        <v/>
      </c>
      <c r="AD107" s="374" t="str">
        <f t="shared" si="48"/>
        <v/>
      </c>
      <c r="AE107" s="374" t="str">
        <f t="shared" si="49"/>
        <v/>
      </c>
      <c r="AF107" s="374" t="str">
        <f t="shared" si="50"/>
        <v/>
      </c>
      <c r="AG107" s="374" t="str">
        <f t="shared" si="51"/>
        <v/>
      </c>
      <c r="AH107" s="374" t="str">
        <f t="shared" si="52"/>
        <v/>
      </c>
      <c r="AI107" s="374">
        <f t="shared" si="53"/>
        <v>1</v>
      </c>
      <c r="AJ107" s="374">
        <f t="shared" si="54"/>
        <v>1</v>
      </c>
      <c r="AK107" s="374" t="str">
        <f t="shared" si="55"/>
        <v/>
      </c>
      <c r="AL107" s="374">
        <f t="shared" si="56"/>
        <v>1</v>
      </c>
      <c r="AM107" s="514" t="str">
        <f t="shared" si="57"/>
        <v/>
      </c>
      <c r="BS107" s="503">
        <v>1</v>
      </c>
      <c r="BT107" s="503">
        <v>1</v>
      </c>
      <c r="BV107" s="503">
        <v>1</v>
      </c>
    </row>
    <row r="108" spans="1:78" x14ac:dyDescent="0.25">
      <c r="A108" s="1097"/>
      <c r="B108" s="551">
        <f ca="1">IFERROR(IF(P108&lt;&gt;1,select!$A$8,rand!C108),"")</f>
        <v>15</v>
      </c>
      <c r="C108" s="413">
        <v>15</v>
      </c>
      <c r="D108" s="71" t="str">
        <f ca="1">IF($D$3=1,IFERROR(OFFSET(P108,0,select!$M$1361),""),"")</f>
        <v/>
      </c>
      <c r="E108" s="71" t="str">
        <f ca="1">IF($E$3=1,IFERROR(OFFSET(P108,0,select!$M$1362),""),"")</f>
        <v/>
      </c>
      <c r="F108" s="71" t="str">
        <f ca="1">IF($F$3=1,IFERROR(OFFSET(P108,0,select!$M$1363),""),"")</f>
        <v/>
      </c>
      <c r="G108" s="71">
        <f ca="1">IF($G$3=1,IFERROR(OFFSET(P108,0,select!$M$1364),""),"")</f>
        <v>1</v>
      </c>
      <c r="P108" s="71">
        <f t="shared" ca="1" si="70"/>
        <v>1</v>
      </c>
      <c r="Q108" s="374" t="str">
        <f t="shared" si="59"/>
        <v/>
      </c>
      <c r="R108" s="374" t="str">
        <f t="shared" si="60"/>
        <v/>
      </c>
      <c r="S108" s="374" t="str">
        <f t="shared" si="61"/>
        <v/>
      </c>
      <c r="T108" s="374" t="str">
        <f t="shared" si="62"/>
        <v/>
      </c>
      <c r="U108" s="374" t="str">
        <f t="shared" si="67"/>
        <v/>
      </c>
      <c r="V108" s="374" t="str">
        <f t="shared" si="63"/>
        <v/>
      </c>
      <c r="W108" s="374" t="str">
        <f t="shared" si="64"/>
        <v/>
      </c>
      <c r="X108" s="374" t="str">
        <f t="shared" si="65"/>
        <v/>
      </c>
      <c r="Y108" s="374" t="str">
        <f t="shared" si="66"/>
        <v/>
      </c>
      <c r="Z108" s="374" t="str">
        <f t="shared" si="44"/>
        <v/>
      </c>
      <c r="AA108" s="374" t="str">
        <f t="shared" si="45"/>
        <v/>
      </c>
      <c r="AB108" s="374" t="str">
        <f t="shared" si="46"/>
        <v/>
      </c>
      <c r="AC108" s="374" t="str">
        <f t="shared" si="47"/>
        <v/>
      </c>
      <c r="AD108" s="374" t="str">
        <f t="shared" si="48"/>
        <v/>
      </c>
      <c r="AE108" s="374" t="str">
        <f t="shared" si="49"/>
        <v/>
      </c>
      <c r="AF108" s="374" t="str">
        <f t="shared" si="50"/>
        <v/>
      </c>
      <c r="AG108" s="374" t="str">
        <f t="shared" si="51"/>
        <v/>
      </c>
      <c r="AH108" s="374" t="str">
        <f t="shared" si="52"/>
        <v/>
      </c>
      <c r="AI108" s="374">
        <f t="shared" si="53"/>
        <v>1</v>
      </c>
      <c r="AJ108" s="374" t="str">
        <f t="shared" si="54"/>
        <v/>
      </c>
      <c r="AK108" s="374" t="str">
        <f t="shared" si="55"/>
        <v/>
      </c>
      <c r="AL108" s="374" t="str">
        <f t="shared" si="56"/>
        <v/>
      </c>
      <c r="AM108" s="514" t="str">
        <f t="shared" si="57"/>
        <v/>
      </c>
      <c r="BS108" s="503">
        <v>1</v>
      </c>
    </row>
    <row r="109" spans="1:78" x14ac:dyDescent="0.25">
      <c r="A109" s="1097"/>
      <c r="B109" s="551">
        <f ca="1">IFERROR(IF(P109&lt;&gt;1,select!$A$8,rand!C109),"")</f>
        <v>14</v>
      </c>
      <c r="C109" s="413">
        <v>14</v>
      </c>
      <c r="D109" s="71" t="str">
        <f ca="1">IF($D$3=1,IFERROR(OFFSET(P109,0,select!$M$1361),""),"")</f>
        <v/>
      </c>
      <c r="E109" s="71" t="str">
        <f ca="1">IF($E$3=1,IFERROR(OFFSET(P109,0,select!$M$1362),""),"")</f>
        <v/>
      </c>
      <c r="F109" s="71" t="str">
        <f ca="1">IF($F$3=1,IFERROR(OFFSET(P109,0,select!$M$1363),""),"")</f>
        <v/>
      </c>
      <c r="G109" s="71">
        <f ca="1">IF($G$3=1,IFERROR(OFFSET(P109,0,select!$M$1364),""),"")</f>
        <v>1</v>
      </c>
      <c r="P109" s="71">
        <f t="shared" ca="1" si="70"/>
        <v>1</v>
      </c>
      <c r="Q109" s="374" t="str">
        <f t="shared" si="59"/>
        <v/>
      </c>
      <c r="R109" s="374" t="str">
        <f t="shared" si="60"/>
        <v/>
      </c>
      <c r="S109" s="374" t="str">
        <f t="shared" si="61"/>
        <v/>
      </c>
      <c r="T109" s="374" t="str">
        <f t="shared" si="62"/>
        <v/>
      </c>
      <c r="U109" s="374" t="str">
        <f t="shared" si="67"/>
        <v/>
      </c>
      <c r="V109" s="374" t="str">
        <f t="shared" si="63"/>
        <v/>
      </c>
      <c r="W109" s="374" t="str">
        <f t="shared" si="64"/>
        <v/>
      </c>
      <c r="X109" s="374" t="str">
        <f t="shared" si="65"/>
        <v/>
      </c>
      <c r="Y109" s="374" t="str">
        <f t="shared" si="66"/>
        <v/>
      </c>
      <c r="Z109" s="374" t="str">
        <f t="shared" si="44"/>
        <v/>
      </c>
      <c r="AA109" s="374" t="str">
        <f t="shared" si="45"/>
        <v/>
      </c>
      <c r="AB109" s="374" t="str">
        <f t="shared" si="46"/>
        <v/>
      </c>
      <c r="AC109" s="374" t="str">
        <f t="shared" si="47"/>
        <v/>
      </c>
      <c r="AD109" s="374" t="str">
        <f t="shared" si="48"/>
        <v/>
      </c>
      <c r="AE109" s="374" t="str">
        <f t="shared" si="49"/>
        <v/>
      </c>
      <c r="AF109" s="374" t="str">
        <f t="shared" si="50"/>
        <v/>
      </c>
      <c r="AG109" s="374" t="str">
        <f t="shared" si="51"/>
        <v/>
      </c>
      <c r="AH109" s="374" t="str">
        <f t="shared" si="52"/>
        <v/>
      </c>
      <c r="AI109" s="374">
        <f t="shared" si="53"/>
        <v>1</v>
      </c>
      <c r="AJ109" s="374">
        <f t="shared" si="54"/>
        <v>1</v>
      </c>
      <c r="AK109" s="374" t="str">
        <f t="shared" si="55"/>
        <v/>
      </c>
      <c r="AL109" s="374">
        <f t="shared" si="56"/>
        <v>1</v>
      </c>
      <c r="AM109" s="514" t="str">
        <f t="shared" si="57"/>
        <v/>
      </c>
      <c r="BS109" s="503">
        <v>1</v>
      </c>
      <c r="BT109" s="503">
        <v>1</v>
      </c>
      <c r="BV109" s="503">
        <v>1</v>
      </c>
    </row>
    <row r="110" spans="1:78" x14ac:dyDescent="0.25">
      <c r="A110" s="1097"/>
      <c r="B110" s="551">
        <f ca="1">IFERROR(IF(P110&lt;&gt;1,select!$A$8,rand!C110),"")</f>
        <v>13</v>
      </c>
      <c r="C110" s="413">
        <v>13</v>
      </c>
      <c r="D110" s="71" t="str">
        <f ca="1">IF($D$3=1,IFERROR(OFFSET(P110,0,select!$M$1361),""),"")</f>
        <v/>
      </c>
      <c r="E110" s="71" t="str">
        <f ca="1">IF($E$3=1,IFERROR(OFFSET(P110,0,select!$M$1362),""),"")</f>
        <v/>
      </c>
      <c r="F110" s="71" t="str">
        <f ca="1">IF($F$3=1,IFERROR(OFFSET(P110,0,select!$M$1363),""),"")</f>
        <v/>
      </c>
      <c r="G110" s="71">
        <f ca="1">IF($G$3=1,IFERROR(OFFSET(P110,0,select!$M$1364),""),"")</f>
        <v>1</v>
      </c>
      <c r="P110" s="71">
        <f t="shared" ca="1" si="70"/>
        <v>1</v>
      </c>
      <c r="Q110" s="374" t="str">
        <f t="shared" si="59"/>
        <v/>
      </c>
      <c r="R110" s="374" t="str">
        <f t="shared" si="60"/>
        <v/>
      </c>
      <c r="S110" s="374" t="str">
        <f t="shared" si="61"/>
        <v/>
      </c>
      <c r="T110" s="374" t="str">
        <f t="shared" si="62"/>
        <v/>
      </c>
      <c r="U110" s="374" t="str">
        <f t="shared" si="67"/>
        <v/>
      </c>
      <c r="V110" s="374" t="str">
        <f t="shared" si="63"/>
        <v/>
      </c>
      <c r="W110" s="374" t="str">
        <f t="shared" si="64"/>
        <v/>
      </c>
      <c r="X110" s="374" t="str">
        <f t="shared" si="65"/>
        <v/>
      </c>
      <c r="Y110" s="374" t="str">
        <f t="shared" si="66"/>
        <v/>
      </c>
      <c r="Z110" s="374" t="str">
        <f t="shared" si="44"/>
        <v/>
      </c>
      <c r="AA110" s="374" t="str">
        <f t="shared" si="45"/>
        <v/>
      </c>
      <c r="AB110" s="374" t="str">
        <f t="shared" si="46"/>
        <v/>
      </c>
      <c r="AC110" s="374" t="str">
        <f t="shared" si="47"/>
        <v/>
      </c>
      <c r="AD110" s="374" t="str">
        <f t="shared" si="48"/>
        <v/>
      </c>
      <c r="AE110" s="374" t="str">
        <f t="shared" si="49"/>
        <v/>
      </c>
      <c r="AF110" s="374" t="str">
        <f t="shared" si="50"/>
        <v/>
      </c>
      <c r="AG110" s="374" t="str">
        <f t="shared" si="51"/>
        <v/>
      </c>
      <c r="AH110" s="374" t="str">
        <f t="shared" si="52"/>
        <v/>
      </c>
      <c r="AI110" s="374">
        <f t="shared" si="53"/>
        <v>1</v>
      </c>
      <c r="AJ110" s="374">
        <f t="shared" si="54"/>
        <v>1</v>
      </c>
      <c r="AK110" s="374" t="str">
        <f t="shared" si="55"/>
        <v/>
      </c>
      <c r="AL110" s="374">
        <f t="shared" si="56"/>
        <v>1</v>
      </c>
      <c r="AM110" s="514" t="str">
        <f t="shared" si="57"/>
        <v/>
      </c>
      <c r="BS110" s="503">
        <v>1</v>
      </c>
      <c r="BT110" s="503">
        <v>1</v>
      </c>
      <c r="BV110" s="503">
        <v>1</v>
      </c>
    </row>
    <row r="111" spans="1:78" x14ac:dyDescent="0.25">
      <c r="A111" s="1097"/>
      <c r="B111" s="551">
        <f ca="1">IFERROR(IF(P111&lt;&gt;1,select!$A$8,rand!C111),"")</f>
        <v>12</v>
      </c>
      <c r="C111" s="413">
        <v>12</v>
      </c>
      <c r="D111" s="71" t="str">
        <f ca="1">IF($D$3=1,IFERROR(OFFSET(P111,0,select!$M$1361),""),"")</f>
        <v/>
      </c>
      <c r="E111" s="71" t="str">
        <f ca="1">IF($E$3=1,IFERROR(OFFSET(P111,0,select!$M$1362),""),"")</f>
        <v/>
      </c>
      <c r="F111" s="71" t="str">
        <f ca="1">IF($F$3=1,IFERROR(OFFSET(P111,0,select!$M$1363),""),"")</f>
        <v/>
      </c>
      <c r="G111" s="71">
        <f ca="1">IF($G$3=1,IFERROR(OFFSET(P111,0,select!$M$1364),""),"")</f>
        <v>1</v>
      </c>
      <c r="P111" s="71">
        <f t="shared" ca="1" si="70"/>
        <v>1</v>
      </c>
      <c r="Q111" s="374" t="str">
        <f t="shared" si="59"/>
        <v/>
      </c>
      <c r="R111" s="374" t="str">
        <f t="shared" si="60"/>
        <v/>
      </c>
      <c r="S111" s="374" t="str">
        <f t="shared" si="61"/>
        <v/>
      </c>
      <c r="T111" s="374" t="str">
        <f t="shared" si="62"/>
        <v/>
      </c>
      <c r="U111" s="374" t="str">
        <f t="shared" si="67"/>
        <v/>
      </c>
      <c r="V111" s="374" t="str">
        <f t="shared" si="63"/>
        <v/>
      </c>
      <c r="W111" s="374" t="str">
        <f t="shared" si="64"/>
        <v/>
      </c>
      <c r="X111" s="374" t="str">
        <f t="shared" si="65"/>
        <v/>
      </c>
      <c r="Y111" s="374" t="str">
        <f t="shared" si="66"/>
        <v/>
      </c>
      <c r="Z111" s="374" t="str">
        <f t="shared" si="44"/>
        <v/>
      </c>
      <c r="AA111" s="374" t="str">
        <f t="shared" si="45"/>
        <v/>
      </c>
      <c r="AB111" s="374" t="str">
        <f t="shared" si="46"/>
        <v/>
      </c>
      <c r="AC111" s="374" t="str">
        <f t="shared" si="47"/>
        <v/>
      </c>
      <c r="AD111" s="374" t="str">
        <f t="shared" si="48"/>
        <v/>
      </c>
      <c r="AE111" s="374" t="str">
        <f t="shared" si="49"/>
        <v/>
      </c>
      <c r="AF111" s="374" t="str">
        <f t="shared" si="50"/>
        <v/>
      </c>
      <c r="AG111" s="374" t="str">
        <f t="shared" si="51"/>
        <v/>
      </c>
      <c r="AH111" s="374" t="str">
        <f t="shared" si="52"/>
        <v/>
      </c>
      <c r="AI111" s="374">
        <f t="shared" si="53"/>
        <v>1</v>
      </c>
      <c r="AJ111" s="374" t="str">
        <f t="shared" si="54"/>
        <v/>
      </c>
      <c r="AK111" s="374" t="str">
        <f t="shared" si="55"/>
        <v/>
      </c>
      <c r="AL111" s="374" t="str">
        <f t="shared" si="56"/>
        <v/>
      </c>
      <c r="AM111" s="514" t="str">
        <f t="shared" si="57"/>
        <v/>
      </c>
      <c r="BS111" s="503">
        <v>1</v>
      </c>
    </row>
    <row r="112" spans="1:78" x14ac:dyDescent="0.25">
      <c r="A112" s="1097"/>
      <c r="B112" s="551">
        <f ca="1">IFERROR(IF(P112&lt;&gt;1,select!$A$8,rand!C112),"")</f>
        <v>11</v>
      </c>
      <c r="C112" s="413">
        <v>11</v>
      </c>
      <c r="D112" s="71" t="str">
        <f ca="1">IF($D$3=1,IFERROR(OFFSET(P112,0,select!$M$1361),""),"")</f>
        <v/>
      </c>
      <c r="E112" s="71" t="str">
        <f ca="1">IF($E$3=1,IFERROR(OFFSET(P112,0,select!$M$1362),""),"")</f>
        <v/>
      </c>
      <c r="F112" s="71" t="str">
        <f ca="1">IF($F$3=1,IFERROR(OFFSET(P112,0,select!$M$1363),""),"")</f>
        <v/>
      </c>
      <c r="G112" s="71">
        <f ca="1">IF($G$3=1,IFERROR(OFFSET(P112,0,select!$M$1364),""),"")</f>
        <v>1</v>
      </c>
      <c r="P112" s="71">
        <f t="shared" ca="1" si="70"/>
        <v>1</v>
      </c>
      <c r="Q112" s="374" t="str">
        <f t="shared" si="59"/>
        <v/>
      </c>
      <c r="R112" s="374" t="str">
        <f t="shared" si="60"/>
        <v/>
      </c>
      <c r="S112" s="374" t="str">
        <f t="shared" si="61"/>
        <v/>
      </c>
      <c r="T112" s="374" t="str">
        <f t="shared" si="62"/>
        <v/>
      </c>
      <c r="U112" s="374" t="str">
        <f t="shared" si="67"/>
        <v/>
      </c>
      <c r="V112" s="374" t="str">
        <f t="shared" si="63"/>
        <v/>
      </c>
      <c r="W112" s="374" t="str">
        <f t="shared" si="64"/>
        <v/>
      </c>
      <c r="X112" s="374" t="str">
        <f t="shared" si="65"/>
        <v/>
      </c>
      <c r="Y112" s="374" t="str">
        <f t="shared" si="66"/>
        <v/>
      </c>
      <c r="Z112" s="374" t="str">
        <f t="shared" si="44"/>
        <v/>
      </c>
      <c r="AA112" s="374" t="str">
        <f t="shared" si="45"/>
        <v/>
      </c>
      <c r="AB112" s="374" t="str">
        <f t="shared" si="46"/>
        <v/>
      </c>
      <c r="AC112" s="374" t="str">
        <f t="shared" si="47"/>
        <v/>
      </c>
      <c r="AD112" s="374" t="str">
        <f t="shared" si="48"/>
        <v/>
      </c>
      <c r="AE112" s="374" t="str">
        <f t="shared" si="49"/>
        <v/>
      </c>
      <c r="AF112" s="374" t="str">
        <f t="shared" si="50"/>
        <v/>
      </c>
      <c r="AG112" s="374" t="str">
        <f t="shared" si="51"/>
        <v/>
      </c>
      <c r="AH112" s="374" t="str">
        <f t="shared" si="52"/>
        <v/>
      </c>
      <c r="AI112" s="374">
        <f t="shared" si="53"/>
        <v>1</v>
      </c>
      <c r="AJ112" s="374">
        <f t="shared" si="54"/>
        <v>1</v>
      </c>
      <c r="AK112" s="374" t="str">
        <f t="shared" si="55"/>
        <v/>
      </c>
      <c r="AL112" s="374">
        <f t="shared" si="56"/>
        <v>1</v>
      </c>
      <c r="AM112" s="514" t="str">
        <f t="shared" si="57"/>
        <v/>
      </c>
      <c r="BS112" s="503">
        <v>1</v>
      </c>
      <c r="BT112" s="503">
        <v>1</v>
      </c>
      <c r="BV112" s="503">
        <v>1</v>
      </c>
    </row>
    <row r="113" spans="1:78" x14ac:dyDescent="0.25">
      <c r="A113" s="1097"/>
      <c r="B113" s="551">
        <f ca="1">IFERROR(IF(P113&lt;&gt;1,select!$A$8,rand!C113),"")</f>
        <v>10</v>
      </c>
      <c r="C113" s="413">
        <v>10</v>
      </c>
      <c r="D113" s="71" t="str">
        <f ca="1">IF($D$3=1,IFERROR(OFFSET(P113,0,select!$M$1361),""),"")</f>
        <v/>
      </c>
      <c r="E113" s="71" t="str">
        <f ca="1">IF($E$3=1,IFERROR(OFFSET(P113,0,select!$M$1362),""),"")</f>
        <v/>
      </c>
      <c r="F113" s="71" t="str">
        <f ca="1">IF($F$3=1,IFERROR(OFFSET(P113,0,select!$M$1363),""),"")</f>
        <v/>
      </c>
      <c r="G113" s="71">
        <f ca="1">IF($G$3=1,IFERROR(OFFSET(P113,0,select!$M$1364),""),"")</f>
        <v>1</v>
      </c>
      <c r="P113" s="71">
        <f t="shared" ca="1" si="70"/>
        <v>1</v>
      </c>
      <c r="Q113" s="374" t="str">
        <f t="shared" si="59"/>
        <v/>
      </c>
      <c r="R113" s="374" t="str">
        <f t="shared" si="60"/>
        <v/>
      </c>
      <c r="S113" s="374">
        <f t="shared" si="61"/>
        <v>1</v>
      </c>
      <c r="T113" s="374" t="str">
        <f t="shared" si="62"/>
        <v/>
      </c>
      <c r="U113" s="374" t="str">
        <f t="shared" si="67"/>
        <v/>
      </c>
      <c r="V113" s="374" t="str">
        <f t="shared" si="63"/>
        <v/>
      </c>
      <c r="W113" s="374" t="str">
        <f t="shared" si="64"/>
        <v/>
      </c>
      <c r="X113" s="374" t="str">
        <f t="shared" si="65"/>
        <v/>
      </c>
      <c r="Y113" s="374" t="str">
        <f t="shared" si="66"/>
        <v/>
      </c>
      <c r="Z113" s="374" t="str">
        <f t="shared" si="44"/>
        <v/>
      </c>
      <c r="AA113" s="374" t="str">
        <f t="shared" si="45"/>
        <v/>
      </c>
      <c r="AB113" s="374" t="str">
        <f t="shared" si="46"/>
        <v/>
      </c>
      <c r="AC113" s="374" t="str">
        <f t="shared" si="47"/>
        <v/>
      </c>
      <c r="AD113" s="374" t="str">
        <f t="shared" si="48"/>
        <v/>
      </c>
      <c r="AE113" s="374" t="str">
        <f t="shared" si="49"/>
        <v/>
      </c>
      <c r="AF113" s="374" t="str">
        <f t="shared" si="50"/>
        <v/>
      </c>
      <c r="AG113" s="374" t="str">
        <f t="shared" si="51"/>
        <v/>
      </c>
      <c r="AH113" s="374" t="str">
        <f t="shared" si="52"/>
        <v/>
      </c>
      <c r="AI113" s="374">
        <f t="shared" si="53"/>
        <v>1</v>
      </c>
      <c r="AJ113" s="374" t="str">
        <f t="shared" si="54"/>
        <v/>
      </c>
      <c r="AK113" s="374" t="str">
        <f t="shared" si="55"/>
        <v/>
      </c>
      <c r="AL113" s="374" t="str">
        <f t="shared" si="56"/>
        <v/>
      </c>
      <c r="AM113" s="514" t="str">
        <f t="shared" si="57"/>
        <v/>
      </c>
      <c r="AX113" s="493">
        <v>1</v>
      </c>
      <c r="BS113" s="503">
        <v>1</v>
      </c>
    </row>
    <row r="114" spans="1:78" x14ac:dyDescent="0.25">
      <c r="A114" s="1097"/>
      <c r="B114" s="551">
        <f ca="1">IFERROR(IF(P114&lt;&gt;1,select!$A$8,rand!C114),"")</f>
        <v>9</v>
      </c>
      <c r="C114" s="413">
        <v>9</v>
      </c>
      <c r="D114" s="71" t="str">
        <f ca="1">IF($D$3=1,IFERROR(OFFSET(P114,0,select!$M$1361),""),"")</f>
        <v/>
      </c>
      <c r="E114" s="71" t="str">
        <f ca="1">IF($E$3=1,IFERROR(OFFSET(P114,0,select!$M$1362),""),"")</f>
        <v/>
      </c>
      <c r="F114" s="71" t="str">
        <f ca="1">IF($F$3=1,IFERROR(OFFSET(P114,0,select!$M$1363),""),"")</f>
        <v/>
      </c>
      <c r="G114" s="71">
        <f ca="1">IF($G$3=1,IFERROR(OFFSET(P114,0,select!$M$1364),""),"")</f>
        <v>1</v>
      </c>
      <c r="P114" s="71">
        <f t="shared" ca="1" si="70"/>
        <v>1</v>
      </c>
      <c r="Q114" s="374" t="str">
        <f t="shared" si="59"/>
        <v/>
      </c>
      <c r="R114" s="374" t="str">
        <f t="shared" si="60"/>
        <v/>
      </c>
      <c r="S114" s="374">
        <f t="shared" si="61"/>
        <v>1</v>
      </c>
      <c r="T114" s="374" t="str">
        <f t="shared" si="62"/>
        <v/>
      </c>
      <c r="U114" s="374" t="str">
        <f t="shared" si="67"/>
        <v/>
      </c>
      <c r="V114" s="374" t="str">
        <f t="shared" si="63"/>
        <v/>
      </c>
      <c r="W114" s="374" t="str">
        <f t="shared" si="64"/>
        <v/>
      </c>
      <c r="X114" s="374" t="str">
        <f t="shared" si="65"/>
        <v/>
      </c>
      <c r="Y114" s="374" t="str">
        <f t="shared" si="66"/>
        <v/>
      </c>
      <c r="Z114" s="374" t="str">
        <f t="shared" si="44"/>
        <v/>
      </c>
      <c r="AA114" s="374" t="str">
        <f t="shared" si="45"/>
        <v/>
      </c>
      <c r="AB114" s="374" t="str">
        <f t="shared" si="46"/>
        <v/>
      </c>
      <c r="AC114" s="374" t="str">
        <f t="shared" si="47"/>
        <v/>
      </c>
      <c r="AD114" s="374" t="str">
        <f t="shared" si="48"/>
        <v/>
      </c>
      <c r="AE114" s="374" t="str">
        <f t="shared" si="49"/>
        <v/>
      </c>
      <c r="AF114" s="374" t="str">
        <f t="shared" si="50"/>
        <v/>
      </c>
      <c r="AG114" s="374" t="str">
        <f t="shared" si="51"/>
        <v/>
      </c>
      <c r="AH114" s="374" t="str">
        <f t="shared" si="52"/>
        <v/>
      </c>
      <c r="AI114" s="374">
        <f t="shared" si="53"/>
        <v>1</v>
      </c>
      <c r="AJ114" s="374">
        <f t="shared" si="54"/>
        <v>1</v>
      </c>
      <c r="AK114" s="374" t="str">
        <f t="shared" si="55"/>
        <v/>
      </c>
      <c r="AL114" s="374">
        <f t="shared" si="56"/>
        <v>1</v>
      </c>
      <c r="AM114" s="514" t="str">
        <f t="shared" si="57"/>
        <v/>
      </c>
      <c r="AX114" s="493">
        <v>1</v>
      </c>
      <c r="BS114" s="503">
        <v>1</v>
      </c>
      <c r="BT114" s="503">
        <v>1</v>
      </c>
      <c r="BV114" s="503">
        <v>1</v>
      </c>
    </row>
    <row r="115" spans="1:78" x14ac:dyDescent="0.25">
      <c r="A115" s="1097"/>
      <c r="B115" s="551">
        <f ca="1">IFERROR(IF(P115&lt;&gt;1,select!$A$8,rand!C115),"")</f>
        <v>8</v>
      </c>
      <c r="C115" s="413">
        <v>8</v>
      </c>
      <c r="D115" s="71" t="str">
        <f ca="1">IF($D$3=1,IFERROR(OFFSET(P115,0,select!$M$1361),""),"")</f>
        <v/>
      </c>
      <c r="E115" s="71" t="str">
        <f ca="1">IF($E$3=1,IFERROR(OFFSET(P115,0,select!$M$1362),""),"")</f>
        <v/>
      </c>
      <c r="F115" s="71" t="str">
        <f ca="1">IF($F$3=1,IFERROR(OFFSET(P115,0,select!$M$1363),""),"")</f>
        <v/>
      </c>
      <c r="G115" s="71">
        <f ca="1">IF($G$3=1,IFERROR(OFFSET(P115,0,select!$M$1364),""),"")</f>
        <v>1</v>
      </c>
      <c r="P115" s="71">
        <f t="shared" ca="1" si="70"/>
        <v>1</v>
      </c>
      <c r="Q115" s="374" t="str">
        <f t="shared" si="59"/>
        <v/>
      </c>
      <c r="R115" s="374" t="str">
        <f t="shared" si="60"/>
        <v/>
      </c>
      <c r="S115" s="374">
        <f t="shared" si="61"/>
        <v>1</v>
      </c>
      <c r="T115" s="374" t="str">
        <f t="shared" si="62"/>
        <v/>
      </c>
      <c r="U115" s="374" t="str">
        <f t="shared" si="67"/>
        <v/>
      </c>
      <c r="V115" s="374" t="str">
        <f t="shared" si="63"/>
        <v/>
      </c>
      <c r="W115" s="374" t="str">
        <f t="shared" si="64"/>
        <v/>
      </c>
      <c r="X115" s="374" t="str">
        <f t="shared" si="65"/>
        <v/>
      </c>
      <c r="Y115" s="374" t="str">
        <f t="shared" si="66"/>
        <v/>
      </c>
      <c r="Z115" s="374" t="str">
        <f t="shared" si="44"/>
        <v/>
      </c>
      <c r="AA115" s="374" t="str">
        <f t="shared" si="45"/>
        <v/>
      </c>
      <c r="AB115" s="374" t="str">
        <f t="shared" si="46"/>
        <v/>
      </c>
      <c r="AC115" s="374" t="str">
        <f t="shared" si="47"/>
        <v/>
      </c>
      <c r="AD115" s="374" t="str">
        <f t="shared" si="48"/>
        <v/>
      </c>
      <c r="AE115" s="374" t="str">
        <f t="shared" si="49"/>
        <v/>
      </c>
      <c r="AF115" s="374" t="str">
        <f t="shared" si="50"/>
        <v/>
      </c>
      <c r="AG115" s="374" t="str">
        <f t="shared" si="51"/>
        <v/>
      </c>
      <c r="AH115" s="374" t="str">
        <f t="shared" si="52"/>
        <v/>
      </c>
      <c r="AI115" s="374">
        <f t="shared" si="53"/>
        <v>1</v>
      </c>
      <c r="AJ115" s="374" t="str">
        <f t="shared" si="54"/>
        <v/>
      </c>
      <c r="AK115" s="374" t="str">
        <f t="shared" si="55"/>
        <v/>
      </c>
      <c r="AL115" s="374" t="str">
        <f t="shared" si="56"/>
        <v/>
      </c>
      <c r="AM115" s="514" t="str">
        <f t="shared" si="57"/>
        <v/>
      </c>
      <c r="AX115" s="493">
        <v>1</v>
      </c>
      <c r="BS115" s="503">
        <v>1</v>
      </c>
    </row>
    <row r="116" spans="1:78" x14ac:dyDescent="0.25">
      <c r="A116" s="1097"/>
      <c r="B116" s="551">
        <f ca="1">IFERROR(IF(P116&lt;&gt;1,select!$A$8,rand!C116),"")</f>
        <v>7</v>
      </c>
      <c r="C116" s="413">
        <v>7</v>
      </c>
      <c r="D116" s="71">
        <f ca="1">IF($D$3=1,IFERROR(OFFSET(P116,0,select!$M$1361),""),"")</f>
        <v>1</v>
      </c>
      <c r="E116" s="71">
        <f ca="1">IF($E$3=1,IFERROR(OFFSET(P116,0,select!$M$1362),""),"")</f>
        <v>1</v>
      </c>
      <c r="F116" s="71">
        <f ca="1">IF($F$3=1,IFERROR(OFFSET(P116,0,select!$M$1363),""),"")</f>
        <v>1</v>
      </c>
      <c r="G116" s="71">
        <f ca="1">IF($G$3=1,IFERROR(OFFSET(P116,0,select!$M$1364),""),"")</f>
        <v>1</v>
      </c>
      <c r="P116" s="71">
        <f t="shared" ca="1" si="70"/>
        <v>1</v>
      </c>
      <c r="Q116" s="374">
        <f t="shared" si="59"/>
        <v>1</v>
      </c>
      <c r="R116" s="374">
        <f t="shared" si="60"/>
        <v>1</v>
      </c>
      <c r="S116" s="374">
        <f t="shared" si="61"/>
        <v>1</v>
      </c>
      <c r="T116" s="374">
        <f t="shared" si="62"/>
        <v>1</v>
      </c>
      <c r="U116" s="374">
        <f t="shared" si="67"/>
        <v>1</v>
      </c>
      <c r="V116" s="374">
        <f t="shared" si="63"/>
        <v>1</v>
      </c>
      <c r="W116" s="374">
        <f t="shared" si="64"/>
        <v>1</v>
      </c>
      <c r="X116" s="374">
        <f t="shared" si="65"/>
        <v>1</v>
      </c>
      <c r="Y116" s="374">
        <f t="shared" si="66"/>
        <v>1</v>
      </c>
      <c r="Z116" s="374">
        <f t="shared" si="44"/>
        <v>1</v>
      </c>
      <c r="AA116" s="374">
        <f t="shared" si="45"/>
        <v>1</v>
      </c>
      <c r="AB116" s="374">
        <f t="shared" si="46"/>
        <v>1</v>
      </c>
      <c r="AC116" s="374">
        <f t="shared" si="47"/>
        <v>1</v>
      </c>
      <c r="AD116" s="374">
        <f t="shared" si="48"/>
        <v>1</v>
      </c>
      <c r="AE116" s="374">
        <f t="shared" si="49"/>
        <v>1</v>
      </c>
      <c r="AF116" s="374">
        <f t="shared" si="50"/>
        <v>1</v>
      </c>
      <c r="AG116" s="374" t="str">
        <f t="shared" si="51"/>
        <v/>
      </c>
      <c r="AH116" s="374" t="str">
        <f>IF(SUM(BR116)&gt;0,1,"")</f>
        <v/>
      </c>
      <c r="AI116" s="374">
        <f t="shared" si="53"/>
        <v>1</v>
      </c>
      <c r="AJ116" s="374">
        <f t="shared" si="54"/>
        <v>1</v>
      </c>
      <c r="AK116" s="374" t="str">
        <f t="shared" si="55"/>
        <v/>
      </c>
      <c r="AL116" s="374">
        <f t="shared" si="56"/>
        <v>1</v>
      </c>
      <c r="AM116" s="514" t="str">
        <f t="shared" si="57"/>
        <v/>
      </c>
      <c r="AN116" s="18">
        <v>1</v>
      </c>
      <c r="AO116" s="18">
        <v>1</v>
      </c>
      <c r="AP116" s="18">
        <v>1</v>
      </c>
      <c r="AQ116" s="18">
        <v>1</v>
      </c>
      <c r="AS116" s="416">
        <v>1</v>
      </c>
      <c r="AT116" s="416">
        <v>1</v>
      </c>
      <c r="AU116" s="498">
        <v>1</v>
      </c>
      <c r="AV116" s="498">
        <v>1</v>
      </c>
      <c r="AX116" s="498">
        <v>1</v>
      </c>
      <c r="BD116" s="499">
        <v>1</v>
      </c>
      <c r="BE116" s="503">
        <v>1</v>
      </c>
      <c r="BF116" s="493">
        <v>1</v>
      </c>
      <c r="BG116" s="493">
        <v>1</v>
      </c>
      <c r="BH116" s="493">
        <v>1</v>
      </c>
      <c r="BI116" s="493">
        <v>1</v>
      </c>
      <c r="BJ116" s="493">
        <v>1</v>
      </c>
      <c r="BK116" s="493">
        <v>1</v>
      </c>
      <c r="BL116" s="493">
        <v>1</v>
      </c>
      <c r="BM116" s="493">
        <v>1</v>
      </c>
      <c r="BN116" s="499">
        <v>1</v>
      </c>
      <c r="BO116" s="503">
        <v>1</v>
      </c>
      <c r="BP116" s="503">
        <v>1</v>
      </c>
      <c r="BR116" s="852" t="s">
        <v>1916</v>
      </c>
      <c r="BS116" s="503">
        <v>1</v>
      </c>
      <c r="BT116" s="503">
        <v>1</v>
      </c>
      <c r="BU116" s="852" t="s">
        <v>1916</v>
      </c>
      <c r="BV116" s="503">
        <v>1</v>
      </c>
    </row>
    <row r="117" spans="1:78" x14ac:dyDescent="0.25">
      <c r="A117" s="1097"/>
      <c r="B117" s="551">
        <f ca="1">IFERROR(IF(P117&lt;&gt;1,select!$A$8,rand!C117),"")</f>
        <v>6</v>
      </c>
      <c r="C117" s="413">
        <v>6</v>
      </c>
      <c r="D117" s="71">
        <f ca="1">IF($D$3=1,IFERROR(OFFSET(P117,0,select!$M$1361),""),"")</f>
        <v>1</v>
      </c>
      <c r="E117" s="71">
        <f ca="1">IF($E$3=1,IFERROR(OFFSET(P117,0,select!$M$1362),""),"")</f>
        <v>1</v>
      </c>
      <c r="F117" s="71">
        <f ca="1">IF($F$3=1,IFERROR(OFFSET(P117,0,select!$M$1363),""),"")</f>
        <v>1</v>
      </c>
      <c r="G117" s="71">
        <f ca="1">IF($G$3=1,IFERROR(OFFSET(P117,0,select!$M$1364),""),"")</f>
        <v>1</v>
      </c>
      <c r="P117" s="71">
        <f t="shared" ca="1" si="70"/>
        <v>1</v>
      </c>
      <c r="Q117" s="374">
        <f t="shared" si="59"/>
        <v>1</v>
      </c>
      <c r="R117" s="374">
        <f t="shared" si="60"/>
        <v>1</v>
      </c>
      <c r="S117" s="374">
        <f t="shared" si="61"/>
        <v>1</v>
      </c>
      <c r="T117" s="374">
        <f t="shared" si="62"/>
        <v>1</v>
      </c>
      <c r="U117" s="374">
        <f t="shared" si="67"/>
        <v>1</v>
      </c>
      <c r="V117" s="374">
        <f t="shared" si="63"/>
        <v>1</v>
      </c>
      <c r="W117" s="374">
        <f t="shared" si="64"/>
        <v>1</v>
      </c>
      <c r="X117" s="374">
        <f t="shared" si="65"/>
        <v>1</v>
      </c>
      <c r="Y117" s="374">
        <f t="shared" si="66"/>
        <v>1</v>
      </c>
      <c r="Z117" s="374">
        <f t="shared" si="44"/>
        <v>1</v>
      </c>
      <c r="AA117" s="374">
        <f t="shared" si="45"/>
        <v>1</v>
      </c>
      <c r="AB117" s="374">
        <f t="shared" si="46"/>
        <v>1</v>
      </c>
      <c r="AC117" s="374">
        <f t="shared" si="47"/>
        <v>1</v>
      </c>
      <c r="AD117" s="374">
        <f t="shared" si="48"/>
        <v>1</v>
      </c>
      <c r="AE117" s="374">
        <f t="shared" si="49"/>
        <v>1</v>
      </c>
      <c r="AF117" s="374">
        <f t="shared" si="50"/>
        <v>1</v>
      </c>
      <c r="AG117" s="374" t="str">
        <f t="shared" si="51"/>
        <v/>
      </c>
      <c r="AH117" s="374">
        <f t="shared" si="52"/>
        <v>1</v>
      </c>
      <c r="AI117" s="374">
        <f t="shared" si="53"/>
        <v>1</v>
      </c>
      <c r="AJ117" s="374" t="str">
        <f t="shared" si="54"/>
        <v/>
      </c>
      <c r="AK117" s="374">
        <f t="shared" si="55"/>
        <v>1</v>
      </c>
      <c r="AL117" s="374" t="str">
        <f t="shared" si="56"/>
        <v/>
      </c>
      <c r="AM117" s="514" t="str">
        <f t="shared" si="57"/>
        <v/>
      </c>
      <c r="AN117" s="18">
        <v>1</v>
      </c>
      <c r="AO117" s="18">
        <v>1</v>
      </c>
      <c r="AP117" s="18">
        <v>1</v>
      </c>
      <c r="AQ117" s="18">
        <v>1</v>
      </c>
      <c r="AS117" s="416">
        <v>1</v>
      </c>
      <c r="AT117" s="416">
        <v>1</v>
      </c>
      <c r="AU117" s="493">
        <v>1</v>
      </c>
      <c r="AV117" s="493">
        <v>1</v>
      </c>
      <c r="AX117" s="498">
        <v>1</v>
      </c>
      <c r="BD117" s="499">
        <v>1</v>
      </c>
      <c r="BE117" s="503">
        <v>1</v>
      </c>
      <c r="BF117" s="493">
        <v>1</v>
      </c>
      <c r="BG117" s="493">
        <v>1</v>
      </c>
      <c r="BH117" s="493">
        <v>1</v>
      </c>
      <c r="BI117" s="493">
        <v>1</v>
      </c>
      <c r="BJ117" s="493">
        <v>1</v>
      </c>
      <c r="BK117" s="493">
        <v>1</v>
      </c>
      <c r="BL117" s="493">
        <v>1</v>
      </c>
      <c r="BM117" s="493">
        <v>1</v>
      </c>
      <c r="BN117" s="499">
        <v>1</v>
      </c>
      <c r="BO117" s="503">
        <v>1</v>
      </c>
      <c r="BP117" s="503">
        <v>1</v>
      </c>
      <c r="BR117" s="503">
        <v>1</v>
      </c>
      <c r="BS117" s="503">
        <v>1</v>
      </c>
      <c r="BU117" s="503">
        <v>1</v>
      </c>
    </row>
    <row r="118" spans="1:78" x14ac:dyDescent="0.25">
      <c r="A118" s="1097"/>
      <c r="B118" s="551">
        <f ca="1">IFERROR(IF(P118&lt;&gt;1,select!$A$8,rand!C118),"")</f>
        <v>5</v>
      </c>
      <c r="C118" s="413">
        <v>5</v>
      </c>
      <c r="D118" s="71">
        <f ca="1">IF($D$3=1,IFERROR(OFFSET(P118,0,select!$M$1361),""),"")</f>
        <v>1</v>
      </c>
      <c r="E118" s="71">
        <f ca="1">IF($E$3=1,IFERROR(OFFSET(P118,0,select!$M$1362),""),"")</f>
        <v>1</v>
      </c>
      <c r="F118" s="71">
        <f ca="1">IF($F$3=1,IFERROR(OFFSET(P118,0,select!$M$1363),""),"")</f>
        <v>1</v>
      </c>
      <c r="G118" s="71">
        <f ca="1">IF($G$3=1,IFERROR(OFFSET(P118,0,select!$M$1364),""),"")</f>
        <v>1</v>
      </c>
      <c r="P118" s="71">
        <f t="shared" ca="1" si="70"/>
        <v>1</v>
      </c>
      <c r="Q118" s="374">
        <f t="shared" si="59"/>
        <v>1</v>
      </c>
      <c r="R118" s="374">
        <f t="shared" si="60"/>
        <v>1</v>
      </c>
      <c r="S118" s="374">
        <f t="shared" si="61"/>
        <v>1</v>
      </c>
      <c r="T118" s="374">
        <f t="shared" si="62"/>
        <v>1</v>
      </c>
      <c r="U118" s="374">
        <f t="shared" si="67"/>
        <v>1</v>
      </c>
      <c r="V118" s="374">
        <f t="shared" si="63"/>
        <v>1</v>
      </c>
      <c r="W118" s="374">
        <f t="shared" si="64"/>
        <v>1</v>
      </c>
      <c r="X118" s="374">
        <f t="shared" si="65"/>
        <v>1</v>
      </c>
      <c r="Y118" s="374">
        <f t="shared" si="66"/>
        <v>1</v>
      </c>
      <c r="Z118" s="374">
        <f t="shared" si="44"/>
        <v>1</v>
      </c>
      <c r="AA118" s="374">
        <f t="shared" si="45"/>
        <v>1</v>
      </c>
      <c r="AB118" s="374">
        <f t="shared" si="46"/>
        <v>1</v>
      </c>
      <c r="AC118" s="374">
        <f t="shared" si="47"/>
        <v>1</v>
      </c>
      <c r="AD118" s="374">
        <f t="shared" si="48"/>
        <v>1</v>
      </c>
      <c r="AE118" s="374">
        <f t="shared" si="49"/>
        <v>1</v>
      </c>
      <c r="AF118" s="374">
        <f t="shared" si="50"/>
        <v>1</v>
      </c>
      <c r="AG118" s="374" t="str">
        <f t="shared" si="51"/>
        <v/>
      </c>
      <c r="AH118" s="374">
        <f t="shared" si="52"/>
        <v>1</v>
      </c>
      <c r="AI118" s="374">
        <f t="shared" si="53"/>
        <v>1</v>
      </c>
      <c r="AJ118" s="374">
        <f t="shared" si="54"/>
        <v>1</v>
      </c>
      <c r="AK118" s="374">
        <f t="shared" si="55"/>
        <v>1</v>
      </c>
      <c r="AL118" s="374">
        <f t="shared" si="56"/>
        <v>1</v>
      </c>
      <c r="AM118" s="514" t="str">
        <f t="shared" si="57"/>
        <v/>
      </c>
      <c r="AN118" s="18">
        <v>1</v>
      </c>
      <c r="AO118" s="18">
        <v>1</v>
      </c>
      <c r="AP118" s="18">
        <v>1</v>
      </c>
      <c r="AQ118" s="18">
        <v>1</v>
      </c>
      <c r="AS118" s="416">
        <v>1</v>
      </c>
      <c r="AT118" s="416">
        <v>1</v>
      </c>
      <c r="AU118" s="498">
        <v>1</v>
      </c>
      <c r="AV118" s="498">
        <v>1</v>
      </c>
      <c r="AX118" s="498">
        <v>1</v>
      </c>
      <c r="BD118" s="499">
        <v>1</v>
      </c>
      <c r="BE118" s="503">
        <v>1</v>
      </c>
      <c r="BF118" s="493">
        <v>1</v>
      </c>
      <c r="BG118" s="493">
        <v>1</v>
      </c>
      <c r="BH118" s="493">
        <v>1</v>
      </c>
      <c r="BI118" s="493">
        <v>1</v>
      </c>
      <c r="BJ118" s="493">
        <v>1</v>
      </c>
      <c r="BK118" s="493">
        <v>1</v>
      </c>
      <c r="BL118" s="493">
        <v>1</v>
      </c>
      <c r="BM118" s="493">
        <v>1</v>
      </c>
      <c r="BN118" s="499">
        <v>1</v>
      </c>
      <c r="BO118" s="503">
        <v>1</v>
      </c>
      <c r="BP118" s="503">
        <v>1</v>
      </c>
      <c r="BR118" s="503">
        <v>1</v>
      </c>
      <c r="BS118" s="503">
        <v>1</v>
      </c>
      <c r="BT118" s="503">
        <v>1</v>
      </c>
      <c r="BU118" s="503">
        <v>1</v>
      </c>
      <c r="BV118" s="503">
        <v>1</v>
      </c>
    </row>
    <row r="119" spans="1:78" x14ac:dyDescent="0.25">
      <c r="A119" s="1097"/>
      <c r="B119" s="551">
        <f ca="1">IFERROR(IF(P119&lt;&gt;1,select!$A$8,rand!C119),"")</f>
        <v>4</v>
      </c>
      <c r="C119" s="413">
        <v>4</v>
      </c>
      <c r="D119" s="71">
        <f ca="1">IF($D$3=1,IFERROR(OFFSET(P119,0,select!$M$1361),""),"")</f>
        <v>1</v>
      </c>
      <c r="E119" s="71">
        <f ca="1">IF($E$3=1,IFERROR(OFFSET(P119,0,select!$M$1362),""),"")</f>
        <v>1</v>
      </c>
      <c r="F119" s="71">
        <f ca="1">IF($F$3=1,IFERROR(OFFSET(P119,0,select!$M$1363),""),"")</f>
        <v>1</v>
      </c>
      <c r="G119" s="71">
        <f ca="1">IF($G$3=1,IFERROR(OFFSET(P119,0,select!$M$1364),""),"")</f>
        <v>1</v>
      </c>
      <c r="P119" s="71">
        <f t="shared" ca="1" si="70"/>
        <v>1</v>
      </c>
      <c r="Q119" s="374">
        <f t="shared" si="59"/>
        <v>1</v>
      </c>
      <c r="R119" s="374">
        <f t="shared" si="60"/>
        <v>1</v>
      </c>
      <c r="S119" s="374">
        <f t="shared" si="61"/>
        <v>1</v>
      </c>
      <c r="T119" s="374">
        <f t="shared" si="62"/>
        <v>1</v>
      </c>
      <c r="U119" s="374">
        <f t="shared" si="67"/>
        <v>1</v>
      </c>
      <c r="V119" s="374">
        <f t="shared" si="63"/>
        <v>1</v>
      </c>
      <c r="W119" s="374">
        <f t="shared" si="64"/>
        <v>1</v>
      </c>
      <c r="X119" s="374">
        <f t="shared" si="65"/>
        <v>1</v>
      </c>
      <c r="Y119" s="374">
        <f t="shared" si="66"/>
        <v>1</v>
      </c>
      <c r="Z119" s="374">
        <f t="shared" si="44"/>
        <v>1</v>
      </c>
      <c r="AA119" s="374">
        <f t="shared" si="45"/>
        <v>1</v>
      </c>
      <c r="AB119" s="374">
        <f t="shared" si="46"/>
        <v>1</v>
      </c>
      <c r="AC119" s="374">
        <f t="shared" si="47"/>
        <v>1</v>
      </c>
      <c r="AD119" s="374">
        <f t="shared" si="48"/>
        <v>1</v>
      </c>
      <c r="AE119" s="374">
        <f t="shared" si="49"/>
        <v>1</v>
      </c>
      <c r="AF119" s="374">
        <f t="shared" si="50"/>
        <v>1</v>
      </c>
      <c r="AG119" s="374" t="str">
        <f t="shared" si="51"/>
        <v/>
      </c>
      <c r="AH119" s="374">
        <f t="shared" si="52"/>
        <v>1</v>
      </c>
      <c r="AI119" s="374">
        <f t="shared" si="53"/>
        <v>1</v>
      </c>
      <c r="AJ119" s="374" t="str">
        <f t="shared" si="54"/>
        <v/>
      </c>
      <c r="AK119" s="374">
        <f t="shared" si="55"/>
        <v>1</v>
      </c>
      <c r="AL119" s="374" t="str">
        <f t="shared" si="56"/>
        <v/>
      </c>
      <c r="AM119" s="514" t="str">
        <f t="shared" si="57"/>
        <v/>
      </c>
      <c r="AN119" s="18">
        <v>1</v>
      </c>
      <c r="AO119" s="18">
        <v>1</v>
      </c>
      <c r="AP119" s="18">
        <v>1</v>
      </c>
      <c r="AQ119" s="18">
        <v>1</v>
      </c>
      <c r="AS119" s="416">
        <v>1</v>
      </c>
      <c r="AT119" s="416">
        <v>1</v>
      </c>
      <c r="AU119" s="498">
        <v>1</v>
      </c>
      <c r="AV119" s="498">
        <v>1</v>
      </c>
      <c r="AX119" s="498">
        <v>1</v>
      </c>
      <c r="BD119" s="499">
        <v>1</v>
      </c>
      <c r="BE119" s="503">
        <v>1</v>
      </c>
      <c r="BF119" s="493">
        <v>1</v>
      </c>
      <c r="BG119" s="493">
        <v>1</v>
      </c>
      <c r="BH119" s="493">
        <v>1</v>
      </c>
      <c r="BI119" s="493">
        <v>1</v>
      </c>
      <c r="BJ119" s="493">
        <v>1</v>
      </c>
      <c r="BK119" s="493">
        <v>1</v>
      </c>
      <c r="BL119" s="493">
        <v>1</v>
      </c>
      <c r="BM119" s="493">
        <v>1</v>
      </c>
      <c r="BN119" s="499">
        <v>1</v>
      </c>
      <c r="BO119" s="503">
        <v>1</v>
      </c>
      <c r="BP119" s="503">
        <v>1</v>
      </c>
      <c r="BR119" s="503">
        <v>1</v>
      </c>
      <c r="BS119" s="503">
        <v>1</v>
      </c>
      <c r="BU119" s="503">
        <v>1</v>
      </c>
    </row>
    <row r="120" spans="1:78" x14ac:dyDescent="0.25">
      <c r="A120" s="1097"/>
      <c r="B120" s="551" t="str">
        <f ca="1">IFERROR(IF(P120&lt;&gt;1,select!$A$8,rand!C120),"")</f>
        <v>---------</v>
      </c>
      <c r="C120" s="413">
        <v>3.5</v>
      </c>
      <c r="D120" s="71" t="str">
        <f ca="1">IF($D$3=1,IFERROR(OFFSET(P120,0,select!$M$1361),""),"")</f>
        <v/>
      </c>
      <c r="E120" s="71" t="str">
        <f ca="1">IF($E$3=1,IFERROR(OFFSET(P120,0,select!$M$1362),""),"")</f>
        <v/>
      </c>
      <c r="F120" s="71" t="str">
        <f ca="1">IF($F$3=1,IFERROR(OFFSET(P120,0,select!$M$1363),""),"")</f>
        <v/>
      </c>
      <c r="G120" s="71" t="str">
        <f ca="1">IF($G$3=1,IFERROR(OFFSET(P120,0,select!$M$1364),""),"")</f>
        <v/>
      </c>
      <c r="P120" s="71" t="str">
        <f t="shared" ca="1" si="70"/>
        <v/>
      </c>
      <c r="Q120" s="374" t="str">
        <f>IF(SUM(AN120:AR120)&gt;0,1,"")</f>
        <v/>
      </c>
      <c r="R120" s="374" t="str">
        <f>IF(SUM(AS120:AW120)&gt;0,1,"")</f>
        <v/>
      </c>
      <c r="S120" s="374" t="str">
        <f>IF(SUM(AX120:AZ120)&gt;0,1,"")</f>
        <v/>
      </c>
      <c r="T120" s="374" t="str">
        <f>IF(SUM(BA120:BD120)&gt;0,1,"")</f>
        <v/>
      </c>
      <c r="U120" s="374" t="str">
        <f>IF(SUM(BE120)&gt;0,1,"")</f>
        <v/>
      </c>
      <c r="V120" s="374" t="str">
        <f>IF(SUM(BF120)&gt;0,1,"")</f>
        <v/>
      </c>
      <c r="W120" s="374" t="str">
        <f>IF(SUM(BG120)&gt;0,1,"")</f>
        <v/>
      </c>
      <c r="X120" s="374" t="str">
        <f>IF(SUM(BH120)&gt;0,1,"")</f>
        <v/>
      </c>
      <c r="Y120" s="374" t="str">
        <f>IF(SUM(BI120)&gt;0,1,"")</f>
        <v/>
      </c>
      <c r="Z120" s="374" t="str">
        <f t="shared" si="44"/>
        <v/>
      </c>
      <c r="AA120" s="374" t="str">
        <f t="shared" si="45"/>
        <v/>
      </c>
      <c r="AB120" s="374" t="str">
        <f t="shared" si="46"/>
        <v/>
      </c>
      <c r="AC120" s="374" t="str">
        <f t="shared" si="47"/>
        <v/>
      </c>
      <c r="AD120" s="374" t="str">
        <f t="shared" si="48"/>
        <v/>
      </c>
      <c r="AE120" s="374" t="str">
        <f t="shared" si="49"/>
        <v/>
      </c>
      <c r="AF120" s="374" t="str">
        <f t="shared" si="50"/>
        <v/>
      </c>
      <c r="AG120" s="374">
        <f t="shared" si="51"/>
        <v>1</v>
      </c>
      <c r="AH120" s="374" t="str">
        <f t="shared" si="52"/>
        <v/>
      </c>
      <c r="AI120" s="374" t="str">
        <f t="shared" si="53"/>
        <v/>
      </c>
      <c r="AJ120" s="374" t="str">
        <f t="shared" si="54"/>
        <v/>
      </c>
      <c r="AK120" s="374" t="str">
        <f t="shared" si="55"/>
        <v/>
      </c>
      <c r="AL120" s="374" t="str">
        <f t="shared" si="56"/>
        <v/>
      </c>
      <c r="AM120" s="514" t="str">
        <f t="shared" si="57"/>
        <v/>
      </c>
      <c r="AT120" s="416"/>
      <c r="AU120" s="498"/>
      <c r="AV120" s="498"/>
      <c r="AX120" s="498"/>
      <c r="BQ120" s="503">
        <v>1</v>
      </c>
    </row>
    <row r="121" spans="1:78" s="34" customFormat="1" x14ac:dyDescent="0.25">
      <c r="A121" s="1097"/>
      <c r="B121" s="551">
        <f ca="1">IFERROR(IF(P121&lt;&gt;1,select!$A$8,rand!C121),"")</f>
        <v>3</v>
      </c>
      <c r="C121" s="413">
        <v>3</v>
      </c>
      <c r="D121" s="71">
        <f ca="1">IF($D$3=1,IFERROR(OFFSET(P121,0,select!$M$1361),""),"")</f>
        <v>1</v>
      </c>
      <c r="E121" s="71">
        <f ca="1">IF($E$3=1,IFERROR(OFFSET(P121,0,select!$M$1362),""),"")</f>
        <v>1</v>
      </c>
      <c r="F121" s="71">
        <f ca="1">IF($F$3=1,IFERROR(OFFSET(P121,0,select!$M$1363),""),"")</f>
        <v>1</v>
      </c>
      <c r="G121" s="71">
        <f ca="1">IF($G$3=1,IFERROR(OFFSET(P121,0,select!$M$1364),""),"")</f>
        <v>1</v>
      </c>
      <c r="H121" s="71"/>
      <c r="I121" s="71"/>
      <c r="J121" s="71"/>
      <c r="K121" s="71"/>
      <c r="L121" s="71"/>
      <c r="M121" s="71"/>
      <c r="N121" s="71"/>
      <c r="O121" s="71"/>
      <c r="P121" s="71">
        <f t="shared" ca="1" si="70"/>
        <v>1</v>
      </c>
      <c r="Q121" s="376">
        <f t="shared" si="59"/>
        <v>1</v>
      </c>
      <c r="R121" s="376">
        <f t="shared" si="60"/>
        <v>1</v>
      </c>
      <c r="S121" s="376">
        <f t="shared" si="61"/>
        <v>1</v>
      </c>
      <c r="T121" s="376">
        <f t="shared" si="62"/>
        <v>1</v>
      </c>
      <c r="U121" s="376">
        <f t="shared" si="67"/>
        <v>1</v>
      </c>
      <c r="V121" s="376">
        <f t="shared" si="63"/>
        <v>1</v>
      </c>
      <c r="W121" s="376">
        <f t="shared" si="64"/>
        <v>1</v>
      </c>
      <c r="X121" s="376">
        <f t="shared" si="65"/>
        <v>1</v>
      </c>
      <c r="Y121" s="376">
        <f t="shared" si="66"/>
        <v>1</v>
      </c>
      <c r="Z121" s="376">
        <f t="shared" si="44"/>
        <v>1</v>
      </c>
      <c r="AA121" s="376">
        <f t="shared" si="45"/>
        <v>1</v>
      </c>
      <c r="AB121" s="376">
        <f t="shared" si="46"/>
        <v>1</v>
      </c>
      <c r="AC121" s="376">
        <f t="shared" si="47"/>
        <v>1</v>
      </c>
      <c r="AD121" s="376">
        <f t="shared" si="48"/>
        <v>1</v>
      </c>
      <c r="AE121" s="376">
        <f t="shared" si="49"/>
        <v>1</v>
      </c>
      <c r="AF121" s="376">
        <f t="shared" si="50"/>
        <v>1</v>
      </c>
      <c r="AG121" s="376" t="str">
        <f t="shared" si="51"/>
        <v/>
      </c>
      <c r="AH121" s="376">
        <f t="shared" si="52"/>
        <v>1</v>
      </c>
      <c r="AI121" s="376">
        <f t="shared" si="53"/>
        <v>1</v>
      </c>
      <c r="AJ121" s="376" t="str">
        <f t="shared" si="54"/>
        <v/>
      </c>
      <c r="AK121" s="376" t="str">
        <f t="shared" si="55"/>
        <v/>
      </c>
      <c r="AL121" s="374" t="str">
        <f t="shared" si="56"/>
        <v/>
      </c>
      <c r="AM121" s="514" t="str">
        <f t="shared" si="57"/>
        <v/>
      </c>
      <c r="AN121" s="416">
        <v>1</v>
      </c>
      <c r="AO121" s="416">
        <v>1</v>
      </c>
      <c r="AP121" s="416">
        <v>1</v>
      </c>
      <c r="AQ121" s="416">
        <v>1</v>
      </c>
      <c r="AR121" s="415"/>
      <c r="AS121" s="416">
        <v>1</v>
      </c>
      <c r="AT121" s="416">
        <v>1</v>
      </c>
      <c r="AU121" s="498">
        <v>1</v>
      </c>
      <c r="AV121" s="498">
        <v>1</v>
      </c>
      <c r="AW121" s="499"/>
      <c r="AX121" s="498">
        <v>1</v>
      </c>
      <c r="AY121" s="498"/>
      <c r="AZ121" s="499"/>
      <c r="BA121" s="498"/>
      <c r="BB121" s="498"/>
      <c r="BC121" s="498"/>
      <c r="BD121" s="499">
        <v>1</v>
      </c>
      <c r="BE121" s="503">
        <v>1</v>
      </c>
      <c r="BF121" s="498">
        <v>1</v>
      </c>
      <c r="BG121" s="498">
        <v>1</v>
      </c>
      <c r="BH121" s="498">
        <v>1</v>
      </c>
      <c r="BI121" s="498">
        <v>1</v>
      </c>
      <c r="BJ121" s="498">
        <v>1</v>
      </c>
      <c r="BK121" s="498">
        <v>1</v>
      </c>
      <c r="BL121" s="498">
        <v>1</v>
      </c>
      <c r="BM121" s="498">
        <v>1</v>
      </c>
      <c r="BN121" s="499">
        <v>1</v>
      </c>
      <c r="BO121" s="503">
        <v>1</v>
      </c>
      <c r="BP121" s="503">
        <v>1</v>
      </c>
      <c r="BQ121" s="503"/>
      <c r="BR121" s="503">
        <v>1</v>
      </c>
      <c r="BS121" s="503">
        <v>1</v>
      </c>
      <c r="BT121" s="503"/>
      <c r="BU121" s="503"/>
      <c r="BV121" s="503"/>
      <c r="BW121" s="504"/>
      <c r="BX121" s="498"/>
      <c r="BY121" s="498"/>
      <c r="BZ121" s="499"/>
    </row>
    <row r="122" spans="1:78" s="34" customFormat="1" x14ac:dyDescent="0.25">
      <c r="A122" s="1097"/>
      <c r="B122" s="551" t="str">
        <f ca="1">IFERROR(IF(P122&lt;&gt;1,select!$A$8,rand!C122),"")</f>
        <v>---------</v>
      </c>
      <c r="C122" s="413">
        <v>2</v>
      </c>
      <c r="D122" s="71" t="str">
        <f ca="1">IF($D$3=1,IFERROR(OFFSET(P122,0,select!$M$1361),""),"")</f>
        <v/>
      </c>
      <c r="E122" s="71" t="str">
        <f ca="1">IF($E$3=1,IFERROR(OFFSET(P122,0,select!$M$1362),""),"")</f>
        <v/>
      </c>
      <c r="F122" s="71" t="str">
        <f ca="1">IF($F$3=1,IFERROR(OFFSET(P122,0,select!$M$1363),""),"")</f>
        <v/>
      </c>
      <c r="G122" s="71" t="str">
        <f ca="1">IF($G$3=1,IFERROR(OFFSET(P122,0,select!$M$1364),""),"")</f>
        <v/>
      </c>
      <c r="H122" s="71"/>
      <c r="I122" s="71"/>
      <c r="J122" s="71"/>
      <c r="K122" s="71"/>
      <c r="L122" s="71"/>
      <c r="M122" s="71"/>
      <c r="N122" s="71"/>
      <c r="O122" s="71"/>
      <c r="P122" s="71" t="str">
        <f t="shared" ca="1" si="70"/>
        <v/>
      </c>
      <c r="Q122" s="376" t="str">
        <f>IF(SUM(AN122:AR122)&gt;0,1,"")</f>
        <v/>
      </c>
      <c r="R122" s="376" t="str">
        <f>IF(SUM(AS122:AW122)&gt;0,1,"")</f>
        <v/>
      </c>
      <c r="S122" s="376" t="str">
        <f>IF(SUM(AX122:AZ122)&gt;0,1,"")</f>
        <v/>
      </c>
      <c r="T122" s="376" t="str">
        <f>IF(SUM(BA122:BD122)&gt;0,1,"")</f>
        <v/>
      </c>
      <c r="U122" s="376" t="str">
        <f t="shared" ref="U122:AD123" si="72">IF(SUM(BE122)&gt;0,1,"")</f>
        <v/>
      </c>
      <c r="V122" s="376" t="str">
        <f t="shared" si="72"/>
        <v/>
      </c>
      <c r="W122" s="376" t="str">
        <f t="shared" si="72"/>
        <v/>
      </c>
      <c r="X122" s="376" t="str">
        <f t="shared" si="72"/>
        <v/>
      </c>
      <c r="Y122" s="376" t="str">
        <f t="shared" si="72"/>
        <v/>
      </c>
      <c r="Z122" s="376" t="str">
        <f t="shared" si="72"/>
        <v/>
      </c>
      <c r="AA122" s="376" t="str">
        <f t="shared" si="72"/>
        <v/>
      </c>
      <c r="AB122" s="376" t="str">
        <f t="shared" si="72"/>
        <v/>
      </c>
      <c r="AC122" s="376" t="str">
        <f t="shared" si="72"/>
        <v/>
      </c>
      <c r="AD122" s="376" t="str">
        <f t="shared" si="72"/>
        <v/>
      </c>
      <c r="AE122" s="376" t="str">
        <f t="shared" ref="AE122:AL123" si="73">IF(SUM(BO122)&gt;0,1,"")</f>
        <v/>
      </c>
      <c r="AF122" s="376" t="str">
        <f t="shared" si="73"/>
        <v/>
      </c>
      <c r="AG122" s="376" t="str">
        <f t="shared" si="73"/>
        <v/>
      </c>
      <c r="AH122" s="376" t="str">
        <f t="shared" si="73"/>
        <v/>
      </c>
      <c r="AI122" s="376" t="str">
        <f t="shared" si="73"/>
        <v/>
      </c>
      <c r="AJ122" s="376" t="str">
        <f t="shared" si="73"/>
        <v/>
      </c>
      <c r="AK122" s="376" t="str">
        <f t="shared" si="73"/>
        <v/>
      </c>
      <c r="AL122" s="374" t="str">
        <f t="shared" si="73"/>
        <v/>
      </c>
      <c r="AM122" s="514" t="str">
        <f>IF(SUM(BW122:BZ122)&gt;0,1,"")</f>
        <v/>
      </c>
      <c r="AN122" s="416"/>
      <c r="AO122" s="416"/>
      <c r="AP122" s="416"/>
      <c r="AQ122" s="416"/>
      <c r="AR122" s="415"/>
      <c r="AS122" s="416"/>
      <c r="AT122" s="416"/>
      <c r="AU122" s="498"/>
      <c r="AV122" s="498"/>
      <c r="AW122" s="499"/>
      <c r="AX122" s="498"/>
      <c r="AY122" s="498"/>
      <c r="AZ122" s="499"/>
      <c r="BA122" s="498"/>
      <c r="BB122" s="498"/>
      <c r="BC122" s="498"/>
      <c r="BD122" s="499"/>
      <c r="BE122" s="503"/>
      <c r="BF122" s="498"/>
      <c r="BG122" s="498"/>
      <c r="BH122" s="498"/>
      <c r="BI122" s="498"/>
      <c r="BJ122" s="498"/>
      <c r="BK122" s="498"/>
      <c r="BL122" s="498"/>
      <c r="BM122" s="498"/>
      <c r="BN122" s="499"/>
      <c r="BO122" s="503"/>
      <c r="BP122" s="503"/>
      <c r="BQ122" s="503"/>
      <c r="BR122" s="503"/>
      <c r="BS122" s="503"/>
      <c r="BT122" s="503"/>
      <c r="BU122" s="503"/>
      <c r="BV122" s="503"/>
      <c r="BW122" s="504"/>
      <c r="BX122" s="498"/>
      <c r="BY122" s="498"/>
      <c r="BZ122" s="499"/>
    </row>
    <row r="123" spans="1:78" s="34" customFormat="1" x14ac:dyDescent="0.25">
      <c r="A123" s="1097"/>
      <c r="B123" s="551" t="str">
        <f ca="1">IFERROR(IF(P123&lt;&gt;1,select!$A$8,rand!C123),"")</f>
        <v>---------</v>
      </c>
      <c r="C123" s="413">
        <v>0</v>
      </c>
      <c r="D123" s="71" t="str">
        <f ca="1">IF($D$3=1,IFERROR(OFFSET(P123,0,select!$M$1361),""),"")</f>
        <v/>
      </c>
      <c r="E123" s="71" t="str">
        <f ca="1">IF($E$3=1,IFERROR(OFFSET(P123,0,select!$M$1362),""),"")</f>
        <v/>
      </c>
      <c r="F123" s="71" t="str">
        <f ca="1">IF($F$3=1,IFERROR(OFFSET(P123,0,select!$M$1363),""),"")</f>
        <v/>
      </c>
      <c r="G123" s="71" t="str">
        <f ca="1">IF($G$3=1,IFERROR(OFFSET(P123,0,select!$M$1364),""),"")</f>
        <v/>
      </c>
      <c r="H123" s="71"/>
      <c r="I123" s="71"/>
      <c r="J123" s="71"/>
      <c r="K123" s="71"/>
      <c r="L123" s="71"/>
      <c r="M123" s="71"/>
      <c r="N123" s="71"/>
      <c r="O123" s="71"/>
      <c r="P123" s="71" t="str">
        <f t="shared" ca="1" si="70"/>
        <v/>
      </c>
      <c r="Q123" s="376" t="str">
        <f>IF(SUM(AN123:AR123)&gt;0,1,"")</f>
        <v/>
      </c>
      <c r="R123" s="376" t="str">
        <f>IF(SUM(AS123:AW123)&gt;0,1,"")</f>
        <v/>
      </c>
      <c r="S123" s="376" t="str">
        <f>IF(SUM(AX123:AZ123)&gt;0,1,"")</f>
        <v/>
      </c>
      <c r="T123" s="376" t="str">
        <f>IF(SUM(BA123:BD123)&gt;0,1,"")</f>
        <v/>
      </c>
      <c r="U123" s="376" t="str">
        <f t="shared" si="72"/>
        <v/>
      </c>
      <c r="V123" s="376" t="str">
        <f t="shared" si="72"/>
        <v/>
      </c>
      <c r="W123" s="376" t="str">
        <f t="shared" si="72"/>
        <v/>
      </c>
      <c r="X123" s="376" t="str">
        <f t="shared" si="72"/>
        <v/>
      </c>
      <c r="Y123" s="376" t="str">
        <f t="shared" si="72"/>
        <v/>
      </c>
      <c r="Z123" s="376" t="str">
        <f t="shared" si="72"/>
        <v/>
      </c>
      <c r="AA123" s="376" t="str">
        <f t="shared" si="72"/>
        <v/>
      </c>
      <c r="AB123" s="376" t="str">
        <f t="shared" si="72"/>
        <v/>
      </c>
      <c r="AC123" s="376" t="str">
        <f t="shared" si="72"/>
        <v/>
      </c>
      <c r="AD123" s="376" t="str">
        <f t="shared" si="72"/>
        <v/>
      </c>
      <c r="AE123" s="376" t="str">
        <f t="shared" si="73"/>
        <v/>
      </c>
      <c r="AF123" s="376" t="str">
        <f t="shared" si="73"/>
        <v/>
      </c>
      <c r="AG123" s="376" t="str">
        <f t="shared" si="73"/>
        <v/>
      </c>
      <c r="AH123" s="376" t="str">
        <f t="shared" si="73"/>
        <v/>
      </c>
      <c r="AI123" s="376" t="str">
        <f t="shared" si="73"/>
        <v/>
      </c>
      <c r="AJ123" s="376" t="str">
        <f t="shared" si="73"/>
        <v/>
      </c>
      <c r="AK123" s="376" t="str">
        <f t="shared" si="73"/>
        <v/>
      </c>
      <c r="AL123" s="374" t="str">
        <f t="shared" si="73"/>
        <v/>
      </c>
      <c r="AM123" s="514" t="str">
        <f>IF(SUM(BW123:BZ123)&gt;0,1,"")</f>
        <v/>
      </c>
      <c r="AN123" s="416"/>
      <c r="AO123" s="416"/>
      <c r="AP123" s="416"/>
      <c r="AQ123" s="416"/>
      <c r="AR123" s="415"/>
      <c r="AS123" s="416"/>
      <c r="AT123" s="416"/>
      <c r="AU123" s="498"/>
      <c r="AV123" s="498"/>
      <c r="AW123" s="499"/>
      <c r="AX123" s="498"/>
      <c r="AY123" s="498"/>
      <c r="AZ123" s="499"/>
      <c r="BA123" s="498"/>
      <c r="BB123" s="498"/>
      <c r="BC123" s="498"/>
      <c r="BD123" s="499"/>
      <c r="BE123" s="503"/>
      <c r="BF123" s="498"/>
      <c r="BG123" s="498"/>
      <c r="BH123" s="498"/>
      <c r="BI123" s="498"/>
      <c r="BJ123" s="498"/>
      <c r="BK123" s="498"/>
      <c r="BL123" s="498"/>
      <c r="BM123" s="498"/>
      <c r="BN123" s="499"/>
      <c r="BO123" s="503"/>
      <c r="BP123" s="503"/>
      <c r="BQ123" s="503"/>
      <c r="BR123" s="503"/>
      <c r="BS123" s="503"/>
      <c r="BT123" s="503"/>
      <c r="BU123" s="503"/>
      <c r="BV123" s="503"/>
      <c r="BW123" s="504"/>
      <c r="BX123" s="498"/>
      <c r="BY123" s="498"/>
      <c r="BZ123" s="499"/>
    </row>
    <row r="124" spans="1:78" s="34" customFormat="1" x14ac:dyDescent="0.25">
      <c r="A124" s="1097"/>
      <c r="B124" s="551" t="str">
        <f ca="1">IFERROR(IF(P124&lt;&gt;1,select!$A$8,rand!C124),"")</f>
        <v>---------</v>
      </c>
      <c r="C124" s="413">
        <v>-3</v>
      </c>
      <c r="D124" s="71" t="str">
        <f ca="1">IF($D$3=1,IFERROR(OFFSET(P124,0,select!$M$1361),""),"")</f>
        <v/>
      </c>
      <c r="E124" s="71" t="str">
        <f ca="1">IF($E$3=1,IFERROR(OFFSET(P124,0,select!$M$1362),""),"")</f>
        <v/>
      </c>
      <c r="F124" s="71" t="str">
        <f ca="1">IF($F$3=1,IFERROR(OFFSET(P124,0,select!$M$1363),""),"")</f>
        <v/>
      </c>
      <c r="G124" s="71" t="str">
        <f ca="1">IF($G$3=1,IFERROR(OFFSET(P124,0,select!$M$1364),""),"")</f>
        <v/>
      </c>
      <c r="H124" s="71"/>
      <c r="I124" s="71"/>
      <c r="J124" s="71"/>
      <c r="K124" s="71"/>
      <c r="L124" s="71"/>
      <c r="M124" s="71"/>
      <c r="N124" s="71"/>
      <c r="O124" s="71"/>
      <c r="P124" s="71" t="str">
        <f t="shared" ca="1" si="70"/>
        <v/>
      </c>
      <c r="Q124" s="376" t="str">
        <f>IF(SUM(AN124:AR124)&gt;0,1,"")</f>
        <v/>
      </c>
      <c r="R124" s="376" t="str">
        <f>IF(SUM(AS124:AW124)&gt;0,1,"")</f>
        <v/>
      </c>
      <c r="S124" s="376" t="str">
        <f>IF(SUM(AX124:AZ124)&gt;0,1,"")</f>
        <v/>
      </c>
      <c r="T124" s="376" t="str">
        <f>IF(SUM(BA124:BD124)&gt;0,1,"")</f>
        <v/>
      </c>
      <c r="U124" s="376" t="str">
        <f t="shared" ref="U124:Y125" si="74">IF(SUM(BE124)&gt;0,1,"")</f>
        <v/>
      </c>
      <c r="V124" s="376" t="str">
        <f t="shared" si="74"/>
        <v/>
      </c>
      <c r="W124" s="376" t="str">
        <f t="shared" si="74"/>
        <v/>
      </c>
      <c r="X124" s="376" t="str">
        <f t="shared" si="74"/>
        <v/>
      </c>
      <c r="Y124" s="376" t="str">
        <f t="shared" si="74"/>
        <v/>
      </c>
      <c r="Z124" s="376" t="str">
        <f t="shared" si="44"/>
        <v/>
      </c>
      <c r="AA124" s="376" t="str">
        <f t="shared" si="45"/>
        <v/>
      </c>
      <c r="AB124" s="376" t="str">
        <f t="shared" si="46"/>
        <v/>
      </c>
      <c r="AC124" s="376" t="str">
        <f t="shared" si="47"/>
        <v/>
      </c>
      <c r="AD124" s="376" t="str">
        <f t="shared" si="48"/>
        <v/>
      </c>
      <c r="AE124" s="376" t="str">
        <f t="shared" si="49"/>
        <v/>
      </c>
      <c r="AF124" s="376" t="str">
        <f t="shared" si="50"/>
        <v/>
      </c>
      <c r="AG124" s="376" t="str">
        <f t="shared" si="51"/>
        <v/>
      </c>
      <c r="AH124" s="376" t="str">
        <f t="shared" si="52"/>
        <v/>
      </c>
      <c r="AI124" s="376" t="str">
        <f t="shared" si="53"/>
        <v/>
      </c>
      <c r="AJ124" s="376">
        <f t="shared" si="54"/>
        <v>1</v>
      </c>
      <c r="AK124" s="376" t="str">
        <f t="shared" si="55"/>
        <v/>
      </c>
      <c r="AL124" s="374">
        <f t="shared" si="56"/>
        <v>1</v>
      </c>
      <c r="AM124" s="514" t="str">
        <f t="shared" si="57"/>
        <v/>
      </c>
      <c r="AN124" s="416"/>
      <c r="AO124" s="416"/>
      <c r="AP124" s="416"/>
      <c r="AQ124" s="416"/>
      <c r="AR124" s="415"/>
      <c r="AS124" s="416"/>
      <c r="AT124" s="416"/>
      <c r="AU124" s="498"/>
      <c r="AV124" s="498"/>
      <c r="AW124" s="499"/>
      <c r="AX124" s="498"/>
      <c r="AY124" s="498"/>
      <c r="AZ124" s="499"/>
      <c r="BA124" s="498"/>
      <c r="BB124" s="498"/>
      <c r="BC124" s="498"/>
      <c r="BD124" s="499"/>
      <c r="BE124" s="503"/>
      <c r="BF124" s="498"/>
      <c r="BG124" s="498"/>
      <c r="BH124" s="498"/>
      <c r="BI124" s="498"/>
      <c r="BJ124" s="498"/>
      <c r="BK124" s="498"/>
      <c r="BL124" s="498"/>
      <c r="BM124" s="498"/>
      <c r="BN124" s="499"/>
      <c r="BO124" s="503"/>
      <c r="BP124" s="503"/>
      <c r="BQ124" s="503"/>
      <c r="BR124" s="503"/>
      <c r="BS124" s="503"/>
      <c r="BT124" s="503">
        <v>1</v>
      </c>
      <c r="BU124" s="503"/>
      <c r="BV124" s="503">
        <v>1</v>
      </c>
      <c r="BW124" s="504"/>
      <c r="BX124" s="498"/>
      <c r="BY124" s="498"/>
      <c r="BZ124" s="499"/>
    </row>
    <row r="125" spans="1:78" s="6" customFormat="1" x14ac:dyDescent="0.25">
      <c r="A125" s="1098"/>
      <c r="B125" s="559" t="str">
        <f ca="1">IFERROR(IF(P125&lt;&gt;1,select!$A$8,rand!C125),"")</f>
        <v>---------</v>
      </c>
      <c r="C125" s="414">
        <v>-4</v>
      </c>
      <c r="D125" s="92" t="str">
        <f ca="1">IF($D$3=1,IFERROR(OFFSET(P125,0,select!$M$1361),""),"")</f>
        <v/>
      </c>
      <c r="E125" s="92" t="str">
        <f ca="1">IF($E$3=1,IFERROR(OFFSET(P125,0,select!$M$1362),""),"")</f>
        <v/>
      </c>
      <c r="F125" s="92" t="str">
        <f ca="1">IF($F$3=1,IFERROR(OFFSET(P125,0,select!$M$1363),""),"")</f>
        <v/>
      </c>
      <c r="G125" s="92" t="str">
        <f ca="1">IF($G$3=1,IFERROR(OFFSET(P125,0,select!$M$1364),""),"")</f>
        <v/>
      </c>
      <c r="H125" s="92"/>
      <c r="I125" s="92"/>
      <c r="J125" s="92"/>
      <c r="K125" s="92"/>
      <c r="L125" s="92"/>
      <c r="M125" s="92"/>
      <c r="N125" s="92"/>
      <c r="O125" s="92"/>
      <c r="P125" s="92" t="str">
        <f t="shared" ca="1" si="70"/>
        <v/>
      </c>
      <c r="Q125" s="380" t="str">
        <f>IF(SUM(AN125:AR125)&gt;0,1,"")</f>
        <v/>
      </c>
      <c r="R125" s="380" t="str">
        <f>IF(SUM(AS125:AW125)&gt;0,1,"")</f>
        <v/>
      </c>
      <c r="S125" s="380" t="str">
        <f>IF(SUM(AX125:AZ125)&gt;0,1,"")</f>
        <v/>
      </c>
      <c r="T125" s="380" t="str">
        <f>IF(SUM(BA125:BD125)&gt;0,1,"")</f>
        <v/>
      </c>
      <c r="U125" s="380" t="str">
        <f t="shared" si="74"/>
        <v/>
      </c>
      <c r="V125" s="380" t="str">
        <f t="shared" si="74"/>
        <v/>
      </c>
      <c r="W125" s="380" t="str">
        <f t="shared" si="74"/>
        <v/>
      </c>
      <c r="X125" s="380" t="str">
        <f t="shared" si="74"/>
        <v/>
      </c>
      <c r="Y125" s="380" t="str">
        <f t="shared" si="74"/>
        <v/>
      </c>
      <c r="Z125" s="380" t="str">
        <f t="shared" si="44"/>
        <v/>
      </c>
      <c r="AA125" s="380" t="str">
        <f t="shared" si="45"/>
        <v/>
      </c>
      <c r="AB125" s="380" t="str">
        <f t="shared" si="46"/>
        <v/>
      </c>
      <c r="AC125" s="380" t="str">
        <f t="shared" si="47"/>
        <v/>
      </c>
      <c r="AD125" s="380" t="str">
        <f t="shared" si="48"/>
        <v/>
      </c>
      <c r="AE125" s="380" t="str">
        <f t="shared" si="49"/>
        <v/>
      </c>
      <c r="AF125" s="380" t="str">
        <f t="shared" si="50"/>
        <v/>
      </c>
      <c r="AG125" s="380" t="str">
        <f t="shared" si="51"/>
        <v/>
      </c>
      <c r="AH125" s="380" t="str">
        <f t="shared" si="52"/>
        <v/>
      </c>
      <c r="AI125" s="380" t="str">
        <f t="shared" si="53"/>
        <v/>
      </c>
      <c r="AJ125" s="380">
        <f t="shared" si="54"/>
        <v>1</v>
      </c>
      <c r="AK125" s="380" t="str">
        <f t="shared" si="55"/>
        <v/>
      </c>
      <c r="AL125" s="380">
        <f t="shared" si="56"/>
        <v>1</v>
      </c>
      <c r="AM125" s="518" t="str">
        <f t="shared" si="57"/>
        <v/>
      </c>
      <c r="AN125" s="420"/>
      <c r="AO125" s="420"/>
      <c r="AP125" s="420"/>
      <c r="AQ125" s="420"/>
      <c r="AR125" s="421"/>
      <c r="AS125" s="420"/>
      <c r="AT125" s="420"/>
      <c r="AU125" s="496"/>
      <c r="AV125" s="496"/>
      <c r="AW125" s="502"/>
      <c r="AX125" s="496"/>
      <c r="AY125" s="496"/>
      <c r="AZ125" s="502"/>
      <c r="BA125" s="496"/>
      <c r="BB125" s="496"/>
      <c r="BC125" s="496"/>
      <c r="BD125" s="502"/>
      <c r="BE125" s="512"/>
      <c r="BF125" s="496"/>
      <c r="BG125" s="496"/>
      <c r="BH125" s="496"/>
      <c r="BI125" s="496"/>
      <c r="BJ125" s="496"/>
      <c r="BK125" s="496"/>
      <c r="BL125" s="496"/>
      <c r="BM125" s="496"/>
      <c r="BN125" s="502"/>
      <c r="BO125" s="512"/>
      <c r="BP125" s="512"/>
      <c r="BQ125" s="512"/>
      <c r="BR125" s="512"/>
      <c r="BS125" s="512"/>
      <c r="BT125" s="512">
        <v>1</v>
      </c>
      <c r="BU125" s="512"/>
      <c r="BV125" s="512">
        <v>1</v>
      </c>
      <c r="BW125" s="513"/>
      <c r="BX125" s="496"/>
      <c r="BY125" s="496"/>
      <c r="BZ125" s="502"/>
    </row>
    <row r="126" spans="1:78" ht="47.25" x14ac:dyDescent="0.25">
      <c r="A126" s="396" t="s">
        <v>52</v>
      </c>
      <c r="B126" s="416">
        <f ca="1">IF(C126&gt;0,1,0)</f>
        <v>1</v>
      </c>
      <c r="C126" s="413">
        <f ca="1">SUM(D126:G126)</f>
        <v>2</v>
      </c>
      <c r="D126" s="71">
        <f ca="1">IFERROR(OFFSET(P126,0,select!$Q$1368),"")</f>
        <v>1</v>
      </c>
      <c r="E126" s="71" t="str">
        <f ca="1">IFERROR(OFFSET(P126,0,select!$Q$1369),"")</f>
        <v/>
      </c>
      <c r="F126" s="71" t="str">
        <f ca="1">IFERROR(OFFSET(P126,0,select!$Q$1370),"")</f>
        <v/>
      </c>
      <c r="G126" s="71">
        <f ca="1">IFERROR(OFFSET(P126,0,select!$Q$1371),"")</f>
        <v>1</v>
      </c>
      <c r="Q126" s="374">
        <v>1</v>
      </c>
      <c r="R126" s="374">
        <v>1</v>
      </c>
      <c r="S126" s="374">
        <v>1</v>
      </c>
      <c r="T126" s="374">
        <v>1</v>
      </c>
      <c r="U126" s="374">
        <v>1</v>
      </c>
      <c r="V126" s="374">
        <v>1</v>
      </c>
      <c r="W126" s="374">
        <v>1</v>
      </c>
      <c r="X126" s="374">
        <v>1</v>
      </c>
      <c r="Y126" s="374">
        <v>1</v>
      </c>
      <c r="Z126" s="374">
        <v>1</v>
      </c>
      <c r="AA126" s="374">
        <v>1</v>
      </c>
      <c r="AB126" s="374">
        <v>1</v>
      </c>
      <c r="AC126" s="374">
        <v>1</v>
      </c>
      <c r="AD126" s="374">
        <v>1</v>
      </c>
      <c r="AE126" s="374">
        <v>1</v>
      </c>
      <c r="AF126" s="374">
        <v>1</v>
      </c>
      <c r="AG126" s="374">
        <v>1</v>
      </c>
      <c r="AH126" s="374">
        <v>1</v>
      </c>
      <c r="AI126" s="374">
        <v>1</v>
      </c>
      <c r="AJ126" s="374">
        <v>1</v>
      </c>
      <c r="AK126" s="374">
        <v>1</v>
      </c>
      <c r="AL126" s="374">
        <v>1</v>
      </c>
      <c r="AM126" s="514">
        <v>1</v>
      </c>
    </row>
    <row r="127" spans="1:78" ht="52.5" x14ac:dyDescent="0.25">
      <c r="A127" s="396" t="s">
        <v>51</v>
      </c>
      <c r="B127" s="416">
        <f t="shared" ref="B127:B129" ca="1" si="75">IF(C127&gt;0,1,0)</f>
        <v>1</v>
      </c>
      <c r="C127" s="413">
        <f ca="1">SUM(D127:G127)</f>
        <v>2</v>
      </c>
      <c r="D127" s="71">
        <f ca="1">IFERROR(OFFSET(P127,0,select!$Q$1368),"")</f>
        <v>1</v>
      </c>
      <c r="E127" s="71" t="str">
        <f ca="1">IFERROR(OFFSET(P127,0,select!$Q$1369),"")</f>
        <v/>
      </c>
      <c r="F127" s="71" t="str">
        <f ca="1">IFERROR(OFFSET(P127,0,select!$Q$1370),"")</f>
        <v/>
      </c>
      <c r="G127" s="71">
        <f ca="1">IFERROR(OFFSET(P127,0,select!$Q$1371),"")</f>
        <v>1</v>
      </c>
      <c r="Q127" s="374">
        <v>1</v>
      </c>
      <c r="R127" s="374">
        <v>1</v>
      </c>
      <c r="S127" s="374">
        <v>1</v>
      </c>
      <c r="T127" s="374">
        <v>1</v>
      </c>
      <c r="U127" s="374">
        <v>1</v>
      </c>
      <c r="V127" s="374">
        <v>1</v>
      </c>
      <c r="W127" s="374">
        <v>1</v>
      </c>
      <c r="X127" s="374">
        <v>1</v>
      </c>
      <c r="Y127" s="374">
        <v>1</v>
      </c>
      <c r="Z127" s="374">
        <v>1</v>
      </c>
      <c r="AA127" s="374">
        <v>1</v>
      </c>
      <c r="AB127" s="374">
        <v>1</v>
      </c>
      <c r="AC127" s="374">
        <v>1</v>
      </c>
      <c r="AD127" s="374">
        <v>1</v>
      </c>
      <c r="AE127" s="374">
        <v>1</v>
      </c>
      <c r="AF127" s="374">
        <v>1</v>
      </c>
      <c r="AG127" s="374">
        <v>1</v>
      </c>
      <c r="AH127" s="374">
        <v>1</v>
      </c>
      <c r="AI127" s="374">
        <v>1</v>
      </c>
      <c r="AJ127" s="374">
        <v>1</v>
      </c>
      <c r="AK127" s="374">
        <v>1</v>
      </c>
      <c r="AL127" s="374">
        <v>1</v>
      </c>
      <c r="AM127" s="514">
        <v>1</v>
      </c>
    </row>
    <row r="128" spans="1:78" ht="46.5" x14ac:dyDescent="0.25">
      <c r="A128" s="396" t="s">
        <v>1360</v>
      </c>
      <c r="B128" s="416">
        <f t="shared" ca="1" si="75"/>
        <v>1</v>
      </c>
      <c r="C128" s="413">
        <f ca="1">SUM(D128:G128)</f>
        <v>2</v>
      </c>
      <c r="D128" s="71">
        <f ca="1">IFERROR(OFFSET(P128,0,select!$Q$1368),"")</f>
        <v>1</v>
      </c>
      <c r="E128" s="71" t="str">
        <f ca="1">IFERROR(OFFSET(P128,0,select!$Q$1369),"")</f>
        <v/>
      </c>
      <c r="F128" s="71" t="str">
        <f ca="1">IFERROR(OFFSET(P128,0,select!$Q$1370),"")</f>
        <v/>
      </c>
      <c r="G128" s="71">
        <f ca="1">IFERROR(OFFSET(P128,0,select!$Q$1371),"")</f>
        <v>1</v>
      </c>
      <c r="Q128" s="374">
        <v>1</v>
      </c>
      <c r="R128" s="374">
        <v>1</v>
      </c>
      <c r="S128" s="374">
        <v>1</v>
      </c>
      <c r="T128" s="374">
        <v>1</v>
      </c>
      <c r="AC128" s="374">
        <v>1</v>
      </c>
      <c r="AD128" s="374">
        <v>1</v>
      </c>
      <c r="AE128" s="374">
        <v>1</v>
      </c>
      <c r="AF128" s="374">
        <v>1</v>
      </c>
      <c r="AG128" s="374">
        <v>1</v>
      </c>
      <c r="AH128" s="374">
        <v>1</v>
      </c>
      <c r="AI128" s="374">
        <v>1</v>
      </c>
      <c r="AJ128" s="374">
        <v>1</v>
      </c>
      <c r="AK128" s="374">
        <v>1</v>
      </c>
      <c r="AL128" s="374">
        <v>1</v>
      </c>
      <c r="AM128" s="514">
        <v>1</v>
      </c>
    </row>
    <row r="129" spans="1:78" s="6" customFormat="1" ht="42.75" x14ac:dyDescent="0.25">
      <c r="A129" s="398" t="s">
        <v>2120</v>
      </c>
      <c r="B129" s="420">
        <f t="shared" ca="1" si="75"/>
        <v>1</v>
      </c>
      <c r="C129" s="414">
        <f ca="1">SUM(D129:G129)</f>
        <v>2</v>
      </c>
      <c r="D129" s="92">
        <f ca="1">IFERROR(OFFSET(P129,0,select!$Q$1368),"")</f>
        <v>1</v>
      </c>
      <c r="E129" s="92" t="str">
        <f ca="1">IFERROR(OFFSET(P129,0,select!$Q$1369),"")</f>
        <v/>
      </c>
      <c r="F129" s="92" t="str">
        <f ca="1">IFERROR(OFFSET(P129,0,select!$Q$1370),"")</f>
        <v/>
      </c>
      <c r="G129" s="129">
        <f ca="1">IFERROR(OFFSET(P129,0,select!$Q$1371),"")</f>
        <v>1</v>
      </c>
      <c r="H129" s="92"/>
      <c r="I129" s="92"/>
      <c r="J129" s="92"/>
      <c r="K129" s="92"/>
      <c r="L129" s="92"/>
      <c r="M129" s="92"/>
      <c r="N129" s="92"/>
      <c r="O129" s="92"/>
      <c r="P129" s="92"/>
      <c r="Q129" s="380">
        <v>1</v>
      </c>
      <c r="R129" s="380">
        <v>1</v>
      </c>
      <c r="S129" s="380">
        <v>1</v>
      </c>
      <c r="T129" s="380">
        <v>1</v>
      </c>
      <c r="U129" s="380"/>
      <c r="V129" s="380"/>
      <c r="W129" s="380"/>
      <c r="X129" s="380"/>
      <c r="Y129" s="380"/>
      <c r="Z129" s="380"/>
      <c r="AA129" s="380"/>
      <c r="AB129" s="380"/>
      <c r="AC129" s="380">
        <v>1</v>
      </c>
      <c r="AD129" s="380">
        <v>1</v>
      </c>
      <c r="AE129" s="380">
        <v>1</v>
      </c>
      <c r="AF129" s="380">
        <v>1</v>
      </c>
      <c r="AG129" s="380">
        <v>1</v>
      </c>
      <c r="AH129" s="380">
        <v>1</v>
      </c>
      <c r="AI129" s="380">
        <v>1</v>
      </c>
      <c r="AJ129" s="380">
        <v>1</v>
      </c>
      <c r="AK129" s="380">
        <v>1</v>
      </c>
      <c r="AL129" s="380">
        <v>1</v>
      </c>
      <c r="AM129" s="518">
        <v>1</v>
      </c>
      <c r="AN129" s="420"/>
      <c r="AO129" s="420"/>
      <c r="AP129" s="420"/>
      <c r="AQ129" s="420"/>
      <c r="AR129" s="421"/>
      <c r="AS129" s="420"/>
      <c r="AT129" s="420"/>
      <c r="AU129" s="496"/>
      <c r="AV129" s="496"/>
      <c r="AW129" s="502"/>
      <c r="AX129" s="496"/>
      <c r="AY129" s="496"/>
      <c r="AZ129" s="502"/>
      <c r="BA129" s="496"/>
      <c r="BB129" s="496"/>
      <c r="BC129" s="496"/>
      <c r="BD129" s="502"/>
      <c r="BE129" s="512"/>
      <c r="BF129" s="496"/>
      <c r="BG129" s="496"/>
      <c r="BH129" s="496"/>
      <c r="BI129" s="496"/>
      <c r="BJ129" s="496"/>
      <c r="BK129" s="496"/>
      <c r="BL129" s="496"/>
      <c r="BM129" s="496"/>
      <c r="BN129" s="502"/>
      <c r="BO129" s="512"/>
      <c r="BP129" s="512"/>
      <c r="BQ129" s="512"/>
      <c r="BR129" s="512"/>
      <c r="BS129" s="512"/>
      <c r="BT129" s="512"/>
      <c r="BU129" s="512"/>
      <c r="BV129" s="512"/>
      <c r="BW129" s="513"/>
      <c r="BX129" s="496"/>
      <c r="BY129" s="496"/>
      <c r="BZ129" s="502"/>
    </row>
    <row r="130" spans="1:78" x14ac:dyDescent="0.25">
      <c r="A130" s="396"/>
    </row>
    <row r="131" spans="1:78" x14ac:dyDescent="0.25">
      <c r="A131" s="396"/>
    </row>
    <row r="132" spans="1:78" x14ac:dyDescent="0.25">
      <c r="A132" s="396"/>
    </row>
    <row r="133" spans="1:78" x14ac:dyDescent="0.25">
      <c r="A133" s="396"/>
    </row>
    <row r="134" spans="1:78" x14ac:dyDescent="0.25">
      <c r="A134" s="396"/>
    </row>
    <row r="135" spans="1:78" x14ac:dyDescent="0.25">
      <c r="A135" s="396"/>
    </row>
    <row r="136" spans="1:78" x14ac:dyDescent="0.25">
      <c r="A136" s="396"/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1"/>
      <c r="O136" s="411"/>
    </row>
    <row r="137" spans="1:78" x14ac:dyDescent="0.25">
      <c r="A137" s="396"/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1"/>
      <c r="O137" s="411"/>
    </row>
    <row r="138" spans="1:78" x14ac:dyDescent="0.25">
      <c r="A138" s="396"/>
      <c r="D138" s="411"/>
      <c r="E138" s="411"/>
      <c r="F138" s="411"/>
      <c r="G138" s="411"/>
      <c r="H138" s="411"/>
      <c r="I138" s="411"/>
      <c r="J138" s="411"/>
      <c r="K138" s="411"/>
      <c r="L138" s="411"/>
      <c r="M138" s="411"/>
      <c r="N138" s="411"/>
      <c r="O138" s="411"/>
    </row>
    <row r="139" spans="1:78" x14ac:dyDescent="0.25">
      <c r="A139" s="396"/>
      <c r="D139" s="411"/>
      <c r="E139" s="411"/>
      <c r="F139" s="411"/>
      <c r="G139" s="411"/>
      <c r="H139" s="411"/>
      <c r="I139" s="411"/>
      <c r="J139" s="411"/>
      <c r="K139" s="411"/>
      <c r="L139" s="411"/>
      <c r="M139" s="411"/>
      <c r="N139" s="411"/>
      <c r="O139" s="411"/>
    </row>
    <row r="140" spans="1:78" x14ac:dyDescent="0.25">
      <c r="A140" s="396"/>
      <c r="D140" s="411"/>
      <c r="E140" s="411"/>
      <c r="F140" s="411"/>
      <c r="G140" s="411"/>
      <c r="H140" s="411"/>
      <c r="I140" s="411"/>
      <c r="J140" s="411"/>
      <c r="K140" s="411"/>
      <c r="L140" s="411"/>
      <c r="M140" s="411"/>
      <c r="N140" s="411"/>
      <c r="O140" s="411"/>
    </row>
    <row r="141" spans="1:78" x14ac:dyDescent="0.25">
      <c r="A141" s="396"/>
      <c r="D141" s="411"/>
      <c r="E141" s="411"/>
      <c r="F141" s="411"/>
      <c r="G141" s="411"/>
      <c r="H141" s="411"/>
      <c r="I141" s="411"/>
      <c r="J141" s="411"/>
      <c r="K141" s="411"/>
      <c r="L141" s="411"/>
      <c r="M141" s="411"/>
      <c r="N141" s="411"/>
      <c r="O141" s="411"/>
    </row>
    <row r="142" spans="1:78" x14ac:dyDescent="0.25">
      <c r="A142" s="396"/>
      <c r="D142" s="411"/>
      <c r="E142" s="411"/>
      <c r="F142" s="411"/>
      <c r="G142" s="411"/>
      <c r="H142" s="411"/>
      <c r="I142" s="411"/>
      <c r="J142" s="411"/>
      <c r="K142" s="411"/>
      <c r="L142" s="411"/>
      <c r="M142" s="411"/>
      <c r="N142" s="411"/>
      <c r="O142" s="411"/>
    </row>
    <row r="143" spans="1:78" x14ac:dyDescent="0.25">
      <c r="A143" s="396"/>
      <c r="D143" s="411"/>
      <c r="E143" s="411"/>
      <c r="F143" s="411"/>
      <c r="G143" s="411"/>
      <c r="H143" s="411"/>
      <c r="I143" s="411"/>
      <c r="J143" s="411"/>
      <c r="K143" s="411"/>
      <c r="L143" s="411"/>
      <c r="M143" s="411"/>
      <c r="N143" s="411"/>
      <c r="O143" s="411"/>
    </row>
    <row r="144" spans="1:78" x14ac:dyDescent="0.25">
      <c r="A144" s="396"/>
      <c r="D144" s="411"/>
      <c r="E144" s="411"/>
      <c r="F144" s="411"/>
      <c r="G144" s="411"/>
      <c r="H144" s="411"/>
      <c r="I144" s="411"/>
      <c r="J144" s="411"/>
      <c r="K144" s="411"/>
      <c r="L144" s="411"/>
      <c r="M144" s="411"/>
      <c r="N144" s="411"/>
      <c r="O144" s="411"/>
    </row>
    <row r="145" spans="1:15" x14ac:dyDescent="0.25">
      <c r="A145" s="396"/>
      <c r="D145" s="411"/>
      <c r="E145" s="411"/>
      <c r="F145" s="411"/>
      <c r="G145" s="411"/>
      <c r="H145" s="411"/>
      <c r="I145" s="411"/>
      <c r="J145" s="411"/>
      <c r="K145" s="411"/>
      <c r="L145" s="411"/>
      <c r="M145" s="411"/>
      <c r="N145" s="411"/>
      <c r="O145" s="411"/>
    </row>
    <row r="146" spans="1:15" x14ac:dyDescent="0.25">
      <c r="A146" s="396"/>
      <c r="D146" s="411"/>
      <c r="E146" s="411"/>
      <c r="F146" s="411"/>
      <c r="G146" s="411"/>
      <c r="H146" s="411"/>
      <c r="I146" s="411"/>
      <c r="J146" s="411"/>
      <c r="K146" s="411"/>
      <c r="L146" s="411"/>
      <c r="M146" s="411"/>
      <c r="N146" s="411"/>
      <c r="O146" s="411"/>
    </row>
    <row r="147" spans="1:15" x14ac:dyDescent="0.25">
      <c r="A147" s="396"/>
      <c r="D147" s="411"/>
      <c r="E147" s="411"/>
      <c r="F147" s="411"/>
      <c r="G147" s="411"/>
      <c r="H147" s="411"/>
      <c r="I147" s="411"/>
      <c r="J147" s="411"/>
      <c r="K147" s="411"/>
      <c r="L147" s="411"/>
      <c r="M147" s="411"/>
      <c r="N147" s="411"/>
      <c r="O147" s="411"/>
    </row>
    <row r="148" spans="1:15" x14ac:dyDescent="0.25">
      <c r="A148" s="396"/>
      <c r="D148" s="411"/>
      <c r="E148" s="411"/>
      <c r="F148" s="411"/>
      <c r="G148" s="411"/>
      <c r="H148" s="411"/>
      <c r="I148" s="411"/>
      <c r="J148" s="411"/>
      <c r="K148" s="411"/>
      <c r="L148" s="411"/>
      <c r="M148" s="411"/>
      <c r="N148" s="411"/>
      <c r="O148" s="411"/>
    </row>
    <row r="149" spans="1:15" x14ac:dyDescent="0.25">
      <c r="A149" s="396"/>
      <c r="D149" s="411"/>
      <c r="E149" s="411"/>
      <c r="F149" s="411"/>
      <c r="G149" s="411"/>
      <c r="H149" s="411"/>
      <c r="I149" s="411"/>
      <c r="J149" s="411"/>
      <c r="K149" s="411"/>
      <c r="L149" s="411"/>
      <c r="M149" s="411"/>
      <c r="N149" s="411"/>
      <c r="O149" s="411"/>
    </row>
    <row r="150" spans="1:15" x14ac:dyDescent="0.25">
      <c r="A150" s="396"/>
      <c r="D150" s="411"/>
      <c r="E150" s="411"/>
      <c r="F150" s="411"/>
      <c r="G150" s="411"/>
      <c r="H150" s="411"/>
      <c r="I150" s="411"/>
      <c r="J150" s="411"/>
      <c r="K150" s="411"/>
      <c r="L150" s="411"/>
      <c r="M150" s="411"/>
      <c r="N150" s="411"/>
      <c r="O150" s="411"/>
    </row>
    <row r="151" spans="1:15" x14ac:dyDescent="0.25">
      <c r="A151" s="396"/>
      <c r="D151" s="411"/>
      <c r="E151" s="411"/>
      <c r="F151" s="411"/>
      <c r="G151" s="411"/>
      <c r="H151" s="411"/>
      <c r="I151" s="411"/>
      <c r="J151" s="411"/>
      <c r="K151" s="411"/>
      <c r="L151" s="411"/>
      <c r="M151" s="411"/>
      <c r="N151" s="411"/>
      <c r="O151" s="411"/>
    </row>
    <row r="152" spans="1:15" x14ac:dyDescent="0.25">
      <c r="A152" s="396"/>
      <c r="D152" s="411"/>
      <c r="E152" s="411"/>
      <c r="F152" s="411"/>
      <c r="G152" s="411"/>
      <c r="H152" s="411"/>
      <c r="I152" s="411"/>
      <c r="J152" s="411"/>
      <c r="K152" s="411"/>
      <c r="L152" s="411"/>
      <c r="M152" s="411"/>
      <c r="N152" s="411"/>
      <c r="O152" s="411"/>
    </row>
    <row r="153" spans="1:15" x14ac:dyDescent="0.25">
      <c r="A153" s="396"/>
      <c r="D153" s="411"/>
      <c r="E153" s="411"/>
      <c r="F153" s="411"/>
      <c r="G153" s="411"/>
      <c r="H153" s="411"/>
      <c r="I153" s="411"/>
      <c r="J153" s="411"/>
      <c r="K153" s="411"/>
      <c r="L153" s="411"/>
      <c r="M153" s="411"/>
      <c r="N153" s="411"/>
      <c r="O153" s="411"/>
    </row>
    <row r="154" spans="1:15" x14ac:dyDescent="0.25">
      <c r="A154" s="396"/>
      <c r="D154" s="411"/>
      <c r="E154" s="411"/>
      <c r="F154" s="411"/>
      <c r="G154" s="411"/>
      <c r="H154" s="411"/>
      <c r="I154" s="411"/>
      <c r="J154" s="411"/>
      <c r="K154" s="411"/>
      <c r="L154" s="411"/>
      <c r="M154" s="411"/>
      <c r="N154" s="411"/>
      <c r="O154" s="411"/>
    </row>
    <row r="155" spans="1:15" x14ac:dyDescent="0.25">
      <c r="A155" s="396"/>
      <c r="D155" s="411"/>
      <c r="E155" s="411"/>
      <c r="F155" s="411"/>
      <c r="G155" s="411"/>
      <c r="H155" s="411"/>
      <c r="I155" s="411"/>
      <c r="J155" s="411"/>
      <c r="K155" s="411"/>
      <c r="L155" s="411"/>
      <c r="M155" s="411"/>
      <c r="N155" s="411"/>
      <c r="O155" s="411"/>
    </row>
    <row r="156" spans="1:15" x14ac:dyDescent="0.25">
      <c r="A156" s="396"/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1"/>
      <c r="O156" s="411"/>
    </row>
    <row r="157" spans="1:15" x14ac:dyDescent="0.25">
      <c r="A157" s="396"/>
      <c r="D157" s="411"/>
      <c r="E157" s="411"/>
      <c r="F157" s="411"/>
      <c r="G157" s="411"/>
      <c r="H157" s="411"/>
      <c r="I157" s="411"/>
      <c r="J157" s="411"/>
      <c r="K157" s="411"/>
      <c r="L157" s="411"/>
      <c r="M157" s="411"/>
      <c r="N157" s="411"/>
      <c r="O157" s="411"/>
    </row>
    <row r="158" spans="1:15" x14ac:dyDescent="0.25">
      <c r="A158" s="396"/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</row>
    <row r="159" spans="1:15" x14ac:dyDescent="0.25">
      <c r="A159" s="398"/>
      <c r="D159" s="411"/>
      <c r="E159" s="411"/>
      <c r="F159" s="411"/>
      <c r="G159" s="411"/>
      <c r="H159" s="411"/>
      <c r="I159" s="411"/>
      <c r="J159" s="411"/>
      <c r="K159" s="411"/>
      <c r="L159" s="411"/>
      <c r="M159" s="411"/>
      <c r="N159" s="411"/>
      <c r="O159" s="411"/>
    </row>
  </sheetData>
  <mergeCells count="3">
    <mergeCell ref="A4:A36"/>
    <mergeCell ref="A99:A125"/>
    <mergeCell ref="A38:A95"/>
  </mergeCells>
  <conditionalFormatting sqref="H38:P95">
    <cfRule type="cellIs" dxfId="0" priority="1" operator="equal">
      <formula>0</formula>
    </cfRule>
  </conditionalFormatting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8</vt:i4>
      </vt:variant>
    </vt:vector>
  </HeadingPairs>
  <TitlesOfParts>
    <vt:vector size="15" baseType="lpstr">
      <vt:lpstr>Start</vt:lpstr>
      <vt:lpstr>Standard</vt:lpstr>
      <vt:lpstr>Winkel</vt:lpstr>
      <vt:lpstr>AG</vt:lpstr>
      <vt:lpstr>S</vt:lpstr>
      <vt:lpstr>Konfig</vt:lpstr>
      <vt:lpstr>Türgewicht</vt:lpstr>
      <vt:lpstr>Konfig!Druckbereich</vt:lpstr>
      <vt:lpstr>'S'!Druckbereich</vt:lpstr>
      <vt:lpstr>select!Druckbereich</vt:lpstr>
      <vt:lpstr>Standard!Druckbereich</vt:lpstr>
      <vt:lpstr>Winkel!Druckbereich</vt:lpstr>
      <vt:lpstr>fehler</vt:lpstr>
      <vt:lpstr>ja</vt:lpstr>
      <vt:lpstr>nein</vt:lpstr>
    </vt:vector>
  </TitlesOfParts>
  <Manager>www.sys33.de</Manager>
  <Company>SYS33 EDV Dienstleistung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TIOMOS Selector</dc:title>
  <dc:subject>Produktinformation</dc:subject>
  <dc:creator>Harald Nitz;www.sys33.de</dc:creator>
  <dc:description>Der Tiomos Selector wurde für Grass GmbH &amp; Co.KG von SYS33 EDV Dienstleistung erstellt.
www.sys33.de</dc:description>
  <cp:lastModifiedBy>Harald Nitz</cp:lastModifiedBy>
  <cp:lastPrinted>2016-05-24T16:39:44Z</cp:lastPrinted>
  <dcterms:created xsi:type="dcterms:W3CDTF">2014-07-21T19:45:28Z</dcterms:created>
  <dcterms:modified xsi:type="dcterms:W3CDTF">2019-01-25T16:16:50Z</dcterms:modified>
  <cp:category>Tool</cp:category>
</cp:coreProperties>
</file>